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ml.chartshapes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charts/chart1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omments7.xml" ContentType="application/vnd.openxmlformats-officedocument.spreadsheetml.comments+xml"/>
  <Override PartName="/xl/drawings/drawing10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10.xml" ContentType="application/vnd.openxmlformats-officedocument.spreadsheetml.comments+xml"/>
  <Override PartName="/xl/charts/chart1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2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2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2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omments11.xml" ContentType="application/vnd.openxmlformats-officedocument.spreadsheetml.comments+xml"/>
  <Override PartName="/xl/charts/chart3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ml.chartshapes+xml"/>
  <Override PartName="/xl/charts/chart3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4.xml" ContentType="application/vnd.openxmlformats-officedocument.drawingml.chartshapes+xml"/>
  <Override PartName="/xl/charts/chart3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5.xml" ContentType="application/vnd.openxmlformats-officedocument.drawingml.chartshapes+xml"/>
  <Override PartName="/xl/charts/chart3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6.xml" ContentType="application/vnd.openxmlformats-officedocument.drawingml.chartshapes+xml"/>
  <Override PartName="/xl/charts/chart3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7.xml" ContentType="application/vnd.openxmlformats-officedocument.drawingml.chartshapes+xml"/>
  <Override PartName="/xl/charts/chart3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8.xml" ContentType="application/vnd.openxmlformats-officedocument.drawingml.chartshapes+xml"/>
  <Override PartName="/xl/charts/chart3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omments12.xml" ContentType="application/vnd.openxmlformats-officedocument.spreadsheetml.comments+xml"/>
  <Override PartName="/xl/charts/chart4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43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4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45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4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tg-my.sharepoint.com/personal/lungocmyhuyen_duytanrecycling_com/Documents/00. MY HUYEN/3. GIÁ MUA/"/>
    </mc:Choice>
  </mc:AlternateContent>
  <xr:revisionPtr revIDLastSave="33800" documentId="8_{592314FC-18FC-4C3B-A8E9-8CD7E016AB25}" xr6:coauthVersionLast="47" xr6:coauthVersionMax="47" xr10:uidLastSave="{34811709-2F93-47D9-BAE2-2E7FE5BF2A8D}"/>
  <bookViews>
    <workbookView xWindow="-110" yWindow="-110" windowWidth="19420" windowHeight="10300" tabRatio="866" firstSheet="9" activeTab="13" xr2:uid="{B4FC3A26-CD97-4707-877B-33E01484C638}"/>
  </bookViews>
  <sheets>
    <sheet name="Data&gt;&gt;" sheetId="37" r:id="rId1"/>
    <sheet name="01. KE30" sheetId="2" r:id="rId2"/>
    <sheet name="02. Tỷ giá" sheetId="5" r:id="rId3"/>
    <sheet name="Quy đổi" sheetId="11" state="hidden" r:id="rId4"/>
    <sheet name="00. DM" sheetId="21" r:id="rId5"/>
    <sheet name="Báo cáo&gt;&gt;" sheetId="38" r:id="rId6"/>
    <sheet name="03. TH_ XK-B2B" sheetId="6" r:id="rId7"/>
    <sheet name="03.1. Chart XK-B2B" sheetId="41" r:id="rId8"/>
    <sheet name="03.2. data chart 01" sheetId="24" state="hidden" r:id="rId9"/>
    <sheet name="04. BC - Nhóm hàng" sheetId="20" r:id="rId10"/>
    <sheet name="04.1. Chart Nhóm hàng" sheetId="42" r:id="rId11"/>
    <sheet name="04.2 Bubble_Nhóm hàng" sheetId="52" r:id="rId12"/>
    <sheet name="04.3. Chart-Nhóm hàng (copy)" sheetId="43" r:id="rId13"/>
    <sheet name="05. BC BH THEO SKU-USD" sheetId="8" r:id="rId14"/>
    <sheet name="Cơ cấu bán rPET" sheetId="62" r:id="rId15"/>
    <sheet name="05.1. Top 5 SKU" sheetId="22" r:id="rId16"/>
    <sheet name="05.2. Chart _SKU" sheetId="44" r:id="rId17"/>
    <sheet name="05.3. Chart theo SKU (Copy)" sheetId="46" r:id="rId18"/>
    <sheet name="06. BC BH THEO CUSTOMER-USD" sheetId="1" r:id="rId19"/>
    <sheet name="06.1. BC bán lỗ" sheetId="35" r:id="rId20"/>
    <sheet name="06.2. KH chính" sheetId="36" r:id="rId21"/>
    <sheet name="6.3 Chart_KH" sheetId="53" r:id="rId22"/>
    <sheet name="6.4 Chart_KH (Copy)" sheetId="54" r:id="rId23"/>
    <sheet name="07. Chart_QUỐC GIA" sheetId="48" r:id="rId24"/>
    <sheet name="7.1. Chart Bubble_QUỐC GIA" sheetId="51" r:id="rId25"/>
    <sheet name="7.2 Chart_Quốc Gia_Copy" sheetId="49" r:id="rId26"/>
    <sheet name="8.1. Chart_Khu vực" sheetId="58" r:id="rId27"/>
    <sheet name="8.2 Chart Bubble_Khu vực" sheetId="57" r:id="rId28"/>
    <sheet name="8.3 Chart Khu vực_Coppy" sheetId="59" r:id="rId29"/>
    <sheet name="09. Khách hàng mới" sheetId="60" r:id="rId30"/>
    <sheet name="10. GIá bán" sheetId="28" r:id="rId31"/>
  </sheets>
  <definedNames>
    <definedName name="_xlnm._FilterDatabase" localSheetId="4" hidden="1">'00. DM'!$A$3:$E$33</definedName>
    <definedName name="_xlnm._FilterDatabase" localSheetId="1" hidden="1">'01. KE30'!$A$4:$AE$599</definedName>
    <definedName name="_xlnm._FilterDatabase" localSheetId="13" hidden="1">'05. BC BH THEO SKU-USD'!$A$4:$EN$72</definedName>
    <definedName name="_xlnm._FilterDatabase" localSheetId="16" hidden="1">'05.2. Chart _SKU'!$A$4:$AR$16</definedName>
    <definedName name="_xlnm._FilterDatabase" localSheetId="18" hidden="1">'06. BC BH THEO CUSTOMER-USD'!$A$4:$ET$228</definedName>
    <definedName name="_xlnm._FilterDatabase" localSheetId="19" hidden="1">'06.1. BC bán lỗ'!$A$207:$V$231</definedName>
    <definedName name="_xlnm._FilterDatabase" localSheetId="20" hidden="1">'06.2. KH chính'!$A$5:$T$25</definedName>
    <definedName name="_xlnm._FilterDatabase" localSheetId="29" hidden="1">'09. Khách hàng mới'!$A$88:$P$102</definedName>
    <definedName name="_xlnm._FilterDatabase" localSheetId="3" hidden="1">'Quy đổi'!$A$4:$H$80</definedName>
    <definedName name="_Key1" hidden="1">#REF!</definedName>
    <definedName name="_Sort" hidden="1">#REF!</definedName>
    <definedName name="BO00043B7E1E324A3B816B38E3ACAE0671" hidden="1">#REF!</definedName>
    <definedName name="BO001D509B859B4E6D8B03981122F6CF9A" hidden="1">#REF!</definedName>
    <definedName name="BO00469B4A8FC24A3B870A9D7B502678F0" hidden="1">#REF!</definedName>
    <definedName name="BO00511179B958499598FEC41C5AC390A4" hidden="1">#REF!</definedName>
    <definedName name="BO005A577D92864FC8B40998831CDFE7A8" hidden="1">#REF!</definedName>
    <definedName name="BO0072FE9EACD94DEDAA496B23B65E7D1C" hidden="1">#REF!</definedName>
    <definedName name="BO00812175877B44EE88DDEE95E65B5A27" hidden="1">#REF!</definedName>
    <definedName name="BO00A6737BAC0E4619AF80A481C30796C1" hidden="1">#REF!</definedName>
    <definedName name="BO00CD9D7A0C624F4BB2AF0F67622C7F91" hidden="1">#REF!</definedName>
    <definedName name="BO0129892555A4411A8EC61716113918DD" hidden="1">#REF!</definedName>
    <definedName name="BO018E3CCFDE224CDDABC737A9A76A8FDA" hidden="1">#REF!</definedName>
    <definedName name="BO020F2E97F5CF403D8F93927170418F64" hidden="1">#REF!</definedName>
    <definedName name="BO02392633CA99433B88D46F2EF39F428A" hidden="1">#REF!</definedName>
    <definedName name="BO02516734C6DF4EF2B0A72A47B8AABEFB" hidden="1">#REF!</definedName>
    <definedName name="BO028E39D140FF49049FAF8BBBD288FBDC" hidden="1">#REF!</definedName>
    <definedName name="BO0298FD225F294931811B0F63E6435B0F" hidden="1">#REF!</definedName>
    <definedName name="BO02A5060651364F86A67E16B0D01E5044" hidden="1">#REF!</definedName>
    <definedName name="BO02A8FD3A8942468DBAD7F1EDD7F87346" hidden="1">#REF!</definedName>
    <definedName name="BO02B4A629B0A64CA08F02737274717F08" hidden="1">#REF!</definedName>
    <definedName name="BO0316956B2BAC45A481DC8002316172FC" hidden="1">#REF!</definedName>
    <definedName name="BO031CB95051AA419CB611A1C0F7545ED6" hidden="1">#REF!</definedName>
    <definedName name="BO0329DF376872482BAF40387242076A6D" hidden="1">#REF!</definedName>
    <definedName name="BO034C1D37DF534343A97C0F61C184324C" hidden="1">#REF!</definedName>
    <definedName name="BO036A36663A234B36B1D4EE07A3B64966" hidden="1">#REF!</definedName>
    <definedName name="BO03B0651779BF413996A5DE334F47529E" hidden="1">#REF!</definedName>
    <definedName name="BO03D993E14C9345D9A09E5317112E649E" hidden="1">#REF!</definedName>
    <definedName name="BO03FF099F75314586A6835C388F1BF0E1" hidden="1">#REF!</definedName>
    <definedName name="BO0417ED1D7CBF4ED2B28EA719E997CA52" hidden="1">#REF!</definedName>
    <definedName name="BO0441DA88C7F74AE9BFADC1941F5CF686" hidden="1">#REF!</definedName>
    <definedName name="BO044F0637C2AD47F09DFC37A56C115C0E" hidden="1">#REF!</definedName>
    <definedName name="BO048A491E9D8F402587ED350C273C7635" hidden="1">#REF!</definedName>
    <definedName name="BO049368304C694928BF12E8C39A084E34" hidden="1">#REF!</definedName>
    <definedName name="BO049DD26879614F4D8D1A8B4DE85A5A00" hidden="1">#REF!</definedName>
    <definedName name="BO04B25781FA1341529AF5AB3CBE3AC2CB" hidden="1">#REF!</definedName>
    <definedName name="BO04BF788D29F64A1989788FA25E12E023" hidden="1">#REF!</definedName>
    <definedName name="BO051C1091726B452B8D655520FF5EE783" hidden="1">#REF!</definedName>
    <definedName name="BO053101CB6B5347D1A1EBDB90D6FB228A" hidden="1">#REF!</definedName>
    <definedName name="BO05419C07D7B6466394350974D9D4F877" hidden="1">#REF!</definedName>
    <definedName name="BO054ED8F6C4F44487ADB29B59982252CC" hidden="1">#REF!</definedName>
    <definedName name="BO055E5CFDB95646998EC626861A0C2B73" hidden="1">#REF!</definedName>
    <definedName name="BO05825FB84EB24E3B83FF5DCC93F10D81" hidden="1">#REF!</definedName>
    <definedName name="BO05A3F61282EC43B3B97A691A40F7C450" hidden="1">#REF!</definedName>
    <definedName name="BO05CDD744762749858557A0B082E5E0CC" hidden="1">#REF!</definedName>
    <definedName name="BO060F8C52B3094EAC877EBE571B0DF8B1" hidden="1">#REF!</definedName>
    <definedName name="BO0628130A34F34472B8E9063AF8F9AFC3" hidden="1">#REF!</definedName>
    <definedName name="BO06444E01A6B34207B4CD327BA584CFFF" hidden="1">#REF!</definedName>
    <definedName name="BO065127342F5E49D488919F425C845667" hidden="1">#REF!</definedName>
    <definedName name="BO0661E126B4BF4E8EACCA3FBD6C2C87CF" hidden="1">#REF!</definedName>
    <definedName name="BO06760500AD0C4142A407DB3927CE2BAE" hidden="1">#REF!</definedName>
    <definedName name="BO06857A035FAF4289957CDE75EB967671" hidden="1">#REF!</definedName>
    <definedName name="BO06A1D57108984BD8BFF93A7198192A58" hidden="1">#REF!</definedName>
    <definedName name="BO06B55AE9F1974782A547E2592A91DC44" hidden="1">#REF!</definedName>
    <definedName name="BO06CDADE6119F4877A0512DB59C5C94BF" hidden="1">#REF!</definedName>
    <definedName name="BO06E32C35EADD426283277A6F4767C6B0" hidden="1">#REF!</definedName>
    <definedName name="BO076D271E53024E82B0564BC6E6B8C52B" hidden="1">#REF!</definedName>
    <definedName name="BO07720AA381684C1982634DF097D5658D" hidden="1">#REF!</definedName>
    <definedName name="BO07B5E13CAA4346C2B80A18CCB51064C0" hidden="1">#REF!</definedName>
    <definedName name="BO07BC23E784F941FAADD17157A1CB33AD" hidden="1">#REF!</definedName>
    <definedName name="BO07BEF03937C14F1F82EB8B092E03BDC0" hidden="1">#REF!</definedName>
    <definedName name="BO07CF77C24A4B44DDB08669A0C267D9E2" hidden="1">#REF!</definedName>
    <definedName name="BO080FC624DC7D4EC58A73B6445EFE83D5" hidden="1">#REF!</definedName>
    <definedName name="BO0813779BF7A441E4B829B7EE15E1F5B1" hidden="1">#REF!</definedName>
    <definedName name="BO082937E7E8384EE39F50885F11A99C90" hidden="1">#REF!</definedName>
    <definedName name="BO0880E86E8DAA4FBE98CCD8F4F1DAC7F6" hidden="1">#REF!</definedName>
    <definedName name="BO08C624A094B64DA8B640575212B5C126" hidden="1">#REF!</definedName>
    <definedName name="BO08D9E70F5D7D4899B7F098067EC1CF0D" hidden="1">#REF!</definedName>
    <definedName name="BO08DB01CDE2CD4C38AEBBE72539089923" hidden="1">#REF!</definedName>
    <definedName name="BO08E8A4D0D99A45F4AB50AB8CCC759E80" hidden="1">#REF!</definedName>
    <definedName name="BO08EF964A3F544A6A9831BD58A1BDB761" hidden="1">#REF!</definedName>
    <definedName name="BO096A288CD2B241D3B6E5D99F7CC46080" hidden="1">#REF!</definedName>
    <definedName name="BO097FA591C7F24B78A7B81D10C92CD657" hidden="1">#REF!</definedName>
    <definedName name="BO09858E7F51104BCE9A132E93A02FD9A5" hidden="1">#REF!</definedName>
    <definedName name="BO09B1C52A1D8443609A270B3D7E126A13" hidden="1">#REF!</definedName>
    <definedName name="BO09C22B1D529145609DEC624CE7B07293" hidden="1">#REF!</definedName>
    <definedName name="BO09FB4DFBEE664BB5A9A0F935EDAE0910" hidden="1">#REF!</definedName>
    <definedName name="BO0A23B7D284D446FE9C1DD53288BD27DE" hidden="1">#REF!</definedName>
    <definedName name="BO0A692014A9F34BC5A0E9C318C9192144" hidden="1">#REF!</definedName>
    <definedName name="BO0A748E0D694E4A95BE1F938C385817CA" hidden="1">#REF!</definedName>
    <definedName name="BO0A7575E7F6E74826988292EB5B4093AE" hidden="1">#REF!</definedName>
    <definedName name="BO0A920544EB81456B85FAC9B67A3FF171" hidden="1">#REF!</definedName>
    <definedName name="BO0AA2FDCFA64447DF8256CCDAAF790D83" hidden="1">#REF!</definedName>
    <definedName name="BO0AB2BAACBF594870B22CA7819C14CABA" hidden="1">#REF!</definedName>
    <definedName name="BO0AB3771B806B45068A9904218B7C5228" hidden="1">#REF!</definedName>
    <definedName name="BO0ADF9A38BBB74FA484953A9E1DBDB5E6" hidden="1">#REF!</definedName>
    <definedName name="BO0AE560EC229F4837AAC8130E0FC6643F" hidden="1">#REF!</definedName>
    <definedName name="BO0B15AAC55B6F4E83950274F89A679C15" hidden="1">#REF!</definedName>
    <definedName name="BO0B4162F0BA614929BBA6B308050817A0" hidden="1">#REF!</definedName>
    <definedName name="BO0B417597CBF74CC483AEBD408A5D6361" hidden="1">#REF!</definedName>
    <definedName name="BO0BBF1A7A0878418D95B9CAE48927AE44" hidden="1">#REF!</definedName>
    <definedName name="BO0BD0AEE8541F48F3B1E2E1BA54D1700B" hidden="1">#REF!</definedName>
    <definedName name="BO0BE3A585969F49B1B1C585B4CB0CDC8D" hidden="1">#REF!</definedName>
    <definedName name="BO0BE95B3C4C274F49B67AA10EF360BE54" hidden="1">#REF!</definedName>
    <definedName name="BO0C00665F68114FC08E6F90C337B79243" hidden="1">#REF!</definedName>
    <definedName name="BO0C0A2392D627480DAAA517D2036A1F89" hidden="1">#REF!</definedName>
    <definedName name="BO0C17E817C2D144F2834C6BD18FADD8FA" hidden="1">#REF!</definedName>
    <definedName name="BO0C38F2CF945940E5A5FE470897C4E1BF" hidden="1">#REF!</definedName>
    <definedName name="BO0C5AC168B74E4DC5B44FC5C62A5781B6" hidden="1">#REF!</definedName>
    <definedName name="BO0C6E3F00004541F98642D415C462327D" hidden="1">#REF!</definedName>
    <definedName name="BO0C8471AFC6804FFFA3591B15EACBD181" hidden="1">#REF!</definedName>
    <definedName name="BO0C8517565CE449748D03306C29DCE056" hidden="1">#REF!</definedName>
    <definedName name="BO0CD122B513B74229B1D51F8E728EC17C" hidden="1">#REF!</definedName>
    <definedName name="BO0D2433943B3E48368AB07223E9910CAE" hidden="1">#REF!</definedName>
    <definedName name="BO0D433F8DB1E648C5BE62989780E9E6E7" hidden="1">#REF!</definedName>
    <definedName name="BO0D8012E44B8345678130C08C96324DA3" hidden="1">#REF!</definedName>
    <definedName name="BO0D8BA2F600A945BF86F3792D70670A12" hidden="1">#REF!</definedName>
    <definedName name="BO0D95BE2323944543B198A1E5AD9E727B" hidden="1">#REF!</definedName>
    <definedName name="BO0DCC56FC632247BBB9075437D1DA9F49" hidden="1">#REF!</definedName>
    <definedName name="BO0DE5B032BD554D358472765883129529" hidden="1">#REF!</definedName>
    <definedName name="BO0E0DCCA8662A4B7D9624048C956E2349" hidden="1">#REF!</definedName>
    <definedName name="BO0E3744B5B95B4593842CB858CD9C693E" hidden="1">#REF!</definedName>
    <definedName name="BO0E92C76E22454378A2ADA4C84B066AE2" hidden="1">#REF!</definedName>
    <definedName name="BO0ED883B059E145E7AD618EAA4D4C0021" hidden="1">#REF!</definedName>
    <definedName name="BO0EFE864F0335421B9CA21E51583EA657" hidden="1">#REF!</definedName>
    <definedName name="BO0F2F1527902543118B3B0891D0B4342A" hidden="1">#REF!</definedName>
    <definedName name="BO0F4D33F674534ACBAEA5A52A9D5B3732" hidden="1">#REF!</definedName>
    <definedName name="BO0F5F084DF9434109A1D0148673E339CE" hidden="1">#REF!</definedName>
    <definedName name="BO0F607125CD504928928E6D4416EEEFC4" hidden="1">#REF!</definedName>
    <definedName name="BO0F8ED4536B0445B4946298F4B61EE3C4" hidden="1">#REF!</definedName>
    <definedName name="BO0FAA206141644A4A9CC2F711A9169654" hidden="1">#REF!</definedName>
    <definedName name="BO0FE7F6805CD74E4EA2B3D39BD3AF18E3" hidden="1">#REF!</definedName>
    <definedName name="BO0FF82BB103FB4B9A882AD5330EAE4FC6" hidden="1">#REF!</definedName>
    <definedName name="BO101EDBA5B09D4FBEA5C83431A243009A" hidden="1">#REF!</definedName>
    <definedName name="BO1037E116A07A44E8BF4CCE2C73F3599D" hidden="1">#REF!</definedName>
    <definedName name="BO103B44D247244130906D01A5B85452F0" hidden="1">#REF!</definedName>
    <definedName name="BO104E67F80A4845CEBB2B25939F001D94" hidden="1">#REF!</definedName>
    <definedName name="BO10CFBC7FAF1B442DBB6CD191B6E80A4F" hidden="1">#REF!</definedName>
    <definedName name="BO10F37521359A421C8066E3BC8A799CCA" hidden="1">#REF!</definedName>
    <definedName name="BO10FD9B82E935477A99C13BA68F0F0892" hidden="1">#REF!</definedName>
    <definedName name="BO11157839ABA24ED0B1CFAA63ED39C8AE" hidden="1">#REF!</definedName>
    <definedName name="BO115FA841010345EA87622617C00ED59F" hidden="1">#REF!</definedName>
    <definedName name="BO115FD69D0BB94E1398EBFC921472CD65" hidden="1">#REF!</definedName>
    <definedName name="BO1177CD42210745D08166DB6025B4FF48" hidden="1">#REF!</definedName>
    <definedName name="BO1195F61C7239451DBF66E2469B3C5F36" hidden="1">#REF!</definedName>
    <definedName name="BO11D45D2A380E4753A698027552BE513C" hidden="1">#REF!</definedName>
    <definedName name="BO11EAB705D2034743837BC0B8152BBB41" hidden="1">#REF!</definedName>
    <definedName name="BO121210BE9D85473E8E940B3B7BB1F400" hidden="1">#REF!</definedName>
    <definedName name="BO1247719AFAA8494CB660516F8BCEC32F" hidden="1">#REF!</definedName>
    <definedName name="BO127F6BE867F948EF815573ED75221EA1" hidden="1">#REF!</definedName>
    <definedName name="BO128DA76DA2644090B145C6D45306439F" hidden="1">#REF!</definedName>
    <definedName name="BO12A467DD3B954167AD2B4FF98B2FCDC7" hidden="1">#REF!</definedName>
    <definedName name="BO12C40EA206EF41DEA0E055BF665F9DCC" hidden="1">#REF!</definedName>
    <definedName name="BO12DC5938A45A4514A9A3F1A5168F3DED" hidden="1">#REF!</definedName>
    <definedName name="BO12EA6B9B0705428C95E35AC2181BA78D" hidden="1">#REF!</definedName>
    <definedName name="BO12F9F287D7A04850829E8211565B6932" hidden="1">#REF!</definedName>
    <definedName name="BO1327AE4521634660B2EA04CBE197447B" hidden="1">#REF!</definedName>
    <definedName name="BO132943BF05E04514A93936E60D34EDC6" hidden="1">#REF!</definedName>
    <definedName name="BO13509C2E07C648D7ACC69CCC771BF5CF" hidden="1">#REF!</definedName>
    <definedName name="BO13599CB01A8D47B4B378E70E8D7C41BC" hidden="1">#REF!</definedName>
    <definedName name="BO13601DDCE16947E4BBE8CFA87C2969F9" hidden="1">#REF!</definedName>
    <definedName name="BO1378F1D0A4EC4F5C83A1A4FDFA8578E9" hidden="1">#REF!</definedName>
    <definedName name="BO1429D896D9EB44B1BB7DB6A2DCCFF7AF" hidden="1">#REF!</definedName>
    <definedName name="BO1478593DE5BF432496448798888CD526" hidden="1">#REF!</definedName>
    <definedName name="BO147AF726DF344222A289DB3D24063E1C" hidden="1">#REF!</definedName>
    <definedName name="BO1488627F89A5401EA8339050A5CD2FC3" hidden="1">#REF!</definedName>
    <definedName name="BO14C3044CB93D4F5C9AED3ABC0CD1704D" hidden="1">#REF!</definedName>
    <definedName name="BO14DB5AB40E69462D90B5A15B8FE2BA3C" hidden="1">#REF!</definedName>
    <definedName name="BO14DD6ABB03004D7CACDDFD4CF6783330" hidden="1">#REF!</definedName>
    <definedName name="BO150F2145D9F048989F095910F6DB863A" hidden="1">#REF!</definedName>
    <definedName name="BO152D3E36CF9A407C85522B9E34DE1E18" hidden="1">#REF!</definedName>
    <definedName name="BO158544AA7C2642BE9E99B8FEC83AE723" hidden="1">#REF!</definedName>
    <definedName name="BO15C144F4B3E0469891DC697BD9C1532A" hidden="1">#REF!</definedName>
    <definedName name="BO15EDE4B451AD44888135FEEE3E0298D5" hidden="1">#REF!</definedName>
    <definedName name="BO15F32B9C3C6B413C8055C2621DDF9142" hidden="1">#REF!</definedName>
    <definedName name="BO1623BAFCAF594E84A7809584A5470354" hidden="1">#REF!</definedName>
    <definedName name="BO16BAEA0CA1FE4C08A4AB96BAE8EA3C4D" hidden="1">#REF!</definedName>
    <definedName name="BO16BEC480B13743C7B4D19D3239087E0A" hidden="1">#REF!</definedName>
    <definedName name="BO171128F9C4FC4C4891D9BA50B799FCE6" hidden="1">#REF!</definedName>
    <definedName name="BO174E8E33D1F3487195DAB1253FBC4A1A" hidden="1">#REF!</definedName>
    <definedName name="BO17BF6E1ED3D74D5C891613E72B07CFBB" hidden="1">#REF!</definedName>
    <definedName name="BO17C622E24BA8475B9EEF613B3144940E" hidden="1">#REF!</definedName>
    <definedName name="BO17EDADCCB1F2469B880B4636F8708393" hidden="1">#REF!</definedName>
    <definedName name="BO17EE338A98D9485985C87A805C6D247A" hidden="1">#REF!</definedName>
    <definedName name="BO180D5AC456C54B1AA485F04675F631C7" hidden="1">#REF!</definedName>
    <definedName name="BO18286B73E6C94321BA98CC7D3C230477" hidden="1">#REF!</definedName>
    <definedName name="BO1841E0F7D2C548279375AB6B11931155" hidden="1">#REF!</definedName>
    <definedName name="BO1860AE00FE214A399CE58B8709759EC4" hidden="1">#REF!</definedName>
    <definedName name="BO186B93828BB04A65A458AA35FB43BF82" hidden="1">#REF!</definedName>
    <definedName name="BO189425889FCB441882A0ACDE25BC335F" hidden="1">#REF!</definedName>
    <definedName name="BO18B8EA73DA0243A7A08A02D2737471FB" hidden="1">#REF!</definedName>
    <definedName name="BO18D6B184C7EB4992AA27ABFE268A664B" hidden="1">#REF!</definedName>
    <definedName name="BO18FD27173E114434BAF0E07DADAC899D" hidden="1">#REF!</definedName>
    <definedName name="BO18FF1F4F75384C64A29B08F84D535D5D" hidden="1">#REF!</definedName>
    <definedName name="BO1901F05E215441F4B85A362B44AB1606" hidden="1">#REF!</definedName>
    <definedName name="BO19031D55D27F49D9A2A13E00425DECD2" hidden="1">#REF!</definedName>
    <definedName name="BO19032ED5DCCA4E539567A43957CF8F6D" hidden="1">#REF!</definedName>
    <definedName name="BO190E33B43B6B4814BED567F6F94D0F8A" hidden="1">#REF!</definedName>
    <definedName name="BO191EB76E52D341518882C76B1B666C25" hidden="1">#REF!</definedName>
    <definedName name="BO19271774A13B4E309F1D197D8074CC60" hidden="1">#REF!</definedName>
    <definedName name="BO1948DAE2ECF640E1AB72B496B8CC297B" hidden="1">#REF!</definedName>
    <definedName name="BO19541F74D54F4C42844BF088836BCFF7" hidden="1">#REF!</definedName>
    <definedName name="BO1961457D86D84BBA95FA88A8DF50B156" hidden="1">#REF!</definedName>
    <definedName name="BO196AD46038C94804B4B05CA9A5E476C0" hidden="1">#REF!</definedName>
    <definedName name="BO197553773BDA4D21AFEC976B776A0563" hidden="1">#REF!</definedName>
    <definedName name="BO197AE668082B4509A27DC19CDF4FE657" hidden="1">#REF!</definedName>
    <definedName name="BO198A513E10804472981802D3B027DECD" hidden="1">#REF!</definedName>
    <definedName name="BO1996EE9E65EB44D2A94B65EA7FA4719A" hidden="1">#REF!</definedName>
    <definedName name="BO19AC5E7FAAA44074AAE72C6AE25E9BCD" hidden="1">#REF!</definedName>
    <definedName name="BO1A2406B3F537422AAD62498E0B9D9268" hidden="1">#REF!</definedName>
    <definedName name="BO1A6C5B1CAE1345999D9DFDEED0721750" hidden="1">#REF!</definedName>
    <definedName name="BO1ADA73E3E9D246E7A2989225A110C045" hidden="1">#REF!</definedName>
    <definedName name="BO1AE9E3C4A71942E4916D9548584CBF6D" hidden="1">#REF!</definedName>
    <definedName name="BO1AEEEEBA4DB94394924EA5BB23DB97CD" hidden="1">#REF!</definedName>
    <definedName name="BO1B0C1F3412774AAD82B1A0048F43394C" hidden="1">#REF!</definedName>
    <definedName name="BO1B6A254ADDFE4E2BB4495FF2B8DBC33D" hidden="1">#REF!</definedName>
    <definedName name="BO1B6D4533806140F4BC15106CD0280204" hidden="1">#REF!</definedName>
    <definedName name="BO1B85A883F95C49CEB98C6DF26555C60B" hidden="1">#REF!</definedName>
    <definedName name="BO1BA0F85FEE9946789FB634B8E9D9DBBB" hidden="1">#REF!</definedName>
    <definedName name="BO1BD01FF0E4524022A25C824C6E59111D" hidden="1">#REF!</definedName>
    <definedName name="BO1BD7F6ACD4384F4B9F3447154798A6E4" hidden="1">#REF!</definedName>
    <definedName name="BO1BF9E66E763B4EB98D25AC0291A05922" hidden="1">#REF!</definedName>
    <definedName name="BO1BFBB0B2A4FD488786350A7D065100AB" hidden="1">#REF!</definedName>
    <definedName name="BO1C212F7E93FD425EB8C7E403A359ADC4" hidden="1">#REF!</definedName>
    <definedName name="BO1C221C7E133F46F290B6C8355CE46EEB" hidden="1">#REF!</definedName>
    <definedName name="BO1C36BC29610C42C4B8952DC4538EE635" hidden="1">#REF!</definedName>
    <definedName name="BO1C5C8D2C30914762A13EA7F12F743B68" hidden="1">#REF!</definedName>
    <definedName name="BO1C971F33474941669EB07DD6AEBF0DED" hidden="1">#REF!</definedName>
    <definedName name="BO1C9C013EB3684B2482400A3F3678BCBC" hidden="1">#REF!</definedName>
    <definedName name="BO1CDFABE9376F4369B49FB2A91466507B" hidden="1">#REF!</definedName>
    <definedName name="BO1CE38C2DEBA34856B512C24EE3ADC823" hidden="1">#REF!</definedName>
    <definedName name="BO1CF581918036492BA441CBB8D16F1A47" hidden="1">#REF!</definedName>
    <definedName name="BO1D05B246E26B4B8C8A2B36D4400529E2" hidden="1">#REF!</definedName>
    <definedName name="BO1D4294C1EA4C4BAEBCA94586D74D1DC5" hidden="1">#REF!</definedName>
    <definedName name="BO1D4A365C386E4B4EA630D6FCE844C385" hidden="1">#REF!</definedName>
    <definedName name="BO1D951DB00F204B15B36EDAB20E703593" hidden="1">#REF!</definedName>
    <definedName name="BO1DB8A055D05744F090E605B1BB368519" hidden="1">#REF!</definedName>
    <definedName name="BO1DC1363A774A4136B6D67FACEDEFA16E" hidden="1">#REF!</definedName>
    <definedName name="BO1DD62ED34D4A4EB2A2EF53C6A29AB304" hidden="1">#REF!</definedName>
    <definedName name="BO1DE0C534720C457AADD6950A7451EF52" hidden="1">#REF!</definedName>
    <definedName name="BO1E2194D8CDFB4D9BA7F5D75EC1B7BF1B" hidden="1">#REF!</definedName>
    <definedName name="BO1E280BFD04604DE0915A57BBF4DA734B" hidden="1">#REF!</definedName>
    <definedName name="BO1E66013F35AB46B4BB7BA3843995F77B" hidden="1">#REF!</definedName>
    <definedName name="BO1E8D0549E90A410B9A6343B381B9A6B7" hidden="1">#REF!</definedName>
    <definedName name="BO1EEB43E5768B490D93158CAC36C32735" hidden="1">#REF!</definedName>
    <definedName name="BO1F1F0AC333B54AB8AA0A2B6A21DD90F9" hidden="1">#REF!</definedName>
    <definedName name="BO1F2247B4D19F44989217F8B7B69B91A2" hidden="1">#REF!</definedName>
    <definedName name="BO1F2F2D39B9134E14BF6909B867BD7AF6" hidden="1">#REF!</definedName>
    <definedName name="BO1F82DEF7BC6F4ABA8238DDF74DBBDCFA" hidden="1">#REF!</definedName>
    <definedName name="BO1F89B89382C44E3E9EA1286F9B7631AA" hidden="1">#REF!</definedName>
    <definedName name="BO1F8F14A650D04420837B2B50639E20F4" hidden="1">#REF!</definedName>
    <definedName name="BO1FC573480CA240178FF48E2670B7A4A0" hidden="1">#REF!</definedName>
    <definedName name="BO2000FE749D724E9FA707A10923AA63BA" hidden="1">#REF!</definedName>
    <definedName name="BO20321A83463342B6BE9EED47341BE910" hidden="1">#REF!</definedName>
    <definedName name="BO2034D10499B544CB9B0F74995F6888FC" hidden="1">#REF!</definedName>
    <definedName name="BO203FF1C3A1E142D1B63E1B44172413DA" hidden="1">#REF!</definedName>
    <definedName name="BO204642FE513F4864BD957482DEE68B8F" hidden="1">#REF!</definedName>
    <definedName name="BO204FF4941138448AB83E89CC50327F00" hidden="1">#REF!</definedName>
    <definedName name="BO206329EB267149C4A8AA8B5A10CA0B23" hidden="1">#REF!</definedName>
    <definedName name="BO20B1EF585C2845948F50CE07BBB23873" hidden="1">#REF!</definedName>
    <definedName name="BO20D1E453DC204AA7855E147F78DD6AAD" hidden="1">#REF!</definedName>
    <definedName name="BO212DD771873C47AAA57B60EB6B9F57BD" hidden="1">#REF!</definedName>
    <definedName name="BO214488B37F2C49C698D6B5AB57289540" hidden="1">#REF!</definedName>
    <definedName name="BO214D132833814397B2BD1FE796DC5190" hidden="1">#REF!</definedName>
    <definedName name="BO215053EE872749AEBA9B00A1BB1FFEDA" hidden="1">#REF!</definedName>
    <definedName name="BO21545020FCFF4D56B98295C96A8B077E" hidden="1">#REF!</definedName>
    <definedName name="BO217988AF085C4BACAAF426DE9B872531" hidden="1">#REF!</definedName>
    <definedName name="BO2189DB829D7F4206905850992E33E0A4" hidden="1">#REF!</definedName>
    <definedName name="BO218F81DAEFAD49AF9B3A72E321755754" hidden="1">#REF!</definedName>
    <definedName name="BO21B7D6B787174BE2B8F6B01A9D6AA5FE" hidden="1">#REF!</definedName>
    <definedName name="BO21C4FB5FE3604329AEA394B58537129B" hidden="1">#REF!</definedName>
    <definedName name="BO21D0E81725D8466AA71608F53692D790" hidden="1">#REF!</definedName>
    <definedName name="BO21D7421808CD43AEB5C11E05C94292F9" hidden="1">#REF!</definedName>
    <definedName name="BO2205B08A30A4409FA799FD8E9BEFE75F" hidden="1">#REF!</definedName>
    <definedName name="BO220D7DC8FBCC46DB8AE26ED60EB83250" hidden="1">#REF!</definedName>
    <definedName name="BO22610F6E625A439A8F25394A176010A4" hidden="1">#REF!</definedName>
    <definedName name="BO22888E30CEE943998FCB14107ADFE414" hidden="1">#REF!</definedName>
    <definedName name="BO228F47AF9DF4454598ED125BC46429B3" hidden="1">#REF!</definedName>
    <definedName name="BO2293E5DE2C1E4AF389A9F0A14D86F5AF" hidden="1">#REF!</definedName>
    <definedName name="BO22A1A8DA83ED4E61AB9D4458E8BFBF5E" hidden="1">#REF!</definedName>
    <definedName name="BO22D3C349283B473E826A3190CEF9563F" hidden="1">#REF!</definedName>
    <definedName name="BO22DAEE4154BE4F90AEB9FD073AD52242" hidden="1">#REF!</definedName>
    <definedName name="BO23012F6BDC194152B0763334AA8DE09A" hidden="1">#REF!</definedName>
    <definedName name="BO23209D5E42F647BC859A30AF7205B1EB" hidden="1">#REF!</definedName>
    <definedName name="BO232A1F5D59654CA6A0C19E0D0B1835E8" hidden="1">#REF!</definedName>
    <definedName name="BO238D5E71A2E1462CB8F96F7465F66260" hidden="1">#REF!</definedName>
    <definedName name="BO239512C7B5004432BAAF1A7F1FC243C5" hidden="1">#REF!</definedName>
    <definedName name="BO23AD48D3F0FF4E00B57ABF30917F461A" hidden="1">#REF!</definedName>
    <definedName name="BO23C11F2418AF424A9FB7F13AE8573CB8" hidden="1">#REF!</definedName>
    <definedName name="BO23C6AAE56A2449618B0EB245E68264AA" hidden="1">#REF!</definedName>
    <definedName name="BO245314F5F48D49ECB9E2294C5FD21EF4" hidden="1">#REF!</definedName>
    <definedName name="BO246E872D11F54CBDA9CAAE7F3CEE8A3B" hidden="1">#REF!</definedName>
    <definedName name="BO248CF0663C3845EA91C27C65CD94A27B" hidden="1">#REF!</definedName>
    <definedName name="BO248FCFD187D14607903BF0499FC1EB08" hidden="1">#REF!</definedName>
    <definedName name="BO2491BAC9A38342598DD19C9D4DB0A34F" hidden="1">#REF!</definedName>
    <definedName name="BO2495A54824434CB189951F5549DEB370" hidden="1">#REF!</definedName>
    <definedName name="BO24E609E1B65A4E6D90B359EFB6863E2A" hidden="1">#REF!</definedName>
    <definedName name="BO2519A3AFD9904F0EA701766B92D044A5" hidden="1">#REF!</definedName>
    <definedName name="BO251EB7BFC4E14C0681BE2DCEEAD845E7" hidden="1">#REF!</definedName>
    <definedName name="BO252C3CBD29A243C0AEDAC1F87AD31F53" hidden="1">#REF!</definedName>
    <definedName name="BO253ACAECC53145009F3843BD2D2D919F" hidden="1">#REF!</definedName>
    <definedName name="BO25534CD9966549BBBEF5257F84D5DBE7" hidden="1">#REF!</definedName>
    <definedName name="BO258A9ECB60464A8388B0908E365683DA" hidden="1">#REF!</definedName>
    <definedName name="BO25972B76844C4D6090FBC7E7F45106D6" hidden="1">#REF!</definedName>
    <definedName name="BO25CC43297124428EB72F08A9A2E14CDC" hidden="1">#REF!</definedName>
    <definedName name="BO25CE6931E52947EC9FF070514959E42A" hidden="1">#REF!</definedName>
    <definedName name="BO25E9553CF8974A33892EB1745060FD61" hidden="1">#REF!</definedName>
    <definedName name="BO2605237EAE654A23B72B55DAF523B6A6" hidden="1">#REF!</definedName>
    <definedName name="BO260CD5A6C36945F0889CD82152A4F67D" hidden="1">#REF!</definedName>
    <definedName name="BO2621C14BA85E4F63813A3AA292ECE0ED" hidden="1">#REF!</definedName>
    <definedName name="BO263E075F494444DD84B1B7BE398676C9" hidden="1">#REF!</definedName>
    <definedName name="BO263FD10022B946D7941BB791BCB0FFAF" hidden="1">#REF!</definedName>
    <definedName name="BO2684A03C65AE4FAC9C61F096104EFFBA" hidden="1">#REF!</definedName>
    <definedName name="BO26B4CA84091B46B0AA4A7DC046DB89D9" hidden="1">#REF!</definedName>
    <definedName name="BO26C7B304F6FA4B03AB8CF8A8BA949F2F" hidden="1">#REF!</definedName>
    <definedName name="BO26E084514C0D49058DBC96E0B99F9586" hidden="1">#REF!</definedName>
    <definedName name="BO270A5D31B3524AE3B86DF95ACF263DA5" hidden="1">#REF!</definedName>
    <definedName name="BO2712061D2CEE4515A14E98D80E1B0F54" hidden="1">#REF!</definedName>
    <definedName name="BO2713576DE8C640EB8F34FBFBC18DC2CF" hidden="1">#REF!</definedName>
    <definedName name="BO2736BE2C649942CAAD9C76A4AF14A7B5" hidden="1">#REF!</definedName>
    <definedName name="BO2746CE4B614C491EB43F40E15D1840DF" hidden="1">#REF!</definedName>
    <definedName name="BO275E25DD631F40F8B24EDCD86DD7FEC2" hidden="1">#REF!</definedName>
    <definedName name="BO275E4ECEE6494ABA8F39B3E706DB36F1" hidden="1">#REF!</definedName>
    <definedName name="BO276E5B75752E42ABA7FFE433FA7483DB" hidden="1">#REF!</definedName>
    <definedName name="BO27816D7F127044918D1598D188090C9A" hidden="1">#REF!</definedName>
    <definedName name="BO27AFB7AC1D91473EA7307E41C74A7165" hidden="1">#REF!</definedName>
    <definedName name="BO27D814C769454C58B42460776C0DC153" hidden="1">#REF!</definedName>
    <definedName name="BO27FD3284091B4111A920005D69671CC4" hidden="1">#REF!</definedName>
    <definedName name="BO28058A6D0D9E43548DE48D1A42EF83A4" hidden="1">#REF!</definedName>
    <definedName name="BO2820D853115942E2941DF3C43B838765" hidden="1">#REF!</definedName>
    <definedName name="BO2822CE5A46F546959CCC53503C2BEEA3" hidden="1">#REF!</definedName>
    <definedName name="BO287E7F9F8DFC4F1B9069C51543542F7E" hidden="1">#REF!</definedName>
    <definedName name="BO289041DB794344C0BEE419C711E28AD3" hidden="1">#REF!</definedName>
    <definedName name="BO28ADD8D60FE240D793C9FCF23B3D9EE7" hidden="1">#REF!</definedName>
    <definedName name="BO28F284D5E1154013B0BD0FEA710FFC22" hidden="1">#REF!</definedName>
    <definedName name="BO29059DBAFB024C1B8E44428FD7EDBCF7" hidden="1">#REF!</definedName>
    <definedName name="BO292558CF2526419C8B5C330E0685DA10" hidden="1">#REF!</definedName>
    <definedName name="BO2950441D89D4497BB606AF9DBCCFB690" hidden="1">#REF!</definedName>
    <definedName name="BO29999A213FBF4583A9F7E72E99075BD1" hidden="1">#REF!</definedName>
    <definedName name="BO29CFEBF42BA04B0F9EF2B73368DD7D36" hidden="1">#REF!</definedName>
    <definedName name="BO29D9B6BABE6F40EDA1A64BAFBAAD0029" hidden="1">#REF!</definedName>
    <definedName name="BO29DF8390BF4D4D4C9C109B7FB0800587" hidden="1">#REF!</definedName>
    <definedName name="BO29F37DD04DF84D13A76F83F278993FF5" hidden="1">#REF!</definedName>
    <definedName name="BO2A68C8385C834137AB6A597C4C15F834" hidden="1">#REF!</definedName>
    <definedName name="BO2ACEC73771DA4CA29214F27324CDF669" hidden="1">#REF!</definedName>
    <definedName name="BO2B35EC858E5E4498AB5E85A1F36C0B55" hidden="1">#REF!</definedName>
    <definedName name="BO2B3C5F919A5A4B3E98665B4E17AFD301" hidden="1">#REF!</definedName>
    <definedName name="BO2B4252BB76D04F66A45B9EE60EBB29B5" hidden="1">#REF!</definedName>
    <definedName name="BO2B6AAA2881A84B7C9BDD628A5D6EEC2D" hidden="1">#REF!</definedName>
    <definedName name="BO2B91C0FF7A1E481CAFD2A997AED66625" hidden="1">#REF!</definedName>
    <definedName name="BO2B9FFCE021A0461C872DCA59C3D3166F" hidden="1">#REF!</definedName>
    <definedName name="BO2BFF76DEECCD4DF484E8CCDE5D6B2362" hidden="1">#REF!</definedName>
    <definedName name="BO2BFFFF55E91E412EAA08B005F0A65541" hidden="1">#REF!</definedName>
    <definedName name="BO2C367D597C6245EBA841FD9D9C4237E2" hidden="1">#REF!</definedName>
    <definedName name="BO2C783B4F85E24FB88F7951E6B8A86AB0" hidden="1">#REF!</definedName>
    <definedName name="BO2C889DD7D9D4453389EF2CC7C7400910" hidden="1">#REF!</definedName>
    <definedName name="BO2C893EF3E06045B8AAE30677A78003B4" hidden="1">#REF!</definedName>
    <definedName name="BO2CAEB9A05E524B25B5984BDCD9C073D6" hidden="1">#REF!</definedName>
    <definedName name="BO2CB7639AD20549F3B40E039515EFF2EA" hidden="1">#REF!</definedName>
    <definedName name="BO2CFDBA12D8E94FF6AF9B5EA62A3C061E" hidden="1">#REF!</definedName>
    <definedName name="BO2D06A4A023464C6A8482AF000275C1A3" hidden="1">#REF!</definedName>
    <definedName name="BO2D26B3DF58A8486183A106C7BF1FA67E" hidden="1">#REF!</definedName>
    <definedName name="BO2D31A6FA7EB244579F44D35B99A4A8E4" hidden="1">#REF!</definedName>
    <definedName name="BO2D54BAB3A82B44928B563DE60EC0FD7D" hidden="1">#REF!</definedName>
    <definedName name="BO2D56E23DE46E41278B653EC68C177F70" hidden="1">#REF!</definedName>
    <definedName name="BO2D5ED7DAF43E440CBA2EDD04007603F7" hidden="1">#REF!</definedName>
    <definedName name="BO2D6952FC28424398BBE67A8663C3CAAA" hidden="1">#REF!</definedName>
    <definedName name="BO2D87AEA7FFE24D6298B56D6AC2B80C69" hidden="1">#REF!</definedName>
    <definedName name="BO2D8BC348CDD041779ECE70F98BC3F557" hidden="1">#REF!</definedName>
    <definedName name="BO2D8E3A6420914965BF19B696C6FDDB98" hidden="1">#REF!</definedName>
    <definedName name="BO2D9AC84D96AF42AA92BCDA8C34005373" hidden="1">#REF!</definedName>
    <definedName name="BO2DCD5B6ED5004362994797D85763A69B" hidden="1">#REF!</definedName>
    <definedName name="BO2DCF80E250E645A29463073D5E33DF72" hidden="1">#REF!</definedName>
    <definedName name="BO2DD4678FCE224E6994B756524707755F" hidden="1">#REF!</definedName>
    <definedName name="BO2DD4E3C6BF6E4DA983890148DF40506D" hidden="1">#REF!</definedName>
    <definedName name="BO2DED502E1D1E4D9C9CCEC23CEB3F40DD" hidden="1">#REF!</definedName>
    <definedName name="BO2DED886FB72E452D80B8CDB76E9B61DE" hidden="1">#REF!</definedName>
    <definedName name="BO2DF6685EBC6440CEBADE1F180B3EC72A" hidden="1">#REF!</definedName>
    <definedName name="BO2E0ADDF3EDA5412893AD4ACADC83B2FE" hidden="1">#REF!</definedName>
    <definedName name="BO2E0CEBF6C3334D0486E22BAF923C84FB" hidden="1">#REF!</definedName>
    <definedName name="BO2E9E3090B08D47EBBC36CF959D2176D1" hidden="1">#REF!</definedName>
    <definedName name="BO2EC57A3E2D884825BA0BD928EF4AE1AD" hidden="1">#REF!</definedName>
    <definedName name="BO2EDBF44490984D53A344E7B9CA6A35D0" hidden="1">#REF!</definedName>
    <definedName name="BO2F048AD87674415EBAF572BA92AF1215" hidden="1">#REF!</definedName>
    <definedName name="BO2F166ED9BE3F4F8AB2267F7697917DD0" hidden="1">#REF!</definedName>
    <definedName name="BO2F358C635E6F441BBFA6F1602189C967" hidden="1">#REF!</definedName>
    <definedName name="BO2F4539B649B74DA99365C8555DF35795" hidden="1">#REF!</definedName>
    <definedName name="BO2F4A80B58C7249F39C3A1B337E9D6D68" hidden="1">#REF!</definedName>
    <definedName name="BO2F6D4FCC2ECE4F8E86291FE9436839CB" hidden="1">#REF!</definedName>
    <definedName name="BO2F6D718B7E994EE6A3AB38E7D4068FAD" hidden="1">#REF!</definedName>
    <definedName name="BO2FC349B9327645118BC37D9143F7FAD5" hidden="1">#REF!</definedName>
    <definedName name="BO2FC45C16A3F54D729E26F3464A622F47" hidden="1">#REF!</definedName>
    <definedName name="BO30BB2A290A4B4A7A86CF91ABD473B52C" hidden="1">#REF!</definedName>
    <definedName name="BO30F82A0F45F0488B9BF672A0DD5384B3" hidden="1">#REF!</definedName>
    <definedName name="BO312587118F00438F8D4DDD5EC86D6441" hidden="1">#REF!</definedName>
    <definedName name="BO3185C5AFD18F419BAA9951E27A665BEC" hidden="1">#REF!</definedName>
    <definedName name="BO31AE2847EEBD4163AFD0D5ACEBEE6896" hidden="1">#REF!</definedName>
    <definedName name="BO31B1C27CA2784591B3BD7B8F97CEC20D" hidden="1">#REF!</definedName>
    <definedName name="BO31B3626C280842DDB0F0576C3AB66A35" hidden="1">#REF!</definedName>
    <definedName name="BO31CD43A4563F48E3ADEF3B086F77F412" hidden="1">#REF!</definedName>
    <definedName name="BO31D8C066076E4283A10C0EDC7E92C950" hidden="1">#REF!</definedName>
    <definedName name="BO31DA1E9AC58D4BD2AA9F8600C99DE660" hidden="1">#REF!</definedName>
    <definedName name="BO31FF4845F0134E159EDFA068B8DF1456" hidden="1">#REF!</definedName>
    <definedName name="BO327C7F9E4E9D4477B4611F339FE9E318" hidden="1">#REF!</definedName>
    <definedName name="BO329031B61E9B4E1CB748E2BF18453CBA" hidden="1">#REF!</definedName>
    <definedName name="BO329794FEEEA848A3A8CD1316B34A9B9B" hidden="1">#REF!</definedName>
    <definedName name="BO32CC748630CD44A78FE35D7DD55C5CB1" hidden="1">#REF!</definedName>
    <definedName name="BO32D8C11D52E246B8B1167589D681611B" hidden="1">#REF!</definedName>
    <definedName name="BO32FCC3651E0F431EB99F7A93F30F5188" hidden="1">#REF!</definedName>
    <definedName name="BO333C6704208C4D37A85C8AEE75D910E8" hidden="1">#REF!</definedName>
    <definedName name="BO3361CC5D96CC46409F71EB663340E25A" hidden="1">#REF!</definedName>
    <definedName name="BO33A986EB05E14342B05CFAE40A8B8CB3" hidden="1">#REF!</definedName>
    <definedName name="BO33E5D2DECC00492E98BB2AE9970273F4" hidden="1">#REF!</definedName>
    <definedName name="BO3401980CAE564BF1889B707647DEED49" hidden="1">#REF!</definedName>
    <definedName name="BO34546B46330B469FB089735939C3C993" hidden="1">#REF!</definedName>
    <definedName name="BO348D5DD8702F4F70A5106B888B0D1864" hidden="1">#REF!</definedName>
    <definedName name="BO34B0D1C3C2DF41599DDC64764EE93927" hidden="1">#REF!</definedName>
    <definedName name="BO34B7BDFF82DF4756A8B9115EECD3DD5D" hidden="1">#REF!</definedName>
    <definedName name="BO34D62F43660440BF9F470BD093905410" hidden="1">#REF!</definedName>
    <definedName name="BO34ECD4B14C4A4E6C9DA339E125472BD3" hidden="1">#REF!</definedName>
    <definedName name="BO35622FA1F1354C5196130C748559B8D8" hidden="1">#REF!</definedName>
    <definedName name="BO35C8047FFF54448D8A6763D6C5459131" hidden="1">#REF!</definedName>
    <definedName name="BO35CA3E17081642D39D09C6DF175E5552" hidden="1">#REF!</definedName>
    <definedName name="BO35FDB2AB3FBE44869B1B8C3CB0C955E2" hidden="1">#REF!</definedName>
    <definedName name="BO361CD271CDE149DDACAFE0A75902BEA7" hidden="1">#REF!</definedName>
    <definedName name="BO36CC36EEBD19426B8489215F05CAE479" hidden="1">#REF!</definedName>
    <definedName name="BO36FCC1C5E1AF49029E2528DB50E43E11" hidden="1">#REF!</definedName>
    <definedName name="BO37357DFCCF2E4C95A13F5E9BDBE13910" hidden="1">#REF!</definedName>
    <definedName name="BO3792264F2CE543AEB8B229F81459D3B0" hidden="1">#REF!</definedName>
    <definedName name="BO37B5B0565C814B4A8335B6363188FD11" hidden="1">#REF!</definedName>
    <definedName name="BO37B7674CC9D940CE88895911F98A3658" hidden="1">#REF!</definedName>
    <definedName name="BO37E5C32029EF417DBAE749FA4EA393F1" hidden="1">#REF!</definedName>
    <definedName name="BO3805FF74986D4E4E954446E3B0CA6F78" hidden="1">#REF!</definedName>
    <definedName name="BO380BDFB5B2F341DE821942CE260EF734" hidden="1">#REF!</definedName>
    <definedName name="BO380C1362F5C049059095DD3D5CD093B6" hidden="1">#REF!</definedName>
    <definedName name="BO381BA5D3D1904961827A5C2547F80342" hidden="1">#REF!</definedName>
    <definedName name="BO382AB72B5084486E8979DEAE18FAB05E" hidden="1">#REF!</definedName>
    <definedName name="BO3833AF0366A74FD49AF696A151BE080B" hidden="1">#REF!</definedName>
    <definedName name="BO38358F4EB3074DEA9456C0100889315C" hidden="1">#REF!</definedName>
    <definedName name="BO3845D84FBF0F408F8AD81ECA1975371A" hidden="1">#REF!</definedName>
    <definedName name="BO3860910B7F314B8E93C1E2BDB2BC603C" hidden="1">#REF!</definedName>
    <definedName name="BO38880C9BAD5B4C55BB1BE90ADC595507" hidden="1">#REF!</definedName>
    <definedName name="BO38A9FA4A3B584052AB9E990F00374890" hidden="1">#REF!</definedName>
    <definedName name="BO38C7A245BD944E6DAF71D4CC689E700E" hidden="1">#REF!</definedName>
    <definedName name="BO38D898D4B14F4460A586C53095BA18F1" hidden="1">#REF!</definedName>
    <definedName name="BO38E2291784D446E59218071F4DBDB8E0" hidden="1">#REF!</definedName>
    <definedName name="BO3905A32D80CC4E4ABF239EBD20D3FB27" hidden="1">#REF!</definedName>
    <definedName name="BO39253DB67439440A8208AFD7A588CDDB" hidden="1">#REF!</definedName>
    <definedName name="BO392A098005984AFF8D735A33037308AD" hidden="1">#REF!</definedName>
    <definedName name="BO3949FD8C43E84F93B3A81C3E9948A54A" hidden="1">#REF!</definedName>
    <definedName name="BO399E5D7E445147B68FD2A13DF7A45368" hidden="1">#REF!</definedName>
    <definedName name="BO39A392411DC44588A12AD338FD5B7171" hidden="1">#REF!</definedName>
    <definedName name="BO39A42AF3D9DD42E98E5C5FFF35775A0D" hidden="1">#REF!</definedName>
    <definedName name="BO39B7451E2AAF47BE960AD17DF0F782DE" hidden="1">#REF!</definedName>
    <definedName name="BO39D7F0EB4B3148E7B7BE8DAB5CFD140F" hidden="1">#REF!</definedName>
    <definedName name="BO39F1C0CF94004E2AAC6539D1393D3197" hidden="1">#REF!</definedName>
    <definedName name="BO39F8056FEEF141EAAC3CB8637657E823" hidden="1">#REF!</definedName>
    <definedName name="BO3A0BA0E91DAE4579BBD495FE36F95B7E" hidden="1">#REF!</definedName>
    <definedName name="BO3A309A78D58A4D8DA0112124B97664D2" hidden="1">#REF!</definedName>
    <definedName name="BO3A3BDD3BEC6C4C3997F49262585037D2" hidden="1">#REF!</definedName>
    <definedName name="BO3A9B34DFE8A742B487EF3D486DAB6796" hidden="1">#REF!</definedName>
    <definedName name="BO3ACB7C4849DE463297CDF3DAC73C5285" hidden="1">#REF!</definedName>
    <definedName name="BO3B02E8F8E6B94C10B3E37C67BA50F8F7" hidden="1">#REF!</definedName>
    <definedName name="BO3B303A9A732542CEB07F8235F68B611B" hidden="1">#REF!</definedName>
    <definedName name="BO3B46AD7B22E9452EA7B74971395C2D28" hidden="1">#REF!</definedName>
    <definedName name="BO3B704C8087B542E29B354FC73C2EB35C" hidden="1">#REF!</definedName>
    <definedName name="BO3B8EDFAE9CEF4668895EF6B04607C798" hidden="1">#REF!</definedName>
    <definedName name="BO3BB1FCE0D8D34D60B9C97911F55F888B" hidden="1">#REF!</definedName>
    <definedName name="BO3BFFC976FA9B48C4A3837B2DF792D717" hidden="1">#REF!</definedName>
    <definedName name="BO3C27A8CCF46440DFA286B770A5F55B3C" hidden="1">#REF!</definedName>
    <definedName name="BO3C98730A70FB4EF395F688F4CD7413F7" hidden="1">#REF!</definedName>
    <definedName name="BO3C99E538887C4467A365E8624D9B808D" hidden="1">#REF!</definedName>
    <definedName name="BO3CB504CE67F84322A30047C7F65DA37A" hidden="1">#REF!</definedName>
    <definedName name="BO3D04697C553443CE81E5698A9A11D376" hidden="1">#REF!</definedName>
    <definedName name="BO3D1106863D374B788E66E383A493EFFD" hidden="1">#REF!</definedName>
    <definedName name="BO3D5A94F872944439AEFDA585DD8D96C0" hidden="1">#REF!</definedName>
    <definedName name="BO3D63A776BB8B413697ACFD0792A79F25" hidden="1">#REF!</definedName>
    <definedName name="BO3D8149A4C7DD46C098821ABD82FCCBFC" hidden="1">#REF!</definedName>
    <definedName name="BO3DFEB735DF724D6A8195AAA7B2170B35" hidden="1">#REF!</definedName>
    <definedName name="BO3E07E937F13046F48C23FB837C43BEC3" hidden="1">#REF!</definedName>
    <definedName name="BO3E2ABB9A8F2D4DB7A7A51D906D984800" hidden="1">#REF!</definedName>
    <definedName name="BO3E4674A939C24DFAA1C88B525C373305" hidden="1">#REF!</definedName>
    <definedName name="BO3E47F0D838F3454DA566A603391E2CA9" hidden="1">#REF!</definedName>
    <definedName name="BO3E58EA1F6C6B4B1EA49307682BA84A0D" hidden="1">#REF!</definedName>
    <definedName name="BO3EB98F7D879348158884714BB62D2C9B" hidden="1">#REF!</definedName>
    <definedName name="BO3EDDDE35F2BC4BF9A8EAD3D01D0AFA69" hidden="1">#REF!</definedName>
    <definedName name="BO3EEDD1275B594EE6931BB2B423647F40" hidden="1">#REF!</definedName>
    <definedName name="BO3F00F2E605A84C248AEFDEF964BF8003" hidden="1">#REF!</definedName>
    <definedName name="BO3F0398545889487D954D70C6205F57CF" hidden="1">#REF!</definedName>
    <definedName name="BO3F1562F088B64257BDECA4996A9FB66B" hidden="1">#REF!</definedName>
    <definedName name="BO3F4B598DFBCE4609B65057CE90121278" hidden="1">#REF!</definedName>
    <definedName name="BO3F698B30FA064BED80373131F8DA772C" hidden="1">#REF!</definedName>
    <definedName name="BO3F9E4F72F7344C8797FE289DFD0BB660" hidden="1">#REF!</definedName>
    <definedName name="BO3FA34D64D5DD4492A3C440A2EB0A2226" hidden="1">#REF!</definedName>
    <definedName name="BO3FA6B2DD0EBE48EBAE25B1625634C636" hidden="1">#REF!</definedName>
    <definedName name="BO3FA804A2DEEC44DF99E6D77CD74316FA" hidden="1">#REF!</definedName>
    <definedName name="BO3FF06A3D405D4AFEBD23C74161F7F412" hidden="1">#REF!</definedName>
    <definedName name="BO401E6D3F698C4F018BDA573568ADC4E6" hidden="1">#REF!</definedName>
    <definedName name="BO40245ECD8B79440BBC14C8DF1C0BF8B2" hidden="1">#REF!</definedName>
    <definedName name="BO403079319B0C43EEB6940DB9EBC384AB" hidden="1">#REF!</definedName>
    <definedName name="BO40355E13A4AF4311A062DC0DC188997A" hidden="1">#REF!</definedName>
    <definedName name="BO406956B8DA1449F7A85FCAF9D714DC11" hidden="1">#REF!</definedName>
    <definedName name="BO406B5E0DD44D489B88870815BE1210AE" hidden="1">#REF!</definedName>
    <definedName name="BO410312A8086944CA8381547B55028E0E" hidden="1">#REF!</definedName>
    <definedName name="BO41031EE5E6A248E8BA41187F37ABEDC4" hidden="1">#REF!</definedName>
    <definedName name="BO41616448539148F68A11325B0B832164" hidden="1">#REF!</definedName>
    <definedName name="BO41676043571047D0A758DC87F4D8C2A4" hidden="1">#REF!</definedName>
    <definedName name="BO41736F10648940F7980E8A794564F6D4" hidden="1">#REF!</definedName>
    <definedName name="BO418270B3A37648588D932CCCDECD1D57" hidden="1">#REF!</definedName>
    <definedName name="BO41BB107A914849ABAE3078D2C7A0D711" hidden="1">#REF!</definedName>
    <definedName name="BO41C9F9AFBDC248DF84A970BBB0C13F07" hidden="1">#REF!</definedName>
    <definedName name="BO41D812429BE0472984006118F1FD8940" hidden="1">#REF!</definedName>
    <definedName name="BO41DD20B575EE48A98BE33181A6371F62" hidden="1">#REF!</definedName>
    <definedName name="BO41FF1036DC0E4DA69C38C814641389B3" hidden="1">#REF!</definedName>
    <definedName name="BO41FF61B766784424AEC7FF81791873A4" hidden="1">#REF!</definedName>
    <definedName name="BO4217883C6C8A412D9F87DEAB2DD56119" hidden="1">#REF!</definedName>
    <definedName name="BO4221A85BBAE74BFE98901247F57B8632" hidden="1">#REF!</definedName>
    <definedName name="BO42410C79967D49DA9246424E9F8E187C" hidden="1">#REF!</definedName>
    <definedName name="BO429FEAEDBFA547BF85025B1F1844D466" hidden="1">#REF!</definedName>
    <definedName name="BO42A0B3431CAC44BA97E83B69B05F5E78" hidden="1">#REF!</definedName>
    <definedName name="BO42C7102A3C9549A7A1E004531E8189D3" hidden="1">#REF!</definedName>
    <definedName name="BO42DB59B560DD480797F4E5A255CE0336" hidden="1">#REF!</definedName>
    <definedName name="BO42F344B5F6214CA8BB1AE642166F8254" hidden="1">#REF!</definedName>
    <definedName name="BO431F7CF865994F508B75F0C14E72E755" hidden="1">#REF!</definedName>
    <definedName name="BO433499B555AB4935A23F3FB59353D2EE" hidden="1">#REF!</definedName>
    <definedName name="BO4335FDB3189549F5BF6D0B206D64D24B" hidden="1">#REF!</definedName>
    <definedName name="BO435DD626F933429CBF3601013675993A" hidden="1">#REF!</definedName>
    <definedName name="BO43BB16D693FD4B14A412C62D211E4945" hidden="1">#REF!</definedName>
    <definedName name="BO43C6ED75220C443CB4A3CB0484EC60D0" hidden="1">#REF!</definedName>
    <definedName name="BO43FF37EA3FEC470BAD34B6B7B9FF9C29" hidden="1">#REF!</definedName>
    <definedName name="BO4405FE650B77473191B594E32962A972" hidden="1">#REF!</definedName>
    <definedName name="BO442358FA8333417E864723C79749E79D" hidden="1">#REF!</definedName>
    <definedName name="BO44D4229713E3428698EACDF7F9B51DFC" hidden="1">#REF!</definedName>
    <definedName name="BO44DA8E66CD4940489F111E91BC74453C" hidden="1">#REF!</definedName>
    <definedName name="BO453E695211A44670A7D5BD823FFE8B9F" hidden="1">#REF!</definedName>
    <definedName name="BO454BFF91FD534BF88883176101908687" hidden="1">#REF!</definedName>
    <definedName name="BO454FCE682D15476BA296B3D94BCB2BFB" hidden="1">#REF!</definedName>
    <definedName name="BO4559A96E8A974B1DAC918F8F2EB94EF9" hidden="1">#REF!</definedName>
    <definedName name="BO45878D15BC764FF3AB65C7517F4B4468" hidden="1">#REF!</definedName>
    <definedName name="BO45904099936743BABF24BA42E132C38D" hidden="1">#REF!</definedName>
    <definedName name="BO46EA610EBFC643F5B313EF854D068321" hidden="1">#REF!</definedName>
    <definedName name="BO472FDF9D1E3B4E9991920C454290CCB8" hidden="1">#REF!</definedName>
    <definedName name="BO47305FE1425C42EE8297FD2C4DE5D7DC" hidden="1">#REF!</definedName>
    <definedName name="BO4765F1B9752F4104B13E2D2D8439107F" hidden="1">#REF!</definedName>
    <definedName name="BO47738B1418294B9889FC0348BEC8078D" hidden="1">#REF!</definedName>
    <definedName name="BO477AF323BBAF4D949363F8CF4B007300" hidden="1">#REF!</definedName>
    <definedName name="BO4792AAFA02C24ED6AA0BB01C79C4D53D" hidden="1">#REF!</definedName>
    <definedName name="BO47CF2416E1E4433CB14DF1CD9BB47325" hidden="1">#REF!</definedName>
    <definedName name="BO47F43F7C60F64E7C8F5511C18A7D9150" hidden="1">#REF!</definedName>
    <definedName name="BO47FE1908C88F4900971BC7AD61476814" hidden="1">#REF!</definedName>
    <definedName name="BO4811BB6D363246B4B8C029A31B50EC37" hidden="1">#REF!</definedName>
    <definedName name="BO4831E7C9F1E24C75885AEE45966CF51F" hidden="1">#REF!</definedName>
    <definedName name="BO484DA2D43C574948877D69CEA2096392" hidden="1">#REF!</definedName>
    <definedName name="BO4874FCDB87824222B8F51298606DB3AA" hidden="1">#REF!</definedName>
    <definedName name="BO48835453620245AEB7B610E2C50EAB3D" hidden="1">#REF!</definedName>
    <definedName name="BO48B69C9C3A4A4DA2AFD812AE32ED98F2" hidden="1">#REF!</definedName>
    <definedName name="BO48EE5418E8DD4622BB78F4DF1C2A142A" hidden="1">#REF!</definedName>
    <definedName name="BO491DF1B87A35419FB7FA4840BFC287E4" hidden="1">#REF!</definedName>
    <definedName name="BO49BE17222F1C4BB58D35D46E4E2F888A" hidden="1">#REF!</definedName>
    <definedName name="BO49BE7643709D4E51B4CE6E9827246CC0" hidden="1">#REF!</definedName>
    <definedName name="BO49C03189CFB64DD2ABF19BD409F593CB" hidden="1">#REF!</definedName>
    <definedName name="BO49DCD65C43EB4DFCA8847B0CC8D9697F" hidden="1">#REF!</definedName>
    <definedName name="BO4A3DBBE544E8425CA26337B568D90565" hidden="1">#REF!</definedName>
    <definedName name="BO4A3EA82712D4443FBE70BEF91D9E21B5" hidden="1">#REF!</definedName>
    <definedName name="BO4A47E059A2E64E29805369062AC0FA3B" hidden="1">#REF!</definedName>
    <definedName name="BO4A648412D7AD41F39C281FF6AACFFB1C" hidden="1">#REF!</definedName>
    <definedName name="BO4A7EDF1F721E44818AAF14D4EE421965" hidden="1">#REF!</definedName>
    <definedName name="BO4AAE3B29CE214B3288C1C3E46EDEE779" hidden="1">#REF!</definedName>
    <definedName name="BO4ABD4D97307B4665ADA92858FAEF49D4" hidden="1">#REF!</definedName>
    <definedName name="BO4B55FBE7704D4E8ABFBBA6B9FCFCCE0B" hidden="1">#REF!</definedName>
    <definedName name="BO4B9820C141B1499BB7BD6CD1C5A977AA" hidden="1">#REF!</definedName>
    <definedName name="BO4BB9A2BC1129469286DE1F8ABA253435" hidden="1">#REF!</definedName>
    <definedName name="BO4C0243B70A9541D291A1FBB0DE639578" hidden="1">#REF!</definedName>
    <definedName name="BO4C1CD1D203F04562A4E31D080D642AB1" hidden="1">#REF!</definedName>
    <definedName name="BO4C322C3F08A04888A840CDEC0E0EEECC" hidden="1">#REF!</definedName>
    <definedName name="BO4C43050B90E04C87B55DD5F46779E3E5" hidden="1">#REF!</definedName>
    <definedName name="BO4C49BA149189441D82286AD70F0DBFBA" hidden="1">#REF!</definedName>
    <definedName name="BO4C59317BCB434D4AAB8264AC52E949F2" hidden="1">#REF!</definedName>
    <definedName name="BO4C748FEDC50D4D05BF6C3AE45DF27C96" hidden="1">#REF!</definedName>
    <definedName name="BO4C74A53862CA458B84FB13899C4C27A0" hidden="1">#REF!</definedName>
    <definedName name="BO4CA027B4B11C4E88BEA7D5AB0FBFE55C" hidden="1">#REF!</definedName>
    <definedName name="BO4CABAE3124EC4EA3BBD9ACA318D3884A" hidden="1">#REF!</definedName>
    <definedName name="BO4CD39991FB7D4B3EA474B7C8CAB5921A" hidden="1">#REF!</definedName>
    <definedName name="BO4CFE4749AA3E4E43BC1AC4E546D31AFE" hidden="1">#REF!</definedName>
    <definedName name="BO4D111DFC879A4267A8F215A9F3EE7545" hidden="1">#REF!</definedName>
    <definedName name="BO4D176891D0D447959B2CE9E30A490257" hidden="1">#REF!</definedName>
    <definedName name="BO4D217C14FE744B10921607668507E5E5" hidden="1">#REF!</definedName>
    <definedName name="BO4D4B68E0EB674E5A8741358C839FECA5" hidden="1">#REF!</definedName>
    <definedName name="BO4D622B63467C42F99F1CF3912C0F4402" hidden="1">#REF!</definedName>
    <definedName name="BO4D80DEACB63F40C8B074073E6B1CCF17" hidden="1">#REF!</definedName>
    <definedName name="BO4D95CA0E2A4B43CA8A504EE9704A811B" hidden="1">#REF!</definedName>
    <definedName name="BO4DF0AF32BA4041D98D60CE58B013B4E7" hidden="1">#REF!</definedName>
    <definedName name="BO4DF2AB7750BF42EB9D57BA4D725243B3" hidden="1">#REF!</definedName>
    <definedName name="BO4E224232AAA9422ABBADA09C17231477" hidden="1">#REF!</definedName>
    <definedName name="BO4E5A5B2226B446818FD3052673DBE06E" hidden="1">#REF!</definedName>
    <definedName name="BO4EABBA73A2DA454BA953C9AE702A13FB" hidden="1">#REF!</definedName>
    <definedName name="BO4EB62A5D99B44412981CC2DBA16B65A3" hidden="1">#REF!</definedName>
    <definedName name="BO4EC7C41902974BF0A985E634282CB07E" hidden="1">#REF!</definedName>
    <definedName name="BO4ED6C94AEE84498698E997DC83194ED4" hidden="1">#REF!</definedName>
    <definedName name="BO4F0FF9C21C6E41768DF300AE990AF1DC" hidden="1">#REF!</definedName>
    <definedName name="BO4F174CF711D441F9848DE1A3F0E09B80" hidden="1">#REF!</definedName>
    <definedName name="BO4F1DDF5EB2F44AFAA8C5516DEF485905" hidden="1">#REF!</definedName>
    <definedName name="BO4F28111B51394391ABC9CC6B0B64372F" hidden="1">#REF!</definedName>
    <definedName name="BO4F382251407541D4B94F5AF416857C88" hidden="1">#REF!</definedName>
    <definedName name="BO4FB289186CC049ACAF17B8C85DFF71C8" hidden="1">#REF!</definedName>
    <definedName name="BO500F607281384E709BC81BB8D0E05040" hidden="1">#REF!</definedName>
    <definedName name="BO5041B9A4B8C146FA8D61B1D6914A3DEC" hidden="1">#REF!</definedName>
    <definedName name="BO5080FCBB1AFE4582AB0AEF756E02AB2A" hidden="1">#REF!</definedName>
    <definedName name="BO50859751527B4027B87A739BAF1FB8E0" hidden="1">#REF!</definedName>
    <definedName name="BO509669C9ED7840288304BF14BF625147" hidden="1">#REF!</definedName>
    <definedName name="BO50A9A9E6831241658F508DEAFE2A7553" hidden="1">#REF!</definedName>
    <definedName name="BO510065BD015D4F95A15752285E2AE65E" hidden="1">#REF!</definedName>
    <definedName name="BO513861991D7C4A5FBB93C7EA0C759CFD" hidden="1">#REF!</definedName>
    <definedName name="BO514D95FAE90F482C849C11DE38AE8DA0" hidden="1">#REF!</definedName>
    <definedName name="BO51A8FA915C9A4F9D89273CF63EE46FE8" hidden="1">#REF!</definedName>
    <definedName name="BO51C8FC979EAE441F9F289915887365C5" hidden="1">#REF!</definedName>
    <definedName name="BO5225587466CB4E64950F3A977CD53BB5" hidden="1">#REF!</definedName>
    <definedName name="BO522BE2FBF700464AAFC7A88746B3102A" hidden="1">#REF!</definedName>
    <definedName name="BO523DE52BFFDA4227A8E78C3E253F130B" hidden="1">#REF!</definedName>
    <definedName name="BO523E151E1B1A4DEDAD3390FF9E08BB41" hidden="1">#REF!</definedName>
    <definedName name="BO5260A82048CC4FADAD92DC55975D9422" hidden="1">#REF!</definedName>
    <definedName name="BO526E08859F644BE480E6EA86F7851C8C" hidden="1">#REF!</definedName>
    <definedName name="BO528E13D4C0DB4D2F959E2E0AE4BF6A43" hidden="1">#REF!</definedName>
    <definedName name="BO52BE609CECE24F668D2E97E40E865353" hidden="1">#REF!</definedName>
    <definedName name="BO52D5C0A0C34646D0A9DBF31C7B4681BE" hidden="1">#REF!</definedName>
    <definedName name="BO53076DABED03457BA1A6CC7DE8E548B8" hidden="1">#REF!</definedName>
    <definedName name="BO531951EF37274BB4BA6B253AABF3B259" hidden="1">#REF!</definedName>
    <definedName name="BO531F40EBDFD2499781D4ACD8FBBC913E" hidden="1">#REF!</definedName>
    <definedName name="BO5325677A58DD4E678732C8AB1BFC801A" hidden="1">#REF!</definedName>
    <definedName name="BO537518734AB84AB49EB5AAA63CCE1585" hidden="1">#REF!</definedName>
    <definedName name="BO53795B0958F44E0282061BA77BFBA6DD" hidden="1">#REF!</definedName>
    <definedName name="BO53A13D7951334900A0A1A872901E57A2" hidden="1">#REF!</definedName>
    <definedName name="BO53AB5D3CCB4A413EA144664C99503047" hidden="1">#REF!</definedName>
    <definedName name="BO53EB7E26F34145258939F9D27853A768" hidden="1">#REF!</definedName>
    <definedName name="BO53FD180040484DF9AD12C0F43F525431" hidden="1">#REF!</definedName>
    <definedName name="BO54170C69A5B443B9A46A563B24D7A02A" hidden="1">#REF!</definedName>
    <definedName name="BO541B429733D9464BAA0F472DC5A390A6" hidden="1">#REF!</definedName>
    <definedName name="BO5428BC2AC15245C392FAD48AC0E1D1D3" hidden="1">#REF!</definedName>
    <definedName name="BO54379D2A778B4EDC8D666466E7F51442" hidden="1">#REF!</definedName>
    <definedName name="BO547D617DA19944FD9F05968F08E6D309" hidden="1">#REF!</definedName>
    <definedName name="BO5480837E22434DED90AE7C00C082A9A1" hidden="1">#REF!</definedName>
    <definedName name="BO5484F71A0B8B45979B9D569008231679" hidden="1">#REF!</definedName>
    <definedName name="BO54966A0B410A4295A1BBC4E266509877" hidden="1">#REF!</definedName>
    <definedName name="BO54BC5EA573944120A2762F060194BA1E" hidden="1">#REF!</definedName>
    <definedName name="BO54E8BAC9CCCE44BC963133C9AE4B630A" hidden="1">#REF!</definedName>
    <definedName name="BO5507E6215F3F4FC097A3E11986F2AC10" hidden="1">#REF!</definedName>
    <definedName name="BO550B27D935D4459DBAD38DC3153E9204" hidden="1">#REF!</definedName>
    <definedName name="BO553136AC6422422C818B96B66C2C3990" hidden="1">#REF!</definedName>
    <definedName name="BO555B1633F11C47E89A1801F074518A32" hidden="1">#REF!</definedName>
    <definedName name="BO5567A7BED87F42A9B8315385DA7E9968" hidden="1">#REF!</definedName>
    <definedName name="BO556F9D67D63B485490BE4A5B2DAA0424" hidden="1">#REF!</definedName>
    <definedName name="BO5573662C4A00410AA097D755481BE91F" hidden="1">#REF!</definedName>
    <definedName name="BO560251BCD11740889928CA8EA1D6C8BB" hidden="1">#REF!</definedName>
    <definedName name="BO56511C056B644925BB9E09A5CE15BBF3" hidden="1">#REF!</definedName>
    <definedName name="BO565771992FE84D6C9DDDD43E6049AEA8" hidden="1">#REF!</definedName>
    <definedName name="BO569A5FBFD6F24C0C8A17193DE8B0987E" hidden="1">#REF!</definedName>
    <definedName name="BO56C93C031ADA4A8CB9AA79E06B808B71" hidden="1">#REF!</definedName>
    <definedName name="BO56DC94197E294360B6A59153FF03457A" hidden="1">#REF!</definedName>
    <definedName name="BO56E22477476841508EDA127C8CFBE0CB" hidden="1">#REF!</definedName>
    <definedName name="BO57492025E3734968B443F2156F6E5611" hidden="1">#REF!</definedName>
    <definedName name="BO57544A4DD8D040EE8060E1C9E846EC7F" hidden="1">#REF!</definedName>
    <definedName name="BO575F08F36F1744AB9596B19069D05C38" hidden="1">#REF!</definedName>
    <definedName name="BO578F669344B943B2ACBCC36BC4A76D24" hidden="1">#REF!</definedName>
    <definedName name="BO5799DF1DC6FF4B2DB3252E6FB0A0F139" hidden="1">#REF!</definedName>
    <definedName name="BO57A6BD4AE8E243E494577EAD1CBE5386" hidden="1">#REF!</definedName>
    <definedName name="BO57B95B501F9743B1975E90BCF4891783" hidden="1">#REF!</definedName>
    <definedName name="BO57D32E0CD41A495289CBDB65D3B5BAA9" hidden="1">#REF!</definedName>
    <definedName name="BO57E3E16B3039468C918A2851F2906987" hidden="1">#REF!</definedName>
    <definedName name="BO57FDDF1F6FFB4E55A7F2E13CB281DAF1" hidden="1">#REF!</definedName>
    <definedName name="BO581F7C20F3F0407099EF769043553AFA" hidden="1">#REF!</definedName>
    <definedName name="BO583B69D2114749F5A55CE9DF13098368" hidden="1">#REF!</definedName>
    <definedName name="BO583C6F5C29CF4F41A54EA713AA1355F6" hidden="1">#REF!</definedName>
    <definedName name="BO58B56024014C4E80B3014C3EBF2F4731" hidden="1">#REF!</definedName>
    <definedName name="BO58C0409804204ACC886A26B469A98FCA" hidden="1">#REF!</definedName>
    <definedName name="BO58CB515C808C48BEBC52F4E8A8B10863" hidden="1">#REF!</definedName>
    <definedName name="BO58F664DD369B413BBE0AA6C680221346" hidden="1">#REF!</definedName>
    <definedName name="BO592E3D457DC3430DB54EBC54823DCBC4" hidden="1">#REF!</definedName>
    <definedName name="BO59384E7DCDEE4351A4263865DC557B5A" hidden="1">#REF!</definedName>
    <definedName name="BO593C02F3586C400B9C127B9BEFF5A3A3" hidden="1">#REF!</definedName>
    <definedName name="BO594059A6BB774C32931101FDBA9AA2A6" hidden="1">#REF!</definedName>
    <definedName name="BO594A5066E3D64A9B96E87EEE60E35000" hidden="1">#REF!</definedName>
    <definedName name="BO5956D9BCE4364C56A9714DB73C6D3E8D" hidden="1">#REF!</definedName>
    <definedName name="BO597DDE6E95004F7F9C963613977B9F66" hidden="1">#REF!</definedName>
    <definedName name="BO599B6CBC43504E33AD45ECD15A182A0F" hidden="1">#REF!</definedName>
    <definedName name="BO59C567DB691F4B6DB56F5A3F1EBC5DED" hidden="1">#REF!</definedName>
    <definedName name="BO59EABF3D307B40AA89D51822A5BF1DDB" hidden="1">#REF!</definedName>
    <definedName name="BO59FCCD41CD2D4A809251677722F31B4F" hidden="1">#REF!</definedName>
    <definedName name="BO5A3ED020BCED4A83ABA0A0B88F8487AC" hidden="1">#REF!</definedName>
    <definedName name="BO5A6A224EDF754A9C8DAE2269DFAFB953" hidden="1">#REF!</definedName>
    <definedName name="BO5A6B60F0E8034ECCBE9A1A4C0EFC6987" hidden="1">#REF!</definedName>
    <definedName name="BO5A81CA1FE8AD4707A0412775188A8DEC" hidden="1">#REF!</definedName>
    <definedName name="BO5ADD7A0B4F8643948793596858585348" hidden="1">#REF!</definedName>
    <definedName name="BO5AF15FD77702431BBFEC3BE53FAFC51F" hidden="1">#REF!</definedName>
    <definedName name="BO5B17EB1DC2314204AAAB4C10CD014779" hidden="1">#REF!</definedName>
    <definedName name="BO5B20057ECFD04152B0F8766338210D8E" hidden="1">#REF!</definedName>
    <definedName name="BO5B27E855FA5040EB86FED41A3DE59A24" hidden="1">#REF!</definedName>
    <definedName name="BO5B2C521B9D9A42D49C89CDF8F4742308" hidden="1">#REF!</definedName>
    <definedName name="BO5B3F6E178E114DF088F00C8568A47DBA" hidden="1">#REF!,#REF!,#REF!</definedName>
    <definedName name="BO5B4F0CF744DC4B488CF71D96F8AA06B0" hidden="1">#REF!</definedName>
    <definedName name="BO5B52615A450A4CC1B8803DBA2D89031C" hidden="1">#REF!</definedName>
    <definedName name="BO5B6647E500B64C49A067CFE98195A323" hidden="1">#REF!</definedName>
    <definedName name="BO5B9CA8ABC9A346AEA3B9F7CB5CF6A740" hidden="1">#REF!</definedName>
    <definedName name="BO5BB0B277A3394326AFBAAAF6450E4E42" hidden="1">#REF!</definedName>
    <definedName name="BO5BB90F35827F4C8CB35EB5880E3DFBF5" hidden="1">#REF!</definedName>
    <definedName name="BO5BC31258B8F8431DBC9B1836B8016102" hidden="1">#REF!</definedName>
    <definedName name="BO5BD8EB8E62ED48D6BA69F65CED12804D" hidden="1">#REF!</definedName>
    <definedName name="BO5BE732993B4846D58B3911D46AD6038D" hidden="1">#REF!</definedName>
    <definedName name="BO5C6AE5D18D554D7E8159E2BAE8FA382F" hidden="1">#REF!</definedName>
    <definedName name="BO5C73CAE6A2834A4B94D14E18B48EAF16" hidden="1">#REF!</definedName>
    <definedName name="BO5C8124D2D9FB4EAAB76560D5A15737B8" hidden="1">#REF!</definedName>
    <definedName name="BO5C920D0B5B1345BABC2366B7DA1C5E25" hidden="1">#REF!</definedName>
    <definedName name="BO5D3A29F492374C6C925AC1A20ED66BEB" hidden="1">#REF!</definedName>
    <definedName name="BO5D46C9AD71BC4FDD877EA97718D4BBE9" hidden="1">#REF!</definedName>
    <definedName name="BO5D5F2491E93B4AA3B9D27F259616BD98" hidden="1">#REF!</definedName>
    <definedName name="BO5DBC1413A4EF4004B35971E058515E30" hidden="1">#REF!</definedName>
    <definedName name="BO5DCAB14EFA5C4FE3BFD9A86392942047" hidden="1">#REF!</definedName>
    <definedName name="BO5DFCB56992D44322ADC1421A3B901C42" hidden="1">#REF!</definedName>
    <definedName name="BO5DFF17F65E144CB0837C415C67612916" hidden="1">#REF!</definedName>
    <definedName name="BO5E3AEC809E10421B846FB0743CBC6A3D" hidden="1">#REF!</definedName>
    <definedName name="BO5E3D11B36BB24ABE9E39A8B7C3313197" hidden="1">#REF!</definedName>
    <definedName name="BO5E543CAB34A54B94A48D330415EE4DD1" hidden="1">#REF!</definedName>
    <definedName name="BO5E6433AEBB09449AAB690755E35CE034" hidden="1">#REF!</definedName>
    <definedName name="BO5E6F18A1750D4760B7498A21B6D88CA2" hidden="1">#REF!</definedName>
    <definedName name="BO5EABBF3BF19F4A4A85944C3DAEA4DB28" hidden="1">#REF!</definedName>
    <definedName name="BO5EB3A4D52BE74C6EAB70B27B3AF53D6A" hidden="1">#REF!</definedName>
    <definedName name="BO5EB64E23C1AF448B84C2883AC71C22E3" hidden="1">#REF!</definedName>
    <definedName name="BO5EBBE63C669F462BAFB60AE49A5A162A" hidden="1">#REF!</definedName>
    <definedName name="BO5EFD84FDD9014E5C905F42675B5FBB6D" hidden="1">#REF!</definedName>
    <definedName name="BO5EFF581C31E94D0B9DC78606248B24D7" hidden="1">#REF!</definedName>
    <definedName name="BO5F0E4A5C4627496F99950E09FB952717" hidden="1">#REF!</definedName>
    <definedName name="BO5F169185BC3A43F783223A4E39E97CA7" hidden="1">#REF!</definedName>
    <definedName name="BO5F183ECE0B6F4CD582CE8D75DE8E61A1" hidden="1">#REF!</definedName>
    <definedName name="BO5F3A3B097B6E405593E1AEEA4240D978" hidden="1">#REF!</definedName>
    <definedName name="BO5F459209386748FDB50D8C98E6A67013" hidden="1">#REF!</definedName>
    <definedName name="BO5F4D61EC1AC0466F99DDD0262E888D3D" hidden="1">#REF!</definedName>
    <definedName name="BO5F7BA0B96A7C4F7A90ACFCB804B8F5F2" hidden="1">#REF!</definedName>
    <definedName name="BO5F905E63F3BB424BB231F0911BD9D24C" hidden="1">#REF!</definedName>
    <definedName name="BO5F92419A2B2042A88CF6F07560803C22" hidden="1">#REF!</definedName>
    <definedName name="BO5FA9FE156258454F97E163543A3F3899" hidden="1">#REF!</definedName>
    <definedName name="BO5FC82D2B3FCB499BAA5955760CB32BD2" hidden="1">#REF!</definedName>
    <definedName name="BO5FD18E77AE8647D2B1214CC539C6DD9C" hidden="1">#REF!</definedName>
    <definedName name="BO603BD3EE00A0424498DAF2F7E091225B" hidden="1">#REF!</definedName>
    <definedName name="BO604736B173DB48DA8E4B59C73C561390" hidden="1">#REF!</definedName>
    <definedName name="BO60496C515CE8453080E955E01CE46F24" hidden="1">#REF!</definedName>
    <definedName name="BO604C0B294184428DB9B66E0FCEDFD21D" hidden="1">#REF!</definedName>
    <definedName name="BO607D9A60550B4FA7A677D228FC06A7CB" hidden="1">#REF!</definedName>
    <definedName name="BO60BD75B8DBEA4387803CB4AFC1DE479F" hidden="1">#REF!</definedName>
    <definedName name="BO613F759C26A74335BB3EF9023610D70E" hidden="1">#REF!</definedName>
    <definedName name="BO615909B743C44F0A96BD891389726A2E" hidden="1">#REF!</definedName>
    <definedName name="BO615D15D8CAE34558B13E3F0CC5844365" hidden="1">#REF!</definedName>
    <definedName name="BO616BD729B62B4825946A716B2C525B15" hidden="1">#REF!</definedName>
    <definedName name="BO61724CCC0F794E86A985D3AADDC1FA83" hidden="1">#REF!</definedName>
    <definedName name="BO617494DDEDE24BE9B3FA2D5E1CC6872A" hidden="1">#REF!</definedName>
    <definedName name="BO6176C8ADB7DA45CAB2379E250E1F35F3" hidden="1">#REF!</definedName>
    <definedName name="BO61939F664A7B4148A014D08C0F83009E" hidden="1">#REF!</definedName>
    <definedName name="BO61BF0D9724194D4B90626961658132AD" hidden="1">#REF!</definedName>
    <definedName name="BO61C4C9B3A4784662A302783044378B55" hidden="1">#REF!</definedName>
    <definedName name="BO6255D22CCF4A48E2927E16A99513F380" hidden="1">#REF!</definedName>
    <definedName name="BO6259BB8601F74518B211D5FED555AD9C" hidden="1">#REF!</definedName>
    <definedName name="BO62A1E4942FED470D874ED59DCC2A4AA5" hidden="1">#REF!</definedName>
    <definedName name="BO62A400A078E0451CB6563EF81DF7EB35" hidden="1">#REF!</definedName>
    <definedName name="BO62D36540D0034AA48DE063297A413BDD" hidden="1">#REF!</definedName>
    <definedName name="BO62EA898CF22D44DF8EF3BDDF92CB0D5D" hidden="1">#REF!</definedName>
    <definedName name="BO632F30B76259416E8B4AABED4E04E9C1" hidden="1">#REF!</definedName>
    <definedName name="BO63342495192B4BB3926FE91DBC7CDF80" hidden="1">#REF!</definedName>
    <definedName name="BO634873F74EAC469682BBECE9867D6B58" hidden="1">#REF!</definedName>
    <definedName name="BO63594AD2F89C441C93AEE7BA06352B19" hidden="1">#REF!</definedName>
    <definedName name="BO63EA90CDEA784E94B8AFC4EC8E6D4E1D" hidden="1">#REF!</definedName>
    <definedName name="BO63EB694AE718408AAD85F588618E2E06" hidden="1">#REF!</definedName>
    <definedName name="BO64159BC2B6EB41A7AEDE3EC6A5A731B5" hidden="1">#REF!</definedName>
    <definedName name="BO6423233F3D194C0D8979ED4AE7B7CDB9" hidden="1">#REF!</definedName>
    <definedName name="BO6423CEBDDD0A412CBBFAAB3898A9206F" hidden="1">#REF!</definedName>
    <definedName name="BO6433583BE03A4C8795312841BAC5EF1E" hidden="1">#REF!</definedName>
    <definedName name="BO643487FBABFD47D1B9671E6FF468E5ED" hidden="1">#REF!</definedName>
    <definedName name="BO645EE44B4E7D4700B1DFD7503111F62B" hidden="1">#REF!</definedName>
    <definedName name="BO6462179A1619417A83A9792363E455E4" hidden="1">#REF!</definedName>
    <definedName name="BO6483DEE8FC8B40C7B8F594FC1921C0AB" hidden="1">#REF!</definedName>
    <definedName name="BO64859DECF7D341928F046D284A3663C8" hidden="1">#REF!</definedName>
    <definedName name="BO6497356C7659467F83DE769F74DB2C5F" hidden="1">#REF!</definedName>
    <definedName name="BO64B9D18A339B4E82BEB117EFBA715E4B" hidden="1">#REF!</definedName>
    <definedName name="BO64DD43D1C5F943F18128ECE58B8A02BC" hidden="1">#REF!</definedName>
    <definedName name="BO6532AD466881482590E03ADF20DC051D" hidden="1">#REF!</definedName>
    <definedName name="BO653AC79F78084F98BF30F3686F64DB4D" hidden="1">#REF!</definedName>
    <definedName name="BO6544D5D30FE94C7893711F5903A3B5D9" hidden="1">#REF!</definedName>
    <definedName name="BO6575576B73CA4712BEFB29A3A9A228F9" hidden="1">#REF!</definedName>
    <definedName name="BO65AF0ADBEA604FABB6F823015E2A0312" hidden="1">#REF!</definedName>
    <definedName name="BO65BA49055D564A788303C1D5B6B70FAE" hidden="1">#REF!</definedName>
    <definedName name="BO65D4C34990C749D99149EFB3442902EC" hidden="1">#REF!</definedName>
    <definedName name="BO65D9F3B0FD514C85A62029A7AF689E83" hidden="1">#REF!</definedName>
    <definedName name="BO66029D8B1A41481A90060C3EA1F21888" hidden="1">#REF!</definedName>
    <definedName name="BO660F27E76F2743E0A9CA43DB71AE88AD" hidden="1">#REF!</definedName>
    <definedName name="BO662440E41F1741A2A2721ECCCA48BE17" hidden="1">#REF!</definedName>
    <definedName name="BO6627790CD7274958AD09391A717C7A39" hidden="1">#REF!</definedName>
    <definedName name="BO662B6CEAD0AF4B30B7CBEFE678A5085C" hidden="1">#REF!</definedName>
    <definedName name="BO664A2099EDCA4D7DBF42D984D09C77F0" hidden="1">#REF!</definedName>
    <definedName name="BO666B53C5597A48199D7B652E49ACE44D" hidden="1">#REF!</definedName>
    <definedName name="BO667A065EC72B4C18B71122F74A6AA78A" hidden="1">#REF!</definedName>
    <definedName name="BO66986FCDE027458FA62A037F00F43F61" hidden="1">#REF!</definedName>
    <definedName name="BO66BB94EBB1DA4F5B9588AE37EECDD337" hidden="1">#REF!</definedName>
    <definedName name="BO66CAA06315CE4A0D83632A168E695E98" hidden="1">#REF!</definedName>
    <definedName name="BO66D2B05D857142ADB41334DF2CA1C491" hidden="1">#REF!</definedName>
    <definedName name="BO66ED4AA2CC034116BDB91C024F555558" hidden="1">#REF!</definedName>
    <definedName name="BO66F41CB22A0E4A64B013AF3850EBED07" hidden="1">#REF!</definedName>
    <definedName name="BO670E0CA6E03A4A80B1636E22CFB5D3A8" hidden="1">#REF!</definedName>
    <definedName name="BO67127D65C8B244B5BB412DE17003715D" hidden="1">#REF!</definedName>
    <definedName name="BO671688DCDB4B483A894E29F6D231299E" hidden="1">#REF!</definedName>
    <definedName name="BO672E8FDFBD36414597A72D4B7E94182B" hidden="1">#REF!</definedName>
    <definedName name="BO6739F45E8554427FB54A8E466A8E249A" hidden="1">#REF!</definedName>
    <definedName name="BO6749F6A4197B4D6E9187ADBD4C6D3E9A" hidden="1">#REF!</definedName>
    <definedName name="BO67D49399466648019AA41AA9784A31C6" hidden="1">#REF!</definedName>
    <definedName name="BO67E874D176F9487AB65D8ED364F1979D" hidden="1">#REF!</definedName>
    <definedName name="BO680A36C2E43E4245934EE681ECC82FC1" hidden="1">#REF!</definedName>
    <definedName name="BO68175D75669744F7AF9A63EEA9BB3D66" hidden="1">#REF!</definedName>
    <definedName name="BO682A4AEBA1664BAAADB94A3FAC074D26" hidden="1">#REF!</definedName>
    <definedName name="BO684ADD0D089040709774B5CFD2C3443B" hidden="1">#REF!</definedName>
    <definedName name="BO6875B76CC8C447C0B62021C394829A61" hidden="1">#REF!</definedName>
    <definedName name="BO6877ECFB96CD4021B816A19E43C7EA90" hidden="1">#REF!</definedName>
    <definedName name="BO6885C2074E0345E486028EA8690C5A58" hidden="1">#REF!</definedName>
    <definedName name="BO68A52EDB58B047EBAB692AD4AD9092B4" hidden="1">#REF!</definedName>
    <definedName name="BO68B5D0347A3B4C45B93128A49F2C24BC" hidden="1">#REF!</definedName>
    <definedName name="BO68CBB64A056C4E64BB288A7CB4A517C5" hidden="1">#REF!</definedName>
    <definedName name="BO68D12A85E19F4B13A5B938E85DFDE2C3" hidden="1">#REF!</definedName>
    <definedName name="BO68E69B5C80AA460C8EB65FD70C065684" hidden="1">#REF!</definedName>
    <definedName name="BO693117EFAD7746E0A2E0AED86126C5BC" hidden="1">#REF!</definedName>
    <definedName name="BO6932CE89466A4A42B78148CFA7240123" hidden="1">#REF!</definedName>
    <definedName name="BO696156486CFD4840B0BCEC1EFF93B48D" hidden="1">#REF!</definedName>
    <definedName name="BO69AA4ECF12B044EEAFD9A73AA05E9DD3" hidden="1">#REF!</definedName>
    <definedName name="BO69B6C97168F643EBAEAF15C4252B386D" hidden="1">#REF!</definedName>
    <definedName name="BO69BB0513E70142D1A0A910E1E9902F95" hidden="1">#REF!</definedName>
    <definedName name="BO69C80D35123349E5BF90B92945C649EC" hidden="1">#REF!</definedName>
    <definedName name="BO69CD81248F9B4AA3802DF8219F9F278E" hidden="1">#REF!</definedName>
    <definedName name="BO69E3955CB2274252BFEEB4D5CEFF48BD" hidden="1">#REF!</definedName>
    <definedName name="BO69EFFF11C1D64A69977193D988175ABD" hidden="1">#REF!</definedName>
    <definedName name="BO6A0F97D1C1E44CB5AF6CF13D3CFF16C9" hidden="1">#REF!</definedName>
    <definedName name="BO6A3DDA6506544E82B855C0D104B49B31" hidden="1">#REF!</definedName>
    <definedName name="BO6A5FD84F6F2D4ACA986DAF8954370CFC" hidden="1">#REF!</definedName>
    <definedName name="BO6A6A105B80F247498AEB7B7C2424902B" hidden="1">#REF!</definedName>
    <definedName name="BO6A75FD17C5F84A5B895D0872AAC774EA" hidden="1">#REF!</definedName>
    <definedName name="BO6ABD9CCC4D25488E99F8208B897C4684" hidden="1">#REF!</definedName>
    <definedName name="BO6ADA4A7B015A47E48CE18453C09A9A28" hidden="1">#REF!</definedName>
    <definedName name="BO6B633C7623204F9094615B141A8633A2" hidden="1">#REF!</definedName>
    <definedName name="BO6B71F895F44643F6AAD789C645D0E8E0" hidden="1">#REF!</definedName>
    <definedName name="BO6B9278E652164F859465D5128E6C2661" hidden="1">#REF!</definedName>
    <definedName name="BO6B97BB91ACFB4324BA4CFC955A81ADAA" hidden="1">#REF!</definedName>
    <definedName name="BO6BC86BAA41A547468F6E9AD7931F5287" hidden="1">#REF!</definedName>
    <definedName name="BO6BCCBE0EB9B748A89BDEE5D538ACCDED" hidden="1">#REF!</definedName>
    <definedName name="BO6BCFA7C129A2467E97E597A5147106E1" hidden="1">#REF!</definedName>
    <definedName name="BO6BD7D8156ED44891A5AF1DABF35D4404" hidden="1">#REF!</definedName>
    <definedName name="BO6C05F334454F41C8B0B3678171CEC732" hidden="1">#REF!</definedName>
    <definedName name="BO6C082E03050E482090B01D3CEE896CE6" hidden="1">#REF!</definedName>
    <definedName name="BO6C32A595014942B9A3831CB8C8F5E2EA" hidden="1">#REF!</definedName>
    <definedName name="BO6C68BCC504F8443F856209C9C3C616C1" hidden="1">#REF!</definedName>
    <definedName name="BO6C8F4C54FA22481EA25C9A6E14DB3EE0" hidden="1">#REF!</definedName>
    <definedName name="BO6CA34BCFD336480891D464857FAA1BFF" hidden="1">#REF!</definedName>
    <definedName name="BO6D216F35BD0F4066AC051FA2D670BD8D" hidden="1">#REF!</definedName>
    <definedName name="BO6D36F5B3B1B24C41BA7F9A26F47F6E6F" hidden="1">#REF!</definedName>
    <definedName name="BO6D446ED435C340BBB7D6E1DABF2612F9" hidden="1">#REF!</definedName>
    <definedName name="BO6D48B3A216EA475B9802212D00F2F43D" hidden="1">#REF!</definedName>
    <definedName name="BO6E20ACC79B454036B34808A961B58196" hidden="1">#REF!</definedName>
    <definedName name="BO6E21344F47774A6EB1FA9F73B7BD2423" hidden="1">#REF!</definedName>
    <definedName name="BO6E2C21D508264F6B8B5C46A44C349884" hidden="1">#REF!</definedName>
    <definedName name="BO6E3F7562572A4DBB9CCB8552A974008A" hidden="1">#REF!</definedName>
    <definedName name="BO6E525CCAF5C14CE58AA18850F7DD1E07" hidden="1">#REF!</definedName>
    <definedName name="BO6EAC14737525425DB3D048A74D3C2555" hidden="1">#REF!</definedName>
    <definedName name="BO6EB9FF4451774C2DB2F4D3926A2E04F6" hidden="1">#REF!</definedName>
    <definedName name="BO6EDC325F257E4ED6ACC7EAE5B7ACFF4E" hidden="1">#REF!</definedName>
    <definedName name="BO6EFECEF948934EE8B681373562125C2A" hidden="1">#REF!</definedName>
    <definedName name="BO6F1385820D1146F59BF8E33FCC8B729C" hidden="1">#REF!</definedName>
    <definedName name="BO6F1609D75ECD4FF6BC0FF6228940675C" hidden="1">#REF!</definedName>
    <definedName name="BO6F1E1F5F203B44BC9BB6CFF0E412E2D8" hidden="1">#REF!</definedName>
    <definedName name="BO6F536741FBB948678BFEC393C691E5D5" hidden="1">#REF!</definedName>
    <definedName name="BO6F70F171E044490BBAE91DB164C68637" hidden="1">#REF!</definedName>
    <definedName name="BO6F7397E62F854ABC9A4B8569B35A4877" hidden="1">#REF!</definedName>
    <definedName name="BO6F876995575C4527A03B04DA744B73FB" hidden="1">#REF!</definedName>
    <definedName name="BO6FA2D2E1C86D45A9AAD071B3BB6FAF17" hidden="1">#REF!</definedName>
    <definedName name="BO6FA69CEBBC6742018331746C19B43A60" hidden="1">#REF!</definedName>
    <definedName name="BO6FC7AAE6DE0245BF93272BB56E0A78F5" hidden="1">#REF!</definedName>
    <definedName name="BO6FDA6E7D206B4B7B81E7695256A17B10" hidden="1">#REF!</definedName>
    <definedName name="BO6FED0E09E17C44269179A5BC3F6CC318" hidden="1">#REF!</definedName>
    <definedName name="BO700D962BEB2C4A76B4DB1654681DB4D5" hidden="1">#REF!</definedName>
    <definedName name="BO703AED9A8E984D3DB066D87D9CC0AAF8" hidden="1">#REF!</definedName>
    <definedName name="BO7051D964B75444359686A6D8EA8EE8AB" hidden="1">#REF!</definedName>
    <definedName name="BO705CF1DFE0DE4D389EF730530C15C154" hidden="1">#REF!</definedName>
    <definedName name="BO7094E562A1184812844CD42EA41E280A" hidden="1">#REF!</definedName>
    <definedName name="BO70B2AA6445EA47EDB7786D6CD3A62236" hidden="1">#REF!</definedName>
    <definedName name="BO70BDCDFEA7D14BD68ED91DF4F317EEA2" hidden="1">#REF!</definedName>
    <definedName name="BO70ECA966E29F418D9D52FC442E1E8353" hidden="1">#REF!</definedName>
    <definedName name="BO7106DC84060C4E658091D86955D71B96" hidden="1">#REF!</definedName>
    <definedName name="BO71325101CDD14BD4847E605FB812E00E" hidden="1">#REF!</definedName>
    <definedName name="BO71392F77D91448CF871C0C981693FA2E" hidden="1">#REF!</definedName>
    <definedName name="BO713ED7417A1C4961A087E5B2B6BF355D" hidden="1">#REF!</definedName>
    <definedName name="BO71B3C99DBD0646128A15EEAB772F5CED" hidden="1">#REF!</definedName>
    <definedName name="BO71B62A503F0F4126B139358A87402C5F" hidden="1">#REF!</definedName>
    <definedName name="BO71CBB851E18B4919B08BECFF7D168564" hidden="1">#REF!</definedName>
    <definedName name="BO71D22361E628411D99E583D71033DC8A" hidden="1">#REF!</definedName>
    <definedName name="BO71E3CA1F3102488E93395246AD1ED12F" hidden="1">#REF!</definedName>
    <definedName name="BO71F834AEB5174A799F92A83D02A96630" hidden="1">#REF!</definedName>
    <definedName name="BO72215A72BC8D474AA13A45CAD99CBE96" hidden="1">#REF!</definedName>
    <definedName name="BO723F3F9D1C9D4E4984DAF709942090DC" hidden="1">#REF!</definedName>
    <definedName name="BO72594168DF2A494A91D06EC22DAB422F" hidden="1">#REF!</definedName>
    <definedName name="BO7279B40C726743AEA1D10F4FDA82E066" hidden="1">#REF!</definedName>
    <definedName name="BO729C7144BF3B410F86A028559201D1BC" hidden="1">#REF!</definedName>
    <definedName name="BO72E529392E8C430F8DEA197B49A0A5F6" hidden="1">#REF!</definedName>
    <definedName name="BO72E60F5DCCF74F1B93CFA3ADB443A3E4" hidden="1">#REF!</definedName>
    <definedName name="BO73C8D12805554866BDCFE518BBA0B179" hidden="1">#REF!</definedName>
    <definedName name="BO73D5E3CE0DB6414399F7EE6D4D82A5D9" hidden="1">#REF!</definedName>
    <definedName name="BO740BD9ACD53D4068A50D01FBE388B184" hidden="1">#REF!</definedName>
    <definedName name="BO745C72726784433CA2465633D103E307" hidden="1">#REF!</definedName>
    <definedName name="BO747581AAE69340A3AA55D7E0E33F3BD2" hidden="1">#REF!</definedName>
    <definedName name="BO74850815E6B1496FB74F7BD6E50A4B3F" hidden="1">#REF!</definedName>
    <definedName name="BO748A034528AC408E83941B792E8FA572" hidden="1">#REF!</definedName>
    <definedName name="BO74E54C7D3DB246FD92CE6991D9B2A618" hidden="1">#REF!</definedName>
    <definedName name="BO74EBB284B6E44D8F991552BD3F66BCEE" hidden="1">#REF!</definedName>
    <definedName name="BO74F61FD7579A48E9B280208A620C9635" hidden="1">#REF!</definedName>
    <definedName name="BO74FB646248E345A29000CB6D66A465DD" hidden="1">#REF!</definedName>
    <definedName name="BO751BB62B928C4F22B20A477A18A85A03" hidden="1">#REF!</definedName>
    <definedName name="BO755BFAF8F1BE47CE93D2E222DC51550B" hidden="1">#REF!</definedName>
    <definedName name="BO75691212455E4A329A200FEED489F25F" hidden="1">#REF!</definedName>
    <definedName name="BO756E3C1445D247469896FA894EC4F005" hidden="1">#REF!</definedName>
    <definedName name="BO7580E6D7B3D94206932D02E17C652894" hidden="1">#REF!</definedName>
    <definedName name="BO759F8AE7EA794C918C72E12E9DCF68A2" hidden="1">#REF!</definedName>
    <definedName name="BO75A2E743AECE46AFA74D486D82926E01" hidden="1">#REF!</definedName>
    <definedName name="BO75ADB4F32A9B4C6B9B23A6F06C77B2FA" hidden="1">#REF!</definedName>
    <definedName name="BO75B1AFE3E773475FB97325EBA97E15D4" hidden="1">#REF!</definedName>
    <definedName name="BO75C4101A9A9A47BE958056E317701004" hidden="1">#REF!</definedName>
    <definedName name="BO75EC821199834E478B5ABFB12B4E254B" hidden="1">#REF!</definedName>
    <definedName name="BO75FF3FD4DDA84CB39C4F91511EB9CE55" hidden="1">#REF!</definedName>
    <definedName name="BO76000B08B14A42FA8E260991624932B5" hidden="1">#REF!</definedName>
    <definedName name="BO7663B46CDF5746FEA8D1B90DAA9D7343" hidden="1">#REF!</definedName>
    <definedName name="BO76AB248C19CA4AC8A89A4E53C9FA6D85" hidden="1">#REF!</definedName>
    <definedName name="BO76CA88E084EC4A54AEC7CA1F00F2CFC4" hidden="1">#REF!</definedName>
    <definedName name="BO76DA8C49D5AC48959D01ACC0A51323E6" hidden="1">#REF!</definedName>
    <definedName name="BO76DE8D9A64C642A29533096617FC630B" hidden="1">#REF!</definedName>
    <definedName name="BO77161466E3A248C6B42360A44488D5EB" hidden="1">#REF!</definedName>
    <definedName name="BO772857C878F74C8EBAC2132A89BCE5D2" hidden="1">#REF!</definedName>
    <definedName name="BO773483D3E1804CA69CB9EBAB8EDF44E2" hidden="1">#REF!</definedName>
    <definedName name="BO7735543194A245FBAB0BB9E8F74851DA" hidden="1">#REF!</definedName>
    <definedName name="BO77723F0E62C44BD3A26ABA5DD53B4F2A" hidden="1">#REF!</definedName>
    <definedName name="BO77A82294730E49ADA1F07FC8F00AA69D" hidden="1">#REF!</definedName>
    <definedName name="BO77CC4968C6FB4AE891D9203BB882D196" hidden="1">#REF!</definedName>
    <definedName name="BO77E21B89C8AB4C31920492CF930D9D60" hidden="1">#REF!</definedName>
    <definedName name="BO77E3BD8340C8474DA7D45CEC71ECC2E7" hidden="1">#REF!</definedName>
    <definedName name="BO780FE6F4A17D423CAAAE5E547813AF83" hidden="1">#REF!</definedName>
    <definedName name="BO7825A254A3284232B88DD51D44537CE6" hidden="1">#REF!</definedName>
    <definedName name="BO78293AB6CE91423691629BC52DBE67C5" hidden="1">#REF!</definedName>
    <definedName name="BO786482A3A5514950BBE4162F7C12A46A" hidden="1">#REF!</definedName>
    <definedName name="BO788ED74ED939412CB753298F77C36E43" hidden="1">#REF!</definedName>
    <definedName name="BO7893E4A0FDDA4DEFB6C87748B1C0D7E5" hidden="1">#REF!</definedName>
    <definedName name="BO78A26449E14A4E0898706C634FB8920A" hidden="1">#REF!</definedName>
    <definedName name="BO78C24C51799B48EC9BAD7647746A6F2F" hidden="1">#REF!</definedName>
    <definedName name="BO78CEEB703E4C4D78A579EE8F6D76D929" hidden="1">#REF!</definedName>
    <definedName name="BO7900DBEF3E8C481CB1DBCA63E0704C8E" hidden="1">#REF!</definedName>
    <definedName name="BO796520ECF0BA480DBCDDCB64C9832C4C" hidden="1">#REF!</definedName>
    <definedName name="BO797DA6191F9E43AB8625A5F6351A1609" hidden="1">#REF!</definedName>
    <definedName name="BO798FD8E248DE4C92A7F81EAC0A8F29A7" hidden="1">#REF!</definedName>
    <definedName name="BO79F79C58C8A641CF81752FDEA72C10D9" hidden="1">#REF!</definedName>
    <definedName name="BO7A3E4B6B1E6246EAA461969DE7AEB47B" hidden="1">#REF!</definedName>
    <definedName name="BO7A56D81323D346BCB253ED202182F14C" hidden="1">#REF!</definedName>
    <definedName name="BO7A67D1A3C2D1457494C925FBF571D683" hidden="1">#REF!</definedName>
    <definedName name="BO7A84B87F8EDA4FDBAFF63724D92A7D16" hidden="1">#REF!</definedName>
    <definedName name="BO7AECE17A45E947888D280C0A3669697F" hidden="1">#REF!</definedName>
    <definedName name="BO7AF2782FB7104FC28CFE46F4B181C0A8" hidden="1">#REF!</definedName>
    <definedName name="BO7B3F57C7D37A4D9F932F412B50E3A9C5" hidden="1">#REF!</definedName>
    <definedName name="BO7B4C1F4DCA5C4F91BE3808330ED991B4" hidden="1">#REF!</definedName>
    <definedName name="BO7B5705FA795B4415A95726BFE7507495" hidden="1">#REF!</definedName>
    <definedName name="BO7BBECD97126749A5BD63E736BE94A255" hidden="1">#REF!</definedName>
    <definedName name="BO7BC170CD198B41C692619BD0B2829984" hidden="1">#REF!</definedName>
    <definedName name="BO7BFEA2FCFFCB48E5B36F4809D85D5E7B" hidden="1">#REF!</definedName>
    <definedName name="BO7BFF594E1FEE4946BBAF27C54ADD6291" hidden="1">#REF!</definedName>
    <definedName name="BO7C16913B80E24B5DBA9EBB5E5FE3FBBC" hidden="1">#REF!</definedName>
    <definedName name="BO7C4CD6B9E9C044EB9EC6C389774E6C65" hidden="1">#REF!</definedName>
    <definedName name="BO7C4E1B7E876445188B34969A634BA9DA" hidden="1">#REF!</definedName>
    <definedName name="BO7CB19D575BA4421B91CCC82C209C8073" hidden="1">#REF!</definedName>
    <definedName name="BO7D1FDB8727184C13B4570E65F80DC3A8" hidden="1">#REF!</definedName>
    <definedName name="BO7D2EA66DF2E7481DA3B087A68D516C3D" hidden="1">#REF!</definedName>
    <definedName name="BO7D89FACA725047CB91C9B25626B1B1A8" hidden="1">#REF!</definedName>
    <definedName name="BO7D93C65EB0A44BBF9FCB07C446798A2C" hidden="1">#REF!</definedName>
    <definedName name="BO7DB99E66FA9F4C188B1DA2EB33053C58" hidden="1">#REF!</definedName>
    <definedName name="BO7DBBE8B2D3EF445282BC0CB8AD4B8131" hidden="1">#REF!</definedName>
    <definedName name="BO7E1EB127D17647DCAF66576435571B9D" hidden="1">#REF!</definedName>
    <definedName name="BO7E20AF36C10E4DE1ACFF5DAB21E6F0CF" hidden="1">#REF!</definedName>
    <definedName name="BO7E41D564AEEA4C6280E66CE7C612FD8B" hidden="1">#REF!</definedName>
    <definedName name="BO7E5AD48C85964A4DA0892651C66FB5FA" hidden="1">#REF!</definedName>
    <definedName name="BO7E74EB17091144229C8DA32E72D0B0DE" hidden="1">#REF!</definedName>
    <definedName name="BO7ED2877E1E044BF588CE91B0F73A907C" hidden="1">#REF!</definedName>
    <definedName name="BO7F328DF0B87B4733927898ED428C4902" hidden="1">#REF!</definedName>
    <definedName name="BO7F733737D2164EB396378752B251DF56" hidden="1">#REF!</definedName>
    <definedName name="BO7FA568F38B8549BD8CCB4099EBA6D59E" hidden="1">#REF!</definedName>
    <definedName name="BO7FE15ABA24B8440CB3D66CB2BEB8CD57" hidden="1">#REF!</definedName>
    <definedName name="BO7FED074D327A46A5B3846340D3E435AA" hidden="1">#REF!</definedName>
    <definedName name="BO8026067F176D423BB8A45430475AA310" hidden="1">#REF!</definedName>
    <definedName name="BO806F055F6D3248B38530AA53D8ABD768" hidden="1">#REF!</definedName>
    <definedName name="BO80E41CB5CADD420F8D0E1B0833B86BE7" hidden="1">#REF!</definedName>
    <definedName name="BO80F01F433AED4BA9B57F1088CBCCE98C" hidden="1">#REF!</definedName>
    <definedName name="BO81124862005F424FA1E78C5F5A56CE77" hidden="1">#REF!</definedName>
    <definedName name="BO8116D3330FC0481ABDE5EA390248C0FB" hidden="1">#REF!</definedName>
    <definedName name="BO812D1D90173740FF9EB59A105954F73E" hidden="1">#REF!</definedName>
    <definedName name="BO81398069C13F4CF48755661AA61D4B05" hidden="1">#REF!</definedName>
    <definedName name="BO8152E1CBEABA406BB88B1EA29F8BD9B5" hidden="1">#REF!</definedName>
    <definedName name="BO815A38454A38422DAE2CBA1F342AB384" hidden="1">#REF!</definedName>
    <definedName name="BO8160DAE7346B4302A174200177384D45" hidden="1">#REF!</definedName>
    <definedName name="BO8161C454A2A04D77934C4F2B83E1D4AB" hidden="1">#REF!</definedName>
    <definedName name="BO8185A22756D844D485A4345BFAA5E51B" hidden="1">#REF!</definedName>
    <definedName name="BO81889E13E8BD4C878CCC1CCC34498B32" hidden="1">#REF!</definedName>
    <definedName name="BO81D37D16DB894932AABCA35600FE54D0" hidden="1">#REF!</definedName>
    <definedName name="BO8204C98D845C47289C2A48ACE7BB360F" hidden="1">#REF!</definedName>
    <definedName name="BO823A35FDC9FF43708B18DB11AE72EA46" hidden="1">#REF!</definedName>
    <definedName name="BO82599D26C22F4ECBAFBDBDDD0AC6B9DC" hidden="1">#REF!</definedName>
    <definedName name="BO8270DC61B3634703802A06111963247A" hidden="1">#REF!</definedName>
    <definedName name="BO8271FF2B72A4468699A1BEBB1CE7770A" hidden="1">#REF!</definedName>
    <definedName name="BO828C727B9F184011B97187B8FE59D9AE" hidden="1">#REF!</definedName>
    <definedName name="BO82AF49A840DC4E97A1E3E116C1017164" hidden="1">#REF!</definedName>
    <definedName name="BO82BC65E019234EAF896CAC4231F81781" hidden="1">#REF!</definedName>
    <definedName name="BO82CDE0C0F8AE420C9AB086E3F934D0FC" hidden="1">#REF!</definedName>
    <definedName name="BO82ED3D19CD6E4FE3941A3E1F6AD39401" hidden="1">#REF!</definedName>
    <definedName name="BO834ED8D711B54779884FECD0FD6C40F5" hidden="1">#REF!</definedName>
    <definedName name="BO835775321D284060B20BC052F1967F91" hidden="1">#REF!</definedName>
    <definedName name="BO836104A2FDD3439ABE6D95097289FA9B" hidden="1">#REF!</definedName>
    <definedName name="BO83DE305067F04E1FAF2073E158A42ED1" hidden="1">#REF!</definedName>
    <definedName name="BO83F96117CD7E43729C8F78CE6AA55364" hidden="1">#REF!</definedName>
    <definedName name="BO841E9D2788184F4B99B75B2D56050952" hidden="1">#REF!</definedName>
    <definedName name="BO845C63CD4426489B984D7A614921953B" hidden="1">#REF!</definedName>
    <definedName name="BO8462467AC4C04364864AA7B0E1E7103B" hidden="1">#REF!</definedName>
    <definedName name="BO847CD7266F44473E873D0BAC81568EE4" hidden="1">#REF!</definedName>
    <definedName name="BO8490395EA5A34B7281F95374AA651140" hidden="1">#REF!</definedName>
    <definedName name="BO84ACB7EA827D44EA920269A783FD03AF" hidden="1">#REF!</definedName>
    <definedName name="BO851125B4C9CF4507A505DFFE9759796E" hidden="1">#REF!</definedName>
    <definedName name="BO8537B991C1704514852540F58377C0F2" hidden="1">#REF!</definedName>
    <definedName name="BO8549AD1E42034B56A5A757A435BE5F99" hidden="1">#REF!</definedName>
    <definedName name="BO85A46695882A420C817331A985BB9006" hidden="1">#REF!</definedName>
    <definedName name="BO85B3AD2EFD8B4EB4ACC21B67E6729BC4" hidden="1">#REF!</definedName>
    <definedName name="BO85CA8185403D4829A471E3C021F11823" hidden="1">#REF!</definedName>
    <definedName name="BO85EB01DFCFE245209787E6272A712082" hidden="1">#REF!</definedName>
    <definedName name="BO85F78F97543D4BAEBAA665AE23BF5F6E" hidden="1">#REF!</definedName>
    <definedName name="BO865E85FAE63F471990E87A9EEEA0EBE2" hidden="1">#REF!</definedName>
    <definedName name="BO866A0D13F47E44558B185A80CB233625" hidden="1">#REF!</definedName>
    <definedName name="BO8674B77AC9C34190AE9EF29F8B3699AA" hidden="1">#REF!</definedName>
    <definedName name="BO86887E9489924B3CB6F2E988412CFB38" hidden="1">#REF!</definedName>
    <definedName name="BO868F562CA4E84985BF12F71371CCBC43" hidden="1">#REF!</definedName>
    <definedName name="BO86B6149BCDCC48A98A3D3C8A3A2729E6" hidden="1">#REF!</definedName>
    <definedName name="BO86BA1D0544E24C5C8A8180FF78CB5B06" hidden="1">#REF!</definedName>
    <definedName name="BO870886B6C73540E7BF1183ECA9AFF2B9" hidden="1">#REF!</definedName>
    <definedName name="BO8711D358A64C4D6AA1DE8CD9A503C0BD" hidden="1">#REF!</definedName>
    <definedName name="BO87299F945EA94175941F16F36740FD72" hidden="1">#REF!</definedName>
    <definedName name="BO8774AB7115B9480BA7502A21831439EB" hidden="1">#REF!</definedName>
    <definedName name="BO87B8EF89B2C846A289AE2145FA25030D" hidden="1">#REF!</definedName>
    <definedName name="BO87CACAE458564193B56975B2B5153420" hidden="1">#REF!</definedName>
    <definedName name="BO87F88410ED7F4182BE480F68D5F7E898" hidden="1">#REF!</definedName>
    <definedName name="BO8803BCBBE7974E4D88C057E49C0A7E07" hidden="1">#REF!</definedName>
    <definedName name="BO8827CF9AC78B41C79197737D53769A81" hidden="1">#REF!</definedName>
    <definedName name="BO884007A616A14E82BF8896F6D6B26A5A" hidden="1">#REF!</definedName>
    <definedName name="BO886E487C7EC9459489C12770C18ABEFD" hidden="1">#REF!</definedName>
    <definedName name="BO88B4A6CA845B4661AD2C9B0437234540" hidden="1">#REF!</definedName>
    <definedName name="BO88D455E4ACC843D4B075A8838BBF7D0C" hidden="1">#REF!</definedName>
    <definedName name="BO8916BA3A93DA473688862DC75848CA2A" hidden="1">#REF!</definedName>
    <definedName name="BO891CBAC1FEC041A9B1D2D5CAF876C3F0" hidden="1">#REF!</definedName>
    <definedName name="BO892CFB3B77F84724BE348F89B434721C" hidden="1">#REF!</definedName>
    <definedName name="BO893A612FBBF546A793F9B2F896C82AB5" hidden="1">#REF!</definedName>
    <definedName name="BO897389AC65794E96B87A0E76349A7E34" hidden="1">#REF!</definedName>
    <definedName name="BO8989F6C0B5DE414BADE674ECD51A4FFF" hidden="1">#REF!</definedName>
    <definedName name="BO89D827B7EF21445F830158AB1DB86EC3" hidden="1">#REF!</definedName>
    <definedName name="BO89EB193C9BF34E028B60BA2D06CDA850" hidden="1">#REF!</definedName>
    <definedName name="BO89F9BF5F1CD24F618FE42E6AEBC567DA" hidden="1">#REF!</definedName>
    <definedName name="BO8A11D840060F48A7A732512C54D8EAE5" hidden="1">#REF!</definedName>
    <definedName name="BO8A270233A6574574A5A316C2111A6B1A" hidden="1">#REF!</definedName>
    <definedName name="BO8A64A4873C0043DFB3995AAF8DC72790" hidden="1">#REF!</definedName>
    <definedName name="BO8A6F64578EA54D39B172DBB5F3870C6C" hidden="1">#REF!</definedName>
    <definedName name="BO8A742A3411094EA2AE29F3285CBDE97D" hidden="1">#REF!</definedName>
    <definedName name="BO8A76E1E597094F4AB0C09CE276EBB2AD" hidden="1">#REF!</definedName>
    <definedName name="BO8A921E1B07E84FE58A86CBFB254FC057" hidden="1">#REF!</definedName>
    <definedName name="BO8AA1781CDFE7451D8158DA9690BFD0CF" hidden="1">#REF!</definedName>
    <definedName name="BO8ABE68A54E9F4069ADD8462748851C18" hidden="1">#REF!</definedName>
    <definedName name="BO8AC7E18C57C84E229E0484E8B9B6A88C" hidden="1">#REF!</definedName>
    <definedName name="BO8ACBA67537FE40D9B10DE69058561E8E" hidden="1">#REF!</definedName>
    <definedName name="BO8B313457CD884D279D2548003F5D238D" hidden="1">#REF!</definedName>
    <definedName name="BO8B73BD8E9A0442A5A9F90AA4A70F6203" hidden="1">#REF!</definedName>
    <definedName name="BO8B979C2BC098453D8F62F9ADF5FEC071" hidden="1">#REF!</definedName>
    <definedName name="BO8BAFA77CB8BD4A9592F0A86BBD33A1B0" hidden="1">#REF!</definedName>
    <definedName name="BO8BDE8563DFDD419597EA3D1993A8E10E" hidden="1">#REF!</definedName>
    <definedName name="BO8BF82CAB71EB4877BE2981B52240CDDB" hidden="1">#REF!</definedName>
    <definedName name="BO8BFBEE5EC43D4067962E8A52A23B2D50" hidden="1">#REF!</definedName>
    <definedName name="BO8C0049F46034494F9A9EA954789841B0" hidden="1">#REF!</definedName>
    <definedName name="BO8C46C2D3D27C44F1AA60C52DBE893015" hidden="1">#REF!</definedName>
    <definedName name="BO8C54B39154C04A089EB3A2B03C75FCAD" hidden="1">#REF!</definedName>
    <definedName name="BO8C5D16B390B84E039A4F635DC9723990" hidden="1">#REF!</definedName>
    <definedName name="BO8C5D1AEB64E34CF69E4AEDEE394D2DF0" hidden="1">#REF!</definedName>
    <definedName name="BO8C756DB6D0084392A94AD363D9B3578A" hidden="1">#REF!</definedName>
    <definedName name="BO8C78667FFC67462C9A1643AC3DEA1B4D" hidden="1">#REF!</definedName>
    <definedName name="BO8CD76D68B350487FA0250A4A2EC5C2AD" hidden="1">#REF!</definedName>
    <definedName name="BO8D0213375C7F4E22A8FB01B418680B0B" hidden="1">#REF!</definedName>
    <definedName name="BO8D0ABD8164D04FC8B630B28D32646B09" hidden="1">#REF!</definedName>
    <definedName name="BO8D1B1B1B73DB404588CEED5EB7DBE08B" hidden="1">#REF!</definedName>
    <definedName name="BO8D24E811C41141359E065633B90B3ACB" hidden="1">#REF!</definedName>
    <definedName name="BO8D675C8D2C204F9EA5F6FB0C91BE9377" hidden="1">#REF!</definedName>
    <definedName name="BO8D8CDB5D0D984AF78FA24D1842552A13" hidden="1">#REF!</definedName>
    <definedName name="BO8DE89F4B4DB24B028D65D7B1C37D49A6" hidden="1">#REF!</definedName>
    <definedName name="BO8E04539AF5EA48F4A85BB9D8405EFE31" hidden="1">#REF!</definedName>
    <definedName name="BO8E64C19B77C74B4DA67868374DB4E3C8" hidden="1">#REF!</definedName>
    <definedName name="BO8E95876454BF4F2CA6988C26A165276E" hidden="1">#REF!</definedName>
    <definedName name="BO8EA5CD8275A64439ABF3E0E90503E2EB" hidden="1">#REF!</definedName>
    <definedName name="BO8EAFF7EBC66B4843859F00C277E10C35" hidden="1">#REF!</definedName>
    <definedName name="BO8EDFDB3F4A244405BD653340E001817F" hidden="1">#REF!</definedName>
    <definedName name="BO8EED6EA8341647B18E46E12EF5981737" hidden="1">#REF!</definedName>
    <definedName name="BO8F3F75AB3A994609B8A1BAA8D827B7D0" hidden="1">#REF!</definedName>
    <definedName name="BO8F4458B31E284C0B90A9336E9C28C284" hidden="1">#REF!</definedName>
    <definedName name="BO8F5C237F8C7C40E58D0B879F90947365" hidden="1">#REF!</definedName>
    <definedName name="BO8F9ADFA732534966ACC45B4222D08278" hidden="1">#REF!</definedName>
    <definedName name="BO8FAB3988FD7A4610BB4D6F6553753FB0" hidden="1">#REF!</definedName>
    <definedName name="BO9003C2B1CEA04D4799A07D012743DEC1" hidden="1">#REF!</definedName>
    <definedName name="BO901024E83D29496B899A127B34EC4440" hidden="1">#REF!</definedName>
    <definedName name="BO9010F2C0CC9E494A99E197637D325788" hidden="1">#REF!</definedName>
    <definedName name="BO9027C5BD01DF42DC93C5D78821D24A6C" hidden="1">#REF!</definedName>
    <definedName name="BO90721953D91A42828345C72DA2C886EF" hidden="1">#REF!</definedName>
    <definedName name="BO90D5B7AE6DF34FC6A182261CEF953B81" hidden="1">#REF!</definedName>
    <definedName name="BO90F76DFC9F5F430F88B468A9892E4AC4" hidden="1">#REF!</definedName>
    <definedName name="BO91262F6339964C14984FDE97C6306DF7" hidden="1">#REF!</definedName>
    <definedName name="BO91511019934B448E8E0723C0742ED2AE" hidden="1">#REF!</definedName>
    <definedName name="BO9155D541487B4FBC9E854615EB1B4E06" hidden="1">#REF!</definedName>
    <definedName name="BO9159C1E514C74EDAB686FCB93521755B" hidden="1">#REF!</definedName>
    <definedName name="BO91AF57D4731E42D3BD43C805328349BB" hidden="1">#REF!</definedName>
    <definedName name="BO91C46125583D4C069EE7155B503E3BDC" hidden="1">#REF!</definedName>
    <definedName name="BO920A4D58587E4B348E656E2FB55DBF5A" hidden="1">#REF!</definedName>
    <definedName name="BO924B50D148534EB4BFAB07809F576F86" hidden="1">#REF!</definedName>
    <definedName name="BO92544256210E49188C03B1EBD2040774" hidden="1">#REF!</definedName>
    <definedName name="BO926B5DA94093402CAF44525268D29478" hidden="1">#REF!</definedName>
    <definedName name="BO92714A6ED6124D27829A03BD605CFABF" hidden="1">#REF!</definedName>
    <definedName name="BO928DC16886B2445797C8B9905F1CD971" hidden="1">#REF!</definedName>
    <definedName name="BO92C9ED6F059A4A3FBF49382DA781E052" hidden="1">#REF!</definedName>
    <definedName name="BO92EA0833D1CB48CFB02613AE12C820A4" hidden="1">#REF!</definedName>
    <definedName name="BO92EFCC3CC64A4D068BF90CD047BA59AD" hidden="1">#REF!</definedName>
    <definedName name="BO92EFFAEB634443FE91C7F58365598D5E" hidden="1">#REF!</definedName>
    <definedName name="BO92F6D42A17AC4074BBD00DCE92DF03C9" hidden="1">#REF!</definedName>
    <definedName name="BO930DA66B28B14BEAA44697A5823258AA" hidden="1">#REF!</definedName>
    <definedName name="BO9329BF9F354242D086A1F242CA6684D6" hidden="1">#REF!</definedName>
    <definedName name="BO932B0A19ACC444A2BB8954EED654465A" hidden="1">#REF!</definedName>
    <definedName name="BO933ED92411824C6FAC78C97BA2A11AAB" hidden="1">#REF!</definedName>
    <definedName name="BO933FAA4514814F85818066C84AF854C9" hidden="1">#REF!</definedName>
    <definedName name="BO93A4D280E8CA43DC8B02811F751ABAA2" hidden="1">#REF!</definedName>
    <definedName name="BO93B2980E647143A5A17C67935ED6DC7F" hidden="1">#REF!</definedName>
    <definedName name="BO93EBF6734EA34A90BA493473DE688EBF" hidden="1">#REF!</definedName>
    <definedName name="BO93ECFE632155481DA0FDBB0615E7281C" hidden="1">#REF!</definedName>
    <definedName name="BO93F310F9C2F24700BD756AB5D39C0C70" hidden="1">#REF!</definedName>
    <definedName name="BO9406D55A95A444A3B45C4B90FE2D125A" hidden="1">#REF!</definedName>
    <definedName name="BO94073230D0F44D879F25D75E8A1F6E7E" hidden="1">#REF!</definedName>
    <definedName name="BO94220D9907CC4E24A9678F2D022262BF" hidden="1">#REF!</definedName>
    <definedName name="BO94286E15B5C249DF83B6D785E99910F3" hidden="1">#REF!</definedName>
    <definedName name="BO942AFFE69A8B4A8C80C2C626B5017758" hidden="1">#REF!</definedName>
    <definedName name="BO943F7197EDF04FF2A7D1A29789D38FC7" hidden="1">#REF!</definedName>
    <definedName name="BO9440F575DEAD4D009356CD54D15D0646" hidden="1">#REF!</definedName>
    <definedName name="BO945D4AE586B049C4B26F43D2964BF053" hidden="1">#REF!</definedName>
    <definedName name="BO9479247504A240DB8AA62248BA3AD62A" hidden="1">#REF!</definedName>
    <definedName name="BO948E4098C46048728921E52405E20CE2" hidden="1">#REF!</definedName>
    <definedName name="BO9494C43445E94B2F9101B150DA348936" hidden="1">#REF!</definedName>
    <definedName name="BO94C268B1ABDC4BE5AF160FC92E6E930E" hidden="1">#REF!</definedName>
    <definedName name="BO94CAC1B2B9184A0CA149982A6B0EDA40" hidden="1">#REF!</definedName>
    <definedName name="BO95297CC5443C4A87921219AEDB0053A4" hidden="1">#REF!</definedName>
    <definedName name="BO95315A491963462088AB010F1E6536ED" hidden="1">#REF!</definedName>
    <definedName name="BO9531F6C583AD4A5B8EACA1697DCA76E5" hidden="1">#REF!</definedName>
    <definedName name="BO9546AAE559804D05934EF2CC58527114" hidden="1">#REF!</definedName>
    <definedName name="BO955821DBA81848509481FD646A939426" hidden="1">#REF!</definedName>
    <definedName name="BO9569473B49744295BBBB13BF84496763" hidden="1">#REF!</definedName>
    <definedName name="BO95B8948E71674C9BBD6DC47262E07D3C" hidden="1">#REF!</definedName>
    <definedName name="BO96012A3695F24EEDA41060270FB23FD7" hidden="1">#REF!</definedName>
    <definedName name="BO961753E720B34B64928183DBF2D50EF4" hidden="1">#REF!</definedName>
    <definedName name="BO9619A3E64E904BBF830DEA71105C6554" hidden="1">#REF!</definedName>
    <definedName name="BO961B2829573B4BF3AEDBD5F574CBDFBE" hidden="1">#REF!</definedName>
    <definedName name="BO963AA06C95F0448C98E7B7ADF814B641" hidden="1">#REF!</definedName>
    <definedName name="BO9655D4D083304B6B84234D7B3D520D2C" hidden="1">#REF!</definedName>
    <definedName name="BO96C96D0DC4524E10AD2A3B05945FC3F1" hidden="1">#REF!</definedName>
    <definedName name="BO96D6B2D14BCE426B82DFC4BC6BE36452" hidden="1">#REF!</definedName>
    <definedName name="BO96DD60ACDEAB49279901EDA429A1D057" hidden="1">#REF!</definedName>
    <definedName name="BO9705DA3C5FE549B1B6C232BEE3BE0B4A" hidden="1">#REF!</definedName>
    <definedName name="BO971ABF41FC324365BB3C3958837215AD" hidden="1">#REF!</definedName>
    <definedName name="BO972EF9E0468B46789B22F42FA9EDF429" hidden="1">#REF!</definedName>
    <definedName name="BO97435E36457D4D9F8A41E78406793419" hidden="1">#REF!</definedName>
    <definedName name="BO974DD56617CC44BB82F4580C5391D3C4" hidden="1">#REF!</definedName>
    <definedName name="BO9763C8E8672C44EE9CC8F3034DE59781" hidden="1">#REF!</definedName>
    <definedName name="BO97705033685D404CA111963901512904" hidden="1">#REF!</definedName>
    <definedName name="BO97754172F33648A1B02D0D2E9D35C937" hidden="1">#REF!</definedName>
    <definedName name="BO97B220745DA94ED7BB96EECFA8DC4E6E" hidden="1">#REF!</definedName>
    <definedName name="BO97E864FF22354435934B5E0583930B1A" hidden="1">#REF!</definedName>
    <definedName name="BO9809C12F3B384ADF849C353B35FBAA0D" hidden="1">#REF!</definedName>
    <definedName name="BO9847A201EFCB4ACB9B307CE635AEB5E1" hidden="1">#REF!</definedName>
    <definedName name="BO98CB2505045548E2961B8E6D1605915E" hidden="1">#REF!</definedName>
    <definedName name="BO98D37362E38B4CDA8C9E54163DEBEB0D" hidden="1">#REF!</definedName>
    <definedName name="BO98E5E992939548CE8FEDD43F3C859A4F" hidden="1">#REF!</definedName>
    <definedName name="BO98EE941FAF8946578E04E20339EF8603" hidden="1">#REF!</definedName>
    <definedName name="BO9916AA24635F4BF297FA83B8070D44FE" hidden="1">#REF!</definedName>
    <definedName name="BO9922DCDDA14C416E94C27CE584A50205" hidden="1">#REF!</definedName>
    <definedName name="BO9952FD1FDB394000A77CFF0ECF03E8D2" hidden="1">#REF!</definedName>
    <definedName name="BO9966FC2A064D44348ED41FEA6E021D6E" hidden="1">#REF!</definedName>
    <definedName name="BO99746685114E4D81834B645CEAD25AA3" hidden="1">#REF!</definedName>
    <definedName name="BO9984FAA95CC94B57809C5AA8ADD50266" hidden="1">#REF!</definedName>
    <definedName name="BO99986C2F1A874F3AB3EFFC6732063BAA" hidden="1">#REF!</definedName>
    <definedName name="BO9999A410B168401BA23B06933F517548" hidden="1">#REF!</definedName>
    <definedName name="BO99A5EA3B6465412E99F307619EFF22BA" hidden="1">#REF!</definedName>
    <definedName name="BO99BAC6217DB74194A730AF104092B111" hidden="1">#REF!</definedName>
    <definedName name="BO99C4CA4681754EEA872316A386BE91B9" hidden="1">#REF!</definedName>
    <definedName name="BO99E873DF55E2407AA79BE4AC482D57C1" hidden="1">#REF!</definedName>
    <definedName name="BO99FFBEBD80BD4018998241073ABBEC36" hidden="1">#REF!</definedName>
    <definedName name="BO9A05D1ED402548C7BCD6598F99A3D539" hidden="1">#REF!</definedName>
    <definedName name="BO9A0A3EF557FE4FF79C9C276FF2750A78" hidden="1">#REF!</definedName>
    <definedName name="BO9A4A94F5AF7D4C0395CB3119F73CE421" hidden="1">#REF!</definedName>
    <definedName name="BO9A59FC65E18E4F21B33CA5B9F96320B3" hidden="1">#REF!</definedName>
    <definedName name="BO9A78932710404751B80863614952311A" hidden="1">#REF!</definedName>
    <definedName name="BO9AB4EE1BE75A4835A849BC3D07FB835E" hidden="1">#REF!</definedName>
    <definedName name="BO9AD7468F6951475F80B883FFA1EFF394" hidden="1">#REF!</definedName>
    <definedName name="BO9AE63B8B66BF4271961E67AB87C27BE3" hidden="1">#REF!</definedName>
    <definedName name="BO9AFDD4CFEDE84C3CAEAD110DF748A416" hidden="1">#REF!</definedName>
    <definedName name="BO9B07B29E896D4E689C3E019FE42771E7" hidden="1">#REF!</definedName>
    <definedName name="BO9B640C81FAC3478A9C0CE081CB3E73D5" hidden="1">#REF!</definedName>
    <definedName name="BO9B6675559D5942B3B387B2E69918ECCC" hidden="1">#REF!</definedName>
    <definedName name="BO9BAECBA19405487FB031825E7B70BE1C" hidden="1">#REF!</definedName>
    <definedName name="BO9BB7786E205641A9BCB10515C5FB9C5C" hidden="1">#REF!</definedName>
    <definedName name="BO9BBBD5E6AA58480F99501CB155F50055" hidden="1">#REF!</definedName>
    <definedName name="BO9BC62009464D4CDC8AFA09C3FB8BBE87" hidden="1">#REF!</definedName>
    <definedName name="BO9BE41D1F231A418F830EAA8396305640" hidden="1">#REF!</definedName>
    <definedName name="BO9C17161872F74DB0BA6C03506E72CEFE" hidden="1">#REF!</definedName>
    <definedName name="BO9C95306ECA8A4DF29A67E71B4C27512C" hidden="1">#REF!</definedName>
    <definedName name="BO9CA845EC09454761BFF0DC05A2EB3A06" hidden="1">#REF!</definedName>
    <definedName name="BO9CBCC0D3894A44B58DAC2B863B7E25B3" hidden="1">#REF!</definedName>
    <definedName name="BO9D0FB7C1C3B841A59A5E9CAD840B8C0F" hidden="1">#REF!</definedName>
    <definedName name="BO9D2EC89415594DFCBFA383F91B4F5835" hidden="1">#REF!</definedName>
    <definedName name="BO9D382EA010864BB39B897D3D6C08CE6F" hidden="1">#REF!</definedName>
    <definedName name="BO9D566E07211A4542B709221142FB26CC" hidden="1">#REF!</definedName>
    <definedName name="BO9D5B83458C744002B63E411CDE03ECB7" hidden="1">#REF!</definedName>
    <definedName name="BO9D679CDB0BC745C492504DED9E16F0C1" hidden="1">#REF!</definedName>
    <definedName name="BO9D9E159D0FE347688EBFFA8002E44AD0" hidden="1">#REF!</definedName>
    <definedName name="BO9DE21AB0C811455699C778ECB24B4AD9" hidden="1">#REF!</definedName>
    <definedName name="BO9DEF2EE08D964A7E8310419E9921EE75" hidden="1">#REF!</definedName>
    <definedName name="BO9E003DA1F36B44AB9EC08ACBAEE6F65D" hidden="1">#REF!</definedName>
    <definedName name="BO9E0C25B7E0C84BFE9426A44CBF8937BB" hidden="1">#REF!</definedName>
    <definedName name="BO9E3D1164FF204D198D23C9100A1AEA98" hidden="1">#REF!</definedName>
    <definedName name="BO9E4FD01082214E3F8437C9DF0F856DBF" hidden="1">#REF!</definedName>
    <definedName name="BO9E592C4A1FD54960AAB050B54EBC10CB" hidden="1">#REF!</definedName>
    <definedName name="BO9E99CD5583BF4ABC9E6E2B3ECDCCA708" hidden="1">#REF!</definedName>
    <definedName name="BO9EC96CBE66E94173B9AD6AFFF322328A" hidden="1">#REF!</definedName>
    <definedName name="BO9EE40B3D0579479EA703138ABB06409C" hidden="1">#REF!</definedName>
    <definedName name="BO9EEDCF5DB65140C1B2B70A982B0F3E91" hidden="1">#REF!</definedName>
    <definedName name="BO9F07CBAC4C5F49DE92CC2A52C21CAB7E" hidden="1">#REF!</definedName>
    <definedName name="BO9F10FA186178484FABB4E8B074B15420" hidden="1">#REF!</definedName>
    <definedName name="BO9F34E55FDD3A4D32B20E4E980B02C425" hidden="1">#REF!</definedName>
    <definedName name="BO9F40D694D9684B508FA9A8F103228394" hidden="1">#REF!</definedName>
    <definedName name="BO9F54818F41EF40E6A9F3633AB2F2EA20" hidden="1">#REF!</definedName>
    <definedName name="BO9F6B8C696CF146C280FEB5D6C749222C" hidden="1">#REF!</definedName>
    <definedName name="BO9F71EDDE4E924BF3A0A7E8E09E21BF3A" hidden="1">#REF!</definedName>
    <definedName name="BO9F7F85E5F8D34CDDA86FC6528443462F" hidden="1">#REF!</definedName>
    <definedName name="BO9FBFFA7083694DD3AD4640D05A58F483" hidden="1">#REF!</definedName>
    <definedName name="BO9FDC777231194DEBAE529B75C7703B12" hidden="1">#REF!</definedName>
    <definedName name="BOA006F4ABB05B4841864CE9366EE3464D" hidden="1">#REF!</definedName>
    <definedName name="BOA01AB44C3CB1473A905F71A02375605D" hidden="1">#REF!</definedName>
    <definedName name="BOA03D360312ED4F30BACC528D9A68ADA8" hidden="1">#REF!</definedName>
    <definedName name="BOA092EBD10A39436D961FC4626BA9D54B" hidden="1">#REF!</definedName>
    <definedName name="BOA0973CD7CB0D4427822DCC15C8DC36E6" hidden="1">#REF!</definedName>
    <definedName name="BOA09939E62F734F3790CB58BAACFAF893" hidden="1">#REF!</definedName>
    <definedName name="BOA0A6F7DBC13340D99A8C09D43A8C5FDD" hidden="1">#REF!</definedName>
    <definedName name="BOA0A8CC93F5D64DCD97471686FFBAD7A1" hidden="1">#REF!</definedName>
    <definedName name="BOA103EFA0D3EE40399ECD9FAE4B4DC409" hidden="1">#REF!</definedName>
    <definedName name="BOA11A3364279C4FC0B49B5233DDFB7141" hidden="1">#REF!</definedName>
    <definedName name="BOA13EC5CDB2214E749DF116E65443FF6F" hidden="1">#REF!</definedName>
    <definedName name="BOA141CE166F8440C3A8CD0C0AB35AE9C6" hidden="1">#REF!</definedName>
    <definedName name="BOA152F44A37C4455681690219A61BB8B3" hidden="1">#REF!</definedName>
    <definedName name="BOA15AEAA763514B49B56E0598A1F4F5B6" hidden="1">#REF!</definedName>
    <definedName name="BOA161645A570249BAA9140EF1ADACF4CD" hidden="1">#REF!</definedName>
    <definedName name="BOA169A3CB6EE44860BB3708E0DF1BC3AF" hidden="1">#REF!</definedName>
    <definedName name="BOA1758065E1644D98A1D35456D11460EC" hidden="1">#REF!</definedName>
    <definedName name="BOA1A05E26429E4F3195FA94B46415BFDA" hidden="1">#REF!</definedName>
    <definedName name="BOA1E2A5EE861F49C38EE305E436EEFE96" hidden="1">#REF!</definedName>
    <definedName name="BOA1FF26CC55B443828B3455BBCDFFD9E1" hidden="1">#REF!</definedName>
    <definedName name="BOA22B3CD7328748DCA7244693DF118DB7" hidden="1">#REF!</definedName>
    <definedName name="BOA2412A5E6D57468B938BE2B72C05DA56" hidden="1">#REF!</definedName>
    <definedName name="BOA2534E435EDB40A392C16CD7756BF8AC" hidden="1">#REF!</definedName>
    <definedName name="BOA27561E4E6D54D2E82204A11F24FBE9A" hidden="1">#REF!</definedName>
    <definedName name="BOA283388003664BE3B1DC3A3FFF38FE73" hidden="1">#REF!</definedName>
    <definedName name="BOA2859B8A4F184F7D8C8ACEB84BCC80E1" hidden="1">#REF!</definedName>
    <definedName name="BOA289AA4645634A87B4FB1CCD6F128776" hidden="1">#REF!</definedName>
    <definedName name="BOA29B3938849B4A3C87A0DE3336238EAE" hidden="1">#REF!</definedName>
    <definedName name="BOA2A0FA23CD564225A72813CC35CFC8D6" hidden="1">#REF!</definedName>
    <definedName name="BOA2CC00FFAA57489F9D9480BE93021654" hidden="1">#REF!</definedName>
    <definedName name="BOA2D1DDA741CE4F6B9D71E5D5771574D6" hidden="1">#REF!</definedName>
    <definedName name="BOA2E484543D694D02994BC4EC2F655330" hidden="1">#REF!</definedName>
    <definedName name="BOA315AA4931CC4001A9EC8F6920A91C79" hidden="1">#REF!</definedName>
    <definedName name="BOA32426FCD5BF4607A33D160E9645EB0D" hidden="1">#REF!</definedName>
    <definedName name="BOA33A7D819F024B85B56B7D2A2E4484D7" hidden="1">#REF!</definedName>
    <definedName name="BOA352B72344F0429E86D9ED262C4398FA" hidden="1">#REF!</definedName>
    <definedName name="BOA35594FBAC6C4023A87A6DCB6BA099EA" hidden="1">#REF!</definedName>
    <definedName name="BOA39EB795244B453F9C0B7BB24072C50B" hidden="1">#REF!</definedName>
    <definedName name="BOA3ABC3ACDB7C467FA9004B72803A383E" hidden="1">#REF!</definedName>
    <definedName name="BOA3B2EB35C3BF4AD2AE5C9FBEA422359B" hidden="1">#REF!</definedName>
    <definedName name="BOA3B6C2E31A424B5884BD468565BC45E1" hidden="1">#REF!</definedName>
    <definedName name="BOA3F98ABF94274EBDBA8B8C0A346CF6BF" hidden="1">#REF!</definedName>
    <definedName name="BOA42602D37E80421497F71AE8DF396BFB" hidden="1">#REF!</definedName>
    <definedName name="BOA44AE348903746CA9B8ABE6EF71D1077" hidden="1">#REF!</definedName>
    <definedName name="BOA462C80DE3494FC685782204231EF933" hidden="1">#REF!</definedName>
    <definedName name="BOA4649298C78E4096A85D8FD30642C288" hidden="1">#REF!</definedName>
    <definedName name="BOA4748AD854304C5B817167E99614D86A" hidden="1">#REF!</definedName>
    <definedName name="BOA47E09412705450888DD8453BF6DCA12" hidden="1">#REF!</definedName>
    <definedName name="BOA4940DB879CF4599A4F180784D029065" hidden="1">#REF!</definedName>
    <definedName name="BOA4A383CBB5DA4205B715E501850002D6" hidden="1">#REF!</definedName>
    <definedName name="BOA4B854E4A98E4EE8B599A4C36A99C92F" hidden="1">#REF!</definedName>
    <definedName name="BOA4DF3CBC0DFB41228237A09E59236542" hidden="1">#REF!</definedName>
    <definedName name="BOA4F66357C5124D408BDE2D48F6F81BDA" hidden="1">#REF!</definedName>
    <definedName name="BOA50372BAFCAA49439AF1A75FA936229B" hidden="1">#REF!</definedName>
    <definedName name="BOA50776DD34F341719EF3B1C7B8D350A9" hidden="1">#REF!</definedName>
    <definedName name="BOA52077D9BB274AFAB79A440D6D5E9C65" hidden="1">#REF!</definedName>
    <definedName name="BOA5563290A14545B291A1460769DA573E" hidden="1">#REF!</definedName>
    <definedName name="BOA56250C6D113490494A85508FA96F117" hidden="1">#REF!</definedName>
    <definedName name="BOA569850F54084856964BAC3DD63DE6CF" hidden="1">#REF!</definedName>
    <definedName name="BOA581B3576FD14DDA8428A257E41BD465" hidden="1">#REF!</definedName>
    <definedName name="BOA59812A6C8F6471D8B7808CD5A2D4E46" hidden="1">#REF!</definedName>
    <definedName name="BOA5F52A81589749329CDCE8685E3175F2" hidden="1">#REF!</definedName>
    <definedName name="BOA61A6AC1202F4579BCCF9BDB3C59424F" hidden="1">#REF!</definedName>
    <definedName name="BOA632E1E19F6146D8B540BA96DD9F15BF" hidden="1">#REF!</definedName>
    <definedName name="BOA65CEC24542D4292AAD5283DBB046FE4" hidden="1">#REF!</definedName>
    <definedName name="BOA6CEB363B62D4A5E8653E0BEE5CE80FD" hidden="1">#REF!</definedName>
    <definedName name="BOA6E203E4C48E4F42A3FA31107DA549DE" hidden="1">#REF!</definedName>
    <definedName name="BOA707A60280214C118EE4576BCB8B7DAB" hidden="1">#REF!</definedName>
    <definedName name="BOA712AA636CCB425093E780C6F6E88895" hidden="1">#REF!</definedName>
    <definedName name="BOA728B6EAF7A14885845F7AA7D62EB408" hidden="1">#REF!</definedName>
    <definedName name="BOA74AA104568E47BD86B932FFDA257D7C" hidden="1">#REF!</definedName>
    <definedName name="BOA75545E5DDD144219F5A61A771BF481F" hidden="1">#REF!</definedName>
    <definedName name="BOA78A2F476D7443DA9A43D445AD643547" hidden="1">#REF!</definedName>
    <definedName name="BOA791A74458E94B4FBEE935AC97E2C20A" hidden="1">#REF!</definedName>
    <definedName name="BOA79FF83862C844F696454C0522D0843E" hidden="1">#REF!</definedName>
    <definedName name="BOA7DEC5F243FB4F35912907E0D2F89E0A" hidden="1">#REF!</definedName>
    <definedName name="BOA7FF2C28276841DDA5FD8013F2976256" hidden="1">#REF!</definedName>
    <definedName name="BOA80A354E42AB46F8BB5D1820B60A5551" hidden="1">#REF!</definedName>
    <definedName name="BOA8206628314E4A578EFEF6514ED8FA60" hidden="1">#REF!</definedName>
    <definedName name="BOA845FB7BA6F94DD384D9239414F1084D" hidden="1">#REF!</definedName>
    <definedName name="BOA8540DFBF8EF49C5AB8D4B08918806F3" hidden="1">#REF!</definedName>
    <definedName name="BOA86399A514B142459FA538ED95ED75D7" hidden="1">#REF!</definedName>
    <definedName name="BOA867A12A4E9B4122A055945A85515980" hidden="1">#REF!</definedName>
    <definedName name="BOA880BD92CB5B4C59AA5C0A8CA4F5372F" hidden="1">#REF!</definedName>
    <definedName name="BOA8957C86FB6643AC809FD39567629B64" hidden="1">#REF!</definedName>
    <definedName name="BOA8AB53237752430BB0B4104856BA4E2A" hidden="1">#REF!</definedName>
    <definedName name="BOA8BDC17C9B004D55A015D84C15CB45EB" hidden="1">#REF!</definedName>
    <definedName name="BOA901AF30926D453BB7505F619BF078C6" hidden="1">#REF!</definedName>
    <definedName name="BOA905A35F3C83427BAF8078DEA92E3DCC" hidden="1">#REF!</definedName>
    <definedName name="BOA91942887A174391853984C0DB8FA258" hidden="1">#REF!</definedName>
    <definedName name="BOA924C8471B3D4BEFBFB2779ECB07D4B5" hidden="1">#REF!</definedName>
    <definedName name="BOA92CD5ABDF7142A9A3BBE8219AB7AD1E" hidden="1">#REF!</definedName>
    <definedName name="BOA941C0CD3F314CADA478A0C1CD85D250" hidden="1">#REF!</definedName>
    <definedName name="BOA960BBD34FE24271BB6009F552117A5E" hidden="1">#REF!</definedName>
    <definedName name="BOA97D1C5882D9460FB9B7E8BE3E06D7C7" hidden="1">#REF!</definedName>
    <definedName name="BOA99B3EA44A6444AD81F311DA7CDA0E02" hidden="1">#REF!</definedName>
    <definedName name="BOA9AFF096E6444A7E8455417EDE43E417" hidden="1">#REF!</definedName>
    <definedName name="BOA9DCE25621BA40C296FF0BBC64986F2B" hidden="1">#REF!</definedName>
    <definedName name="BOAA01475766094341BAC5937C45B98679" hidden="1">#REF!</definedName>
    <definedName name="BOAA0860BF715E47AC9514FA50EA6E61AF" hidden="1">#REF!</definedName>
    <definedName name="BOAA1E223595434D068D4C203B89333068" hidden="1">#REF!</definedName>
    <definedName name="BOAA37683A5AAF416AA96E3DADC31E1AC4" hidden="1">#REF!</definedName>
    <definedName name="BOAA3F9143BD93402B92B4D5E889675490" hidden="1">#REF!</definedName>
    <definedName name="BOAA7F88AD6DC24F15815B41B5545C66B0" hidden="1">#REF!</definedName>
    <definedName name="BOAAF327AFC0664C7091659BAFCB27C490" hidden="1">#REF!</definedName>
    <definedName name="BOAAFFA14D3B8C42998A9CCDB720EFA746" hidden="1">#REF!</definedName>
    <definedName name="BOAB2FFF70AB0E4B7DBDC7FC821977E79A" hidden="1">#REF!</definedName>
    <definedName name="BOAB55A49C750F4A04BB95727169E240E7" hidden="1">#REF!</definedName>
    <definedName name="BOAB82E269C9C44E749643F11D7E8DC781" hidden="1">#REF!</definedName>
    <definedName name="BOABA37D4AAAF34670989EA3781641E276" hidden="1">#REF!</definedName>
    <definedName name="BOABBB8A5582AF477181C945BF9631CC31" hidden="1">#REF!</definedName>
    <definedName name="BOABBCC65C502741CFA6171DACF843BA39" hidden="1">#REF!</definedName>
    <definedName name="BOABBEDF0B098A4D5BAD03B9ADDF109A8A" hidden="1">#REF!</definedName>
    <definedName name="BOABE634B5257648299573C5F63F4789DB" hidden="1">#REF!</definedName>
    <definedName name="BOABE796C119AC4DD4AD13723882F95431" hidden="1">#REF!</definedName>
    <definedName name="BOABF49C33DA224342BB7F2E87F17C1DB3" hidden="1">#REF!</definedName>
    <definedName name="BOAC079C7332FB405D90554C0619547187" hidden="1">#REF!</definedName>
    <definedName name="BOAC254DA305B94649A40A1818F4397657" hidden="1">#REF!</definedName>
    <definedName name="BOAC42AA5A12354BB6ABF8F402A90E9584" hidden="1">#REF!</definedName>
    <definedName name="BOAC61F7699EB644B28983D0AA8E23DC41" hidden="1">#REF!</definedName>
    <definedName name="BOAC6F009BD4564DF482F3FD521B8DD5EC" hidden="1">#REF!</definedName>
    <definedName name="BOAC9D19CAAE6E4BA58BB8B42C2FEB90A0" hidden="1">#REF!</definedName>
    <definedName name="BOACB4EB5ACCF641E594B4370068A37C9C" hidden="1">#REF!</definedName>
    <definedName name="BOACBE6399B62B4EE0940B3DE41E102E4C" hidden="1">#REF!</definedName>
    <definedName name="BOAD109524018746029F061D1102BE87A6" hidden="1">#REF!</definedName>
    <definedName name="BOAD20497ABDDF428683C9AA6B905928CA" hidden="1">#REF!</definedName>
    <definedName name="BOAD4C8585543C420C9900B3D1DE628AFD" hidden="1">#REF!</definedName>
    <definedName name="BOAD51D154FD2A44888BB75B466BB3E12D" hidden="1">#REF!</definedName>
    <definedName name="BOADEA752D0A9F4765BC7D7C566BFED409" hidden="1">#REF!</definedName>
    <definedName name="BOAE03B6416C174C3C959BE294997057DF" hidden="1">#REF!</definedName>
    <definedName name="BOAE216CC5B8D845F8813B2A359845EA1B" hidden="1">#REF!</definedName>
    <definedName name="BOAE43C9E5ED7544BF9AA630E3E7AC4A0F" hidden="1">#REF!</definedName>
    <definedName name="BOAE845F26838B4190AB1940D3C571CCD4" hidden="1">#REF!</definedName>
    <definedName name="BOAE9A5402D50645F0AF1D1E3ECB6210EA" hidden="1">#REF!</definedName>
    <definedName name="BOAEDE2D12CB7E485F9D076390A0D1B42E" hidden="1">#REF!</definedName>
    <definedName name="BOAEE4C7AD3A0D4945BAAE43130AE8345F" hidden="1">#REF!</definedName>
    <definedName name="BOAF1B98F1E4DC4A63B1711F6E8BC3F91E" hidden="1">#REF!</definedName>
    <definedName name="BOAF70E8C078C44B15848B0157DAEB030D" hidden="1">#REF!</definedName>
    <definedName name="BOAFB48AC82A044805A64B6552F84ABBAA" hidden="1">#REF!</definedName>
    <definedName name="BOAFE182F766BE4779BE06CF0DCFCE9311" hidden="1">#REF!</definedName>
    <definedName name="BOAFEF08D3BC8E4FA4AF0F9B54EC8311E3" hidden="1">#REF!</definedName>
    <definedName name="BOB0005FEC357741F1B08AFDCDA6737282" hidden="1">#REF!</definedName>
    <definedName name="BOB024CCF181264ECE85BFF081215167FF" hidden="1">#REF!</definedName>
    <definedName name="BOB06879D010704034846308A026AC0104" hidden="1">#REF!</definedName>
    <definedName name="BOB07B7C18C6C940DCA55EFA4F331BC4D8" hidden="1">#REF!</definedName>
    <definedName name="BOB0ADE433516B4482B5672D405EDF049B" hidden="1">#REF!</definedName>
    <definedName name="BOB0CACCD738524BF98BF13A8D99CB826A" hidden="1">#REF!</definedName>
    <definedName name="BOB0D1157E835946EF8B49FC7A4D347D33" hidden="1">#REF!</definedName>
    <definedName name="BOB0DB03BB544B4DDC80F0339B570ABDFD" hidden="1">#REF!</definedName>
    <definedName name="BOB0DE2293AB3D439CABB387AA445D830E" hidden="1">#REF!</definedName>
    <definedName name="BOB0E665E57F50460EAFE68DA73B20B1FB" hidden="1">#REF!</definedName>
    <definedName name="BOB118B30094824A7BB27DE65C8F1CA545" hidden="1">#REF!</definedName>
    <definedName name="BOB11E3C10088E4498AEAA83D086237A5F" hidden="1">#REF!</definedName>
    <definedName name="BOB1378CE222264DCFA73EBB47436B5203" hidden="1">#REF!</definedName>
    <definedName name="BOB13AB377472C4EDEBB446C5D4CFD7FF3" hidden="1">#REF!</definedName>
    <definedName name="BOB184616FB5BC4637B82004F40B23E788" hidden="1">#REF!</definedName>
    <definedName name="BOB185D168B4244E8483A302F590E19A55" hidden="1">#REF!</definedName>
    <definedName name="BOB18CA3F64CB04767AED01AA8490DB779" hidden="1">#REF!</definedName>
    <definedName name="BOB19B4ED5A5DF4C8AAA9FAB05B282DC3E" hidden="1">#REF!</definedName>
    <definedName name="BOB1F1C272A006471A914ACD7DF91D3F84" hidden="1">#REF!</definedName>
    <definedName name="BOB1F3558029C34A18BE2B422B0D9601AB" hidden="1">#REF!</definedName>
    <definedName name="BOB1FC6C03F3E749DF83826D310F4971EC" hidden="1">#REF!</definedName>
    <definedName name="BOB2174B9FD1A845A0AE1CE36C64119C7B" hidden="1">#REF!</definedName>
    <definedName name="BOB2187ECA0E1B4D86BE3F24606F147AA6" hidden="1">#REF!</definedName>
    <definedName name="BOB25C2C23C245424EB9EE1D9E9F34950B" hidden="1">#REF!</definedName>
    <definedName name="BOB26205A33F8B495DB98591C55C49AFEB" hidden="1">#REF!</definedName>
    <definedName name="BOB262E38128BE44AFACB9773BC536ACC0" hidden="1">#REF!</definedName>
    <definedName name="BOB28D198A17724199854C56E873CA3CD9" hidden="1">#REF!</definedName>
    <definedName name="BOB2CFF02E995448899DD7AA9BFA754975" hidden="1">#REF!</definedName>
    <definedName name="BOB2E6C59B39DD4FDDADBB253AB1CA4A42" hidden="1">#REF!</definedName>
    <definedName name="BOB2EC1F6E53524B0FB3EAAB47B75E1A4A" hidden="1">#REF!</definedName>
    <definedName name="BOB2FF2C05B4B24566A4378E9F6A30DAA6" hidden="1">#REF!</definedName>
    <definedName name="BOB30878E62D94405B94EB42E77D410AA6" hidden="1">#REF!</definedName>
    <definedName name="BOB35A440D208A4881A3ABF94FA1592708" hidden="1">#REF!</definedName>
    <definedName name="BOB394F8C1BC9E4FFFB00A89B6B1F07030" hidden="1">#REF!</definedName>
    <definedName name="BOB3BED51348A144A482D58659F020672D" hidden="1">#REF!</definedName>
    <definedName name="BOB3E2F4C5C24F4FDB859294B731A7526D" hidden="1">#REF!</definedName>
    <definedName name="BOB40E52CEE8564B77A41F6A21CE7B305D" hidden="1">#REF!</definedName>
    <definedName name="BOB416943CDCFB4F43AA7C6819E2F9B12D" hidden="1">#REF!</definedName>
    <definedName name="BOB42CD81F746C4B4E95ACCE3D02580BE7" hidden="1">#REF!</definedName>
    <definedName name="BOB43F86CF00F74F48B06EECB2304B477D" hidden="1">#REF!</definedName>
    <definedName name="BOB445E9AD75E847939A2B1557BF5971F9" hidden="1">#REF!</definedName>
    <definedName name="BOB479A46B5B804011BD5757EB99D00230" hidden="1">#REF!</definedName>
    <definedName name="BOB47FC43118E146BDB3CAAF1100AE4BA9" hidden="1">#REF!</definedName>
    <definedName name="BOB499772055A24A87B84BB365CB71EF04" hidden="1">#REF!</definedName>
    <definedName name="BOB4AC7EF692F84E2DA30ABC01858F46BF" hidden="1">#REF!</definedName>
    <definedName name="BOB4E2CA0EE6E74647B60DA3564245A717" hidden="1">#REF!</definedName>
    <definedName name="BOB50BF41DCD164684B1F2B21C949F656F" hidden="1">#REF!</definedName>
    <definedName name="BOB53972A3FF444E36B5C5A6F9314FEF44" hidden="1">#REF!</definedName>
    <definedName name="BOB56475FD822948B7A28C547B153EB0B6" hidden="1">#REF!</definedName>
    <definedName name="BOB57709B4B68746E7B7B36AE6CD17CA91" hidden="1">#REF!</definedName>
    <definedName name="BOB58C2859469F4F7E8180DA5462279541" hidden="1">#REF!</definedName>
    <definedName name="BOB599A09F8E8C43EDA96DE5174F3C32D0" hidden="1">#REF!</definedName>
    <definedName name="BOB5D1339BC11C47F9996A96FA13719AC5" hidden="1">#REF!</definedName>
    <definedName name="BOB5D16031AAE94686A01B98E3F1B32BB1" hidden="1">#REF!</definedName>
    <definedName name="BOB63700DC41E8405192EC6B4CED6A1B62" hidden="1">#REF!</definedName>
    <definedName name="BOB664A434F7C242089CB97CD90496E73A" hidden="1">#REF!</definedName>
    <definedName name="BOB666B5A1CA664A37B71F765D2CEA59FD" hidden="1">#REF!</definedName>
    <definedName name="BOB6711245BFC04DC491D154B426C58F12" hidden="1">#REF!</definedName>
    <definedName name="BOB69A54AB6B0843AA8F5A296614E69E51" hidden="1">#REF!</definedName>
    <definedName name="BOB6A0A16FDDBC445698D5A7013BFF4FAD" hidden="1">#REF!</definedName>
    <definedName name="BOB6A457D7367441AF833D44B69FA81AB6" hidden="1">#REF!</definedName>
    <definedName name="BOB6D73283C9BC4F85BC7AEA002E570DEE" hidden="1">#REF!</definedName>
    <definedName name="BOB6E1122AFC4141AA87003E5075AEB9A7" hidden="1">#REF!</definedName>
    <definedName name="BOB7145384A50344518D8FD9948CD1C4E7" hidden="1">#REF!</definedName>
    <definedName name="BOB72930F608574554957BB4C2630750F3" hidden="1">#REF!</definedName>
    <definedName name="BOB740B50D59FA4EB29F2E8DBE8D7A2963" hidden="1">#REF!</definedName>
    <definedName name="BOB76C63B311474B4E869F1347F0606665" hidden="1">#REF!</definedName>
    <definedName name="BOB832FDF088D846C4895BA05113DA0AD7" hidden="1">#REF!</definedName>
    <definedName name="BOB86C8D0306854CD4B0F867E8A8158DAB" hidden="1">#REF!</definedName>
    <definedName name="BOB87165E3118C47D38853C793508C9940" hidden="1">#REF!</definedName>
    <definedName name="BOB8C1A9F1BC7A40A998408F04E6A4901D" hidden="1">#REF!</definedName>
    <definedName name="BOB8D84C69820C440982813CB320AAA6A8" hidden="1">#REF!</definedName>
    <definedName name="BOB8E45A4C043B45E088448297898BB517" hidden="1">#REF!</definedName>
    <definedName name="BOB8FA4CCA1A4B448494A6D5FBD7007F00" hidden="1">#REF!</definedName>
    <definedName name="BOB90EAF3FF0A343A7BFDA7E349CB8A6C8" hidden="1">#REF!</definedName>
    <definedName name="BOB916E67475FD40C0B6F612D224A65F1D" hidden="1">#REF!</definedName>
    <definedName name="BOB921C37B1DC4491B8A8F9B327DF07744" hidden="1">#REF!</definedName>
    <definedName name="BOB92EC7BA00894C32BC9F274B21BD4F7B" hidden="1">#REF!</definedName>
    <definedName name="BOB9304C7E29B04D9C9C77B24A55EEE53F" hidden="1">#REF!</definedName>
    <definedName name="BOB933B109328E43B08122C926D1EEDE14" hidden="1">#REF!</definedName>
    <definedName name="BOB94BA94A44584A5AB62D61925DD38822" hidden="1">#REF!</definedName>
    <definedName name="BOB9A9269337994CD9995912095A03586A" hidden="1">#REF!</definedName>
    <definedName name="BOBA07D5FEDDBF4CFFACB6E315D8998C1F" hidden="1">#REF!</definedName>
    <definedName name="BOBA12CCBB83DC490293B4024877957D98" hidden="1">#REF!</definedName>
    <definedName name="BOBA181222A7AE4A45AD62F5ED0E622660" hidden="1">#REF!</definedName>
    <definedName name="BOBA24DFB554AF460B8AB282C13492A629" hidden="1">#REF!</definedName>
    <definedName name="BOBA2A09FA3F74474E9CB8537C38559D3A" hidden="1">#REF!</definedName>
    <definedName name="BOBA34D01E25FC4AF18006E289F2DEA305" hidden="1">#REF!</definedName>
    <definedName name="BOBA6F771A713D44818466A48A99D86999" hidden="1">#REF!</definedName>
    <definedName name="BOBA7996250A2C48C0A1B2A9E9E89C4F08" hidden="1">#REF!</definedName>
    <definedName name="BOBA83205E5F2841FC8E5118CDCEC79269" hidden="1">#REF!</definedName>
    <definedName name="BOBAB788881F1D4460854EE1FBFFE8B2E0" hidden="1">#REF!</definedName>
    <definedName name="BOBADED6FB922F4A3CAA610B246C015166" hidden="1">#REF!</definedName>
    <definedName name="BOBB45F71539614D0090D4B6087D188B78" hidden="1">#REF!</definedName>
    <definedName name="BOBB58D5EDD0B1467AB5D9915F132ADF94" hidden="1">#REF!</definedName>
    <definedName name="BOBB5BB6FEEFA64B79BB64C92031FA3AE8" hidden="1">#REF!</definedName>
    <definedName name="BOBB6AE77CF3A54CC3AC51350B77472DF8" hidden="1">#REF!</definedName>
    <definedName name="BOBBAA7F824582476F88CDCFB08F1934D5" hidden="1">#REF!</definedName>
    <definedName name="BOBBDC73CDE37B4F45AB68C38A9635AF80" hidden="1">#REF!</definedName>
    <definedName name="BOBBE4AA840EEC4997B000A639F871E6CE" hidden="1">#REF!</definedName>
    <definedName name="BOBBEA4F95A23E45E1B25DDDD7FC411C90" hidden="1">#REF!</definedName>
    <definedName name="BOBC04FB3E707E4D2489786AEF4796C806" hidden="1">#REF!</definedName>
    <definedName name="BOBC16CFAF95AD4A8D86D3641EA9FE0CCA" hidden="1">#REF!</definedName>
    <definedName name="BOBC26361192634C519AD3E18D48CFA644" hidden="1">#REF!</definedName>
    <definedName name="BOBC4B15CA572E4683B22D1E93207B42A3" hidden="1">#REF!</definedName>
    <definedName name="BOBC8009AB97724AB7B944FF6F455E412C" hidden="1">#REF!</definedName>
    <definedName name="BOBC9E30F080984844B237570A172714A0" hidden="1">#REF!</definedName>
    <definedName name="BOBCAADD13A1F84467B1BBFB74C99EC30A" hidden="1">#REF!</definedName>
    <definedName name="BOBCB33588A4614DF39553836F9E9B99A7" hidden="1">#REF!</definedName>
    <definedName name="BOBCD1D56E09DB4DFAA7DB1D9A7130ED97" hidden="1">#REF!</definedName>
    <definedName name="BOBCE6D0590F1F4A9BBA41EA7B159799C7" hidden="1">#REF!</definedName>
    <definedName name="BOBCEF82B4A18646D583662D742CB2C342" hidden="1">#REF!</definedName>
    <definedName name="BOBD17A2C2D8F347BD99946B7CD678E633" hidden="1">#REF!</definedName>
    <definedName name="BOBD3418D3E6034A599B7DAEA5496D5FDE" hidden="1">#REF!</definedName>
    <definedName name="BOBD4AB5E2FE574DC99B097054215C9A1B" hidden="1">#REF!</definedName>
    <definedName name="BOBD51A79D7FDA451D81D3D3FA930EF10E" hidden="1">#REF!</definedName>
    <definedName name="BOBDCBC5CEFC9147E19737AA97A932005B" hidden="1">#REF!</definedName>
    <definedName name="BOBDD7F3ADA3694C6E8F1CAE0F4BE4749B" hidden="1">#REF!</definedName>
    <definedName name="BOBDDDE587C0FE4B2BB4CA177ADFC0167B" hidden="1">#REF!</definedName>
    <definedName name="BOBE539086D02E49FCAA6D14E00A770963" hidden="1">#REF!</definedName>
    <definedName name="BOBE836A4F3D514C76A86E6929F69D34D2" hidden="1">#REF!</definedName>
    <definedName name="BOBE8F924DB3BC4F038EED0771BA85527D" hidden="1">#REF!</definedName>
    <definedName name="BOBE9E33F6E4374A1FA4BDFB49B0EC0372" hidden="1">#REF!</definedName>
    <definedName name="BOBEA7830841314FCDB7120FD70396E04B" hidden="1">#REF!</definedName>
    <definedName name="BOBEBC91AB89344689A508D7928603507D" hidden="1">#REF!</definedName>
    <definedName name="BOBEDB25FFFAF545899AA7025FE56C6C2F" hidden="1">#REF!</definedName>
    <definedName name="BOBEDF7874AE9D470FA8757B3FE1C5C49B" hidden="1">#REF!</definedName>
    <definedName name="BOBF066253C59B4751B64F555F9CA9FFAF" hidden="1">#REF!</definedName>
    <definedName name="BOBF14B3CAA77F4CC1B3F7F20024F8A96A" hidden="1">#REF!</definedName>
    <definedName name="BOBF166ABC8C78432CA8BFD934BBE79972" hidden="1">#REF!</definedName>
    <definedName name="BOBF218951A49F4995BB917FB43DBD1E9A" hidden="1">#REF!</definedName>
    <definedName name="BOBF2EB7AC0C2E4E0C9817C4936D0FC1CA" hidden="1">#REF!</definedName>
    <definedName name="BOBF387716EA054B5A88F16E8D2F5071A2" hidden="1">#REF!</definedName>
    <definedName name="BOBF4988CD268949D4A253EEEA2B64894B" hidden="1">#REF!</definedName>
    <definedName name="BOBF71F05A89BF45EA8C5D468675F75348" hidden="1">#REF!</definedName>
    <definedName name="BOBF72A77C10CA4EB1AB2AE062D421AC07" hidden="1">#REF!</definedName>
    <definedName name="BOBF8216921A30407686F2EBD0638399EE" hidden="1">#REF!</definedName>
    <definedName name="BOBF946EC04D3547D3BB1C2D55230B5FB2" hidden="1">#REF!</definedName>
    <definedName name="BOBFB6324E87F045BD9652F2FD4088F44D" hidden="1">#REF!</definedName>
    <definedName name="BOBFB9EA6C68994C4DA36158FCBD8427AF" hidden="1">#REF!</definedName>
    <definedName name="BOBFCE70D506DA4B6EB944A29AC6F839D9" hidden="1">#REF!</definedName>
    <definedName name="BOBFFDDF01966245CEAD50F02A4E5CFF2B" hidden="1">#REF!</definedName>
    <definedName name="BOC029C03D489640C28C30B97E1E431499" hidden="1">#REF!</definedName>
    <definedName name="BOC03D34745BAC448FBC3B84E6F54C143B" hidden="1">#REF!</definedName>
    <definedName name="BOC083451CA9584C4B9FAD7385194CD451" hidden="1">#REF!</definedName>
    <definedName name="BOC09371D1F2E84BEEAD586C8440AF9E85" hidden="1">#REF!</definedName>
    <definedName name="BOC107B6717B674C2EB1E24E70C8A2D78E" hidden="1">#REF!</definedName>
    <definedName name="BOC1331A3748714271B2B009F21159B493" hidden="1">#REF!</definedName>
    <definedName name="BOC1540D5EA63B44AAB228E5C3495F8EA1" hidden="1">#REF!</definedName>
    <definedName name="BOC15FB12785484F4FA926E3E4BA4FA48C" hidden="1">#REF!</definedName>
    <definedName name="BOC1665FF270474C74A986A0655C0C97F8" hidden="1">#REF!</definedName>
    <definedName name="BOC1BF282BE1BE476088A0D359CD2ABE06" hidden="1">#REF!</definedName>
    <definedName name="BOC1D51866C6B14E63851A380E2D581C14" hidden="1">#REF!</definedName>
    <definedName name="BOC1DD356020184557A3FA39220108A500" hidden="1">#REF!</definedName>
    <definedName name="BOC1E3AFDEC6DE4B529A2CC02210E9AD12" hidden="1">#REF!</definedName>
    <definedName name="BOC1EB78BA40C6402384910947B22306F7" hidden="1">#REF!</definedName>
    <definedName name="BOC20D6A8136474E8982B135F07AD78981" hidden="1">#REF!</definedName>
    <definedName name="BOC2452160117D45398C90A3A74E219282" hidden="1">#REF!</definedName>
    <definedName name="BOC25CA19C04EB461383765BC725F1A9C0" hidden="1">#REF!</definedName>
    <definedName name="BOC2BD5FFDAEE6428485C3A37469FC06C9" hidden="1">#REF!</definedName>
    <definedName name="BOC30112A4C82B4FDB9A0BE4DE668F4582" hidden="1">#REF!</definedName>
    <definedName name="BOC343F21B6DD940F0A688481148243E9A" hidden="1">#REF!</definedName>
    <definedName name="BOC3568EEBF2E1419EA9BEFDDFA241C67E" hidden="1">#REF!</definedName>
    <definedName name="BOC35ADF6F14B948919BD25280A05E3AC1" hidden="1">#REF!</definedName>
    <definedName name="BOC365FC61CAF6449BB1865E7D5BCCE2C3" hidden="1">#REF!</definedName>
    <definedName name="BOC39750E43B5B4EC892EABA56991C183A" hidden="1">#REF!</definedName>
    <definedName name="BOC3A2C5E32A78490FA02F0D6AFD24DFC0" hidden="1">#REF!</definedName>
    <definedName name="BOC3CBB290D163430A91DDA7599ED108F6" hidden="1">#REF!</definedName>
    <definedName name="BOC438E5AB00C9410DAB817A8739F9C426" hidden="1">#REF!</definedName>
    <definedName name="BOC43B69839854400A904778932A9E664F" hidden="1">#REF!</definedName>
    <definedName name="BOC4471151C06B43499A16E3B350A1CB30" hidden="1">#REF!</definedName>
    <definedName name="BOC482F327D8574379A20E908BC5EB2993" hidden="1">#REF!</definedName>
    <definedName name="BOC49D30DCC91B4948B1B91B358D1BFDF4" hidden="1">#REF!</definedName>
    <definedName name="BOC4B00C308D204BE4B36D6D0F97F6EE83" hidden="1">#REF!</definedName>
    <definedName name="BOC4C301D63FB048DFBBB6C1766C1386B8" hidden="1">#REF!</definedName>
    <definedName name="BOC511D83A0C974EF8AD8E92A38214A8D5" hidden="1">#REF!</definedName>
    <definedName name="BOC522634DDC464314809CDF99493533FC" hidden="1">#REF!</definedName>
    <definedName name="BOC551D7779FF74F4EB6CC609F3CB55CD9" hidden="1">#REF!</definedName>
    <definedName name="BOC551DE2E91D44244ADD2A1963C33F5E1" hidden="1">#REF!</definedName>
    <definedName name="BOC57265C045CA450DBB172F33D90D9979" hidden="1">#REF!</definedName>
    <definedName name="BOC594B4F835E7418D90F061F92E8FB202" hidden="1">#REF!</definedName>
    <definedName name="BOC5AAE40B455D4043B6078A525F8433B7" hidden="1">#REF!</definedName>
    <definedName name="BOC5C310983B4A4E16AECA5B9C6C7341BA" hidden="1">#REF!</definedName>
    <definedName name="BOC611376B3C6C45C99450D1DCF9397302" hidden="1">#REF!</definedName>
    <definedName name="BOC612254B51284FEE866CB31C88AFD453" hidden="1">#REF!</definedName>
    <definedName name="BOC61DAC29429047E49941643414EF43CB" hidden="1">#REF!</definedName>
    <definedName name="BOC6468585AB6A4AE28970E03B2C62231E" hidden="1">#REF!</definedName>
    <definedName name="BOC65919DB60B64FFF93DB70579668EFC1" hidden="1">#REF!</definedName>
    <definedName name="BOC659C53743D5499EADD2474C5A6BE0FB" hidden="1">#REF!</definedName>
    <definedName name="BOC6601207ADB74941835C10583405D57E" hidden="1">#REF!</definedName>
    <definedName name="BOC6AF8DD1DEA34721BD0118E22F55322B" hidden="1">#REF!</definedName>
    <definedName name="BOC720578C9E594CF695ACFADC24BF33A4" hidden="1">#REF!</definedName>
    <definedName name="BOC72BB273A64E48D8828E544B36E74CCB" hidden="1">#REF!</definedName>
    <definedName name="BOC7B274FF472245C2B140F67E5FD1665B" hidden="1">#REF!</definedName>
    <definedName name="BOC7D2E11843E0453DB764C67C96D9ADF1" hidden="1">#REF!</definedName>
    <definedName name="BOC809B7F8F4B14E208E5C54561FDB0F73" hidden="1">#REF!</definedName>
    <definedName name="BOC812A08FFF08478E87D119AB81FAE120" hidden="1">#REF!</definedName>
    <definedName name="BOC8137838440B47DAAC1ED794C15C441F" hidden="1">#REF!</definedName>
    <definedName name="BOC8231C2E9D8D4406BEC83D6F992CA139" hidden="1">#REF!</definedName>
    <definedName name="BOC869EDE25CC544CEA5A645A5E7A6B9AD" hidden="1">#REF!</definedName>
    <definedName name="BOC87D3336154245E3827858692226AFA4" hidden="1">#REF!</definedName>
    <definedName name="BOC896FC9D8F0841CAB1EA5A7E80358CCE" hidden="1">#REF!</definedName>
    <definedName name="BOC89ECEB280F34A1B87031041C2CF7847" hidden="1">#REF!</definedName>
    <definedName name="BOC8BC5627E1B34E0A8B05A4AAB8DD2DE8" hidden="1">#REF!</definedName>
    <definedName name="BOC8C22820924F41ED968636277E46E23C" hidden="1">#REF!</definedName>
    <definedName name="BOC8CE017DA77240AD9FD0EC7D16051AA6" hidden="1">#REF!</definedName>
    <definedName name="BOC8D9B846059147558F9CDF6DDE6F808E" hidden="1">#REF!</definedName>
    <definedName name="BOC8F24FC03F1147E9972C8D9D76295327" hidden="1">#REF!</definedName>
    <definedName name="BOC9021DAEC8534AA88821959B876F2AB8" hidden="1">#REF!</definedName>
    <definedName name="BOC9078726475D48768A4B800B228B8B8C" hidden="1">#REF!</definedName>
    <definedName name="BOC92BDE64A88C4F4888056339739F0504" hidden="1">#REF!</definedName>
    <definedName name="BOC93D76F627824034AADA8A9F13A2889A" hidden="1">#REF!</definedName>
    <definedName name="BOC9786DD1B39B43A0BD52CC797EB809F9" hidden="1">#REF!</definedName>
    <definedName name="BOC979AF26AC844C15B0C4A390E47EDEFD" hidden="1">#REF!</definedName>
    <definedName name="BOC98DCB7764E4486B867068ABA319D462" hidden="1">#REF!</definedName>
    <definedName name="BOC9B43FE1F9D84461AFB00DB17BAEB487" hidden="1">#REF!</definedName>
    <definedName name="BOC9CF91C01B79495EB3EDF264630F3035" hidden="1">#REF!</definedName>
    <definedName name="BOC9D043ABD5CB459188E6E3FD93946123" hidden="1">#REF!</definedName>
    <definedName name="BOCA1F88327DEB4D2DBBA1D321DBFE4FA3" hidden="1">#REF!</definedName>
    <definedName name="BOCA1FB259D8714151AA2B3C6AEA1F0770" hidden="1">#REF!</definedName>
    <definedName name="BOCA37046B007E407686AA5E82F7A8FFC7" hidden="1">#REF!</definedName>
    <definedName name="BOCA5133A1A0DD490591E8590A5076EDB5" hidden="1">#REF!</definedName>
    <definedName name="BOCA7ED576C19B404997CEB1F51D09DA13" hidden="1">#REF!</definedName>
    <definedName name="BOCAE778C3378D4DEA8C59D3D493F17D92" hidden="1">#REF!</definedName>
    <definedName name="BOCB20F1B9F3C846A48126BE531FB918DF" hidden="1">#REF!</definedName>
    <definedName name="BOCB275BC87A58422EA0F9349C40EF7779" hidden="1">#REF!</definedName>
    <definedName name="BOCBA1B95825D144B78E2D686F9E99757B" hidden="1">#REF!</definedName>
    <definedName name="BOCBECE0B77CC842D393B20B9F944CEBB5" hidden="1">#REF!</definedName>
    <definedName name="BOCBF59B6853AE4F78B44ECC74F3D6E9CA" hidden="1">#REF!</definedName>
    <definedName name="BOCBFAF1D642934F1D84D4B8F7579C0857" hidden="1">#REF!</definedName>
    <definedName name="BOCC1EA691A78A4CF0974017D9802E6A50" hidden="1">#REF!</definedName>
    <definedName name="BOCC330219F2FA42238AA019FA4A7434C7" hidden="1">#REF!</definedName>
    <definedName name="BOCC4E1F0139CA4CCE842276D221283B25" hidden="1">#REF!</definedName>
    <definedName name="BOCC858C19D7F047F6ADFC5A40DFBF24A1" hidden="1">#REF!</definedName>
    <definedName name="BOCCE1C932CCA344CE9ECE3EB0DD94638C" hidden="1">#REF!</definedName>
    <definedName name="BOCD19B2F2E8774A589EFF3317FDB5225C" hidden="1">#REF!</definedName>
    <definedName name="BOCD20F214D4AA41C281599C484FB99FDC" hidden="1">#REF!</definedName>
    <definedName name="BOCD23F0C3BE5D4A57B07C7B46AAE9B586" hidden="1">#REF!</definedName>
    <definedName name="BOCD2C6B11CEED44B287F63EABF1C67668" hidden="1">#REF!</definedName>
    <definedName name="BOCD316364C89949588B6EA9EFB7EFED71" hidden="1">#REF!</definedName>
    <definedName name="BOCD3E920BAE7C41B5B4C491D4AB8D55B6" hidden="1">#REF!</definedName>
    <definedName name="BOCD94EC8563CB4322AAB39F7BBEABB319" hidden="1">#REF!</definedName>
    <definedName name="BOCD97881AE04342B9B58E7D82FD2B45E9" hidden="1">#REF!</definedName>
    <definedName name="BOCDA9B7CBD5D9427E84053F8E38F252A0" hidden="1">#REF!</definedName>
    <definedName name="BOCDBD4F3A3DA349B2A9734E12B4FA4152" hidden="1">#REF!</definedName>
    <definedName name="BOCDCDF8EF0E5646DAB0D5AEEACD436DBA" hidden="1">#REF!</definedName>
    <definedName name="BOCDD9929C645542878E90D6D900B798EE" hidden="1">#REF!</definedName>
    <definedName name="BOCDE7F75740B346FC9E55D667CD9EC425" hidden="1">#REF!</definedName>
    <definedName name="BOCDF00353D53047B6A4A85487D43B9AF1" hidden="1">#REF!</definedName>
    <definedName name="BOCE1431147F334E33B41B0302E1BD9519" hidden="1">#REF!</definedName>
    <definedName name="BOCE1BF69715794F4E87C7B791630E9EED" hidden="1">#REF!</definedName>
    <definedName name="BOCE1D2212C92D4302ADFD62D5ACB65176" hidden="1">#REF!</definedName>
    <definedName name="BOCE3F4651FC6D47F6888CAACD6B895BD6" hidden="1">#REF!</definedName>
    <definedName name="BOCE59D3DAB1844F599AC2D0EF7482C0ED" hidden="1">#REF!</definedName>
    <definedName name="BOCEBE29A3E8094395A0CF9CD1AAA1D065" hidden="1">#REF!</definedName>
    <definedName name="BOCED7368BDC814EA9977A0FC117CC1EEF" hidden="1">#REF!</definedName>
    <definedName name="BOCF038B17D1434B6A86DE2821F3844C2A" hidden="1">#REF!</definedName>
    <definedName name="BOCF2CA454D7714DF7803655110854DC0F" hidden="1">#REF!</definedName>
    <definedName name="BOCF3D1CC14C5E4EFAA13121DC4E701CF2" hidden="1">#REF!</definedName>
    <definedName name="BOCF523EEE92D345E98BFF5F175FC3CF90" hidden="1">#REF!</definedName>
    <definedName name="BOCF5983A1FADD40DAAC7E6892F1622A11" hidden="1">#REF!</definedName>
    <definedName name="BOCF7C5B983CBF42DBBDD6CD92650B00B0" hidden="1">#REF!</definedName>
    <definedName name="BOCF89873156A349CD99C522010DADF9FB" hidden="1">#REF!</definedName>
    <definedName name="BOCF96717DA6014EDC80C3AA39BE91443A" hidden="1">#REF!</definedName>
    <definedName name="BOCFC28344B50E4F72945BC627F69A7D0D" hidden="1">#REF!</definedName>
    <definedName name="BOCFC5F04A27E646818E21BB31308C53B4" hidden="1">#REF!</definedName>
    <definedName name="BOD03FD50591A1425293C16D8979726923" hidden="1">#REF!</definedName>
    <definedName name="BOD0447A1F84A848AE8FE0265DA4E43469" hidden="1">#REF!</definedName>
    <definedName name="BOD049906584524697915E494D82ABEA6C" hidden="1">#REF!</definedName>
    <definedName name="BOD0ACCA99C91345F482A513BFCE9186E0" hidden="1">#REF!</definedName>
    <definedName name="BOD0CE909846AF4B5C93B759B9FE505ADE" hidden="1">#REF!</definedName>
    <definedName name="BOD129B1AAD1A8454A988FD077660E0746" hidden="1">#REF!</definedName>
    <definedName name="BOD1571EBC9EFC4719B17E00444AC145C8" hidden="1">#REF!</definedName>
    <definedName name="BOD16D4E30F94E4951AB3786D1D961D3FE" hidden="1">#REF!</definedName>
    <definedName name="BOD19EE91F5D99468F9C79D62A64548F42" hidden="1">#REF!</definedName>
    <definedName name="BOD1D5BE4C0FB24EE798AA74F90F407A1A" hidden="1">#REF!</definedName>
    <definedName name="BOD1F9357DA9A64BF5B6306A06275A8872" hidden="1">#REF!</definedName>
    <definedName name="BOD211DE122DB3497AB5D76A1542188482" hidden="1">#REF!</definedName>
    <definedName name="BOD22B62E0D3D9450598F759030DDF895E" hidden="1">#REF!</definedName>
    <definedName name="BOD230302E244347D0800B1FE794A98043" hidden="1">#REF!</definedName>
    <definedName name="BOD2367E7BD60547E68E9D20C429DC1536" hidden="1">#REF!</definedName>
    <definedName name="BOD2974288C8344CB9981C0B5A2E924BBC" hidden="1">#REF!</definedName>
    <definedName name="BOD30584112A9549E48949A93D8039E4F6" hidden="1">#REF!</definedName>
    <definedName name="BOD307E5F479264767B463B99E251AE3B1" hidden="1">#REF!</definedName>
    <definedName name="BOD362591848624AB7BE2C8B3AAD7614EC" hidden="1">#REF!</definedName>
    <definedName name="BOD3B4567942A74870ACFA86C24659E392" hidden="1">#REF!</definedName>
    <definedName name="BOD3C8E760EBF4481FA1151651A2CE45F5" hidden="1">#REF!</definedName>
    <definedName name="BOD3D164D82A744D349944A2A4C12AC6C2" hidden="1">#REF!</definedName>
    <definedName name="BOD3D705DAB5324AE6A0460FD1B8021FD2" hidden="1">#REF!</definedName>
    <definedName name="BOD404D5F4D6104339BA3ACB5CB4FD091A" hidden="1">#REF!</definedName>
    <definedName name="BOD475444D2F7646A1932BB6C5A1117279" hidden="1">#REF!</definedName>
    <definedName name="BOD484ECF67C214C179402F1A9DB88B556" hidden="1">#REF!</definedName>
    <definedName name="BOD4B8AEC8EB9B455EBC82ADE84BFE1969" hidden="1">#REF!</definedName>
    <definedName name="BOD4C2216847B647D8B4D3A0954B6CB148" hidden="1">#REF!</definedName>
    <definedName name="BOD4C74FD8D1C64510899C02AFBA21037D" hidden="1">#REF!</definedName>
    <definedName name="BOD4F0099CA2E5413C90FDBEAE610F6613" hidden="1">#REF!</definedName>
    <definedName name="BOD4F78C2E32CE40AEB95B29DBD0B9E6A8" hidden="1">#REF!</definedName>
    <definedName name="BOD56983E5837D4255991E6CB791DEA783" hidden="1">#REF!</definedName>
    <definedName name="BOD589C64A18FB4E39808CD1A9801D9FF1" hidden="1">#REF!</definedName>
    <definedName name="BOD5A1654692584EBD9A4C27B60244E347" hidden="1">#REF!</definedName>
    <definedName name="BOD5AC6DCB5AFB4CAB92836B1090B745A2" hidden="1">#REF!</definedName>
    <definedName name="BOD5B944D7D611407DBE1C2E9AD4B12423" hidden="1">#REF!</definedName>
    <definedName name="BOD5BA562CEF6B4E8593C7650256496875" hidden="1">#REF!</definedName>
    <definedName name="BOD5F38165B4F64CCEAE1233F99E1C1D10" hidden="1">#REF!</definedName>
    <definedName name="BOD6000BBE6ADA4F37B41FCA2EA4794054" hidden="1">#REF!</definedName>
    <definedName name="BOD6091EBE9E4D4E7088A85736BE77FBC4" hidden="1">#REF!</definedName>
    <definedName name="BOD6093DB2F42544739F3F0BC6B185776E" hidden="1">#REF!</definedName>
    <definedName name="BOD666E0EA748C4906A50FDE186DC7A343" hidden="1">#REF!</definedName>
    <definedName name="BOD689611FA42248308D3AEC62500BF17E" hidden="1">#REF!</definedName>
    <definedName name="BOD6C2AF20BFCC436F8212AE446F7FBF3F" hidden="1">#REF!</definedName>
    <definedName name="BOD6F75FC25E2D470E8DEA7A2C735F8787" hidden="1">#REF!</definedName>
    <definedName name="BOD7117E6358C242E3A1E99B0A14C7E296" hidden="1">#REF!</definedName>
    <definedName name="BOD7359D4D72344971A55B6DE10166EC3A" hidden="1">#REF!</definedName>
    <definedName name="BOD74816BF53604C1A8EBE7794E78C6157" hidden="1">#REF!</definedName>
    <definedName name="BOD75E9FD91EEB4991967840667D14ADE1" hidden="1">#REF!</definedName>
    <definedName name="BOD76C4C62ED6349BA82C6E762885F9C42" hidden="1">#REF!</definedName>
    <definedName name="BOD7827679259E487A82EFBD97FB249CE4" hidden="1">#REF!</definedName>
    <definedName name="BOD7A20F011DC3496F8EABD9053412155F" hidden="1">#REF!</definedName>
    <definedName name="BOD7D258278B4E4E4AA509D9197261A0B6" hidden="1">#REF!</definedName>
    <definedName name="BOD7D4711B87494F72B9462DABAD2DC16A" hidden="1">#REF!</definedName>
    <definedName name="BOD7D61BB333884A59A2C1D33A88CD9F47" hidden="1">#REF!</definedName>
    <definedName name="BOD7DA78831B7D48AE8E9730BE01D093B4" hidden="1">#REF!</definedName>
    <definedName name="BOD829974450B945C5A22B9631131E3E46" hidden="1">#REF!</definedName>
    <definedName name="BOD850650076FB4BE9871891647862E226" hidden="1">#REF!</definedName>
    <definedName name="BOD86240FF503D4482871F210F78E6EAF1" hidden="1">#REF!</definedName>
    <definedName name="BOD8667399EA71405F87B99EFA114442CA" hidden="1">#REF!</definedName>
    <definedName name="BOD874E9B7452B43E3896CE7DCCA6B8098" hidden="1">#REF!</definedName>
    <definedName name="BOD87AF798F4114AAE832DA72E182DC955" hidden="1">#REF!</definedName>
    <definedName name="BOD89421961BB04B30A18D09156E068BB7" hidden="1">#REF!</definedName>
    <definedName name="BOD8F132C61D834425A5AB58E021D51B78" hidden="1">#REF!</definedName>
    <definedName name="BOD9075F94CA5E4DF49026448EF16C6BC2" hidden="1">#REF!</definedName>
    <definedName name="BOD932BB85A2EA4DE7821393AA49C1C395" hidden="1">#REF!</definedName>
    <definedName name="BOD943A115A65C44929A9117010923227D" hidden="1">#REF!</definedName>
    <definedName name="BOD9559A9C37E4433E9A2515161293F207" hidden="1">#REF!</definedName>
    <definedName name="BOD95A4F3C7E5643819BB2404D8D3C844B" hidden="1">#REF!</definedName>
    <definedName name="BOD96324D7AA0D403DA0608422F8714591" hidden="1">#REF!</definedName>
    <definedName name="BOD96AF82529F54504A665EA4AEF6C316F" hidden="1">#REF!</definedName>
    <definedName name="BOD96E3FB0F08B4BA793D580A9BB11918A" hidden="1">#REF!</definedName>
    <definedName name="BOD985D8DFEF844A22A4066793823C10D6" hidden="1">#REF!</definedName>
    <definedName name="BOD99A1BF81C5B41C8AE446A73B518337B" hidden="1">#REF!</definedName>
    <definedName name="BOD99BCDC70C184DDFAF6D60D7C6E5517B" hidden="1">#REF!</definedName>
    <definedName name="BOD9A42C58406D4E608CC8FCBA4AFB85CF" hidden="1">#REF!</definedName>
    <definedName name="BODA375714EEA345AB87E9DFF80B6A4F21" hidden="1">#REF!</definedName>
    <definedName name="BODA43B8E6CC44409AB32EDA5EC1C2D534" hidden="1">#REF!</definedName>
    <definedName name="BODA4BB33FF9E64FF5820E7F9B0AA4D353" hidden="1">#REF!</definedName>
    <definedName name="BODA5A40D6E6F14474A347255EB2CE0830" hidden="1">#REF!</definedName>
    <definedName name="BODA7B6ECB5BD9411FA5F149FBD6A417D8" hidden="1">#REF!</definedName>
    <definedName name="BODA96815803994119B481057BFF9E1AFA" hidden="1">#REF!</definedName>
    <definedName name="BODADA2F4581F642CE9110CA83D2F68CC5" hidden="1">#REF!</definedName>
    <definedName name="BODAFE33F3F0F24DF68180B0C5FACF094E" hidden="1">#REF!</definedName>
    <definedName name="BODAFE438D2A524D94896C2A23B0EBD390" hidden="1">#REF!</definedName>
    <definedName name="BODB51402C13E54FD9ACD87EBAAB07CBAD" hidden="1">#REF!</definedName>
    <definedName name="BODB6D0286CAFA43D0B1FF4F03C3CCED95" hidden="1">#REF!</definedName>
    <definedName name="BODB8D1BF6E5DA4A67AC16C08B05DABAF3" hidden="1">#REF!</definedName>
    <definedName name="BODBA61B9A973B4DBF80DAFFCFA52A46F7" hidden="1">#REF!</definedName>
    <definedName name="BODBC3E114B6BA433B95744F76179805E1" hidden="1">#REF!</definedName>
    <definedName name="BODBD351D67E7342638656268F62E3FEAD" hidden="1">#REF!</definedName>
    <definedName name="BODC12D5C9AE1345F38FFB7CC8A3BE043C" hidden="1">#REF!</definedName>
    <definedName name="BODC2F0323AD924436ABFB4D23525B29AF" hidden="1">#REF!</definedName>
    <definedName name="BODC342A3652B944F09E1FCD60DF1F133D" hidden="1">#REF!</definedName>
    <definedName name="BODC35D2D9197948F5B41EF4D2CE5E8576" hidden="1">#REF!</definedName>
    <definedName name="BODC43C42893F5471992092AACDD77C08F" hidden="1">#REF!</definedName>
    <definedName name="BODCDC60E0DAE14E1A87E177A39424DBBA" hidden="1">#REF!</definedName>
    <definedName name="BODCF9B3C3B64847C5B7AA49E141E8367F" hidden="1">#REF!</definedName>
    <definedName name="BODD55D711679540EBA8B4626BAFC0C961" hidden="1">#REF!</definedName>
    <definedName name="BODD87356B32F3448BA7F6D80C4681836A" hidden="1">#REF!</definedName>
    <definedName name="BODD912D5833004681A88D2F9EF257B7C0" hidden="1">#REF!</definedName>
    <definedName name="BODD9480E3CACE4F268ADF8A4111607E56" hidden="1">#REF!</definedName>
    <definedName name="BODDA82180A02945AABDD7BADBD4BB12C4" hidden="1">#REF!</definedName>
    <definedName name="BODDC65C1306484FAD8C5B5098B18FA369" hidden="1">#REF!</definedName>
    <definedName name="BODDE486C3BA604263A250727A6C11879D" hidden="1">#REF!</definedName>
    <definedName name="BODDEFC0D0572B4042AB60AB186BB501E7" hidden="1">#REF!</definedName>
    <definedName name="BODE40BF5CBE26430282B79A6769A9E4EE" hidden="1">#REF!</definedName>
    <definedName name="BODE768A9B2D54461F9A71EC094B8BFEA9" hidden="1">#REF!</definedName>
    <definedName name="BODE811A6228654F54939A745212057316" hidden="1">#REF!</definedName>
    <definedName name="BODE89B1DA731A4454A01E45129D52F892" hidden="1">#REF!</definedName>
    <definedName name="BODE9072EB3BFB4B1C92C8FCDBBE8360D7" hidden="1">#REF!</definedName>
    <definedName name="BODECEBD48E9604A83A10F1F22350794BF" hidden="1">#REF!</definedName>
    <definedName name="BODEF3253214EB42739241C6059132B79D" hidden="1">#REF!</definedName>
    <definedName name="BODF01B683526347E0ACBE5A579DBFCF9C" hidden="1">#REF!</definedName>
    <definedName name="BODF073AE731E849BDACD3A7E9DA3E9CE6" hidden="1">#REF!</definedName>
    <definedName name="BODF094FBD134141929A57AFD3107DEBE1" hidden="1">#REF!</definedName>
    <definedName name="BODF744399BFC0430AA3F357277380EE88" hidden="1">#REF!</definedName>
    <definedName name="BODFB578F516AA465893C1FE1B2B12D366" hidden="1">#REF!</definedName>
    <definedName name="BOE006847D0A6D4D4D8D2533E19C49D667" hidden="1">#REF!</definedName>
    <definedName name="BOE006ED9E20C3444F8CEAF6E03763551D" hidden="1">#REF!</definedName>
    <definedName name="BOE00DA9EEAD2747C89688401F227A1B47" hidden="1">#REF!</definedName>
    <definedName name="BOE017B1FDF9474AB39B4D907FFF9B93B4" hidden="1">#REF!</definedName>
    <definedName name="BOE034E323591D4D3081245B383BB615E3" hidden="1">#REF!</definedName>
    <definedName name="BOE0360C2D533540EA91E5BF1F73B1D78C" hidden="1">#REF!</definedName>
    <definedName name="BOE0576357A0FB48FFB1C2EE97C539209D" hidden="1">#REF!</definedName>
    <definedName name="BOE05AB811E6DC47F588E989213BDA0E49" hidden="1">#REF!</definedName>
    <definedName name="BOE072055565B440F0B96E015B8A86281B" hidden="1">#REF!</definedName>
    <definedName name="BOE07673114B354AADB2FE0F4CF47306B1" hidden="1">#REF!</definedName>
    <definedName name="BOE07C99ECF2B04F24AF66BE9134092175" hidden="1">#REF!</definedName>
    <definedName name="BOE0B675C6FF644F25ABE231535B04807E" hidden="1">#REF!</definedName>
    <definedName name="BOE0BE8FB3CBC74049B3BDC5FBC4F0515A" hidden="1">#REF!</definedName>
    <definedName name="BOE0F80A181E3C4F628830B11216FE6E5C" hidden="1">#REF!</definedName>
    <definedName name="BOE11978DCD81043259E316E7A919B3956" hidden="1">#REF!</definedName>
    <definedName name="BOE12937672CEA40B2A2C0AC7904CC44AE" hidden="1">#REF!</definedName>
    <definedName name="BOE13AB4235AC2402DAB027B3936B550B9" hidden="1">#REF!</definedName>
    <definedName name="BOE153C64737424AE6B4DB32194D7FF0E2" hidden="1">#REF!</definedName>
    <definedName name="BOE18C517FEAEA45E8BCA8C8C731F3D920" hidden="1">#REF!</definedName>
    <definedName name="BOE19089FAC16F4B8688A0492982FF446E" hidden="1">#REF!</definedName>
    <definedName name="BOE1D5BDF45331474CB5BCDA5D62240B3B" hidden="1">#REF!</definedName>
    <definedName name="BOE1D864672D394290A795746A1DE77B08" hidden="1">#REF!</definedName>
    <definedName name="BOE2120FD099664455B8C4D55E1FF026FD" hidden="1">#REF!</definedName>
    <definedName name="BOE214051AC1A748E081A158A11E4ADD05" hidden="1">#REF!</definedName>
    <definedName name="BOE22CD0E0569A49439417A071544CE72A" hidden="1">#REF!</definedName>
    <definedName name="BOE25B77D6C27540E6AAA556148B083B53" hidden="1">#REF!</definedName>
    <definedName name="BOE263959986DE4AC8B573670D83DDB9EF" hidden="1">#REF!</definedName>
    <definedName name="BOE28EA0D9163A45FDBB2590D2729647C9" hidden="1">#REF!</definedName>
    <definedName name="BOE2D85861CE134B2899A88CE95589BEA9" hidden="1">#REF!</definedName>
    <definedName name="BOE307F88CF982433D8A5E1A5800FD2AD4" hidden="1">#REF!</definedName>
    <definedName name="BOE32845D4217248B5A29BB1EF05A74B53" hidden="1">#REF!</definedName>
    <definedName name="BOE337F40BCDB04761B6982A92D8288043" hidden="1">#REF!</definedName>
    <definedName name="BOE3903726787A43369D14E2CFD75168C1" hidden="1">#REF!</definedName>
    <definedName name="BOE3A961B9C77F419C80AA8DBDE61BF21F" hidden="1">#REF!</definedName>
    <definedName name="BOE3D3C537354043529495944246227E54" hidden="1">#REF!</definedName>
    <definedName name="BOE3EAB94B34994813A192F85F34F64788" hidden="1">#REF!</definedName>
    <definedName name="BOE447A50A6A0445EDA278C8F6684F9F56" hidden="1">#REF!</definedName>
    <definedName name="BOE449661142474D1998C432F3D15150A8" hidden="1">#REF!</definedName>
    <definedName name="BOE4553A17435E44E1A73A3E8C5BB03776" hidden="1">#REF!</definedName>
    <definedName name="BOE4570C8160CD449BA2EB7A5799F3D970" hidden="1">#REF!</definedName>
    <definedName name="BOE46F6DB57CC5418DB632FD6AA4046084" hidden="1">#REF!</definedName>
    <definedName name="BOE4864185A3864D3AB1C30FBB75915886" hidden="1">#REF!</definedName>
    <definedName name="BOE49A28902F614E22AADB7D311EBA846E" hidden="1">#REF!</definedName>
    <definedName name="BOE4CBEA97B39C41D8BA6F03263BFA8066" hidden="1">#REF!</definedName>
    <definedName name="BOE4D5A5154F4C482B944548BC47E31E5D" hidden="1">#REF!</definedName>
    <definedName name="BOE545914D51B74F8F80A99121E9F681D3" hidden="1">#REF!</definedName>
    <definedName name="BOE5480C2C9C554E828BCF6B26CE00644E" hidden="1">#REF!</definedName>
    <definedName name="BOE549C9E705DE4877993E07C59BDC0CE5" hidden="1">#REF!</definedName>
    <definedName name="BOE55435D37049454395ECA083E501131D" hidden="1">#REF!</definedName>
    <definedName name="BOE585DC72C4564FA68F5AA993D43A7E96" hidden="1">#REF!</definedName>
    <definedName name="BOE5AA83923A2A4251A365967B0FABE997" hidden="1">#REF!</definedName>
    <definedName name="BOE5C36DE72DD74A34BA37E9397BF4B1BF" hidden="1">#REF!</definedName>
    <definedName name="BOE5D737DF7DC04EF4A3F1879E3C59FBA5" hidden="1">#REF!</definedName>
    <definedName name="BOE5DB18EC4BF143CAB33F7AB9CE0BC7AD" hidden="1">#REF!</definedName>
    <definedName name="BOE5E15CBA8693404E95C6E7532B0455DE" hidden="1">#REF!</definedName>
    <definedName name="BOE5F1AA16B89C46E08917B4E586F61146" hidden="1">#REF!</definedName>
    <definedName name="BOE642644C80644606B590C952B2B679BB" hidden="1">#REF!</definedName>
    <definedName name="BOE6472F62E05843E3A42485F3FC4DAA7B" hidden="1">#REF!</definedName>
    <definedName name="BOE64B65D0B2E3477D965DA34BE633B705" hidden="1">#REF!</definedName>
    <definedName name="BOE671A811FEE443B0AF77FFD7B973E3D8" hidden="1">#REF!</definedName>
    <definedName name="BOE69EC63A965D4D389109A1397229FE81" hidden="1">#REF!</definedName>
    <definedName name="BOE6CF0641D1CF4974818BF6A3C75563DF" hidden="1">#REF!</definedName>
    <definedName name="BOE6CF7371C48B4B4CA75BF8C02972E606" hidden="1">#REF!</definedName>
    <definedName name="BOE6D827D9E2DE489ABEBB24B97E6503E8" hidden="1">#REF!</definedName>
    <definedName name="BOE6EC2B01DAAC4CAA860BFF94370676C8" hidden="1">#REF!</definedName>
    <definedName name="BOE723E5A34F7C49D89A97CE036F53E20A" hidden="1">#REF!</definedName>
    <definedName name="BOE741AA47A5B7491BB12A8962C001BCD6" hidden="1">#REF!</definedName>
    <definedName name="BOE74688F5AC1E4867865C628E71974C74" hidden="1">#REF!</definedName>
    <definedName name="BOE749E2E453224EDE819CB02CD51A08BE" hidden="1">#REF!</definedName>
    <definedName name="BOE75B49FAF61B4EF69763E611B56CE634" hidden="1">#REF!</definedName>
    <definedName name="BOE76250712D36454EA8BD340089539AD6" hidden="1">#REF!</definedName>
    <definedName name="BOE76431D47602405BB3C0FF818CC34755" hidden="1">#REF!</definedName>
    <definedName name="BOE776B09F34E244928F8EA22D197685DA" hidden="1">#REF!</definedName>
    <definedName name="BOE7CBB0CC34384B958962B499B09B2EFE" hidden="1">#REF!</definedName>
    <definedName name="BOE7DFAF165385446BA6A3484A6449F5EB" hidden="1">#REF!</definedName>
    <definedName name="BOE7EC9B4E00164CB5B67EF6A26F794461" hidden="1">#REF!</definedName>
    <definedName name="BOE7F286C313164F68BF206AFA08DBC094" hidden="1">#REF!</definedName>
    <definedName name="BOE7FB822E1C854B0080C789D2304CB9DE" hidden="1">#REF!</definedName>
    <definedName name="BOE7FF59A65485454D9BAF35A631532BE7" hidden="1">#REF!</definedName>
    <definedName name="BOE8052FE958B8496D959F6782B970EA25" hidden="1">#REF!</definedName>
    <definedName name="BOE8473256F0E74B51A0AF9E07903BA006" hidden="1">#REF!</definedName>
    <definedName name="BOE84E82EEFCCE41D0BA91EFACF23EBFA7" hidden="1">#REF!</definedName>
    <definedName name="BOE884DB0E080F4026AEDEAD76588B78FC" hidden="1">#REF!</definedName>
    <definedName name="BOE8970DB59C714C8BA0FB79E01170D916" hidden="1">#REF!</definedName>
    <definedName name="BOE8DBD581E91E43A295718AF22899C040" hidden="1">#REF!</definedName>
    <definedName name="BOE8FD561F920B4D0EB0A7FF754C48EC59" hidden="1">#REF!</definedName>
    <definedName name="BOE9070F3F0E5C4CECA88BDCD0FE83FACA" hidden="1">#REF!</definedName>
    <definedName name="BOE9145CAB99E74AFE9E99E9CC29206FC8" hidden="1">#REF!</definedName>
    <definedName name="BOE919721A160440009B2F08B691E057F6" hidden="1">#REF!</definedName>
    <definedName name="BOE9365DA92F0142D688109164C3F00B4C" hidden="1">#REF!</definedName>
    <definedName name="BOE93FF485CBB143C8B17639519B225C67" hidden="1">#REF!</definedName>
    <definedName name="BOE9711470A17248E1818E183991FEFBE1" hidden="1">#REF!</definedName>
    <definedName name="BOE986E94CE98349AE8748D58895E44442" hidden="1">#REF!</definedName>
    <definedName name="BOE9A94086040D4182824491AC50D5A715" hidden="1">#REF!</definedName>
    <definedName name="BOE9C1CB3E7BDF4A4B99B9C11169458EA4" hidden="1">#REF!</definedName>
    <definedName name="BOE9D930B87D734F9798F59AA71877AC27" hidden="1">#REF!</definedName>
    <definedName name="BOE9E6BF7CEFB94FE1A00EF1AF9DE0670D" hidden="1">#REF!</definedName>
    <definedName name="BOEA23F73FE7434EFCA0F38B740B2A71CE" hidden="1">#REF!</definedName>
    <definedName name="BOEA3DBC7CAAA9402E85E619F5B8A0658D" hidden="1">#REF!</definedName>
    <definedName name="BOEA487DFBBB0446B0A8D7FEFB2D9E7C93" hidden="1">#REF!</definedName>
    <definedName name="BOEAD6D7767DC54CBEBCE421A3DB34DE6B" hidden="1">#REF!</definedName>
    <definedName name="BOEADD9A517C9E4CB4999114D4B9BD6920" hidden="1">#REF!</definedName>
    <definedName name="BOEAF3B895ABCD49308AF2F5A2E22BBC94" hidden="1">#REF!</definedName>
    <definedName name="BOEB0E75BF9AEA444FA574EF153F2DE2A5" hidden="1">#REF!</definedName>
    <definedName name="BOEB1FBF1FAD7F4ECC8BB20074F709319C" hidden="1">#REF!</definedName>
    <definedName name="BOEB7ECE9285934C488E6B2136A2F0641C" hidden="1">#REF!</definedName>
    <definedName name="BOEBB477EA004747AC923498244421587D" hidden="1">#REF!</definedName>
    <definedName name="BOEBBC73E30C5E459DB8E9982D70CCFA83" hidden="1">#REF!</definedName>
    <definedName name="BOEC0BCDB4FA624FE89507CCDAFB2DE5F3" hidden="1">#REF!</definedName>
    <definedName name="BOEC0DD3F439BA4003AD46A41F29874030" hidden="1">#REF!</definedName>
    <definedName name="BOEC1A5FBA282D4E98AC0A8B6E60EA9049" hidden="1">#REF!</definedName>
    <definedName name="BOEC425E786A5F4CE78604F43CC4690D0E" hidden="1">#REF!</definedName>
    <definedName name="BOEC5B408FC72D40DAAEAB05CE85838531" hidden="1">#REF!</definedName>
    <definedName name="BOEC6B3D1B408C4BEA9A1E84D8EDF0F1D8" hidden="1">#REF!</definedName>
    <definedName name="BOEC9B5B1AD36D4F2AA7A07F0BDCAA69E4" hidden="1">#REF!</definedName>
    <definedName name="BOECDF813F5B044D3090546B36A2795F21" hidden="1">#REF!</definedName>
    <definedName name="BOECF8FF9A3492427BA40FF8CA6171F72D" hidden="1">#REF!</definedName>
    <definedName name="BOED05B2F2B9E94F6187B09D58E9239D88" hidden="1">#REF!</definedName>
    <definedName name="BOED1EA8F825644ABA99CA16B474D79E3E" hidden="1">#REF!</definedName>
    <definedName name="BOED562F54123C431F9027C5E4DD931301" hidden="1">#REF!</definedName>
    <definedName name="BOED90211738DC45B88535CD01C1135A78" hidden="1">#REF!</definedName>
    <definedName name="BOED9EE50BAF774E2AA4A7596663A49FC4" hidden="1">#REF!</definedName>
    <definedName name="BOEDA36C9CE4FA4581A52255AF23DB93A0" hidden="1">#REF!</definedName>
    <definedName name="BOEDB3BA53AFC3453DB990331E0B5780A0" hidden="1">#REF!</definedName>
    <definedName name="BOEDBABC0C059545189DC8E8F1C8E61166" hidden="1">#REF!</definedName>
    <definedName name="BOEDE32FE5EB604C1F930D99BA4C3B57D5" hidden="1">#REF!</definedName>
    <definedName name="BOEDE768E044204D4896FC83EA9E0DED28" hidden="1">#REF!</definedName>
    <definedName name="BOEDF260BEC9454C2AAB8653DAA455274C" hidden="1">#REF!</definedName>
    <definedName name="BOEDFE33E509F943EB8068C63B6FBA2CD7" hidden="1">#REF!</definedName>
    <definedName name="BOEE0353DEA87047D1BC8BA1A10AA66E19" hidden="1">#REF!</definedName>
    <definedName name="BOEE89452115254AA5AD1B4A4D53F5D207" hidden="1">#REF!</definedName>
    <definedName name="BOEEACC20B9FE44B1AA33590292E5D0028" hidden="1">#REF!</definedName>
    <definedName name="BOEEDA0B6B46114ED382263C8C9D55A945" hidden="1">#REF!</definedName>
    <definedName name="BOEEE402F4521E4129B8F3DAFD319B8DE9" hidden="1">#REF!</definedName>
    <definedName name="BOEF406C0827AE4CBCAA017E0C0DCC3DED" hidden="1">#REF!</definedName>
    <definedName name="BOEF56D01AD3D14C099D494FBC502954D5" hidden="1">#REF!</definedName>
    <definedName name="BOEF7322C278CF4E74A4F50631FF61E1A4" hidden="1">#REF!</definedName>
    <definedName name="BOEFBD1451554C46C5B09F0AEEE7170DBE" hidden="1">#REF!</definedName>
    <definedName name="BOEFC38C6084D4401087A1495EDEB30DD0" hidden="1">#REF!</definedName>
    <definedName name="BOEFED11C55B7D42F0BA74E1AC52FFFCB6" hidden="1">#REF!</definedName>
    <definedName name="BOF0100A92ADA14111A38DCB300766F521" hidden="1">#REF!</definedName>
    <definedName name="BOF05E6310E06849798562BB8BD53C4F28" hidden="1">#REF!</definedName>
    <definedName name="BOF05FFF3AC94B4E36925B5EDAAC8C1C53" hidden="1">#REF!</definedName>
    <definedName name="BOF0905563093845A997A50AF692884153" hidden="1">#REF!</definedName>
    <definedName name="BOF0A825745E464D13A54ABA20B609B9E8" hidden="1">#REF!</definedName>
    <definedName name="BOF0C59731D4AE4017B5B4169F3C9AA2A6" hidden="1">#REF!</definedName>
    <definedName name="BOF0D4EF18741047F1B1043984130F0FA6" hidden="1">#REF!</definedName>
    <definedName name="BOF0E3743744E240A992B06E29FA68C50A" hidden="1">#REF!</definedName>
    <definedName name="BOF0E6E6B0E78C42E08BE2CDEA8CF44D78" hidden="1">#REF!</definedName>
    <definedName name="BOF109CEBDEEAC441FA6E936017139B088" hidden="1">#REF!</definedName>
    <definedName name="BOF1ABC4FD00E64BA58CFF06D348B0C5C3" hidden="1">#REF!</definedName>
    <definedName name="BOF1AEBC9A7BD44233A1943849C28C4FEC" hidden="1">#REF!</definedName>
    <definedName name="BOF1B8AD00099048A2A8AEC0999BE156F5" hidden="1">#REF!</definedName>
    <definedName name="BOF20CCB7468C540F09F18FAB754EC370F" hidden="1">#REF!</definedName>
    <definedName name="BOF23D7E5217A24026827BA1D213504D2A" hidden="1">#REF!</definedName>
    <definedName name="BOF24947DB82D64635840A8DB5866B51FD" hidden="1">#REF!</definedName>
    <definedName name="BOF27712BD4E094407ACB4899BA5C49295" hidden="1">#REF!</definedName>
    <definedName name="BOF287C0DE87E04A9FA22B2ECD2F94C614" hidden="1">#REF!</definedName>
    <definedName name="BOF2E4E26EFA1B45A6B451A32AF9340BA2" hidden="1">#REF!</definedName>
    <definedName name="BOF2E9D408E0CE4BE8BFEABB6B73934CC2" hidden="1">#REF!</definedName>
    <definedName name="BOF2FF48AA091D4BA99B50E6B5AC55A3E5" hidden="1">#REF!</definedName>
    <definedName name="BOF33D6B6D93C74BB18FE3D6E0FF794B23" hidden="1">#REF!</definedName>
    <definedName name="BOF36997466DCA419EB5BB546C26585165" hidden="1">#REF!</definedName>
    <definedName name="BOF36B04952D7E494D8982DF32678ED517" hidden="1">#REF!</definedName>
    <definedName name="BOF3A90882C3F646AC8E52826DE77B4F42" hidden="1">#REF!</definedName>
    <definedName name="BOF3C2FA67E9714243A6A0E31921FBEEBC" hidden="1">#REF!</definedName>
    <definedName name="BOF3E50E227A544F7F8427DB69807893E0" hidden="1">#REF!</definedName>
    <definedName name="BOF40B8D5DE4EF48C8A142F2738685DF4E" hidden="1">#REF!</definedName>
    <definedName name="BOF4E734F5E0B346399B3F74EDDE1364EA" hidden="1">#REF!</definedName>
    <definedName name="BOF51A52841A654E94BE5B17633A966825" hidden="1">#REF!</definedName>
    <definedName name="BOF53CCAFB02904DA4AF21417141E6C458" hidden="1">#REF!</definedName>
    <definedName name="BOF55CF31ECD7A406CA38DE801694F8552" hidden="1">#REF!</definedName>
    <definedName name="BOF5631028159044D78779C45CA65FC43B" hidden="1">#REF!</definedName>
    <definedName name="BOF585D8968C854C30B591C88227EDB648" hidden="1">#REF!</definedName>
    <definedName name="BOF5AEE545461542C7A1A82997EB41AB35" hidden="1">#REF!</definedName>
    <definedName name="BOF5CB44B1A6E44FDC89B7F2976A7CE3A8" hidden="1">#REF!</definedName>
    <definedName name="BOF5DC32DE31BD4B50B0267F468F4E4CB0" hidden="1">#REF!</definedName>
    <definedName name="BOF604F32E6DAC49BBA3716C381BEBAB3A" hidden="1">#REF!</definedName>
    <definedName name="BOF611A9E8BB0F49E497EFF27831772058" hidden="1">#REF!</definedName>
    <definedName name="BOF63D3B4EB0E544EFA271FEA8860AC25D" hidden="1">#REF!</definedName>
    <definedName name="BOF669A2D2BA994424B1F5A8AC117A55CA" hidden="1">#REF!</definedName>
    <definedName name="BOF66F23777B7C431BBA70EAF3374BA9DD" hidden="1">#REF!</definedName>
    <definedName name="BOF67F5AA185884F23B340D90B4494144F" hidden="1">#REF!</definedName>
    <definedName name="BOF6C435831C884A2B958ECF1499C5AE81" hidden="1">#REF!</definedName>
    <definedName name="BOF6CDA264C92D4DF2907EB1622B5003D6" hidden="1">#REF!</definedName>
    <definedName name="BOF708D1281373454597A1A056AB3A3531" hidden="1">#REF!</definedName>
    <definedName name="BOF72B7E5688A24599B26396DA1025418E" hidden="1">#REF!</definedName>
    <definedName name="BOF75BD264DBB04172906E6710FDC5CE9B" hidden="1">#REF!</definedName>
    <definedName name="BOF77B331BE93848B7BCD11717BB266D2A" hidden="1">#REF!</definedName>
    <definedName name="BOF7976E88AE214F67B9CBB47608F7DDA9" hidden="1">#REF!</definedName>
    <definedName name="BOF79C8057618541DB900AC860DEA92122" hidden="1">#REF!</definedName>
    <definedName name="BOF7B5D1FBB8764A4FB0220E77B2881D62" hidden="1">#REF!</definedName>
    <definedName name="BOF7B5FA1754E0413AAFB010856810A5BA" hidden="1">#REF!</definedName>
    <definedName name="BOF7CF94FFA36A46ACB0FCB81905FBD824" hidden="1">#REF!</definedName>
    <definedName name="BOF83559FBC7D04204ADB4B6AED114EAF7" hidden="1">#REF!</definedName>
    <definedName name="BOF835CA3093464BB98CC8821172B1F91C" hidden="1">#REF!</definedName>
    <definedName name="BOF85E6CCF6A57462A8CA36AA9540D141F" hidden="1">#REF!</definedName>
    <definedName name="BOF86B41F85B3F42E4B7EFE1B2C2199C1B" hidden="1">#REF!</definedName>
    <definedName name="BOF87E495A74FB4EFAB3F46E6715C2B04E" hidden="1">#REF!</definedName>
    <definedName name="BOF8B846D7E8B34D05B384F863E85A28E5" hidden="1">#REF!</definedName>
    <definedName name="BOF8E521594CB6424A882EA938563567D8" hidden="1">#REF!</definedName>
    <definedName name="BOF8F113671AB242A0A31C324D25132756" hidden="1">#REF!</definedName>
    <definedName name="BOF90C081FC31448DE8B5AE57F93E88D5A" hidden="1">#REF!</definedName>
    <definedName name="BOF9376400C8CF4FCD85B320E7EAD04A94" hidden="1">#REF!</definedName>
    <definedName name="BOF9495CF6160944879E041E0D38789F50" hidden="1">#REF!</definedName>
    <definedName name="BOF9509C2000054150B4B30DF7C43A4A51" hidden="1">#REF!</definedName>
    <definedName name="BOF96D6F15B6C64D5C8030DD9389EA8255" hidden="1">#REF!</definedName>
    <definedName name="BOF976143D93AF4A00A035132360605823" hidden="1">#REF!</definedName>
    <definedName name="BOF982D863C97441DE8C3A59719A3F7A1C" hidden="1">#REF!</definedName>
    <definedName name="BOF991385FBFDD4DD7AD5E7F1640C78BB8" hidden="1">#REF!</definedName>
    <definedName name="BOF9958D4FBFBF40E68FCC6DC7A805A18F" hidden="1">#REF!</definedName>
    <definedName name="BOF9CCA466DDE34243A28BEC11EA7696FC" hidden="1">#REF!</definedName>
    <definedName name="BOF9D0F7B0FC8745ADA15A7F51ACA86046" hidden="1">#REF!</definedName>
    <definedName name="BOF9E3ACA774784CC185178823C21D0683" hidden="1">#REF!</definedName>
    <definedName name="BOF9E4F58BD63540A68A019559C64FCADD" hidden="1">#REF!</definedName>
    <definedName name="BOF9F15082364A4134B98686203548E9D2" hidden="1">#REF!</definedName>
    <definedName name="BOF9F2E505E437475E8029DC8D894C88D9" hidden="1">#REF!</definedName>
    <definedName name="BOF9F503D5C8DC4F159CA92378C6C2F165" hidden="1">#REF!</definedName>
    <definedName name="BOFA14A2D8CB234719B612B2CD55B5C9B9" hidden="1">#REF!</definedName>
    <definedName name="BOFA189D6399D741059121AB58C4681E1B" hidden="1">#REF!</definedName>
    <definedName name="BOFA2EA8565515456BB492A0487B3028BB" hidden="1">#REF!</definedName>
    <definedName name="BOFA6FBCF148F348859DF1A84441CCBAE5" hidden="1">#REF!</definedName>
    <definedName name="BOFAABE7614B284661B98C71FC73AF5357" hidden="1">#REF!</definedName>
    <definedName name="BOFAC709B4C59A409D8062E376F00BEAEB" hidden="1">#REF!</definedName>
    <definedName name="BOFAD762ED2D514C759268845816353004" hidden="1">#REF!</definedName>
    <definedName name="BOFB1C41C30B6E4FDDB1D2E412168345EA" hidden="1">#REF!</definedName>
    <definedName name="BOFB336458987A4A00A14567345C5A3BC3" hidden="1">#REF!</definedName>
    <definedName name="BOFB68B3AB13A949D6B91D57867C55ACBD" hidden="1">#REF!</definedName>
    <definedName name="BOFC008101E26942739BCE45A22FDC1809" hidden="1">#REF!</definedName>
    <definedName name="BOFC101594CCBD46F69B92FD32FB5B2967" hidden="1">#REF!</definedName>
    <definedName name="BOFC5BF5B340284577A6C0DA03F1824FF8" hidden="1">#REF!</definedName>
    <definedName name="BOFC691235AADD4AF99E5F69CD249F2546" hidden="1">#REF!</definedName>
    <definedName name="BOFC779837E3E04A1985835E5DF253266E" hidden="1">#REF!</definedName>
    <definedName name="BOFCB243D312254A6495E9987C2B550B68" hidden="1">#REF!</definedName>
    <definedName name="BOFCED67DF69DE4476812BDAF010897053" hidden="1">#REF!</definedName>
    <definedName name="BOFCF51C93505B48AC82B9911B1E5E5C72" hidden="1">#REF!</definedName>
    <definedName name="BOFD09022DAC094A40B6A03F0E06944AFA" hidden="1">#REF!</definedName>
    <definedName name="BOFD529BCDFD5B4DC1A3A3F2BB939D10F7" hidden="1">#REF!</definedName>
    <definedName name="BOFD8DF3176E384B91BF0EC93EA8ADD67B" hidden="1">#REF!</definedName>
    <definedName name="BOFE0305390B704C48BA2EC4A05D8EC976" hidden="1">#REF!</definedName>
    <definedName name="BOFE0FFADB41B0470093CD34743DAA5984" hidden="1">#REF!</definedName>
    <definedName name="BOFE2E98B7B96147599125BD16B196EA9A" hidden="1">#REF!</definedName>
    <definedName name="BOFE80B2BAD5AA490FB1090A0F5A6B2D3E" hidden="1">#REF!</definedName>
    <definedName name="BOFEA5122D1E64440F99EE2A3A11DF2E00" hidden="1">#REF!</definedName>
    <definedName name="BOFEA6BEA308954340BEC08D6EE88D6232" hidden="1">#REF!</definedName>
    <definedName name="BOFEEA8528210641EAAB5BD7AF7B5A478A" hidden="1">#REF!</definedName>
    <definedName name="BOFEEC3A32A9914EA8B78F465349332185" hidden="1">#REF!</definedName>
    <definedName name="BOFF2E1E2C77F74388A8E5E3760D657FFD" hidden="1">#REF!</definedName>
    <definedName name="BOFF3F97E7FAA347979ACC7B2E0F8F09D1" hidden="1">#REF!</definedName>
    <definedName name="BOFF4D952AA1C249788BD8E15A5BF80074" hidden="1">#REF!</definedName>
    <definedName name="BOFF5544F0476F470FA140C6EE947E013F" hidden="1">#REF!</definedName>
    <definedName name="BOFF61E3DC87BE4E8894E44CFB42BEB0B5" hidden="1">#REF!</definedName>
    <definedName name="BOFF7CC3ACE061481A91BF100123E466EF" hidden="1">#REF!</definedName>
    <definedName name="BOFFC6A738E872423F9F535B7F1AC62C55" hidden="1">#REF!</definedName>
    <definedName name="BOFFD8B225E60E4EF78F585F6FA950656C" hidden="1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4" i="60" l="1"/>
  <c r="G135" i="60"/>
  <c r="H133" i="60"/>
  <c r="H134" i="60" s="1"/>
  <c r="C133" i="60"/>
  <c r="B133" i="60"/>
  <c r="I231" i="35" l="1"/>
  <c r="I230" i="35"/>
  <c r="I229" i="35"/>
  <c r="I228" i="35"/>
  <c r="I227" i="35"/>
  <c r="I226" i="35"/>
  <c r="I225" i="35"/>
  <c r="I224" i="35"/>
  <c r="I223" i="35"/>
  <c r="I222" i="35"/>
  <c r="I221" i="35"/>
  <c r="I220" i="35"/>
  <c r="I219" i="35"/>
  <c r="I218" i="35"/>
  <c r="I217" i="35"/>
  <c r="I216" i="35"/>
  <c r="I215" i="35"/>
  <c r="I214" i="35"/>
  <c r="I213" i="35"/>
  <c r="I212" i="35"/>
  <c r="I211" i="35"/>
  <c r="I210" i="35"/>
  <c r="I209" i="35"/>
  <c r="I208" i="35"/>
  <c r="A228" i="35"/>
  <c r="A229" i="35"/>
  <c r="A230" i="35"/>
  <c r="A231" i="35"/>
  <c r="A209" i="35"/>
  <c r="A210" i="35"/>
  <c r="A211" i="35"/>
  <c r="A212" i="35"/>
  <c r="A213" i="35"/>
  <c r="A214" i="35"/>
  <c r="A215" i="35"/>
  <c r="A216" i="35"/>
  <c r="A217" i="35"/>
  <c r="A218" i="35"/>
  <c r="A219" i="35"/>
  <c r="A220" i="35"/>
  <c r="A221" i="35"/>
  <c r="A222" i="35"/>
  <c r="A223" i="35"/>
  <c r="A224" i="35"/>
  <c r="A225" i="35"/>
  <c r="A226" i="35"/>
  <c r="A227" i="35"/>
  <c r="A208" i="35"/>
  <c r="M205" i="35"/>
  <c r="AV120" i="1"/>
  <c r="AV85" i="1"/>
  <c r="AR85" i="1"/>
  <c r="AV40" i="1"/>
  <c r="AV37" i="1"/>
  <c r="AV34" i="1"/>
  <c r="AV36" i="1"/>
  <c r="AV35" i="1"/>
  <c r="AV140" i="1"/>
  <c r="AV139" i="1"/>
  <c r="AQ132" i="1"/>
  <c r="AV134" i="1"/>
  <c r="AQ134" i="1"/>
  <c r="EF213" i="1" l="1"/>
  <c r="EE213" i="1"/>
  <c r="ED213" i="1"/>
  <c r="EB213" i="1"/>
  <c r="EA213" i="1"/>
  <c r="DZ213" i="1"/>
  <c r="DY213" i="1"/>
  <c r="DX213" i="1"/>
  <c r="DW213" i="1"/>
  <c r="DV213" i="1"/>
  <c r="DU213" i="1"/>
  <c r="DD213" i="1"/>
  <c r="CP213" i="1" s="1"/>
  <c r="DC213" i="1"/>
  <c r="W213" i="1" s="1"/>
  <c r="DB213" i="1"/>
  <c r="AJ213" i="1" s="1"/>
  <c r="DA213" i="1"/>
  <c r="CZ213" i="1"/>
  <c r="T213" i="1" s="1"/>
  <c r="BJ213" i="1" s="1"/>
  <c r="BX213" i="1" s="1"/>
  <c r="CY213" i="1"/>
  <c r="CK213" i="1" s="1"/>
  <c r="CX213" i="1"/>
  <c r="R213" i="1" s="1"/>
  <c r="CW213" i="1"/>
  <c r="AE213" i="1" s="1"/>
  <c r="CV213" i="1"/>
  <c r="P213" i="1" s="1"/>
  <c r="CU213" i="1"/>
  <c r="O213" i="1" s="1"/>
  <c r="CT213" i="1"/>
  <c r="N213" i="1" s="1"/>
  <c r="CS213" i="1"/>
  <c r="AV213" i="1"/>
  <c r="AN213" i="1" s="1"/>
  <c r="G213" i="1"/>
  <c r="EF198" i="1"/>
  <c r="EE198" i="1"/>
  <c r="ED198" i="1"/>
  <c r="EB198" i="1"/>
  <c r="EA198" i="1"/>
  <c r="DZ198" i="1"/>
  <c r="DY198" i="1"/>
  <c r="DX198" i="1"/>
  <c r="DW198" i="1"/>
  <c r="DV198" i="1"/>
  <c r="DU198" i="1"/>
  <c r="DD198" i="1"/>
  <c r="X198" i="1" s="1"/>
  <c r="DC198" i="1"/>
  <c r="CO198" i="1" s="1"/>
  <c r="DB198" i="1"/>
  <c r="V198" i="1" s="1"/>
  <c r="DP198" i="1" s="1"/>
  <c r="DA198" i="1"/>
  <c r="CZ198" i="1"/>
  <c r="AH198" i="1" s="1"/>
  <c r="CY198" i="1"/>
  <c r="S198" i="1" s="1"/>
  <c r="BI198" i="1" s="1"/>
  <c r="BW198" i="1" s="1"/>
  <c r="CX198" i="1"/>
  <c r="AF198" i="1" s="1"/>
  <c r="CW198" i="1"/>
  <c r="CI198" i="1" s="1"/>
  <c r="CV198" i="1"/>
  <c r="P198" i="1" s="1"/>
  <c r="CU198" i="1"/>
  <c r="O198" i="1" s="1"/>
  <c r="CT198" i="1"/>
  <c r="AB198" i="1" s="1"/>
  <c r="CS198" i="1"/>
  <c r="CE198" i="1" s="1"/>
  <c r="AV198" i="1"/>
  <c r="AN198" i="1" s="1"/>
  <c r="G198" i="1"/>
  <c r="EF89" i="1"/>
  <c r="EE89" i="1"/>
  <c r="ED89" i="1"/>
  <c r="EB89" i="1"/>
  <c r="EA89" i="1"/>
  <c r="DZ89" i="1"/>
  <c r="DY89" i="1"/>
  <c r="DX89" i="1"/>
  <c r="DW89" i="1"/>
  <c r="DV89" i="1"/>
  <c r="DU89" i="1"/>
  <c r="DD89" i="1"/>
  <c r="CP89" i="1" s="1"/>
  <c r="DC89" i="1"/>
  <c r="AK89" i="1" s="1"/>
  <c r="DB89" i="1"/>
  <c r="AJ89" i="1" s="1"/>
  <c r="DA89" i="1"/>
  <c r="CM89" i="1" s="1"/>
  <c r="CZ89" i="1"/>
  <c r="CL89" i="1" s="1"/>
  <c r="CY89" i="1"/>
  <c r="CK89" i="1" s="1"/>
  <c r="CX89" i="1"/>
  <c r="AF89" i="1" s="1"/>
  <c r="CW89" i="1"/>
  <c r="CI89" i="1" s="1"/>
  <c r="CV89" i="1"/>
  <c r="P89" i="1" s="1"/>
  <c r="CU89" i="1"/>
  <c r="O89" i="1" s="1"/>
  <c r="CT89" i="1"/>
  <c r="AB89" i="1" s="1"/>
  <c r="CS89" i="1"/>
  <c r="AV89" i="1"/>
  <c r="AR89" i="1"/>
  <c r="AP89" i="1"/>
  <c r="G89" i="1"/>
  <c r="EF58" i="1"/>
  <c r="EE58" i="1"/>
  <c r="ED58" i="1"/>
  <c r="EB58" i="1"/>
  <c r="EA58" i="1"/>
  <c r="DZ58" i="1"/>
  <c r="DY58" i="1"/>
  <c r="DX58" i="1"/>
  <c r="DW58" i="1"/>
  <c r="DV58" i="1"/>
  <c r="DU58" i="1"/>
  <c r="DD58" i="1"/>
  <c r="CP58" i="1" s="1"/>
  <c r="DC58" i="1"/>
  <c r="CO58" i="1" s="1"/>
  <c r="DB58" i="1"/>
  <c r="CN58" i="1" s="1"/>
  <c r="DA58" i="1"/>
  <c r="CM58" i="1" s="1"/>
  <c r="CZ58" i="1"/>
  <c r="T58" i="1" s="1"/>
  <c r="BJ58" i="1" s="1"/>
  <c r="BX58" i="1" s="1"/>
  <c r="CY58" i="1"/>
  <c r="CK58" i="1" s="1"/>
  <c r="CX58" i="1"/>
  <c r="AF58" i="1" s="1"/>
  <c r="CW58" i="1"/>
  <c r="Q58" i="1" s="1"/>
  <c r="CV58" i="1"/>
  <c r="AD58" i="1" s="1"/>
  <c r="CU58" i="1"/>
  <c r="O58" i="1" s="1"/>
  <c r="CT58" i="1"/>
  <c r="AB58" i="1" s="1"/>
  <c r="CS58" i="1"/>
  <c r="CE58" i="1" s="1"/>
  <c r="G58" i="1"/>
  <c r="EF69" i="1"/>
  <c r="EE69" i="1"/>
  <c r="ED69" i="1"/>
  <c r="EB69" i="1"/>
  <c r="EA69" i="1"/>
  <c r="DZ69" i="1"/>
  <c r="DY69" i="1"/>
  <c r="DX69" i="1"/>
  <c r="DW69" i="1"/>
  <c r="DV69" i="1"/>
  <c r="DU69" i="1"/>
  <c r="DD69" i="1"/>
  <c r="CP69" i="1" s="1"/>
  <c r="DC69" i="1"/>
  <c r="W69" i="1" s="1"/>
  <c r="DB69" i="1"/>
  <c r="AJ69" i="1" s="1"/>
  <c r="DA69" i="1"/>
  <c r="CZ69" i="1"/>
  <c r="CL69" i="1" s="1"/>
  <c r="CY69" i="1"/>
  <c r="CK69" i="1" s="1"/>
  <c r="CX69" i="1"/>
  <c r="CJ69" i="1" s="1"/>
  <c r="CW69" i="1"/>
  <c r="Q69" i="1" s="1"/>
  <c r="CV69" i="1"/>
  <c r="P69" i="1" s="1"/>
  <c r="CU69" i="1"/>
  <c r="AC69" i="1" s="1"/>
  <c r="CT69" i="1"/>
  <c r="AB69" i="1" s="1"/>
  <c r="CS69" i="1"/>
  <c r="CE69" i="1" s="1"/>
  <c r="G69" i="1"/>
  <c r="EF85" i="1"/>
  <c r="EE85" i="1"/>
  <c r="ED85" i="1"/>
  <c r="EB85" i="1"/>
  <c r="EA85" i="1"/>
  <c r="DZ85" i="1"/>
  <c r="DY85" i="1"/>
  <c r="DX85" i="1"/>
  <c r="DW85" i="1"/>
  <c r="DV85" i="1"/>
  <c r="DU85" i="1"/>
  <c r="DD85" i="1"/>
  <c r="CP85" i="1" s="1"/>
  <c r="DC85" i="1"/>
  <c r="AK85" i="1" s="1"/>
  <c r="DB85" i="1"/>
  <c r="V85" i="1" s="1"/>
  <c r="BL85" i="1" s="1"/>
  <c r="BZ85" i="1" s="1"/>
  <c r="DA85" i="1"/>
  <c r="CM85" i="1" s="1"/>
  <c r="CZ85" i="1"/>
  <c r="AH85" i="1" s="1"/>
  <c r="CY85" i="1"/>
  <c r="S85" i="1" s="1"/>
  <c r="CX85" i="1"/>
  <c r="R85" i="1" s="1"/>
  <c r="CW85" i="1"/>
  <c r="Q85" i="1" s="1"/>
  <c r="CV85" i="1"/>
  <c r="P85" i="1" s="1"/>
  <c r="CU85" i="1"/>
  <c r="O85" i="1" s="1"/>
  <c r="CT85" i="1"/>
  <c r="CF85" i="1" s="1"/>
  <c r="CS85" i="1"/>
  <c r="CE85" i="1" s="1"/>
  <c r="G85" i="1"/>
  <c r="EF113" i="1"/>
  <c r="EE113" i="1"/>
  <c r="ED113" i="1"/>
  <c r="EB113" i="1"/>
  <c r="EA113" i="1"/>
  <c r="DZ113" i="1"/>
  <c r="DY113" i="1"/>
  <c r="DX113" i="1"/>
  <c r="DW113" i="1"/>
  <c r="DV113" i="1"/>
  <c r="DU113" i="1"/>
  <c r="DD113" i="1"/>
  <c r="CP113" i="1" s="1"/>
  <c r="DC113" i="1"/>
  <c r="W113" i="1" s="1"/>
  <c r="DB113" i="1"/>
  <c r="AJ113" i="1" s="1"/>
  <c r="DA113" i="1"/>
  <c r="G210" i="35" s="1"/>
  <c r="CZ113" i="1"/>
  <c r="AH113" i="1" s="1"/>
  <c r="CY113" i="1"/>
  <c r="CK113" i="1" s="1"/>
  <c r="CX113" i="1"/>
  <c r="R113" i="1" s="1"/>
  <c r="CW113" i="1"/>
  <c r="CI113" i="1" s="1"/>
  <c r="CV113" i="1"/>
  <c r="AD113" i="1" s="1"/>
  <c r="CU113" i="1"/>
  <c r="O113" i="1" s="1"/>
  <c r="CT113" i="1"/>
  <c r="AB113" i="1" s="1"/>
  <c r="CS113" i="1"/>
  <c r="M113" i="1" s="1"/>
  <c r="G113" i="1"/>
  <c r="EF112" i="1"/>
  <c r="EE112" i="1"/>
  <c r="ED112" i="1"/>
  <c r="EB112" i="1"/>
  <c r="EA112" i="1"/>
  <c r="DZ112" i="1"/>
  <c r="DY112" i="1"/>
  <c r="DX112" i="1"/>
  <c r="DW112" i="1"/>
  <c r="DV112" i="1"/>
  <c r="DU112" i="1"/>
  <c r="DD112" i="1"/>
  <c r="AL112" i="1" s="1"/>
  <c r="DC112" i="1"/>
  <c r="W112" i="1" s="1"/>
  <c r="DB112" i="1"/>
  <c r="CN112" i="1" s="1"/>
  <c r="DA112" i="1"/>
  <c r="CZ112" i="1"/>
  <c r="CL112" i="1" s="1"/>
  <c r="CY112" i="1"/>
  <c r="S112" i="1" s="1"/>
  <c r="CX112" i="1"/>
  <c r="CJ112" i="1" s="1"/>
  <c r="CW112" i="1"/>
  <c r="Q112" i="1" s="1"/>
  <c r="CV112" i="1"/>
  <c r="CH112" i="1" s="1"/>
  <c r="CU112" i="1"/>
  <c r="CG112" i="1" s="1"/>
  <c r="CT112" i="1"/>
  <c r="CF112" i="1" s="1"/>
  <c r="CS112" i="1"/>
  <c r="CE112" i="1" s="1"/>
  <c r="G112" i="1"/>
  <c r="EF110" i="1"/>
  <c r="EE110" i="1"/>
  <c r="ED110" i="1"/>
  <c r="EB110" i="1"/>
  <c r="EA110" i="1"/>
  <c r="DZ110" i="1"/>
  <c r="DY110" i="1"/>
  <c r="DX110" i="1"/>
  <c r="DW110" i="1"/>
  <c r="DV110" i="1"/>
  <c r="DU110" i="1"/>
  <c r="DD110" i="1"/>
  <c r="X110" i="1" s="1"/>
  <c r="DC110" i="1"/>
  <c r="AK110" i="1" s="1"/>
  <c r="DB110" i="1"/>
  <c r="CN110" i="1" s="1"/>
  <c r="DA110" i="1"/>
  <c r="CM110" i="1" s="1"/>
  <c r="CZ110" i="1"/>
  <c r="CL110" i="1" s="1"/>
  <c r="CY110" i="1"/>
  <c r="CK110" i="1" s="1"/>
  <c r="CX110" i="1"/>
  <c r="CJ110" i="1" s="1"/>
  <c r="CW110" i="1"/>
  <c r="CI110" i="1" s="1"/>
  <c r="CV110" i="1"/>
  <c r="AD110" i="1" s="1"/>
  <c r="CU110" i="1"/>
  <c r="CG110" i="1" s="1"/>
  <c r="CT110" i="1"/>
  <c r="CF110" i="1" s="1"/>
  <c r="CS110" i="1"/>
  <c r="M110" i="1" s="1"/>
  <c r="AV110" i="1"/>
  <c r="AR110" i="1"/>
  <c r="G110" i="1"/>
  <c r="D142" i="22"/>
  <c r="D141" i="22"/>
  <c r="D140" i="22"/>
  <c r="D139" i="22"/>
  <c r="D138" i="22"/>
  <c r="P135" i="22"/>
  <c r="B135" i="22"/>
  <c r="X213" i="1" l="1"/>
  <c r="DR213" i="1" s="1"/>
  <c r="CM198" i="1"/>
  <c r="J225" i="35" s="1"/>
  <c r="G225" i="35"/>
  <c r="G228" i="35"/>
  <c r="CM112" i="1"/>
  <c r="J209" i="35" s="1"/>
  <c r="G209" i="35"/>
  <c r="AL198" i="1"/>
  <c r="AJ198" i="1"/>
  <c r="CO213" i="1"/>
  <c r="AK198" i="1"/>
  <c r="AN58" i="1"/>
  <c r="AK213" i="1"/>
  <c r="CK198" i="1"/>
  <c r="Q213" i="1"/>
  <c r="DK213" i="1" s="1"/>
  <c r="EM213" i="1" s="1"/>
  <c r="AE198" i="1"/>
  <c r="AG198" i="1"/>
  <c r="AC213" i="1"/>
  <c r="AH213" i="1"/>
  <c r="CN198" i="1"/>
  <c r="CP198" i="1"/>
  <c r="CF213" i="1"/>
  <c r="CL213" i="1"/>
  <c r="CJ213" i="1"/>
  <c r="Q198" i="1"/>
  <c r="DK198" i="1" s="1"/>
  <c r="EM198" i="1" s="1"/>
  <c r="CN213" i="1"/>
  <c r="AL89" i="1"/>
  <c r="V213" i="1"/>
  <c r="DP213" i="1" s="1"/>
  <c r="ER213" i="1" s="1"/>
  <c r="CR213" i="1"/>
  <c r="AN112" i="1"/>
  <c r="AN85" i="1"/>
  <c r="AB213" i="1"/>
  <c r="M213" i="1"/>
  <c r="DG213" i="1" s="1"/>
  <c r="EI213" i="1" s="1"/>
  <c r="CE213" i="1"/>
  <c r="S213" i="1"/>
  <c r="DM213" i="1" s="1"/>
  <c r="EO213" i="1" s="1"/>
  <c r="CG213" i="1"/>
  <c r="AG213" i="1"/>
  <c r="ET213" i="1"/>
  <c r="DI213" i="1"/>
  <c r="EK213" i="1" s="1"/>
  <c r="BE213" i="1"/>
  <c r="BS213" i="1" s="1"/>
  <c r="BM213" i="1"/>
  <c r="CA213" i="1" s="1"/>
  <c r="DQ213" i="1"/>
  <c r="ES213" i="1" s="1"/>
  <c r="DL213" i="1"/>
  <c r="EN213" i="1" s="1"/>
  <c r="BH213" i="1"/>
  <c r="BV213" i="1" s="1"/>
  <c r="DJ213" i="1"/>
  <c r="EL213" i="1" s="1"/>
  <c r="BF213" i="1"/>
  <c r="BT213" i="1" s="1"/>
  <c r="DH213" i="1"/>
  <c r="EJ213" i="1" s="1"/>
  <c r="BD213" i="1"/>
  <c r="BR213" i="1" s="1"/>
  <c r="BN213" i="1"/>
  <c r="CB213" i="1" s="1"/>
  <c r="DN213" i="1"/>
  <c r="EP213" i="1" s="1"/>
  <c r="U213" i="1"/>
  <c r="AL213" i="1"/>
  <c r="CH213" i="1"/>
  <c r="CI213" i="1"/>
  <c r="AA198" i="1"/>
  <c r="AA213" i="1"/>
  <c r="CM213" i="1"/>
  <c r="J228" i="35" s="1"/>
  <c r="AD213" i="1"/>
  <c r="AF213" i="1"/>
  <c r="CN89" i="1"/>
  <c r="V89" i="1"/>
  <c r="DP89" i="1" s="1"/>
  <c r="ER89" i="1" s="1"/>
  <c r="N198" i="1"/>
  <c r="DH198" i="1" s="1"/>
  <c r="EJ198" i="1" s="1"/>
  <c r="T198" i="1"/>
  <c r="BJ198" i="1" s="1"/>
  <c r="BX198" i="1" s="1"/>
  <c r="BL198" i="1"/>
  <c r="BZ198" i="1" s="1"/>
  <c r="Q89" i="1"/>
  <c r="DK89" i="1" s="1"/>
  <c r="EM89" i="1" s="1"/>
  <c r="CG198" i="1"/>
  <c r="R198" i="1"/>
  <c r="DL198" i="1" s="1"/>
  <c r="EN198" i="1" s="1"/>
  <c r="U198" i="1"/>
  <c r="DO198" i="1" s="1"/>
  <c r="AC198" i="1"/>
  <c r="CL198" i="1"/>
  <c r="CR198" i="1"/>
  <c r="DR198" i="1"/>
  <c r="ET198" i="1" s="1"/>
  <c r="BN198" i="1"/>
  <c r="CB198" i="1" s="1"/>
  <c r="DI198" i="1"/>
  <c r="EK198" i="1" s="1"/>
  <c r="BE198" i="1"/>
  <c r="BS198" i="1" s="1"/>
  <c r="DJ198" i="1"/>
  <c r="EL198" i="1" s="1"/>
  <c r="BF198" i="1"/>
  <c r="BT198" i="1" s="1"/>
  <c r="ER198" i="1"/>
  <c r="CF198" i="1"/>
  <c r="CH198" i="1"/>
  <c r="W198" i="1"/>
  <c r="DM198" i="1"/>
  <c r="EO198" i="1" s="1"/>
  <c r="CJ198" i="1"/>
  <c r="N89" i="1"/>
  <c r="DH89" i="1" s="1"/>
  <c r="EJ89" i="1" s="1"/>
  <c r="M198" i="1"/>
  <c r="AD198" i="1"/>
  <c r="AN89" i="1"/>
  <c r="AE89" i="1"/>
  <c r="S58" i="1"/>
  <c r="BI58" i="1" s="1"/>
  <c r="BW58" i="1" s="1"/>
  <c r="AG58" i="1"/>
  <c r="AG89" i="1"/>
  <c r="AG69" i="1"/>
  <c r="AH89" i="1"/>
  <c r="AL69" i="1"/>
  <c r="S113" i="1"/>
  <c r="DM113" i="1" s="1"/>
  <c r="EO113" i="1" s="1"/>
  <c r="AC89" i="1"/>
  <c r="CN85" i="1"/>
  <c r="U89" i="1"/>
  <c r="DO89" i="1" s="1"/>
  <c r="R89" i="1"/>
  <c r="DL89" i="1" s="1"/>
  <c r="EN89" i="1" s="1"/>
  <c r="S89" i="1"/>
  <c r="T89" i="1"/>
  <c r="CR89" i="1"/>
  <c r="DI89" i="1"/>
  <c r="EK89" i="1" s="1"/>
  <c r="BE89" i="1"/>
  <c r="BS89" i="1" s="1"/>
  <c r="BF89" i="1"/>
  <c r="BT89" i="1" s="1"/>
  <c r="DJ89" i="1"/>
  <c r="EL89" i="1" s="1"/>
  <c r="CF89" i="1"/>
  <c r="W89" i="1"/>
  <c r="CG89" i="1"/>
  <c r="X89" i="1"/>
  <c r="CH89" i="1"/>
  <c r="CE89" i="1"/>
  <c r="AA89" i="1"/>
  <c r="CJ89" i="1"/>
  <c r="N69" i="1"/>
  <c r="DH69" i="1" s="1"/>
  <c r="EJ69" i="1" s="1"/>
  <c r="AH69" i="1"/>
  <c r="M89" i="1"/>
  <c r="AD89" i="1"/>
  <c r="AK69" i="1"/>
  <c r="CO89" i="1"/>
  <c r="V110" i="1"/>
  <c r="DP110" i="1" s="1"/>
  <c r="ER110" i="1" s="1"/>
  <c r="CJ58" i="1"/>
  <c r="AH58" i="1"/>
  <c r="CL58" i="1"/>
  <c r="CR58" i="1"/>
  <c r="P58" i="1"/>
  <c r="DJ58" i="1" s="1"/>
  <c r="EL58" i="1" s="1"/>
  <c r="R58" i="1"/>
  <c r="BH58" i="1" s="1"/>
  <c r="BV58" i="1" s="1"/>
  <c r="AA58" i="1"/>
  <c r="DI58" i="1"/>
  <c r="EK58" i="1" s="1"/>
  <c r="BE58" i="1"/>
  <c r="BS58" i="1" s="1"/>
  <c r="DK58" i="1"/>
  <c r="EM58" i="1" s="1"/>
  <c r="AJ58" i="1"/>
  <c r="AK58" i="1"/>
  <c r="V69" i="1"/>
  <c r="DP69" i="1" s="1"/>
  <c r="ER69" i="1" s="1"/>
  <c r="U58" i="1"/>
  <c r="AL58" i="1"/>
  <c r="CF58" i="1"/>
  <c r="DN58" i="1"/>
  <c r="EP58" i="1" s="1"/>
  <c r="X69" i="1"/>
  <c r="DR69" i="1" s="1"/>
  <c r="ET69" i="1" s="1"/>
  <c r="V58" i="1"/>
  <c r="CG58" i="1"/>
  <c r="W58" i="1"/>
  <c r="CH58" i="1"/>
  <c r="X58" i="1"/>
  <c r="CI58" i="1"/>
  <c r="AN69" i="1"/>
  <c r="AC58" i="1"/>
  <c r="AL113" i="1"/>
  <c r="AN113" i="1"/>
  <c r="CN69" i="1"/>
  <c r="M58" i="1"/>
  <c r="CO69" i="1"/>
  <c r="N58" i="1"/>
  <c r="AE58" i="1"/>
  <c r="BG58" i="1" s="1"/>
  <c r="BU58" i="1" s="1"/>
  <c r="CO113" i="1"/>
  <c r="U112" i="1"/>
  <c r="DO112" i="1" s="1"/>
  <c r="O69" i="1"/>
  <c r="DI69" i="1" s="1"/>
  <c r="EK69" i="1" s="1"/>
  <c r="T69" i="1"/>
  <c r="BJ69" i="1" s="1"/>
  <c r="BX69" i="1" s="1"/>
  <c r="CF69" i="1"/>
  <c r="R69" i="1"/>
  <c r="DL69" i="1" s="1"/>
  <c r="EN69" i="1" s="1"/>
  <c r="S69" i="1"/>
  <c r="U69" i="1"/>
  <c r="CM69" i="1"/>
  <c r="AF69" i="1"/>
  <c r="CR69" i="1"/>
  <c r="DQ69" i="1"/>
  <c r="ES69" i="1" s="1"/>
  <c r="BM69" i="1"/>
  <c r="CA69" i="1" s="1"/>
  <c r="DK69" i="1"/>
  <c r="EM69" i="1" s="1"/>
  <c r="BG69" i="1"/>
  <c r="BU69" i="1" s="1"/>
  <c r="DJ69" i="1"/>
  <c r="EL69" i="1" s="1"/>
  <c r="BF69" i="1"/>
  <c r="BT69" i="1" s="1"/>
  <c r="AN110" i="1"/>
  <c r="CG69" i="1"/>
  <c r="CH69" i="1"/>
  <c r="CI69" i="1"/>
  <c r="N85" i="1"/>
  <c r="DH85" i="1" s="1"/>
  <c r="EJ85" i="1" s="1"/>
  <c r="AA69" i="1"/>
  <c r="T113" i="1"/>
  <c r="BJ113" i="1" s="1"/>
  <c r="BX113" i="1" s="1"/>
  <c r="AB85" i="1"/>
  <c r="X85" i="1"/>
  <c r="DR85" i="1" s="1"/>
  <c r="ET85" i="1" s="1"/>
  <c r="AK113" i="1"/>
  <c r="AC85" i="1"/>
  <c r="AE85" i="1"/>
  <c r="M69" i="1"/>
  <c r="AD69" i="1"/>
  <c r="AE69" i="1"/>
  <c r="X112" i="1"/>
  <c r="DR112" i="1" s="1"/>
  <c r="ET112" i="1" s="1"/>
  <c r="AJ85" i="1"/>
  <c r="U110" i="1"/>
  <c r="DO110" i="1" s="1"/>
  <c r="AH110" i="1"/>
  <c r="CR85" i="1"/>
  <c r="T85" i="1"/>
  <c r="BJ85" i="1" s="1"/>
  <c r="BX85" i="1" s="1"/>
  <c r="U85" i="1"/>
  <c r="CI85" i="1"/>
  <c r="CG85" i="1"/>
  <c r="W85" i="1"/>
  <c r="CO85" i="1"/>
  <c r="M85" i="1"/>
  <c r="DL85" i="1"/>
  <c r="EN85" i="1" s="1"/>
  <c r="BH85" i="1"/>
  <c r="BV85" i="1" s="1"/>
  <c r="BI85" i="1"/>
  <c r="BW85" i="1" s="1"/>
  <c r="DM85" i="1"/>
  <c r="EO85" i="1" s="1"/>
  <c r="DK85" i="1"/>
  <c r="EM85" i="1" s="1"/>
  <c r="BG85" i="1"/>
  <c r="BU85" i="1" s="1"/>
  <c r="DI85" i="1"/>
  <c r="EK85" i="1" s="1"/>
  <c r="BE85" i="1"/>
  <c r="BS85" i="1" s="1"/>
  <c r="DJ85" i="1"/>
  <c r="EL85" i="1" s="1"/>
  <c r="BF85" i="1"/>
  <c r="BT85" i="1" s="1"/>
  <c r="AL85" i="1"/>
  <c r="DP85" i="1"/>
  <c r="ER85" i="1" s="1"/>
  <c r="CH85" i="1"/>
  <c r="O112" i="1"/>
  <c r="BE112" i="1" s="1"/>
  <c r="BS112" i="1" s="1"/>
  <c r="CJ85" i="1"/>
  <c r="S110" i="1"/>
  <c r="DM110" i="1" s="1"/>
  <c r="EO110" i="1" s="1"/>
  <c r="N113" i="1"/>
  <c r="DH113" i="1" s="1"/>
  <c r="EJ113" i="1" s="1"/>
  <c r="AA85" i="1"/>
  <c r="CK85" i="1"/>
  <c r="CL85" i="1"/>
  <c r="AB112" i="1"/>
  <c r="AC112" i="1"/>
  <c r="AD85" i="1"/>
  <c r="AG110" i="1"/>
  <c r="AF85" i="1"/>
  <c r="AG112" i="1"/>
  <c r="AG85" i="1"/>
  <c r="CI112" i="1"/>
  <c r="N112" i="1"/>
  <c r="BD112" i="1" s="1"/>
  <c r="BR112" i="1" s="1"/>
  <c r="CK112" i="1"/>
  <c r="AG113" i="1"/>
  <c r="AE110" i="1"/>
  <c r="AF110" i="1"/>
  <c r="P112" i="1"/>
  <c r="BF112" i="1" s="1"/>
  <c r="BT112" i="1" s="1"/>
  <c r="CP112" i="1"/>
  <c r="AJ110" i="1"/>
  <c r="AA112" i="1"/>
  <c r="AD112" i="1"/>
  <c r="Q113" i="1"/>
  <c r="DK113" i="1" s="1"/>
  <c r="EM113" i="1" s="1"/>
  <c r="AE112" i="1"/>
  <c r="CE113" i="1"/>
  <c r="CF113" i="1"/>
  <c r="U113" i="1"/>
  <c r="V113" i="1"/>
  <c r="BL113" i="1" s="1"/>
  <c r="BZ113" i="1" s="1"/>
  <c r="CG113" i="1"/>
  <c r="CL113" i="1"/>
  <c r="CO112" i="1"/>
  <c r="AF112" i="1"/>
  <c r="AC113" i="1"/>
  <c r="CM113" i="1"/>
  <c r="J210" i="35" s="1"/>
  <c r="AE113" i="1"/>
  <c r="CN113" i="1"/>
  <c r="CR113" i="1"/>
  <c r="P113" i="1"/>
  <c r="DJ113" i="1" s="1"/>
  <c r="EL113" i="1" s="1"/>
  <c r="M112" i="1"/>
  <c r="DG112" i="1" s="1"/>
  <c r="EI112" i="1" s="1"/>
  <c r="BM113" i="1"/>
  <c r="CA113" i="1" s="1"/>
  <c r="DQ113" i="1"/>
  <c r="ES113" i="1" s="1"/>
  <c r="BG112" i="1"/>
  <c r="BU112" i="1" s="1"/>
  <c r="DK112" i="1"/>
  <c r="EM112" i="1" s="1"/>
  <c r="DI113" i="1"/>
  <c r="EK113" i="1" s="1"/>
  <c r="BE113" i="1"/>
  <c r="BS113" i="1" s="1"/>
  <c r="DM112" i="1"/>
  <c r="EO112" i="1" s="1"/>
  <c r="BI112" i="1"/>
  <c r="BW112" i="1" s="1"/>
  <c r="DG113" i="1"/>
  <c r="EI113" i="1" s="1"/>
  <c r="BC113" i="1"/>
  <c r="BQ113" i="1" s="1"/>
  <c r="DQ112" i="1"/>
  <c r="ES112" i="1" s="1"/>
  <c r="BM112" i="1"/>
  <c r="CA112" i="1" s="1"/>
  <c r="DL113" i="1"/>
  <c r="EN113" i="1" s="1"/>
  <c r="CR112" i="1"/>
  <c r="AH112" i="1"/>
  <c r="CH113" i="1"/>
  <c r="R112" i="1"/>
  <c r="X113" i="1"/>
  <c r="CO110" i="1"/>
  <c r="CP110" i="1"/>
  <c r="AJ112" i="1"/>
  <c r="CJ113" i="1"/>
  <c r="T112" i="1"/>
  <c r="AK112" i="1"/>
  <c r="AA113" i="1"/>
  <c r="V112" i="1"/>
  <c r="AF113" i="1"/>
  <c r="BH113" i="1" s="1"/>
  <c r="BV113" i="1" s="1"/>
  <c r="N110" i="1"/>
  <c r="DH110" i="1" s="1"/>
  <c r="EJ110" i="1" s="1"/>
  <c r="AB110" i="1"/>
  <c r="O110" i="1"/>
  <c r="BE110" i="1" s="1"/>
  <c r="BS110" i="1" s="1"/>
  <c r="P110" i="1"/>
  <c r="DJ110" i="1" s="1"/>
  <c r="EL110" i="1" s="1"/>
  <c r="Q110" i="1"/>
  <c r="DK110" i="1" s="1"/>
  <c r="EM110" i="1" s="1"/>
  <c r="R110" i="1"/>
  <c r="DL110" i="1" s="1"/>
  <c r="EN110" i="1" s="1"/>
  <c r="T110" i="1"/>
  <c r="DN110" i="1" s="1"/>
  <c r="EP110" i="1" s="1"/>
  <c r="AC110" i="1"/>
  <c r="DR110" i="1"/>
  <c r="ET110" i="1" s="1"/>
  <c r="BN110" i="1"/>
  <c r="CB110" i="1" s="1"/>
  <c r="DG110" i="1"/>
  <c r="BC110" i="1"/>
  <c r="BQ110" i="1" s="1"/>
  <c r="AL110" i="1"/>
  <c r="CR110" i="1"/>
  <c r="W110" i="1"/>
  <c r="CH110" i="1"/>
  <c r="CE110" i="1"/>
  <c r="AA110" i="1"/>
  <c r="C67" i="8"/>
  <c r="DZ20" i="8"/>
  <c r="DY20" i="8"/>
  <c r="DX20" i="8"/>
  <c r="DV20" i="8"/>
  <c r="DU20" i="8"/>
  <c r="DT20" i="8"/>
  <c r="DS20" i="8"/>
  <c r="DR20" i="8"/>
  <c r="DQ20" i="8"/>
  <c r="DP20" i="8"/>
  <c r="DO20" i="8"/>
  <c r="CX20" i="8"/>
  <c r="R20" i="8" s="1"/>
  <c r="CW20" i="8"/>
  <c r="CI20" i="8" s="1"/>
  <c r="CV20" i="8"/>
  <c r="P20" i="8" s="1"/>
  <c r="CU20" i="8"/>
  <c r="O20" i="8" s="1"/>
  <c r="CT20" i="8"/>
  <c r="CF20" i="8" s="1"/>
  <c r="CS20" i="8"/>
  <c r="CE20" i="8" s="1"/>
  <c r="CR20" i="8"/>
  <c r="CD20" i="8" s="1"/>
  <c r="CQ20" i="8"/>
  <c r="CC20" i="8" s="1"/>
  <c r="CP20" i="8"/>
  <c r="X20" i="8" s="1"/>
  <c r="CO20" i="8"/>
  <c r="W20" i="8" s="1"/>
  <c r="CN20" i="8"/>
  <c r="V20" i="8" s="1"/>
  <c r="CM20" i="8"/>
  <c r="G20" i="8" s="1"/>
  <c r="BL110" i="1" l="1"/>
  <c r="BZ110" i="1" s="1"/>
  <c r="BG213" i="1"/>
  <c r="BU213" i="1" s="1"/>
  <c r="BI213" i="1"/>
  <c r="BW213" i="1" s="1"/>
  <c r="DN198" i="1"/>
  <c r="EP198" i="1" s="1"/>
  <c r="BG198" i="1"/>
  <c r="BU198" i="1" s="1"/>
  <c r="BL213" i="1"/>
  <c r="BZ213" i="1" s="1"/>
  <c r="CD213" i="1"/>
  <c r="BC213" i="1"/>
  <c r="BQ213" i="1" s="1"/>
  <c r="CD198" i="1"/>
  <c r="DO213" i="1"/>
  <c r="BL89" i="1"/>
  <c r="BZ89" i="1" s="1"/>
  <c r="L213" i="1"/>
  <c r="BG89" i="1"/>
  <c r="BU89" i="1" s="1"/>
  <c r="BD198" i="1"/>
  <c r="BR198" i="1" s="1"/>
  <c r="BD89" i="1"/>
  <c r="BR89" i="1" s="1"/>
  <c r="BH198" i="1"/>
  <c r="BV198" i="1" s="1"/>
  <c r="DG198" i="1"/>
  <c r="L198" i="1"/>
  <c r="BC198" i="1"/>
  <c r="BQ198" i="1" s="1"/>
  <c r="BM198" i="1"/>
  <c r="CA198" i="1" s="1"/>
  <c r="DQ198" i="1"/>
  <c r="ES198" i="1" s="1"/>
  <c r="DM58" i="1"/>
  <c r="EO58" i="1" s="1"/>
  <c r="BI113" i="1"/>
  <c r="BW113" i="1" s="1"/>
  <c r="DL58" i="1"/>
  <c r="EN58" i="1" s="1"/>
  <c r="BN69" i="1"/>
  <c r="CB69" i="1" s="1"/>
  <c r="BL69" i="1"/>
  <c r="BZ69" i="1" s="1"/>
  <c r="BH89" i="1"/>
  <c r="BV89" i="1" s="1"/>
  <c r="DN89" i="1"/>
  <c r="EP89" i="1" s="1"/>
  <c r="BJ89" i="1"/>
  <c r="BX89" i="1" s="1"/>
  <c r="BI89" i="1"/>
  <c r="BW89" i="1" s="1"/>
  <c r="DM89" i="1"/>
  <c r="EO89" i="1" s="1"/>
  <c r="DG89" i="1"/>
  <c r="L89" i="1"/>
  <c r="BC89" i="1"/>
  <c r="BQ89" i="1" s="1"/>
  <c r="CD89" i="1"/>
  <c r="DR89" i="1"/>
  <c r="ET89" i="1" s="1"/>
  <c r="BN89" i="1"/>
  <c r="CB89" i="1" s="1"/>
  <c r="BD69" i="1"/>
  <c r="BR69" i="1" s="1"/>
  <c r="DQ89" i="1"/>
  <c r="ES89" i="1" s="1"/>
  <c r="BM89" i="1"/>
  <c r="CA89" i="1" s="1"/>
  <c r="BF58" i="1"/>
  <c r="BT58" i="1" s="1"/>
  <c r="DR58" i="1"/>
  <c r="ET58" i="1" s="1"/>
  <c r="BN58" i="1"/>
  <c r="CB58" i="1" s="1"/>
  <c r="BN85" i="1"/>
  <c r="CB85" i="1" s="1"/>
  <c r="DQ58" i="1"/>
  <c r="ES58" i="1" s="1"/>
  <c r="BM58" i="1"/>
  <c r="CA58" i="1" s="1"/>
  <c r="DP58" i="1"/>
  <c r="ER58" i="1" s="1"/>
  <c r="BL58" i="1"/>
  <c r="BZ58" i="1" s="1"/>
  <c r="DN113" i="1"/>
  <c r="EP113" i="1" s="1"/>
  <c r="BC58" i="1"/>
  <c r="BQ58" i="1" s="1"/>
  <c r="DG58" i="1"/>
  <c r="L58" i="1"/>
  <c r="CD58" i="1"/>
  <c r="BD58" i="1"/>
  <c r="BR58" i="1" s="1"/>
  <c r="DH58" i="1"/>
  <c r="EJ58" i="1" s="1"/>
  <c r="DO58" i="1"/>
  <c r="CD69" i="1"/>
  <c r="BH69" i="1"/>
  <c r="BV69" i="1" s="1"/>
  <c r="DO69" i="1"/>
  <c r="BE69" i="1"/>
  <c r="BS69" i="1" s="1"/>
  <c r="DN69" i="1"/>
  <c r="EP69" i="1" s="1"/>
  <c r="BI69" i="1"/>
  <c r="BW69" i="1" s="1"/>
  <c r="DM69" i="1"/>
  <c r="EO69" i="1" s="1"/>
  <c r="BD113" i="1"/>
  <c r="BR113" i="1" s="1"/>
  <c r="BN112" i="1"/>
  <c r="CB112" i="1" s="1"/>
  <c r="BD85" i="1"/>
  <c r="BR85" i="1" s="1"/>
  <c r="DG69" i="1"/>
  <c r="L69" i="1"/>
  <c r="BC69" i="1"/>
  <c r="BQ69" i="1" s="1"/>
  <c r="BI110" i="1"/>
  <c r="BW110" i="1" s="1"/>
  <c r="DI112" i="1"/>
  <c r="EK112" i="1" s="1"/>
  <c r="DN85" i="1"/>
  <c r="EP85" i="1" s="1"/>
  <c r="CD85" i="1"/>
  <c r="BC85" i="1"/>
  <c r="BQ85" i="1" s="1"/>
  <c r="DG85" i="1"/>
  <c r="EI85" i="1" s="1"/>
  <c r="L85" i="1"/>
  <c r="DQ85" i="1"/>
  <c r="ES85" i="1" s="1"/>
  <c r="BM85" i="1"/>
  <c r="CA85" i="1" s="1"/>
  <c r="DO85" i="1"/>
  <c r="BF113" i="1"/>
  <c r="BT113" i="1" s="1"/>
  <c r="DH112" i="1"/>
  <c r="EJ112" i="1" s="1"/>
  <c r="BG113" i="1"/>
  <c r="BU113" i="1" s="1"/>
  <c r="CD112" i="1"/>
  <c r="DJ112" i="1"/>
  <c r="EL112" i="1" s="1"/>
  <c r="DP113" i="1"/>
  <c r="ER113" i="1" s="1"/>
  <c r="DO113" i="1"/>
  <c r="CD113" i="1"/>
  <c r="L113" i="1"/>
  <c r="BC112" i="1"/>
  <c r="BQ112" i="1" s="1"/>
  <c r="DL112" i="1"/>
  <c r="EN112" i="1" s="1"/>
  <c r="BH112" i="1"/>
  <c r="BV112" i="1" s="1"/>
  <c r="DP112" i="1"/>
  <c r="ER112" i="1" s="1"/>
  <c r="BL112" i="1"/>
  <c r="BZ112" i="1" s="1"/>
  <c r="DN112" i="1"/>
  <c r="EP112" i="1" s="1"/>
  <c r="BJ112" i="1"/>
  <c r="BX112" i="1" s="1"/>
  <c r="L112" i="1"/>
  <c r="DR113" i="1"/>
  <c r="ET113" i="1" s="1"/>
  <c r="BN113" i="1"/>
  <c r="CB113" i="1" s="1"/>
  <c r="BD110" i="1"/>
  <c r="BR110" i="1" s="1"/>
  <c r="DI110" i="1"/>
  <c r="EK110" i="1" s="1"/>
  <c r="BF110" i="1"/>
  <c r="BT110" i="1" s="1"/>
  <c r="L110" i="1"/>
  <c r="BJ110" i="1"/>
  <c r="BX110" i="1" s="1"/>
  <c r="BG110" i="1"/>
  <c r="BU110" i="1" s="1"/>
  <c r="BH110" i="1"/>
  <c r="BV110" i="1" s="1"/>
  <c r="CD110" i="1"/>
  <c r="BM110" i="1"/>
  <c r="CA110" i="1" s="1"/>
  <c r="DQ110" i="1"/>
  <c r="ES110" i="1" s="1"/>
  <c r="EI110" i="1"/>
  <c r="CJ20" i="8"/>
  <c r="CH20" i="8"/>
  <c r="AD20" i="8"/>
  <c r="M20" i="8"/>
  <c r="DG20" i="8" s="1"/>
  <c r="EI20" i="8" s="1"/>
  <c r="N20" i="8"/>
  <c r="DH20" i="8" s="1"/>
  <c r="EJ20" i="8" s="1"/>
  <c r="AA20" i="8"/>
  <c r="AB20" i="8"/>
  <c r="U20" i="8"/>
  <c r="L20" i="8"/>
  <c r="DF20" i="8" s="1"/>
  <c r="EH20" i="8" s="1"/>
  <c r="K20" i="8"/>
  <c r="DE20" i="8" s="1"/>
  <c r="EG20" i="8" s="1"/>
  <c r="Y20" i="8"/>
  <c r="CG20" i="8"/>
  <c r="DI20" i="8"/>
  <c r="Z20" i="8"/>
  <c r="BF20" i="8"/>
  <c r="BT20" i="8" s="1"/>
  <c r="DJ20" i="8"/>
  <c r="EL20" i="8" s="1"/>
  <c r="DL20" i="8"/>
  <c r="EN20" i="8" s="1"/>
  <c r="BH20" i="8"/>
  <c r="BV20" i="8" s="1"/>
  <c r="DA20" i="8"/>
  <c r="AW20" i="8"/>
  <c r="BK20" i="8" s="1"/>
  <c r="I20" i="8"/>
  <c r="AE20" i="8"/>
  <c r="BZ20" i="8"/>
  <c r="CB20" i="8"/>
  <c r="BY20" i="8"/>
  <c r="AF20" i="8"/>
  <c r="CA20" i="8"/>
  <c r="Q20" i="8"/>
  <c r="CL20" i="8"/>
  <c r="J20" i="8"/>
  <c r="H20" i="8"/>
  <c r="L531" i="2"/>
  <c r="L585" i="2"/>
  <c r="L539" i="2"/>
  <c r="L530" i="2"/>
  <c r="DF213" i="1" l="1"/>
  <c r="DF198" i="1"/>
  <c r="EI198" i="1"/>
  <c r="DF89" i="1"/>
  <c r="EI89" i="1"/>
  <c r="DF58" i="1"/>
  <c r="EI58" i="1"/>
  <c r="DF69" i="1"/>
  <c r="EI69" i="1"/>
  <c r="DF85" i="1"/>
  <c r="DF113" i="1"/>
  <c r="DF112" i="1"/>
  <c r="DF110" i="1"/>
  <c r="BC20" i="8"/>
  <c r="BQ20" i="8" s="1"/>
  <c r="BB20" i="8"/>
  <c r="BP20" i="8" s="1"/>
  <c r="BA20" i="8"/>
  <c r="BO20" i="8" s="1"/>
  <c r="F20" i="8"/>
  <c r="AY20" i="8"/>
  <c r="BM20" i="8" s="1"/>
  <c r="DC20" i="8"/>
  <c r="EE20" i="8" s="1"/>
  <c r="BX20" i="8"/>
  <c r="AX20" i="8"/>
  <c r="BL20" i="8" s="1"/>
  <c r="DB20" i="8"/>
  <c r="ED20" i="8" s="1"/>
  <c r="DD20" i="8"/>
  <c r="EF20" i="8" s="1"/>
  <c r="AZ20" i="8"/>
  <c r="BN20" i="8" s="1"/>
  <c r="EC20" i="8"/>
  <c r="DK20" i="8"/>
  <c r="EM20" i="8" s="1"/>
  <c r="BG20" i="8"/>
  <c r="BU20" i="8" s="1"/>
  <c r="L555" i="2"/>
  <c r="L532" i="2"/>
  <c r="L526" i="2"/>
  <c r="CZ20" i="8" l="1"/>
  <c r="M583" i="2"/>
  <c r="M582" i="2"/>
  <c r="M581" i="2"/>
  <c r="L596" i="2" l="1"/>
  <c r="L595" i="2"/>
  <c r="L599" i="2"/>
  <c r="L598" i="2"/>
  <c r="Y515" i="2" l="1"/>
  <c r="AA515" i="2"/>
  <c r="Y516" i="2"/>
  <c r="AA516" i="2"/>
  <c r="Y517" i="2"/>
  <c r="AA517" i="2"/>
  <c r="Y518" i="2"/>
  <c r="AA518" i="2"/>
  <c r="Y519" i="2"/>
  <c r="AA519" i="2"/>
  <c r="Y520" i="2"/>
  <c r="AA520" i="2"/>
  <c r="Y521" i="2"/>
  <c r="AA521" i="2"/>
  <c r="Y522" i="2"/>
  <c r="AA522" i="2"/>
  <c r="Y523" i="2"/>
  <c r="AA523" i="2"/>
  <c r="Y524" i="2"/>
  <c r="AA524" i="2"/>
  <c r="Y525" i="2"/>
  <c r="AA525" i="2"/>
  <c r="Y526" i="2"/>
  <c r="AA526" i="2"/>
  <c r="Y527" i="2"/>
  <c r="AA527" i="2"/>
  <c r="Y528" i="2"/>
  <c r="AA528" i="2"/>
  <c r="Y529" i="2"/>
  <c r="AA529" i="2"/>
  <c r="Y530" i="2"/>
  <c r="AA530" i="2"/>
  <c r="Y531" i="2"/>
  <c r="AA531" i="2"/>
  <c r="Y532" i="2"/>
  <c r="AA532" i="2"/>
  <c r="Y533" i="2"/>
  <c r="AA533" i="2"/>
  <c r="Y534" i="2"/>
  <c r="AA534" i="2"/>
  <c r="Y535" i="2"/>
  <c r="AA535" i="2"/>
  <c r="Y536" i="2"/>
  <c r="AA536" i="2"/>
  <c r="Y537" i="2"/>
  <c r="AA537" i="2"/>
  <c r="Y538" i="2"/>
  <c r="AA538" i="2"/>
  <c r="Y539" i="2"/>
  <c r="AA539" i="2"/>
  <c r="Y540" i="2"/>
  <c r="AA540" i="2"/>
  <c r="Y541" i="2"/>
  <c r="AA541" i="2"/>
  <c r="Y542" i="2"/>
  <c r="AA542" i="2"/>
  <c r="Y543" i="2"/>
  <c r="AA543" i="2"/>
  <c r="Y544" i="2"/>
  <c r="AA544" i="2"/>
  <c r="Y545" i="2"/>
  <c r="AA545" i="2"/>
  <c r="Y546" i="2"/>
  <c r="AA546" i="2"/>
  <c r="Y547" i="2"/>
  <c r="AA547" i="2"/>
  <c r="Y548" i="2"/>
  <c r="AA548" i="2"/>
  <c r="Y549" i="2"/>
  <c r="AA549" i="2"/>
  <c r="Y550" i="2"/>
  <c r="AA550" i="2"/>
  <c r="Y551" i="2"/>
  <c r="AA551" i="2"/>
  <c r="Y552" i="2"/>
  <c r="AA552" i="2"/>
  <c r="Y553" i="2"/>
  <c r="AA553" i="2"/>
  <c r="Y554" i="2"/>
  <c r="AA554" i="2"/>
  <c r="Y555" i="2"/>
  <c r="AA555" i="2"/>
  <c r="Y556" i="2"/>
  <c r="AA556" i="2"/>
  <c r="Y557" i="2"/>
  <c r="AA557" i="2"/>
  <c r="Y558" i="2"/>
  <c r="AA558" i="2"/>
  <c r="Y559" i="2"/>
  <c r="AA559" i="2"/>
  <c r="Y560" i="2"/>
  <c r="AA560" i="2"/>
  <c r="Y561" i="2"/>
  <c r="AA561" i="2"/>
  <c r="Y562" i="2"/>
  <c r="AA562" i="2"/>
  <c r="Y563" i="2"/>
  <c r="AA563" i="2"/>
  <c r="Y564" i="2"/>
  <c r="AA564" i="2"/>
  <c r="Y565" i="2"/>
  <c r="AA565" i="2"/>
  <c r="Y566" i="2"/>
  <c r="AA566" i="2"/>
  <c r="Y567" i="2"/>
  <c r="AA567" i="2"/>
  <c r="Y568" i="2"/>
  <c r="AA568" i="2"/>
  <c r="Y569" i="2"/>
  <c r="AA569" i="2"/>
  <c r="Y570" i="2"/>
  <c r="AA570" i="2"/>
  <c r="Y571" i="2"/>
  <c r="AA571" i="2"/>
  <c r="Y572" i="2"/>
  <c r="AA572" i="2"/>
  <c r="Y573" i="2"/>
  <c r="AA573" i="2"/>
  <c r="Y574" i="2"/>
  <c r="AA574" i="2"/>
  <c r="Y575" i="2"/>
  <c r="AA575" i="2"/>
  <c r="Y576" i="2"/>
  <c r="AA576" i="2"/>
  <c r="Y577" i="2"/>
  <c r="AA577" i="2"/>
  <c r="Y578" i="2"/>
  <c r="AA578" i="2"/>
  <c r="Y579" i="2"/>
  <c r="AA579" i="2"/>
  <c r="Y580" i="2"/>
  <c r="AA580" i="2"/>
  <c r="Y581" i="2"/>
  <c r="AA581" i="2"/>
  <c r="Y582" i="2"/>
  <c r="AA582" i="2"/>
  <c r="Y583" i="2"/>
  <c r="AA583" i="2"/>
  <c r="Y584" i="2"/>
  <c r="AA584" i="2"/>
  <c r="Y585" i="2"/>
  <c r="AA585" i="2"/>
  <c r="Y586" i="2"/>
  <c r="AA586" i="2"/>
  <c r="Y587" i="2"/>
  <c r="AA587" i="2"/>
  <c r="Y588" i="2"/>
  <c r="AA588" i="2"/>
  <c r="Y589" i="2"/>
  <c r="AA589" i="2"/>
  <c r="K132" i="60" s="1"/>
  <c r="Y590" i="2"/>
  <c r="AA590" i="2"/>
  <c r="Y591" i="2"/>
  <c r="AA591" i="2"/>
  <c r="Y592" i="2"/>
  <c r="AA592" i="2"/>
  <c r="Y593" i="2"/>
  <c r="AA593" i="2"/>
  <c r="Y594" i="2"/>
  <c r="AA594" i="2"/>
  <c r="Y595" i="2"/>
  <c r="AA595" i="2"/>
  <c r="Y596" i="2"/>
  <c r="AA596" i="2"/>
  <c r="Y597" i="2"/>
  <c r="AA597" i="2"/>
  <c r="Y598" i="2"/>
  <c r="AA598" i="2"/>
  <c r="Y599" i="2"/>
  <c r="AA599" i="2"/>
  <c r="Y514" i="2"/>
  <c r="AA514" i="2"/>
  <c r="S514" i="2"/>
  <c r="T514" i="2" s="1"/>
  <c r="S515" i="2"/>
  <c r="T515" i="2" s="1"/>
  <c r="S516" i="2"/>
  <c r="T516" i="2" s="1"/>
  <c r="S517" i="2"/>
  <c r="T517" i="2" s="1"/>
  <c r="S518" i="2"/>
  <c r="T518" i="2" s="1"/>
  <c r="S519" i="2"/>
  <c r="T519" i="2" s="1"/>
  <c r="S520" i="2"/>
  <c r="T520" i="2" s="1"/>
  <c r="S521" i="2"/>
  <c r="T521" i="2" s="1"/>
  <c r="S522" i="2"/>
  <c r="T522" i="2" s="1"/>
  <c r="S523" i="2"/>
  <c r="T523" i="2" s="1"/>
  <c r="S524" i="2"/>
  <c r="T524" i="2" s="1"/>
  <c r="S525" i="2"/>
  <c r="T525" i="2" s="1"/>
  <c r="S526" i="2"/>
  <c r="T526" i="2" s="1"/>
  <c r="S527" i="2"/>
  <c r="T527" i="2" s="1"/>
  <c r="S528" i="2"/>
  <c r="T528" i="2" s="1"/>
  <c r="S529" i="2"/>
  <c r="T529" i="2" s="1"/>
  <c r="S530" i="2"/>
  <c r="T530" i="2" s="1"/>
  <c r="S531" i="2"/>
  <c r="T531" i="2" s="1"/>
  <c r="S532" i="2"/>
  <c r="T532" i="2" s="1"/>
  <c r="S533" i="2"/>
  <c r="T533" i="2" s="1"/>
  <c r="S534" i="2"/>
  <c r="T534" i="2" s="1"/>
  <c r="S535" i="2"/>
  <c r="T535" i="2" s="1"/>
  <c r="S536" i="2"/>
  <c r="T536" i="2" s="1"/>
  <c r="S537" i="2"/>
  <c r="T537" i="2" s="1"/>
  <c r="S538" i="2"/>
  <c r="T538" i="2" s="1"/>
  <c r="S539" i="2"/>
  <c r="T539" i="2" s="1"/>
  <c r="S540" i="2"/>
  <c r="T540" i="2" s="1"/>
  <c r="S541" i="2"/>
  <c r="T541" i="2" s="1"/>
  <c r="S542" i="2"/>
  <c r="T542" i="2" s="1"/>
  <c r="S543" i="2"/>
  <c r="T543" i="2" s="1"/>
  <c r="S544" i="2"/>
  <c r="T544" i="2" s="1"/>
  <c r="S545" i="2"/>
  <c r="T545" i="2" s="1"/>
  <c r="S546" i="2"/>
  <c r="T546" i="2" s="1"/>
  <c r="S547" i="2"/>
  <c r="T547" i="2" s="1"/>
  <c r="S548" i="2"/>
  <c r="T548" i="2" s="1"/>
  <c r="S549" i="2"/>
  <c r="T549" i="2" s="1"/>
  <c r="S550" i="2"/>
  <c r="T550" i="2" s="1"/>
  <c r="S551" i="2"/>
  <c r="T551" i="2" s="1"/>
  <c r="S552" i="2"/>
  <c r="T552" i="2" s="1"/>
  <c r="S553" i="2"/>
  <c r="T553" i="2" s="1"/>
  <c r="S554" i="2"/>
  <c r="T554" i="2" s="1"/>
  <c r="S555" i="2"/>
  <c r="T555" i="2" s="1"/>
  <c r="S556" i="2"/>
  <c r="T556" i="2" s="1"/>
  <c r="S557" i="2"/>
  <c r="T557" i="2" s="1"/>
  <c r="S558" i="2"/>
  <c r="T558" i="2" s="1"/>
  <c r="S559" i="2"/>
  <c r="T559" i="2" s="1"/>
  <c r="S560" i="2"/>
  <c r="T560" i="2" s="1"/>
  <c r="S561" i="2"/>
  <c r="T561" i="2" s="1"/>
  <c r="S562" i="2"/>
  <c r="T562" i="2" s="1"/>
  <c r="S563" i="2"/>
  <c r="T563" i="2" s="1"/>
  <c r="S564" i="2"/>
  <c r="T564" i="2" s="1"/>
  <c r="S565" i="2"/>
  <c r="T565" i="2" s="1"/>
  <c r="S566" i="2"/>
  <c r="T566" i="2" s="1"/>
  <c r="S567" i="2"/>
  <c r="T567" i="2" s="1"/>
  <c r="S568" i="2"/>
  <c r="T568" i="2" s="1"/>
  <c r="S569" i="2"/>
  <c r="T569" i="2" s="1"/>
  <c r="S570" i="2"/>
  <c r="T570" i="2" s="1"/>
  <c r="S571" i="2"/>
  <c r="T571" i="2" s="1"/>
  <c r="S572" i="2"/>
  <c r="T572" i="2" s="1"/>
  <c r="S573" i="2"/>
  <c r="T573" i="2" s="1"/>
  <c r="S574" i="2"/>
  <c r="T574" i="2" s="1"/>
  <c r="S575" i="2"/>
  <c r="T575" i="2" s="1"/>
  <c r="S576" i="2"/>
  <c r="T576" i="2" s="1"/>
  <c r="S577" i="2"/>
  <c r="T577" i="2" s="1"/>
  <c r="S578" i="2"/>
  <c r="T578" i="2" s="1"/>
  <c r="S579" i="2"/>
  <c r="T579" i="2" s="1"/>
  <c r="S580" i="2"/>
  <c r="T580" i="2" s="1"/>
  <c r="S581" i="2"/>
  <c r="T581" i="2" s="1"/>
  <c r="S582" i="2"/>
  <c r="T582" i="2" s="1"/>
  <c r="S583" i="2"/>
  <c r="T583" i="2" s="1"/>
  <c r="S584" i="2"/>
  <c r="T584" i="2" s="1"/>
  <c r="S585" i="2"/>
  <c r="T585" i="2" s="1"/>
  <c r="S586" i="2"/>
  <c r="T586" i="2" s="1"/>
  <c r="S587" i="2"/>
  <c r="T587" i="2" s="1"/>
  <c r="S588" i="2"/>
  <c r="T588" i="2" s="1"/>
  <c r="S589" i="2"/>
  <c r="T589" i="2" s="1"/>
  <c r="S590" i="2"/>
  <c r="T590" i="2" s="1"/>
  <c r="S591" i="2"/>
  <c r="T591" i="2" s="1"/>
  <c r="S592" i="2"/>
  <c r="T592" i="2" s="1"/>
  <c r="S593" i="2"/>
  <c r="T593" i="2" s="1"/>
  <c r="S594" i="2"/>
  <c r="T594" i="2" s="1"/>
  <c r="S595" i="2"/>
  <c r="T595" i="2" s="1"/>
  <c r="S596" i="2"/>
  <c r="T596" i="2" s="1"/>
  <c r="S597" i="2"/>
  <c r="T597" i="2" s="1"/>
  <c r="S598" i="2"/>
  <c r="T598" i="2" s="1"/>
  <c r="S599" i="2"/>
  <c r="T599" i="2" s="1"/>
  <c r="O521" i="2"/>
  <c r="X521" i="2" s="1"/>
  <c r="AC521" i="2" s="1"/>
  <c r="O522" i="2"/>
  <c r="X522" i="2" s="1"/>
  <c r="O523" i="2"/>
  <c r="X523" i="2" s="1"/>
  <c r="O524" i="2"/>
  <c r="U524" i="2" s="1"/>
  <c r="O525" i="2"/>
  <c r="X525" i="2" s="1"/>
  <c r="AC525" i="2" s="1"/>
  <c r="O526" i="2"/>
  <c r="U526" i="2" s="1"/>
  <c r="O527" i="2"/>
  <c r="P527" i="2" s="1"/>
  <c r="Q527" i="2" s="1"/>
  <c r="O528" i="2"/>
  <c r="O529" i="2"/>
  <c r="X529" i="2" s="1"/>
  <c r="O530" i="2"/>
  <c r="P530" i="2" s="1"/>
  <c r="Q530" i="2" s="1"/>
  <c r="O531" i="2"/>
  <c r="U531" i="2" s="1"/>
  <c r="O532" i="2"/>
  <c r="P532" i="2" s="1"/>
  <c r="Q532" i="2" s="1"/>
  <c r="O533" i="2"/>
  <c r="X533" i="2" s="1"/>
  <c r="AC533" i="2" s="1"/>
  <c r="O534" i="2"/>
  <c r="X534" i="2" s="1"/>
  <c r="AC534" i="2" s="1"/>
  <c r="O535" i="2"/>
  <c r="U535" i="2" s="1"/>
  <c r="O536" i="2"/>
  <c r="P536" i="2" s="1"/>
  <c r="Q536" i="2" s="1"/>
  <c r="O537" i="2"/>
  <c r="X537" i="2" s="1"/>
  <c r="AC537" i="2" s="1"/>
  <c r="O538" i="2"/>
  <c r="X538" i="2" s="1"/>
  <c r="AC538" i="2" s="1"/>
  <c r="O539" i="2"/>
  <c r="X539" i="2" s="1"/>
  <c r="AC539" i="2" s="1"/>
  <c r="O540" i="2"/>
  <c r="U540" i="2" s="1"/>
  <c r="O541" i="2"/>
  <c r="X541" i="2" s="1"/>
  <c r="AC541" i="2" s="1"/>
  <c r="O542" i="2"/>
  <c r="U542" i="2" s="1"/>
  <c r="O543" i="2"/>
  <c r="P543" i="2" s="1"/>
  <c r="Q543" i="2" s="1"/>
  <c r="O544" i="2"/>
  <c r="U544" i="2" s="1"/>
  <c r="Z544" i="2" s="1"/>
  <c r="O545" i="2"/>
  <c r="X545" i="2" s="1"/>
  <c r="O546" i="2"/>
  <c r="O547" i="2"/>
  <c r="P547" i="2" s="1"/>
  <c r="Q547" i="2" s="1"/>
  <c r="O548" i="2"/>
  <c r="P548" i="2" s="1"/>
  <c r="Q548" i="2" s="1"/>
  <c r="O549" i="2"/>
  <c r="X549" i="2" s="1"/>
  <c r="AC549" i="2" s="1"/>
  <c r="O550" i="2"/>
  <c r="X550" i="2" s="1"/>
  <c r="AC550" i="2" s="1"/>
  <c r="O551" i="2"/>
  <c r="U551" i="2" s="1"/>
  <c r="O552" i="2"/>
  <c r="X552" i="2" s="1"/>
  <c r="AC552" i="2" s="1"/>
  <c r="O553" i="2"/>
  <c r="O554" i="2"/>
  <c r="O555" i="2"/>
  <c r="P555" i="2" s="1"/>
  <c r="Q555" i="2" s="1"/>
  <c r="O556" i="2"/>
  <c r="U556" i="2" s="1"/>
  <c r="O557" i="2"/>
  <c r="X557" i="2" s="1"/>
  <c r="AC557" i="2" s="1"/>
  <c r="O558" i="2"/>
  <c r="U558" i="2" s="1"/>
  <c r="O559" i="2"/>
  <c r="P559" i="2" s="1"/>
  <c r="Q559" i="2" s="1"/>
  <c r="O560" i="2"/>
  <c r="X560" i="2" s="1"/>
  <c r="AC560" i="2" s="1"/>
  <c r="O561" i="2"/>
  <c r="X561" i="2" s="1"/>
  <c r="AC561" i="2" s="1"/>
  <c r="O562" i="2"/>
  <c r="P562" i="2" s="1"/>
  <c r="Q562" i="2" s="1"/>
  <c r="O563" i="2"/>
  <c r="O564" i="2"/>
  <c r="O565" i="2"/>
  <c r="X565" i="2" s="1"/>
  <c r="AC565" i="2" s="1"/>
  <c r="O566" i="2"/>
  <c r="X566" i="2" s="1"/>
  <c r="AC566" i="2" s="1"/>
  <c r="O567" i="2"/>
  <c r="P567" i="2" s="1"/>
  <c r="Q567" i="2" s="1"/>
  <c r="O568" i="2"/>
  <c r="P568" i="2" s="1"/>
  <c r="Q568" i="2" s="1"/>
  <c r="O569" i="2"/>
  <c r="X569" i="2" s="1"/>
  <c r="AC569" i="2" s="1"/>
  <c r="O570" i="2"/>
  <c r="X570" i="2" s="1"/>
  <c r="AC570" i="2" s="1"/>
  <c r="O571" i="2"/>
  <c r="P571" i="2" s="1"/>
  <c r="Q571" i="2" s="1"/>
  <c r="O572" i="2"/>
  <c r="U572" i="2" s="1"/>
  <c r="O573" i="2"/>
  <c r="X573" i="2" s="1"/>
  <c r="O574" i="2"/>
  <c r="U574" i="2" s="1"/>
  <c r="O575" i="2"/>
  <c r="U575" i="2" s="1"/>
  <c r="Z575" i="2" s="1"/>
  <c r="O576" i="2"/>
  <c r="P576" i="2" s="1"/>
  <c r="Q576" i="2" s="1"/>
  <c r="O577" i="2"/>
  <c r="X577" i="2" s="1"/>
  <c r="AC577" i="2" s="1"/>
  <c r="O578" i="2"/>
  <c r="AI112" i="1" s="1"/>
  <c r="O579" i="2"/>
  <c r="P579" i="2" s="1"/>
  <c r="Q579" i="2" s="1"/>
  <c r="O580" i="2"/>
  <c r="P580" i="2" s="1"/>
  <c r="Q580" i="2" s="1"/>
  <c r="O581" i="2"/>
  <c r="X581" i="2" s="1"/>
  <c r="O582" i="2"/>
  <c r="X582" i="2" s="1"/>
  <c r="O583" i="2"/>
  <c r="P583" i="2" s="1"/>
  <c r="Q583" i="2" s="1"/>
  <c r="O584" i="2"/>
  <c r="P584" i="2" s="1"/>
  <c r="Q584" i="2" s="1"/>
  <c r="O585" i="2"/>
  <c r="X585" i="2" s="1"/>
  <c r="AC585" i="2" s="1"/>
  <c r="O586" i="2"/>
  <c r="X586" i="2" s="1"/>
  <c r="O587" i="2"/>
  <c r="U587" i="2" s="1"/>
  <c r="V587" i="2" s="1"/>
  <c r="O588" i="2"/>
  <c r="U588" i="2" s="1"/>
  <c r="O589" i="2"/>
  <c r="O590" i="2"/>
  <c r="U590" i="2" s="1"/>
  <c r="O591" i="2"/>
  <c r="P591" i="2" s="1"/>
  <c r="Q591" i="2" s="1"/>
  <c r="O592" i="2"/>
  <c r="X592" i="2" s="1"/>
  <c r="AC592" i="2" s="1"/>
  <c r="O593" i="2"/>
  <c r="X593" i="2" s="1"/>
  <c r="AC593" i="2" s="1"/>
  <c r="O594" i="2"/>
  <c r="U594" i="2" s="1"/>
  <c r="V594" i="2" s="1"/>
  <c r="O595" i="2"/>
  <c r="U595" i="2" s="1"/>
  <c r="O596" i="2"/>
  <c r="P596" i="2" s="1"/>
  <c r="Q596" i="2" s="1"/>
  <c r="O597" i="2"/>
  <c r="X597" i="2" s="1"/>
  <c r="AC597" i="2" s="1"/>
  <c r="O598" i="2"/>
  <c r="P598" i="2" s="1"/>
  <c r="Q598" i="2" s="1"/>
  <c r="O599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E522" i="2"/>
  <c r="E523" i="2"/>
  <c r="E524" i="2"/>
  <c r="E525" i="2"/>
  <c r="E526" i="2"/>
  <c r="E527" i="2"/>
  <c r="E528" i="2"/>
  <c r="E529" i="2"/>
  <c r="E530" i="2"/>
  <c r="E531" i="2"/>
  <c r="E532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4" i="2"/>
  <c r="E595" i="2"/>
  <c r="E596" i="2"/>
  <c r="E597" i="2"/>
  <c r="E598" i="2"/>
  <c r="E599" i="2"/>
  <c r="E521" i="2"/>
  <c r="AC582" i="2" l="1"/>
  <c r="H218" i="35"/>
  <c r="AC581" i="2"/>
  <c r="H217" i="35"/>
  <c r="AC545" i="2"/>
  <c r="H224" i="35"/>
  <c r="AC529" i="2"/>
  <c r="AC573" i="2"/>
  <c r="H221" i="35"/>
  <c r="AC523" i="2"/>
  <c r="H215" i="35"/>
  <c r="AC586" i="2"/>
  <c r="H226" i="35"/>
  <c r="O226" i="35" s="1"/>
  <c r="P554" i="2"/>
  <c r="Q554" i="2" s="1"/>
  <c r="AI213" i="1"/>
  <c r="AC522" i="2"/>
  <c r="H214" i="35"/>
  <c r="P546" i="2"/>
  <c r="Q546" i="2" s="1"/>
  <c r="AI198" i="1"/>
  <c r="P563" i="2"/>
  <c r="Q563" i="2" s="1"/>
  <c r="AI58" i="1"/>
  <c r="P528" i="2"/>
  <c r="Q528" i="2" s="1"/>
  <c r="AI89" i="1"/>
  <c r="X553" i="2"/>
  <c r="AI69" i="1"/>
  <c r="P599" i="2"/>
  <c r="Q599" i="2" s="1"/>
  <c r="AI85" i="1"/>
  <c r="BK112" i="1"/>
  <c r="BY112" i="1" s="1"/>
  <c r="Z112" i="1"/>
  <c r="BB112" i="1" s="1"/>
  <c r="BP112" i="1" s="1"/>
  <c r="X589" i="2"/>
  <c r="AI113" i="1"/>
  <c r="X564" i="2"/>
  <c r="AI110" i="1"/>
  <c r="P578" i="2"/>
  <c r="Q578" i="2" s="1"/>
  <c r="AC20" i="8"/>
  <c r="X583" i="2"/>
  <c r="X575" i="2"/>
  <c r="U548" i="2"/>
  <c r="V548" i="2" s="1"/>
  <c r="X567" i="2"/>
  <c r="AC567" i="2" s="1"/>
  <c r="P564" i="2"/>
  <c r="Q564" i="2" s="1"/>
  <c r="U578" i="2"/>
  <c r="V578" i="2" s="1"/>
  <c r="P544" i="2"/>
  <c r="Q544" i="2" s="1"/>
  <c r="U564" i="2"/>
  <c r="V564" i="2" s="1"/>
  <c r="P539" i="2"/>
  <c r="Q539" i="2" s="1"/>
  <c r="U555" i="2"/>
  <c r="V555" i="2" s="1"/>
  <c r="X587" i="2"/>
  <c r="X580" i="2"/>
  <c r="AC580" i="2" s="1"/>
  <c r="P525" i="2"/>
  <c r="Q525" i="2" s="1"/>
  <c r="P523" i="2"/>
  <c r="Q523" i="2" s="1"/>
  <c r="U546" i="2"/>
  <c r="V546" i="2" s="1"/>
  <c r="U532" i="2"/>
  <c r="V532" i="2" s="1"/>
  <c r="X548" i="2"/>
  <c r="AC548" i="2" s="1"/>
  <c r="X555" i="2"/>
  <c r="AC555" i="2" s="1"/>
  <c r="P588" i="2"/>
  <c r="Q588" i="2" s="1"/>
  <c r="P587" i="2"/>
  <c r="Q587" i="2" s="1"/>
  <c r="X572" i="2"/>
  <c r="AC572" i="2" s="1"/>
  <c r="P575" i="2"/>
  <c r="Q575" i="2" s="1"/>
  <c r="U596" i="2"/>
  <c r="V596" i="2" s="1"/>
  <c r="X535" i="2"/>
  <c r="AC535" i="2" s="1"/>
  <c r="X528" i="2"/>
  <c r="U591" i="2"/>
  <c r="Z591" i="2" s="1"/>
  <c r="X599" i="2"/>
  <c r="X578" i="2"/>
  <c r="P572" i="2"/>
  <c r="Q572" i="2" s="1"/>
  <c r="U580" i="2"/>
  <c r="V580" i="2" s="1"/>
  <c r="X591" i="2"/>
  <c r="AC591" i="2" s="1"/>
  <c r="X556" i="2"/>
  <c r="AC556" i="2" s="1"/>
  <c r="P560" i="2"/>
  <c r="Q560" i="2" s="1"/>
  <c r="U576" i="2"/>
  <c r="Z576" i="2" s="1"/>
  <c r="P540" i="2"/>
  <c r="Q540" i="2" s="1"/>
  <c r="U560" i="2"/>
  <c r="Z560" i="2" s="1"/>
  <c r="U557" i="2"/>
  <c r="Z557" i="2" s="1"/>
  <c r="X547" i="2"/>
  <c r="AC547" i="2" s="1"/>
  <c r="X588" i="2"/>
  <c r="X524" i="2"/>
  <c r="U539" i="2"/>
  <c r="V539" i="2" s="1"/>
  <c r="X530" i="2"/>
  <c r="AC530" i="2" s="1"/>
  <c r="P594" i="2"/>
  <c r="Q594" i="2" s="1"/>
  <c r="P558" i="2"/>
  <c r="Q558" i="2" s="1"/>
  <c r="P521" i="2"/>
  <c r="Q521" i="2" s="1"/>
  <c r="U530" i="2"/>
  <c r="V530" i="2" s="1"/>
  <c r="X596" i="2"/>
  <c r="X559" i="2"/>
  <c r="AC559" i="2" s="1"/>
  <c r="P592" i="2"/>
  <c r="Q592" i="2" s="1"/>
  <c r="P557" i="2"/>
  <c r="Q557" i="2" s="1"/>
  <c r="U573" i="2"/>
  <c r="Z573" i="2" s="1"/>
  <c r="U528" i="2"/>
  <c r="Z528" i="2" s="1"/>
  <c r="X590" i="2"/>
  <c r="AC590" i="2" s="1"/>
  <c r="X546" i="2"/>
  <c r="H225" i="35" s="1"/>
  <c r="X540" i="2"/>
  <c r="AC540" i="2" s="1"/>
  <c r="P556" i="2"/>
  <c r="Q556" i="2" s="1"/>
  <c r="U571" i="2"/>
  <c r="V571" i="2" s="1"/>
  <c r="U527" i="2"/>
  <c r="Z527" i="2" s="1"/>
  <c r="X571" i="2"/>
  <c r="AC571" i="2" s="1"/>
  <c r="X527" i="2"/>
  <c r="AC527" i="2" s="1"/>
  <c r="P590" i="2"/>
  <c r="Q590" i="2" s="1"/>
  <c r="U525" i="2"/>
  <c r="Z525" i="2" s="1"/>
  <c r="X595" i="2"/>
  <c r="X558" i="2"/>
  <c r="P589" i="2"/>
  <c r="Q589" i="2" s="1"/>
  <c r="P551" i="2"/>
  <c r="Q551" i="2" s="1"/>
  <c r="U562" i="2"/>
  <c r="V562" i="2" s="1"/>
  <c r="U523" i="2"/>
  <c r="V523" i="2" s="1"/>
  <c r="X576" i="2"/>
  <c r="AC576" i="2" s="1"/>
  <c r="X551" i="2"/>
  <c r="AC551" i="2" s="1"/>
  <c r="X532" i="2"/>
  <c r="AC532" i="2" s="1"/>
  <c r="X563" i="2"/>
  <c r="X526" i="2"/>
  <c r="AC526" i="2" s="1"/>
  <c r="U559" i="2"/>
  <c r="Z559" i="2" s="1"/>
  <c r="X594" i="2"/>
  <c r="AC594" i="2" s="1"/>
  <c r="X544" i="2"/>
  <c r="X531" i="2"/>
  <c r="AC531" i="2" s="1"/>
  <c r="P574" i="2"/>
  <c r="Q574" i="2" s="1"/>
  <c r="X562" i="2"/>
  <c r="AC562" i="2" s="1"/>
  <c r="P573" i="2"/>
  <c r="Q573" i="2" s="1"/>
  <c r="U592" i="2"/>
  <c r="Z592" i="2" s="1"/>
  <c r="X543" i="2"/>
  <c r="AC543" i="2" s="1"/>
  <c r="X574" i="2"/>
  <c r="U589" i="2"/>
  <c r="Z589" i="2" s="1"/>
  <c r="M132" i="60" s="1"/>
  <c r="U543" i="2"/>
  <c r="Z543" i="2" s="1"/>
  <c r="X579" i="2"/>
  <c r="X542" i="2"/>
  <c r="AC542" i="2" s="1"/>
  <c r="P570" i="2"/>
  <c r="Q570" i="2" s="1"/>
  <c r="U541" i="2"/>
  <c r="Z541" i="2" s="1"/>
  <c r="V540" i="2"/>
  <c r="Z540" i="2"/>
  <c r="Z574" i="2"/>
  <c r="V574" i="2"/>
  <c r="Z558" i="2"/>
  <c r="V558" i="2"/>
  <c r="V588" i="2"/>
  <c r="Z588" i="2"/>
  <c r="V535" i="2"/>
  <c r="Z535" i="2"/>
  <c r="Z542" i="2"/>
  <c r="V542" i="2"/>
  <c r="V572" i="2"/>
  <c r="Z572" i="2"/>
  <c r="Z526" i="2"/>
  <c r="V526" i="2"/>
  <c r="V524" i="2"/>
  <c r="Z524" i="2"/>
  <c r="V551" i="2"/>
  <c r="Z551" i="2"/>
  <c r="Z590" i="2"/>
  <c r="V590" i="2"/>
  <c r="V556" i="2"/>
  <c r="Z556" i="2"/>
  <c r="V595" i="2"/>
  <c r="Z595" i="2"/>
  <c r="V531" i="2"/>
  <c r="Z531" i="2"/>
  <c r="P595" i="2"/>
  <c r="Q595" i="2" s="1"/>
  <c r="P561" i="2"/>
  <c r="Q561" i="2" s="1"/>
  <c r="P552" i="2"/>
  <c r="Q552" i="2" s="1"/>
  <c r="P535" i="2"/>
  <c r="Q535" i="2" s="1"/>
  <c r="U586" i="2"/>
  <c r="U570" i="2"/>
  <c r="U554" i="2"/>
  <c r="U538" i="2"/>
  <c r="U522" i="2"/>
  <c r="V544" i="2"/>
  <c r="P586" i="2"/>
  <c r="Q586" i="2" s="1"/>
  <c r="P569" i="2"/>
  <c r="Q569" i="2" s="1"/>
  <c r="P526" i="2"/>
  <c r="Q526" i="2" s="1"/>
  <c r="U585" i="2"/>
  <c r="U569" i="2"/>
  <c r="U553" i="2"/>
  <c r="U537" i="2"/>
  <c r="U521" i="2"/>
  <c r="V575" i="2"/>
  <c r="P577" i="2"/>
  <c r="Q577" i="2" s="1"/>
  <c r="P534" i="2"/>
  <c r="Q534" i="2" s="1"/>
  <c r="U584" i="2"/>
  <c r="U568" i="2"/>
  <c r="U552" i="2"/>
  <c r="U536" i="2"/>
  <c r="X584" i="2"/>
  <c r="X568" i="2"/>
  <c r="AC568" i="2" s="1"/>
  <c r="X536" i="2"/>
  <c r="AC536" i="2" s="1"/>
  <c r="P585" i="2"/>
  <c r="Q585" i="2" s="1"/>
  <c r="P542" i="2"/>
  <c r="Q542" i="2" s="1"/>
  <c r="P533" i="2"/>
  <c r="Q533" i="2" s="1"/>
  <c r="U599" i="2"/>
  <c r="U583" i="2"/>
  <c r="U567" i="2"/>
  <c r="P593" i="2"/>
  <c r="Q593" i="2" s="1"/>
  <c r="P550" i="2"/>
  <c r="Q550" i="2" s="1"/>
  <c r="P541" i="2"/>
  <c r="Q541" i="2" s="1"/>
  <c r="P524" i="2"/>
  <c r="Q524" i="2" s="1"/>
  <c r="U598" i="2"/>
  <c r="U582" i="2"/>
  <c r="U566" i="2"/>
  <c r="U550" i="2"/>
  <c r="U534" i="2"/>
  <c r="Z587" i="2"/>
  <c r="P549" i="2"/>
  <c r="Q549" i="2" s="1"/>
  <c r="U597" i="2"/>
  <c r="U581" i="2"/>
  <c r="U565" i="2"/>
  <c r="U549" i="2"/>
  <c r="U533" i="2"/>
  <c r="P566" i="2"/>
  <c r="Q566" i="2" s="1"/>
  <c r="P531" i="2"/>
  <c r="Q531" i="2" s="1"/>
  <c r="U579" i="2"/>
  <c r="U563" i="2"/>
  <c r="U547" i="2"/>
  <c r="P565" i="2"/>
  <c r="Q565" i="2" s="1"/>
  <c r="P522" i="2"/>
  <c r="Q522" i="2" s="1"/>
  <c r="Z594" i="2"/>
  <c r="P582" i="2"/>
  <c r="Q582" i="2" s="1"/>
  <c r="U593" i="2"/>
  <c r="U577" i="2"/>
  <c r="U561" i="2"/>
  <c r="U545" i="2"/>
  <c r="U529" i="2"/>
  <c r="P581" i="2"/>
  <c r="Q581" i="2" s="1"/>
  <c r="P538" i="2"/>
  <c r="Q538" i="2" s="1"/>
  <c r="X598" i="2"/>
  <c r="AC598" i="2" s="1"/>
  <c r="X554" i="2"/>
  <c r="P529" i="2"/>
  <c r="Q529" i="2" s="1"/>
  <c r="P597" i="2"/>
  <c r="Q597" i="2" s="1"/>
  <c r="P537" i="2"/>
  <c r="Q537" i="2" s="1"/>
  <c r="P545" i="2"/>
  <c r="Q545" i="2" s="1"/>
  <c r="P553" i="2"/>
  <c r="Q553" i="2" s="1"/>
  <c r="H210" i="35" l="1"/>
  <c r="K210" i="35" s="1"/>
  <c r="L132" i="60"/>
  <c r="H208" i="35"/>
  <c r="Z213" i="1"/>
  <c r="BB213" i="1" s="1"/>
  <c r="BP213" i="1" s="1"/>
  <c r="BK213" i="1"/>
  <c r="BY213" i="1" s="1"/>
  <c r="AC579" i="2"/>
  <c r="H223" i="35"/>
  <c r="AC544" i="2"/>
  <c r="H227" i="35"/>
  <c r="EC112" i="1"/>
  <c r="EQ112" i="1" s="1"/>
  <c r="H209" i="35"/>
  <c r="AC587" i="2"/>
  <c r="H231" i="35"/>
  <c r="AC554" i="2"/>
  <c r="H228" i="35"/>
  <c r="O228" i="35" s="1"/>
  <c r="EC213" i="1"/>
  <c r="AC524" i="2"/>
  <c r="H216" i="35"/>
  <c r="AC588" i="2"/>
  <c r="H212" i="35"/>
  <c r="O212" i="35" s="1"/>
  <c r="K225" i="35"/>
  <c r="L225" i="35"/>
  <c r="AC574" i="2"/>
  <c r="H222" i="35"/>
  <c r="AC575" i="2"/>
  <c r="H220" i="35"/>
  <c r="AC583" i="2"/>
  <c r="H219" i="35"/>
  <c r="AC558" i="2"/>
  <c r="H211" i="35"/>
  <c r="AC584" i="2"/>
  <c r="H213" i="35"/>
  <c r="AC595" i="2"/>
  <c r="H230" i="35"/>
  <c r="O230" i="35" s="1"/>
  <c r="AC596" i="2"/>
  <c r="H229" i="35"/>
  <c r="O229" i="35" s="1"/>
  <c r="AC546" i="2"/>
  <c r="EC198" i="1"/>
  <c r="Z198" i="1"/>
  <c r="BB198" i="1" s="1"/>
  <c r="BP198" i="1" s="1"/>
  <c r="BK198" i="1"/>
  <c r="BY198" i="1" s="1"/>
  <c r="AC528" i="2"/>
  <c r="EC89" i="1"/>
  <c r="BK69" i="1"/>
  <c r="BY69" i="1" s="1"/>
  <c r="Z69" i="1"/>
  <c r="BB69" i="1" s="1"/>
  <c r="BP69" i="1" s="1"/>
  <c r="AC553" i="2"/>
  <c r="EC69" i="1"/>
  <c r="BK89" i="1"/>
  <c r="BY89" i="1" s="1"/>
  <c r="Z89" i="1"/>
  <c r="BB89" i="1" s="1"/>
  <c r="BP89" i="1" s="1"/>
  <c r="AC563" i="2"/>
  <c r="EC58" i="1"/>
  <c r="Z58" i="1"/>
  <c r="BB58" i="1" s="1"/>
  <c r="BP58" i="1" s="1"/>
  <c r="BK58" i="1"/>
  <c r="BY58" i="1" s="1"/>
  <c r="AC599" i="2"/>
  <c r="EC85" i="1"/>
  <c r="Z85" i="1"/>
  <c r="BB85" i="1" s="1"/>
  <c r="BP85" i="1" s="1"/>
  <c r="BK85" i="1"/>
  <c r="BY85" i="1" s="1"/>
  <c r="AC589" i="2"/>
  <c r="EC113" i="1"/>
  <c r="BK113" i="1"/>
  <c r="BY113" i="1" s="1"/>
  <c r="Z113" i="1"/>
  <c r="BB113" i="1" s="1"/>
  <c r="BP113" i="1" s="1"/>
  <c r="AC564" i="2"/>
  <c r="EC110" i="1"/>
  <c r="BK110" i="1"/>
  <c r="BY110" i="1" s="1"/>
  <c r="Z110" i="1"/>
  <c r="BB110" i="1" s="1"/>
  <c r="BP110" i="1" s="1"/>
  <c r="AC578" i="2"/>
  <c r="DW20" i="8"/>
  <c r="BE20" i="8"/>
  <c r="BS20" i="8" s="1"/>
  <c r="T20" i="8"/>
  <c r="Z580" i="2"/>
  <c r="V557" i="2"/>
  <c r="V525" i="2"/>
  <c r="Z546" i="2"/>
  <c r="Z530" i="2"/>
  <c r="Z578" i="2"/>
  <c r="Z548" i="2"/>
  <c r="Z564" i="2"/>
  <c r="V528" i="2"/>
  <c r="V573" i="2"/>
  <c r="V560" i="2"/>
  <c r="V589" i="2"/>
  <c r="Z523" i="2"/>
  <c r="Z555" i="2"/>
  <c r="Z562" i="2"/>
  <c r="Z532" i="2"/>
  <c r="V591" i="2"/>
  <c r="Z539" i="2"/>
  <c r="V576" i="2"/>
  <c r="Z596" i="2"/>
  <c r="V541" i="2"/>
  <c r="V527" i="2"/>
  <c r="Z571" i="2"/>
  <c r="V543" i="2"/>
  <c r="V559" i="2"/>
  <c r="V592" i="2"/>
  <c r="Z586" i="2"/>
  <c r="V586" i="2"/>
  <c r="V568" i="2"/>
  <c r="Z568" i="2"/>
  <c r="V584" i="2"/>
  <c r="Z584" i="2"/>
  <c r="Z545" i="2"/>
  <c r="V545" i="2"/>
  <c r="V598" i="2"/>
  <c r="Z598" i="2"/>
  <c r="Z581" i="2"/>
  <c r="V581" i="2"/>
  <c r="Z597" i="2"/>
  <c r="V597" i="2"/>
  <c r="V567" i="2"/>
  <c r="Z567" i="2"/>
  <c r="V583" i="2"/>
  <c r="Z583" i="2"/>
  <c r="V547" i="2"/>
  <c r="Z547" i="2"/>
  <c r="V534" i="2"/>
  <c r="Z534" i="2"/>
  <c r="V599" i="2"/>
  <c r="Z599" i="2"/>
  <c r="V563" i="2"/>
  <c r="Z563" i="2"/>
  <c r="V550" i="2"/>
  <c r="Z550" i="2"/>
  <c r="V552" i="2"/>
  <c r="Z552" i="2"/>
  <c r="V579" i="2"/>
  <c r="Z579" i="2"/>
  <c r="V566" i="2"/>
  <c r="Z566" i="2"/>
  <c r="Z521" i="2"/>
  <c r="V521" i="2"/>
  <c r="Z529" i="2"/>
  <c r="V529" i="2"/>
  <c r="V582" i="2"/>
  <c r="Z582" i="2"/>
  <c r="Z537" i="2"/>
  <c r="V537" i="2"/>
  <c r="Z553" i="2"/>
  <c r="V553" i="2"/>
  <c r="Z522" i="2"/>
  <c r="V522" i="2"/>
  <c r="Z561" i="2"/>
  <c r="V561" i="2"/>
  <c r="Z533" i="2"/>
  <c r="V533" i="2"/>
  <c r="Z569" i="2"/>
  <c r="V569" i="2"/>
  <c r="Z538" i="2"/>
  <c r="V538" i="2"/>
  <c r="Z577" i="2"/>
  <c r="V577" i="2"/>
  <c r="Z549" i="2"/>
  <c r="V549" i="2"/>
  <c r="Z585" i="2"/>
  <c r="V585" i="2"/>
  <c r="Z554" i="2"/>
  <c r="V554" i="2"/>
  <c r="Z593" i="2"/>
  <c r="V593" i="2"/>
  <c r="Z565" i="2"/>
  <c r="V565" i="2"/>
  <c r="V536" i="2"/>
  <c r="Z536" i="2"/>
  <c r="Z570" i="2"/>
  <c r="V570" i="2"/>
  <c r="L210" i="35" l="1"/>
  <c r="DT112" i="1"/>
  <c r="EH112" i="1" s="1"/>
  <c r="DT213" i="1"/>
  <c r="EH213" i="1" s="1"/>
  <c r="EQ213" i="1"/>
  <c r="L228" i="35"/>
  <c r="K228" i="35"/>
  <c r="K209" i="35"/>
  <c r="L209" i="35"/>
  <c r="DT198" i="1"/>
  <c r="EH198" i="1" s="1"/>
  <c r="EQ198" i="1"/>
  <c r="DT58" i="1"/>
  <c r="EH58" i="1" s="1"/>
  <c r="EQ58" i="1"/>
  <c r="DT69" i="1"/>
  <c r="EH69" i="1" s="1"/>
  <c r="EQ69" i="1"/>
  <c r="DT89" i="1"/>
  <c r="EH89" i="1" s="1"/>
  <c r="EQ89" i="1"/>
  <c r="DT85" i="1"/>
  <c r="EH85" i="1" s="1"/>
  <c r="EQ85" i="1"/>
  <c r="DT113" i="1"/>
  <c r="EH113" i="1" s="1"/>
  <c r="EQ113" i="1"/>
  <c r="DT110" i="1"/>
  <c r="EH110" i="1" s="1"/>
  <c r="EQ110" i="1"/>
  <c r="DN20" i="8"/>
  <c r="EB20" i="8" s="1"/>
  <c r="EK20" i="8"/>
  <c r="L484" i="2"/>
  <c r="C52" i="8"/>
  <c r="C30" i="8"/>
  <c r="K3" i="2"/>
  <c r="M228" i="35" l="1"/>
  <c r="Q9" i="62"/>
  <c r="Q8" i="62"/>
  <c r="Q7" i="62"/>
  <c r="Q6" i="62"/>
  <c r="Q5" i="62"/>
  <c r="Q4" i="62"/>
  <c r="T28" i="8"/>
  <c r="F31" i="62" l="1"/>
  <c r="D27" i="62"/>
  <c r="C27" i="62"/>
  <c r="W43" i="44"/>
  <c r="W42" i="44"/>
  <c r="W41" i="44"/>
  <c r="L452" i="2" l="1"/>
  <c r="L455" i="2"/>
  <c r="Y479" i="2" l="1"/>
  <c r="S499" i="2"/>
  <c r="H125" i="60"/>
  <c r="C125" i="60"/>
  <c r="B125" i="60"/>
  <c r="B111" i="60"/>
  <c r="J122" i="60" l="1"/>
  <c r="G127" i="60" l="1"/>
  <c r="A184" i="35"/>
  <c r="A185" i="35"/>
  <c r="A186" i="35"/>
  <c r="A187" i="35"/>
  <c r="A188" i="35"/>
  <c r="A189" i="35"/>
  <c r="A190" i="35"/>
  <c r="A191" i="35"/>
  <c r="A192" i="35"/>
  <c r="A193" i="35"/>
  <c r="A194" i="35"/>
  <c r="A195" i="35"/>
  <c r="A196" i="35"/>
  <c r="A197" i="35"/>
  <c r="A198" i="35"/>
  <c r="A199" i="35"/>
  <c r="A200" i="35"/>
  <c r="A201" i="35"/>
  <c r="A181" i="35"/>
  <c r="A182" i="35"/>
  <c r="A183" i="35"/>
  <c r="M493" i="2"/>
  <c r="M490" i="2"/>
  <c r="M489" i="2"/>
  <c r="I184" i="35" l="1"/>
  <c r="I198" i="35"/>
  <c r="A180" i="35"/>
  <c r="A152" i="35"/>
  <c r="M177" i="35"/>
  <c r="AV227" i="1"/>
  <c r="AV226" i="1"/>
  <c r="AV225" i="1"/>
  <c r="AV224" i="1"/>
  <c r="AV223" i="1"/>
  <c r="AV221" i="1"/>
  <c r="AV220" i="1"/>
  <c r="AV219" i="1"/>
  <c r="AV218" i="1"/>
  <c r="AV217" i="1"/>
  <c r="AV216" i="1"/>
  <c r="AV215" i="1"/>
  <c r="AV214" i="1"/>
  <c r="AV212" i="1"/>
  <c r="AV211" i="1"/>
  <c r="AV210" i="1"/>
  <c r="AV209" i="1"/>
  <c r="AV208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9" i="1"/>
  <c r="AV200" i="1"/>
  <c r="AV201" i="1"/>
  <c r="AV202" i="1"/>
  <c r="AV203" i="1"/>
  <c r="AV204" i="1"/>
  <c r="AV205" i="1"/>
  <c r="AV206" i="1"/>
  <c r="AV174" i="1"/>
  <c r="AV172" i="1"/>
  <c r="AV171" i="1"/>
  <c r="AV170" i="1"/>
  <c r="AV169" i="1"/>
  <c r="AV168" i="1"/>
  <c r="AV167" i="1"/>
  <c r="AV166" i="1"/>
  <c r="AV165" i="1"/>
  <c r="AV164" i="1"/>
  <c r="AV163" i="1"/>
  <c r="AV162" i="1"/>
  <c r="AV161" i="1"/>
  <c r="AV159" i="1"/>
  <c r="AV158" i="1"/>
  <c r="AV156" i="1"/>
  <c r="AV155" i="1"/>
  <c r="AV154" i="1"/>
  <c r="AV153" i="1"/>
  <c r="AV152" i="1"/>
  <c r="AV151" i="1"/>
  <c r="AV150" i="1"/>
  <c r="AV149" i="1"/>
  <c r="AV148" i="1"/>
  <c r="AV147" i="1"/>
  <c r="AV146" i="1"/>
  <c r="AV145" i="1"/>
  <c r="AV144" i="1"/>
  <c r="AV143" i="1"/>
  <c r="AV142" i="1"/>
  <c r="AV141" i="1"/>
  <c r="AV137" i="1"/>
  <c r="AV133" i="1"/>
  <c r="AV117" i="1"/>
  <c r="AV118" i="1"/>
  <c r="AV119" i="1"/>
  <c r="AV122" i="1"/>
  <c r="AV123" i="1"/>
  <c r="AV124" i="1"/>
  <c r="AV125" i="1"/>
  <c r="AV126" i="1"/>
  <c r="AV116" i="1"/>
  <c r="AV114" i="1"/>
  <c r="AV111" i="1"/>
  <c r="AV109" i="1"/>
  <c r="AV108" i="1"/>
  <c r="AV106" i="1"/>
  <c r="AV105" i="1"/>
  <c r="AV104" i="1"/>
  <c r="AV103" i="1"/>
  <c r="AV102" i="1"/>
  <c r="AV101" i="1"/>
  <c r="AV100" i="1"/>
  <c r="AV99" i="1"/>
  <c r="AV98" i="1"/>
  <c r="AV97" i="1"/>
  <c r="AV96" i="1"/>
  <c r="AV95" i="1"/>
  <c r="AV94" i="1"/>
  <c r="AV93" i="1"/>
  <c r="AV92" i="1"/>
  <c r="AV91" i="1"/>
  <c r="AV90" i="1"/>
  <c r="AV88" i="1"/>
  <c r="AV87" i="1"/>
  <c r="AV86" i="1"/>
  <c r="AV84" i="1"/>
  <c r="AV83" i="1"/>
  <c r="AV82" i="1"/>
  <c r="AV81" i="1"/>
  <c r="AV80" i="1"/>
  <c r="AV79" i="1"/>
  <c r="AV78" i="1"/>
  <c r="AV77" i="1"/>
  <c r="AV76" i="1"/>
  <c r="AV75" i="1"/>
  <c r="AV74" i="1"/>
  <c r="AV73" i="1"/>
  <c r="AV72" i="1"/>
  <c r="AV71" i="1"/>
  <c r="AV70" i="1"/>
  <c r="AV68" i="1"/>
  <c r="AV67" i="1"/>
  <c r="AV66" i="1"/>
  <c r="AV65" i="1"/>
  <c r="AV64" i="1"/>
  <c r="AV63" i="1"/>
  <c r="AV62" i="1"/>
  <c r="AV61" i="1"/>
  <c r="AV60" i="1"/>
  <c r="AV59" i="1"/>
  <c r="AV57" i="1"/>
  <c r="AV56" i="1"/>
  <c r="AV55" i="1"/>
  <c r="AV54" i="1"/>
  <c r="AV53" i="1"/>
  <c r="AV52" i="1"/>
  <c r="AV51" i="1"/>
  <c r="AV50" i="1"/>
  <c r="AV49" i="1"/>
  <c r="AV48" i="1"/>
  <c r="AV47" i="1"/>
  <c r="AV45" i="1"/>
  <c r="AV44" i="1"/>
  <c r="AV43" i="1"/>
  <c r="AV42" i="1"/>
  <c r="AV41" i="1"/>
  <c r="AV39" i="1"/>
  <c r="AV38" i="1"/>
  <c r="AV31" i="1"/>
  <c r="AV30" i="1"/>
  <c r="AV29" i="1"/>
  <c r="AV28" i="1"/>
  <c r="AV27" i="1"/>
  <c r="AV26" i="1"/>
  <c r="AV25" i="1"/>
  <c r="AV24" i="1"/>
  <c r="AV23" i="1"/>
  <c r="AV22" i="1"/>
  <c r="AV21" i="1"/>
  <c r="AV20" i="1"/>
  <c r="AV19" i="1"/>
  <c r="AV18" i="1"/>
  <c r="AV17" i="1"/>
  <c r="AV16" i="1"/>
  <c r="AV15" i="1"/>
  <c r="AV14" i="1"/>
  <c r="AV13" i="1"/>
  <c r="AV12" i="1"/>
  <c r="AV9" i="1"/>
  <c r="AV8" i="1"/>
  <c r="AV7" i="1"/>
  <c r="I197" i="35" l="1"/>
  <c r="O225" i="35"/>
  <c r="I183" i="35"/>
  <c r="O211" i="35"/>
  <c r="I196" i="35"/>
  <c r="O222" i="35"/>
  <c r="O224" i="35"/>
  <c r="I190" i="35"/>
  <c r="O218" i="35"/>
  <c r="I199" i="35"/>
  <c r="O221" i="35"/>
  <c r="O227" i="35"/>
  <c r="I192" i="35"/>
  <c r="O217" i="35"/>
  <c r="O220" i="35"/>
  <c r="I201" i="35"/>
  <c r="O231" i="35"/>
  <c r="I200" i="35"/>
  <c r="I191" i="35"/>
  <c r="O223" i="35"/>
  <c r="O219" i="35"/>
  <c r="I185" i="35"/>
  <c r="O213" i="35"/>
  <c r="I181" i="35"/>
  <c r="O209" i="35"/>
  <c r="I180" i="35"/>
  <c r="O216" i="35"/>
  <c r="O208" i="35"/>
  <c r="O210" i="35"/>
  <c r="I186" i="35"/>
  <c r="O214" i="35"/>
  <c r="O215" i="35"/>
  <c r="I182" i="35"/>
  <c r="I188" i="35"/>
  <c r="I187" i="35"/>
  <c r="I195" i="35"/>
  <c r="I189" i="35"/>
  <c r="I193" i="35"/>
  <c r="I194" i="35"/>
  <c r="L443" i="2" l="1"/>
  <c r="L442" i="2"/>
  <c r="L272" i="2"/>
  <c r="L271" i="2"/>
  <c r="L370" i="2" l="1"/>
  <c r="L369" i="2"/>
  <c r="L477" i="2" l="1"/>
  <c r="L476" i="2" l="1"/>
  <c r="EF220" i="1" l="1"/>
  <c r="EE220" i="1"/>
  <c r="ED220" i="1"/>
  <c r="EC220" i="1"/>
  <c r="EA220" i="1"/>
  <c r="DZ220" i="1"/>
  <c r="DY220" i="1"/>
  <c r="DX220" i="1"/>
  <c r="DW220" i="1"/>
  <c r="DV220" i="1"/>
  <c r="DU220" i="1"/>
  <c r="DD220" i="1"/>
  <c r="CP220" i="1" s="1"/>
  <c r="DC220" i="1"/>
  <c r="CO220" i="1" s="1"/>
  <c r="DB220" i="1"/>
  <c r="V220" i="1" s="1"/>
  <c r="DA220" i="1"/>
  <c r="CM220" i="1" s="1"/>
  <c r="CZ220" i="1"/>
  <c r="CY220" i="1"/>
  <c r="CK220" i="1" s="1"/>
  <c r="CX220" i="1"/>
  <c r="CJ220" i="1" s="1"/>
  <c r="CW220" i="1"/>
  <c r="Q220" i="1" s="1"/>
  <c r="CV220" i="1"/>
  <c r="P220" i="1" s="1"/>
  <c r="CU220" i="1"/>
  <c r="CG220" i="1" s="1"/>
  <c r="CT220" i="1"/>
  <c r="N220" i="1" s="1"/>
  <c r="CS220" i="1"/>
  <c r="AN220" i="1"/>
  <c r="G220" i="1"/>
  <c r="EF199" i="1"/>
  <c r="EE199" i="1"/>
  <c r="ED199" i="1"/>
  <c r="EC199" i="1"/>
  <c r="EA199" i="1"/>
  <c r="DZ199" i="1"/>
  <c r="DY199" i="1"/>
  <c r="DX199" i="1"/>
  <c r="DW199" i="1"/>
  <c r="DV199" i="1"/>
  <c r="DU199" i="1"/>
  <c r="DD199" i="1"/>
  <c r="CP199" i="1" s="1"/>
  <c r="DC199" i="1"/>
  <c r="CO199" i="1" s="1"/>
  <c r="DB199" i="1"/>
  <c r="AJ199" i="1" s="1"/>
  <c r="DA199" i="1"/>
  <c r="CZ199" i="1"/>
  <c r="CY199" i="1"/>
  <c r="CK199" i="1" s="1"/>
  <c r="CX199" i="1"/>
  <c r="AF199" i="1" s="1"/>
  <c r="CW199" i="1"/>
  <c r="AE199" i="1" s="1"/>
  <c r="CV199" i="1"/>
  <c r="P199" i="1" s="1"/>
  <c r="CU199" i="1"/>
  <c r="O199" i="1" s="1"/>
  <c r="CT199" i="1"/>
  <c r="N199" i="1" s="1"/>
  <c r="CS199" i="1"/>
  <c r="CE199" i="1" s="1"/>
  <c r="AN199" i="1"/>
  <c r="G199" i="1"/>
  <c r="A199" i="1"/>
  <c r="EF155" i="1"/>
  <c r="EE155" i="1"/>
  <c r="ED155" i="1"/>
  <c r="EC155" i="1"/>
  <c r="EA155" i="1"/>
  <c r="DZ155" i="1"/>
  <c r="DY155" i="1"/>
  <c r="DX155" i="1"/>
  <c r="DW155" i="1"/>
  <c r="DV155" i="1"/>
  <c r="DU155" i="1"/>
  <c r="DD155" i="1"/>
  <c r="AL155" i="1" s="1"/>
  <c r="DC155" i="1"/>
  <c r="CO155" i="1" s="1"/>
  <c r="DB155" i="1"/>
  <c r="CN155" i="1" s="1"/>
  <c r="DA155" i="1"/>
  <c r="AI155" i="1" s="1"/>
  <c r="CZ155" i="1"/>
  <c r="CY155" i="1"/>
  <c r="CK155" i="1" s="1"/>
  <c r="CX155" i="1"/>
  <c r="CJ155" i="1" s="1"/>
  <c r="CW155" i="1"/>
  <c r="AE155" i="1" s="1"/>
  <c r="CV155" i="1"/>
  <c r="P155" i="1" s="1"/>
  <c r="CU155" i="1"/>
  <c r="CG155" i="1" s="1"/>
  <c r="CT155" i="1"/>
  <c r="N155" i="1" s="1"/>
  <c r="CS155" i="1"/>
  <c r="CE155" i="1" s="1"/>
  <c r="AN155" i="1"/>
  <c r="EF124" i="1"/>
  <c r="EE124" i="1"/>
  <c r="ED124" i="1"/>
  <c r="EC124" i="1"/>
  <c r="EA124" i="1"/>
  <c r="DZ124" i="1"/>
  <c r="DY124" i="1"/>
  <c r="DX124" i="1"/>
  <c r="DW124" i="1"/>
  <c r="DV124" i="1"/>
  <c r="DU124" i="1"/>
  <c r="DD124" i="1"/>
  <c r="CP124" i="1" s="1"/>
  <c r="DC124" i="1"/>
  <c r="CO124" i="1" s="1"/>
  <c r="DB124" i="1"/>
  <c r="V124" i="1" s="1"/>
  <c r="DP124" i="1" s="1"/>
  <c r="DA124" i="1"/>
  <c r="CZ124" i="1"/>
  <c r="CY124" i="1"/>
  <c r="CK124" i="1" s="1"/>
  <c r="CX124" i="1"/>
  <c r="CJ124" i="1" s="1"/>
  <c r="CW124" i="1"/>
  <c r="AE124" i="1" s="1"/>
  <c r="CV124" i="1"/>
  <c r="AD124" i="1" s="1"/>
  <c r="CU124" i="1"/>
  <c r="AC124" i="1" s="1"/>
  <c r="CT124" i="1"/>
  <c r="N124" i="1" s="1"/>
  <c r="CS124" i="1"/>
  <c r="AN124" i="1"/>
  <c r="G124" i="1"/>
  <c r="EF120" i="1"/>
  <c r="EE120" i="1"/>
  <c r="ED120" i="1"/>
  <c r="EC120" i="1"/>
  <c r="EA120" i="1"/>
  <c r="DZ120" i="1"/>
  <c r="DY120" i="1"/>
  <c r="DX120" i="1"/>
  <c r="DW120" i="1"/>
  <c r="DV120" i="1"/>
  <c r="DU120" i="1"/>
  <c r="DD120" i="1"/>
  <c r="CP120" i="1" s="1"/>
  <c r="DC120" i="1"/>
  <c r="CO120" i="1" s="1"/>
  <c r="DB120" i="1"/>
  <c r="AJ120" i="1" s="1"/>
  <c r="DA120" i="1"/>
  <c r="CZ120" i="1"/>
  <c r="CY120" i="1"/>
  <c r="CK120" i="1" s="1"/>
  <c r="CX120" i="1"/>
  <c r="AF120" i="1" s="1"/>
  <c r="CW120" i="1"/>
  <c r="Q120" i="1" s="1"/>
  <c r="CV120" i="1"/>
  <c r="P120" i="1" s="1"/>
  <c r="CU120" i="1"/>
  <c r="O120" i="1" s="1"/>
  <c r="CT120" i="1"/>
  <c r="CF120" i="1" s="1"/>
  <c r="CS120" i="1"/>
  <c r="M120" i="1" s="1"/>
  <c r="AN120" i="1"/>
  <c r="G120" i="1"/>
  <c r="EF28" i="1"/>
  <c r="EE28" i="1"/>
  <c r="ED28" i="1"/>
  <c r="EC28" i="1"/>
  <c r="EA28" i="1"/>
  <c r="DZ28" i="1"/>
  <c r="DY28" i="1"/>
  <c r="DX28" i="1"/>
  <c r="DW28" i="1"/>
  <c r="DV28" i="1"/>
  <c r="DU28" i="1"/>
  <c r="DD28" i="1"/>
  <c r="X28" i="1" s="1"/>
  <c r="DC28" i="1"/>
  <c r="CO28" i="1" s="1"/>
  <c r="DB28" i="1"/>
  <c r="V28" i="1" s="1"/>
  <c r="DP28" i="1" s="1"/>
  <c r="DA28" i="1"/>
  <c r="AI28" i="1" s="1"/>
  <c r="CZ28" i="1"/>
  <c r="CY28" i="1"/>
  <c r="CK28" i="1" s="1"/>
  <c r="CX28" i="1"/>
  <c r="CJ28" i="1" s="1"/>
  <c r="CW28" i="1"/>
  <c r="Q28" i="1" s="1"/>
  <c r="CV28" i="1"/>
  <c r="CH28" i="1" s="1"/>
  <c r="CU28" i="1"/>
  <c r="CG28" i="1" s="1"/>
  <c r="CT28" i="1"/>
  <c r="CF28" i="1" s="1"/>
  <c r="CS28" i="1"/>
  <c r="AA28" i="1" s="1"/>
  <c r="AR28" i="1"/>
  <c r="AN28" i="1" s="1"/>
  <c r="AI124" i="1" l="1"/>
  <c r="G212" i="35"/>
  <c r="AI199" i="1"/>
  <c r="G226" i="35"/>
  <c r="K226" i="35" s="1"/>
  <c r="CM120" i="1"/>
  <c r="J211" i="35" s="1"/>
  <c r="G211" i="35"/>
  <c r="CL28" i="1"/>
  <c r="G198" i="35"/>
  <c r="CL124" i="1"/>
  <c r="G188" i="35"/>
  <c r="CL199" i="1"/>
  <c r="G196" i="35"/>
  <c r="T120" i="1"/>
  <c r="DN120" i="1" s="1"/>
  <c r="G180" i="35"/>
  <c r="T155" i="1"/>
  <c r="DN155" i="1" s="1"/>
  <c r="G187" i="35"/>
  <c r="CL220" i="1"/>
  <c r="G201" i="35"/>
  <c r="AG220" i="1"/>
  <c r="AF220" i="1"/>
  <c r="R220" i="1"/>
  <c r="DL220" i="1" s="1"/>
  <c r="EN220" i="1" s="1"/>
  <c r="T199" i="1"/>
  <c r="DN199" i="1" s="1"/>
  <c r="AI220" i="1"/>
  <c r="CN28" i="1"/>
  <c r="AJ220" i="1"/>
  <c r="CM199" i="1"/>
  <c r="J226" i="35" s="1"/>
  <c r="CN220" i="1"/>
  <c r="CR220" i="1"/>
  <c r="U199" i="1"/>
  <c r="DO199" i="1" s="1"/>
  <c r="EQ199" i="1" s="1"/>
  <c r="S124" i="1"/>
  <c r="BI124" i="1" s="1"/>
  <c r="BW124" i="1" s="1"/>
  <c r="DP220" i="1"/>
  <c r="ER220" i="1" s="1"/>
  <c r="BL220" i="1"/>
  <c r="BZ220" i="1" s="1"/>
  <c r="U220" i="1"/>
  <c r="CF220" i="1"/>
  <c r="M220" i="1"/>
  <c r="DG220" i="1" s="1"/>
  <c r="EI220" i="1" s="1"/>
  <c r="T220" i="1"/>
  <c r="CE220" i="1"/>
  <c r="AA220" i="1"/>
  <c r="AC220" i="1"/>
  <c r="O220" i="1"/>
  <c r="S220" i="1"/>
  <c r="DK220" i="1"/>
  <c r="EM220" i="1" s="1"/>
  <c r="BG220" i="1"/>
  <c r="BU220" i="1" s="1"/>
  <c r="DJ220" i="1"/>
  <c r="EL220" i="1" s="1"/>
  <c r="BF220" i="1"/>
  <c r="BT220" i="1" s="1"/>
  <c r="DH220" i="1"/>
  <c r="EJ220" i="1" s="1"/>
  <c r="BD220" i="1"/>
  <c r="BR220" i="1" s="1"/>
  <c r="CN199" i="1"/>
  <c r="AK220" i="1"/>
  <c r="AL220" i="1"/>
  <c r="CH220" i="1"/>
  <c r="CI220" i="1"/>
  <c r="T124" i="1"/>
  <c r="DN124" i="1" s="1"/>
  <c r="W220" i="1"/>
  <c r="AJ124" i="1"/>
  <c r="X220" i="1"/>
  <c r="AB220" i="1"/>
  <c r="AD220" i="1"/>
  <c r="V199" i="1"/>
  <c r="DP199" i="1" s="1"/>
  <c r="ER199" i="1" s="1"/>
  <c r="AE220" i="1"/>
  <c r="Q155" i="1"/>
  <c r="DK155" i="1" s="1"/>
  <c r="EM155" i="1" s="1"/>
  <c r="X155" i="1"/>
  <c r="DR155" i="1" s="1"/>
  <c r="ET155" i="1" s="1"/>
  <c r="AG199" i="1"/>
  <c r="CP155" i="1"/>
  <c r="S199" i="1"/>
  <c r="BI199" i="1" s="1"/>
  <c r="BW199" i="1" s="1"/>
  <c r="CG199" i="1"/>
  <c r="AK199" i="1"/>
  <c r="Q199" i="1"/>
  <c r="DK199" i="1" s="1"/>
  <c r="EM199" i="1" s="1"/>
  <c r="R199" i="1"/>
  <c r="DL199" i="1" s="1"/>
  <c r="EN199" i="1" s="1"/>
  <c r="CR199" i="1"/>
  <c r="DI199" i="1"/>
  <c r="EK199" i="1" s="1"/>
  <c r="DJ199" i="1"/>
  <c r="EL199" i="1" s="1"/>
  <c r="BF199" i="1"/>
  <c r="BT199" i="1" s="1"/>
  <c r="DH199" i="1"/>
  <c r="EJ199" i="1" s="1"/>
  <c r="BD199" i="1"/>
  <c r="BR199" i="1" s="1"/>
  <c r="CF199" i="1"/>
  <c r="AL199" i="1"/>
  <c r="CH199" i="1"/>
  <c r="CI199" i="1"/>
  <c r="CL120" i="1"/>
  <c r="W199" i="1"/>
  <c r="CJ199" i="1"/>
  <c r="X199" i="1"/>
  <c r="AA199" i="1"/>
  <c r="AB199" i="1"/>
  <c r="AC199" i="1"/>
  <c r="BE199" i="1" s="1"/>
  <c r="BS199" i="1" s="1"/>
  <c r="CP28" i="1"/>
  <c r="S155" i="1"/>
  <c r="BI155" i="1" s="1"/>
  <c r="BW155" i="1" s="1"/>
  <c r="M199" i="1"/>
  <c r="AD199" i="1"/>
  <c r="AB155" i="1"/>
  <c r="AG155" i="1"/>
  <c r="AC155" i="1"/>
  <c r="AF155" i="1"/>
  <c r="CN124" i="1"/>
  <c r="R155" i="1"/>
  <c r="DL155" i="1" s="1"/>
  <c r="EN155" i="1" s="1"/>
  <c r="O155" i="1"/>
  <c r="DI155" i="1" s="1"/>
  <c r="EK155" i="1" s="1"/>
  <c r="CL155" i="1"/>
  <c r="CM155" i="1"/>
  <c r="U155" i="1"/>
  <c r="CR155" i="1"/>
  <c r="DH155" i="1"/>
  <c r="EJ155" i="1" s="1"/>
  <c r="BD155" i="1"/>
  <c r="BR155" i="1" s="1"/>
  <c r="DJ155" i="1"/>
  <c r="EL155" i="1" s="1"/>
  <c r="BF155" i="1"/>
  <c r="BT155" i="1" s="1"/>
  <c r="AJ155" i="1"/>
  <c r="CF155" i="1"/>
  <c r="AK155" i="1"/>
  <c r="CH155" i="1"/>
  <c r="V155" i="1"/>
  <c r="CI155" i="1"/>
  <c r="W155" i="1"/>
  <c r="AA155" i="1"/>
  <c r="U124" i="1"/>
  <c r="DO124" i="1" s="1"/>
  <c r="EQ124" i="1" s="1"/>
  <c r="M155" i="1"/>
  <c r="AD155" i="1"/>
  <c r="AF124" i="1"/>
  <c r="AI120" i="1"/>
  <c r="U120" i="1"/>
  <c r="DO120" i="1" s="1"/>
  <c r="EQ120" i="1" s="1"/>
  <c r="V120" i="1"/>
  <c r="DP120" i="1" s="1"/>
  <c r="ER120" i="1" s="1"/>
  <c r="AG124" i="1"/>
  <c r="CR124" i="1"/>
  <c r="P124" i="1"/>
  <c r="DJ124" i="1" s="1"/>
  <c r="EL124" i="1" s="1"/>
  <c r="BL124" i="1"/>
  <c r="BZ124" i="1" s="1"/>
  <c r="Q124" i="1"/>
  <c r="O124" i="1"/>
  <c r="DI124" i="1" s="1"/>
  <c r="EK124" i="1" s="1"/>
  <c r="CE124" i="1"/>
  <c r="R124" i="1"/>
  <c r="DL124" i="1" s="1"/>
  <c r="EN124" i="1" s="1"/>
  <c r="CM124" i="1"/>
  <c r="J212" i="35" s="1"/>
  <c r="ER124" i="1"/>
  <c r="AA124" i="1"/>
  <c r="DH124" i="1"/>
  <c r="EJ124" i="1" s="1"/>
  <c r="BD124" i="1"/>
  <c r="BR124" i="1" s="1"/>
  <c r="CF124" i="1"/>
  <c r="AK124" i="1"/>
  <c r="CG124" i="1"/>
  <c r="AL124" i="1"/>
  <c r="CH124" i="1"/>
  <c r="CI124" i="1"/>
  <c r="W124" i="1"/>
  <c r="X124" i="1"/>
  <c r="AB124" i="1"/>
  <c r="AA120" i="1"/>
  <c r="AG120" i="1"/>
  <c r="M124" i="1"/>
  <c r="AJ28" i="1"/>
  <c r="CE120" i="1"/>
  <c r="R120" i="1"/>
  <c r="DL120" i="1" s="1"/>
  <c r="EN120" i="1" s="1"/>
  <c r="S120" i="1"/>
  <c r="BI120" i="1" s="1"/>
  <c r="BW120" i="1" s="1"/>
  <c r="CN120" i="1"/>
  <c r="CR120" i="1"/>
  <c r="DI120" i="1"/>
  <c r="EK120" i="1" s="1"/>
  <c r="BE120" i="1"/>
  <c r="BS120" i="1" s="1"/>
  <c r="DJ120" i="1"/>
  <c r="EL120" i="1" s="1"/>
  <c r="BF120" i="1"/>
  <c r="BT120" i="1" s="1"/>
  <c r="DG120" i="1"/>
  <c r="EI120" i="1" s="1"/>
  <c r="BC120" i="1"/>
  <c r="BQ120" i="1" s="1"/>
  <c r="DK120" i="1"/>
  <c r="EM120" i="1" s="1"/>
  <c r="BG120" i="1"/>
  <c r="BU120" i="1" s="1"/>
  <c r="AL120" i="1"/>
  <c r="CH120" i="1"/>
  <c r="CI120" i="1"/>
  <c r="AK120" i="1"/>
  <c r="CG120" i="1"/>
  <c r="W120" i="1"/>
  <c r="CJ120" i="1"/>
  <c r="X120" i="1"/>
  <c r="AB120" i="1"/>
  <c r="AC120" i="1"/>
  <c r="AD120" i="1"/>
  <c r="N120" i="1"/>
  <c r="AE120" i="1"/>
  <c r="N28" i="1"/>
  <c r="DH28" i="1" s="1"/>
  <c r="EJ28" i="1" s="1"/>
  <c r="O28" i="1"/>
  <c r="DI28" i="1" s="1"/>
  <c r="EK28" i="1" s="1"/>
  <c r="R28" i="1"/>
  <c r="DL28" i="1" s="1"/>
  <c r="EN28" i="1" s="1"/>
  <c r="S28" i="1"/>
  <c r="DM28" i="1" s="1"/>
  <c r="EO28" i="1" s="1"/>
  <c r="M28" i="1"/>
  <c r="DG28" i="1" s="1"/>
  <c r="EI28" i="1" s="1"/>
  <c r="AG28" i="1"/>
  <c r="P28" i="1"/>
  <c r="DJ28" i="1" s="1"/>
  <c r="EL28" i="1" s="1"/>
  <c r="AC28" i="1"/>
  <c r="T28" i="1"/>
  <c r="DN28" i="1" s="1"/>
  <c r="AB28" i="1"/>
  <c r="AD28" i="1"/>
  <c r="U28" i="1"/>
  <c r="BL28" i="1"/>
  <c r="BZ28" i="1" s="1"/>
  <c r="AF28" i="1"/>
  <c r="CM28" i="1"/>
  <c r="CR28" i="1"/>
  <c r="ER28" i="1"/>
  <c r="DR28" i="1"/>
  <c r="ET28" i="1" s="1"/>
  <c r="BN28" i="1"/>
  <c r="CB28" i="1" s="1"/>
  <c r="DK28" i="1"/>
  <c r="EM28" i="1" s="1"/>
  <c r="BG28" i="1"/>
  <c r="BU28" i="1" s="1"/>
  <c r="CE28" i="1"/>
  <c r="AL28" i="1"/>
  <c r="CI28" i="1"/>
  <c r="AK28" i="1"/>
  <c r="W28" i="1"/>
  <c r="AE28" i="1"/>
  <c r="L226" i="35" l="1"/>
  <c r="M226" i="35" s="1"/>
  <c r="K211" i="35"/>
  <c r="L211" i="35"/>
  <c r="L212" i="35"/>
  <c r="K212" i="35"/>
  <c r="J198" i="35"/>
  <c r="J188" i="35"/>
  <c r="J187" i="35"/>
  <c r="J201" i="35"/>
  <c r="J180" i="35"/>
  <c r="J196" i="35"/>
  <c r="BH220" i="1"/>
  <c r="BV220" i="1" s="1"/>
  <c r="BN155" i="1"/>
  <c r="CB155" i="1" s="1"/>
  <c r="DM124" i="1"/>
  <c r="EO124" i="1" s="1"/>
  <c r="BG155" i="1"/>
  <c r="BU155" i="1" s="1"/>
  <c r="BK199" i="1"/>
  <c r="BY199" i="1" s="1"/>
  <c r="CD220" i="1"/>
  <c r="DO220" i="1"/>
  <c r="EQ220" i="1" s="1"/>
  <c r="BK220" i="1"/>
  <c r="BY220" i="1" s="1"/>
  <c r="BI220" i="1"/>
  <c r="BW220" i="1" s="1"/>
  <c r="DM220" i="1"/>
  <c r="EO220" i="1" s="1"/>
  <c r="BC220" i="1"/>
  <c r="BQ220" i="1" s="1"/>
  <c r="DI220" i="1"/>
  <c r="EK220" i="1" s="1"/>
  <c r="BE220" i="1"/>
  <c r="BS220" i="1" s="1"/>
  <c r="DN220" i="1"/>
  <c r="L220" i="1"/>
  <c r="BL199" i="1"/>
  <c r="BZ199" i="1" s="1"/>
  <c r="DR220" i="1"/>
  <c r="ET220" i="1" s="1"/>
  <c r="BN220" i="1"/>
  <c r="CB220" i="1" s="1"/>
  <c r="DQ220" i="1"/>
  <c r="ES220" i="1" s="1"/>
  <c r="BM220" i="1"/>
  <c r="CA220" i="1" s="1"/>
  <c r="CD199" i="1"/>
  <c r="DM199" i="1"/>
  <c r="EO199" i="1" s="1"/>
  <c r="BG199" i="1"/>
  <c r="BU199" i="1" s="1"/>
  <c r="BH199" i="1"/>
  <c r="BV199" i="1" s="1"/>
  <c r="DG199" i="1"/>
  <c r="L199" i="1"/>
  <c r="BC199" i="1"/>
  <c r="BQ199" i="1" s="1"/>
  <c r="DM155" i="1"/>
  <c r="EO155" i="1" s="1"/>
  <c r="DR199" i="1"/>
  <c r="ET199" i="1" s="1"/>
  <c r="BN199" i="1"/>
  <c r="CB199" i="1" s="1"/>
  <c r="BM199" i="1"/>
  <c r="CA199" i="1" s="1"/>
  <c r="DQ199" i="1"/>
  <c r="ES199" i="1" s="1"/>
  <c r="BH155" i="1"/>
  <c r="BV155" i="1" s="1"/>
  <c r="CD155" i="1"/>
  <c r="DO155" i="1"/>
  <c r="EQ155" i="1" s="1"/>
  <c r="BK155" i="1"/>
  <c r="BY155" i="1" s="1"/>
  <c r="BE155" i="1"/>
  <c r="BS155" i="1" s="1"/>
  <c r="DG155" i="1"/>
  <c r="L155" i="1"/>
  <c r="BC155" i="1"/>
  <c r="BQ155" i="1" s="1"/>
  <c r="CD124" i="1"/>
  <c r="BK124" i="1"/>
  <c r="BY124" i="1" s="1"/>
  <c r="DQ155" i="1"/>
  <c r="ES155" i="1" s="1"/>
  <c r="BM155" i="1"/>
  <c r="CA155" i="1" s="1"/>
  <c r="BK120" i="1"/>
  <c r="BY120" i="1" s="1"/>
  <c r="BL155" i="1"/>
  <c r="BZ155" i="1" s="1"/>
  <c r="DP155" i="1"/>
  <c r="ER155" i="1" s="1"/>
  <c r="BL120" i="1"/>
  <c r="BZ120" i="1" s="1"/>
  <c r="BH124" i="1"/>
  <c r="BV124" i="1" s="1"/>
  <c r="BF124" i="1"/>
  <c r="BT124" i="1" s="1"/>
  <c r="BE124" i="1"/>
  <c r="BS124" i="1" s="1"/>
  <c r="BG124" i="1"/>
  <c r="BU124" i="1" s="1"/>
  <c r="DK124" i="1"/>
  <c r="EM124" i="1" s="1"/>
  <c r="DG124" i="1"/>
  <c r="L124" i="1"/>
  <c r="BC124" i="1"/>
  <c r="BQ124" i="1" s="1"/>
  <c r="DR124" i="1"/>
  <c r="ET124" i="1" s="1"/>
  <c r="BN124" i="1"/>
  <c r="CB124" i="1" s="1"/>
  <c r="DQ124" i="1"/>
  <c r="ES124" i="1" s="1"/>
  <c r="BM124" i="1"/>
  <c r="CA124" i="1" s="1"/>
  <c r="L120" i="1"/>
  <c r="DM120" i="1"/>
  <c r="EO120" i="1" s="1"/>
  <c r="CD120" i="1"/>
  <c r="BH120" i="1"/>
  <c r="BV120" i="1" s="1"/>
  <c r="DR120" i="1"/>
  <c r="ET120" i="1" s="1"/>
  <c r="BN120" i="1"/>
  <c r="CB120" i="1" s="1"/>
  <c r="DQ120" i="1"/>
  <c r="ES120" i="1" s="1"/>
  <c r="BM120" i="1"/>
  <c r="CA120" i="1" s="1"/>
  <c r="BD28" i="1"/>
  <c r="BR28" i="1" s="1"/>
  <c r="BE28" i="1"/>
  <c r="BS28" i="1" s="1"/>
  <c r="DH120" i="1"/>
  <c r="EJ120" i="1" s="1"/>
  <c r="BD120" i="1"/>
  <c r="BR120" i="1" s="1"/>
  <c r="BH28" i="1"/>
  <c r="BV28" i="1" s="1"/>
  <c r="BI28" i="1"/>
  <c r="BW28" i="1" s="1"/>
  <c r="BC28" i="1"/>
  <c r="BQ28" i="1" s="1"/>
  <c r="CD28" i="1"/>
  <c r="BF28" i="1"/>
  <c r="BT28" i="1" s="1"/>
  <c r="DO28" i="1"/>
  <c r="EQ28" i="1" s="1"/>
  <c r="BK28" i="1"/>
  <c r="BY28" i="1" s="1"/>
  <c r="DQ28" i="1"/>
  <c r="ES28" i="1" s="1"/>
  <c r="BM28" i="1"/>
  <c r="CA28" i="1" s="1"/>
  <c r="L28" i="1"/>
  <c r="DF220" i="1" l="1"/>
  <c r="DF199" i="1"/>
  <c r="EI199" i="1"/>
  <c r="DF155" i="1"/>
  <c r="EI155" i="1"/>
  <c r="DF124" i="1"/>
  <c r="EI124" i="1"/>
  <c r="DF120" i="1"/>
  <c r="DF28" i="1"/>
  <c r="EF27" i="1" l="1"/>
  <c r="EE27" i="1"/>
  <c r="ED27" i="1"/>
  <c r="EC27" i="1"/>
  <c r="EA27" i="1"/>
  <c r="DZ27" i="1"/>
  <c r="DY27" i="1"/>
  <c r="DX27" i="1"/>
  <c r="DW27" i="1"/>
  <c r="DV27" i="1"/>
  <c r="DU27" i="1"/>
  <c r="DD27" i="1"/>
  <c r="X27" i="1" s="1"/>
  <c r="DC27" i="1"/>
  <c r="CO27" i="1" s="1"/>
  <c r="DB27" i="1"/>
  <c r="V27" i="1" s="1"/>
  <c r="DA27" i="1"/>
  <c r="AI27" i="1" s="1"/>
  <c r="CZ27" i="1"/>
  <c r="CL27" i="1" s="1"/>
  <c r="CY27" i="1"/>
  <c r="AG27" i="1" s="1"/>
  <c r="CX27" i="1"/>
  <c r="AF27" i="1" s="1"/>
  <c r="CW27" i="1"/>
  <c r="AE27" i="1" s="1"/>
  <c r="CV27" i="1"/>
  <c r="P27" i="1" s="1"/>
  <c r="CU27" i="1"/>
  <c r="O27" i="1" s="1"/>
  <c r="CT27" i="1"/>
  <c r="N27" i="1" s="1"/>
  <c r="CS27" i="1"/>
  <c r="CE27" i="1" s="1"/>
  <c r="AR27" i="1"/>
  <c r="AN27" i="1" s="1"/>
  <c r="G27" i="1"/>
  <c r="EF33" i="1"/>
  <c r="EE33" i="1"/>
  <c r="ED33" i="1"/>
  <c r="EC33" i="1"/>
  <c r="EA33" i="1"/>
  <c r="DZ33" i="1"/>
  <c r="DY33" i="1"/>
  <c r="DX33" i="1"/>
  <c r="DW33" i="1"/>
  <c r="DV33" i="1"/>
  <c r="DU33" i="1"/>
  <c r="DD33" i="1"/>
  <c r="X33" i="1" s="1"/>
  <c r="DC33" i="1"/>
  <c r="CO33" i="1" s="1"/>
  <c r="DB33" i="1"/>
  <c r="AJ33" i="1" s="1"/>
  <c r="DA33" i="1"/>
  <c r="AI33" i="1" s="1"/>
  <c r="CZ33" i="1"/>
  <c r="CL33" i="1" s="1"/>
  <c r="CY33" i="1"/>
  <c r="CK33" i="1" s="1"/>
  <c r="CX33" i="1"/>
  <c r="R33" i="1" s="1"/>
  <c r="CW33" i="1"/>
  <c r="CI33" i="1" s="1"/>
  <c r="CV33" i="1"/>
  <c r="AD33" i="1" s="1"/>
  <c r="CU33" i="1"/>
  <c r="O33" i="1" s="1"/>
  <c r="CT33" i="1"/>
  <c r="AB33" i="1" s="1"/>
  <c r="CS33" i="1"/>
  <c r="AN33" i="1"/>
  <c r="G33" i="1"/>
  <c r="EF43" i="1"/>
  <c r="EE43" i="1"/>
  <c r="ED43" i="1"/>
  <c r="EC43" i="1"/>
  <c r="EA43" i="1"/>
  <c r="DZ43" i="1"/>
  <c r="DY43" i="1"/>
  <c r="DX43" i="1"/>
  <c r="DW43" i="1"/>
  <c r="DV43" i="1"/>
  <c r="DU43" i="1"/>
  <c r="DD43" i="1"/>
  <c r="CP43" i="1" s="1"/>
  <c r="DC43" i="1"/>
  <c r="CO43" i="1" s="1"/>
  <c r="DB43" i="1"/>
  <c r="CN43" i="1" s="1"/>
  <c r="DA43" i="1"/>
  <c r="U43" i="1" s="1"/>
  <c r="CZ43" i="1"/>
  <c r="T43" i="1" s="1"/>
  <c r="CY43" i="1"/>
  <c r="S43" i="1" s="1"/>
  <c r="CX43" i="1"/>
  <c r="CJ43" i="1" s="1"/>
  <c r="CW43" i="1"/>
  <c r="CI43" i="1" s="1"/>
  <c r="CV43" i="1"/>
  <c r="AD43" i="1" s="1"/>
  <c r="CU43" i="1"/>
  <c r="O43" i="1" s="1"/>
  <c r="CT43" i="1"/>
  <c r="CS43" i="1"/>
  <c r="M43" i="1" s="1"/>
  <c r="AR43" i="1"/>
  <c r="AP43" i="1"/>
  <c r="G43" i="1"/>
  <c r="D129" i="22"/>
  <c r="D128" i="22"/>
  <c r="D127" i="22"/>
  <c r="D126" i="22"/>
  <c r="D125" i="22"/>
  <c r="P122" i="22"/>
  <c r="B122" i="22"/>
  <c r="AP38" i="8"/>
  <c r="AO23" i="8"/>
  <c r="AN23" i="8"/>
  <c r="AP23" i="8"/>
  <c r="AP14" i="8"/>
  <c r="T27" i="1" l="1"/>
  <c r="DN27" i="1" s="1"/>
  <c r="Q33" i="1"/>
  <c r="DK33" i="1" s="1"/>
  <c r="EM33" i="1" s="1"/>
  <c r="AN43" i="1"/>
  <c r="M27" i="1"/>
  <c r="DG27" i="1" s="1"/>
  <c r="EI27" i="1" s="1"/>
  <c r="R27" i="1"/>
  <c r="DL27" i="1" s="1"/>
  <c r="EN27" i="1" s="1"/>
  <c r="AA27" i="1"/>
  <c r="S33" i="1"/>
  <c r="BI33" i="1" s="1"/>
  <c r="BW33" i="1" s="1"/>
  <c r="AL33" i="1"/>
  <c r="AL27" i="1"/>
  <c r="CP27" i="1"/>
  <c r="Q27" i="1"/>
  <c r="DK27" i="1" s="1"/>
  <c r="EM27" i="1" s="1"/>
  <c r="CG27" i="1"/>
  <c r="CK27" i="1"/>
  <c r="S27" i="1"/>
  <c r="BI27" i="1" s="1"/>
  <c r="BW27" i="1" s="1"/>
  <c r="CP33" i="1"/>
  <c r="CN27" i="1"/>
  <c r="CM27" i="1"/>
  <c r="U27" i="1"/>
  <c r="BK27" i="1" s="1"/>
  <c r="BY27" i="1" s="1"/>
  <c r="CR27" i="1"/>
  <c r="AJ27" i="1"/>
  <c r="DH27" i="1"/>
  <c r="EJ27" i="1" s="1"/>
  <c r="BD27" i="1"/>
  <c r="BR27" i="1" s="1"/>
  <c r="DI27" i="1"/>
  <c r="EK27" i="1" s="1"/>
  <c r="BE27" i="1"/>
  <c r="BS27" i="1" s="1"/>
  <c r="DR27" i="1"/>
  <c r="ET27" i="1" s="1"/>
  <c r="BN27" i="1"/>
  <c r="CB27" i="1" s="1"/>
  <c r="BL27" i="1"/>
  <c r="BZ27" i="1" s="1"/>
  <c r="DP27" i="1"/>
  <c r="ER27" i="1" s="1"/>
  <c r="DJ27" i="1"/>
  <c r="EL27" i="1" s="1"/>
  <c r="BF27" i="1"/>
  <c r="BT27" i="1" s="1"/>
  <c r="AK27" i="1"/>
  <c r="CF27" i="1"/>
  <c r="CH27" i="1"/>
  <c r="W27" i="1"/>
  <c r="CI27" i="1"/>
  <c r="CJ27" i="1"/>
  <c r="AB27" i="1"/>
  <c r="N33" i="1"/>
  <c r="DH33" i="1" s="1"/>
  <c r="EJ33" i="1" s="1"/>
  <c r="AC27" i="1"/>
  <c r="AD27" i="1"/>
  <c r="AC33" i="1"/>
  <c r="T33" i="1"/>
  <c r="DN33" i="1" s="1"/>
  <c r="AE33" i="1"/>
  <c r="AG33" i="1"/>
  <c r="CK43" i="1"/>
  <c r="P33" i="1"/>
  <c r="BF33" i="1" s="1"/>
  <c r="BT33" i="1" s="1"/>
  <c r="CG33" i="1"/>
  <c r="CM33" i="1"/>
  <c r="CN33" i="1"/>
  <c r="U33" i="1"/>
  <c r="BK33" i="1" s="1"/>
  <c r="BY33" i="1" s="1"/>
  <c r="CR33" i="1"/>
  <c r="V33" i="1"/>
  <c r="DL33" i="1"/>
  <c r="EN33" i="1" s="1"/>
  <c r="BH33" i="1"/>
  <c r="BV33" i="1" s="1"/>
  <c r="DR33" i="1"/>
  <c r="ET33" i="1" s="1"/>
  <c r="BN33" i="1"/>
  <c r="CB33" i="1" s="1"/>
  <c r="DI33" i="1"/>
  <c r="EK33" i="1" s="1"/>
  <c r="BE33" i="1"/>
  <c r="BS33" i="1" s="1"/>
  <c r="AK33" i="1"/>
  <c r="CF33" i="1"/>
  <c r="CH33" i="1"/>
  <c r="CE33" i="1"/>
  <c r="W33" i="1"/>
  <c r="CJ33" i="1"/>
  <c r="AA33" i="1"/>
  <c r="M33" i="1"/>
  <c r="AF33" i="1"/>
  <c r="Q43" i="1"/>
  <c r="DK43" i="1" s="1"/>
  <c r="EM43" i="1" s="1"/>
  <c r="AE43" i="1"/>
  <c r="AF43" i="1"/>
  <c r="R43" i="1"/>
  <c r="BH43" i="1" s="1"/>
  <c r="BV43" i="1" s="1"/>
  <c r="AA43" i="1"/>
  <c r="AG43" i="1"/>
  <c r="DM43" i="1"/>
  <c r="EO43" i="1" s="1"/>
  <c r="BI43" i="1"/>
  <c r="BW43" i="1" s="1"/>
  <c r="DO43" i="1"/>
  <c r="EQ43" i="1" s="1"/>
  <c r="BK43" i="1"/>
  <c r="BY43" i="1" s="1"/>
  <c r="AI43" i="1"/>
  <c r="CL43" i="1"/>
  <c r="CM43" i="1"/>
  <c r="CR43" i="1"/>
  <c r="DI43" i="1"/>
  <c r="EK43" i="1" s="1"/>
  <c r="BE43" i="1"/>
  <c r="BS43" i="1" s="1"/>
  <c r="DG43" i="1"/>
  <c r="EI43" i="1" s="1"/>
  <c r="BC43" i="1"/>
  <c r="BQ43" i="1" s="1"/>
  <c r="AK43" i="1"/>
  <c r="CE43" i="1"/>
  <c r="AL43" i="1"/>
  <c r="CF43" i="1"/>
  <c r="CG43" i="1"/>
  <c r="W43" i="1"/>
  <c r="AB43" i="1"/>
  <c r="N43" i="1"/>
  <c r="P43" i="1"/>
  <c r="AJ43" i="1"/>
  <c r="CH43" i="1"/>
  <c r="X43" i="1"/>
  <c r="DN43" i="1"/>
  <c r="V43" i="1"/>
  <c r="AC43" i="1"/>
  <c r="BG33" i="1" l="1"/>
  <c r="BU33" i="1" s="1"/>
  <c r="BC27" i="1"/>
  <c r="BQ27" i="1" s="1"/>
  <c r="DM33" i="1"/>
  <c r="EO33" i="1" s="1"/>
  <c r="BH27" i="1"/>
  <c r="BV27" i="1" s="1"/>
  <c r="BG27" i="1"/>
  <c r="BU27" i="1" s="1"/>
  <c r="DM27" i="1"/>
  <c r="EO27" i="1" s="1"/>
  <c r="DO27" i="1"/>
  <c r="EQ27" i="1" s="1"/>
  <c r="CD27" i="1"/>
  <c r="BM27" i="1"/>
  <c r="CA27" i="1" s="1"/>
  <c r="DQ27" i="1"/>
  <c r="ES27" i="1" s="1"/>
  <c r="BD33" i="1"/>
  <c r="BR33" i="1" s="1"/>
  <c r="L27" i="1"/>
  <c r="DJ33" i="1"/>
  <c r="EL33" i="1" s="1"/>
  <c r="DO33" i="1"/>
  <c r="EQ33" i="1" s="1"/>
  <c r="DP33" i="1"/>
  <c r="ER33" i="1" s="1"/>
  <c r="BL33" i="1"/>
  <c r="BZ33" i="1" s="1"/>
  <c r="DQ33" i="1"/>
  <c r="ES33" i="1" s="1"/>
  <c r="BM33" i="1"/>
  <c r="CA33" i="1" s="1"/>
  <c r="DG33" i="1"/>
  <c r="L33" i="1"/>
  <c r="BC33" i="1"/>
  <c r="BQ33" i="1" s="1"/>
  <c r="CD33" i="1"/>
  <c r="BG43" i="1"/>
  <c r="BU43" i="1" s="1"/>
  <c r="DL43" i="1"/>
  <c r="EN43" i="1" s="1"/>
  <c r="DR43" i="1"/>
  <c r="ET43" i="1" s="1"/>
  <c r="BN43" i="1"/>
  <c r="CB43" i="1" s="1"/>
  <c r="DJ43" i="1"/>
  <c r="EL43" i="1" s="1"/>
  <c r="BF43" i="1"/>
  <c r="BT43" i="1" s="1"/>
  <c r="DH43" i="1"/>
  <c r="EJ43" i="1" s="1"/>
  <c r="BD43" i="1"/>
  <c r="BR43" i="1" s="1"/>
  <c r="L43" i="1"/>
  <c r="CD43" i="1"/>
  <c r="DQ43" i="1"/>
  <c r="ES43" i="1" s="1"/>
  <c r="BM43" i="1"/>
  <c r="CA43" i="1" s="1"/>
  <c r="BL43" i="1"/>
  <c r="BZ43" i="1" s="1"/>
  <c r="DP43" i="1"/>
  <c r="ER43" i="1" s="1"/>
  <c r="DF27" i="1" l="1"/>
  <c r="DF33" i="1"/>
  <c r="EI33" i="1"/>
  <c r="DF43" i="1"/>
  <c r="AP21" i="8" l="1"/>
  <c r="AP18" i="8"/>
  <c r="AP8" i="8"/>
  <c r="DZ19" i="8"/>
  <c r="DY19" i="8"/>
  <c r="DX19" i="8"/>
  <c r="DW19" i="8"/>
  <c r="DU19" i="8"/>
  <c r="DT19" i="8"/>
  <c r="DS19" i="8"/>
  <c r="DR19" i="8"/>
  <c r="DQ19" i="8"/>
  <c r="DP19" i="8"/>
  <c r="DO19" i="8"/>
  <c r="CX19" i="8"/>
  <c r="R19" i="8" s="1"/>
  <c r="CW19" i="8"/>
  <c r="CI19" i="8" s="1"/>
  <c r="CV19" i="8"/>
  <c r="P19" i="8" s="1"/>
  <c r="CU19" i="8"/>
  <c r="CG19" i="8" s="1"/>
  <c r="CT19" i="8"/>
  <c r="CF19" i="8" s="1"/>
  <c r="CS19" i="8"/>
  <c r="M19" i="8" s="1"/>
  <c r="CR19" i="8"/>
  <c r="CD19" i="8" s="1"/>
  <c r="CQ19" i="8"/>
  <c r="CC19" i="8" s="1"/>
  <c r="CP19" i="8"/>
  <c r="CB19" i="8" s="1"/>
  <c r="CO19" i="8"/>
  <c r="CA19" i="8" s="1"/>
  <c r="CN19" i="8"/>
  <c r="V19" i="8" s="1"/>
  <c r="CM19" i="8"/>
  <c r="AH19" i="8"/>
  <c r="CH19" i="8" l="1"/>
  <c r="AD19" i="8"/>
  <c r="O19" i="8"/>
  <c r="DI19" i="8" s="1"/>
  <c r="EK19" i="8" s="1"/>
  <c r="AC19" i="8"/>
  <c r="W19" i="8"/>
  <c r="I19" i="8"/>
  <c r="DC19" i="8" s="1"/>
  <c r="EE19" i="8" s="1"/>
  <c r="CJ19" i="8"/>
  <c r="DG19" i="8"/>
  <c r="EI19" i="8" s="1"/>
  <c r="BC19" i="8"/>
  <c r="BQ19" i="8" s="1"/>
  <c r="Y19" i="8"/>
  <c r="AA19" i="8"/>
  <c r="Z19" i="8"/>
  <c r="CE19" i="8"/>
  <c r="L19" i="8"/>
  <c r="DF19" i="8" s="1"/>
  <c r="EH19" i="8" s="1"/>
  <c r="CL19" i="8"/>
  <c r="N19" i="8"/>
  <c r="DH19" i="8" s="1"/>
  <c r="H19" i="8"/>
  <c r="DB19" i="8" s="1"/>
  <c r="ED19" i="8" s="1"/>
  <c r="U19" i="8"/>
  <c r="X19" i="8"/>
  <c r="G19" i="8"/>
  <c r="DA19" i="8" s="1"/>
  <c r="EC19" i="8" s="1"/>
  <c r="J19" i="8"/>
  <c r="DD19" i="8" s="1"/>
  <c r="EF19" i="8" s="1"/>
  <c r="K19" i="8"/>
  <c r="BF19" i="8"/>
  <c r="BT19" i="8" s="1"/>
  <c r="DJ19" i="8"/>
  <c r="EL19" i="8" s="1"/>
  <c r="DL19" i="8"/>
  <c r="EN19" i="8" s="1"/>
  <c r="BH19" i="8"/>
  <c r="BV19" i="8" s="1"/>
  <c r="AE19" i="8"/>
  <c r="BZ19" i="8"/>
  <c r="BY19" i="8"/>
  <c r="AF19" i="8"/>
  <c r="Q19" i="8"/>
  <c r="L449" i="2"/>
  <c r="L496" i="2"/>
  <c r="L453" i="2"/>
  <c r="L464" i="2"/>
  <c r="BE19" i="8" l="1"/>
  <c r="BS19" i="8" s="1"/>
  <c r="AY19" i="8"/>
  <c r="BM19" i="8" s="1"/>
  <c r="AZ19" i="8"/>
  <c r="BN19" i="8" s="1"/>
  <c r="AW19" i="8"/>
  <c r="BK19" i="8" s="1"/>
  <c r="F19" i="8"/>
  <c r="BB19" i="8"/>
  <c r="BP19" i="8" s="1"/>
  <c r="AX19" i="8"/>
  <c r="BL19" i="8" s="1"/>
  <c r="DE19" i="8"/>
  <c r="EG19" i="8" s="1"/>
  <c r="BA19" i="8"/>
  <c r="BO19" i="8" s="1"/>
  <c r="BG19" i="8"/>
  <c r="BU19" i="8" s="1"/>
  <c r="DK19" i="8"/>
  <c r="EM19" i="8" s="1"/>
  <c r="BX19" i="8"/>
  <c r="O514" i="2"/>
  <c r="O515" i="2"/>
  <c r="O516" i="2"/>
  <c r="O517" i="2"/>
  <c r="O518" i="2"/>
  <c r="O519" i="2"/>
  <c r="O520" i="2"/>
  <c r="K452" i="2"/>
  <c r="Y452" i="2" s="1"/>
  <c r="Y446" i="2"/>
  <c r="AA446" i="2"/>
  <c r="Y447" i="2"/>
  <c r="AA447" i="2"/>
  <c r="Y448" i="2"/>
  <c r="AA448" i="2"/>
  <c r="Y449" i="2"/>
  <c r="AA449" i="2"/>
  <c r="Y450" i="2"/>
  <c r="AA450" i="2"/>
  <c r="Y451" i="2"/>
  <c r="AA451" i="2"/>
  <c r="AA452" i="2"/>
  <c r="Y453" i="2"/>
  <c r="AA453" i="2"/>
  <c r="Y454" i="2"/>
  <c r="AA454" i="2"/>
  <c r="Y455" i="2"/>
  <c r="AA455" i="2"/>
  <c r="Y456" i="2"/>
  <c r="AA456" i="2"/>
  <c r="Y457" i="2"/>
  <c r="AA457" i="2"/>
  <c r="Y458" i="2"/>
  <c r="AA458" i="2"/>
  <c r="Y459" i="2"/>
  <c r="AA459" i="2"/>
  <c r="Y460" i="2"/>
  <c r="AA460" i="2"/>
  <c r="Y461" i="2"/>
  <c r="AA461" i="2"/>
  <c r="Y462" i="2"/>
  <c r="AA462" i="2"/>
  <c r="Y463" i="2"/>
  <c r="AA463" i="2"/>
  <c r="Y464" i="2"/>
  <c r="AA464" i="2"/>
  <c r="Y465" i="2"/>
  <c r="AA465" i="2"/>
  <c r="Y466" i="2"/>
  <c r="AA466" i="2"/>
  <c r="Y467" i="2"/>
  <c r="AA467" i="2"/>
  <c r="Y468" i="2"/>
  <c r="AA468" i="2"/>
  <c r="Y469" i="2"/>
  <c r="AA469" i="2"/>
  <c r="Y470" i="2"/>
  <c r="AA470" i="2"/>
  <c r="Y471" i="2"/>
  <c r="AA471" i="2"/>
  <c r="Y472" i="2"/>
  <c r="AA472" i="2"/>
  <c r="Y473" i="2"/>
  <c r="AA473" i="2"/>
  <c r="Y474" i="2"/>
  <c r="AA474" i="2"/>
  <c r="Y475" i="2"/>
  <c r="AA475" i="2"/>
  <c r="Y476" i="2"/>
  <c r="AA476" i="2"/>
  <c r="Y477" i="2"/>
  <c r="AA477" i="2"/>
  <c r="Y478" i="2"/>
  <c r="AA478" i="2"/>
  <c r="AA479" i="2"/>
  <c r="Y480" i="2"/>
  <c r="AA480" i="2"/>
  <c r="Y481" i="2"/>
  <c r="AA481" i="2"/>
  <c r="Y482" i="2"/>
  <c r="AA482" i="2"/>
  <c r="Y483" i="2"/>
  <c r="AA483" i="2"/>
  <c r="Y484" i="2"/>
  <c r="AA484" i="2"/>
  <c r="Y485" i="2"/>
  <c r="AA485" i="2"/>
  <c r="Y486" i="2"/>
  <c r="AA486" i="2"/>
  <c r="Y487" i="2"/>
  <c r="AA487" i="2"/>
  <c r="Y488" i="2"/>
  <c r="AA488" i="2"/>
  <c r="Y489" i="2"/>
  <c r="AA489" i="2"/>
  <c r="Y490" i="2"/>
  <c r="AA490" i="2"/>
  <c r="Y491" i="2"/>
  <c r="AA491" i="2"/>
  <c r="Y492" i="2"/>
  <c r="AA492" i="2"/>
  <c r="Y493" i="2"/>
  <c r="AA493" i="2"/>
  <c r="Y494" i="2"/>
  <c r="AA494" i="2"/>
  <c r="Y495" i="2"/>
  <c r="AA495" i="2"/>
  <c r="Y496" i="2"/>
  <c r="AA496" i="2"/>
  <c r="Y497" i="2"/>
  <c r="AA497" i="2"/>
  <c r="Y498" i="2"/>
  <c r="AA498" i="2"/>
  <c r="Y499" i="2"/>
  <c r="AA499" i="2"/>
  <c r="Y500" i="2"/>
  <c r="AA500" i="2"/>
  <c r="Y501" i="2"/>
  <c r="AA501" i="2"/>
  <c r="Y502" i="2"/>
  <c r="AA502" i="2"/>
  <c r="Y503" i="2"/>
  <c r="AA503" i="2"/>
  <c r="Y504" i="2"/>
  <c r="AA504" i="2"/>
  <c r="Y505" i="2"/>
  <c r="AA505" i="2"/>
  <c r="Y506" i="2"/>
  <c r="AA506" i="2"/>
  <c r="Y507" i="2"/>
  <c r="AA507" i="2"/>
  <c r="Y508" i="2"/>
  <c r="AA508" i="2"/>
  <c r="Y509" i="2"/>
  <c r="AA509" i="2"/>
  <c r="Y510" i="2"/>
  <c r="AA510" i="2"/>
  <c r="Y511" i="2"/>
  <c r="AA511" i="2"/>
  <c r="Y512" i="2"/>
  <c r="AA512" i="2"/>
  <c r="Y513" i="2"/>
  <c r="AA513" i="2"/>
  <c r="S446" i="2"/>
  <c r="T446" i="2" s="1"/>
  <c r="S447" i="2"/>
  <c r="T447" i="2" s="1"/>
  <c r="S448" i="2"/>
  <c r="T448" i="2" s="1"/>
  <c r="S449" i="2"/>
  <c r="T449" i="2" s="1"/>
  <c r="S450" i="2"/>
  <c r="T450" i="2" s="1"/>
  <c r="S451" i="2"/>
  <c r="T451" i="2" s="1"/>
  <c r="S452" i="2"/>
  <c r="T452" i="2" s="1"/>
  <c r="S453" i="2"/>
  <c r="T453" i="2" s="1"/>
  <c r="S454" i="2"/>
  <c r="T454" i="2" s="1"/>
  <c r="S455" i="2"/>
  <c r="T455" i="2" s="1"/>
  <c r="S456" i="2"/>
  <c r="T456" i="2" s="1"/>
  <c r="S457" i="2"/>
  <c r="T457" i="2" s="1"/>
  <c r="S458" i="2"/>
  <c r="T458" i="2" s="1"/>
  <c r="S459" i="2"/>
  <c r="T459" i="2" s="1"/>
  <c r="S460" i="2"/>
  <c r="T460" i="2" s="1"/>
  <c r="S461" i="2"/>
  <c r="T461" i="2" s="1"/>
  <c r="S462" i="2"/>
  <c r="T462" i="2" s="1"/>
  <c r="S463" i="2"/>
  <c r="T463" i="2" s="1"/>
  <c r="S464" i="2"/>
  <c r="T464" i="2" s="1"/>
  <c r="S465" i="2"/>
  <c r="T465" i="2" s="1"/>
  <c r="S466" i="2"/>
  <c r="T466" i="2" s="1"/>
  <c r="S467" i="2"/>
  <c r="T467" i="2" s="1"/>
  <c r="S468" i="2"/>
  <c r="T468" i="2" s="1"/>
  <c r="S469" i="2"/>
  <c r="T469" i="2" s="1"/>
  <c r="S470" i="2"/>
  <c r="T470" i="2" s="1"/>
  <c r="S471" i="2"/>
  <c r="T471" i="2" s="1"/>
  <c r="S472" i="2"/>
  <c r="T472" i="2" s="1"/>
  <c r="S473" i="2"/>
  <c r="T473" i="2" s="1"/>
  <c r="S474" i="2"/>
  <c r="T474" i="2" s="1"/>
  <c r="S475" i="2"/>
  <c r="T475" i="2" s="1"/>
  <c r="S476" i="2"/>
  <c r="T476" i="2" s="1"/>
  <c r="S477" i="2"/>
  <c r="T477" i="2" s="1"/>
  <c r="S478" i="2"/>
  <c r="T478" i="2" s="1"/>
  <c r="S479" i="2"/>
  <c r="T479" i="2" s="1"/>
  <c r="S480" i="2"/>
  <c r="T480" i="2" s="1"/>
  <c r="S481" i="2"/>
  <c r="T481" i="2" s="1"/>
  <c r="S482" i="2"/>
  <c r="T482" i="2" s="1"/>
  <c r="S483" i="2"/>
  <c r="T483" i="2" s="1"/>
  <c r="S484" i="2"/>
  <c r="T484" i="2" s="1"/>
  <c r="S485" i="2"/>
  <c r="T485" i="2" s="1"/>
  <c r="S486" i="2"/>
  <c r="T486" i="2" s="1"/>
  <c r="S487" i="2"/>
  <c r="T487" i="2" s="1"/>
  <c r="S488" i="2"/>
  <c r="T488" i="2" s="1"/>
  <c r="S489" i="2"/>
  <c r="T489" i="2" s="1"/>
  <c r="S490" i="2"/>
  <c r="T490" i="2" s="1"/>
  <c r="S491" i="2"/>
  <c r="T491" i="2" s="1"/>
  <c r="S492" i="2"/>
  <c r="T492" i="2" s="1"/>
  <c r="S493" i="2"/>
  <c r="T493" i="2" s="1"/>
  <c r="S494" i="2"/>
  <c r="T494" i="2" s="1"/>
  <c r="S495" i="2"/>
  <c r="T495" i="2" s="1"/>
  <c r="S496" i="2"/>
  <c r="T496" i="2" s="1"/>
  <c r="S497" i="2"/>
  <c r="T497" i="2" s="1"/>
  <c r="S498" i="2"/>
  <c r="T498" i="2" s="1"/>
  <c r="T499" i="2"/>
  <c r="S500" i="2"/>
  <c r="T500" i="2" s="1"/>
  <c r="S501" i="2"/>
  <c r="T501" i="2" s="1"/>
  <c r="S502" i="2"/>
  <c r="T502" i="2" s="1"/>
  <c r="S503" i="2"/>
  <c r="T503" i="2" s="1"/>
  <c r="S504" i="2"/>
  <c r="T504" i="2" s="1"/>
  <c r="S505" i="2"/>
  <c r="T505" i="2" s="1"/>
  <c r="S506" i="2"/>
  <c r="T506" i="2" s="1"/>
  <c r="S507" i="2"/>
  <c r="T507" i="2" s="1"/>
  <c r="S508" i="2"/>
  <c r="T508" i="2" s="1"/>
  <c r="S509" i="2"/>
  <c r="T509" i="2" s="1"/>
  <c r="S510" i="2"/>
  <c r="T510" i="2" s="1"/>
  <c r="S511" i="2"/>
  <c r="T511" i="2" s="1"/>
  <c r="S512" i="2"/>
  <c r="T512" i="2" s="1"/>
  <c r="S513" i="2"/>
  <c r="T513" i="2" s="1"/>
  <c r="O446" i="2"/>
  <c r="X446" i="2" s="1"/>
  <c r="O447" i="2"/>
  <c r="X447" i="2" s="1"/>
  <c r="O448" i="2"/>
  <c r="X448" i="2" s="1"/>
  <c r="O449" i="2"/>
  <c r="P449" i="2" s="1"/>
  <c r="Q449" i="2" s="1"/>
  <c r="O450" i="2"/>
  <c r="O451" i="2"/>
  <c r="X451" i="2" s="1"/>
  <c r="O453" i="2"/>
  <c r="X453" i="2" s="1"/>
  <c r="O454" i="2"/>
  <c r="X454" i="2" s="1"/>
  <c r="O455" i="2"/>
  <c r="U455" i="2" s="1"/>
  <c r="O456" i="2"/>
  <c r="P456" i="2" s="1"/>
  <c r="Q456" i="2" s="1"/>
  <c r="O457" i="2"/>
  <c r="P457" i="2" s="1"/>
  <c r="Q457" i="2" s="1"/>
  <c r="O458" i="2"/>
  <c r="X458" i="2" s="1"/>
  <c r="O459" i="2"/>
  <c r="U459" i="2" s="1"/>
  <c r="O460" i="2"/>
  <c r="U460" i="2" s="1"/>
  <c r="O461" i="2"/>
  <c r="U461" i="2" s="1"/>
  <c r="O462" i="2"/>
  <c r="X462" i="2" s="1"/>
  <c r="O463" i="2"/>
  <c r="X463" i="2" s="1"/>
  <c r="O464" i="2"/>
  <c r="X464" i="2" s="1"/>
  <c r="O465" i="2"/>
  <c r="U465" i="2" s="1"/>
  <c r="O466" i="2"/>
  <c r="X466" i="2" s="1"/>
  <c r="AC466" i="2" s="1"/>
  <c r="O467" i="2"/>
  <c r="O468" i="2"/>
  <c r="U468" i="2" s="1"/>
  <c r="O469" i="2"/>
  <c r="P469" i="2" s="1"/>
  <c r="Q469" i="2" s="1"/>
  <c r="O470" i="2"/>
  <c r="X470" i="2" s="1"/>
  <c r="O471" i="2"/>
  <c r="X471" i="2" s="1"/>
  <c r="O472" i="2"/>
  <c r="X472" i="2" s="1"/>
  <c r="O473" i="2"/>
  <c r="U473" i="2" s="1"/>
  <c r="O474" i="2"/>
  <c r="X474" i="2" s="1"/>
  <c r="O475" i="2"/>
  <c r="X475" i="2" s="1"/>
  <c r="O476" i="2"/>
  <c r="O477" i="2"/>
  <c r="P477" i="2" s="1"/>
  <c r="Q477" i="2" s="1"/>
  <c r="O478" i="2"/>
  <c r="P478" i="2" s="1"/>
  <c r="Q478" i="2" s="1"/>
  <c r="O479" i="2"/>
  <c r="O480" i="2"/>
  <c r="X480" i="2" s="1"/>
  <c r="O481" i="2"/>
  <c r="O482" i="2"/>
  <c r="X482" i="2" s="1"/>
  <c r="O483" i="2"/>
  <c r="X483" i="2" s="1"/>
  <c r="O484" i="2"/>
  <c r="X484" i="2" s="1"/>
  <c r="AC484" i="2" s="1"/>
  <c r="O485" i="2"/>
  <c r="X485" i="2" s="1"/>
  <c r="O486" i="2"/>
  <c r="O487" i="2"/>
  <c r="U487" i="2" s="1"/>
  <c r="O488" i="2"/>
  <c r="U488" i="2" s="1"/>
  <c r="O489" i="2"/>
  <c r="U489" i="2" s="1"/>
  <c r="O490" i="2"/>
  <c r="X490" i="2" s="1"/>
  <c r="O491" i="2"/>
  <c r="U491" i="2" s="1"/>
  <c r="O492" i="2"/>
  <c r="U492" i="2" s="1"/>
  <c r="O493" i="2"/>
  <c r="U493" i="2" s="1"/>
  <c r="O494" i="2"/>
  <c r="X494" i="2" s="1"/>
  <c r="O495" i="2"/>
  <c r="O496" i="2"/>
  <c r="P496" i="2" s="1"/>
  <c r="Q496" i="2" s="1"/>
  <c r="O497" i="2"/>
  <c r="U497" i="2" s="1"/>
  <c r="O498" i="2"/>
  <c r="X498" i="2" s="1"/>
  <c r="O499" i="2"/>
  <c r="O500" i="2"/>
  <c r="O501" i="2"/>
  <c r="O502" i="2"/>
  <c r="X502" i="2" s="1"/>
  <c r="O503" i="2"/>
  <c r="P503" i="2" s="1"/>
  <c r="Q503" i="2" s="1"/>
  <c r="O504" i="2"/>
  <c r="P504" i="2" s="1"/>
  <c r="Q504" i="2" s="1"/>
  <c r="O505" i="2"/>
  <c r="U505" i="2" s="1"/>
  <c r="O506" i="2"/>
  <c r="X506" i="2" s="1"/>
  <c r="AC506" i="2" s="1"/>
  <c r="O507" i="2"/>
  <c r="X507" i="2" s="1"/>
  <c r="O508" i="2"/>
  <c r="X508" i="2" s="1"/>
  <c r="AC508" i="2" s="1"/>
  <c r="O509" i="2"/>
  <c r="U509" i="2" s="1"/>
  <c r="O510" i="2"/>
  <c r="O511" i="2"/>
  <c r="X511" i="2" s="1"/>
  <c r="AC511" i="2" s="1"/>
  <c r="O512" i="2"/>
  <c r="O513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45" i="2"/>
  <c r="H446" i="2"/>
  <c r="H447" i="2"/>
  <c r="H448" i="2"/>
  <c r="H449" i="2"/>
  <c r="H450" i="2"/>
  <c r="H451" i="2"/>
  <c r="H452" i="2"/>
  <c r="H453" i="2"/>
  <c r="H454" i="2"/>
  <c r="H45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L394" i="2"/>
  <c r="K120" i="60" l="1"/>
  <c r="K124" i="60"/>
  <c r="K123" i="60"/>
  <c r="K122" i="60"/>
  <c r="K121" i="60"/>
  <c r="M29" i="6"/>
  <c r="U516" i="2"/>
  <c r="X516" i="2"/>
  <c r="AC516" i="2" s="1"/>
  <c r="P516" i="2"/>
  <c r="Q516" i="2" s="1"/>
  <c r="U515" i="2"/>
  <c r="X515" i="2"/>
  <c r="AC515" i="2" s="1"/>
  <c r="P515" i="2"/>
  <c r="Q515" i="2" s="1"/>
  <c r="U514" i="2"/>
  <c r="P514" i="2"/>
  <c r="Q514" i="2" s="1"/>
  <c r="X514" i="2"/>
  <c r="AC514" i="2" s="1"/>
  <c r="X517" i="2"/>
  <c r="AC517" i="2" s="1"/>
  <c r="U517" i="2"/>
  <c r="P517" i="2"/>
  <c r="Q517" i="2" s="1"/>
  <c r="P520" i="2"/>
  <c r="Q520" i="2" s="1"/>
  <c r="X520" i="2"/>
  <c r="AC520" i="2" s="1"/>
  <c r="U520" i="2"/>
  <c r="P519" i="2"/>
  <c r="Q519" i="2" s="1"/>
  <c r="X519" i="2"/>
  <c r="AC519" i="2" s="1"/>
  <c r="U519" i="2"/>
  <c r="X518" i="2"/>
  <c r="AC518" i="2" s="1"/>
  <c r="U518" i="2"/>
  <c r="P518" i="2"/>
  <c r="Q518" i="2" s="1"/>
  <c r="X495" i="2"/>
  <c r="H186" i="35" s="1"/>
  <c r="O186" i="35" s="1"/>
  <c r="H194" i="35"/>
  <c r="O194" i="35" s="1"/>
  <c r="H181" i="35"/>
  <c r="O181" i="35" s="1"/>
  <c r="H184" i="35"/>
  <c r="O184" i="35" s="1"/>
  <c r="H197" i="35"/>
  <c r="O197" i="35" s="1"/>
  <c r="H195" i="35"/>
  <c r="O195" i="35" s="1"/>
  <c r="X486" i="2"/>
  <c r="U486" i="2"/>
  <c r="U481" i="2"/>
  <c r="V481" i="2" s="1"/>
  <c r="X481" i="2"/>
  <c r="H189" i="35" s="1"/>
  <c r="O189" i="35" s="1"/>
  <c r="X479" i="2"/>
  <c r="P479" i="2"/>
  <c r="Q479" i="2" s="1"/>
  <c r="K119" i="60"/>
  <c r="AH33" i="1"/>
  <c r="BJ33" i="1" s="1"/>
  <c r="BX33" i="1" s="1"/>
  <c r="X501" i="2"/>
  <c r="AH220" i="1"/>
  <c r="X499" i="2"/>
  <c r="AH199" i="1"/>
  <c r="P513" i="2"/>
  <c r="Q513" i="2" s="1"/>
  <c r="AH155" i="1"/>
  <c r="X500" i="2"/>
  <c r="AH124" i="1"/>
  <c r="X467" i="2"/>
  <c r="AC467" i="2" s="1"/>
  <c r="AH120" i="1"/>
  <c r="X510" i="2"/>
  <c r="AH27" i="1"/>
  <c r="X512" i="2"/>
  <c r="AH28" i="1"/>
  <c r="X476" i="2"/>
  <c r="AH43" i="1"/>
  <c r="X450" i="2"/>
  <c r="AB19" i="8"/>
  <c r="T19" i="8" s="1"/>
  <c r="CZ19" i="8"/>
  <c r="X493" i="2"/>
  <c r="X477" i="2"/>
  <c r="AC477" i="2" s="1"/>
  <c r="P511" i="2"/>
  <c r="Q511" i="2" s="1"/>
  <c r="P463" i="2"/>
  <c r="Q463" i="2" s="1"/>
  <c r="P461" i="2"/>
  <c r="Q461" i="2" s="1"/>
  <c r="P509" i="2"/>
  <c r="Q509" i="2" s="1"/>
  <c r="X478" i="2"/>
  <c r="P493" i="2"/>
  <c r="Q493" i="2" s="1"/>
  <c r="P475" i="2"/>
  <c r="Q475" i="2" s="1"/>
  <c r="U494" i="2"/>
  <c r="Z494" i="2" s="1"/>
  <c r="X513" i="2"/>
  <c r="P494" i="2"/>
  <c r="Q494" i="2" s="1"/>
  <c r="X497" i="2"/>
  <c r="P465" i="2"/>
  <c r="Q465" i="2" s="1"/>
  <c r="P464" i="2"/>
  <c r="Q464" i="2" s="1"/>
  <c r="P462" i="2"/>
  <c r="Q462" i="2" s="1"/>
  <c r="U477" i="2"/>
  <c r="Z477" i="2" s="1"/>
  <c r="P448" i="2"/>
  <c r="Q448" i="2" s="1"/>
  <c r="P510" i="2"/>
  <c r="Q510" i="2" s="1"/>
  <c r="U512" i="2"/>
  <c r="V512" i="2" s="1"/>
  <c r="U462" i="2"/>
  <c r="Z462" i="2" s="1"/>
  <c r="P502" i="2"/>
  <c r="Q502" i="2" s="1"/>
  <c r="P497" i="2"/>
  <c r="Q497" i="2" s="1"/>
  <c r="U510" i="2"/>
  <c r="Z510" i="2" s="1"/>
  <c r="Z509" i="2"/>
  <c r="V509" i="2"/>
  <c r="P484" i="2"/>
  <c r="Q484" i="2" s="1"/>
  <c r="X509" i="2"/>
  <c r="AC509" i="2" s="1"/>
  <c r="P483" i="2"/>
  <c r="Q483" i="2" s="1"/>
  <c r="P447" i="2"/>
  <c r="Q447" i="2" s="1"/>
  <c r="U496" i="2"/>
  <c r="U485" i="2"/>
  <c r="V485" i="2" s="1"/>
  <c r="U446" i="2"/>
  <c r="Z446" i="2" s="1"/>
  <c r="P485" i="2"/>
  <c r="Q485" i="2" s="1"/>
  <c r="P481" i="2"/>
  <c r="Q481" i="2" s="1"/>
  <c r="U508" i="2"/>
  <c r="P508" i="2"/>
  <c r="Q508" i="2" s="1"/>
  <c r="P480" i="2"/>
  <c r="Q480" i="2" s="1"/>
  <c r="P446" i="2"/>
  <c r="Q446" i="2" s="1"/>
  <c r="U476" i="2"/>
  <c r="X465" i="2"/>
  <c r="AC465" i="2" s="1"/>
  <c r="P507" i="2"/>
  <c r="Q507" i="2" s="1"/>
  <c r="P476" i="2"/>
  <c r="Q476" i="2" s="1"/>
  <c r="U513" i="2"/>
  <c r="V513" i="2" s="1"/>
  <c r="U464" i="2"/>
  <c r="U453" i="2"/>
  <c r="V453" i="2" s="1"/>
  <c r="X449" i="2"/>
  <c r="P501" i="2"/>
  <c r="Q501" i="2" s="1"/>
  <c r="U501" i="2"/>
  <c r="V501" i="2" s="1"/>
  <c r="U500" i="2"/>
  <c r="U480" i="2"/>
  <c r="V480" i="2" s="1"/>
  <c r="U449" i="2"/>
  <c r="V449" i="2" s="1"/>
  <c r="P512" i="2"/>
  <c r="Q512" i="2" s="1"/>
  <c r="P492" i="2"/>
  <c r="Q492" i="2" s="1"/>
  <c r="P460" i="2"/>
  <c r="Q460" i="2" s="1"/>
  <c r="U478" i="2"/>
  <c r="Z478" i="2" s="1"/>
  <c r="U469" i="2"/>
  <c r="V469" i="2" s="1"/>
  <c r="P489" i="2"/>
  <c r="Q489" i="2" s="1"/>
  <c r="P453" i="2"/>
  <c r="Q453" i="2" s="1"/>
  <c r="U448" i="2"/>
  <c r="V448" i="2" s="1"/>
  <c r="X461" i="2"/>
  <c r="O452" i="2"/>
  <c r="V497" i="2"/>
  <c r="Z497" i="2"/>
  <c r="V460" i="2"/>
  <c r="Z460" i="2"/>
  <c r="V459" i="2"/>
  <c r="Z459" i="2"/>
  <c r="V505" i="2"/>
  <c r="Z505" i="2"/>
  <c r="V473" i="2"/>
  <c r="Z473" i="2"/>
  <c r="V487" i="2"/>
  <c r="Z487" i="2"/>
  <c r="V493" i="2"/>
  <c r="Z493" i="2"/>
  <c r="V492" i="2"/>
  <c r="Z492" i="2"/>
  <c r="V489" i="2"/>
  <c r="Z489" i="2"/>
  <c r="V488" i="2"/>
  <c r="Z488" i="2"/>
  <c r="V491" i="2"/>
  <c r="Z491" i="2"/>
  <c r="V465" i="2"/>
  <c r="Z465" i="2"/>
  <c r="V461" i="2"/>
  <c r="Z461" i="2"/>
  <c r="V455" i="2"/>
  <c r="Z455" i="2"/>
  <c r="V468" i="2"/>
  <c r="Z468" i="2"/>
  <c r="P491" i="2"/>
  <c r="Q491" i="2" s="1"/>
  <c r="P482" i="2"/>
  <c r="Q482" i="2" s="1"/>
  <c r="P473" i="2"/>
  <c r="Q473" i="2" s="1"/>
  <c r="P455" i="2"/>
  <c r="Q455" i="2" s="1"/>
  <c r="U504" i="2"/>
  <c r="U495" i="2"/>
  <c r="U472" i="2"/>
  <c r="U463" i="2"/>
  <c r="U454" i="2"/>
  <c r="P500" i="2"/>
  <c r="Q500" i="2" s="1"/>
  <c r="P499" i="2"/>
  <c r="Q499" i="2" s="1"/>
  <c r="P490" i="2"/>
  <c r="Q490" i="2" s="1"/>
  <c r="P472" i="2"/>
  <c r="Q472" i="2" s="1"/>
  <c r="P454" i="2"/>
  <c r="Q454" i="2" s="1"/>
  <c r="U499" i="2"/>
  <c r="U490" i="2"/>
  <c r="U467" i="2"/>
  <c r="U458" i="2"/>
  <c r="X505" i="2"/>
  <c r="X489" i="2"/>
  <c r="X473" i="2"/>
  <c r="X469" i="2"/>
  <c r="X457" i="2"/>
  <c r="U471" i="2"/>
  <c r="P506" i="2"/>
  <c r="Q506" i="2" s="1"/>
  <c r="P488" i="2"/>
  <c r="Q488" i="2" s="1"/>
  <c r="P470" i="2"/>
  <c r="Q470" i="2" s="1"/>
  <c r="P451" i="2"/>
  <c r="Q451" i="2" s="1"/>
  <c r="U507" i="2"/>
  <c r="U498" i="2"/>
  <c r="U484" i="2"/>
  <c r="U475" i="2"/>
  <c r="U466" i="2"/>
  <c r="U457" i="2"/>
  <c r="X504" i="2"/>
  <c r="X496" i="2"/>
  <c r="X492" i="2"/>
  <c r="X488" i="2"/>
  <c r="AC488" i="2" s="1"/>
  <c r="X468" i="2"/>
  <c r="X460" i="2"/>
  <c r="X456" i="2"/>
  <c r="P498" i="2"/>
  <c r="Q498" i="2" s="1"/>
  <c r="P471" i="2"/>
  <c r="Q471" i="2" s="1"/>
  <c r="U503" i="2"/>
  <c r="P505" i="2"/>
  <c r="Q505" i="2" s="1"/>
  <c r="P487" i="2"/>
  <c r="Q487" i="2" s="1"/>
  <c r="P459" i="2"/>
  <c r="Q459" i="2" s="1"/>
  <c r="P450" i="2"/>
  <c r="Q450" i="2" s="1"/>
  <c r="U511" i="2"/>
  <c r="U502" i="2"/>
  <c r="U479" i="2"/>
  <c r="U470" i="2"/>
  <c r="U456" i="2"/>
  <c r="U447" i="2"/>
  <c r="P468" i="2"/>
  <c r="Q468" i="2" s="1"/>
  <c r="P495" i="2"/>
  <c r="Q495" i="2" s="1"/>
  <c r="P486" i="2"/>
  <c r="Q486" i="2" s="1"/>
  <c r="P467" i="2"/>
  <c r="Q467" i="2" s="1"/>
  <c r="P458" i="2"/>
  <c r="Q458" i="2" s="1"/>
  <c r="U506" i="2"/>
  <c r="U483" i="2"/>
  <c r="U474" i="2"/>
  <c r="U451" i="2"/>
  <c r="X503" i="2"/>
  <c r="X491" i="2"/>
  <c r="X487" i="2"/>
  <c r="AC487" i="2" s="1"/>
  <c r="X459" i="2"/>
  <c r="AC459" i="2" s="1"/>
  <c r="X455" i="2"/>
  <c r="P466" i="2"/>
  <c r="Q466" i="2" s="1"/>
  <c r="P474" i="2"/>
  <c r="Q474" i="2" s="1"/>
  <c r="U482" i="2"/>
  <c r="U450" i="2"/>
  <c r="AC512" i="2" l="1"/>
  <c r="AC501" i="2"/>
  <c r="AC476" i="2"/>
  <c r="AC513" i="2"/>
  <c r="M122" i="60"/>
  <c r="AC510" i="2"/>
  <c r="AC500" i="2"/>
  <c r="V516" i="2"/>
  <c r="Z516" i="2"/>
  <c r="V520" i="2"/>
  <c r="Z520" i="2"/>
  <c r="Z517" i="2"/>
  <c r="V517" i="2"/>
  <c r="V514" i="2"/>
  <c r="Z514" i="2"/>
  <c r="V518" i="2"/>
  <c r="Z518" i="2"/>
  <c r="V515" i="2"/>
  <c r="Z515" i="2"/>
  <c r="V519" i="2"/>
  <c r="Z519" i="2"/>
  <c r="L121" i="60"/>
  <c r="I121" i="60" s="1"/>
  <c r="L120" i="60"/>
  <c r="I120" i="60" s="1"/>
  <c r="L124" i="60"/>
  <c r="I124" i="60" s="1"/>
  <c r="L123" i="60"/>
  <c r="I123" i="60" s="1"/>
  <c r="Z481" i="2"/>
  <c r="H190" i="35"/>
  <c r="O190" i="35" s="1"/>
  <c r="H200" i="35"/>
  <c r="O200" i="35" s="1"/>
  <c r="H193" i="35"/>
  <c r="O193" i="35" s="1"/>
  <c r="H199" i="35"/>
  <c r="O199" i="35" s="1"/>
  <c r="H191" i="35"/>
  <c r="O191" i="35" s="1"/>
  <c r="H185" i="35"/>
  <c r="O185" i="35" s="1"/>
  <c r="H192" i="35"/>
  <c r="O192" i="35" s="1"/>
  <c r="H183" i="35"/>
  <c r="O183" i="35" s="1"/>
  <c r="H182" i="35"/>
  <c r="O182" i="35" s="1"/>
  <c r="L119" i="60"/>
  <c r="I119" i="60" s="1"/>
  <c r="EB27" i="1"/>
  <c r="DT27" i="1" s="1"/>
  <c r="EH27" i="1" s="1"/>
  <c r="L122" i="60"/>
  <c r="I122" i="60" s="1"/>
  <c r="EB155" i="1"/>
  <c r="DT155" i="1" s="1"/>
  <c r="EH155" i="1" s="1"/>
  <c r="H187" i="35"/>
  <c r="EB28" i="1"/>
  <c r="DT28" i="1" s="1"/>
  <c r="EH28" i="1" s="1"/>
  <c r="H198" i="35"/>
  <c r="EB120" i="1"/>
  <c r="DT120" i="1" s="1"/>
  <c r="EH120" i="1" s="1"/>
  <c r="H180" i="35"/>
  <c r="EB124" i="1"/>
  <c r="DT124" i="1" s="1"/>
  <c r="EH124" i="1" s="1"/>
  <c r="H188" i="35"/>
  <c r="EB199" i="1"/>
  <c r="DT199" i="1" s="1"/>
  <c r="EH199" i="1" s="1"/>
  <c r="H196" i="35"/>
  <c r="EB220" i="1"/>
  <c r="DT220" i="1" s="1"/>
  <c r="EH220" i="1" s="1"/>
  <c r="H201" i="35"/>
  <c r="Z33" i="1"/>
  <c r="BB33" i="1" s="1"/>
  <c r="BP33" i="1" s="1"/>
  <c r="EB43" i="1"/>
  <c r="DT43" i="1" s="1"/>
  <c r="EH43" i="1" s="1"/>
  <c r="BJ220" i="1"/>
  <c r="BX220" i="1" s="1"/>
  <c r="Z220" i="1"/>
  <c r="BB220" i="1" s="1"/>
  <c r="BP220" i="1" s="1"/>
  <c r="BJ199" i="1"/>
  <c r="BX199" i="1" s="1"/>
  <c r="Z199" i="1"/>
  <c r="BB199" i="1" s="1"/>
  <c r="BP199" i="1" s="1"/>
  <c r="BJ155" i="1"/>
  <c r="BX155" i="1" s="1"/>
  <c r="Z155" i="1"/>
  <c r="BB155" i="1" s="1"/>
  <c r="BP155" i="1" s="1"/>
  <c r="BJ120" i="1"/>
  <c r="BX120" i="1" s="1"/>
  <c r="Z120" i="1"/>
  <c r="BB120" i="1" s="1"/>
  <c r="BP120" i="1" s="1"/>
  <c r="BJ124" i="1"/>
  <c r="BX124" i="1" s="1"/>
  <c r="Z124" i="1"/>
  <c r="BB124" i="1" s="1"/>
  <c r="BP124" i="1" s="1"/>
  <c r="Z28" i="1"/>
  <c r="BB28" i="1" s="1"/>
  <c r="BP28" i="1" s="1"/>
  <c r="BJ28" i="1"/>
  <c r="BX28" i="1" s="1"/>
  <c r="BJ27" i="1"/>
  <c r="BX27" i="1" s="1"/>
  <c r="Z27" i="1"/>
  <c r="BB27" i="1" s="1"/>
  <c r="BP27" i="1" s="1"/>
  <c r="DV19" i="8"/>
  <c r="DN19" i="8" s="1"/>
  <c r="EB19" i="8" s="1"/>
  <c r="EB33" i="1"/>
  <c r="BJ43" i="1"/>
  <c r="BX43" i="1" s="1"/>
  <c r="Z43" i="1"/>
  <c r="BB43" i="1" s="1"/>
  <c r="BP43" i="1" s="1"/>
  <c r="BD19" i="8"/>
  <c r="BR19" i="8" s="1"/>
  <c r="AV19" i="8"/>
  <c r="BJ19" i="8" s="1"/>
  <c r="X452" i="2"/>
  <c r="Z512" i="2"/>
  <c r="Z480" i="2"/>
  <c r="Z469" i="2"/>
  <c r="V494" i="2"/>
  <c r="V477" i="2"/>
  <c r="V446" i="2"/>
  <c r="V478" i="2"/>
  <c r="V510" i="2"/>
  <c r="V462" i="2"/>
  <c r="Z449" i="2"/>
  <c r="Z501" i="2"/>
  <c r="V496" i="2"/>
  <c r="Z496" i="2"/>
  <c r="Z485" i="2"/>
  <c r="Z513" i="2"/>
  <c r="V464" i="2"/>
  <c r="Z464" i="2"/>
  <c r="V476" i="2"/>
  <c r="Z476" i="2"/>
  <c r="V508" i="2"/>
  <c r="Z508" i="2"/>
  <c r="Z448" i="2"/>
  <c r="Z453" i="2"/>
  <c r="V500" i="2"/>
  <c r="Z500" i="2"/>
  <c r="U452" i="2"/>
  <c r="V452" i="2" s="1"/>
  <c r="P452" i="2"/>
  <c r="Q452" i="2" s="1"/>
  <c r="Z474" i="2"/>
  <c r="V474" i="2"/>
  <c r="Z466" i="2"/>
  <c r="V466" i="2"/>
  <c r="V483" i="2"/>
  <c r="Z483" i="2"/>
  <c r="Z506" i="2"/>
  <c r="V506" i="2"/>
  <c r="Z471" i="2"/>
  <c r="V471" i="2"/>
  <c r="V451" i="2"/>
  <c r="Z451" i="2"/>
  <c r="Z475" i="2"/>
  <c r="V475" i="2"/>
  <c r="Z502" i="2"/>
  <c r="V502" i="2"/>
  <c r="Z511" i="2"/>
  <c r="V511" i="2"/>
  <c r="V457" i="2"/>
  <c r="Z457" i="2"/>
  <c r="V484" i="2"/>
  <c r="Z484" i="2"/>
  <c r="V450" i="2"/>
  <c r="Z450" i="2"/>
  <c r="Z498" i="2"/>
  <c r="V498" i="2"/>
  <c r="V482" i="2"/>
  <c r="Z482" i="2"/>
  <c r="Z503" i="2"/>
  <c r="V503" i="2"/>
  <c r="Z507" i="2"/>
  <c r="V507" i="2"/>
  <c r="Z458" i="2"/>
  <c r="V458" i="2"/>
  <c r="Z454" i="2"/>
  <c r="V454" i="2"/>
  <c r="Z467" i="2"/>
  <c r="V467" i="2"/>
  <c r="Z463" i="2"/>
  <c r="V463" i="2"/>
  <c r="Z490" i="2"/>
  <c r="V490" i="2"/>
  <c r="V472" i="2"/>
  <c r="Z472" i="2"/>
  <c r="Z499" i="2"/>
  <c r="V499" i="2"/>
  <c r="Z486" i="2"/>
  <c r="V486" i="2"/>
  <c r="Z447" i="2"/>
  <c r="V447" i="2"/>
  <c r="Z495" i="2"/>
  <c r="V495" i="2"/>
  <c r="V456" i="2"/>
  <c r="Z456" i="2"/>
  <c r="V504" i="2"/>
  <c r="Z504" i="2"/>
  <c r="Z470" i="2"/>
  <c r="V470" i="2"/>
  <c r="Z479" i="2"/>
  <c r="V479" i="2"/>
  <c r="G113" i="60"/>
  <c r="BH26" i="48"/>
  <c r="BH27" i="48"/>
  <c r="AC26" i="48"/>
  <c r="AC27" i="48"/>
  <c r="X26" i="48"/>
  <c r="X27" i="48"/>
  <c r="J26" i="48"/>
  <c r="J27" i="48"/>
  <c r="M25" i="51"/>
  <c r="M26" i="51"/>
  <c r="O26" i="51" s="1"/>
  <c r="L26" i="51" s="1"/>
  <c r="G116" i="1"/>
  <c r="M124" i="60" l="1"/>
  <c r="N124" i="60" s="1"/>
  <c r="M121" i="60"/>
  <c r="N121" i="60" s="1"/>
  <c r="L133" i="60"/>
  <c r="I132" i="60"/>
  <c r="M119" i="60"/>
  <c r="M120" i="60"/>
  <c r="N120" i="60" s="1"/>
  <c r="M123" i="60"/>
  <c r="N123" i="60" s="1"/>
  <c r="N122" i="60"/>
  <c r="EP27" i="1"/>
  <c r="L125" i="60"/>
  <c r="EP155" i="1"/>
  <c r="EP28" i="1"/>
  <c r="EP199" i="1"/>
  <c r="EP120" i="1"/>
  <c r="O201" i="35"/>
  <c r="L201" i="35"/>
  <c r="K201" i="35"/>
  <c r="O196" i="35"/>
  <c r="K196" i="35"/>
  <c r="L196" i="35"/>
  <c r="O188" i="35"/>
  <c r="L188" i="35"/>
  <c r="K188" i="35"/>
  <c r="O180" i="35"/>
  <c r="K180" i="35"/>
  <c r="L180" i="35"/>
  <c r="O198" i="35"/>
  <c r="K198" i="35"/>
  <c r="L198" i="35"/>
  <c r="EP124" i="1"/>
  <c r="EP220" i="1"/>
  <c r="O187" i="35"/>
  <c r="K187" i="35"/>
  <c r="L187" i="35"/>
  <c r="EP43" i="1"/>
  <c r="EJ19" i="8"/>
  <c r="DT33" i="1"/>
  <c r="EH33" i="1" s="1"/>
  <c r="EP33" i="1"/>
  <c r="Z452" i="2"/>
  <c r="R26" i="51"/>
  <c r="O25" i="51"/>
  <c r="L25" i="51" s="1"/>
  <c r="P25" i="51"/>
  <c r="P26" i="51"/>
  <c r="Q26" i="51" s="1"/>
  <c r="S26" i="51" s="1"/>
  <c r="M125" i="60" l="1"/>
  <c r="N125" i="60" s="1"/>
  <c r="M133" i="60"/>
  <c r="N132" i="60"/>
  <c r="N119" i="60"/>
  <c r="M201" i="35"/>
  <c r="Q25" i="51"/>
  <c r="S25" i="51" s="1"/>
  <c r="R25" i="51"/>
  <c r="A153" i="35"/>
  <c r="A154" i="35"/>
  <c r="A155" i="35"/>
  <c r="A156" i="35"/>
  <c r="A157" i="35"/>
  <c r="A158" i="35"/>
  <c r="A159" i="35"/>
  <c r="A160" i="35"/>
  <c r="A161" i="35"/>
  <c r="A162" i="35"/>
  <c r="A163" i="35"/>
  <c r="A164" i="35"/>
  <c r="A165" i="35"/>
  <c r="A166" i="35"/>
  <c r="A167" i="35"/>
  <c r="A168" i="35"/>
  <c r="A169" i="35"/>
  <c r="A170" i="35"/>
  <c r="A171" i="35"/>
  <c r="D113" i="22"/>
  <c r="I161" i="35"/>
  <c r="I162" i="35"/>
  <c r="I170" i="35"/>
  <c r="I166" i="35"/>
  <c r="I169" i="35"/>
  <c r="I158" i="35"/>
  <c r="I164" i="35"/>
  <c r="I156" i="35"/>
  <c r="I165" i="35"/>
  <c r="I160" i="35"/>
  <c r="I171" i="35"/>
  <c r="I163" i="35"/>
  <c r="I159" i="35"/>
  <c r="I157" i="35"/>
  <c r="I155" i="35"/>
  <c r="I154" i="35"/>
  <c r="I168" i="35"/>
  <c r="I167" i="35"/>
  <c r="I153" i="35"/>
  <c r="I151" i="35"/>
  <c r="I152" i="35"/>
  <c r="H111" i="60"/>
  <c r="C111" i="60"/>
  <c r="M148" i="35"/>
  <c r="EF104" i="1"/>
  <c r="EE104" i="1"/>
  <c r="ED104" i="1"/>
  <c r="EC104" i="1"/>
  <c r="EB104" i="1"/>
  <c r="DZ104" i="1"/>
  <c r="DY104" i="1"/>
  <c r="DX104" i="1"/>
  <c r="DW104" i="1"/>
  <c r="DV104" i="1"/>
  <c r="DU104" i="1"/>
  <c r="DD104" i="1"/>
  <c r="CP104" i="1" s="1"/>
  <c r="DC104" i="1"/>
  <c r="W104" i="1" s="1"/>
  <c r="DB104" i="1"/>
  <c r="V104" i="1" s="1"/>
  <c r="BL104" i="1" s="1"/>
  <c r="BZ104" i="1" s="1"/>
  <c r="DA104" i="1"/>
  <c r="CM104" i="1" s="1"/>
  <c r="CZ104" i="1"/>
  <c r="CL104" i="1" s="1"/>
  <c r="CY104" i="1"/>
  <c r="CX104" i="1"/>
  <c r="R104" i="1" s="1"/>
  <c r="CW104" i="1"/>
  <c r="Q104" i="1" s="1"/>
  <c r="CV104" i="1"/>
  <c r="P104" i="1" s="1"/>
  <c r="CU104" i="1"/>
  <c r="O104" i="1" s="1"/>
  <c r="CT104" i="1"/>
  <c r="N104" i="1" s="1"/>
  <c r="CS104" i="1"/>
  <c r="M104" i="1" s="1"/>
  <c r="DG104" i="1" s="1"/>
  <c r="AN104" i="1"/>
  <c r="G104" i="1"/>
  <c r="EF225" i="1"/>
  <c r="EE225" i="1"/>
  <c r="ED225" i="1"/>
  <c r="EC225" i="1"/>
  <c r="EB225" i="1"/>
  <c r="DZ225" i="1"/>
  <c r="DY225" i="1"/>
  <c r="DX225" i="1"/>
  <c r="DW225" i="1"/>
  <c r="DV225" i="1"/>
  <c r="DU225" i="1"/>
  <c r="DD225" i="1"/>
  <c r="CP225" i="1" s="1"/>
  <c r="DC225" i="1"/>
  <c r="CO225" i="1" s="1"/>
  <c r="DB225" i="1"/>
  <c r="CN225" i="1" s="1"/>
  <c r="DA225" i="1"/>
  <c r="CZ225" i="1"/>
  <c r="CL225" i="1" s="1"/>
  <c r="CY225" i="1"/>
  <c r="CX225" i="1"/>
  <c r="CJ225" i="1" s="1"/>
  <c r="CW225" i="1"/>
  <c r="AE225" i="1" s="1"/>
  <c r="CV225" i="1"/>
  <c r="P225" i="1" s="1"/>
  <c r="CU225" i="1"/>
  <c r="AC225" i="1" s="1"/>
  <c r="CT225" i="1"/>
  <c r="N225" i="1" s="1"/>
  <c r="CS225" i="1"/>
  <c r="AA225" i="1" s="1"/>
  <c r="AN225" i="1"/>
  <c r="G225" i="1"/>
  <c r="EF219" i="1"/>
  <c r="EE219" i="1"/>
  <c r="ED219" i="1"/>
  <c r="EC219" i="1"/>
  <c r="EB219" i="1"/>
  <c r="DZ219" i="1"/>
  <c r="DY219" i="1"/>
  <c r="DX219" i="1"/>
  <c r="DW219" i="1"/>
  <c r="DV219" i="1"/>
  <c r="DU219" i="1"/>
  <c r="DD219" i="1"/>
  <c r="X219" i="1" s="1"/>
  <c r="DC219" i="1"/>
  <c r="CO219" i="1" s="1"/>
  <c r="DB219" i="1"/>
  <c r="V219" i="1" s="1"/>
  <c r="DA219" i="1"/>
  <c r="CM219" i="1" s="1"/>
  <c r="CZ219" i="1"/>
  <c r="CL219" i="1" s="1"/>
  <c r="CY219" i="1"/>
  <c r="CX219" i="1"/>
  <c r="CJ219" i="1" s="1"/>
  <c r="CW219" i="1"/>
  <c r="Q219" i="1" s="1"/>
  <c r="CV219" i="1"/>
  <c r="P219" i="1" s="1"/>
  <c r="CU219" i="1"/>
  <c r="AC219" i="1" s="1"/>
  <c r="CT219" i="1"/>
  <c r="CS219" i="1"/>
  <c r="AA219" i="1" s="1"/>
  <c r="AN219" i="1"/>
  <c r="G219" i="1"/>
  <c r="EF165" i="1"/>
  <c r="EE165" i="1"/>
  <c r="ED165" i="1"/>
  <c r="EC165" i="1"/>
  <c r="EB165" i="1"/>
  <c r="DZ165" i="1"/>
  <c r="DY165" i="1"/>
  <c r="DX165" i="1"/>
  <c r="DW165" i="1"/>
  <c r="DV165" i="1"/>
  <c r="DU165" i="1"/>
  <c r="DD165" i="1"/>
  <c r="CP165" i="1" s="1"/>
  <c r="DC165" i="1"/>
  <c r="CO165" i="1" s="1"/>
  <c r="DB165" i="1"/>
  <c r="V165" i="1" s="1"/>
  <c r="DA165" i="1"/>
  <c r="U165" i="1" s="1"/>
  <c r="CZ165" i="1"/>
  <c r="T165" i="1" s="1"/>
  <c r="BJ165" i="1" s="1"/>
  <c r="BX165" i="1" s="1"/>
  <c r="CY165" i="1"/>
  <c r="CX165" i="1"/>
  <c r="AF165" i="1" s="1"/>
  <c r="CW165" i="1"/>
  <c r="AE165" i="1" s="1"/>
  <c r="CV165" i="1"/>
  <c r="P165" i="1" s="1"/>
  <c r="CU165" i="1"/>
  <c r="AC165" i="1" s="1"/>
  <c r="CT165" i="1"/>
  <c r="N165" i="1" s="1"/>
  <c r="CS165" i="1"/>
  <c r="AA165" i="1" s="1"/>
  <c r="AN165" i="1"/>
  <c r="G165" i="1"/>
  <c r="EF168" i="1"/>
  <c r="EE168" i="1"/>
  <c r="ED168" i="1"/>
  <c r="EC168" i="1"/>
  <c r="EB168" i="1"/>
  <c r="DZ168" i="1"/>
  <c r="DY168" i="1"/>
  <c r="DX168" i="1"/>
  <c r="DW168" i="1"/>
  <c r="DV168" i="1"/>
  <c r="DU168" i="1"/>
  <c r="DD168" i="1"/>
  <c r="X168" i="1" s="1"/>
  <c r="DC168" i="1"/>
  <c r="CO168" i="1" s="1"/>
  <c r="DB168" i="1"/>
  <c r="CN168" i="1" s="1"/>
  <c r="DA168" i="1"/>
  <c r="CM168" i="1" s="1"/>
  <c r="CZ168" i="1"/>
  <c r="AH168" i="1" s="1"/>
  <c r="CY168" i="1"/>
  <c r="CX168" i="1"/>
  <c r="CJ168" i="1" s="1"/>
  <c r="CW168" i="1"/>
  <c r="Q168" i="1" s="1"/>
  <c r="CV168" i="1"/>
  <c r="CH168" i="1" s="1"/>
  <c r="CU168" i="1"/>
  <c r="AC168" i="1" s="1"/>
  <c r="CT168" i="1"/>
  <c r="N168" i="1" s="1"/>
  <c r="CS168" i="1"/>
  <c r="AN168" i="1"/>
  <c r="G168" i="1"/>
  <c r="EF154" i="1"/>
  <c r="EE154" i="1"/>
  <c r="ED154" i="1"/>
  <c r="EC154" i="1"/>
  <c r="EB154" i="1"/>
  <c r="DZ154" i="1"/>
  <c r="DY154" i="1"/>
  <c r="DX154" i="1"/>
  <c r="DW154" i="1"/>
  <c r="DV154" i="1"/>
  <c r="DU154" i="1"/>
  <c r="DD154" i="1"/>
  <c r="X154" i="1" s="1"/>
  <c r="DC154" i="1"/>
  <c r="CO154" i="1" s="1"/>
  <c r="DB154" i="1"/>
  <c r="CN154" i="1" s="1"/>
  <c r="DA154" i="1"/>
  <c r="AI154" i="1" s="1"/>
  <c r="CZ154" i="1"/>
  <c r="CL154" i="1" s="1"/>
  <c r="CY154" i="1"/>
  <c r="CX154" i="1"/>
  <c r="CJ154" i="1" s="1"/>
  <c r="CW154" i="1"/>
  <c r="Q154" i="1" s="1"/>
  <c r="CV154" i="1"/>
  <c r="P154" i="1" s="1"/>
  <c r="CU154" i="1"/>
  <c r="AC154" i="1" s="1"/>
  <c r="CT154" i="1"/>
  <c r="AB154" i="1" s="1"/>
  <c r="CS154" i="1"/>
  <c r="AA154" i="1" s="1"/>
  <c r="AN154" i="1"/>
  <c r="G154" i="1"/>
  <c r="EF72" i="1"/>
  <c r="EE72" i="1"/>
  <c r="ED72" i="1"/>
  <c r="EC72" i="1"/>
  <c r="EB72" i="1"/>
  <c r="DZ72" i="1"/>
  <c r="DY72" i="1"/>
  <c r="DX72" i="1"/>
  <c r="DW72" i="1"/>
  <c r="DV72" i="1"/>
  <c r="DU72" i="1"/>
  <c r="DD72" i="1"/>
  <c r="CP72" i="1" s="1"/>
  <c r="DC72" i="1"/>
  <c r="W72" i="1" s="1"/>
  <c r="DB72" i="1"/>
  <c r="V72" i="1" s="1"/>
  <c r="DA72" i="1"/>
  <c r="U72" i="1" s="1"/>
  <c r="CZ72" i="1"/>
  <c r="T72" i="1" s="1"/>
  <c r="CY72" i="1"/>
  <c r="CK72" i="1" s="1"/>
  <c r="CX72" i="1"/>
  <c r="CJ72" i="1" s="1"/>
  <c r="CW72" i="1"/>
  <c r="CI72" i="1" s="1"/>
  <c r="CV72" i="1"/>
  <c r="CH72" i="1" s="1"/>
  <c r="CU72" i="1"/>
  <c r="CG72" i="1" s="1"/>
  <c r="CT72" i="1"/>
  <c r="CF72" i="1" s="1"/>
  <c r="CS72" i="1"/>
  <c r="CE72" i="1" s="1"/>
  <c r="AN72" i="1"/>
  <c r="G72" i="1"/>
  <c r="D112" i="22"/>
  <c r="D111" i="22"/>
  <c r="D114" i="22"/>
  <c r="D110" i="22"/>
  <c r="D109" i="22"/>
  <c r="P106" i="22"/>
  <c r="B106" i="22"/>
  <c r="P90" i="22"/>
  <c r="AT5" i="8"/>
  <c r="AS5" i="8"/>
  <c r="AR5" i="8"/>
  <c r="AQ5" i="8"/>
  <c r="AO5" i="8"/>
  <c r="AM5" i="8"/>
  <c r="AK5" i="8"/>
  <c r="AJ5" i="8"/>
  <c r="AI5" i="8"/>
  <c r="DZ21" i="8"/>
  <c r="DY21" i="8"/>
  <c r="DX21" i="8"/>
  <c r="DW21" i="8"/>
  <c r="DV21" i="8"/>
  <c r="DT21" i="8"/>
  <c r="DS21" i="8"/>
  <c r="DR21" i="8"/>
  <c r="DQ21" i="8"/>
  <c r="DP21" i="8"/>
  <c r="DO21" i="8"/>
  <c r="CX21" i="8"/>
  <c r="CJ21" i="8" s="1"/>
  <c r="CW21" i="8"/>
  <c r="CI21" i="8" s="1"/>
  <c r="CV21" i="8"/>
  <c r="P21" i="8" s="1"/>
  <c r="CU21" i="8"/>
  <c r="AC21" i="8" s="1"/>
  <c r="CT21" i="8"/>
  <c r="CF21" i="8" s="1"/>
  <c r="CS21" i="8"/>
  <c r="CE21" i="8" s="1"/>
  <c r="CR21" i="8"/>
  <c r="CD21" i="8" s="1"/>
  <c r="CQ21" i="8"/>
  <c r="CC21" i="8" s="1"/>
  <c r="CP21" i="8"/>
  <c r="X21" i="8" s="1"/>
  <c r="CO21" i="8"/>
  <c r="W21" i="8" s="1"/>
  <c r="CN21" i="8"/>
  <c r="BZ21" i="8" s="1"/>
  <c r="CM21" i="8"/>
  <c r="U21" i="8" s="1"/>
  <c r="AH21" i="8"/>
  <c r="N133" i="60" l="1"/>
  <c r="CM225" i="1"/>
  <c r="J231" i="35" s="1"/>
  <c r="G231" i="35"/>
  <c r="S219" i="1"/>
  <c r="DM219" i="1" s="1"/>
  <c r="S154" i="1"/>
  <c r="CK165" i="1"/>
  <c r="S225" i="1"/>
  <c r="DM225" i="1" s="1"/>
  <c r="G171" i="35"/>
  <c r="G163" i="35"/>
  <c r="G170" i="35"/>
  <c r="G168" i="35"/>
  <c r="G161" i="35"/>
  <c r="T104" i="1"/>
  <c r="BJ104" i="1" s="1"/>
  <c r="BX104" i="1" s="1"/>
  <c r="AB104" i="1"/>
  <c r="AA104" i="1"/>
  <c r="U104" i="1"/>
  <c r="BK104" i="1" s="1"/>
  <c r="BY104" i="1" s="1"/>
  <c r="AH104" i="1"/>
  <c r="AL104" i="1"/>
  <c r="AJ104" i="1"/>
  <c r="CN104" i="1"/>
  <c r="CO104" i="1"/>
  <c r="AK104" i="1"/>
  <c r="AD104" i="1"/>
  <c r="AC104" i="1"/>
  <c r="AI104" i="1"/>
  <c r="CE104" i="1"/>
  <c r="CF104" i="1"/>
  <c r="CG104" i="1"/>
  <c r="CH104" i="1"/>
  <c r="CR104" i="1"/>
  <c r="DJ104" i="1"/>
  <c r="EL104" i="1" s="1"/>
  <c r="BF104" i="1"/>
  <c r="BT104" i="1" s="1"/>
  <c r="DQ104" i="1"/>
  <c r="ES104" i="1" s="1"/>
  <c r="BM104" i="1"/>
  <c r="CA104" i="1" s="1"/>
  <c r="DK104" i="1"/>
  <c r="BG104" i="1"/>
  <c r="BU104" i="1" s="1"/>
  <c r="DL104" i="1"/>
  <c r="EN104" i="1" s="1"/>
  <c r="DI104" i="1"/>
  <c r="EK104" i="1" s="1"/>
  <c r="BE104" i="1"/>
  <c r="BS104" i="1" s="1"/>
  <c r="DH104" i="1"/>
  <c r="EJ104" i="1" s="1"/>
  <c r="BD104" i="1"/>
  <c r="BR104" i="1" s="1"/>
  <c r="S104" i="1"/>
  <c r="CI104" i="1"/>
  <c r="EI104" i="1"/>
  <c r="X104" i="1"/>
  <c r="CJ104" i="1"/>
  <c r="DP104" i="1"/>
  <c r="ER104" i="1" s="1"/>
  <c r="BC104" i="1"/>
  <c r="BQ104" i="1" s="1"/>
  <c r="CK104" i="1"/>
  <c r="AE104" i="1"/>
  <c r="AF104" i="1"/>
  <c r="BH104" i="1" s="1"/>
  <c r="BV104" i="1" s="1"/>
  <c r="AJ219" i="1"/>
  <c r="AJ165" i="1"/>
  <c r="O225" i="1"/>
  <c r="DI225" i="1" s="1"/>
  <c r="EK225" i="1" s="1"/>
  <c r="U225" i="1"/>
  <c r="DO225" i="1" s="1"/>
  <c r="EQ225" i="1" s="1"/>
  <c r="V225" i="1"/>
  <c r="DP225" i="1" s="1"/>
  <c r="ER225" i="1" s="1"/>
  <c r="AI225" i="1"/>
  <c r="AJ225" i="1"/>
  <c r="V168" i="1"/>
  <c r="BL168" i="1" s="1"/>
  <c r="BZ168" i="1" s="1"/>
  <c r="AJ168" i="1"/>
  <c r="T225" i="1"/>
  <c r="BJ225" i="1" s="1"/>
  <c r="BX225" i="1" s="1"/>
  <c r="AF225" i="1"/>
  <c r="T219" i="1"/>
  <c r="BJ219" i="1" s="1"/>
  <c r="BX219" i="1" s="1"/>
  <c r="M219" i="1"/>
  <c r="DG219" i="1" s="1"/>
  <c r="EI219" i="1" s="1"/>
  <c r="AH225" i="1"/>
  <c r="CR225" i="1"/>
  <c r="CE225" i="1"/>
  <c r="Q225" i="1"/>
  <c r="DK225" i="1" s="1"/>
  <c r="EM225" i="1" s="1"/>
  <c r="CK225" i="1"/>
  <c r="R225" i="1"/>
  <c r="DL225" i="1" s="1"/>
  <c r="EN225" i="1" s="1"/>
  <c r="DH225" i="1"/>
  <c r="EJ225" i="1" s="1"/>
  <c r="BD225" i="1"/>
  <c r="BR225" i="1" s="1"/>
  <c r="DJ225" i="1"/>
  <c r="EL225" i="1" s="1"/>
  <c r="BF225" i="1"/>
  <c r="BT225" i="1" s="1"/>
  <c r="CF225" i="1"/>
  <c r="AI165" i="1"/>
  <c r="AK225" i="1"/>
  <c r="CG225" i="1"/>
  <c r="AL225" i="1"/>
  <c r="CH225" i="1"/>
  <c r="CI225" i="1"/>
  <c r="W225" i="1"/>
  <c r="X225" i="1"/>
  <c r="AB225" i="1"/>
  <c r="M225" i="1"/>
  <c r="AD225" i="1"/>
  <c r="U219" i="1"/>
  <c r="DO219" i="1" s="1"/>
  <c r="EQ219" i="1" s="1"/>
  <c r="AH219" i="1"/>
  <c r="CE165" i="1"/>
  <c r="AF219" i="1"/>
  <c r="AI219" i="1"/>
  <c r="AK219" i="1"/>
  <c r="CE219" i="1"/>
  <c r="CR219" i="1"/>
  <c r="CF219" i="1"/>
  <c r="R219" i="1"/>
  <c r="DL219" i="1" s="1"/>
  <c r="EN219" i="1" s="1"/>
  <c r="CK219" i="1"/>
  <c r="CN219" i="1"/>
  <c r="O219" i="1"/>
  <c r="DI219" i="1" s="1"/>
  <c r="EK219" i="1" s="1"/>
  <c r="CP219" i="1"/>
  <c r="AB219" i="1"/>
  <c r="DK219" i="1"/>
  <c r="EM219" i="1" s="1"/>
  <c r="BG219" i="1"/>
  <c r="BU219" i="1" s="1"/>
  <c r="BN219" i="1"/>
  <c r="CB219" i="1" s="1"/>
  <c r="DR219" i="1"/>
  <c r="ET219" i="1" s="1"/>
  <c r="BL219" i="1"/>
  <c r="BZ219" i="1" s="1"/>
  <c r="DP219" i="1"/>
  <c r="ER219" i="1" s="1"/>
  <c r="DJ219" i="1"/>
  <c r="EL219" i="1" s="1"/>
  <c r="BF219" i="1"/>
  <c r="BT219" i="1" s="1"/>
  <c r="CG219" i="1"/>
  <c r="AL219" i="1"/>
  <c r="CH219" i="1"/>
  <c r="AL168" i="1"/>
  <c r="CI219" i="1"/>
  <c r="W219" i="1"/>
  <c r="AD219" i="1"/>
  <c r="N219" i="1"/>
  <c r="AE219" i="1"/>
  <c r="AH165" i="1"/>
  <c r="AD21" i="8"/>
  <c r="P168" i="1"/>
  <c r="DJ168" i="1" s="1"/>
  <c r="EL168" i="1" s="1"/>
  <c r="R168" i="1"/>
  <c r="DL168" i="1" s="1"/>
  <c r="EN168" i="1" s="1"/>
  <c r="K21" i="8"/>
  <c r="DE21" i="8" s="1"/>
  <c r="EG21" i="8" s="1"/>
  <c r="U168" i="1"/>
  <c r="BK168" i="1" s="1"/>
  <c r="BY168" i="1" s="1"/>
  <c r="CP168" i="1"/>
  <c r="W168" i="1"/>
  <c r="DQ168" i="1" s="1"/>
  <c r="ES168" i="1" s="1"/>
  <c r="AF154" i="1"/>
  <c r="AD168" i="1"/>
  <c r="R165" i="1"/>
  <c r="DL165" i="1" s="1"/>
  <c r="EN165" i="1" s="1"/>
  <c r="AJ154" i="1"/>
  <c r="AF168" i="1"/>
  <c r="AK165" i="1"/>
  <c r="AB165" i="1"/>
  <c r="CR168" i="1"/>
  <c r="DP165" i="1"/>
  <c r="ER165" i="1" s="1"/>
  <c r="BL165" i="1"/>
  <c r="BZ165" i="1" s="1"/>
  <c r="O165" i="1"/>
  <c r="Q165" i="1"/>
  <c r="DK165" i="1" s="1"/>
  <c r="EM165" i="1" s="1"/>
  <c r="CG165" i="1"/>
  <c r="CL165" i="1"/>
  <c r="S165" i="1"/>
  <c r="CM165" i="1"/>
  <c r="CN165" i="1"/>
  <c r="CR165" i="1"/>
  <c r="DH165" i="1"/>
  <c r="EJ165" i="1" s="1"/>
  <c r="BD165" i="1"/>
  <c r="BR165" i="1" s="1"/>
  <c r="DJ165" i="1"/>
  <c r="EL165" i="1" s="1"/>
  <c r="BF165" i="1"/>
  <c r="BT165" i="1" s="1"/>
  <c r="BK165" i="1"/>
  <c r="BY165" i="1" s="1"/>
  <c r="DO165" i="1"/>
  <c r="EQ165" i="1" s="1"/>
  <c r="CF165" i="1"/>
  <c r="DN165" i="1"/>
  <c r="EP165" i="1" s="1"/>
  <c r="CF154" i="1"/>
  <c r="AA168" i="1"/>
  <c r="AL165" i="1"/>
  <c r="CH165" i="1"/>
  <c r="AB168" i="1"/>
  <c r="CI165" i="1"/>
  <c r="W165" i="1"/>
  <c r="CJ165" i="1"/>
  <c r="O72" i="1"/>
  <c r="DI72" i="1" s="1"/>
  <c r="EK72" i="1" s="1"/>
  <c r="X165" i="1"/>
  <c r="CF168" i="1"/>
  <c r="M165" i="1"/>
  <c r="AD165" i="1"/>
  <c r="M168" i="1"/>
  <c r="DG168" i="1" s="1"/>
  <c r="EI168" i="1" s="1"/>
  <c r="CI168" i="1"/>
  <c r="O168" i="1"/>
  <c r="DI168" i="1" s="1"/>
  <c r="EK168" i="1" s="1"/>
  <c r="CE168" i="1"/>
  <c r="DR168" i="1"/>
  <c r="ET168" i="1" s="1"/>
  <c r="BN168" i="1"/>
  <c r="CB168" i="1" s="1"/>
  <c r="DH168" i="1"/>
  <c r="EJ168" i="1" s="1"/>
  <c r="BD168" i="1"/>
  <c r="BR168" i="1" s="1"/>
  <c r="DK168" i="1"/>
  <c r="EM168" i="1" s="1"/>
  <c r="BG168" i="1"/>
  <c r="BU168" i="1" s="1"/>
  <c r="AI168" i="1"/>
  <c r="S168" i="1"/>
  <c r="T168" i="1"/>
  <c r="AK168" i="1"/>
  <c r="CG168" i="1"/>
  <c r="CK168" i="1"/>
  <c r="CL168" i="1"/>
  <c r="M154" i="1"/>
  <c r="DG154" i="1" s="1"/>
  <c r="EI154" i="1" s="1"/>
  <c r="O154" i="1"/>
  <c r="DI154" i="1" s="1"/>
  <c r="EK154" i="1" s="1"/>
  <c r="AH154" i="1"/>
  <c r="AE168" i="1"/>
  <c r="CE154" i="1"/>
  <c r="AD154" i="1"/>
  <c r="AK154" i="1"/>
  <c r="AL154" i="1"/>
  <c r="CM154" i="1"/>
  <c r="CP154" i="1"/>
  <c r="U154" i="1"/>
  <c r="BK154" i="1" s="1"/>
  <c r="BY154" i="1" s="1"/>
  <c r="R154" i="1"/>
  <c r="DL154" i="1" s="1"/>
  <c r="EN154" i="1" s="1"/>
  <c r="T154" i="1"/>
  <c r="BJ154" i="1" s="1"/>
  <c r="BX154" i="1" s="1"/>
  <c r="V154" i="1"/>
  <c r="N154" i="1"/>
  <c r="DH154" i="1" s="1"/>
  <c r="EJ154" i="1" s="1"/>
  <c r="DJ154" i="1"/>
  <c r="EL154" i="1" s="1"/>
  <c r="BF154" i="1"/>
  <c r="BT154" i="1" s="1"/>
  <c r="BN154" i="1"/>
  <c r="CB154" i="1" s="1"/>
  <c r="DR154" i="1"/>
  <c r="ET154" i="1" s="1"/>
  <c r="DK154" i="1"/>
  <c r="EM154" i="1" s="1"/>
  <c r="BG154" i="1"/>
  <c r="BU154" i="1" s="1"/>
  <c r="DM154" i="1"/>
  <c r="CG154" i="1"/>
  <c r="CI154" i="1"/>
  <c r="W154" i="1"/>
  <c r="CH154" i="1"/>
  <c r="CK154" i="1"/>
  <c r="AE154" i="1"/>
  <c r="CR154" i="1"/>
  <c r="N72" i="1"/>
  <c r="DH72" i="1" s="1"/>
  <c r="EJ72" i="1" s="1"/>
  <c r="H21" i="8"/>
  <c r="DB21" i="8" s="1"/>
  <c r="ED21" i="8" s="1"/>
  <c r="I21" i="8"/>
  <c r="DC21" i="8" s="1"/>
  <c r="EE21" i="8" s="1"/>
  <c r="P72" i="1"/>
  <c r="DJ72" i="1" s="1"/>
  <c r="EL72" i="1" s="1"/>
  <c r="Q72" i="1"/>
  <c r="DK72" i="1" s="1"/>
  <c r="EM72" i="1" s="1"/>
  <c r="AC72" i="1"/>
  <c r="R72" i="1"/>
  <c r="DL72" i="1" s="1"/>
  <c r="EN72" i="1" s="1"/>
  <c r="S72" i="1"/>
  <c r="DM72" i="1" s="1"/>
  <c r="AA72" i="1"/>
  <c r="CH21" i="8"/>
  <c r="AB72" i="1"/>
  <c r="AD72" i="1"/>
  <c r="AE72" i="1"/>
  <c r="M72" i="1"/>
  <c r="BC72" i="1" s="1"/>
  <c r="BQ72" i="1" s="1"/>
  <c r="M21" i="8"/>
  <c r="DG21" i="8" s="1"/>
  <c r="DN72" i="1"/>
  <c r="EP72" i="1" s="1"/>
  <c r="BJ72" i="1"/>
  <c r="BX72" i="1" s="1"/>
  <c r="AF72" i="1"/>
  <c r="AH72" i="1"/>
  <c r="CL72" i="1"/>
  <c r="AI72" i="1"/>
  <c r="CM72" i="1"/>
  <c r="AJ72" i="1"/>
  <c r="CN72" i="1"/>
  <c r="BM72" i="1"/>
  <c r="CA72" i="1" s="1"/>
  <c r="DQ72" i="1"/>
  <c r="ES72" i="1" s="1"/>
  <c r="BL72" i="1"/>
  <c r="BZ72" i="1" s="1"/>
  <c r="DP72" i="1"/>
  <c r="ER72" i="1" s="1"/>
  <c r="BK72" i="1"/>
  <c r="BY72" i="1" s="1"/>
  <c r="DO72" i="1"/>
  <c r="EQ72" i="1" s="1"/>
  <c r="CO72" i="1"/>
  <c r="CR72" i="1"/>
  <c r="AK72" i="1"/>
  <c r="AL72" i="1"/>
  <c r="X72" i="1"/>
  <c r="N21" i="8"/>
  <c r="DH21" i="8" s="1"/>
  <c r="EJ21" i="8" s="1"/>
  <c r="V21" i="8"/>
  <c r="Z21" i="8"/>
  <c r="Y21" i="8"/>
  <c r="AB21" i="8"/>
  <c r="J21" i="8"/>
  <c r="DD21" i="8" s="1"/>
  <c r="EF21" i="8" s="1"/>
  <c r="L21" i="8"/>
  <c r="DF21" i="8" s="1"/>
  <c r="EH21" i="8" s="1"/>
  <c r="CG21" i="8"/>
  <c r="O21" i="8"/>
  <c r="CL21" i="8"/>
  <c r="BF21" i="8"/>
  <c r="BT21" i="8" s="1"/>
  <c r="DJ21" i="8"/>
  <c r="EL21" i="8" s="1"/>
  <c r="BY21" i="8"/>
  <c r="AE21" i="8"/>
  <c r="CB21" i="8"/>
  <c r="Q21" i="8"/>
  <c r="AF21" i="8"/>
  <c r="CA21" i="8"/>
  <c r="R21" i="8"/>
  <c r="G21" i="8"/>
  <c r="L430" i="2"/>
  <c r="L231" i="35" l="1"/>
  <c r="K231" i="35"/>
  <c r="J168" i="35"/>
  <c r="J161" i="35"/>
  <c r="J170" i="35"/>
  <c r="J163" i="35"/>
  <c r="J171" i="35"/>
  <c r="DN104" i="1"/>
  <c r="EP104" i="1" s="1"/>
  <c r="DO104" i="1"/>
  <c r="EQ104" i="1" s="1"/>
  <c r="DP168" i="1"/>
  <c r="ER168" i="1" s="1"/>
  <c r="L104" i="1"/>
  <c r="CD104" i="1"/>
  <c r="BK219" i="1"/>
  <c r="BY219" i="1" s="1"/>
  <c r="DM104" i="1"/>
  <c r="EM104" i="1"/>
  <c r="DR104" i="1"/>
  <c r="ET104" i="1" s="1"/>
  <c r="BN104" i="1"/>
  <c r="CB104" i="1" s="1"/>
  <c r="AX21" i="8"/>
  <c r="BL21" i="8" s="1"/>
  <c r="BE225" i="1"/>
  <c r="BS225" i="1" s="1"/>
  <c r="BL225" i="1"/>
  <c r="BZ225" i="1" s="1"/>
  <c r="DN219" i="1"/>
  <c r="EP219" i="1" s="1"/>
  <c r="BC219" i="1"/>
  <c r="BQ219" i="1" s="1"/>
  <c r="BK225" i="1"/>
  <c r="BY225" i="1" s="1"/>
  <c r="DN225" i="1"/>
  <c r="EP225" i="1" s="1"/>
  <c r="BA21" i="8"/>
  <c r="BO21" i="8" s="1"/>
  <c r="CD225" i="1"/>
  <c r="BH225" i="1"/>
  <c r="BV225" i="1" s="1"/>
  <c r="BG225" i="1"/>
  <c r="BU225" i="1" s="1"/>
  <c r="DG225" i="1"/>
  <c r="L225" i="1"/>
  <c r="BC225" i="1"/>
  <c r="BQ225" i="1" s="1"/>
  <c r="DR225" i="1"/>
  <c r="ET225" i="1" s="1"/>
  <c r="BN225" i="1"/>
  <c r="CB225" i="1" s="1"/>
  <c r="DQ225" i="1"/>
  <c r="ES225" i="1" s="1"/>
  <c r="BM225" i="1"/>
  <c r="CA225" i="1" s="1"/>
  <c r="DO168" i="1"/>
  <c r="EQ168" i="1" s="1"/>
  <c r="BH168" i="1"/>
  <c r="BV168" i="1" s="1"/>
  <c r="BF168" i="1"/>
  <c r="BT168" i="1" s="1"/>
  <c r="L219" i="1"/>
  <c r="BE219" i="1"/>
  <c r="BS219" i="1" s="1"/>
  <c r="BH219" i="1"/>
  <c r="BV219" i="1" s="1"/>
  <c r="CD219" i="1"/>
  <c r="BM219" i="1"/>
  <c r="CA219" i="1" s="1"/>
  <c r="DQ219" i="1"/>
  <c r="ES219" i="1" s="1"/>
  <c r="BE72" i="1"/>
  <c r="BS72" i="1" s="1"/>
  <c r="DH219" i="1"/>
  <c r="BD219" i="1"/>
  <c r="BR219" i="1" s="1"/>
  <c r="BC154" i="1"/>
  <c r="BQ154" i="1" s="1"/>
  <c r="CD168" i="1"/>
  <c r="BM168" i="1"/>
  <c r="CA168" i="1" s="1"/>
  <c r="BH165" i="1"/>
  <c r="BV165" i="1" s="1"/>
  <c r="CD165" i="1"/>
  <c r="DM165" i="1"/>
  <c r="BG165" i="1"/>
  <c r="BU165" i="1" s="1"/>
  <c r="DI165" i="1"/>
  <c r="EK165" i="1" s="1"/>
  <c r="BE165" i="1"/>
  <c r="BS165" i="1" s="1"/>
  <c r="DR165" i="1"/>
  <c r="ET165" i="1" s="1"/>
  <c r="BN165" i="1"/>
  <c r="CB165" i="1" s="1"/>
  <c r="BC168" i="1"/>
  <c r="BQ168" i="1" s="1"/>
  <c r="BM165" i="1"/>
  <c r="CA165" i="1" s="1"/>
  <c r="DQ165" i="1"/>
  <c r="ES165" i="1" s="1"/>
  <c r="BE154" i="1"/>
  <c r="BS154" i="1" s="1"/>
  <c r="DG165" i="1"/>
  <c r="L165" i="1"/>
  <c r="BC165" i="1"/>
  <c r="BQ165" i="1" s="1"/>
  <c r="BE168" i="1"/>
  <c r="BS168" i="1" s="1"/>
  <c r="BJ168" i="1"/>
  <c r="BX168" i="1" s="1"/>
  <c r="DN168" i="1"/>
  <c r="EP168" i="1" s="1"/>
  <c r="DM168" i="1"/>
  <c r="L168" i="1"/>
  <c r="AY21" i="8"/>
  <c r="BM21" i="8" s="1"/>
  <c r="DO154" i="1"/>
  <c r="EQ154" i="1" s="1"/>
  <c r="BL154" i="1"/>
  <c r="BZ154" i="1" s="1"/>
  <c r="DP154" i="1"/>
  <c r="ER154" i="1" s="1"/>
  <c r="DN154" i="1"/>
  <c r="EP154" i="1" s="1"/>
  <c r="BH154" i="1"/>
  <c r="BV154" i="1" s="1"/>
  <c r="BD154" i="1"/>
  <c r="BR154" i="1" s="1"/>
  <c r="CD154" i="1"/>
  <c r="BM154" i="1"/>
  <c r="CA154" i="1" s="1"/>
  <c r="DQ154" i="1"/>
  <c r="ES154" i="1" s="1"/>
  <c r="BD72" i="1"/>
  <c r="BR72" i="1" s="1"/>
  <c r="L154" i="1"/>
  <c r="BF72" i="1"/>
  <c r="BT72" i="1" s="1"/>
  <c r="BG72" i="1"/>
  <c r="BU72" i="1" s="1"/>
  <c r="BH72" i="1"/>
  <c r="BV72" i="1" s="1"/>
  <c r="DG72" i="1"/>
  <c r="EI72" i="1" s="1"/>
  <c r="CD72" i="1"/>
  <c r="DR72" i="1"/>
  <c r="ET72" i="1" s="1"/>
  <c r="BN72" i="1"/>
  <c r="CB72" i="1" s="1"/>
  <c r="L72" i="1"/>
  <c r="BD21" i="8"/>
  <c r="BR21" i="8" s="1"/>
  <c r="BB21" i="8"/>
  <c r="BP21" i="8" s="1"/>
  <c r="AZ21" i="8"/>
  <c r="BN21" i="8" s="1"/>
  <c r="DI21" i="8"/>
  <c r="EK21" i="8" s="1"/>
  <c r="BE21" i="8"/>
  <c r="BS21" i="8" s="1"/>
  <c r="DL21" i="8"/>
  <c r="EN21" i="8" s="1"/>
  <c r="BH21" i="8"/>
  <c r="BV21" i="8" s="1"/>
  <c r="DK21" i="8"/>
  <c r="EM21" i="8" s="1"/>
  <c r="BG21" i="8"/>
  <c r="BU21" i="8" s="1"/>
  <c r="BX21" i="8"/>
  <c r="DA21" i="8"/>
  <c r="F21" i="8"/>
  <c r="AW21" i="8"/>
  <c r="BK21" i="8" s="1"/>
  <c r="L391" i="2"/>
  <c r="L412" i="2"/>
  <c r="L393" i="2"/>
  <c r="L392" i="2"/>
  <c r="M231" i="35" l="1"/>
  <c r="K171" i="35"/>
  <c r="DF104" i="1"/>
  <c r="DF225" i="1"/>
  <c r="EI225" i="1"/>
  <c r="DF219" i="1"/>
  <c r="EJ219" i="1"/>
  <c r="DF165" i="1"/>
  <c r="EI165" i="1"/>
  <c r="DF168" i="1"/>
  <c r="DF154" i="1"/>
  <c r="DF72" i="1"/>
  <c r="CZ21" i="8"/>
  <c r="EC21" i="8"/>
  <c r="Y387" i="2" l="1"/>
  <c r="AA387" i="2"/>
  <c r="Y388" i="2"/>
  <c r="AA388" i="2"/>
  <c r="Y389" i="2"/>
  <c r="AA389" i="2"/>
  <c r="Y390" i="2"/>
  <c r="AA390" i="2"/>
  <c r="Y391" i="2"/>
  <c r="AA391" i="2"/>
  <c r="Y392" i="2"/>
  <c r="AA392" i="2"/>
  <c r="Y393" i="2"/>
  <c r="AA393" i="2"/>
  <c r="Y394" i="2"/>
  <c r="AA394" i="2"/>
  <c r="Y395" i="2"/>
  <c r="AA395" i="2"/>
  <c r="Y396" i="2"/>
  <c r="AA396" i="2"/>
  <c r="Y397" i="2"/>
  <c r="AA397" i="2"/>
  <c r="Y398" i="2"/>
  <c r="AA398" i="2"/>
  <c r="Y399" i="2"/>
  <c r="AA399" i="2"/>
  <c r="Y400" i="2"/>
  <c r="AA400" i="2"/>
  <c r="Y401" i="2"/>
  <c r="AA401" i="2"/>
  <c r="Y402" i="2"/>
  <c r="AA402" i="2"/>
  <c r="Y403" i="2"/>
  <c r="AA403" i="2"/>
  <c r="Y404" i="2"/>
  <c r="AA404" i="2"/>
  <c r="Y405" i="2"/>
  <c r="AA405" i="2"/>
  <c r="Y406" i="2"/>
  <c r="AA406" i="2"/>
  <c r="Y407" i="2"/>
  <c r="AA407" i="2"/>
  <c r="Y408" i="2"/>
  <c r="AA408" i="2"/>
  <c r="Y409" i="2"/>
  <c r="AA409" i="2"/>
  <c r="Y410" i="2"/>
  <c r="AA410" i="2"/>
  <c r="Y411" i="2"/>
  <c r="AA411" i="2"/>
  <c r="Y412" i="2"/>
  <c r="AA412" i="2"/>
  <c r="Y413" i="2"/>
  <c r="AA413" i="2"/>
  <c r="Y414" i="2"/>
  <c r="AA414" i="2"/>
  <c r="Y415" i="2"/>
  <c r="AA415" i="2"/>
  <c r="Y416" i="2"/>
  <c r="AA416" i="2"/>
  <c r="Y417" i="2"/>
  <c r="AA417" i="2"/>
  <c r="Y418" i="2"/>
  <c r="AA418" i="2"/>
  <c r="Y419" i="2"/>
  <c r="AA419" i="2"/>
  <c r="Y420" i="2"/>
  <c r="AA420" i="2"/>
  <c r="Y421" i="2"/>
  <c r="AA421" i="2"/>
  <c r="Y422" i="2"/>
  <c r="AA422" i="2"/>
  <c r="Y423" i="2"/>
  <c r="AA423" i="2"/>
  <c r="Y424" i="2"/>
  <c r="AA424" i="2"/>
  <c r="Y425" i="2"/>
  <c r="AA425" i="2"/>
  <c r="Y426" i="2"/>
  <c r="AA426" i="2"/>
  <c r="Y427" i="2"/>
  <c r="AA427" i="2"/>
  <c r="Y428" i="2"/>
  <c r="AA428" i="2"/>
  <c r="Y429" i="2"/>
  <c r="AA429" i="2"/>
  <c r="Y430" i="2"/>
  <c r="AA430" i="2"/>
  <c r="Y431" i="2"/>
  <c r="AA431" i="2"/>
  <c r="Y432" i="2"/>
  <c r="AA432" i="2"/>
  <c r="Y433" i="2"/>
  <c r="AA433" i="2"/>
  <c r="K107" i="60" s="1"/>
  <c r="Y434" i="2"/>
  <c r="AA434" i="2"/>
  <c r="K108" i="60" s="1"/>
  <c r="Y435" i="2"/>
  <c r="AA435" i="2"/>
  <c r="K109" i="60" s="1"/>
  <c r="Y436" i="2"/>
  <c r="AA436" i="2"/>
  <c r="K110" i="60" s="1"/>
  <c r="Y437" i="2"/>
  <c r="AA437" i="2"/>
  <c r="Y438" i="2"/>
  <c r="AA438" i="2"/>
  <c r="Y439" i="2"/>
  <c r="AA439" i="2"/>
  <c r="Y440" i="2"/>
  <c r="AA440" i="2"/>
  <c r="Y441" i="2"/>
  <c r="AA441" i="2"/>
  <c r="Y442" i="2"/>
  <c r="AA442" i="2"/>
  <c r="Y443" i="2"/>
  <c r="AA443" i="2"/>
  <c r="Y444" i="2"/>
  <c r="AA444" i="2"/>
  <c r="Y445" i="2"/>
  <c r="AA445" i="2"/>
  <c r="Y386" i="2"/>
  <c r="AA386" i="2"/>
  <c r="S386" i="2"/>
  <c r="T386" i="2" s="1"/>
  <c r="S387" i="2"/>
  <c r="T387" i="2" s="1"/>
  <c r="S388" i="2"/>
  <c r="T388" i="2" s="1"/>
  <c r="S389" i="2"/>
  <c r="T389" i="2" s="1"/>
  <c r="S390" i="2"/>
  <c r="T390" i="2" s="1"/>
  <c r="S391" i="2"/>
  <c r="T391" i="2" s="1"/>
  <c r="S392" i="2"/>
  <c r="T392" i="2" s="1"/>
  <c r="S393" i="2"/>
  <c r="T393" i="2" s="1"/>
  <c r="S394" i="2"/>
  <c r="T394" i="2" s="1"/>
  <c r="S395" i="2"/>
  <c r="T395" i="2" s="1"/>
  <c r="S396" i="2"/>
  <c r="T396" i="2" s="1"/>
  <c r="S397" i="2"/>
  <c r="T397" i="2" s="1"/>
  <c r="S398" i="2"/>
  <c r="T398" i="2" s="1"/>
  <c r="S399" i="2"/>
  <c r="T399" i="2" s="1"/>
  <c r="S400" i="2"/>
  <c r="T400" i="2" s="1"/>
  <c r="S401" i="2"/>
  <c r="T401" i="2" s="1"/>
  <c r="S402" i="2"/>
  <c r="T402" i="2" s="1"/>
  <c r="S403" i="2"/>
  <c r="T403" i="2" s="1"/>
  <c r="S404" i="2"/>
  <c r="T404" i="2" s="1"/>
  <c r="S405" i="2"/>
  <c r="T405" i="2" s="1"/>
  <c r="S406" i="2"/>
  <c r="T406" i="2" s="1"/>
  <c r="S407" i="2"/>
  <c r="T407" i="2" s="1"/>
  <c r="S408" i="2"/>
  <c r="T408" i="2" s="1"/>
  <c r="S409" i="2"/>
  <c r="T409" i="2" s="1"/>
  <c r="S410" i="2"/>
  <c r="T410" i="2" s="1"/>
  <c r="S411" i="2"/>
  <c r="T411" i="2" s="1"/>
  <c r="S412" i="2"/>
  <c r="T412" i="2" s="1"/>
  <c r="S413" i="2"/>
  <c r="T413" i="2" s="1"/>
  <c r="S414" i="2"/>
  <c r="T414" i="2" s="1"/>
  <c r="S415" i="2"/>
  <c r="T415" i="2" s="1"/>
  <c r="S416" i="2"/>
  <c r="T416" i="2" s="1"/>
  <c r="S417" i="2"/>
  <c r="T417" i="2" s="1"/>
  <c r="S418" i="2"/>
  <c r="T418" i="2" s="1"/>
  <c r="S419" i="2"/>
  <c r="T419" i="2" s="1"/>
  <c r="S420" i="2"/>
  <c r="T420" i="2" s="1"/>
  <c r="S421" i="2"/>
  <c r="T421" i="2" s="1"/>
  <c r="S422" i="2"/>
  <c r="T422" i="2" s="1"/>
  <c r="S423" i="2"/>
  <c r="T423" i="2" s="1"/>
  <c r="S424" i="2"/>
  <c r="T424" i="2" s="1"/>
  <c r="S425" i="2"/>
  <c r="T425" i="2" s="1"/>
  <c r="S426" i="2"/>
  <c r="T426" i="2" s="1"/>
  <c r="S427" i="2"/>
  <c r="T427" i="2" s="1"/>
  <c r="S428" i="2"/>
  <c r="T428" i="2" s="1"/>
  <c r="S429" i="2"/>
  <c r="T429" i="2" s="1"/>
  <c r="S430" i="2"/>
  <c r="T430" i="2" s="1"/>
  <c r="S431" i="2"/>
  <c r="T431" i="2" s="1"/>
  <c r="S432" i="2"/>
  <c r="T432" i="2" s="1"/>
  <c r="S433" i="2"/>
  <c r="T433" i="2" s="1"/>
  <c r="S434" i="2"/>
  <c r="T434" i="2" s="1"/>
  <c r="S435" i="2"/>
  <c r="T435" i="2" s="1"/>
  <c r="S436" i="2"/>
  <c r="T436" i="2" s="1"/>
  <c r="S437" i="2"/>
  <c r="T437" i="2" s="1"/>
  <c r="S438" i="2"/>
  <c r="T438" i="2" s="1"/>
  <c r="S439" i="2"/>
  <c r="T439" i="2" s="1"/>
  <c r="S440" i="2"/>
  <c r="T440" i="2" s="1"/>
  <c r="S441" i="2"/>
  <c r="T441" i="2" s="1"/>
  <c r="S442" i="2"/>
  <c r="T442" i="2" s="1"/>
  <c r="S443" i="2"/>
  <c r="T443" i="2" s="1"/>
  <c r="S444" i="2"/>
  <c r="T444" i="2" s="1"/>
  <c r="S445" i="2"/>
  <c r="T445" i="2" s="1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E386" i="2"/>
  <c r="E387" i="2"/>
  <c r="E388" i="2"/>
  <c r="E389" i="2"/>
  <c r="E390" i="2"/>
  <c r="E391" i="2"/>
  <c r="E392" i="2"/>
  <c r="E393" i="2"/>
  <c r="E394" i="2"/>
  <c r="E396" i="2"/>
  <c r="E397" i="2"/>
  <c r="E400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O386" i="2"/>
  <c r="O387" i="2"/>
  <c r="O388" i="2"/>
  <c r="O389" i="2"/>
  <c r="O390" i="2"/>
  <c r="O391" i="2"/>
  <c r="O392" i="2"/>
  <c r="O393" i="2"/>
  <c r="P393" i="2" s="1"/>
  <c r="Q393" i="2" s="1"/>
  <c r="O394" i="2"/>
  <c r="O395" i="2"/>
  <c r="X395" i="2" s="1"/>
  <c r="O396" i="2"/>
  <c r="O397" i="2"/>
  <c r="X397" i="2" s="1"/>
  <c r="O398" i="2"/>
  <c r="U398" i="2" s="1"/>
  <c r="O399" i="2"/>
  <c r="X399" i="2" s="1"/>
  <c r="O400" i="2"/>
  <c r="X400" i="2" s="1"/>
  <c r="O401" i="2"/>
  <c r="U401" i="2" s="1"/>
  <c r="O402" i="2"/>
  <c r="O403" i="2"/>
  <c r="X403" i="2" s="1"/>
  <c r="O404" i="2"/>
  <c r="P404" i="2" s="1"/>
  <c r="Q404" i="2" s="1"/>
  <c r="O405" i="2"/>
  <c r="O406" i="2"/>
  <c r="O407" i="2"/>
  <c r="O408" i="2"/>
  <c r="O409" i="2"/>
  <c r="U409" i="2" s="1"/>
  <c r="O410" i="2"/>
  <c r="O411" i="2"/>
  <c r="O412" i="2"/>
  <c r="X412" i="2" s="1"/>
  <c r="O413" i="2"/>
  <c r="O414" i="2"/>
  <c r="O415" i="2"/>
  <c r="O416" i="2"/>
  <c r="O417" i="2"/>
  <c r="O418" i="2"/>
  <c r="P418" i="2" s="1"/>
  <c r="Q418" i="2" s="1"/>
  <c r="O419" i="2"/>
  <c r="O420" i="2"/>
  <c r="P420" i="2" s="1"/>
  <c r="Q420" i="2" s="1"/>
  <c r="O421" i="2"/>
  <c r="P421" i="2" s="1"/>
  <c r="Q421" i="2" s="1"/>
  <c r="O422" i="2"/>
  <c r="P422" i="2" s="1"/>
  <c r="Q422" i="2" s="1"/>
  <c r="O423" i="2"/>
  <c r="X423" i="2" s="1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X445" i="2" s="1"/>
  <c r="L106" i="2"/>
  <c r="L6" i="2"/>
  <c r="L219" i="2"/>
  <c r="O219" i="2" s="1"/>
  <c r="L14" i="2"/>
  <c r="I3" i="2"/>
  <c r="Q10" i="62"/>
  <c r="B82" i="58"/>
  <c r="H106" i="51"/>
  <c r="R27" i="51"/>
  <c r="B27" i="51"/>
  <c r="I55" i="53"/>
  <c r="I59" i="53"/>
  <c r="J170" i="48"/>
  <c r="J153" i="48"/>
  <c r="J154" i="48"/>
  <c r="J155" i="48"/>
  <c r="J156" i="48"/>
  <c r="J157" i="48"/>
  <c r="J158" i="48"/>
  <c r="J159" i="48"/>
  <c r="J160" i="48"/>
  <c r="J161" i="48"/>
  <c r="J162" i="48"/>
  <c r="J163" i="48"/>
  <c r="J164" i="48"/>
  <c r="J165" i="48"/>
  <c r="J166" i="48"/>
  <c r="J167" i="48"/>
  <c r="J168" i="48"/>
  <c r="J169" i="48"/>
  <c r="L170" i="48"/>
  <c r="L123" i="48"/>
  <c r="L75" i="48"/>
  <c r="Z28" i="48"/>
  <c r="L28" i="48"/>
  <c r="L300" i="2"/>
  <c r="O300" i="2" s="1"/>
  <c r="U300" i="2" s="1"/>
  <c r="V300" i="2" s="1"/>
  <c r="L299" i="2"/>
  <c r="O299" i="2" s="1"/>
  <c r="O272" i="2"/>
  <c r="O271" i="2"/>
  <c r="A127" i="35"/>
  <c r="A128" i="35" s="1"/>
  <c r="A129" i="35" s="1"/>
  <c r="A130" i="35" s="1"/>
  <c r="A131" i="35" s="1"/>
  <c r="A132" i="35" s="1"/>
  <c r="A133" i="35" s="1"/>
  <c r="A134" i="35" s="1"/>
  <c r="A135" i="35" s="1"/>
  <c r="A136" i="35" s="1"/>
  <c r="A137" i="35" s="1"/>
  <c r="A138" i="35" s="1"/>
  <c r="A139" i="35" s="1"/>
  <c r="A140" i="35" s="1"/>
  <c r="A141" i="35" s="1"/>
  <c r="A142" i="35" s="1"/>
  <c r="A143" i="35"/>
  <c r="N371" i="2"/>
  <c r="AA316" i="2"/>
  <c r="K89" i="60" s="1"/>
  <c r="AN17" i="8"/>
  <c r="AN5" i="8" s="1"/>
  <c r="J96" i="60"/>
  <c r="AT107" i="1"/>
  <c r="AN107" i="1" s="1"/>
  <c r="AR101" i="1"/>
  <c r="AN101" i="1" s="1"/>
  <c r="N78" i="60"/>
  <c r="D91" i="60"/>
  <c r="D92" i="60"/>
  <c r="D93" i="60"/>
  <c r="D94" i="60"/>
  <c r="D95" i="60"/>
  <c r="D96" i="60"/>
  <c r="D97" i="60"/>
  <c r="D98" i="60"/>
  <c r="D99" i="60"/>
  <c r="D100" i="60"/>
  <c r="EF193" i="1"/>
  <c r="EE193" i="1"/>
  <c r="ED193" i="1"/>
  <c r="EC193" i="1"/>
  <c r="EB193" i="1"/>
  <c r="EA193" i="1"/>
  <c r="DY193" i="1"/>
  <c r="DX193" i="1"/>
  <c r="DW193" i="1"/>
  <c r="DV193" i="1"/>
  <c r="DU193" i="1"/>
  <c r="DD193" i="1"/>
  <c r="CP193" i="1" s="1"/>
  <c r="DC193" i="1"/>
  <c r="CO193" i="1" s="1"/>
  <c r="DB193" i="1"/>
  <c r="CN193" i="1" s="1"/>
  <c r="DA193" i="1"/>
  <c r="CM193" i="1" s="1"/>
  <c r="CZ193" i="1"/>
  <c r="AH193" i="1" s="1"/>
  <c r="CY193" i="1"/>
  <c r="AG193" i="1" s="1"/>
  <c r="CX193" i="1"/>
  <c r="R193" i="1" s="1"/>
  <c r="DL193" i="1" s="1"/>
  <c r="CW193" i="1"/>
  <c r="Q193" i="1" s="1"/>
  <c r="CV193" i="1"/>
  <c r="P193" i="1" s="1"/>
  <c r="CU193" i="1"/>
  <c r="CG193" i="1" s="1"/>
  <c r="CT193" i="1"/>
  <c r="N193" i="1" s="1"/>
  <c r="CS193" i="1"/>
  <c r="CE193" i="1" s="1"/>
  <c r="AN193" i="1"/>
  <c r="G193" i="1"/>
  <c r="EF171" i="1"/>
  <c r="EE171" i="1"/>
  <c r="ED171" i="1"/>
  <c r="EC171" i="1"/>
  <c r="EB171" i="1"/>
  <c r="EA171" i="1"/>
  <c r="DY171" i="1"/>
  <c r="DX171" i="1"/>
  <c r="DW171" i="1"/>
  <c r="DV171" i="1"/>
  <c r="DU171" i="1"/>
  <c r="DD171" i="1"/>
  <c r="X171" i="1" s="1"/>
  <c r="DC171" i="1"/>
  <c r="CO171" i="1" s="1"/>
  <c r="DB171" i="1"/>
  <c r="CN171" i="1" s="1"/>
  <c r="DA171" i="1"/>
  <c r="CM171" i="1" s="1"/>
  <c r="CZ171" i="1"/>
  <c r="T171" i="1" s="1"/>
  <c r="CY171" i="1"/>
  <c r="AG171" i="1" s="1"/>
  <c r="CX171" i="1"/>
  <c r="R171" i="1" s="1"/>
  <c r="DL171" i="1" s="1"/>
  <c r="CW171" i="1"/>
  <c r="Q171" i="1" s="1"/>
  <c r="CV171" i="1"/>
  <c r="CH171" i="1" s="1"/>
  <c r="CU171" i="1"/>
  <c r="AC171" i="1" s="1"/>
  <c r="CT171" i="1"/>
  <c r="N171" i="1" s="1"/>
  <c r="CS171" i="1"/>
  <c r="CE171" i="1" s="1"/>
  <c r="AN171" i="1"/>
  <c r="G171" i="1"/>
  <c r="EF133" i="1"/>
  <c r="EE133" i="1"/>
  <c r="ED133" i="1"/>
  <c r="EC133" i="1"/>
  <c r="EB133" i="1"/>
  <c r="EA133" i="1"/>
  <c r="DY133" i="1"/>
  <c r="DX133" i="1"/>
  <c r="DV133" i="1"/>
  <c r="DU133" i="1"/>
  <c r="DD133" i="1"/>
  <c r="CP133" i="1" s="1"/>
  <c r="DC133" i="1"/>
  <c r="AK133" i="1" s="1"/>
  <c r="DB133" i="1"/>
  <c r="AJ133" i="1" s="1"/>
  <c r="DA133" i="1"/>
  <c r="U133" i="1" s="1"/>
  <c r="CZ133" i="1"/>
  <c r="AH133" i="1" s="1"/>
  <c r="CY133" i="1"/>
  <c r="AG133" i="1" s="1"/>
  <c r="CX133" i="1"/>
  <c r="CJ133" i="1" s="1"/>
  <c r="CW133" i="1"/>
  <c r="Q133" i="1" s="1"/>
  <c r="CV133" i="1"/>
  <c r="P133" i="1" s="1"/>
  <c r="CU133" i="1"/>
  <c r="O133" i="1" s="1"/>
  <c r="DI133" i="1" s="1"/>
  <c r="CT133" i="1"/>
  <c r="N133" i="1" s="1"/>
  <c r="DH133" i="1" s="1"/>
  <c r="CS133" i="1"/>
  <c r="CE133" i="1" s="1"/>
  <c r="AN133" i="1"/>
  <c r="G133" i="1"/>
  <c r="AR90" i="1"/>
  <c r="AP90" i="1"/>
  <c r="EF90" i="1"/>
  <c r="EE90" i="1"/>
  <c r="ED90" i="1"/>
  <c r="EC90" i="1"/>
  <c r="EB90" i="1"/>
  <c r="EA90" i="1"/>
  <c r="DY90" i="1"/>
  <c r="DX90" i="1"/>
  <c r="DW90" i="1"/>
  <c r="DV90" i="1"/>
  <c r="DD90" i="1"/>
  <c r="AL90" i="1" s="1"/>
  <c r="DC90" i="1"/>
  <c r="CO90" i="1" s="1"/>
  <c r="DB90" i="1"/>
  <c r="AJ90" i="1" s="1"/>
  <c r="DA90" i="1"/>
  <c r="AI90" i="1" s="1"/>
  <c r="CZ90" i="1"/>
  <c r="AH90" i="1" s="1"/>
  <c r="CY90" i="1"/>
  <c r="CK90" i="1" s="1"/>
  <c r="CX90" i="1"/>
  <c r="R90" i="1" s="1"/>
  <c r="DL90" i="1" s="1"/>
  <c r="CW90" i="1"/>
  <c r="Q90" i="1" s="1"/>
  <c r="CV90" i="1"/>
  <c r="P90" i="1" s="1"/>
  <c r="DJ90" i="1" s="1"/>
  <c r="CU90" i="1"/>
  <c r="O90" i="1" s="1"/>
  <c r="BE90" i="1" s="1"/>
  <c r="BS90" i="1" s="1"/>
  <c r="CT90" i="1"/>
  <c r="CF90" i="1" s="1"/>
  <c r="CS90" i="1"/>
  <c r="CE90" i="1" s="1"/>
  <c r="G90" i="1"/>
  <c r="EF151" i="1"/>
  <c r="EE151" i="1"/>
  <c r="ED151" i="1"/>
  <c r="EC151" i="1"/>
  <c r="EB151" i="1"/>
  <c r="EA151" i="1"/>
  <c r="DZ151" i="1"/>
  <c r="DY151" i="1"/>
  <c r="DX151" i="1"/>
  <c r="DV151" i="1"/>
  <c r="DU151" i="1"/>
  <c r="DD151" i="1"/>
  <c r="CP151" i="1" s="1"/>
  <c r="DC151" i="1"/>
  <c r="AK151" i="1" s="1"/>
  <c r="DB151" i="1"/>
  <c r="CN151" i="1" s="1"/>
  <c r="DA151" i="1"/>
  <c r="AI151" i="1" s="1"/>
  <c r="CZ151" i="1"/>
  <c r="CL151" i="1" s="1"/>
  <c r="CY151" i="1"/>
  <c r="CK151" i="1" s="1"/>
  <c r="CX151" i="1"/>
  <c r="R151" i="1" s="1"/>
  <c r="DL151" i="1" s="1"/>
  <c r="CW151" i="1"/>
  <c r="Q151" i="1" s="1"/>
  <c r="CV151" i="1"/>
  <c r="CH151" i="1" s="1"/>
  <c r="CU151" i="1"/>
  <c r="O151" i="1" s="1"/>
  <c r="DI151" i="1" s="1"/>
  <c r="CT151" i="1"/>
  <c r="CS151" i="1"/>
  <c r="M151" i="1" s="1"/>
  <c r="AQ151" i="1"/>
  <c r="AN151" i="1" s="1"/>
  <c r="G151" i="1"/>
  <c r="G101" i="1"/>
  <c r="G102" i="1"/>
  <c r="G103" i="1"/>
  <c r="G105" i="1"/>
  <c r="G106" i="1"/>
  <c r="G107" i="1"/>
  <c r="G111" i="1"/>
  <c r="G109" i="1"/>
  <c r="G108" i="1"/>
  <c r="G114" i="1"/>
  <c r="AR106" i="1"/>
  <c r="AN106" i="1" s="1"/>
  <c r="AR105" i="1"/>
  <c r="AN105" i="1" s="1"/>
  <c r="AR109" i="1"/>
  <c r="AN109" i="1" s="1"/>
  <c r="AR108" i="1"/>
  <c r="AN108" i="1" s="1"/>
  <c r="EF109" i="1"/>
  <c r="EE109" i="1"/>
  <c r="ED109" i="1"/>
  <c r="EC109" i="1"/>
  <c r="EB109" i="1"/>
  <c r="DY109" i="1"/>
  <c r="DX109" i="1"/>
  <c r="DW109" i="1"/>
  <c r="DV109" i="1"/>
  <c r="DU109" i="1"/>
  <c r="DD109" i="1"/>
  <c r="X109" i="1" s="1"/>
  <c r="DC109" i="1"/>
  <c r="CO109" i="1" s="1"/>
  <c r="DB109" i="1"/>
  <c r="AJ109" i="1" s="1"/>
  <c r="DA109" i="1"/>
  <c r="CM109" i="1" s="1"/>
  <c r="CZ109" i="1"/>
  <c r="CL109" i="1" s="1"/>
  <c r="CY109" i="1"/>
  <c r="S109" i="1" s="1"/>
  <c r="CX109" i="1"/>
  <c r="R109" i="1" s="1"/>
  <c r="DL109" i="1" s="1"/>
  <c r="CW109" i="1"/>
  <c r="CI109" i="1" s="1"/>
  <c r="CV109" i="1"/>
  <c r="P109" i="1" s="1"/>
  <c r="CU109" i="1"/>
  <c r="CG109" i="1" s="1"/>
  <c r="CT109" i="1"/>
  <c r="N109" i="1" s="1"/>
  <c r="DH109" i="1" s="1"/>
  <c r="CS109" i="1"/>
  <c r="EF108" i="1"/>
  <c r="EE108" i="1"/>
  <c r="ED108" i="1"/>
  <c r="EC108" i="1"/>
  <c r="EB108" i="1"/>
  <c r="EA108" i="1"/>
  <c r="DY108" i="1"/>
  <c r="DX108" i="1"/>
  <c r="DW108" i="1"/>
  <c r="DV108" i="1"/>
  <c r="DU108" i="1"/>
  <c r="DD108" i="1"/>
  <c r="X108" i="1" s="1"/>
  <c r="DC108" i="1"/>
  <c r="W108" i="1" s="1"/>
  <c r="DQ108" i="1" s="1"/>
  <c r="DB108" i="1"/>
  <c r="CN108" i="1" s="1"/>
  <c r="DA108" i="1"/>
  <c r="U108" i="1" s="1"/>
  <c r="BK108" i="1" s="1"/>
  <c r="BY108" i="1" s="1"/>
  <c r="CZ108" i="1"/>
  <c r="CL108" i="1" s="1"/>
  <c r="CY108" i="1"/>
  <c r="AG108" i="1" s="1"/>
  <c r="CX108" i="1"/>
  <c r="CJ108" i="1" s="1"/>
  <c r="CW108" i="1"/>
  <c r="CI108" i="1" s="1"/>
  <c r="CV108" i="1"/>
  <c r="P108" i="1" s="1"/>
  <c r="DJ108" i="1" s="1"/>
  <c r="CU108" i="1"/>
  <c r="CG108" i="1" s="1"/>
  <c r="CT108" i="1"/>
  <c r="AB108" i="1" s="1"/>
  <c r="CS108" i="1"/>
  <c r="AA108" i="1" s="1"/>
  <c r="EF107" i="1"/>
  <c r="EE107" i="1"/>
  <c r="ED107" i="1"/>
  <c r="EC107" i="1"/>
  <c r="EB107" i="1"/>
  <c r="EA107" i="1"/>
  <c r="DY107" i="1"/>
  <c r="DX107" i="1"/>
  <c r="DW107" i="1"/>
  <c r="DV107" i="1"/>
  <c r="DU107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EF106" i="1"/>
  <c r="EE106" i="1"/>
  <c r="ED106" i="1"/>
  <c r="EC106" i="1"/>
  <c r="EB106" i="1"/>
  <c r="DY106" i="1"/>
  <c r="DX106" i="1"/>
  <c r="DW106" i="1"/>
  <c r="DV106" i="1"/>
  <c r="DU106" i="1"/>
  <c r="DD106" i="1"/>
  <c r="X106" i="1" s="1"/>
  <c r="DR106" i="1" s="1"/>
  <c r="DC106" i="1"/>
  <c r="CO106" i="1" s="1"/>
  <c r="DB106" i="1"/>
  <c r="V106" i="1" s="1"/>
  <c r="DA106" i="1"/>
  <c r="U106" i="1" s="1"/>
  <c r="BK106" i="1" s="1"/>
  <c r="BY106" i="1" s="1"/>
  <c r="CZ106" i="1"/>
  <c r="CL106" i="1" s="1"/>
  <c r="CY106" i="1"/>
  <c r="CX106" i="1"/>
  <c r="CJ106" i="1" s="1"/>
  <c r="CW106" i="1"/>
  <c r="Q106" i="1" s="1"/>
  <c r="CV106" i="1"/>
  <c r="CH106" i="1" s="1"/>
  <c r="CU106" i="1"/>
  <c r="CT106" i="1"/>
  <c r="AB106" i="1" s="1"/>
  <c r="CS106" i="1"/>
  <c r="AA106" i="1" s="1"/>
  <c r="EF105" i="1"/>
  <c r="EE105" i="1"/>
  <c r="ED105" i="1"/>
  <c r="EC105" i="1"/>
  <c r="EB105" i="1"/>
  <c r="EA105" i="1"/>
  <c r="DY105" i="1"/>
  <c r="DX105" i="1"/>
  <c r="DW105" i="1"/>
  <c r="DV105" i="1"/>
  <c r="DU105" i="1"/>
  <c r="DD105" i="1"/>
  <c r="AL105" i="1" s="1"/>
  <c r="DC105" i="1"/>
  <c r="CO105" i="1" s="1"/>
  <c r="DB105" i="1"/>
  <c r="AJ105" i="1" s="1"/>
  <c r="DA105" i="1"/>
  <c r="U105" i="1" s="1"/>
  <c r="CZ105" i="1"/>
  <c r="T105" i="1" s="1"/>
  <c r="CY105" i="1"/>
  <c r="S105" i="1" s="1"/>
  <c r="CX105" i="1"/>
  <c r="R105" i="1" s="1"/>
  <c r="DL105" i="1" s="1"/>
  <c r="CW105" i="1"/>
  <c r="Q105" i="1" s="1"/>
  <c r="CV105" i="1"/>
  <c r="CH105" i="1" s="1"/>
  <c r="CU105" i="1"/>
  <c r="CG105" i="1" s="1"/>
  <c r="CT105" i="1"/>
  <c r="N105" i="1" s="1"/>
  <c r="DH105" i="1" s="1"/>
  <c r="CS105" i="1"/>
  <c r="M105" i="1" s="1"/>
  <c r="EF103" i="1"/>
  <c r="EE103" i="1"/>
  <c r="ED103" i="1"/>
  <c r="EC103" i="1"/>
  <c r="EB103" i="1"/>
  <c r="EA103" i="1"/>
  <c r="DY103" i="1"/>
  <c r="DX103" i="1"/>
  <c r="DW103" i="1"/>
  <c r="DV103" i="1"/>
  <c r="DU103" i="1"/>
  <c r="DD103" i="1"/>
  <c r="X103" i="1" s="1"/>
  <c r="DR103" i="1" s="1"/>
  <c r="DC103" i="1"/>
  <c r="W103" i="1" s="1"/>
  <c r="DB103" i="1"/>
  <c r="V103" i="1" s="1"/>
  <c r="DP103" i="1" s="1"/>
  <c r="DA103" i="1"/>
  <c r="U103" i="1" s="1"/>
  <c r="CZ103" i="1"/>
  <c r="CL103" i="1" s="1"/>
  <c r="CY103" i="1"/>
  <c r="CK103" i="1" s="1"/>
  <c r="CX103" i="1"/>
  <c r="CJ103" i="1" s="1"/>
  <c r="CW103" i="1"/>
  <c r="AE103" i="1" s="1"/>
  <c r="CV103" i="1"/>
  <c r="P103" i="1" s="1"/>
  <c r="CU103" i="1"/>
  <c r="CG103" i="1" s="1"/>
  <c r="CT103" i="1"/>
  <c r="N103" i="1" s="1"/>
  <c r="CS103" i="1"/>
  <c r="AA103" i="1" s="1"/>
  <c r="AN103" i="1"/>
  <c r="EF102" i="1"/>
  <c r="EE102" i="1"/>
  <c r="ED102" i="1"/>
  <c r="EC102" i="1"/>
  <c r="EB102" i="1"/>
  <c r="EA102" i="1"/>
  <c r="DY102" i="1"/>
  <c r="DX102" i="1"/>
  <c r="DW102" i="1"/>
  <c r="DV102" i="1"/>
  <c r="DU102" i="1"/>
  <c r="DD102" i="1"/>
  <c r="DC102" i="1"/>
  <c r="DB102" i="1"/>
  <c r="DA102" i="1"/>
  <c r="CZ102" i="1"/>
  <c r="CY102" i="1"/>
  <c r="CX102" i="1"/>
  <c r="CW102" i="1"/>
  <c r="CV102" i="1"/>
  <c r="CU102" i="1"/>
  <c r="CT102" i="1"/>
  <c r="CS102" i="1"/>
  <c r="AR102" i="1"/>
  <c r="AP102" i="1"/>
  <c r="EF101" i="1"/>
  <c r="EE101" i="1"/>
  <c r="ED101" i="1"/>
  <c r="EC101" i="1"/>
  <c r="EB101" i="1"/>
  <c r="EA101" i="1"/>
  <c r="DY101" i="1"/>
  <c r="DX101" i="1"/>
  <c r="DW101" i="1"/>
  <c r="DV101" i="1"/>
  <c r="DU101" i="1"/>
  <c r="DD101" i="1"/>
  <c r="X101" i="1" s="1"/>
  <c r="DC101" i="1"/>
  <c r="W101" i="1" s="1"/>
  <c r="DB101" i="1"/>
  <c r="V101" i="1" s="1"/>
  <c r="DP101" i="1" s="1"/>
  <c r="DA101" i="1"/>
  <c r="U101" i="1" s="1"/>
  <c r="CZ101" i="1"/>
  <c r="CL101" i="1" s="1"/>
  <c r="CY101" i="1"/>
  <c r="AG101" i="1" s="1"/>
  <c r="CX101" i="1"/>
  <c r="CW101" i="1"/>
  <c r="Q101" i="1" s="1"/>
  <c r="CV101" i="1"/>
  <c r="P101" i="1" s="1"/>
  <c r="CU101" i="1"/>
  <c r="CG101" i="1" s="1"/>
  <c r="CT101" i="1"/>
  <c r="N101" i="1" s="1"/>
  <c r="BD101" i="1" s="1"/>
  <c r="BR101" i="1" s="1"/>
  <c r="CS101" i="1"/>
  <c r="AA101" i="1" s="1"/>
  <c r="P3" i="48"/>
  <c r="M123" i="35"/>
  <c r="DZ56" i="8"/>
  <c r="DY56" i="8"/>
  <c r="DX56" i="8"/>
  <c r="DW56" i="8"/>
  <c r="DV56" i="8"/>
  <c r="DT56" i="8"/>
  <c r="DS56" i="8"/>
  <c r="DO56" i="8"/>
  <c r="CM58" i="8"/>
  <c r="U58" i="8" s="1"/>
  <c r="CN58" i="8"/>
  <c r="H58" i="8" s="1"/>
  <c r="DB58" i="8" s="1"/>
  <c r="CO58" i="8"/>
  <c r="CP58" i="8"/>
  <c r="CB58" i="8" s="1"/>
  <c r="CQ58" i="8"/>
  <c r="CC58" i="8" s="1"/>
  <c r="CR58" i="8"/>
  <c r="CD58" i="8" s="1"/>
  <c r="CS58" i="8"/>
  <c r="CE58" i="8" s="1"/>
  <c r="CT58" i="8"/>
  <c r="AB58" i="8" s="1"/>
  <c r="CU58" i="8"/>
  <c r="O58" i="8" s="1"/>
  <c r="BE58" i="8" s="1"/>
  <c r="BS58" i="8" s="1"/>
  <c r="CV58" i="8"/>
  <c r="P58" i="8" s="1"/>
  <c r="DJ58" i="8" s="1"/>
  <c r="CW58" i="8"/>
  <c r="CI58" i="8" s="1"/>
  <c r="CX58" i="8"/>
  <c r="R58" i="8" s="1"/>
  <c r="DL58" i="8" s="1"/>
  <c r="DO58" i="8"/>
  <c r="DP58" i="8"/>
  <c r="DS58" i="8"/>
  <c r="DT58" i="8"/>
  <c r="DU58" i="8"/>
  <c r="DV58" i="8"/>
  <c r="DW58" i="8"/>
  <c r="DX58" i="8"/>
  <c r="DY58" i="8"/>
  <c r="DZ58" i="8"/>
  <c r="DZ17" i="8"/>
  <c r="DY17" i="8"/>
  <c r="DX17" i="8"/>
  <c r="DW17" i="8"/>
  <c r="DV17" i="8"/>
  <c r="DU17" i="8"/>
  <c r="DS17" i="8"/>
  <c r="DR17" i="8"/>
  <c r="DQ17" i="8"/>
  <c r="DP17" i="8"/>
  <c r="DO17" i="8"/>
  <c r="CX17" i="8"/>
  <c r="R17" i="8" s="1"/>
  <c r="CW17" i="8"/>
  <c r="CI17" i="8" s="1"/>
  <c r="CV17" i="8"/>
  <c r="CH17" i="8" s="1"/>
  <c r="CU17" i="8"/>
  <c r="AC17" i="8" s="1"/>
  <c r="CT17" i="8"/>
  <c r="N17" i="8" s="1"/>
  <c r="CS17" i="8"/>
  <c r="AA17" i="8" s="1"/>
  <c r="CR17" i="8"/>
  <c r="L17" i="8" s="1"/>
  <c r="DF17" i="8" s="1"/>
  <c r="CQ17" i="8"/>
  <c r="K17" i="8" s="1"/>
  <c r="CP17" i="8"/>
  <c r="CB17" i="8" s="1"/>
  <c r="CO17" i="8"/>
  <c r="I17" i="8" s="1"/>
  <c r="DC17" i="8" s="1"/>
  <c r="CN17" i="8"/>
  <c r="V17" i="8" s="1"/>
  <c r="CM17" i="8"/>
  <c r="BY17" i="8" s="1"/>
  <c r="AH17" i="8"/>
  <c r="DZ16" i="8"/>
  <c r="DY16" i="8"/>
  <c r="DX16" i="8"/>
  <c r="DW16" i="8"/>
  <c r="DV16" i="8"/>
  <c r="DS16" i="8"/>
  <c r="DR16" i="8"/>
  <c r="DQ16" i="8"/>
  <c r="DP16" i="8"/>
  <c r="DO16" i="8"/>
  <c r="CX16" i="8"/>
  <c r="CJ16" i="8" s="1"/>
  <c r="CW16" i="8"/>
  <c r="CI16" i="8" s="1"/>
  <c r="CV16" i="8"/>
  <c r="AD16" i="8" s="1"/>
  <c r="CU16" i="8"/>
  <c r="AC16" i="8" s="1"/>
  <c r="CT16" i="8"/>
  <c r="CF16" i="8" s="1"/>
  <c r="CS16" i="8"/>
  <c r="CR16" i="8"/>
  <c r="CD16" i="8" s="1"/>
  <c r="CQ16" i="8"/>
  <c r="CC16" i="8" s="1"/>
  <c r="CP16" i="8"/>
  <c r="J16" i="8" s="1"/>
  <c r="CO16" i="8"/>
  <c r="I16" i="8" s="1"/>
  <c r="AY16" i="8" s="1"/>
  <c r="BM16" i="8" s="1"/>
  <c r="CN16" i="8"/>
  <c r="V16" i="8" s="1"/>
  <c r="CM16" i="8"/>
  <c r="BY16" i="8" s="1"/>
  <c r="AH16" i="8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L373" i="2"/>
  <c r="L350" i="2"/>
  <c r="L319" i="2"/>
  <c r="L372" i="2"/>
  <c r="O372" i="2" s="1"/>
  <c r="U372" i="2" s="1"/>
  <c r="V372" i="2" s="1"/>
  <c r="L383" i="2"/>
  <c r="O383" i="2" s="1"/>
  <c r="X383" i="2" s="1"/>
  <c r="L382" i="2"/>
  <c r="O382" i="2" s="1"/>
  <c r="X382" i="2" s="1"/>
  <c r="L377" i="2"/>
  <c r="O377" i="2" s="1"/>
  <c r="P377" i="2" s="1"/>
  <c r="Q377" i="2" s="1"/>
  <c r="O369" i="2"/>
  <c r="U369" i="2" s="1"/>
  <c r="Z369" i="2" s="1"/>
  <c r="O370" i="2"/>
  <c r="X370" i="2" s="1"/>
  <c r="AC370" i="2" s="1"/>
  <c r="Y317" i="2"/>
  <c r="AA317" i="2"/>
  <c r="Y318" i="2"/>
  <c r="AA318" i="2"/>
  <c r="K90" i="60" s="1"/>
  <c r="Y319" i="2"/>
  <c r="AA319" i="2"/>
  <c r="Y320" i="2"/>
  <c r="AA320" i="2"/>
  <c r="Y321" i="2"/>
  <c r="AA321" i="2"/>
  <c r="Y322" i="2"/>
  <c r="AA322" i="2"/>
  <c r="Y323" i="2"/>
  <c r="AA323" i="2"/>
  <c r="Y324" i="2"/>
  <c r="AA324" i="2"/>
  <c r="Y325" i="2"/>
  <c r="AA325" i="2"/>
  <c r="Y326" i="2"/>
  <c r="AA326" i="2"/>
  <c r="Y327" i="2"/>
  <c r="AA327" i="2"/>
  <c r="J133" i="35" s="1"/>
  <c r="Y328" i="2"/>
  <c r="AA328" i="2"/>
  <c r="Y329" i="2"/>
  <c r="AA329" i="2"/>
  <c r="Y330" i="2"/>
  <c r="AA330" i="2"/>
  <c r="Y331" i="2"/>
  <c r="AA331" i="2"/>
  <c r="J140" i="35" s="1"/>
  <c r="Y332" i="2"/>
  <c r="AA332" i="2"/>
  <c r="J136" i="35" s="1"/>
  <c r="Y333" i="2"/>
  <c r="AA333" i="2"/>
  <c r="J141" i="35" s="1"/>
  <c r="Y334" i="2"/>
  <c r="AA334" i="2"/>
  <c r="K91" i="60" s="1"/>
  <c r="Y335" i="2"/>
  <c r="AA335" i="2"/>
  <c r="Y336" i="2"/>
  <c r="AA336" i="2"/>
  <c r="Y337" i="2"/>
  <c r="AA337" i="2"/>
  <c r="Y338" i="2"/>
  <c r="AA338" i="2"/>
  <c r="Y339" i="2"/>
  <c r="AA339" i="2"/>
  <c r="Y340" i="2"/>
  <c r="AA340" i="2"/>
  <c r="Y341" i="2"/>
  <c r="AA341" i="2"/>
  <c r="Y342" i="2"/>
  <c r="AA342" i="2"/>
  <c r="J128" i="35" s="1"/>
  <c r="Y343" i="2"/>
  <c r="AA343" i="2"/>
  <c r="J130" i="35" s="1"/>
  <c r="Y344" i="2"/>
  <c r="AA344" i="2"/>
  <c r="J139" i="35" s="1"/>
  <c r="Y345" i="2"/>
  <c r="AA345" i="2"/>
  <c r="J137" i="35" s="1"/>
  <c r="Y346" i="2"/>
  <c r="AA346" i="2"/>
  <c r="J138" i="35" s="1"/>
  <c r="Y347" i="2"/>
  <c r="AA347" i="2"/>
  <c r="J129" i="35" s="1"/>
  <c r="Y348" i="2"/>
  <c r="AA348" i="2"/>
  <c r="Y349" i="2"/>
  <c r="AA349" i="2"/>
  <c r="K92" i="60" s="1"/>
  <c r="Y350" i="2"/>
  <c r="AA350" i="2"/>
  <c r="Y351" i="2"/>
  <c r="AA351" i="2"/>
  <c r="J135" i="35" s="1"/>
  <c r="Y352" i="2"/>
  <c r="AA352" i="2"/>
  <c r="DY114" i="1"/>
  <c r="Y353" i="2"/>
  <c r="AA353" i="2"/>
  <c r="J131" i="35" s="1"/>
  <c r="Y354" i="2"/>
  <c r="AA354" i="2"/>
  <c r="Y355" i="2"/>
  <c r="AA355" i="2"/>
  <c r="Y356" i="2"/>
  <c r="AA356" i="2"/>
  <c r="Y357" i="2"/>
  <c r="AA357" i="2"/>
  <c r="Y358" i="2"/>
  <c r="AA358" i="2"/>
  <c r="Y359" i="2"/>
  <c r="AA359" i="2"/>
  <c r="Y360" i="2"/>
  <c r="AA360" i="2"/>
  <c r="K93" i="60" s="1"/>
  <c r="Y361" i="2"/>
  <c r="AA361" i="2"/>
  <c r="K94" i="60" s="1"/>
  <c r="Y362" i="2"/>
  <c r="AA362" i="2"/>
  <c r="J134" i="35" s="1"/>
  <c r="Y363" i="2"/>
  <c r="AA363" i="2"/>
  <c r="Y364" i="2"/>
  <c r="AA364" i="2"/>
  <c r="Y365" i="2"/>
  <c r="AA365" i="2"/>
  <c r="Y366" i="2"/>
  <c r="AA366" i="2"/>
  <c r="Y367" i="2"/>
  <c r="AA367" i="2"/>
  <c r="Y368" i="2"/>
  <c r="AA368" i="2"/>
  <c r="Y369" i="2"/>
  <c r="AA369" i="2"/>
  <c r="J143" i="35" s="1"/>
  <c r="Y370" i="2"/>
  <c r="AA370" i="2"/>
  <c r="J142" i="35" s="1"/>
  <c r="Y371" i="2"/>
  <c r="AA371" i="2"/>
  <c r="K96" i="60" s="1"/>
  <c r="Y372" i="2"/>
  <c r="AA372" i="2"/>
  <c r="Y373" i="2"/>
  <c r="AA373" i="2"/>
  <c r="Y374" i="2"/>
  <c r="AA374" i="2"/>
  <c r="Y375" i="2"/>
  <c r="AA375" i="2"/>
  <c r="J126" i="35" s="1"/>
  <c r="Y376" i="2"/>
  <c r="AA376" i="2"/>
  <c r="K98" i="60" s="1"/>
  <c r="Y377" i="2"/>
  <c r="AA377" i="2"/>
  <c r="K99" i="60" s="1"/>
  <c r="Y378" i="2"/>
  <c r="AA378" i="2"/>
  <c r="Y379" i="2"/>
  <c r="AA379" i="2"/>
  <c r="Y380" i="2"/>
  <c r="AA380" i="2"/>
  <c r="Y381" i="2"/>
  <c r="AA381" i="2"/>
  <c r="Y382" i="2"/>
  <c r="AA382" i="2"/>
  <c r="Y383" i="2"/>
  <c r="AA383" i="2"/>
  <c r="Y384" i="2"/>
  <c r="AA384" i="2"/>
  <c r="Y385" i="2"/>
  <c r="AA385" i="2"/>
  <c r="K100" i="60" s="1"/>
  <c r="Y316" i="2"/>
  <c r="S316" i="2"/>
  <c r="T316" i="2" s="1"/>
  <c r="S317" i="2"/>
  <c r="T317" i="2" s="1"/>
  <c r="S318" i="2"/>
  <c r="T318" i="2" s="1"/>
  <c r="S319" i="2"/>
  <c r="T319" i="2" s="1"/>
  <c r="S320" i="2"/>
  <c r="T320" i="2" s="1"/>
  <c r="S321" i="2"/>
  <c r="T321" i="2" s="1"/>
  <c r="S322" i="2"/>
  <c r="T322" i="2" s="1"/>
  <c r="S323" i="2"/>
  <c r="T323" i="2" s="1"/>
  <c r="S324" i="2"/>
  <c r="T324" i="2" s="1"/>
  <c r="S325" i="2"/>
  <c r="T325" i="2" s="1"/>
  <c r="S326" i="2"/>
  <c r="T326" i="2" s="1"/>
  <c r="S327" i="2"/>
  <c r="T327" i="2" s="1"/>
  <c r="S328" i="2"/>
  <c r="T328" i="2" s="1"/>
  <c r="S329" i="2"/>
  <c r="T329" i="2" s="1"/>
  <c r="S330" i="2"/>
  <c r="T330" i="2" s="1"/>
  <c r="S331" i="2"/>
  <c r="T331" i="2" s="1"/>
  <c r="S332" i="2"/>
  <c r="T332" i="2" s="1"/>
  <c r="S333" i="2"/>
  <c r="T333" i="2" s="1"/>
  <c r="S334" i="2"/>
  <c r="T334" i="2" s="1"/>
  <c r="S335" i="2"/>
  <c r="T335" i="2" s="1"/>
  <c r="S336" i="2"/>
  <c r="T336" i="2" s="1"/>
  <c r="S337" i="2"/>
  <c r="T337" i="2" s="1"/>
  <c r="S338" i="2"/>
  <c r="T338" i="2" s="1"/>
  <c r="S339" i="2"/>
  <c r="T339" i="2" s="1"/>
  <c r="S340" i="2"/>
  <c r="T340" i="2" s="1"/>
  <c r="S341" i="2"/>
  <c r="T341" i="2" s="1"/>
  <c r="S342" i="2"/>
  <c r="T342" i="2" s="1"/>
  <c r="S343" i="2"/>
  <c r="T343" i="2" s="1"/>
  <c r="S344" i="2"/>
  <c r="T344" i="2" s="1"/>
  <c r="S345" i="2"/>
  <c r="T345" i="2" s="1"/>
  <c r="S346" i="2"/>
  <c r="T346" i="2" s="1"/>
  <c r="S347" i="2"/>
  <c r="T347" i="2" s="1"/>
  <c r="S348" i="2"/>
  <c r="T348" i="2" s="1"/>
  <c r="S349" i="2"/>
  <c r="T349" i="2" s="1"/>
  <c r="S350" i="2"/>
  <c r="T350" i="2" s="1"/>
  <c r="S351" i="2"/>
  <c r="T351" i="2" s="1"/>
  <c r="S352" i="2"/>
  <c r="T352" i="2" s="1"/>
  <c r="S353" i="2"/>
  <c r="T353" i="2" s="1"/>
  <c r="S354" i="2"/>
  <c r="T354" i="2" s="1"/>
  <c r="S355" i="2"/>
  <c r="T355" i="2" s="1"/>
  <c r="S356" i="2"/>
  <c r="T356" i="2" s="1"/>
  <c r="S357" i="2"/>
  <c r="T357" i="2" s="1"/>
  <c r="S358" i="2"/>
  <c r="T358" i="2" s="1"/>
  <c r="S359" i="2"/>
  <c r="T359" i="2" s="1"/>
  <c r="S360" i="2"/>
  <c r="T360" i="2" s="1"/>
  <c r="S361" i="2"/>
  <c r="T361" i="2" s="1"/>
  <c r="S362" i="2"/>
  <c r="T362" i="2" s="1"/>
  <c r="S363" i="2"/>
  <c r="T363" i="2" s="1"/>
  <c r="S364" i="2"/>
  <c r="T364" i="2" s="1"/>
  <c r="S365" i="2"/>
  <c r="T365" i="2" s="1"/>
  <c r="S366" i="2"/>
  <c r="T366" i="2" s="1"/>
  <c r="S367" i="2"/>
  <c r="T367" i="2" s="1"/>
  <c r="S368" i="2"/>
  <c r="T368" i="2" s="1"/>
  <c r="S369" i="2"/>
  <c r="T369" i="2" s="1"/>
  <c r="S370" i="2"/>
  <c r="T370" i="2" s="1"/>
  <c r="S371" i="2"/>
  <c r="T371" i="2" s="1"/>
  <c r="S372" i="2"/>
  <c r="T372" i="2" s="1"/>
  <c r="S373" i="2"/>
  <c r="T373" i="2" s="1"/>
  <c r="S374" i="2"/>
  <c r="T374" i="2" s="1"/>
  <c r="S375" i="2"/>
  <c r="T375" i="2" s="1"/>
  <c r="S376" i="2"/>
  <c r="T376" i="2" s="1"/>
  <c r="S377" i="2"/>
  <c r="T377" i="2" s="1"/>
  <c r="S378" i="2"/>
  <c r="T378" i="2" s="1"/>
  <c r="S379" i="2"/>
  <c r="T379" i="2" s="1"/>
  <c r="S380" i="2"/>
  <c r="T380" i="2" s="1"/>
  <c r="S381" i="2"/>
  <c r="T381" i="2" s="1"/>
  <c r="S382" i="2"/>
  <c r="T382" i="2" s="1"/>
  <c r="S383" i="2"/>
  <c r="T383" i="2" s="1"/>
  <c r="S384" i="2"/>
  <c r="T384" i="2" s="1"/>
  <c r="S385" i="2"/>
  <c r="T385" i="2" s="1"/>
  <c r="O316" i="2"/>
  <c r="U316" i="2" s="1"/>
  <c r="Z316" i="2" s="1"/>
  <c r="M89" i="60" s="1"/>
  <c r="O317" i="2"/>
  <c r="X317" i="2" s="1"/>
  <c r="O318" i="2"/>
  <c r="X318" i="2" s="1"/>
  <c r="O319" i="2"/>
  <c r="U319" i="2" s="1"/>
  <c r="V319" i="2" s="1"/>
  <c r="O320" i="2"/>
  <c r="X320" i="2" s="1"/>
  <c r="O321" i="2"/>
  <c r="U321" i="2" s="1"/>
  <c r="O322" i="2"/>
  <c r="P322" i="2" s="1"/>
  <c r="Q322" i="2" s="1"/>
  <c r="O323" i="2"/>
  <c r="P323" i="2" s="1"/>
  <c r="Q323" i="2" s="1"/>
  <c r="O324" i="2"/>
  <c r="X324" i="2" s="1"/>
  <c r="O325" i="2"/>
  <c r="X325" i="2" s="1"/>
  <c r="O326" i="2"/>
  <c r="O327" i="2"/>
  <c r="U327" i="2" s="1"/>
  <c r="V327" i="2" s="1"/>
  <c r="O328" i="2"/>
  <c r="X328" i="2" s="1"/>
  <c r="O329" i="2"/>
  <c r="O330" i="2"/>
  <c r="X330" i="2" s="1"/>
  <c r="O331" i="2"/>
  <c r="X331" i="2" s="1"/>
  <c r="H140" i="35" s="1"/>
  <c r="O140" i="35" s="1"/>
  <c r="O332" i="2"/>
  <c r="U332" i="2" s="1"/>
  <c r="Z332" i="2" s="1"/>
  <c r="O333" i="2"/>
  <c r="P333" i="2" s="1"/>
  <c r="Q333" i="2" s="1"/>
  <c r="O334" i="2"/>
  <c r="U334" i="2" s="1"/>
  <c r="Z334" i="2" s="1"/>
  <c r="M91" i="60" s="1"/>
  <c r="O335" i="2"/>
  <c r="X335" i="2" s="1"/>
  <c r="O336" i="2"/>
  <c r="X336" i="2" s="1"/>
  <c r="O337" i="2"/>
  <c r="U337" i="2" s="1"/>
  <c r="Z337" i="2" s="1"/>
  <c r="O338" i="2"/>
  <c r="U338" i="2" s="1"/>
  <c r="Z338" i="2" s="1"/>
  <c r="O339" i="2"/>
  <c r="U339" i="2" s="1"/>
  <c r="Z339" i="2" s="1"/>
  <c r="O340" i="2"/>
  <c r="U340" i="2" s="1"/>
  <c r="V340" i="2" s="1"/>
  <c r="O341" i="2"/>
  <c r="U341" i="2" s="1"/>
  <c r="Z341" i="2" s="1"/>
  <c r="O342" i="2"/>
  <c r="O343" i="2"/>
  <c r="U343" i="2" s="1"/>
  <c r="V343" i="2" s="1"/>
  <c r="O344" i="2"/>
  <c r="X344" i="2" s="1"/>
  <c r="H139" i="35" s="1"/>
  <c r="O345" i="2"/>
  <c r="X345" i="2" s="1"/>
  <c r="O346" i="2"/>
  <c r="X346" i="2" s="1"/>
  <c r="H138" i="35" s="1"/>
  <c r="O138" i="35" s="1"/>
  <c r="O347" i="2"/>
  <c r="X347" i="2" s="1"/>
  <c r="H129" i="35" s="1"/>
  <c r="O348" i="2"/>
  <c r="P348" i="2" s="1"/>
  <c r="Q348" i="2" s="1"/>
  <c r="O349" i="2"/>
  <c r="P349" i="2" s="1"/>
  <c r="Q349" i="2" s="1"/>
  <c r="O350" i="2"/>
  <c r="U350" i="2" s="1"/>
  <c r="Z350" i="2" s="1"/>
  <c r="O351" i="2"/>
  <c r="U351" i="2" s="1"/>
  <c r="O352" i="2"/>
  <c r="X352" i="2" s="1"/>
  <c r="O353" i="2"/>
  <c r="O354" i="2"/>
  <c r="X354" i="2" s="1"/>
  <c r="O355" i="2"/>
  <c r="U355" i="2" s="1"/>
  <c r="V355" i="2" s="1"/>
  <c r="O356" i="2"/>
  <c r="P356" i="2" s="1"/>
  <c r="Q356" i="2" s="1"/>
  <c r="O357" i="2"/>
  <c r="U357" i="2" s="1"/>
  <c r="V357" i="2" s="1"/>
  <c r="O358" i="2"/>
  <c r="U358" i="2" s="1"/>
  <c r="O359" i="2"/>
  <c r="U359" i="2" s="1"/>
  <c r="V359" i="2" s="1"/>
  <c r="O360" i="2"/>
  <c r="X360" i="2" s="1"/>
  <c r="O361" i="2"/>
  <c r="P361" i="2" s="1"/>
  <c r="Q361" i="2" s="1"/>
  <c r="O362" i="2"/>
  <c r="X362" i="2" s="1"/>
  <c r="O363" i="2"/>
  <c r="X363" i="2" s="1"/>
  <c r="O364" i="2"/>
  <c r="P364" i="2" s="1"/>
  <c r="Q364" i="2" s="1"/>
  <c r="O365" i="2"/>
  <c r="P365" i="2" s="1"/>
  <c r="Q365" i="2" s="1"/>
  <c r="O366" i="2"/>
  <c r="U366" i="2" s="1"/>
  <c r="Z366" i="2" s="1"/>
  <c r="O367" i="2"/>
  <c r="X367" i="2" s="1"/>
  <c r="AC367" i="2" s="1"/>
  <c r="AD367" i="2" s="1"/>
  <c r="O368" i="2"/>
  <c r="X368" i="2" s="1"/>
  <c r="L95" i="60" s="1"/>
  <c r="I95" i="60" s="1"/>
  <c r="O373" i="2"/>
  <c r="U373" i="2" s="1"/>
  <c r="Z373" i="2" s="1"/>
  <c r="O374" i="2"/>
  <c r="X374" i="2" s="1"/>
  <c r="O375" i="2"/>
  <c r="P375" i="2" s="1"/>
  <c r="Q375" i="2" s="1"/>
  <c r="O376" i="2"/>
  <c r="P376" i="2" s="1"/>
  <c r="Q376" i="2" s="1"/>
  <c r="O378" i="2"/>
  <c r="X378" i="2" s="1"/>
  <c r="O379" i="2"/>
  <c r="U379" i="2" s="1"/>
  <c r="O380" i="2"/>
  <c r="P380" i="2" s="1"/>
  <c r="Q380" i="2" s="1"/>
  <c r="O381" i="2"/>
  <c r="U381" i="2" s="1"/>
  <c r="V381" i="2" s="1"/>
  <c r="O384" i="2"/>
  <c r="X384" i="2" s="1"/>
  <c r="O385" i="2"/>
  <c r="X385" i="2" s="1"/>
  <c r="L100" i="60" s="1"/>
  <c r="I100" i="60" s="1"/>
  <c r="E316" i="2"/>
  <c r="E317" i="2"/>
  <c r="E318" i="2"/>
  <c r="E319" i="2"/>
  <c r="E320" i="2"/>
  <c r="E321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G96" i="60" s="1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O6" i="2"/>
  <c r="O7" i="2"/>
  <c r="P7" i="2" s="1"/>
  <c r="Q7" i="2" s="1"/>
  <c r="O8" i="2"/>
  <c r="U8" i="2" s="1"/>
  <c r="Z8" i="2" s="1"/>
  <c r="O9" i="2"/>
  <c r="U9" i="2" s="1"/>
  <c r="V9" i="2" s="1"/>
  <c r="O10" i="2"/>
  <c r="X10" i="2" s="1"/>
  <c r="AD10" i="2" s="1"/>
  <c r="O11" i="2"/>
  <c r="P11" i="2" s="1"/>
  <c r="Q11" i="2" s="1"/>
  <c r="O12" i="2"/>
  <c r="P12" i="2" s="1"/>
  <c r="Q12" i="2" s="1"/>
  <c r="O13" i="2"/>
  <c r="O14" i="2"/>
  <c r="X14" i="2" s="1"/>
  <c r="AD14" i="2" s="1"/>
  <c r="O15" i="2"/>
  <c r="P15" i="2" s="1"/>
  <c r="Q15" i="2" s="1"/>
  <c r="O16" i="2"/>
  <c r="U16" i="2" s="1"/>
  <c r="V16" i="2" s="1"/>
  <c r="O17" i="2"/>
  <c r="U17" i="2" s="1"/>
  <c r="V17" i="2" s="1"/>
  <c r="O18" i="2"/>
  <c r="X18" i="2" s="1"/>
  <c r="AD18" i="2" s="1"/>
  <c r="O19" i="2"/>
  <c r="U19" i="2" s="1"/>
  <c r="O20" i="2"/>
  <c r="P20" i="2" s="1"/>
  <c r="Q20" i="2" s="1"/>
  <c r="O21" i="2"/>
  <c r="X21" i="2" s="1"/>
  <c r="O22" i="2"/>
  <c r="U22" i="2" s="1"/>
  <c r="V22" i="2" s="1"/>
  <c r="O23" i="2"/>
  <c r="P23" i="2" s="1"/>
  <c r="Q23" i="2" s="1"/>
  <c r="O24" i="2"/>
  <c r="U24" i="2" s="1"/>
  <c r="V24" i="2" s="1"/>
  <c r="O25" i="2"/>
  <c r="U25" i="2" s="1"/>
  <c r="O26" i="2"/>
  <c r="P26" i="2" s="1"/>
  <c r="Q26" i="2" s="1"/>
  <c r="O27" i="2"/>
  <c r="U27" i="2" s="1"/>
  <c r="O28" i="2"/>
  <c r="P28" i="2" s="1"/>
  <c r="Q28" i="2" s="1"/>
  <c r="O29" i="2"/>
  <c r="X29" i="2" s="1"/>
  <c r="AD29" i="2" s="1"/>
  <c r="O30" i="2"/>
  <c r="O31" i="2"/>
  <c r="P31" i="2" s="1"/>
  <c r="Q31" i="2" s="1"/>
  <c r="O32" i="2"/>
  <c r="U32" i="2" s="1"/>
  <c r="O33" i="2"/>
  <c r="X33" i="2" s="1"/>
  <c r="AD33" i="2" s="1"/>
  <c r="O34" i="2"/>
  <c r="U34" i="2" s="1"/>
  <c r="V34" i="2" s="1"/>
  <c r="O35" i="2"/>
  <c r="P35" i="2" s="1"/>
  <c r="Q35" i="2" s="1"/>
  <c r="O36" i="2"/>
  <c r="P36" i="2" s="1"/>
  <c r="Q36" i="2" s="1"/>
  <c r="O37" i="2"/>
  <c r="P37" i="2" s="1"/>
  <c r="Q37" i="2" s="1"/>
  <c r="O38" i="2"/>
  <c r="X38" i="2" s="1"/>
  <c r="AD38" i="2" s="1"/>
  <c r="O39" i="2"/>
  <c r="U39" i="2" s="1"/>
  <c r="Z39" i="2" s="1"/>
  <c r="O40" i="2"/>
  <c r="X40" i="2" s="1"/>
  <c r="AD40" i="2" s="1"/>
  <c r="O41" i="2"/>
  <c r="X41" i="2" s="1"/>
  <c r="O42" i="2"/>
  <c r="P42" i="2" s="1"/>
  <c r="Q42" i="2" s="1"/>
  <c r="O43" i="2"/>
  <c r="P43" i="2" s="1"/>
  <c r="Q43" i="2" s="1"/>
  <c r="O44" i="2"/>
  <c r="U44" i="2" s="1"/>
  <c r="V44" i="2" s="1"/>
  <c r="O45" i="2"/>
  <c r="O46" i="2"/>
  <c r="U46" i="2" s="1"/>
  <c r="Z46" i="2" s="1"/>
  <c r="O47" i="2"/>
  <c r="P47" i="2" s="1"/>
  <c r="Q47" i="2" s="1"/>
  <c r="O48" i="2"/>
  <c r="U48" i="2" s="1"/>
  <c r="V48" i="2" s="1"/>
  <c r="O49" i="2"/>
  <c r="U49" i="2" s="1"/>
  <c r="Z49" i="2" s="1"/>
  <c r="O50" i="2"/>
  <c r="X50" i="2" s="1"/>
  <c r="O51" i="2"/>
  <c r="U51" i="2" s="1"/>
  <c r="O52" i="2"/>
  <c r="P52" i="2" s="1"/>
  <c r="Q52" i="2" s="1"/>
  <c r="O54" i="2"/>
  <c r="U54" i="2" s="1"/>
  <c r="Z54" i="2" s="1"/>
  <c r="O55" i="2"/>
  <c r="P55" i="2" s="1"/>
  <c r="Q55" i="2" s="1"/>
  <c r="O56" i="2"/>
  <c r="U56" i="2" s="1"/>
  <c r="Z56" i="2" s="1"/>
  <c r="O57" i="2"/>
  <c r="U57" i="2" s="1"/>
  <c r="V57" i="2" s="1"/>
  <c r="O58" i="2"/>
  <c r="X58" i="2" s="1"/>
  <c r="O59" i="2"/>
  <c r="O61" i="2"/>
  <c r="X61" i="2" s="1"/>
  <c r="O62" i="2"/>
  <c r="X62" i="2" s="1"/>
  <c r="O63" i="2"/>
  <c r="O64" i="2"/>
  <c r="P64" i="2" s="1"/>
  <c r="Q64" i="2" s="1"/>
  <c r="O65" i="2"/>
  <c r="U65" i="2" s="1"/>
  <c r="Z65" i="2" s="1"/>
  <c r="O66" i="2"/>
  <c r="O67" i="2"/>
  <c r="U67" i="2" s="1"/>
  <c r="V67" i="2" s="1"/>
  <c r="O68" i="2"/>
  <c r="U68" i="2" s="1"/>
  <c r="Z68" i="2" s="1"/>
  <c r="O69" i="2"/>
  <c r="U69" i="2" s="1"/>
  <c r="Z69" i="2" s="1"/>
  <c r="O70" i="2"/>
  <c r="U70" i="2" s="1"/>
  <c r="Z70" i="2" s="1"/>
  <c r="O71" i="2"/>
  <c r="U71" i="2" s="1"/>
  <c r="V71" i="2" s="1"/>
  <c r="O72" i="2"/>
  <c r="P72" i="2" s="1"/>
  <c r="Q72" i="2" s="1"/>
  <c r="O73" i="2"/>
  <c r="P73" i="2" s="1"/>
  <c r="Q73" i="2" s="1"/>
  <c r="O74" i="2"/>
  <c r="X74" i="2" s="1"/>
  <c r="AC74" i="2" s="1"/>
  <c r="AD74" i="2" s="1"/>
  <c r="O75" i="2"/>
  <c r="O76" i="2"/>
  <c r="P76" i="2" s="1"/>
  <c r="Q76" i="2" s="1"/>
  <c r="O77" i="2"/>
  <c r="O78" i="2"/>
  <c r="X78" i="2" s="1"/>
  <c r="O79" i="2"/>
  <c r="X79" i="2" s="1"/>
  <c r="AC79" i="2" s="1"/>
  <c r="AD79" i="2" s="1"/>
  <c r="O80" i="2"/>
  <c r="X80" i="2" s="1"/>
  <c r="O81" i="2"/>
  <c r="P81" i="2" s="1"/>
  <c r="Q81" i="2" s="1"/>
  <c r="O82" i="2"/>
  <c r="U82" i="2" s="1"/>
  <c r="Z82" i="2" s="1"/>
  <c r="O83" i="2"/>
  <c r="P83" i="2" s="1"/>
  <c r="Q83" i="2" s="1"/>
  <c r="O84" i="2"/>
  <c r="P84" i="2" s="1"/>
  <c r="Q84" i="2" s="1"/>
  <c r="O85" i="2"/>
  <c r="P85" i="2" s="1"/>
  <c r="Q85" i="2" s="1"/>
  <c r="O86" i="2"/>
  <c r="U86" i="2" s="1"/>
  <c r="Z86" i="2" s="1"/>
  <c r="O87" i="2"/>
  <c r="P87" i="2" s="1"/>
  <c r="Q87" i="2" s="1"/>
  <c r="O88" i="2"/>
  <c r="X88" i="2" s="1"/>
  <c r="AC88" i="2" s="1"/>
  <c r="AD88" i="2" s="1"/>
  <c r="O89" i="2"/>
  <c r="P89" i="2" s="1"/>
  <c r="Q89" i="2" s="1"/>
  <c r="O90" i="2"/>
  <c r="X90" i="2" s="1"/>
  <c r="AC90" i="2" s="1"/>
  <c r="AD90" i="2" s="1"/>
  <c r="O91" i="2"/>
  <c r="U91" i="2" s="1"/>
  <c r="V91" i="2" s="1"/>
  <c r="O92" i="2"/>
  <c r="O93" i="2"/>
  <c r="P93" i="2" s="1"/>
  <c r="Q93" i="2" s="1"/>
  <c r="O94" i="2"/>
  <c r="X94" i="2" s="1"/>
  <c r="AC94" i="2" s="1"/>
  <c r="AD94" i="2" s="1"/>
  <c r="O95" i="2"/>
  <c r="U95" i="2" s="1"/>
  <c r="O96" i="2"/>
  <c r="O97" i="2"/>
  <c r="O98" i="2"/>
  <c r="X98" i="2" s="1"/>
  <c r="O99" i="2"/>
  <c r="U99" i="2" s="1"/>
  <c r="Z99" i="2" s="1"/>
  <c r="O100" i="2"/>
  <c r="X100" i="2" s="1"/>
  <c r="AC100" i="2" s="1"/>
  <c r="AD100" i="2" s="1"/>
  <c r="O101" i="2"/>
  <c r="U101" i="2" s="1"/>
  <c r="Z101" i="2" s="1"/>
  <c r="O102" i="2"/>
  <c r="P102" i="2" s="1"/>
  <c r="Q102" i="2" s="1"/>
  <c r="O103" i="2"/>
  <c r="P103" i="2" s="1"/>
  <c r="Q103" i="2" s="1"/>
  <c r="O104" i="2"/>
  <c r="U104" i="2" s="1"/>
  <c r="V104" i="2" s="1"/>
  <c r="O105" i="2"/>
  <c r="X105" i="2" s="1"/>
  <c r="AC105" i="2" s="1"/>
  <c r="AD105" i="2" s="1"/>
  <c r="O106" i="2"/>
  <c r="P106" i="2" s="1"/>
  <c r="Q106" i="2" s="1"/>
  <c r="O107" i="2"/>
  <c r="O108" i="2"/>
  <c r="P108" i="2" s="1"/>
  <c r="Q108" i="2" s="1"/>
  <c r="O112" i="2"/>
  <c r="P112" i="2" s="1"/>
  <c r="Q112" i="2" s="1"/>
  <c r="O113" i="2"/>
  <c r="X113" i="2" s="1"/>
  <c r="AC113" i="2" s="1"/>
  <c r="AD113" i="2" s="1"/>
  <c r="O114" i="2"/>
  <c r="O115" i="2"/>
  <c r="U115" i="2" s="1"/>
  <c r="V115" i="2" s="1"/>
  <c r="O118" i="2"/>
  <c r="U118" i="2" s="1"/>
  <c r="V118" i="2" s="1"/>
  <c r="O119" i="2"/>
  <c r="X119" i="2" s="1"/>
  <c r="AC119" i="2" s="1"/>
  <c r="AD119" i="2" s="1"/>
  <c r="O120" i="2"/>
  <c r="O121" i="2"/>
  <c r="X121" i="2" s="1"/>
  <c r="O122" i="2"/>
  <c r="U122" i="2" s="1"/>
  <c r="V122" i="2" s="1"/>
  <c r="O123" i="2"/>
  <c r="O124" i="2"/>
  <c r="P124" i="2" s="1"/>
  <c r="Q124" i="2" s="1"/>
  <c r="O125" i="2"/>
  <c r="X125" i="2" s="1"/>
  <c r="O126" i="2"/>
  <c r="U126" i="2" s="1"/>
  <c r="V126" i="2" s="1"/>
  <c r="O127" i="2"/>
  <c r="U127" i="2" s="1"/>
  <c r="Z127" i="2" s="1"/>
  <c r="O128" i="2"/>
  <c r="P128" i="2" s="1"/>
  <c r="Q128" i="2" s="1"/>
  <c r="O136" i="2"/>
  <c r="P136" i="2" s="1"/>
  <c r="Q136" i="2" s="1"/>
  <c r="O137" i="2"/>
  <c r="U137" i="2" s="1"/>
  <c r="O138" i="2"/>
  <c r="O139" i="2"/>
  <c r="U139" i="2" s="1"/>
  <c r="V139" i="2" s="1"/>
  <c r="O140" i="2"/>
  <c r="P140" i="2" s="1"/>
  <c r="Q140" i="2" s="1"/>
  <c r="O141" i="2"/>
  <c r="U141" i="2" s="1"/>
  <c r="V141" i="2" s="1"/>
  <c r="O142" i="2"/>
  <c r="X142" i="2" s="1"/>
  <c r="O143" i="2"/>
  <c r="P143" i="2" s="1"/>
  <c r="Q143" i="2" s="1"/>
  <c r="O144" i="2"/>
  <c r="U144" i="2" s="1"/>
  <c r="V144" i="2" s="1"/>
  <c r="O145" i="2"/>
  <c r="X145" i="2" s="1"/>
  <c r="AC145" i="2" s="1"/>
  <c r="AD145" i="2" s="1"/>
  <c r="O146" i="2"/>
  <c r="P146" i="2" s="1"/>
  <c r="Q146" i="2" s="1"/>
  <c r="O147" i="2"/>
  <c r="X147" i="2" s="1"/>
  <c r="AC147" i="2" s="1"/>
  <c r="AD147" i="2" s="1"/>
  <c r="O150" i="2"/>
  <c r="U150" i="2" s="1"/>
  <c r="Z150" i="2" s="1"/>
  <c r="O151" i="2"/>
  <c r="O152" i="2"/>
  <c r="X152" i="2" s="1"/>
  <c r="O153" i="2"/>
  <c r="U153" i="2" s="1"/>
  <c r="V153" i="2" s="1"/>
  <c r="O154" i="2"/>
  <c r="U154" i="2" s="1"/>
  <c r="V154" i="2" s="1"/>
  <c r="O155" i="2"/>
  <c r="U155" i="2" s="1"/>
  <c r="Z155" i="2" s="1"/>
  <c r="O156" i="2"/>
  <c r="X156" i="2" s="1"/>
  <c r="O157" i="2"/>
  <c r="X157" i="2" s="1"/>
  <c r="AC157" i="2" s="1"/>
  <c r="AD157" i="2" s="1"/>
  <c r="O158" i="2"/>
  <c r="P158" i="2" s="1"/>
  <c r="Q158" i="2" s="1"/>
  <c r="O159" i="2"/>
  <c r="U159" i="2" s="1"/>
  <c r="Z159" i="2" s="1"/>
  <c r="O160" i="2"/>
  <c r="X160" i="2" s="1"/>
  <c r="O164" i="2"/>
  <c r="P164" i="2" s="1"/>
  <c r="Q164" i="2" s="1"/>
  <c r="O165" i="2"/>
  <c r="U165" i="2" s="1"/>
  <c r="Z165" i="2" s="1"/>
  <c r="O169" i="2"/>
  <c r="P169" i="2" s="1"/>
  <c r="Q169" i="2" s="1"/>
  <c r="O170" i="2"/>
  <c r="P170" i="2" s="1"/>
  <c r="Q170" i="2" s="1"/>
  <c r="O171" i="2"/>
  <c r="X171" i="2" s="1"/>
  <c r="O172" i="2"/>
  <c r="O173" i="2"/>
  <c r="U173" i="2" s="1"/>
  <c r="V173" i="2" s="1"/>
  <c r="O174" i="2"/>
  <c r="X174" i="2" s="1"/>
  <c r="AC174" i="2" s="1"/>
  <c r="AD174" i="2" s="1"/>
  <c r="O175" i="2"/>
  <c r="P175" i="2" s="1"/>
  <c r="Q175" i="2" s="1"/>
  <c r="O176" i="2"/>
  <c r="O177" i="2"/>
  <c r="P177" i="2" s="1"/>
  <c r="Q177" i="2" s="1"/>
  <c r="O180" i="2"/>
  <c r="X180" i="2" s="1"/>
  <c r="O181" i="2"/>
  <c r="U181" i="2" s="1"/>
  <c r="O182" i="2"/>
  <c r="O187" i="2"/>
  <c r="U187" i="2" s="1"/>
  <c r="Z187" i="2" s="1"/>
  <c r="O188" i="2"/>
  <c r="P188" i="2" s="1"/>
  <c r="Q188" i="2" s="1"/>
  <c r="O189" i="2"/>
  <c r="U189" i="2" s="1"/>
  <c r="Z189" i="2" s="1"/>
  <c r="O190" i="2"/>
  <c r="U190" i="2" s="1"/>
  <c r="Z190" i="2" s="1"/>
  <c r="O191" i="2"/>
  <c r="P191" i="2" s="1"/>
  <c r="Q191" i="2" s="1"/>
  <c r="O192" i="2"/>
  <c r="U192" i="2" s="1"/>
  <c r="V192" i="2" s="1"/>
  <c r="O193" i="2"/>
  <c r="O194" i="2"/>
  <c r="P194" i="2" s="1"/>
  <c r="Q194" i="2" s="1"/>
  <c r="O195" i="2"/>
  <c r="P195" i="2" s="1"/>
  <c r="Q195" i="2" s="1"/>
  <c r="O196" i="2"/>
  <c r="O197" i="2"/>
  <c r="X197" i="2" s="1"/>
  <c r="AC197" i="2" s="1"/>
  <c r="AD197" i="2" s="1"/>
  <c r="O198" i="2"/>
  <c r="X198" i="2" s="1"/>
  <c r="O199" i="2"/>
  <c r="X199" i="2" s="1"/>
  <c r="O201" i="2"/>
  <c r="P201" i="2" s="1"/>
  <c r="Q201" i="2" s="1"/>
  <c r="O202" i="2"/>
  <c r="P202" i="2" s="1"/>
  <c r="Q202" i="2" s="1"/>
  <c r="O203" i="2"/>
  <c r="P203" i="2" s="1"/>
  <c r="Q203" i="2" s="1"/>
  <c r="O204" i="2"/>
  <c r="U204" i="2" s="1"/>
  <c r="Z204" i="2" s="1"/>
  <c r="O205" i="2"/>
  <c r="X205" i="2" s="1"/>
  <c r="AC205" i="2" s="1"/>
  <c r="AD205" i="2" s="1"/>
  <c r="O206" i="2"/>
  <c r="P206" i="2" s="1"/>
  <c r="Q206" i="2" s="1"/>
  <c r="O207" i="2"/>
  <c r="P207" i="2" s="1"/>
  <c r="Q207" i="2" s="1"/>
  <c r="O208" i="2"/>
  <c r="O209" i="2"/>
  <c r="X209" i="2" s="1"/>
  <c r="AC209" i="2" s="1"/>
  <c r="AD209" i="2" s="1"/>
  <c r="O210" i="2"/>
  <c r="P210" i="2" s="1"/>
  <c r="Q210" i="2" s="1"/>
  <c r="O211" i="2"/>
  <c r="X211" i="2" s="1"/>
  <c r="O212" i="2"/>
  <c r="O213" i="2"/>
  <c r="P213" i="2" s="1"/>
  <c r="Q213" i="2" s="1"/>
  <c r="O214" i="2"/>
  <c r="O215" i="2"/>
  <c r="X215" i="2" s="1"/>
  <c r="AC215" i="2" s="1"/>
  <c r="AD215" i="2" s="1"/>
  <c r="O216" i="2"/>
  <c r="X216" i="2" s="1"/>
  <c r="AC216" i="2" s="1"/>
  <c r="AD216" i="2" s="1"/>
  <c r="O217" i="2"/>
  <c r="O218" i="2"/>
  <c r="X218" i="2" s="1"/>
  <c r="O220" i="2"/>
  <c r="U220" i="2" s="1"/>
  <c r="O221" i="2"/>
  <c r="X221" i="2" s="1"/>
  <c r="O222" i="2"/>
  <c r="O223" i="2"/>
  <c r="P223" i="2" s="1"/>
  <c r="Q223" i="2" s="1"/>
  <c r="O228" i="2"/>
  <c r="U228" i="2" s="1"/>
  <c r="V228" i="2" s="1"/>
  <c r="O229" i="2"/>
  <c r="X229" i="2" s="1"/>
  <c r="O230" i="2"/>
  <c r="U230" i="2" s="1"/>
  <c r="V230" i="2" s="1"/>
  <c r="O231" i="2"/>
  <c r="P231" i="2" s="1"/>
  <c r="Q231" i="2" s="1"/>
  <c r="O232" i="2"/>
  <c r="P232" i="2" s="1"/>
  <c r="Q232" i="2" s="1"/>
  <c r="O233" i="2"/>
  <c r="O234" i="2"/>
  <c r="O235" i="2"/>
  <c r="O236" i="2"/>
  <c r="O237" i="2"/>
  <c r="P237" i="2" s="1"/>
  <c r="Q237" i="2" s="1"/>
  <c r="O238" i="2"/>
  <c r="O239" i="2"/>
  <c r="U239" i="2" s="1"/>
  <c r="V239" i="2" s="1"/>
  <c r="O240" i="2"/>
  <c r="P240" i="2" s="1"/>
  <c r="Q240" i="2" s="1"/>
  <c r="O241" i="2"/>
  <c r="O242" i="2"/>
  <c r="U242" i="2" s="1"/>
  <c r="Z242" i="2" s="1"/>
  <c r="O243" i="2"/>
  <c r="O244" i="2"/>
  <c r="X244" i="2" s="1"/>
  <c r="O245" i="2"/>
  <c r="X245" i="2" s="1"/>
  <c r="AC245" i="2" s="1"/>
  <c r="AD245" i="2" s="1"/>
  <c r="O246" i="2"/>
  <c r="U246" i="2" s="1"/>
  <c r="V246" i="2" s="1"/>
  <c r="O247" i="2"/>
  <c r="U247" i="2" s="1"/>
  <c r="Z247" i="2" s="1"/>
  <c r="O248" i="2"/>
  <c r="O249" i="2"/>
  <c r="U249" i="2" s="1"/>
  <c r="V249" i="2" s="1"/>
  <c r="O250" i="2"/>
  <c r="P250" i="2" s="1"/>
  <c r="Q250" i="2" s="1"/>
  <c r="O251" i="2"/>
  <c r="U251" i="2" s="1"/>
  <c r="O252" i="2"/>
  <c r="X252" i="2" s="1"/>
  <c r="O253" i="2"/>
  <c r="X253" i="2" s="1"/>
  <c r="O254" i="2"/>
  <c r="P254" i="2" s="1"/>
  <c r="Q254" i="2" s="1"/>
  <c r="O255" i="2"/>
  <c r="U255" i="2" s="1"/>
  <c r="Z255" i="2" s="1"/>
  <c r="O256" i="2"/>
  <c r="X256" i="2" s="1"/>
  <c r="O257" i="2"/>
  <c r="O258" i="2"/>
  <c r="X258" i="2" s="1"/>
  <c r="O259" i="2"/>
  <c r="U259" i="2" s="1"/>
  <c r="V259" i="2" s="1"/>
  <c r="O260" i="2"/>
  <c r="O261" i="2"/>
  <c r="P261" i="2" s="1"/>
  <c r="Q261" i="2" s="1"/>
  <c r="O262" i="2"/>
  <c r="P262" i="2" s="1"/>
  <c r="Q262" i="2" s="1"/>
  <c r="O263" i="2"/>
  <c r="P263" i="2" s="1"/>
  <c r="Q263" i="2" s="1"/>
  <c r="O264" i="2"/>
  <c r="P264" i="2" s="1"/>
  <c r="Q264" i="2" s="1"/>
  <c r="O265" i="2"/>
  <c r="X265" i="2" s="1"/>
  <c r="O266" i="2"/>
  <c r="X266" i="2" s="1"/>
  <c r="O267" i="2"/>
  <c r="P267" i="2" s="1"/>
  <c r="Q267" i="2" s="1"/>
  <c r="O268" i="2"/>
  <c r="P268" i="2" s="1"/>
  <c r="Q268" i="2" s="1"/>
  <c r="O269" i="2"/>
  <c r="U269" i="2" s="1"/>
  <c r="V269" i="2" s="1"/>
  <c r="O270" i="2"/>
  <c r="O273" i="2"/>
  <c r="O274" i="2"/>
  <c r="O275" i="2"/>
  <c r="X275" i="2" s="1"/>
  <c r="O276" i="2"/>
  <c r="X276" i="2" s="1"/>
  <c r="O277" i="2"/>
  <c r="P277" i="2" s="1"/>
  <c r="Q277" i="2" s="1"/>
  <c r="O280" i="2"/>
  <c r="X280" i="2" s="1"/>
  <c r="O282" i="2"/>
  <c r="P282" i="2" s="1"/>
  <c r="Q282" i="2" s="1"/>
  <c r="O283" i="2"/>
  <c r="P283" i="2" s="1"/>
  <c r="Q283" i="2" s="1"/>
  <c r="O284" i="2"/>
  <c r="P284" i="2" s="1"/>
  <c r="Q284" i="2" s="1"/>
  <c r="O285" i="2"/>
  <c r="X285" i="2" s="1"/>
  <c r="O286" i="2"/>
  <c r="O287" i="2"/>
  <c r="P287" i="2" s="1"/>
  <c r="Q287" i="2" s="1"/>
  <c r="O288" i="2"/>
  <c r="P288" i="2" s="1"/>
  <c r="Q288" i="2" s="1"/>
  <c r="O289" i="2"/>
  <c r="U289" i="2" s="1"/>
  <c r="V289" i="2" s="1"/>
  <c r="O290" i="2"/>
  <c r="U290" i="2" s="1"/>
  <c r="V290" i="2" s="1"/>
  <c r="O291" i="2"/>
  <c r="X291" i="2" s="1"/>
  <c r="AC291" i="2" s="1"/>
  <c r="O292" i="2"/>
  <c r="P292" i="2" s="1"/>
  <c r="Q292" i="2" s="1"/>
  <c r="O293" i="2"/>
  <c r="P293" i="2" s="1"/>
  <c r="Q293" i="2" s="1"/>
  <c r="O294" i="2"/>
  <c r="X294" i="2" s="1"/>
  <c r="O295" i="2"/>
  <c r="U295" i="2" s="1"/>
  <c r="Z295" i="2" s="1"/>
  <c r="O296" i="2"/>
  <c r="P296" i="2" s="1"/>
  <c r="Q296" i="2" s="1"/>
  <c r="O297" i="2"/>
  <c r="P297" i="2" s="1"/>
  <c r="Q297" i="2" s="1"/>
  <c r="O298" i="2"/>
  <c r="P298" i="2" s="1"/>
  <c r="Q298" i="2" s="1"/>
  <c r="O301" i="2"/>
  <c r="P301" i="2" s="1"/>
  <c r="Q301" i="2" s="1"/>
  <c r="O302" i="2"/>
  <c r="U302" i="2" s="1"/>
  <c r="V302" i="2" s="1"/>
  <c r="O303" i="2"/>
  <c r="P303" i="2" s="1"/>
  <c r="Q303" i="2" s="1"/>
  <c r="O305" i="2"/>
  <c r="P305" i="2" s="1"/>
  <c r="Q305" i="2" s="1"/>
  <c r="O306" i="2"/>
  <c r="P306" i="2" s="1"/>
  <c r="Q306" i="2" s="1"/>
  <c r="O307" i="2"/>
  <c r="X307" i="2" s="1"/>
  <c r="AC307" i="2" s="1"/>
  <c r="O308" i="2"/>
  <c r="U308" i="2" s="1"/>
  <c r="V308" i="2" s="1"/>
  <c r="O309" i="2"/>
  <c r="U309" i="2" s="1"/>
  <c r="Z309" i="2" s="1"/>
  <c r="O310" i="2"/>
  <c r="P310" i="2" s="1"/>
  <c r="Q310" i="2" s="1"/>
  <c r="O311" i="2"/>
  <c r="X311" i="2" s="1"/>
  <c r="O312" i="2"/>
  <c r="U312" i="2" s="1"/>
  <c r="V312" i="2" s="1"/>
  <c r="O315" i="2"/>
  <c r="X315" i="2" s="1"/>
  <c r="O5" i="2"/>
  <c r="L163" i="2"/>
  <c r="O163" i="2" s="1"/>
  <c r="P163" i="2" s="1"/>
  <c r="Q163" i="2" s="1"/>
  <c r="L162" i="2"/>
  <c r="O162" i="2" s="1"/>
  <c r="U162" i="2" s="1"/>
  <c r="V162" i="2" s="1"/>
  <c r="L161" i="2"/>
  <c r="O161" i="2" s="1"/>
  <c r="X161" i="2" s="1"/>
  <c r="L111" i="2"/>
  <c r="O111" i="2" s="1"/>
  <c r="X111" i="2" s="1"/>
  <c r="AC111" i="2" s="1"/>
  <c r="AD111" i="2" s="1"/>
  <c r="L110" i="2"/>
  <c r="O110" i="2" s="1"/>
  <c r="P110" i="2" s="1"/>
  <c r="Q110" i="2" s="1"/>
  <c r="L109" i="2"/>
  <c r="O109" i="2" s="1"/>
  <c r="X109" i="2" s="1"/>
  <c r="AC109" i="2" s="1"/>
  <c r="AD109" i="2" s="1"/>
  <c r="G144" i="35"/>
  <c r="M101" i="35"/>
  <c r="K104" i="35" s="1"/>
  <c r="G119" i="35"/>
  <c r="D90" i="60"/>
  <c r="D89" i="60"/>
  <c r="D82" i="60"/>
  <c r="D81" i="60"/>
  <c r="D80" i="60"/>
  <c r="D79" i="60"/>
  <c r="D78" i="60"/>
  <c r="D71" i="60"/>
  <c r="D70" i="60"/>
  <c r="D69" i="60"/>
  <c r="D68" i="60"/>
  <c r="D67" i="60"/>
  <c r="D66" i="60"/>
  <c r="D65" i="60"/>
  <c r="D64" i="60"/>
  <c r="D63" i="60"/>
  <c r="D62" i="60"/>
  <c r="D61" i="60"/>
  <c r="D54" i="60"/>
  <c r="D53" i="60"/>
  <c r="D52" i="60"/>
  <c r="D51" i="60"/>
  <c r="D50" i="60"/>
  <c r="D49" i="60"/>
  <c r="D48" i="60"/>
  <c r="D47" i="60"/>
  <c r="D46" i="60"/>
  <c r="D45" i="60"/>
  <c r="D44" i="60"/>
  <c r="D43" i="60"/>
  <c r="D42" i="60"/>
  <c r="D41" i="60"/>
  <c r="D40" i="60"/>
  <c r="D39" i="60"/>
  <c r="D38" i="60"/>
  <c r="D31" i="60"/>
  <c r="D30" i="60"/>
  <c r="D29" i="60"/>
  <c r="D28" i="60"/>
  <c r="D27" i="60"/>
  <c r="D26" i="60"/>
  <c r="D25" i="60"/>
  <c r="D24" i="60"/>
  <c r="D23" i="60"/>
  <c r="D22" i="60"/>
  <c r="D21" i="60"/>
  <c r="D20" i="60"/>
  <c r="D19" i="60"/>
  <c r="D18" i="60"/>
  <c r="D17" i="60"/>
  <c r="D16" i="60"/>
  <c r="D7" i="60"/>
  <c r="D8" i="60"/>
  <c r="D9" i="60"/>
  <c r="D6" i="60"/>
  <c r="B88" i="51"/>
  <c r="B89" i="51"/>
  <c r="B90" i="51"/>
  <c r="B91" i="51"/>
  <c r="B92" i="51"/>
  <c r="B93" i="51"/>
  <c r="B94" i="51"/>
  <c r="B95" i="51"/>
  <c r="B96" i="51"/>
  <c r="B97" i="51"/>
  <c r="B98" i="51"/>
  <c r="B99" i="51"/>
  <c r="B100" i="51"/>
  <c r="B101" i="51"/>
  <c r="B102" i="51"/>
  <c r="B103" i="51"/>
  <c r="B104" i="51"/>
  <c r="B105" i="51"/>
  <c r="B87" i="51"/>
  <c r="L27" i="51"/>
  <c r="H27" i="51"/>
  <c r="M22" i="51"/>
  <c r="M23" i="51"/>
  <c r="M24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6" i="51"/>
  <c r="X167" i="48"/>
  <c r="X168" i="48"/>
  <c r="X169" i="48"/>
  <c r="J120" i="48"/>
  <c r="X120" i="48"/>
  <c r="J121" i="48"/>
  <c r="X121" i="48"/>
  <c r="J122" i="48"/>
  <c r="X122" i="48"/>
  <c r="BH75" i="48"/>
  <c r="X72" i="48"/>
  <c r="X73" i="48"/>
  <c r="X74" i="48"/>
  <c r="J72" i="48"/>
  <c r="J73" i="48"/>
  <c r="J74" i="48"/>
  <c r="X23" i="48"/>
  <c r="X24" i="48"/>
  <c r="X25" i="48"/>
  <c r="J23" i="48"/>
  <c r="J24" i="48"/>
  <c r="J25" i="48"/>
  <c r="BH23" i="48"/>
  <c r="BH24" i="48"/>
  <c r="BH25" i="48"/>
  <c r="AC23" i="48"/>
  <c r="AC24" i="48"/>
  <c r="AC25" i="48"/>
  <c r="C66" i="44"/>
  <c r="D66" i="44"/>
  <c r="E66" i="44" s="1"/>
  <c r="I66" i="44" s="1"/>
  <c r="H26" i="44"/>
  <c r="K26" i="44" s="1"/>
  <c r="H27" i="44"/>
  <c r="M27" i="44" s="1"/>
  <c r="H28" i="44"/>
  <c r="K28" i="44" s="1"/>
  <c r="H29" i="44"/>
  <c r="N29" i="44" s="1"/>
  <c r="H30" i="44"/>
  <c r="M30" i="44" s="1"/>
  <c r="H31" i="44"/>
  <c r="L31" i="44" s="1"/>
  <c r="H32" i="44"/>
  <c r="I32" i="44" s="1"/>
  <c r="D97" i="22"/>
  <c r="D96" i="22"/>
  <c r="D95" i="22"/>
  <c r="D94" i="22"/>
  <c r="D93" i="22"/>
  <c r="B90" i="22"/>
  <c r="B14" i="52"/>
  <c r="C3" i="52"/>
  <c r="K3" i="52" s="1"/>
  <c r="C35" i="42"/>
  <c r="I36" i="42" s="1"/>
  <c r="C107" i="41"/>
  <c r="C106" i="41"/>
  <c r="D53" i="41"/>
  <c r="E53" i="41"/>
  <c r="F53" i="41"/>
  <c r="G53" i="41"/>
  <c r="H53" i="41"/>
  <c r="I53" i="41"/>
  <c r="J53" i="41"/>
  <c r="K53" i="41"/>
  <c r="L53" i="41"/>
  <c r="M53" i="41"/>
  <c r="N53" i="41"/>
  <c r="O53" i="41"/>
  <c r="P53" i="41"/>
  <c r="O105" i="35"/>
  <c r="O106" i="35"/>
  <c r="O107" i="35"/>
  <c r="O108" i="35"/>
  <c r="O109" i="35"/>
  <c r="O110" i="35"/>
  <c r="O111" i="35"/>
  <c r="O112" i="35"/>
  <c r="O113" i="35"/>
  <c r="O114" i="35"/>
  <c r="O115" i="35"/>
  <c r="O116" i="35"/>
  <c r="O117" i="35"/>
  <c r="O118" i="35"/>
  <c r="O119" i="35"/>
  <c r="O104" i="35"/>
  <c r="A118" i="35"/>
  <c r="A117" i="35"/>
  <c r="A116" i="35"/>
  <c r="A115" i="35"/>
  <c r="A114" i="35"/>
  <c r="A113" i="35"/>
  <c r="A112" i="35"/>
  <c r="A111" i="35"/>
  <c r="A110" i="35"/>
  <c r="A109" i="35"/>
  <c r="A108" i="35"/>
  <c r="A107" i="35"/>
  <c r="A106" i="35"/>
  <c r="A105" i="35"/>
  <c r="A104" i="35"/>
  <c r="F80" i="35"/>
  <c r="F81" i="35"/>
  <c r="F82" i="35"/>
  <c r="F83" i="35"/>
  <c r="F84" i="35"/>
  <c r="F85" i="35"/>
  <c r="F86" i="35"/>
  <c r="F87" i="35"/>
  <c r="F88" i="35"/>
  <c r="N79" i="60"/>
  <c r="N80" i="60"/>
  <c r="H83" i="60"/>
  <c r="Q13" i="41"/>
  <c r="Q15" i="41" s="1"/>
  <c r="Q8" i="41"/>
  <c r="Q9" i="41" s="1"/>
  <c r="I8" i="41"/>
  <c r="I9" i="41" s="1"/>
  <c r="H8" i="41"/>
  <c r="H9" i="41" s="1"/>
  <c r="G8" i="41"/>
  <c r="G10" i="41" s="1"/>
  <c r="F8" i="41"/>
  <c r="F10" i="41" s="1"/>
  <c r="E8" i="41"/>
  <c r="E9" i="41" s="1"/>
  <c r="D8" i="41"/>
  <c r="D10" i="41" s="1"/>
  <c r="P7" i="41"/>
  <c r="O8" i="41"/>
  <c r="O9" i="41" s="1"/>
  <c r="N8" i="41"/>
  <c r="N9" i="41" s="1"/>
  <c r="J8" i="41"/>
  <c r="J9" i="41" s="1"/>
  <c r="P6" i="41"/>
  <c r="K8" i="41"/>
  <c r="K9" i="41" s="1"/>
  <c r="L8" i="41"/>
  <c r="L9" i="41" s="1"/>
  <c r="M8" i="41"/>
  <c r="M10" i="41" s="1"/>
  <c r="L245" i="2"/>
  <c r="L244" i="2"/>
  <c r="L239" i="2"/>
  <c r="L238" i="2"/>
  <c r="L223" i="2"/>
  <c r="EF197" i="1"/>
  <c r="EE197" i="1"/>
  <c r="ED197" i="1"/>
  <c r="EC197" i="1"/>
  <c r="EB197" i="1"/>
  <c r="EA197" i="1"/>
  <c r="DX197" i="1"/>
  <c r="DW197" i="1"/>
  <c r="DV197" i="1"/>
  <c r="DU197" i="1"/>
  <c r="DD197" i="1"/>
  <c r="AL197" i="1" s="1"/>
  <c r="DC197" i="1"/>
  <c r="CO197" i="1" s="1"/>
  <c r="DB197" i="1"/>
  <c r="CN197" i="1" s="1"/>
  <c r="DA197" i="1"/>
  <c r="CZ197" i="1"/>
  <c r="T197" i="1" s="1"/>
  <c r="DN197" i="1" s="1"/>
  <c r="CY197" i="1"/>
  <c r="CK197" i="1" s="1"/>
  <c r="CX197" i="1"/>
  <c r="CJ197" i="1" s="1"/>
  <c r="CW197" i="1"/>
  <c r="Q197" i="1" s="1"/>
  <c r="DK197" i="1" s="1"/>
  <c r="CV197" i="1"/>
  <c r="AD197" i="1" s="1"/>
  <c r="CU197" i="1"/>
  <c r="CG197" i="1" s="1"/>
  <c r="CT197" i="1"/>
  <c r="CF197" i="1" s="1"/>
  <c r="CS197" i="1"/>
  <c r="AN197" i="1"/>
  <c r="G197" i="1"/>
  <c r="L314" i="2"/>
  <c r="O314" i="2" s="1"/>
  <c r="P314" i="2" s="1"/>
  <c r="Q314" i="2" s="1"/>
  <c r="L313" i="2"/>
  <c r="O313" i="2" s="1"/>
  <c r="X313" i="2" s="1"/>
  <c r="L304" i="2"/>
  <c r="O304" i="2" s="1"/>
  <c r="X304" i="2" s="1"/>
  <c r="L306" i="2"/>
  <c r="M280" i="2"/>
  <c r="M281" i="2"/>
  <c r="O281" i="2" s="1"/>
  <c r="X281" i="2" s="1"/>
  <c r="M279" i="2"/>
  <c r="O279" i="2" s="1"/>
  <c r="U279" i="2" s="1"/>
  <c r="V279" i="2" s="1"/>
  <c r="M278" i="2"/>
  <c r="O278" i="2" s="1"/>
  <c r="P278" i="2" s="1"/>
  <c r="Q278" i="2" s="1"/>
  <c r="Y257" i="2"/>
  <c r="AA257" i="2"/>
  <c r="Y258" i="2"/>
  <c r="AA258" i="2"/>
  <c r="Y259" i="2"/>
  <c r="AA259" i="2"/>
  <c r="Y260" i="2"/>
  <c r="AA260" i="2"/>
  <c r="Y261" i="2"/>
  <c r="AA261" i="2"/>
  <c r="Y262" i="2"/>
  <c r="AA262" i="2"/>
  <c r="Y263" i="2"/>
  <c r="AA263" i="2"/>
  <c r="Y264" i="2"/>
  <c r="AA264" i="2"/>
  <c r="Y265" i="2"/>
  <c r="AA265" i="2"/>
  <c r="Y266" i="2"/>
  <c r="AA266" i="2"/>
  <c r="Y267" i="2"/>
  <c r="AA267" i="2"/>
  <c r="Y268" i="2"/>
  <c r="AA268" i="2"/>
  <c r="Y269" i="2"/>
  <c r="AA269" i="2"/>
  <c r="Y270" i="2"/>
  <c r="AA270" i="2"/>
  <c r="Y271" i="2"/>
  <c r="AA271" i="2"/>
  <c r="Y272" i="2"/>
  <c r="AA272" i="2"/>
  <c r="Y273" i="2"/>
  <c r="AA273" i="2"/>
  <c r="Y274" i="2"/>
  <c r="AA274" i="2"/>
  <c r="Y275" i="2"/>
  <c r="AA275" i="2"/>
  <c r="Y276" i="2"/>
  <c r="AA276" i="2"/>
  <c r="Y277" i="2"/>
  <c r="AA277" i="2"/>
  <c r="Y278" i="2"/>
  <c r="AA278" i="2"/>
  <c r="Y279" i="2"/>
  <c r="AA279" i="2"/>
  <c r="Y280" i="2"/>
  <c r="AA280" i="2"/>
  <c r="Y281" i="2"/>
  <c r="AA281" i="2"/>
  <c r="Y282" i="2"/>
  <c r="AA282" i="2"/>
  <c r="Y283" i="2"/>
  <c r="AA283" i="2"/>
  <c r="Y284" i="2"/>
  <c r="AA284" i="2"/>
  <c r="Y285" i="2"/>
  <c r="AA285" i="2"/>
  <c r="Y286" i="2"/>
  <c r="AA286" i="2"/>
  <c r="Y287" i="2"/>
  <c r="AA287" i="2"/>
  <c r="Y288" i="2"/>
  <c r="AA288" i="2"/>
  <c r="Y289" i="2"/>
  <c r="AA289" i="2"/>
  <c r="Y290" i="2"/>
  <c r="AA290" i="2"/>
  <c r="Y291" i="2"/>
  <c r="AA291" i="2"/>
  <c r="Y292" i="2"/>
  <c r="AA292" i="2"/>
  <c r="Y293" i="2"/>
  <c r="AA293" i="2"/>
  <c r="Y294" i="2"/>
  <c r="AA294" i="2"/>
  <c r="Y295" i="2"/>
  <c r="AA295" i="2"/>
  <c r="Y296" i="2"/>
  <c r="AA296" i="2"/>
  <c r="Y297" i="2"/>
  <c r="AA297" i="2"/>
  <c r="Y298" i="2"/>
  <c r="AA298" i="2"/>
  <c r="Y299" i="2"/>
  <c r="AA299" i="2"/>
  <c r="Y300" i="2"/>
  <c r="AA300" i="2"/>
  <c r="Y301" i="2"/>
  <c r="AA301" i="2"/>
  <c r="Y302" i="2"/>
  <c r="AA302" i="2"/>
  <c r="Y303" i="2"/>
  <c r="AA303" i="2"/>
  <c r="Y304" i="2"/>
  <c r="AA304" i="2"/>
  <c r="Y305" i="2"/>
  <c r="AA305" i="2"/>
  <c r="Y306" i="2"/>
  <c r="AA306" i="2"/>
  <c r="Y307" i="2"/>
  <c r="AA307" i="2"/>
  <c r="Y308" i="2"/>
  <c r="AA308" i="2"/>
  <c r="Y309" i="2"/>
  <c r="AA309" i="2"/>
  <c r="Y310" i="2"/>
  <c r="AA310" i="2"/>
  <c r="Y311" i="2"/>
  <c r="AA311" i="2"/>
  <c r="Y312" i="2"/>
  <c r="AA312" i="2"/>
  <c r="Y313" i="2"/>
  <c r="AA313" i="2"/>
  <c r="Y314" i="2"/>
  <c r="AA314" i="2"/>
  <c r="Y315" i="2"/>
  <c r="AA315" i="2"/>
  <c r="AA256" i="2"/>
  <c r="Y256" i="2"/>
  <c r="S256" i="2"/>
  <c r="T256" i="2" s="1"/>
  <c r="S257" i="2"/>
  <c r="T257" i="2" s="1"/>
  <c r="S258" i="2"/>
  <c r="T258" i="2" s="1"/>
  <c r="S259" i="2"/>
  <c r="T259" i="2" s="1"/>
  <c r="S260" i="2"/>
  <c r="T260" i="2" s="1"/>
  <c r="S261" i="2"/>
  <c r="T261" i="2" s="1"/>
  <c r="S262" i="2"/>
  <c r="T262" i="2" s="1"/>
  <c r="S263" i="2"/>
  <c r="T263" i="2" s="1"/>
  <c r="S264" i="2"/>
  <c r="T264" i="2" s="1"/>
  <c r="S265" i="2"/>
  <c r="T265" i="2" s="1"/>
  <c r="S266" i="2"/>
  <c r="T266" i="2" s="1"/>
  <c r="S267" i="2"/>
  <c r="T267" i="2" s="1"/>
  <c r="S268" i="2"/>
  <c r="T268" i="2" s="1"/>
  <c r="S269" i="2"/>
  <c r="T269" i="2" s="1"/>
  <c r="S270" i="2"/>
  <c r="T270" i="2" s="1"/>
  <c r="S271" i="2"/>
  <c r="T271" i="2" s="1"/>
  <c r="S272" i="2"/>
  <c r="T272" i="2" s="1"/>
  <c r="S273" i="2"/>
  <c r="T273" i="2" s="1"/>
  <c r="S274" i="2"/>
  <c r="T274" i="2" s="1"/>
  <c r="S275" i="2"/>
  <c r="T275" i="2" s="1"/>
  <c r="S276" i="2"/>
  <c r="T276" i="2" s="1"/>
  <c r="S277" i="2"/>
  <c r="T277" i="2" s="1"/>
  <c r="S278" i="2"/>
  <c r="T278" i="2" s="1"/>
  <c r="S279" i="2"/>
  <c r="T279" i="2" s="1"/>
  <c r="S280" i="2"/>
  <c r="T280" i="2" s="1"/>
  <c r="S281" i="2"/>
  <c r="T281" i="2" s="1"/>
  <c r="S282" i="2"/>
  <c r="T282" i="2" s="1"/>
  <c r="S283" i="2"/>
  <c r="T283" i="2" s="1"/>
  <c r="S284" i="2"/>
  <c r="T284" i="2" s="1"/>
  <c r="S285" i="2"/>
  <c r="T285" i="2" s="1"/>
  <c r="S286" i="2"/>
  <c r="T286" i="2" s="1"/>
  <c r="S287" i="2"/>
  <c r="T287" i="2" s="1"/>
  <c r="S288" i="2"/>
  <c r="T288" i="2" s="1"/>
  <c r="S289" i="2"/>
  <c r="T289" i="2" s="1"/>
  <c r="S290" i="2"/>
  <c r="T290" i="2" s="1"/>
  <c r="S291" i="2"/>
  <c r="T291" i="2" s="1"/>
  <c r="S292" i="2"/>
  <c r="T292" i="2" s="1"/>
  <c r="S293" i="2"/>
  <c r="T293" i="2" s="1"/>
  <c r="S294" i="2"/>
  <c r="T294" i="2" s="1"/>
  <c r="S295" i="2"/>
  <c r="T295" i="2" s="1"/>
  <c r="S296" i="2"/>
  <c r="T296" i="2" s="1"/>
  <c r="S297" i="2"/>
  <c r="T297" i="2" s="1"/>
  <c r="S298" i="2"/>
  <c r="T298" i="2" s="1"/>
  <c r="S299" i="2"/>
  <c r="T299" i="2" s="1"/>
  <c r="S300" i="2"/>
  <c r="T300" i="2" s="1"/>
  <c r="S301" i="2"/>
  <c r="T301" i="2" s="1"/>
  <c r="S302" i="2"/>
  <c r="T302" i="2" s="1"/>
  <c r="S303" i="2"/>
  <c r="T303" i="2" s="1"/>
  <c r="S304" i="2"/>
  <c r="T304" i="2" s="1"/>
  <c r="S305" i="2"/>
  <c r="T305" i="2" s="1"/>
  <c r="S306" i="2"/>
  <c r="T306" i="2" s="1"/>
  <c r="S307" i="2"/>
  <c r="T307" i="2" s="1"/>
  <c r="S308" i="2"/>
  <c r="T308" i="2" s="1"/>
  <c r="S309" i="2"/>
  <c r="T309" i="2" s="1"/>
  <c r="S310" i="2"/>
  <c r="T310" i="2" s="1"/>
  <c r="S311" i="2"/>
  <c r="T311" i="2" s="1"/>
  <c r="S312" i="2"/>
  <c r="T312" i="2" s="1"/>
  <c r="S313" i="2"/>
  <c r="T313" i="2" s="1"/>
  <c r="S314" i="2"/>
  <c r="T314" i="2" s="1"/>
  <c r="S315" i="2"/>
  <c r="T315" i="2" s="1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H101" i="60"/>
  <c r="C101" i="60"/>
  <c r="B101" i="60"/>
  <c r="M83" i="60"/>
  <c r="L83" i="60"/>
  <c r="C83" i="60"/>
  <c r="B83" i="60"/>
  <c r="M72" i="60"/>
  <c r="M73" i="60"/>
  <c r="M84" i="60"/>
  <c r="L72" i="60"/>
  <c r="L73" i="60" s="1"/>
  <c r="C72" i="60"/>
  <c r="B72" i="60"/>
  <c r="N71" i="60"/>
  <c r="N70" i="60"/>
  <c r="N69" i="60"/>
  <c r="N68" i="60"/>
  <c r="N67" i="60"/>
  <c r="N66" i="60"/>
  <c r="N65" i="60"/>
  <c r="N64" i="60"/>
  <c r="N63" i="60"/>
  <c r="N62" i="60"/>
  <c r="A62" i="60"/>
  <c r="A63" i="60" s="1"/>
  <c r="A64" i="60" s="1"/>
  <c r="A65" i="60" s="1"/>
  <c r="A66" i="60" s="1"/>
  <c r="A67" i="60" s="1"/>
  <c r="A68" i="60" s="1"/>
  <c r="A69" i="60" s="1"/>
  <c r="A70" i="60" s="1"/>
  <c r="A71" i="60" s="1"/>
  <c r="N61" i="60"/>
  <c r="H72" i="60"/>
  <c r="N56" i="60"/>
  <c r="N55" i="60"/>
  <c r="C55" i="60"/>
  <c r="B55" i="60"/>
  <c r="N54" i="60"/>
  <c r="N53" i="60"/>
  <c r="N52" i="60"/>
  <c r="N51" i="60"/>
  <c r="N50" i="60"/>
  <c r="N49" i="60"/>
  <c r="N48" i="60"/>
  <c r="N47" i="60"/>
  <c r="N46" i="60"/>
  <c r="N45" i="60"/>
  <c r="N44" i="60"/>
  <c r="N43" i="60"/>
  <c r="N42" i="60"/>
  <c r="N41" i="60"/>
  <c r="N40" i="60"/>
  <c r="N39" i="60"/>
  <c r="N38" i="60"/>
  <c r="H55" i="60"/>
  <c r="M32" i="60"/>
  <c r="L32" i="60"/>
  <c r="C32" i="60"/>
  <c r="B32" i="60"/>
  <c r="N31" i="60"/>
  <c r="N30" i="60"/>
  <c r="N29" i="60"/>
  <c r="N28" i="60"/>
  <c r="N27" i="60"/>
  <c r="N26" i="60"/>
  <c r="N25" i="60"/>
  <c r="N24" i="60"/>
  <c r="N23" i="60"/>
  <c r="N22" i="60"/>
  <c r="N21" i="60"/>
  <c r="N20" i="60"/>
  <c r="N19" i="60"/>
  <c r="N18" i="60"/>
  <c r="N17" i="60"/>
  <c r="N16" i="60"/>
  <c r="H32" i="60"/>
  <c r="M10" i="60"/>
  <c r="L10" i="60"/>
  <c r="L11" i="60" s="1"/>
  <c r="L33" i="60" s="1"/>
  <c r="H10" i="60"/>
  <c r="H11" i="60"/>
  <c r="H33" i="60" s="1"/>
  <c r="C10" i="60"/>
  <c r="C11" i="60" s="1"/>
  <c r="B10" i="60"/>
  <c r="N9" i="60"/>
  <c r="N8" i="60"/>
  <c r="N7" i="60"/>
  <c r="N6" i="60"/>
  <c r="C3" i="51"/>
  <c r="C3" i="57"/>
  <c r="I3" i="57" s="1"/>
  <c r="K7" i="57"/>
  <c r="K8" i="57"/>
  <c r="K9" i="57"/>
  <c r="K6" i="57"/>
  <c r="N115" i="58"/>
  <c r="B115" i="58"/>
  <c r="Z112" i="58"/>
  <c r="U112" i="58"/>
  <c r="O82" i="58"/>
  <c r="AW108" i="58"/>
  <c r="AX108" i="58"/>
  <c r="AZ73" i="58"/>
  <c r="BA108" i="58"/>
  <c r="BC76" i="58"/>
  <c r="BB73" i="58"/>
  <c r="AR110" i="58"/>
  <c r="AS110" i="58"/>
  <c r="AT110" i="58"/>
  <c r="AU110" i="58"/>
  <c r="BA73" i="58"/>
  <c r="AS111" i="58"/>
  <c r="AT111" i="58"/>
  <c r="AU111" i="58"/>
  <c r="AV111" i="58"/>
  <c r="AX111" i="58"/>
  <c r="AU112" i="58"/>
  <c r="AX112" i="58"/>
  <c r="AY112" i="58"/>
  <c r="BA112" i="58"/>
  <c r="BB112" i="58"/>
  <c r="AQ109" i="58"/>
  <c r="AQ110" i="58"/>
  <c r="AQ111" i="58"/>
  <c r="AQ108" i="58"/>
  <c r="AY73" i="58"/>
  <c r="AY110" i="58"/>
  <c r="BB110" i="58"/>
  <c r="AR111" i="58"/>
  <c r="AW73" i="58"/>
  <c r="BA111" i="58"/>
  <c r="AS112" i="58"/>
  <c r="AW112" i="58"/>
  <c r="O48" i="58"/>
  <c r="B48" i="58"/>
  <c r="AY38" i="58"/>
  <c r="AZ38" i="58"/>
  <c r="BA38" i="58"/>
  <c r="BB38" i="58"/>
  <c r="AR109" i="58"/>
  <c r="AS38" i="58"/>
  <c r="AT38" i="58"/>
  <c r="AU38" i="58"/>
  <c r="BC42" i="58"/>
  <c r="AV110" i="58"/>
  <c r="AW110" i="58"/>
  <c r="AX110" i="58"/>
  <c r="AZ110" i="58"/>
  <c r="BA110" i="58"/>
  <c r="BC43" i="58"/>
  <c r="AY111" i="58"/>
  <c r="AZ111" i="58"/>
  <c r="BB111" i="58"/>
  <c r="BC44" i="58"/>
  <c r="AT112" i="58"/>
  <c r="Z41" i="58"/>
  <c r="Z76" i="58"/>
  <c r="Z42" i="58"/>
  <c r="Z77" i="58"/>
  <c r="Z43" i="58"/>
  <c r="I43" i="58"/>
  <c r="Z44" i="58"/>
  <c r="Z45" i="58"/>
  <c r="U45" i="58"/>
  <c r="Z40" i="58"/>
  <c r="Z75" i="58"/>
  <c r="U75" i="58"/>
  <c r="O14" i="58"/>
  <c r="B14" i="58"/>
  <c r="BC7" i="58"/>
  <c r="AT5" i="58"/>
  <c r="AU5" i="58"/>
  <c r="AV5" i="58"/>
  <c r="AY5" i="58"/>
  <c r="AZ5" i="58"/>
  <c r="BB5" i="58"/>
  <c r="AX5" i="58"/>
  <c r="AR5" i="58"/>
  <c r="BC9" i="58"/>
  <c r="K113" i="58"/>
  <c r="AV112" i="58"/>
  <c r="AR112" i="58"/>
  <c r="AW111" i="58"/>
  <c r="BB109" i="58"/>
  <c r="BA109" i="58"/>
  <c r="AZ109" i="58"/>
  <c r="AY109" i="58"/>
  <c r="AX109" i="58"/>
  <c r="AW109" i="58"/>
  <c r="BB108" i="58"/>
  <c r="AY108" i="58"/>
  <c r="AV108" i="58"/>
  <c r="AU108" i="58"/>
  <c r="AT108" i="58"/>
  <c r="AS108" i="58"/>
  <c r="AR108" i="58"/>
  <c r="AN106" i="58"/>
  <c r="BC80" i="58"/>
  <c r="U79" i="58"/>
  <c r="AS73" i="58"/>
  <c r="AR73" i="58"/>
  <c r="AN73" i="58"/>
  <c r="AN80" i="58" s="1"/>
  <c r="BC46" i="58"/>
  <c r="K46" i="58"/>
  <c r="BC45" i="58"/>
  <c r="I44" i="58"/>
  <c r="BC40" i="58"/>
  <c r="AN38" i="58"/>
  <c r="W12" i="58"/>
  <c r="U11" i="58"/>
  <c r="U10" i="58"/>
  <c r="I10" i="58"/>
  <c r="U9" i="58"/>
  <c r="I9" i="58"/>
  <c r="U8" i="58"/>
  <c r="I8" i="58"/>
  <c r="U7" i="58"/>
  <c r="I7" i="58"/>
  <c r="BD5" i="58"/>
  <c r="BD106" i="58" s="1"/>
  <c r="BA5" i="58"/>
  <c r="AW5" i="58"/>
  <c r="AS5" i="58"/>
  <c r="AQ5" i="58"/>
  <c r="AN5" i="58"/>
  <c r="M3" i="58"/>
  <c r="AC8" i="48"/>
  <c r="AC9" i="48"/>
  <c r="AC10" i="48"/>
  <c r="AC11" i="48"/>
  <c r="AC12" i="48"/>
  <c r="AC13" i="48"/>
  <c r="AC14" i="48"/>
  <c r="AC15" i="48"/>
  <c r="AC16" i="48"/>
  <c r="AC17" i="48"/>
  <c r="AC18" i="48"/>
  <c r="AC19" i="48"/>
  <c r="AC20" i="48"/>
  <c r="AC21" i="48"/>
  <c r="AC22" i="48"/>
  <c r="AC28" i="48"/>
  <c r="AC7" i="48"/>
  <c r="CS56" i="1"/>
  <c r="CE56" i="1" s="1"/>
  <c r="CS95" i="1"/>
  <c r="M95" i="1" s="1"/>
  <c r="DG95" i="1" s="1"/>
  <c r="CS118" i="1"/>
  <c r="CE118" i="1" s="1"/>
  <c r="CT56" i="1"/>
  <c r="CT95" i="1"/>
  <c r="CT118" i="1"/>
  <c r="CU56" i="1"/>
  <c r="O56" i="1" s="1"/>
  <c r="DI56" i="1" s="1"/>
  <c r="CU95" i="1"/>
  <c r="CG95" i="1" s="1"/>
  <c r="CU118" i="1"/>
  <c r="O118" i="1" s="1"/>
  <c r="BE118" i="1" s="1"/>
  <c r="BS118" i="1" s="1"/>
  <c r="CV56" i="1"/>
  <c r="CH56" i="1" s="1"/>
  <c r="CV95" i="1"/>
  <c r="CH95" i="1" s="1"/>
  <c r="CV118" i="1"/>
  <c r="CH118" i="1" s="1"/>
  <c r="CS13" i="1"/>
  <c r="I16" i="36" s="1"/>
  <c r="CS19" i="1"/>
  <c r="CS159" i="1"/>
  <c r="I17" i="36" s="1"/>
  <c r="CT13" i="1"/>
  <c r="CT19" i="1"/>
  <c r="AB19" i="1" s="1"/>
  <c r="CT159" i="1"/>
  <c r="N159" i="1" s="1"/>
  <c r="DH159" i="1" s="1"/>
  <c r="CU13" i="1"/>
  <c r="CU19" i="1"/>
  <c r="O19" i="1" s="1"/>
  <c r="DI19" i="1" s="1"/>
  <c r="CU159" i="1"/>
  <c r="CV13" i="1"/>
  <c r="L16" i="36" s="1"/>
  <c r="CV19" i="1"/>
  <c r="AD19" i="1" s="1"/>
  <c r="CV159" i="1"/>
  <c r="P159" i="1" s="1"/>
  <c r="DJ159" i="1" s="1"/>
  <c r="L50" i="36" s="1"/>
  <c r="CS24" i="1"/>
  <c r="M24" i="1" s="1"/>
  <c r="DG24" i="1" s="1"/>
  <c r="CS25" i="1"/>
  <c r="M25" i="1" s="1"/>
  <c r="DG25" i="1" s="1"/>
  <c r="CS76" i="1"/>
  <c r="CE76" i="1" s="1"/>
  <c r="CS93" i="1"/>
  <c r="M93" i="1" s="1"/>
  <c r="DG93" i="1" s="1"/>
  <c r="CT24" i="1"/>
  <c r="CT25" i="1"/>
  <c r="N25" i="1" s="1"/>
  <c r="DH25" i="1" s="1"/>
  <c r="CT76" i="1"/>
  <c r="CT93" i="1"/>
  <c r="N93" i="1" s="1"/>
  <c r="DH93" i="1" s="1"/>
  <c r="CU24" i="1"/>
  <c r="CG24" i="1" s="1"/>
  <c r="CU25" i="1"/>
  <c r="CG25" i="1" s="1"/>
  <c r="CU76" i="1"/>
  <c r="O76" i="1" s="1"/>
  <c r="DI76" i="1" s="1"/>
  <c r="CU93" i="1"/>
  <c r="AC93" i="1" s="1"/>
  <c r="CV24" i="1"/>
  <c r="P24" i="1" s="1"/>
  <c r="DJ24" i="1" s="1"/>
  <c r="CV25" i="1"/>
  <c r="P25" i="1" s="1"/>
  <c r="DJ25" i="1" s="1"/>
  <c r="CV76" i="1"/>
  <c r="P76" i="1" s="1"/>
  <c r="DJ76" i="1" s="1"/>
  <c r="CV93" i="1"/>
  <c r="CH93" i="1" s="1"/>
  <c r="CS55" i="1"/>
  <c r="M55" i="1" s="1"/>
  <c r="DG55" i="1" s="1"/>
  <c r="CS65" i="1"/>
  <c r="CT55" i="1"/>
  <c r="AB55" i="1" s="1"/>
  <c r="CT65" i="1"/>
  <c r="CF65" i="1" s="1"/>
  <c r="CU55" i="1"/>
  <c r="AC55" i="1" s="1"/>
  <c r="CU65" i="1"/>
  <c r="CG65" i="1" s="1"/>
  <c r="CV55" i="1"/>
  <c r="AD55" i="1" s="1"/>
  <c r="CV65" i="1"/>
  <c r="AD65" i="1" s="1"/>
  <c r="CS41" i="1"/>
  <c r="CE41" i="1" s="1"/>
  <c r="CS66" i="1"/>
  <c r="CE66" i="1" s="1"/>
  <c r="CS77" i="1"/>
  <c r="CE77" i="1" s="1"/>
  <c r="CT41" i="1"/>
  <c r="AB41" i="1" s="1"/>
  <c r="CT66" i="1"/>
  <c r="N66" i="1" s="1"/>
  <c r="DH66" i="1" s="1"/>
  <c r="CT77" i="1"/>
  <c r="N77" i="1" s="1"/>
  <c r="DH77" i="1" s="1"/>
  <c r="CU41" i="1"/>
  <c r="O41" i="1" s="1"/>
  <c r="BE41" i="1" s="1"/>
  <c r="BS41" i="1" s="1"/>
  <c r="CU66" i="1"/>
  <c r="O66" i="1" s="1"/>
  <c r="CU77" i="1"/>
  <c r="O77" i="1" s="1"/>
  <c r="DI77" i="1" s="1"/>
  <c r="CV41" i="1"/>
  <c r="CH41" i="1" s="1"/>
  <c r="CV66" i="1"/>
  <c r="AD66" i="1" s="1"/>
  <c r="CV77" i="1"/>
  <c r="P77" i="1" s="1"/>
  <c r="CS26" i="1"/>
  <c r="CS96" i="1"/>
  <c r="AA96" i="1" s="1"/>
  <c r="CS97" i="1"/>
  <c r="AA97" i="1" s="1"/>
  <c r="CS98" i="1"/>
  <c r="M98" i="1" s="1"/>
  <c r="BC98" i="1" s="1"/>
  <c r="BQ98" i="1" s="1"/>
  <c r="CT26" i="1"/>
  <c r="CT96" i="1"/>
  <c r="AB96" i="1" s="1"/>
  <c r="CT97" i="1"/>
  <c r="CF97" i="1" s="1"/>
  <c r="CT98" i="1"/>
  <c r="AB98" i="1" s="1"/>
  <c r="CU26" i="1"/>
  <c r="CU96" i="1"/>
  <c r="O96" i="1" s="1"/>
  <c r="DI96" i="1" s="1"/>
  <c r="CU97" i="1"/>
  <c r="O97" i="1" s="1"/>
  <c r="DI97" i="1" s="1"/>
  <c r="CU98" i="1"/>
  <c r="CV26" i="1"/>
  <c r="P26" i="1" s="1"/>
  <c r="CV96" i="1"/>
  <c r="CV97" i="1"/>
  <c r="CH97" i="1" s="1"/>
  <c r="CV98" i="1"/>
  <c r="P98" i="1" s="1"/>
  <c r="DJ98" i="1" s="1"/>
  <c r="CS15" i="1"/>
  <c r="CE15" i="1" s="1"/>
  <c r="CS16" i="1"/>
  <c r="CS17" i="1"/>
  <c r="M17" i="1" s="1"/>
  <c r="DG17" i="1" s="1"/>
  <c r="CS18" i="1"/>
  <c r="M18" i="1" s="1"/>
  <c r="DG18" i="1" s="1"/>
  <c r="CS6" i="1"/>
  <c r="CE6" i="1" s="1"/>
  <c r="CS7" i="1"/>
  <c r="AA7" i="1" s="1"/>
  <c r="CS8" i="1"/>
  <c r="M8" i="1" s="1"/>
  <c r="DG8" i="1" s="1"/>
  <c r="CS9" i="1"/>
  <c r="CS10" i="1"/>
  <c r="M10" i="1" s="1"/>
  <c r="DG10" i="1" s="1"/>
  <c r="CS11" i="1"/>
  <c r="M11" i="1" s="1"/>
  <c r="BC11" i="1" s="1"/>
  <c r="BQ11" i="1" s="1"/>
  <c r="CS12" i="1"/>
  <c r="AA12" i="1" s="1"/>
  <c r="CS14" i="1"/>
  <c r="CS20" i="1"/>
  <c r="M20" i="1" s="1"/>
  <c r="DG20" i="1" s="1"/>
  <c r="AF62" i="48" s="1"/>
  <c r="CS21" i="1"/>
  <c r="M21" i="1" s="1"/>
  <c r="DG21" i="1" s="1"/>
  <c r="I44" i="36" s="1"/>
  <c r="CS22" i="1"/>
  <c r="CE22" i="1" s="1"/>
  <c r="CS23" i="1"/>
  <c r="M23" i="1" s="1"/>
  <c r="CS29" i="1"/>
  <c r="CE29" i="1" s="1"/>
  <c r="CS30" i="1"/>
  <c r="CE30" i="1" s="1"/>
  <c r="CS31" i="1"/>
  <c r="CS32" i="1"/>
  <c r="I7" i="36" s="1"/>
  <c r="CS34" i="1"/>
  <c r="M34" i="1" s="1"/>
  <c r="DG34" i="1" s="1"/>
  <c r="CS35" i="1"/>
  <c r="M35" i="1" s="1"/>
  <c r="BC35" i="1" s="1"/>
  <c r="BQ35" i="1" s="1"/>
  <c r="CS36" i="1"/>
  <c r="M36" i="1" s="1"/>
  <c r="DG36" i="1" s="1"/>
  <c r="CS37" i="1"/>
  <c r="M37" i="1" s="1"/>
  <c r="DG37" i="1" s="1"/>
  <c r="CS38" i="1"/>
  <c r="CS39" i="1"/>
  <c r="M39" i="1" s="1"/>
  <c r="DG39" i="1" s="1"/>
  <c r="CS40" i="1"/>
  <c r="M40" i="1" s="1"/>
  <c r="DG40" i="1" s="1"/>
  <c r="CS42" i="1"/>
  <c r="M42" i="1" s="1"/>
  <c r="DG42" i="1" s="1"/>
  <c r="CS44" i="1"/>
  <c r="M44" i="1" s="1"/>
  <c r="DG44" i="1" s="1"/>
  <c r="CS45" i="1"/>
  <c r="CS46" i="1"/>
  <c r="M46" i="1" s="1"/>
  <c r="DG46" i="1" s="1"/>
  <c r="CS47" i="1"/>
  <c r="CE47" i="1" s="1"/>
  <c r="CS48" i="1"/>
  <c r="AA48" i="1" s="1"/>
  <c r="CS49" i="1"/>
  <c r="M49" i="1" s="1"/>
  <c r="DG49" i="1" s="1"/>
  <c r="CS50" i="1"/>
  <c r="M50" i="1" s="1"/>
  <c r="DG50" i="1" s="1"/>
  <c r="CS51" i="1"/>
  <c r="CE51" i="1" s="1"/>
  <c r="CS52" i="1"/>
  <c r="CE52" i="1" s="1"/>
  <c r="CS53" i="1"/>
  <c r="CE53" i="1" s="1"/>
  <c r="CS54" i="1"/>
  <c r="CS57" i="1"/>
  <c r="M57" i="1" s="1"/>
  <c r="DG57" i="1" s="1"/>
  <c r="CS59" i="1"/>
  <c r="M59" i="1" s="1"/>
  <c r="DG59" i="1" s="1"/>
  <c r="CS60" i="1"/>
  <c r="CE60" i="1" s="1"/>
  <c r="CS61" i="1"/>
  <c r="M61" i="1" s="1"/>
  <c r="BC61" i="1" s="1"/>
  <c r="BQ61" i="1" s="1"/>
  <c r="CS62" i="1"/>
  <c r="M62" i="1" s="1"/>
  <c r="DG62" i="1" s="1"/>
  <c r="CS63" i="1"/>
  <c r="M63" i="1" s="1"/>
  <c r="DG63" i="1" s="1"/>
  <c r="CS64" i="1"/>
  <c r="M64" i="1" s="1"/>
  <c r="DG64" i="1" s="1"/>
  <c r="CS67" i="1"/>
  <c r="CE67" i="1" s="1"/>
  <c r="CS68" i="1"/>
  <c r="AA68" i="1" s="1"/>
  <c r="CS70" i="1"/>
  <c r="AA70" i="1" s="1"/>
  <c r="CS71" i="1"/>
  <c r="AF23" i="48" s="1"/>
  <c r="CS73" i="1"/>
  <c r="CE73" i="1" s="1"/>
  <c r="CS74" i="1"/>
  <c r="CE74" i="1" s="1"/>
  <c r="AF20" i="48"/>
  <c r="CS75" i="1"/>
  <c r="CE75" i="1" s="1"/>
  <c r="CS78" i="1"/>
  <c r="AA78" i="1" s="1"/>
  <c r="CS79" i="1"/>
  <c r="M79" i="1" s="1"/>
  <c r="DG79" i="1" s="1"/>
  <c r="CS80" i="1"/>
  <c r="M80" i="1" s="1"/>
  <c r="DG80" i="1" s="1"/>
  <c r="CS81" i="1"/>
  <c r="M81" i="1" s="1"/>
  <c r="BC81" i="1" s="1"/>
  <c r="BQ81" i="1" s="1"/>
  <c r="CS82" i="1"/>
  <c r="CE82" i="1" s="1"/>
  <c r="CS83" i="1"/>
  <c r="AA83" i="1" s="1"/>
  <c r="CS84" i="1"/>
  <c r="AA84" i="1" s="1"/>
  <c r="CS86" i="1"/>
  <c r="M86" i="1" s="1"/>
  <c r="DG86" i="1" s="1"/>
  <c r="CS87" i="1"/>
  <c r="M87" i="1" s="1"/>
  <c r="DG87" i="1" s="1"/>
  <c r="CS88" i="1"/>
  <c r="CS91" i="1"/>
  <c r="CE91" i="1" s="1"/>
  <c r="CS92" i="1"/>
  <c r="CE92" i="1" s="1"/>
  <c r="CS94" i="1"/>
  <c r="AA94" i="1" s="1"/>
  <c r="CS99" i="1"/>
  <c r="M99" i="1" s="1"/>
  <c r="CS100" i="1"/>
  <c r="AA100" i="1" s="1"/>
  <c r="CS111" i="1"/>
  <c r="AA111" i="1" s="1"/>
  <c r="CS114" i="1"/>
  <c r="M114" i="1" s="1"/>
  <c r="DG114" i="1" s="1"/>
  <c r="CS116" i="1"/>
  <c r="CS117" i="1"/>
  <c r="AA117" i="1" s="1"/>
  <c r="CS119" i="1"/>
  <c r="M119" i="1" s="1"/>
  <c r="BC119" i="1" s="1"/>
  <c r="BQ119" i="1" s="1"/>
  <c r="CS121" i="1"/>
  <c r="M121" i="1" s="1"/>
  <c r="DG121" i="1" s="1"/>
  <c r="CS122" i="1"/>
  <c r="M122" i="1" s="1"/>
  <c r="DG122" i="1" s="1"/>
  <c r="I57" i="36" s="1"/>
  <c r="CS125" i="1"/>
  <c r="M125" i="1" s="1"/>
  <c r="DG125" i="1" s="1"/>
  <c r="CS123" i="1"/>
  <c r="CE123" i="1" s="1"/>
  <c r="CS126" i="1"/>
  <c r="M126" i="1" s="1"/>
  <c r="DG126" i="1" s="1"/>
  <c r="CS128" i="1"/>
  <c r="M128" i="1" s="1"/>
  <c r="DG128" i="1" s="1"/>
  <c r="CS129" i="1"/>
  <c r="CS130" i="1"/>
  <c r="CS131" i="1"/>
  <c r="CE131" i="1" s="1"/>
  <c r="CS132" i="1"/>
  <c r="AA132" i="1" s="1"/>
  <c r="CS134" i="1"/>
  <c r="M134" i="1" s="1"/>
  <c r="DG134" i="1" s="1"/>
  <c r="CS135" i="1"/>
  <c r="M135" i="1" s="1"/>
  <c r="DG135" i="1" s="1"/>
  <c r="CS136" i="1"/>
  <c r="CS137" i="1"/>
  <c r="CS138" i="1"/>
  <c r="M138" i="1" s="1"/>
  <c r="DG138" i="1" s="1"/>
  <c r="CS139" i="1"/>
  <c r="CS140" i="1"/>
  <c r="CS141" i="1"/>
  <c r="CE141" i="1" s="1"/>
  <c r="CS142" i="1"/>
  <c r="AA142" i="1" s="1"/>
  <c r="CS143" i="1"/>
  <c r="AA143" i="1" s="1"/>
  <c r="CS144" i="1"/>
  <c r="M144" i="1" s="1"/>
  <c r="DG144" i="1" s="1"/>
  <c r="CS145" i="1"/>
  <c r="CE145" i="1" s="1"/>
  <c r="CS146" i="1"/>
  <c r="CE146" i="1" s="1"/>
  <c r="CS147" i="1"/>
  <c r="AA147" i="1" s="1"/>
  <c r="CS148" i="1"/>
  <c r="M148" i="1" s="1"/>
  <c r="DG148" i="1" s="1"/>
  <c r="CS149" i="1"/>
  <c r="AA149" i="1" s="1"/>
  <c r="CS150" i="1"/>
  <c r="M150" i="1" s="1"/>
  <c r="BC150" i="1" s="1"/>
  <c r="BQ150" i="1" s="1"/>
  <c r="CS152" i="1"/>
  <c r="AA152" i="1" s="1"/>
  <c r="CS153" i="1"/>
  <c r="M153" i="1" s="1"/>
  <c r="BC153" i="1" s="1"/>
  <c r="BQ153" i="1" s="1"/>
  <c r="CS156" i="1"/>
  <c r="CS208" i="1"/>
  <c r="CS209" i="1"/>
  <c r="M209" i="1" s="1"/>
  <c r="CS210" i="1"/>
  <c r="M210" i="1" s="1"/>
  <c r="DG210" i="1" s="1"/>
  <c r="CS211" i="1"/>
  <c r="M211" i="1" s="1"/>
  <c r="DG211" i="1" s="1"/>
  <c r="CS212" i="1"/>
  <c r="AA212" i="1" s="1"/>
  <c r="CS214" i="1"/>
  <c r="M214" i="1" s="1"/>
  <c r="DG214" i="1" s="1"/>
  <c r="CS215" i="1"/>
  <c r="M215" i="1" s="1"/>
  <c r="BC215" i="1" s="1"/>
  <c r="BQ215" i="1" s="1"/>
  <c r="CS216" i="1"/>
  <c r="CE216" i="1" s="1"/>
  <c r="CS217" i="1"/>
  <c r="CE217" i="1" s="1"/>
  <c r="CS218" i="1"/>
  <c r="CE218" i="1" s="1"/>
  <c r="CS221" i="1"/>
  <c r="AA221" i="1" s="1"/>
  <c r="CS158" i="1"/>
  <c r="M158" i="1" s="1"/>
  <c r="DG158" i="1" s="1"/>
  <c r="CS160" i="1"/>
  <c r="I15" i="36" s="1"/>
  <c r="CS161" i="1"/>
  <c r="AA161" i="1" s="1"/>
  <c r="CS162" i="1"/>
  <c r="M162" i="1" s="1"/>
  <c r="DG162" i="1" s="1"/>
  <c r="CS163" i="1"/>
  <c r="CE163" i="1" s="1"/>
  <c r="CS164" i="1"/>
  <c r="M164" i="1" s="1"/>
  <c r="DG164" i="1" s="1"/>
  <c r="CS166" i="1"/>
  <c r="M166" i="1" s="1"/>
  <c r="DG166" i="1" s="1"/>
  <c r="CS167" i="1"/>
  <c r="CE167" i="1" s="1"/>
  <c r="CS169" i="1"/>
  <c r="CE169" i="1" s="1"/>
  <c r="CS170" i="1"/>
  <c r="AA170" i="1" s="1"/>
  <c r="CS172" i="1"/>
  <c r="M172" i="1" s="1"/>
  <c r="DG172" i="1" s="1"/>
  <c r="CS174" i="1"/>
  <c r="CE174" i="1" s="1"/>
  <c r="CS175" i="1"/>
  <c r="CE175" i="1" s="1"/>
  <c r="CS176" i="1"/>
  <c r="CE176" i="1" s="1"/>
  <c r="CS177" i="1"/>
  <c r="CE177" i="1" s="1"/>
  <c r="CS178" i="1"/>
  <c r="M178" i="1" s="1"/>
  <c r="DG178" i="1" s="1"/>
  <c r="CS179" i="1"/>
  <c r="AA179" i="1" s="1"/>
  <c r="CS180" i="1"/>
  <c r="AA180" i="1" s="1"/>
  <c r="CS181" i="1"/>
  <c r="CS182" i="1"/>
  <c r="CE182" i="1" s="1"/>
  <c r="CS183" i="1"/>
  <c r="CE183" i="1" s="1"/>
  <c r="CS184" i="1"/>
  <c r="M184" i="1" s="1"/>
  <c r="DG184" i="1" s="1"/>
  <c r="CS185" i="1"/>
  <c r="M185" i="1" s="1"/>
  <c r="DG185" i="1" s="1"/>
  <c r="CS186" i="1"/>
  <c r="M186" i="1" s="1"/>
  <c r="DG186" i="1" s="1"/>
  <c r="CS187" i="1"/>
  <c r="CE187" i="1" s="1"/>
  <c r="CS188" i="1"/>
  <c r="M188" i="1" s="1"/>
  <c r="DG188" i="1" s="1"/>
  <c r="CS189" i="1"/>
  <c r="CE189" i="1" s="1"/>
  <c r="CS190" i="1"/>
  <c r="AA190" i="1" s="1"/>
  <c r="CS191" i="1"/>
  <c r="CE191" i="1" s="1"/>
  <c r="CS192" i="1"/>
  <c r="CE192" i="1" s="1"/>
  <c r="CS194" i="1"/>
  <c r="M194" i="1" s="1"/>
  <c r="DG194" i="1" s="1"/>
  <c r="CS195" i="1"/>
  <c r="AA195" i="1" s="1"/>
  <c r="CS196" i="1"/>
  <c r="CE196" i="1" s="1"/>
  <c r="CS200" i="1"/>
  <c r="AA200" i="1" s="1"/>
  <c r="CS201" i="1"/>
  <c r="CE201" i="1" s="1"/>
  <c r="CS202" i="1"/>
  <c r="M202" i="1" s="1"/>
  <c r="BC202" i="1" s="1"/>
  <c r="BQ202" i="1" s="1"/>
  <c r="CS203" i="1"/>
  <c r="CE203" i="1" s="1"/>
  <c r="CS204" i="1"/>
  <c r="CS205" i="1"/>
  <c r="CS206" i="1"/>
  <c r="CE206" i="1" s="1"/>
  <c r="CS223" i="1"/>
  <c r="M223" i="1" s="1"/>
  <c r="DG223" i="1" s="1"/>
  <c r="CS224" i="1"/>
  <c r="M224" i="1" s="1"/>
  <c r="DG224" i="1" s="1"/>
  <c r="CS226" i="1"/>
  <c r="CE226" i="1" s="1"/>
  <c r="CS227" i="1"/>
  <c r="AA227" i="1" s="1"/>
  <c r="CT15" i="1"/>
  <c r="N15" i="1" s="1"/>
  <c r="CT16" i="1"/>
  <c r="CT17" i="1"/>
  <c r="N17" i="1" s="1"/>
  <c r="CT18" i="1"/>
  <c r="N18" i="1" s="1"/>
  <c r="DH18" i="1" s="1"/>
  <c r="CT6" i="1"/>
  <c r="N6" i="1" s="1"/>
  <c r="DH6" i="1" s="1"/>
  <c r="CT7" i="1"/>
  <c r="N7" i="1" s="1"/>
  <c r="BD7" i="1" s="1"/>
  <c r="BR7" i="1" s="1"/>
  <c r="CT8" i="1"/>
  <c r="CF8" i="1" s="1"/>
  <c r="CT9" i="1"/>
  <c r="N9" i="1" s="1"/>
  <c r="DH9" i="1" s="1"/>
  <c r="CT10" i="1"/>
  <c r="AB10" i="1" s="1"/>
  <c r="CT11" i="1"/>
  <c r="N11" i="1" s="1"/>
  <c r="BD11" i="1" s="1"/>
  <c r="BR11" i="1" s="1"/>
  <c r="CT12" i="1"/>
  <c r="CF12" i="1" s="1"/>
  <c r="CT14" i="1"/>
  <c r="AB14" i="1" s="1"/>
  <c r="CT20" i="1"/>
  <c r="CF20" i="1" s="1"/>
  <c r="CT21" i="1"/>
  <c r="N21" i="1" s="1"/>
  <c r="DH21" i="1" s="1"/>
  <c r="J44" i="36" s="1"/>
  <c r="CT22" i="1"/>
  <c r="CT23" i="1"/>
  <c r="AB23" i="1" s="1"/>
  <c r="CT29" i="1"/>
  <c r="AB29" i="1" s="1"/>
  <c r="CT30" i="1"/>
  <c r="CF30" i="1" s="1"/>
  <c r="CT31" i="1"/>
  <c r="N31" i="1" s="1"/>
  <c r="BD31" i="1" s="1"/>
  <c r="BR31" i="1" s="1"/>
  <c r="CT32" i="1"/>
  <c r="J7" i="36" s="1"/>
  <c r="CT34" i="1"/>
  <c r="CT35" i="1"/>
  <c r="AB35" i="1" s="1"/>
  <c r="CT36" i="1"/>
  <c r="AB36" i="1" s="1"/>
  <c r="CT37" i="1"/>
  <c r="N37" i="1" s="1"/>
  <c r="DH37" i="1" s="1"/>
  <c r="CT38" i="1"/>
  <c r="N38" i="1" s="1"/>
  <c r="DH38" i="1" s="1"/>
  <c r="CT39" i="1"/>
  <c r="N39" i="1" s="1"/>
  <c r="DH39" i="1" s="1"/>
  <c r="CT40" i="1"/>
  <c r="N40" i="1" s="1"/>
  <c r="DH40" i="1" s="1"/>
  <c r="CT42" i="1"/>
  <c r="N42" i="1" s="1"/>
  <c r="DH42" i="1" s="1"/>
  <c r="CT44" i="1"/>
  <c r="CT45" i="1"/>
  <c r="N45" i="1" s="1"/>
  <c r="CT46" i="1"/>
  <c r="CT47" i="1"/>
  <c r="N47" i="1" s="1"/>
  <c r="CT48" i="1"/>
  <c r="AB48" i="1" s="1"/>
  <c r="CT49" i="1"/>
  <c r="CF49" i="1" s="1"/>
  <c r="CT50" i="1"/>
  <c r="N50" i="1" s="1"/>
  <c r="DH50" i="1" s="1"/>
  <c r="CT51" i="1"/>
  <c r="CF51" i="1" s="1"/>
  <c r="CT52" i="1"/>
  <c r="CF52" i="1" s="1"/>
  <c r="CT53" i="1"/>
  <c r="N53" i="1" s="1"/>
  <c r="DH53" i="1" s="1"/>
  <c r="CT54" i="1"/>
  <c r="CT57" i="1"/>
  <c r="N57" i="1" s="1"/>
  <c r="DH57" i="1" s="1"/>
  <c r="CT59" i="1"/>
  <c r="CT60" i="1"/>
  <c r="N60" i="1" s="1"/>
  <c r="DH60" i="1" s="1"/>
  <c r="CT61" i="1"/>
  <c r="N61" i="1" s="1"/>
  <c r="DH61" i="1" s="1"/>
  <c r="CT62" i="1"/>
  <c r="CF62" i="1" s="1"/>
  <c r="CT63" i="1"/>
  <c r="CF63" i="1" s="1"/>
  <c r="CT64" i="1"/>
  <c r="N64" i="1" s="1"/>
  <c r="DH64" i="1" s="1"/>
  <c r="CT67" i="1"/>
  <c r="N67" i="1" s="1"/>
  <c r="BD67" i="1" s="1"/>
  <c r="BR67" i="1" s="1"/>
  <c r="CT68" i="1"/>
  <c r="N68" i="1" s="1"/>
  <c r="BD68" i="1" s="1"/>
  <c r="BR68" i="1" s="1"/>
  <c r="CT70" i="1"/>
  <c r="CT71" i="1"/>
  <c r="CF71" i="1" s="1"/>
  <c r="CT73" i="1"/>
  <c r="CF73" i="1" s="1"/>
  <c r="CT74" i="1"/>
  <c r="AB74" i="1" s="1"/>
  <c r="CT75" i="1"/>
  <c r="N75" i="1" s="1"/>
  <c r="DH75" i="1" s="1"/>
  <c r="CT78" i="1"/>
  <c r="AB78" i="1" s="1"/>
  <c r="CT79" i="1"/>
  <c r="CF79" i="1" s="1"/>
  <c r="CT80" i="1"/>
  <c r="AB80" i="1" s="1"/>
  <c r="CT81" i="1"/>
  <c r="AB81" i="1" s="1"/>
  <c r="CT82" i="1"/>
  <c r="N82" i="1" s="1"/>
  <c r="DH82" i="1" s="1"/>
  <c r="CT83" i="1"/>
  <c r="N83" i="1" s="1"/>
  <c r="BD83" i="1" s="1"/>
  <c r="BR83" i="1" s="1"/>
  <c r="CT84" i="1"/>
  <c r="AB84" i="1" s="1"/>
  <c r="CT86" i="1"/>
  <c r="N86" i="1" s="1"/>
  <c r="DH86" i="1" s="1"/>
  <c r="CT87" i="1"/>
  <c r="N87" i="1" s="1"/>
  <c r="DH87" i="1" s="1"/>
  <c r="CT88" i="1"/>
  <c r="N88" i="1" s="1"/>
  <c r="DH88" i="1" s="1"/>
  <c r="CT91" i="1"/>
  <c r="AB91" i="1" s="1"/>
  <c r="CT92" i="1"/>
  <c r="CF92" i="1" s="1"/>
  <c r="CT94" i="1"/>
  <c r="CF94" i="1" s="1"/>
  <c r="CT99" i="1"/>
  <c r="CF99" i="1" s="1"/>
  <c r="CT100" i="1"/>
  <c r="N100" i="1" s="1"/>
  <c r="CT111" i="1"/>
  <c r="AG25" i="48" s="1"/>
  <c r="CT114" i="1"/>
  <c r="CF114" i="1" s="1"/>
  <c r="CT116" i="1"/>
  <c r="CT117" i="1"/>
  <c r="N117" i="1" s="1"/>
  <c r="DH117" i="1" s="1"/>
  <c r="CT119" i="1"/>
  <c r="N119" i="1" s="1"/>
  <c r="DH119" i="1" s="1"/>
  <c r="CT121" i="1"/>
  <c r="CT122" i="1"/>
  <c r="N122" i="1" s="1"/>
  <c r="CT125" i="1"/>
  <c r="N125" i="1" s="1"/>
  <c r="DH125" i="1" s="1"/>
  <c r="CT123" i="1"/>
  <c r="CT126" i="1"/>
  <c r="N126" i="1" s="1"/>
  <c r="DH126" i="1" s="1"/>
  <c r="CT128" i="1"/>
  <c r="N128" i="1" s="1"/>
  <c r="DH128" i="1" s="1"/>
  <c r="CT129" i="1"/>
  <c r="N129" i="1" s="1"/>
  <c r="CT130" i="1"/>
  <c r="N130" i="1" s="1"/>
  <c r="CT131" i="1"/>
  <c r="CF131" i="1" s="1"/>
  <c r="CT132" i="1"/>
  <c r="AB132" i="1" s="1"/>
  <c r="CT134" i="1"/>
  <c r="CT135" i="1"/>
  <c r="CF135" i="1" s="1"/>
  <c r="CT136" i="1"/>
  <c r="CF136" i="1" s="1"/>
  <c r="CT137" i="1"/>
  <c r="CF137" i="1" s="1"/>
  <c r="CT138" i="1"/>
  <c r="N138" i="1" s="1"/>
  <c r="DH138" i="1" s="1"/>
  <c r="CT139" i="1"/>
  <c r="CF139" i="1" s="1"/>
  <c r="CT140" i="1"/>
  <c r="N140" i="1" s="1"/>
  <c r="DH140" i="1" s="1"/>
  <c r="CT141" i="1"/>
  <c r="J23" i="36" s="1"/>
  <c r="CT142" i="1"/>
  <c r="CT143" i="1"/>
  <c r="CF143" i="1" s="1"/>
  <c r="CT144" i="1"/>
  <c r="N144" i="1" s="1"/>
  <c r="DH144" i="1" s="1"/>
  <c r="CT145" i="1"/>
  <c r="N145" i="1" s="1"/>
  <c r="DH145" i="1" s="1"/>
  <c r="CT146" i="1"/>
  <c r="N146" i="1" s="1"/>
  <c r="DH146" i="1" s="1"/>
  <c r="CT147" i="1"/>
  <c r="N147" i="1" s="1"/>
  <c r="BD147" i="1" s="1"/>
  <c r="BR147" i="1" s="1"/>
  <c r="CT148" i="1"/>
  <c r="CF148" i="1" s="1"/>
  <c r="CT149" i="1"/>
  <c r="CF149" i="1" s="1"/>
  <c r="CT150" i="1"/>
  <c r="N150" i="1" s="1"/>
  <c r="DH150" i="1" s="1"/>
  <c r="CT152" i="1"/>
  <c r="AB152" i="1" s="1"/>
  <c r="CT153" i="1"/>
  <c r="N153" i="1" s="1"/>
  <c r="DH153" i="1" s="1"/>
  <c r="CT156" i="1"/>
  <c r="N156" i="1" s="1"/>
  <c r="CT208" i="1"/>
  <c r="N208" i="1" s="1"/>
  <c r="DH208" i="1" s="1"/>
  <c r="CT209" i="1"/>
  <c r="N209" i="1" s="1"/>
  <c r="BD209" i="1" s="1"/>
  <c r="BR209" i="1" s="1"/>
  <c r="CT210" i="1"/>
  <c r="CF210" i="1" s="1"/>
  <c r="CT211" i="1"/>
  <c r="N211" i="1" s="1"/>
  <c r="DH211" i="1" s="1"/>
  <c r="CT212" i="1"/>
  <c r="AB212" i="1" s="1"/>
  <c r="CT214" i="1"/>
  <c r="N214" i="1" s="1"/>
  <c r="DH214" i="1" s="1"/>
  <c r="CT215" i="1"/>
  <c r="CF215" i="1" s="1"/>
  <c r="CT216" i="1"/>
  <c r="CF216" i="1" s="1"/>
  <c r="CT217" i="1"/>
  <c r="CF217" i="1" s="1"/>
  <c r="CT218" i="1"/>
  <c r="CF218" i="1" s="1"/>
  <c r="CT221" i="1"/>
  <c r="AB221" i="1" s="1"/>
  <c r="CT158" i="1"/>
  <c r="N158" i="1" s="1"/>
  <c r="DH158" i="1" s="1"/>
  <c r="CT160" i="1"/>
  <c r="AB160" i="1" s="1"/>
  <c r="CT161" i="1"/>
  <c r="CF161" i="1" s="1"/>
  <c r="CT162" i="1"/>
  <c r="CF162" i="1" s="1"/>
  <c r="CT163" i="1"/>
  <c r="N163" i="1" s="1"/>
  <c r="DH163" i="1" s="1"/>
  <c r="CT164" i="1"/>
  <c r="N164" i="1" s="1"/>
  <c r="DH164" i="1" s="1"/>
  <c r="CT166" i="1"/>
  <c r="N166" i="1" s="1"/>
  <c r="DH166" i="1" s="1"/>
  <c r="CT167" i="1"/>
  <c r="CT169" i="1"/>
  <c r="N169" i="1" s="1"/>
  <c r="CT170" i="1"/>
  <c r="AB170" i="1" s="1"/>
  <c r="CT172" i="1"/>
  <c r="AB172" i="1" s="1"/>
  <c r="CT174" i="1"/>
  <c r="N174" i="1" s="1"/>
  <c r="DH174" i="1" s="1"/>
  <c r="CT175" i="1"/>
  <c r="N175" i="1" s="1"/>
  <c r="DH175" i="1" s="1"/>
  <c r="CT176" i="1"/>
  <c r="N176" i="1" s="1"/>
  <c r="DH176" i="1" s="1"/>
  <c r="CT177" i="1"/>
  <c r="CT178" i="1"/>
  <c r="CF178" i="1" s="1"/>
  <c r="CT179" i="1"/>
  <c r="CF179" i="1" s="1"/>
  <c r="CT180" i="1"/>
  <c r="CT181" i="1"/>
  <c r="CF181" i="1" s="1"/>
  <c r="CT182" i="1"/>
  <c r="N182" i="1" s="1"/>
  <c r="DH182" i="1" s="1"/>
  <c r="CT183" i="1"/>
  <c r="N183" i="1" s="1"/>
  <c r="DH183" i="1" s="1"/>
  <c r="CT184" i="1"/>
  <c r="N184" i="1" s="1"/>
  <c r="CT185" i="1"/>
  <c r="AB185" i="1" s="1"/>
  <c r="CT186" i="1"/>
  <c r="N186" i="1" s="1"/>
  <c r="CT187" i="1"/>
  <c r="N187" i="1" s="1"/>
  <c r="DH187" i="1" s="1"/>
  <c r="CT188" i="1"/>
  <c r="AB188" i="1" s="1"/>
  <c r="CT189" i="1"/>
  <c r="CF189" i="1" s="1"/>
  <c r="CT190" i="1"/>
  <c r="N190" i="1" s="1"/>
  <c r="DH190" i="1" s="1"/>
  <c r="CT191" i="1"/>
  <c r="CT192" i="1"/>
  <c r="CF192" i="1" s="1"/>
  <c r="CT194" i="1"/>
  <c r="N194" i="1" s="1"/>
  <c r="DH194" i="1" s="1"/>
  <c r="CT195" i="1"/>
  <c r="N195" i="1" s="1"/>
  <c r="DH195" i="1" s="1"/>
  <c r="CT196" i="1"/>
  <c r="CT200" i="1"/>
  <c r="AB200" i="1" s="1"/>
  <c r="CT201" i="1"/>
  <c r="N201" i="1" s="1"/>
  <c r="CT202" i="1"/>
  <c r="CF202" i="1" s="1"/>
  <c r="CT203" i="1"/>
  <c r="N203" i="1" s="1"/>
  <c r="BD203" i="1" s="1"/>
  <c r="BR203" i="1" s="1"/>
  <c r="CT204" i="1"/>
  <c r="CT205" i="1"/>
  <c r="N205" i="1" s="1"/>
  <c r="DH205" i="1" s="1"/>
  <c r="CT206" i="1"/>
  <c r="N206" i="1" s="1"/>
  <c r="DH206" i="1" s="1"/>
  <c r="CT223" i="1"/>
  <c r="N223" i="1" s="1"/>
  <c r="DH223" i="1" s="1"/>
  <c r="CT224" i="1"/>
  <c r="N224" i="1" s="1"/>
  <c r="DH224" i="1" s="1"/>
  <c r="CT226" i="1"/>
  <c r="AB226" i="1" s="1"/>
  <c r="CT227" i="1"/>
  <c r="AB227" i="1" s="1"/>
  <c r="CU15" i="1"/>
  <c r="O15" i="1" s="1"/>
  <c r="CU16" i="1"/>
  <c r="CG16" i="1" s="1"/>
  <c r="CU17" i="1"/>
  <c r="CU18" i="1"/>
  <c r="AC18" i="1" s="1"/>
  <c r="CU6" i="1"/>
  <c r="CU7" i="1"/>
  <c r="AC7" i="1" s="1"/>
  <c r="CU8" i="1"/>
  <c r="CG8" i="1" s="1"/>
  <c r="CU9" i="1"/>
  <c r="O9" i="1" s="1"/>
  <c r="DI9" i="1" s="1"/>
  <c r="CU10" i="1"/>
  <c r="CU11" i="1"/>
  <c r="O11" i="1" s="1"/>
  <c r="DI11" i="1" s="1"/>
  <c r="CU12" i="1"/>
  <c r="CU14" i="1"/>
  <c r="O14" i="1" s="1"/>
  <c r="DI14" i="1" s="1"/>
  <c r="CU20" i="1"/>
  <c r="CG20" i="1" s="1"/>
  <c r="CU21" i="1"/>
  <c r="O21" i="1" s="1"/>
  <c r="CU22" i="1"/>
  <c r="CG22" i="1" s="1"/>
  <c r="CU23" i="1"/>
  <c r="O23" i="1" s="1"/>
  <c r="DI23" i="1" s="1"/>
  <c r="CU29" i="1"/>
  <c r="O29" i="1" s="1"/>
  <c r="BE29" i="1" s="1"/>
  <c r="BS29" i="1" s="1"/>
  <c r="CU30" i="1"/>
  <c r="CG30" i="1" s="1"/>
  <c r="CU31" i="1"/>
  <c r="O31" i="1" s="1"/>
  <c r="BE31" i="1" s="1"/>
  <c r="BS31" i="1" s="1"/>
  <c r="CU32" i="1"/>
  <c r="CG32" i="1" s="1"/>
  <c r="CU34" i="1"/>
  <c r="O34" i="1" s="1"/>
  <c r="DI34" i="1" s="1"/>
  <c r="CU35" i="1"/>
  <c r="O35" i="1" s="1"/>
  <c r="CU36" i="1"/>
  <c r="AC36" i="1" s="1"/>
  <c r="CU37" i="1"/>
  <c r="O37" i="1" s="1"/>
  <c r="DI37" i="1" s="1"/>
  <c r="CU38" i="1"/>
  <c r="CU39" i="1"/>
  <c r="CU40" i="1"/>
  <c r="O40" i="1" s="1"/>
  <c r="DI40" i="1" s="1"/>
  <c r="CU42" i="1"/>
  <c r="CG42" i="1" s="1"/>
  <c r="CU44" i="1"/>
  <c r="O44" i="1" s="1"/>
  <c r="DI44" i="1" s="1"/>
  <c r="CU45" i="1"/>
  <c r="AC45" i="1" s="1"/>
  <c r="CU46" i="1"/>
  <c r="O46" i="1" s="1"/>
  <c r="BE46" i="1" s="1"/>
  <c r="BS46" i="1" s="1"/>
  <c r="CU47" i="1"/>
  <c r="AC47" i="1" s="1"/>
  <c r="CU48" i="1"/>
  <c r="AC48" i="1" s="1"/>
  <c r="CU49" i="1"/>
  <c r="O49" i="1" s="1"/>
  <c r="DI49" i="1" s="1"/>
  <c r="CU50" i="1"/>
  <c r="CG50" i="1" s="1"/>
  <c r="CU51" i="1"/>
  <c r="O51" i="1" s="1"/>
  <c r="DI51" i="1" s="1"/>
  <c r="CU52" i="1"/>
  <c r="CG52" i="1" s="1"/>
  <c r="CU53" i="1"/>
  <c r="O53" i="1" s="1"/>
  <c r="DI53" i="1" s="1"/>
  <c r="CU54" i="1"/>
  <c r="O54" i="1" s="1"/>
  <c r="BE54" i="1" s="1"/>
  <c r="BS54" i="1" s="1"/>
  <c r="CU57" i="1"/>
  <c r="O57" i="1" s="1"/>
  <c r="DI57" i="1" s="1"/>
  <c r="CU59" i="1"/>
  <c r="CU60" i="1"/>
  <c r="O60" i="1" s="1"/>
  <c r="DI60" i="1" s="1"/>
  <c r="CU61" i="1"/>
  <c r="CG61" i="1" s="1"/>
  <c r="CU62" i="1"/>
  <c r="CU63" i="1"/>
  <c r="O63" i="1" s="1"/>
  <c r="BE63" i="1" s="1"/>
  <c r="BS63" i="1" s="1"/>
  <c r="CU64" i="1"/>
  <c r="O64" i="1" s="1"/>
  <c r="BE64" i="1" s="1"/>
  <c r="BS64" i="1" s="1"/>
  <c r="CU67" i="1"/>
  <c r="CG67" i="1" s="1"/>
  <c r="CU68" i="1"/>
  <c r="AC68" i="1" s="1"/>
  <c r="CU70" i="1"/>
  <c r="O70" i="1" s="1"/>
  <c r="DI70" i="1" s="1"/>
  <c r="CU71" i="1"/>
  <c r="AH23" i="48" s="1"/>
  <c r="CU73" i="1"/>
  <c r="O73" i="1" s="1"/>
  <c r="DI73" i="1" s="1"/>
  <c r="CU74" i="1"/>
  <c r="AC74" i="1" s="1"/>
  <c r="CU75" i="1"/>
  <c r="CU78" i="1"/>
  <c r="O78" i="1" s="1"/>
  <c r="CU79" i="1"/>
  <c r="O79" i="1" s="1"/>
  <c r="DI79" i="1" s="1"/>
  <c r="CU80" i="1"/>
  <c r="O80" i="1" s="1"/>
  <c r="CU81" i="1"/>
  <c r="O81" i="1" s="1"/>
  <c r="DI81" i="1" s="1"/>
  <c r="CU82" i="1"/>
  <c r="O82" i="1" s="1"/>
  <c r="DI82" i="1" s="1"/>
  <c r="CU83" i="1"/>
  <c r="O83" i="1" s="1"/>
  <c r="DI83" i="1" s="1"/>
  <c r="CU84" i="1"/>
  <c r="AC84" i="1" s="1"/>
  <c r="CU86" i="1"/>
  <c r="CU87" i="1"/>
  <c r="O87" i="1" s="1"/>
  <c r="DI87" i="1" s="1"/>
  <c r="CU88" i="1"/>
  <c r="CG88" i="1" s="1"/>
  <c r="CU91" i="1"/>
  <c r="CG91" i="1" s="1"/>
  <c r="CU92" i="1"/>
  <c r="CG92" i="1" s="1"/>
  <c r="CU94" i="1"/>
  <c r="O94" i="1" s="1"/>
  <c r="DI94" i="1" s="1"/>
  <c r="CU99" i="1"/>
  <c r="O99" i="1" s="1"/>
  <c r="DI99" i="1" s="1"/>
  <c r="CU100" i="1"/>
  <c r="AC100" i="1" s="1"/>
  <c r="CU111" i="1"/>
  <c r="CU114" i="1"/>
  <c r="O114" i="1" s="1"/>
  <c r="DI114" i="1" s="1"/>
  <c r="CU116" i="1"/>
  <c r="CU117" i="1"/>
  <c r="O117" i="1" s="1"/>
  <c r="DI117" i="1" s="1"/>
  <c r="CU119" i="1"/>
  <c r="O119" i="1" s="1"/>
  <c r="DI119" i="1" s="1"/>
  <c r="CU121" i="1"/>
  <c r="CG121" i="1" s="1"/>
  <c r="CU122" i="1"/>
  <c r="AC122" i="1" s="1"/>
  <c r="CU125" i="1"/>
  <c r="AC125" i="1" s="1"/>
  <c r="CU123" i="1"/>
  <c r="CU126" i="1"/>
  <c r="CU128" i="1"/>
  <c r="CU129" i="1"/>
  <c r="O129" i="1" s="1"/>
  <c r="CU130" i="1"/>
  <c r="CG130" i="1" s="1"/>
  <c r="CU131" i="1"/>
  <c r="O131" i="1" s="1"/>
  <c r="DI131" i="1" s="1"/>
  <c r="CU132" i="1"/>
  <c r="CU134" i="1"/>
  <c r="O134" i="1" s="1"/>
  <c r="DI134" i="1" s="1"/>
  <c r="CU135" i="1"/>
  <c r="O135" i="1" s="1"/>
  <c r="DI135" i="1" s="1"/>
  <c r="CU136" i="1"/>
  <c r="CG136" i="1" s="1"/>
  <c r="CU137" i="1"/>
  <c r="O137" i="1" s="1"/>
  <c r="DI137" i="1" s="1"/>
  <c r="CU138" i="1"/>
  <c r="CG138" i="1" s="1"/>
  <c r="CU139" i="1"/>
  <c r="O139" i="1" s="1"/>
  <c r="DI139" i="1" s="1"/>
  <c r="CU140" i="1"/>
  <c r="CG140" i="1" s="1"/>
  <c r="CU141" i="1"/>
  <c r="CG141" i="1" s="1"/>
  <c r="CU142" i="1"/>
  <c r="AC142" i="1" s="1"/>
  <c r="CU143" i="1"/>
  <c r="CG143" i="1" s="1"/>
  <c r="CU144" i="1"/>
  <c r="O144" i="1" s="1"/>
  <c r="DI144" i="1" s="1"/>
  <c r="CU145" i="1"/>
  <c r="O145" i="1" s="1"/>
  <c r="BE145" i="1" s="1"/>
  <c r="BS145" i="1" s="1"/>
  <c r="CU146" i="1"/>
  <c r="O146" i="1" s="1"/>
  <c r="DI146" i="1" s="1"/>
  <c r="CU147" i="1"/>
  <c r="O147" i="1" s="1"/>
  <c r="CU148" i="1"/>
  <c r="CG148" i="1" s="1"/>
  <c r="CU149" i="1"/>
  <c r="O149" i="1" s="1"/>
  <c r="DI149" i="1" s="1"/>
  <c r="CU150" i="1"/>
  <c r="AC150" i="1" s="1"/>
  <c r="CU152" i="1"/>
  <c r="CU153" i="1"/>
  <c r="CG153" i="1" s="1"/>
  <c r="CU156" i="1"/>
  <c r="O156" i="1" s="1"/>
  <c r="BE156" i="1" s="1"/>
  <c r="BS156" i="1" s="1"/>
  <c r="CU208" i="1"/>
  <c r="O208" i="1" s="1"/>
  <c r="DI208" i="1" s="1"/>
  <c r="CU209" i="1"/>
  <c r="AC209" i="1" s="1"/>
  <c r="CU210" i="1"/>
  <c r="AC210" i="1" s="1"/>
  <c r="CU211" i="1"/>
  <c r="CG211" i="1" s="1"/>
  <c r="CU212" i="1"/>
  <c r="CU214" i="1"/>
  <c r="CU215" i="1"/>
  <c r="CU216" i="1"/>
  <c r="CU217" i="1"/>
  <c r="CG217" i="1" s="1"/>
  <c r="CU218" i="1"/>
  <c r="CG218" i="1" s="1"/>
  <c r="CU221" i="1"/>
  <c r="CG221" i="1" s="1"/>
  <c r="CU158" i="1"/>
  <c r="CU160" i="1"/>
  <c r="CU161" i="1"/>
  <c r="O161" i="1" s="1"/>
  <c r="DI161" i="1" s="1"/>
  <c r="CU162" i="1"/>
  <c r="O162" i="1" s="1"/>
  <c r="DI162" i="1" s="1"/>
  <c r="CU163" i="1"/>
  <c r="O163" i="1" s="1"/>
  <c r="DI163" i="1" s="1"/>
  <c r="CU164" i="1"/>
  <c r="O164" i="1" s="1"/>
  <c r="DI164" i="1" s="1"/>
  <c r="CU166" i="1"/>
  <c r="CU167" i="1"/>
  <c r="AC167" i="1" s="1"/>
  <c r="CU169" i="1"/>
  <c r="O169" i="1" s="1"/>
  <c r="DI169" i="1" s="1"/>
  <c r="CU170" i="1"/>
  <c r="O170" i="1" s="1"/>
  <c r="DI170" i="1" s="1"/>
  <c r="CU172" i="1"/>
  <c r="CG172" i="1" s="1"/>
  <c r="CU174" i="1"/>
  <c r="O174" i="1" s="1"/>
  <c r="DI174" i="1" s="1"/>
  <c r="CU175" i="1"/>
  <c r="O175" i="1" s="1"/>
  <c r="DI175" i="1" s="1"/>
  <c r="CU176" i="1"/>
  <c r="CG176" i="1" s="1"/>
  <c r="CU177" i="1"/>
  <c r="O177" i="1" s="1"/>
  <c r="BE177" i="1" s="1"/>
  <c r="BS177" i="1" s="1"/>
  <c r="CU178" i="1"/>
  <c r="O178" i="1" s="1"/>
  <c r="DI178" i="1" s="1"/>
  <c r="CU179" i="1"/>
  <c r="CU180" i="1"/>
  <c r="CU181" i="1"/>
  <c r="CG181" i="1" s="1"/>
  <c r="CU182" i="1"/>
  <c r="O182" i="1" s="1"/>
  <c r="DI182" i="1" s="1"/>
  <c r="CU183" i="1"/>
  <c r="O183" i="1" s="1"/>
  <c r="DI183" i="1" s="1"/>
  <c r="CU184" i="1"/>
  <c r="O184" i="1" s="1"/>
  <c r="DI184" i="1" s="1"/>
  <c r="CU185" i="1"/>
  <c r="CU186" i="1"/>
  <c r="O186" i="1" s="1"/>
  <c r="DI186" i="1" s="1"/>
  <c r="CU187" i="1"/>
  <c r="CU188" i="1"/>
  <c r="O188" i="1" s="1"/>
  <c r="DI188" i="1" s="1"/>
  <c r="CU189" i="1"/>
  <c r="CU190" i="1"/>
  <c r="O190" i="1" s="1"/>
  <c r="DI190" i="1" s="1"/>
  <c r="CU191" i="1"/>
  <c r="O191" i="1" s="1"/>
  <c r="CU192" i="1"/>
  <c r="CG192" i="1" s="1"/>
  <c r="CU194" i="1"/>
  <c r="O194" i="1" s="1"/>
  <c r="DI194" i="1" s="1"/>
  <c r="CU195" i="1"/>
  <c r="AC195" i="1" s="1"/>
  <c r="CU196" i="1"/>
  <c r="AC196" i="1" s="1"/>
  <c r="CU200" i="1"/>
  <c r="O200" i="1" s="1"/>
  <c r="BE200" i="1" s="1"/>
  <c r="BS200" i="1" s="1"/>
  <c r="CU201" i="1"/>
  <c r="O201" i="1" s="1"/>
  <c r="DI201" i="1" s="1"/>
  <c r="CU202" i="1"/>
  <c r="CG202" i="1" s="1"/>
  <c r="CU203" i="1"/>
  <c r="O203" i="1" s="1"/>
  <c r="CU204" i="1"/>
  <c r="CG204" i="1" s="1"/>
  <c r="CU205" i="1"/>
  <c r="O205" i="1" s="1"/>
  <c r="DI205" i="1" s="1"/>
  <c r="CU206" i="1"/>
  <c r="O206" i="1" s="1"/>
  <c r="DI206" i="1" s="1"/>
  <c r="CU223" i="1"/>
  <c r="CG223" i="1" s="1"/>
  <c r="CU224" i="1"/>
  <c r="O224" i="1" s="1"/>
  <c r="CU226" i="1"/>
  <c r="AC226" i="1" s="1"/>
  <c r="CU227" i="1"/>
  <c r="AC227" i="1" s="1"/>
  <c r="CV15" i="1"/>
  <c r="AD15" i="1" s="1"/>
  <c r="CV16" i="1"/>
  <c r="P16" i="1" s="1"/>
  <c r="BF16" i="1" s="1"/>
  <c r="BT16" i="1" s="1"/>
  <c r="CV17" i="1"/>
  <c r="P17" i="1" s="1"/>
  <c r="DJ17" i="1" s="1"/>
  <c r="CV18" i="1"/>
  <c r="AD18" i="1" s="1"/>
  <c r="CV6" i="1"/>
  <c r="CV7" i="1"/>
  <c r="P7" i="1" s="1"/>
  <c r="DJ7" i="1" s="1"/>
  <c r="CV8" i="1"/>
  <c r="CH8" i="1" s="1"/>
  <c r="CV9" i="1"/>
  <c r="P9" i="1" s="1"/>
  <c r="DJ9" i="1" s="1"/>
  <c r="CV10" i="1"/>
  <c r="P10" i="1" s="1"/>
  <c r="DJ10" i="1" s="1"/>
  <c r="CV11" i="1"/>
  <c r="P11" i="1" s="1"/>
  <c r="DJ11" i="1" s="1"/>
  <c r="CV12" i="1"/>
  <c r="P12" i="1" s="1"/>
  <c r="BF12" i="1" s="1"/>
  <c r="BT12" i="1" s="1"/>
  <c r="CV14" i="1"/>
  <c r="AD14" i="1" s="1"/>
  <c r="CV20" i="1"/>
  <c r="AI13" i="48" s="1"/>
  <c r="CV21" i="1"/>
  <c r="P21" i="1" s="1"/>
  <c r="DJ21" i="1" s="1"/>
  <c r="L44" i="36" s="1"/>
  <c r="CV22" i="1"/>
  <c r="P22" i="1" s="1"/>
  <c r="DJ22" i="1" s="1"/>
  <c r="CV23" i="1"/>
  <c r="AD23" i="1" s="1"/>
  <c r="CV29" i="1"/>
  <c r="CV30" i="1"/>
  <c r="P30" i="1" s="1"/>
  <c r="CV31" i="1"/>
  <c r="CV32" i="1"/>
  <c r="AD32" i="1" s="1"/>
  <c r="CV34" i="1"/>
  <c r="P34" i="1" s="1"/>
  <c r="DJ34" i="1" s="1"/>
  <c r="CV35" i="1"/>
  <c r="CV36" i="1"/>
  <c r="AD36" i="1" s="1"/>
  <c r="CV37" i="1"/>
  <c r="P37" i="1" s="1"/>
  <c r="DJ37" i="1" s="1"/>
  <c r="CV38" i="1"/>
  <c r="P38" i="1" s="1"/>
  <c r="DJ38" i="1" s="1"/>
  <c r="CV39" i="1"/>
  <c r="P39" i="1" s="1"/>
  <c r="CV40" i="1"/>
  <c r="CV42" i="1"/>
  <c r="CV44" i="1"/>
  <c r="P44" i="1" s="1"/>
  <c r="DJ44" i="1" s="1"/>
  <c r="CV45" i="1"/>
  <c r="P45" i="1" s="1"/>
  <c r="DJ45" i="1" s="1"/>
  <c r="CV46" i="1"/>
  <c r="P46" i="1" s="1"/>
  <c r="DJ46" i="1" s="1"/>
  <c r="CV47" i="1"/>
  <c r="CH47" i="1" s="1"/>
  <c r="CV48" i="1"/>
  <c r="P48" i="1" s="1"/>
  <c r="DJ48" i="1" s="1"/>
  <c r="CV49" i="1"/>
  <c r="CH49" i="1" s="1"/>
  <c r="CV50" i="1"/>
  <c r="CH50" i="1" s="1"/>
  <c r="CV51" i="1"/>
  <c r="AD51" i="1" s="1"/>
  <c r="CV52" i="1"/>
  <c r="P52" i="1" s="1"/>
  <c r="DJ52" i="1" s="1"/>
  <c r="CV53" i="1"/>
  <c r="CV54" i="1"/>
  <c r="CV57" i="1"/>
  <c r="P57" i="1" s="1"/>
  <c r="DJ57" i="1" s="1"/>
  <c r="CV59" i="1"/>
  <c r="P59" i="1" s="1"/>
  <c r="DJ59" i="1" s="1"/>
  <c r="CV60" i="1"/>
  <c r="P60" i="1" s="1"/>
  <c r="DJ60" i="1" s="1"/>
  <c r="CV61" i="1"/>
  <c r="AD61" i="1" s="1"/>
  <c r="CV62" i="1"/>
  <c r="AD62" i="1" s="1"/>
  <c r="CV63" i="1"/>
  <c r="CH63" i="1" s="1"/>
  <c r="CV64" i="1"/>
  <c r="P64" i="1" s="1"/>
  <c r="DJ64" i="1" s="1"/>
  <c r="CV67" i="1"/>
  <c r="CH67" i="1" s="1"/>
  <c r="CV68" i="1"/>
  <c r="CH68" i="1" s="1"/>
  <c r="CV70" i="1"/>
  <c r="AD70" i="1" s="1"/>
  <c r="CV71" i="1"/>
  <c r="P71" i="1" s="1"/>
  <c r="DJ71" i="1" s="1"/>
  <c r="AI72" i="48" s="1"/>
  <c r="CV73" i="1"/>
  <c r="P73" i="1" s="1"/>
  <c r="DJ73" i="1" s="1"/>
  <c r="CV74" i="1"/>
  <c r="P74" i="1" s="1"/>
  <c r="DJ74" i="1" s="1"/>
  <c r="CV75" i="1"/>
  <c r="P75" i="1" s="1"/>
  <c r="DJ75" i="1" s="1"/>
  <c r="CV78" i="1"/>
  <c r="CV79" i="1"/>
  <c r="CH79" i="1" s="1"/>
  <c r="CV80" i="1"/>
  <c r="AD80" i="1" s="1"/>
  <c r="CV81" i="1"/>
  <c r="AD81" i="1" s="1"/>
  <c r="CV82" i="1"/>
  <c r="AD82" i="1" s="1"/>
  <c r="CV83" i="1"/>
  <c r="CH83" i="1" s="1"/>
  <c r="CV84" i="1"/>
  <c r="AD84" i="1" s="1"/>
  <c r="CV86" i="1"/>
  <c r="AD86" i="1" s="1"/>
  <c r="CV87" i="1"/>
  <c r="P87" i="1" s="1"/>
  <c r="DJ87" i="1" s="1"/>
  <c r="CV88" i="1"/>
  <c r="CH88" i="1" s="1"/>
  <c r="CV91" i="1"/>
  <c r="AD91" i="1" s="1"/>
  <c r="CV92" i="1"/>
  <c r="CH92" i="1" s="1"/>
  <c r="CV94" i="1"/>
  <c r="P94" i="1" s="1"/>
  <c r="DJ94" i="1" s="1"/>
  <c r="CV99" i="1"/>
  <c r="CV100" i="1"/>
  <c r="P100" i="1" s="1"/>
  <c r="DJ100" i="1" s="1"/>
  <c r="CV111" i="1"/>
  <c r="AD111" i="1" s="1"/>
  <c r="CV114" i="1"/>
  <c r="CH114" i="1" s="1"/>
  <c r="CV116" i="1"/>
  <c r="CH116" i="1" s="1"/>
  <c r="CV117" i="1"/>
  <c r="P117" i="1" s="1"/>
  <c r="DJ117" i="1" s="1"/>
  <c r="CV119" i="1"/>
  <c r="AD119" i="1" s="1"/>
  <c r="CV121" i="1"/>
  <c r="P121" i="1" s="1"/>
  <c r="DJ121" i="1" s="1"/>
  <c r="CV122" i="1"/>
  <c r="CH122" i="1" s="1"/>
  <c r="CV125" i="1"/>
  <c r="AD125" i="1" s="1"/>
  <c r="CV123" i="1"/>
  <c r="P123" i="1" s="1"/>
  <c r="BF123" i="1" s="1"/>
  <c r="BT123" i="1" s="1"/>
  <c r="CV126" i="1"/>
  <c r="P126" i="1" s="1"/>
  <c r="DJ126" i="1" s="1"/>
  <c r="CV128" i="1"/>
  <c r="CV129" i="1"/>
  <c r="P129" i="1" s="1"/>
  <c r="DJ129" i="1" s="1"/>
  <c r="CV130" i="1"/>
  <c r="CH130" i="1" s="1"/>
  <c r="CV131" i="1"/>
  <c r="CH131" i="1" s="1"/>
  <c r="CV132" i="1"/>
  <c r="CH132" i="1" s="1"/>
  <c r="CV134" i="1"/>
  <c r="CH134" i="1" s="1"/>
  <c r="CV135" i="1"/>
  <c r="CH135" i="1" s="1"/>
  <c r="CV136" i="1"/>
  <c r="AD136" i="1" s="1"/>
  <c r="CV137" i="1"/>
  <c r="CH137" i="1" s="1"/>
  <c r="CV138" i="1"/>
  <c r="P138" i="1" s="1"/>
  <c r="BF138" i="1" s="1"/>
  <c r="BT138" i="1" s="1"/>
  <c r="CV139" i="1"/>
  <c r="CH139" i="1" s="1"/>
  <c r="CV140" i="1"/>
  <c r="P140" i="1" s="1"/>
  <c r="BF140" i="1" s="1"/>
  <c r="BT140" i="1" s="1"/>
  <c r="CV141" i="1"/>
  <c r="L23" i="36" s="1"/>
  <c r="CV142" i="1"/>
  <c r="AD142" i="1" s="1"/>
  <c r="CV143" i="1"/>
  <c r="P143" i="1" s="1"/>
  <c r="DJ143" i="1" s="1"/>
  <c r="CV144" i="1"/>
  <c r="P144" i="1" s="1"/>
  <c r="DJ144" i="1" s="1"/>
  <c r="CV145" i="1"/>
  <c r="CH145" i="1" s="1"/>
  <c r="CV146" i="1"/>
  <c r="CH146" i="1" s="1"/>
  <c r="CV147" i="1"/>
  <c r="P147" i="1" s="1"/>
  <c r="DJ147" i="1" s="1"/>
  <c r="CV148" i="1"/>
  <c r="AD148" i="1" s="1"/>
  <c r="CV149" i="1"/>
  <c r="AD149" i="1" s="1"/>
  <c r="CV150" i="1"/>
  <c r="CH150" i="1" s="1"/>
  <c r="CV152" i="1"/>
  <c r="AD152" i="1" s="1"/>
  <c r="CV153" i="1"/>
  <c r="CV156" i="1"/>
  <c r="P156" i="1" s="1"/>
  <c r="DJ156" i="1" s="1"/>
  <c r="CV208" i="1"/>
  <c r="AD208" i="1" s="1"/>
  <c r="CV209" i="1"/>
  <c r="P209" i="1" s="1"/>
  <c r="DJ209" i="1" s="1"/>
  <c r="CV210" i="1"/>
  <c r="P210" i="1" s="1"/>
  <c r="DJ210" i="1" s="1"/>
  <c r="CV211" i="1"/>
  <c r="CH211" i="1" s="1"/>
  <c r="CV212" i="1"/>
  <c r="CV214" i="1"/>
  <c r="AD214" i="1" s="1"/>
  <c r="CV215" i="1"/>
  <c r="CH215" i="1" s="1"/>
  <c r="CV216" i="1"/>
  <c r="P216" i="1" s="1"/>
  <c r="CV217" i="1"/>
  <c r="P217" i="1" s="1"/>
  <c r="DJ217" i="1" s="1"/>
  <c r="CV218" i="1"/>
  <c r="CH218" i="1" s="1"/>
  <c r="CV221" i="1"/>
  <c r="P221" i="1" s="1"/>
  <c r="DJ221" i="1" s="1"/>
  <c r="CV158" i="1"/>
  <c r="CH158" i="1" s="1"/>
  <c r="CV160" i="1"/>
  <c r="AD160" i="1" s="1"/>
  <c r="CV161" i="1"/>
  <c r="P161" i="1" s="1"/>
  <c r="DJ161" i="1" s="1"/>
  <c r="CV162" i="1"/>
  <c r="P162" i="1" s="1"/>
  <c r="DJ162" i="1" s="1"/>
  <c r="CV163" i="1"/>
  <c r="CH163" i="1" s="1"/>
  <c r="CV164" i="1"/>
  <c r="AD164" i="1" s="1"/>
  <c r="CV166" i="1"/>
  <c r="CH166" i="1" s="1"/>
  <c r="CV167" i="1"/>
  <c r="CH167" i="1" s="1"/>
  <c r="CV169" i="1"/>
  <c r="CH169" i="1" s="1"/>
  <c r="CV170" i="1"/>
  <c r="CH170" i="1" s="1"/>
  <c r="CV172" i="1"/>
  <c r="AD172" i="1" s="1"/>
  <c r="CV174" i="1"/>
  <c r="CH174" i="1" s="1"/>
  <c r="CV175" i="1"/>
  <c r="P175" i="1" s="1"/>
  <c r="DJ175" i="1" s="1"/>
  <c r="CV176" i="1"/>
  <c r="CH176" i="1" s="1"/>
  <c r="CV177" i="1"/>
  <c r="CH177" i="1" s="1"/>
  <c r="CV178" i="1"/>
  <c r="AD178" i="1" s="1"/>
  <c r="CV179" i="1"/>
  <c r="CH179" i="1" s="1"/>
  <c r="CV180" i="1"/>
  <c r="P180" i="1" s="1"/>
  <c r="DJ180" i="1" s="1"/>
  <c r="CV181" i="1"/>
  <c r="CH181" i="1" s="1"/>
  <c r="CV182" i="1"/>
  <c r="AD182" i="1" s="1"/>
  <c r="CV183" i="1"/>
  <c r="P183" i="1" s="1"/>
  <c r="DJ183" i="1" s="1"/>
  <c r="CV184" i="1"/>
  <c r="P184" i="1" s="1"/>
  <c r="DJ184" i="1" s="1"/>
  <c r="CV185" i="1"/>
  <c r="P185" i="1" s="1"/>
  <c r="DJ185" i="1" s="1"/>
  <c r="CV186" i="1"/>
  <c r="AD186" i="1" s="1"/>
  <c r="CV187" i="1"/>
  <c r="CH187" i="1" s="1"/>
  <c r="CV188" i="1"/>
  <c r="AD188" i="1" s="1"/>
  <c r="CV189" i="1"/>
  <c r="CV190" i="1"/>
  <c r="AD190" i="1" s="1"/>
  <c r="CV191" i="1"/>
  <c r="P191" i="1" s="1"/>
  <c r="DJ191" i="1" s="1"/>
  <c r="CV192" i="1"/>
  <c r="CH192" i="1" s="1"/>
  <c r="CV194" i="1"/>
  <c r="CH194" i="1" s="1"/>
  <c r="CV195" i="1"/>
  <c r="P195" i="1" s="1"/>
  <c r="DJ195" i="1" s="1"/>
  <c r="CV196" i="1"/>
  <c r="CH196" i="1" s="1"/>
  <c r="CV200" i="1"/>
  <c r="P200" i="1" s="1"/>
  <c r="DJ200" i="1" s="1"/>
  <c r="CV201" i="1"/>
  <c r="CV202" i="1"/>
  <c r="CV203" i="1"/>
  <c r="P203" i="1" s="1"/>
  <c r="CV204" i="1"/>
  <c r="P204" i="1" s="1"/>
  <c r="DJ204" i="1" s="1"/>
  <c r="CV205" i="1"/>
  <c r="P205" i="1" s="1"/>
  <c r="DJ205" i="1" s="1"/>
  <c r="CV206" i="1"/>
  <c r="CH206" i="1" s="1"/>
  <c r="CV223" i="1"/>
  <c r="AD223" i="1" s="1"/>
  <c r="CV224" i="1"/>
  <c r="CH224" i="1" s="1"/>
  <c r="CV226" i="1"/>
  <c r="CV227" i="1"/>
  <c r="CH227" i="1" s="1"/>
  <c r="M16" i="24"/>
  <c r="AB157" i="28"/>
  <c r="AA157" i="28"/>
  <c r="AB156" i="28"/>
  <c r="AA156" i="28"/>
  <c r="AB155" i="28"/>
  <c r="AA155" i="28"/>
  <c r="AA153" i="28"/>
  <c r="AA159" i="28" s="1"/>
  <c r="AA160" i="28" s="1"/>
  <c r="AB153" i="28"/>
  <c r="AB159" i="28" s="1"/>
  <c r="AB160" i="28" s="1"/>
  <c r="Z159" i="28"/>
  <c r="Z160" i="28" s="1"/>
  <c r="AB154" i="28"/>
  <c r="AA154" i="28"/>
  <c r="AA121" i="28"/>
  <c r="AB121" i="28"/>
  <c r="AA122" i="28"/>
  <c r="AA123" i="28" s="1"/>
  <c r="AB122" i="28"/>
  <c r="AB123" i="28" s="1"/>
  <c r="AA118" i="28"/>
  <c r="AB118" i="28"/>
  <c r="AB119" i="28"/>
  <c r="AA119" i="28"/>
  <c r="Z123" i="28"/>
  <c r="Z124" i="28"/>
  <c r="Z125" i="28" s="1"/>
  <c r="AA85" i="28"/>
  <c r="AB85" i="28"/>
  <c r="AA86" i="28"/>
  <c r="AA88" i="28" s="1"/>
  <c r="AA89" i="28" s="1"/>
  <c r="AB86" i="28"/>
  <c r="AA82" i="28"/>
  <c r="AB82" i="28"/>
  <c r="AB83" i="28"/>
  <c r="AA83" i="28"/>
  <c r="Z88" i="28"/>
  <c r="Z89" i="28" s="1"/>
  <c r="AA44" i="28"/>
  <c r="AG45" i="28" s="1"/>
  <c r="AB44" i="28"/>
  <c r="AF45" i="28"/>
  <c r="AA46" i="28"/>
  <c r="AB46" i="28"/>
  <c r="AA47" i="28"/>
  <c r="AG46" i="28" s="1"/>
  <c r="AB47" i="28"/>
  <c r="AF46" i="28" s="1"/>
  <c r="AB42" i="28"/>
  <c r="AF44" i="28" s="1"/>
  <c r="AB43" i="28"/>
  <c r="AA43" i="28"/>
  <c r="Z48" i="28"/>
  <c r="Z11" i="28"/>
  <c r="Z12" i="28"/>
  <c r="Z13" i="28"/>
  <c r="AA6" i="28"/>
  <c r="AA7" i="28"/>
  <c r="AG9" i="28"/>
  <c r="AA8" i="28"/>
  <c r="AG7" i="28"/>
  <c r="AH7" i="28" s="1"/>
  <c r="AI7" i="28" s="1"/>
  <c r="AA9" i="28"/>
  <c r="AA10" i="28"/>
  <c r="AA11" i="28" s="1"/>
  <c r="AB6" i="28"/>
  <c r="AB7" i="28"/>
  <c r="AF9" i="28"/>
  <c r="AB8" i="28"/>
  <c r="AF7" i="28"/>
  <c r="AB9" i="28"/>
  <c r="AB10" i="28"/>
  <c r="AF10" i="28"/>
  <c r="AB5" i="28"/>
  <c r="AF8" i="28" s="1"/>
  <c r="C12" i="28"/>
  <c r="C13" i="28" s="1"/>
  <c r="G159" i="1"/>
  <c r="E104" i="36"/>
  <c r="B105" i="36"/>
  <c r="B104" i="36"/>
  <c r="F80" i="36"/>
  <c r="B80" i="36"/>
  <c r="F56" i="36"/>
  <c r="B56" i="36"/>
  <c r="B54" i="53"/>
  <c r="F23" i="36"/>
  <c r="B23" i="36"/>
  <c r="G227" i="1"/>
  <c r="G226" i="1"/>
  <c r="G224" i="1"/>
  <c r="G223" i="1"/>
  <c r="G221" i="1"/>
  <c r="G218" i="1"/>
  <c r="G217" i="1"/>
  <c r="G216" i="1"/>
  <c r="G215" i="1"/>
  <c r="G214" i="1"/>
  <c r="G212" i="1"/>
  <c r="G211" i="1"/>
  <c r="G210" i="1"/>
  <c r="G209" i="1"/>
  <c r="G208" i="1"/>
  <c r="G206" i="1"/>
  <c r="G205" i="1"/>
  <c r="G204" i="1"/>
  <c r="G203" i="1"/>
  <c r="G202" i="1"/>
  <c r="G201" i="1"/>
  <c r="G200" i="1"/>
  <c r="G196" i="1"/>
  <c r="G195" i="1"/>
  <c r="G194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2" i="1"/>
  <c r="G170" i="1"/>
  <c r="G169" i="1"/>
  <c r="G167" i="1"/>
  <c r="G166" i="1"/>
  <c r="G164" i="1"/>
  <c r="G163" i="1"/>
  <c r="G162" i="1"/>
  <c r="G161" i="1"/>
  <c r="G160" i="1"/>
  <c r="G158" i="1"/>
  <c r="G156" i="1"/>
  <c r="G153" i="1"/>
  <c r="G152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2" i="1"/>
  <c r="G131" i="1"/>
  <c r="G130" i="1"/>
  <c r="G129" i="1"/>
  <c r="G128" i="1"/>
  <c r="G126" i="1"/>
  <c r="G123" i="1"/>
  <c r="G125" i="1"/>
  <c r="G122" i="1"/>
  <c r="G121" i="1"/>
  <c r="G119" i="1"/>
  <c r="G118" i="1"/>
  <c r="G117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9" i="1"/>
  <c r="G30" i="1"/>
  <c r="G31" i="1"/>
  <c r="G32" i="1"/>
  <c r="G34" i="1"/>
  <c r="G35" i="1"/>
  <c r="G36" i="1"/>
  <c r="G37" i="1"/>
  <c r="G38" i="1"/>
  <c r="G39" i="1"/>
  <c r="G40" i="1"/>
  <c r="G41" i="1"/>
  <c r="G42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9" i="1"/>
  <c r="G60" i="1"/>
  <c r="G61" i="1"/>
  <c r="G62" i="1"/>
  <c r="G63" i="1"/>
  <c r="G64" i="1"/>
  <c r="G65" i="1"/>
  <c r="G66" i="1"/>
  <c r="G67" i="1"/>
  <c r="G68" i="1"/>
  <c r="G70" i="1"/>
  <c r="G71" i="1"/>
  <c r="G73" i="1"/>
  <c r="G74" i="1"/>
  <c r="G75" i="1"/>
  <c r="G76" i="1"/>
  <c r="G77" i="1"/>
  <c r="G78" i="1"/>
  <c r="G79" i="1"/>
  <c r="G80" i="1"/>
  <c r="G81" i="1"/>
  <c r="G82" i="1"/>
  <c r="G83" i="1"/>
  <c r="G84" i="1"/>
  <c r="G86" i="1"/>
  <c r="G87" i="1"/>
  <c r="G88" i="1"/>
  <c r="G91" i="1"/>
  <c r="G92" i="1"/>
  <c r="G93" i="1"/>
  <c r="G94" i="1"/>
  <c r="G95" i="1"/>
  <c r="G96" i="1"/>
  <c r="G97" i="1"/>
  <c r="G98" i="1"/>
  <c r="G99" i="1"/>
  <c r="G100" i="1"/>
  <c r="G7" i="1"/>
  <c r="G8" i="1"/>
  <c r="G6" i="1"/>
  <c r="AV14" i="20"/>
  <c r="S248" i="2"/>
  <c r="T248" i="2" s="1"/>
  <c r="Y248" i="2"/>
  <c r="AA248" i="2"/>
  <c r="S249" i="2"/>
  <c r="T249" i="2" s="1"/>
  <c r="Y249" i="2"/>
  <c r="AA249" i="2"/>
  <c r="S250" i="2"/>
  <c r="T250" i="2" s="1"/>
  <c r="Y250" i="2"/>
  <c r="AA250" i="2"/>
  <c r="S251" i="2"/>
  <c r="T251" i="2" s="1"/>
  <c r="Y251" i="2"/>
  <c r="AA251" i="2"/>
  <c r="S252" i="2"/>
  <c r="T252" i="2" s="1"/>
  <c r="Y252" i="2"/>
  <c r="AA252" i="2"/>
  <c r="S253" i="2"/>
  <c r="T253" i="2" s="1"/>
  <c r="Y253" i="2"/>
  <c r="AA253" i="2"/>
  <c r="S254" i="2"/>
  <c r="T254" i="2" s="1"/>
  <c r="Y254" i="2"/>
  <c r="AA254" i="2"/>
  <c r="S255" i="2"/>
  <c r="T255" i="2" s="1"/>
  <c r="Y255" i="2"/>
  <c r="AA255" i="2"/>
  <c r="H248" i="2"/>
  <c r="H249" i="2"/>
  <c r="H250" i="2"/>
  <c r="H251" i="2"/>
  <c r="H252" i="2"/>
  <c r="H253" i="2"/>
  <c r="H254" i="2"/>
  <c r="H255" i="2"/>
  <c r="E248" i="2"/>
  <c r="E249" i="2"/>
  <c r="E250" i="2"/>
  <c r="E251" i="2"/>
  <c r="E252" i="2"/>
  <c r="E253" i="2"/>
  <c r="E254" i="2"/>
  <c r="E255" i="2"/>
  <c r="E45" i="41"/>
  <c r="C45" i="41"/>
  <c r="B57" i="53"/>
  <c r="B58" i="53"/>
  <c r="B56" i="53"/>
  <c r="B52" i="53"/>
  <c r="B53" i="53"/>
  <c r="B51" i="53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1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57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F24" i="36"/>
  <c r="F33" i="36"/>
  <c r="B24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6" i="36"/>
  <c r="B8" i="53"/>
  <c r="B9" i="53"/>
  <c r="B10" i="53"/>
  <c r="B11" i="53"/>
  <c r="B12" i="53"/>
  <c r="B13" i="53"/>
  <c r="B14" i="53"/>
  <c r="B15" i="53"/>
  <c r="B16" i="53"/>
  <c r="B7" i="53"/>
  <c r="E95" i="36"/>
  <c r="E88" i="36"/>
  <c r="E89" i="36"/>
  <c r="E90" i="36"/>
  <c r="E91" i="36"/>
  <c r="E92" i="36"/>
  <c r="E93" i="36"/>
  <c r="E94" i="36"/>
  <c r="E96" i="36"/>
  <c r="E97" i="36"/>
  <c r="E98" i="36"/>
  <c r="E99" i="36"/>
  <c r="E100" i="36"/>
  <c r="E101" i="36"/>
  <c r="E102" i="36"/>
  <c r="E103" i="36"/>
  <c r="E105" i="36"/>
  <c r="E87" i="36"/>
  <c r="H85" i="36"/>
  <c r="F81" i="36"/>
  <c r="F79" i="36"/>
  <c r="F78" i="36"/>
  <c r="F77" i="36"/>
  <c r="F76" i="36"/>
  <c r="F75" i="36"/>
  <c r="F74" i="36"/>
  <c r="F73" i="36"/>
  <c r="F72" i="36"/>
  <c r="F71" i="36"/>
  <c r="F70" i="36"/>
  <c r="F69" i="36"/>
  <c r="F68" i="36"/>
  <c r="F67" i="36"/>
  <c r="F66" i="36"/>
  <c r="F65" i="36"/>
  <c r="F64" i="36"/>
  <c r="F63" i="36"/>
  <c r="E61" i="36"/>
  <c r="F57" i="36"/>
  <c r="F55" i="36"/>
  <c r="F54" i="36"/>
  <c r="F53" i="36"/>
  <c r="F52" i="36"/>
  <c r="F51" i="36"/>
  <c r="F50" i="36"/>
  <c r="F49" i="36"/>
  <c r="F48" i="36"/>
  <c r="F47" i="36"/>
  <c r="F46" i="36"/>
  <c r="F45" i="36"/>
  <c r="F44" i="36"/>
  <c r="F43" i="36"/>
  <c r="F42" i="36"/>
  <c r="F41" i="36"/>
  <c r="F40" i="36"/>
  <c r="F39" i="36"/>
  <c r="E37" i="36"/>
  <c r="B55" i="44"/>
  <c r="B20" i="52"/>
  <c r="M7" i="52"/>
  <c r="M8" i="52"/>
  <c r="M9" i="52"/>
  <c r="M10" i="52"/>
  <c r="M11" i="52"/>
  <c r="M12" i="52"/>
  <c r="M13" i="52"/>
  <c r="M6" i="52"/>
  <c r="AF17" i="48"/>
  <c r="AG17" i="48"/>
  <c r="AH17" i="48"/>
  <c r="AI17" i="48"/>
  <c r="AJ17" i="48"/>
  <c r="AK17" i="48"/>
  <c r="AL17" i="48"/>
  <c r="AM17" i="48"/>
  <c r="AN17" i="48"/>
  <c r="AO17" i="48"/>
  <c r="AP17" i="48"/>
  <c r="AQ17" i="48"/>
  <c r="Q172" i="48"/>
  <c r="C172" i="48"/>
  <c r="B34" i="44"/>
  <c r="R125" i="48"/>
  <c r="C125" i="48"/>
  <c r="R77" i="48"/>
  <c r="C77" i="48"/>
  <c r="R30" i="48"/>
  <c r="C30" i="48"/>
  <c r="J29" i="24"/>
  <c r="J28" i="24"/>
  <c r="J27" i="24"/>
  <c r="J26" i="24"/>
  <c r="J25" i="24"/>
  <c r="J24" i="24"/>
  <c r="J23" i="24"/>
  <c r="J22" i="24"/>
  <c r="J21" i="24"/>
  <c r="J20" i="24"/>
  <c r="J19" i="24"/>
  <c r="J18" i="24"/>
  <c r="J17" i="24"/>
  <c r="J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16" i="24"/>
  <c r="G67" i="24"/>
  <c r="G68" i="24"/>
  <c r="G69" i="24"/>
  <c r="G70" i="24"/>
  <c r="G71" i="24"/>
  <c r="G72" i="24"/>
  <c r="G73" i="24"/>
  <c r="G74" i="24"/>
  <c r="G75" i="24"/>
  <c r="G76" i="24"/>
  <c r="G77" i="24"/>
  <c r="G66" i="24"/>
  <c r="B17" i="24"/>
  <c r="B18" i="24"/>
  <c r="B19" i="24"/>
  <c r="B20" i="24"/>
  <c r="B21" i="24"/>
  <c r="B22" i="24"/>
  <c r="B23" i="24"/>
  <c r="B24" i="24"/>
  <c r="B25" i="24"/>
  <c r="B26" i="24"/>
  <c r="B27" i="24"/>
  <c r="AH36" i="8"/>
  <c r="B47" i="42"/>
  <c r="B15" i="42"/>
  <c r="D81" i="22"/>
  <c r="D80" i="22"/>
  <c r="D79" i="22"/>
  <c r="D78" i="22"/>
  <c r="D77" i="22"/>
  <c r="P74" i="22"/>
  <c r="B74" i="22"/>
  <c r="J47" i="42"/>
  <c r="G97" i="35"/>
  <c r="F95" i="35"/>
  <c r="F94" i="35"/>
  <c r="F90" i="35"/>
  <c r="F89" i="35"/>
  <c r="F93" i="35"/>
  <c r="F77" i="35"/>
  <c r="F79" i="35"/>
  <c r="F91" i="35"/>
  <c r="F92" i="35"/>
  <c r="F78" i="35"/>
  <c r="M74" i="35"/>
  <c r="L82" i="35" s="1"/>
  <c r="J22" i="48"/>
  <c r="AR111" i="1"/>
  <c r="AN111" i="1" s="1"/>
  <c r="AR88" i="1"/>
  <c r="AN88" i="1" s="1"/>
  <c r="AR87" i="1"/>
  <c r="AN87" i="1" s="1"/>
  <c r="AR86" i="1"/>
  <c r="AN86" i="1" s="1"/>
  <c r="AR63" i="1"/>
  <c r="AN63" i="1" s="1"/>
  <c r="AR60" i="1"/>
  <c r="AN60" i="1" s="1"/>
  <c r="AR31" i="1"/>
  <c r="AN31" i="1" s="1"/>
  <c r="AR21" i="1"/>
  <c r="AN21" i="1" s="1"/>
  <c r="AR20" i="1"/>
  <c r="AN20" i="1" s="1"/>
  <c r="AR71" i="1"/>
  <c r="AN71" i="1" s="1"/>
  <c r="AN32" i="1"/>
  <c r="AR114" i="1"/>
  <c r="AN114" i="1" s="1"/>
  <c r="AR97" i="1"/>
  <c r="AN97" i="1" s="1"/>
  <c r="AR84" i="1"/>
  <c r="AN84" i="1" s="1"/>
  <c r="AR83" i="1"/>
  <c r="AN83" i="1" s="1"/>
  <c r="AR82" i="1"/>
  <c r="AN82" i="1" s="1"/>
  <c r="AR80" i="1"/>
  <c r="AN80" i="1" s="1"/>
  <c r="AR73" i="1"/>
  <c r="AN73" i="1" s="1"/>
  <c r="AR70" i="1"/>
  <c r="AN70" i="1" s="1"/>
  <c r="AR68" i="1"/>
  <c r="AN68" i="1" s="1"/>
  <c r="AR67" i="1"/>
  <c r="AN67" i="1" s="1"/>
  <c r="AR64" i="1"/>
  <c r="AN64" i="1" s="1"/>
  <c r="AR57" i="1"/>
  <c r="AN57" i="1" s="1"/>
  <c r="AR40" i="1"/>
  <c r="AN40" i="1" s="1"/>
  <c r="AR39" i="1"/>
  <c r="AN39" i="1" s="1"/>
  <c r="AR37" i="1"/>
  <c r="AN37" i="1" s="1"/>
  <c r="AR34" i="1"/>
  <c r="AN34" i="1" s="1"/>
  <c r="AR29" i="1"/>
  <c r="AN29" i="1" s="1"/>
  <c r="AR24" i="1"/>
  <c r="AN24" i="1" s="1"/>
  <c r="AR22" i="1"/>
  <c r="AN22" i="1" s="1"/>
  <c r="AR18" i="1"/>
  <c r="AN18" i="1" s="1"/>
  <c r="AR17" i="1"/>
  <c r="AN17" i="1" s="1"/>
  <c r="AR9" i="1"/>
  <c r="AN9" i="1" s="1"/>
  <c r="AR8" i="1"/>
  <c r="AN8" i="1" s="1"/>
  <c r="AR6" i="1"/>
  <c r="AN6" i="1" s="1"/>
  <c r="AR81" i="1"/>
  <c r="AN81" i="1" s="1"/>
  <c r="AR48" i="1"/>
  <c r="AN48" i="1" s="1"/>
  <c r="AR47" i="1"/>
  <c r="AN47" i="1" s="1"/>
  <c r="AR38" i="1"/>
  <c r="AN38" i="1" s="1"/>
  <c r="AR16" i="1"/>
  <c r="AN16" i="1" s="1"/>
  <c r="AR46" i="1"/>
  <c r="AR11" i="1"/>
  <c r="AR10" i="1"/>
  <c r="AR99" i="1"/>
  <c r="AN99" i="1" s="1"/>
  <c r="AR98" i="1"/>
  <c r="AN98" i="1" s="1"/>
  <c r="AR95" i="1"/>
  <c r="AN95" i="1" s="1"/>
  <c r="AR94" i="1"/>
  <c r="AN94" i="1" s="1"/>
  <c r="AR93" i="1"/>
  <c r="AN93" i="1" s="1"/>
  <c r="AR92" i="1"/>
  <c r="AN92" i="1" s="1"/>
  <c r="AR91" i="1"/>
  <c r="AN91" i="1" s="1"/>
  <c r="AR79" i="1"/>
  <c r="AN79" i="1" s="1"/>
  <c r="AR78" i="1"/>
  <c r="AN78" i="1" s="1"/>
  <c r="AR76" i="1"/>
  <c r="AN76" i="1" s="1"/>
  <c r="AR74" i="1"/>
  <c r="AN74" i="1" s="1"/>
  <c r="AR66" i="1"/>
  <c r="AN66" i="1" s="1"/>
  <c r="AR65" i="1"/>
  <c r="AN65" i="1" s="1"/>
  <c r="AR62" i="1"/>
  <c r="AN62" i="1" s="1"/>
  <c r="AR61" i="1"/>
  <c r="AN61" i="1" s="1"/>
  <c r="AR59" i="1"/>
  <c r="AN59" i="1" s="1"/>
  <c r="AR56" i="1"/>
  <c r="AN56" i="1" s="1"/>
  <c r="AR55" i="1"/>
  <c r="AN55" i="1" s="1"/>
  <c r="AR52" i="1"/>
  <c r="AN52" i="1" s="1"/>
  <c r="AR51" i="1"/>
  <c r="AN51" i="1" s="1"/>
  <c r="AR50" i="1"/>
  <c r="AN50" i="1" s="1"/>
  <c r="AR36" i="1"/>
  <c r="AN36" i="1" s="1"/>
  <c r="AR30" i="1"/>
  <c r="AN30" i="1" s="1"/>
  <c r="AR26" i="1"/>
  <c r="AN26" i="1" s="1"/>
  <c r="AR25" i="1"/>
  <c r="AN25" i="1" s="1"/>
  <c r="AR19" i="1"/>
  <c r="AN19" i="1" s="1"/>
  <c r="AR13" i="1"/>
  <c r="AR7" i="1"/>
  <c r="AN7" i="1" s="1"/>
  <c r="AR100" i="1"/>
  <c r="AR96" i="1"/>
  <c r="AR77" i="1"/>
  <c r="AR75" i="1"/>
  <c r="AR54" i="1"/>
  <c r="AR53" i="1"/>
  <c r="AR49" i="1"/>
  <c r="AR45" i="1"/>
  <c r="AR44" i="1"/>
  <c r="AR42" i="1"/>
  <c r="AR41" i="1"/>
  <c r="AR35" i="1"/>
  <c r="AR23" i="1"/>
  <c r="AR15" i="1"/>
  <c r="AR14" i="1"/>
  <c r="AR12" i="1"/>
  <c r="AP100" i="1"/>
  <c r="EF227" i="1"/>
  <c r="EE227" i="1"/>
  <c r="ED227" i="1"/>
  <c r="EC227" i="1"/>
  <c r="EB227" i="1"/>
  <c r="EA227" i="1"/>
  <c r="DZ227" i="1"/>
  <c r="DY227" i="1"/>
  <c r="DW227" i="1"/>
  <c r="DV227" i="1"/>
  <c r="DU227" i="1"/>
  <c r="DD227" i="1"/>
  <c r="AL227" i="1" s="1"/>
  <c r="DC227" i="1"/>
  <c r="AK227" i="1" s="1"/>
  <c r="DB227" i="1"/>
  <c r="AJ227" i="1" s="1"/>
  <c r="DA227" i="1"/>
  <c r="U227" i="1" s="1"/>
  <c r="DO227" i="1" s="1"/>
  <c r="CZ227" i="1"/>
  <c r="AH227" i="1" s="1"/>
  <c r="CY227" i="1"/>
  <c r="S227" i="1" s="1"/>
  <c r="DM227" i="1" s="1"/>
  <c r="CX227" i="1"/>
  <c r="CW227" i="1"/>
  <c r="Q227" i="1" s="1"/>
  <c r="BG227" i="1" s="1"/>
  <c r="BU227" i="1" s="1"/>
  <c r="AN227" i="1"/>
  <c r="EF226" i="1"/>
  <c r="EE226" i="1"/>
  <c r="ED226" i="1"/>
  <c r="EC226" i="1"/>
  <c r="EB226" i="1"/>
  <c r="EA226" i="1"/>
  <c r="DZ226" i="1"/>
  <c r="DY226" i="1"/>
  <c r="DW226" i="1"/>
  <c r="DV226" i="1"/>
  <c r="DU226" i="1"/>
  <c r="DD226" i="1"/>
  <c r="CP226" i="1" s="1"/>
  <c r="DC226" i="1"/>
  <c r="DB226" i="1"/>
  <c r="V226" i="1" s="1"/>
  <c r="DP226" i="1" s="1"/>
  <c r="DA226" i="1"/>
  <c r="AI226" i="1" s="1"/>
  <c r="CZ226" i="1"/>
  <c r="AH226" i="1" s="1"/>
  <c r="CY226" i="1"/>
  <c r="AG226" i="1" s="1"/>
  <c r="CX226" i="1"/>
  <c r="AF226" i="1" s="1"/>
  <c r="CW226" i="1"/>
  <c r="AE226" i="1" s="1"/>
  <c r="AN226" i="1"/>
  <c r="EF205" i="1"/>
  <c r="EE205" i="1"/>
  <c r="ED205" i="1"/>
  <c r="EC205" i="1"/>
  <c r="EB205" i="1"/>
  <c r="EA205" i="1"/>
  <c r="DZ205" i="1"/>
  <c r="DY205" i="1"/>
  <c r="DW205" i="1"/>
  <c r="DV205" i="1"/>
  <c r="DU205" i="1"/>
  <c r="DD205" i="1"/>
  <c r="AL205" i="1" s="1"/>
  <c r="DC205" i="1"/>
  <c r="CO205" i="1" s="1"/>
  <c r="DB205" i="1"/>
  <c r="V205" i="1" s="1"/>
  <c r="BL205" i="1" s="1"/>
  <c r="BZ205" i="1" s="1"/>
  <c r="DA205" i="1"/>
  <c r="AI205" i="1" s="1"/>
  <c r="CZ205" i="1"/>
  <c r="T205" i="1" s="1"/>
  <c r="BJ205" i="1" s="1"/>
  <c r="BX205" i="1" s="1"/>
  <c r="CY205" i="1"/>
  <c r="AG205" i="1" s="1"/>
  <c r="CX205" i="1"/>
  <c r="CJ205" i="1" s="1"/>
  <c r="CW205" i="1"/>
  <c r="Q205" i="1" s="1"/>
  <c r="BG205" i="1" s="1"/>
  <c r="BU205" i="1" s="1"/>
  <c r="AN205" i="1"/>
  <c r="EF204" i="1"/>
  <c r="EE204" i="1"/>
  <c r="ED204" i="1"/>
  <c r="EC204" i="1"/>
  <c r="EB204" i="1"/>
  <c r="EA204" i="1"/>
  <c r="DZ204" i="1"/>
  <c r="DY204" i="1"/>
  <c r="DW204" i="1"/>
  <c r="DV204" i="1"/>
  <c r="DU204" i="1"/>
  <c r="DD204" i="1"/>
  <c r="CP204" i="1" s="1"/>
  <c r="DC204" i="1"/>
  <c r="AK204" i="1" s="1"/>
  <c r="DB204" i="1"/>
  <c r="V204" i="1" s="1"/>
  <c r="DP204" i="1" s="1"/>
  <c r="DA204" i="1"/>
  <c r="AI204" i="1" s="1"/>
  <c r="CZ204" i="1"/>
  <c r="CL204" i="1" s="1"/>
  <c r="CY204" i="1"/>
  <c r="CK204" i="1" s="1"/>
  <c r="CX204" i="1"/>
  <c r="R204" i="1" s="1"/>
  <c r="BH204" i="1" s="1"/>
  <c r="BV204" i="1" s="1"/>
  <c r="CW204" i="1"/>
  <c r="AE204" i="1" s="1"/>
  <c r="AN204" i="1"/>
  <c r="EF203" i="1"/>
  <c r="EE203" i="1"/>
  <c r="ED203" i="1"/>
  <c r="EC203" i="1"/>
  <c r="EB203" i="1"/>
  <c r="EA203" i="1"/>
  <c r="DZ203" i="1"/>
  <c r="DY203" i="1"/>
  <c r="DW203" i="1"/>
  <c r="DV203" i="1"/>
  <c r="DU203" i="1"/>
  <c r="DD203" i="1"/>
  <c r="X203" i="1" s="1"/>
  <c r="DR203" i="1" s="1"/>
  <c r="DC203" i="1"/>
  <c r="CO203" i="1" s="1"/>
  <c r="DB203" i="1"/>
  <c r="CN203" i="1" s="1"/>
  <c r="DA203" i="1"/>
  <c r="CM203" i="1" s="1"/>
  <c r="CZ203" i="1"/>
  <c r="AH203" i="1" s="1"/>
  <c r="CY203" i="1"/>
  <c r="S203" i="1" s="1"/>
  <c r="BI203" i="1" s="1"/>
  <c r="BW203" i="1" s="1"/>
  <c r="CX203" i="1"/>
  <c r="CJ203" i="1" s="1"/>
  <c r="CW203" i="1"/>
  <c r="AE203" i="1" s="1"/>
  <c r="AN203" i="1"/>
  <c r="EF202" i="1"/>
  <c r="EE202" i="1"/>
  <c r="ED202" i="1"/>
  <c r="EC202" i="1"/>
  <c r="EB202" i="1"/>
  <c r="EA202" i="1"/>
  <c r="DZ202" i="1"/>
  <c r="DY202" i="1"/>
  <c r="DW202" i="1"/>
  <c r="DV202" i="1"/>
  <c r="DU202" i="1"/>
  <c r="DD202" i="1"/>
  <c r="AL202" i="1" s="1"/>
  <c r="DC202" i="1"/>
  <c r="DB202" i="1"/>
  <c r="V202" i="1" s="1"/>
  <c r="DP202" i="1" s="1"/>
  <c r="DA202" i="1"/>
  <c r="U202" i="1" s="1"/>
  <c r="BK202" i="1" s="1"/>
  <c r="BY202" i="1" s="1"/>
  <c r="CZ202" i="1"/>
  <c r="AH202" i="1" s="1"/>
  <c r="CY202" i="1"/>
  <c r="CK202" i="1" s="1"/>
  <c r="CX202" i="1"/>
  <c r="R202" i="1" s="1"/>
  <c r="BH202" i="1" s="1"/>
  <c r="BV202" i="1" s="1"/>
  <c r="CW202" i="1"/>
  <c r="Q202" i="1" s="1"/>
  <c r="BG202" i="1" s="1"/>
  <c r="BU202" i="1" s="1"/>
  <c r="AN202" i="1"/>
  <c r="EF201" i="1"/>
  <c r="EE201" i="1"/>
  <c r="ED201" i="1"/>
  <c r="EC201" i="1"/>
  <c r="EB201" i="1"/>
  <c r="EA201" i="1"/>
  <c r="DZ201" i="1"/>
  <c r="DY201" i="1"/>
  <c r="DW201" i="1"/>
  <c r="DV201" i="1"/>
  <c r="DU201" i="1"/>
  <c r="DD201" i="1"/>
  <c r="CP201" i="1" s="1"/>
  <c r="DC201" i="1"/>
  <c r="AK201" i="1" s="1"/>
  <c r="DB201" i="1"/>
  <c r="CN201" i="1" s="1"/>
  <c r="DA201" i="1"/>
  <c r="U201" i="1" s="1"/>
  <c r="BK201" i="1" s="1"/>
  <c r="BY201" i="1" s="1"/>
  <c r="CZ201" i="1"/>
  <c r="AH201" i="1" s="1"/>
  <c r="CY201" i="1"/>
  <c r="CK201" i="1" s="1"/>
  <c r="CX201" i="1"/>
  <c r="R201" i="1" s="1"/>
  <c r="BH201" i="1" s="1"/>
  <c r="BV201" i="1" s="1"/>
  <c r="CW201" i="1"/>
  <c r="Q201" i="1" s="1"/>
  <c r="DK201" i="1" s="1"/>
  <c r="AN201" i="1"/>
  <c r="EF200" i="1"/>
  <c r="EE200" i="1"/>
  <c r="ED200" i="1"/>
  <c r="EC200" i="1"/>
  <c r="EB200" i="1"/>
  <c r="EA200" i="1"/>
  <c r="DZ200" i="1"/>
  <c r="DY200" i="1"/>
  <c r="DW200" i="1"/>
  <c r="DV200" i="1"/>
  <c r="DU200" i="1"/>
  <c r="DD200" i="1"/>
  <c r="CP200" i="1" s="1"/>
  <c r="DC200" i="1"/>
  <c r="CO200" i="1" s="1"/>
  <c r="DB200" i="1"/>
  <c r="AJ200" i="1" s="1"/>
  <c r="DA200" i="1"/>
  <c r="CM200" i="1" s="1"/>
  <c r="CZ200" i="1"/>
  <c r="T200" i="1" s="1"/>
  <c r="DN200" i="1" s="1"/>
  <c r="CY200" i="1"/>
  <c r="AG200" i="1" s="1"/>
  <c r="CX200" i="1"/>
  <c r="AF200" i="1" s="1"/>
  <c r="CW200" i="1"/>
  <c r="AE200" i="1" s="1"/>
  <c r="AN200" i="1"/>
  <c r="EF196" i="1"/>
  <c r="EE196" i="1"/>
  <c r="ED196" i="1"/>
  <c r="EC196" i="1"/>
  <c r="EB196" i="1"/>
  <c r="EA196" i="1"/>
  <c r="DZ196" i="1"/>
  <c r="DY196" i="1"/>
  <c r="DW196" i="1"/>
  <c r="DV196" i="1"/>
  <c r="DU196" i="1"/>
  <c r="DD196" i="1"/>
  <c r="CP196" i="1" s="1"/>
  <c r="DC196" i="1"/>
  <c r="AK196" i="1" s="1"/>
  <c r="DB196" i="1"/>
  <c r="AJ196" i="1" s="1"/>
  <c r="DA196" i="1"/>
  <c r="U196" i="1" s="1"/>
  <c r="DO196" i="1" s="1"/>
  <c r="CZ196" i="1"/>
  <c r="CL196" i="1" s="1"/>
  <c r="CY196" i="1"/>
  <c r="AG196" i="1" s="1"/>
  <c r="CX196" i="1"/>
  <c r="R196" i="1" s="1"/>
  <c r="BH196" i="1" s="1"/>
  <c r="BV196" i="1" s="1"/>
  <c r="CW196" i="1"/>
  <c r="CI196" i="1" s="1"/>
  <c r="AN196" i="1"/>
  <c r="EF195" i="1"/>
  <c r="EE195" i="1"/>
  <c r="ED195" i="1"/>
  <c r="EC195" i="1"/>
  <c r="EB195" i="1"/>
  <c r="EA195" i="1"/>
  <c r="DZ195" i="1"/>
  <c r="DY195" i="1"/>
  <c r="DW195" i="1"/>
  <c r="DV195" i="1"/>
  <c r="DU195" i="1"/>
  <c r="DD195" i="1"/>
  <c r="X195" i="1" s="1"/>
  <c r="DC195" i="1"/>
  <c r="W195" i="1" s="1"/>
  <c r="BM195" i="1" s="1"/>
  <c r="CA195" i="1" s="1"/>
  <c r="DB195" i="1"/>
  <c r="CN195" i="1" s="1"/>
  <c r="DA195" i="1"/>
  <c r="U195" i="1" s="1"/>
  <c r="DO195" i="1" s="1"/>
  <c r="CZ195" i="1"/>
  <c r="T195" i="1" s="1"/>
  <c r="BJ195" i="1" s="1"/>
  <c r="BX195" i="1" s="1"/>
  <c r="CY195" i="1"/>
  <c r="AG195" i="1" s="1"/>
  <c r="CX195" i="1"/>
  <c r="AF195" i="1" s="1"/>
  <c r="CW195" i="1"/>
  <c r="AE195" i="1" s="1"/>
  <c r="AN195" i="1"/>
  <c r="EF177" i="1"/>
  <c r="EE177" i="1"/>
  <c r="ED177" i="1"/>
  <c r="EC177" i="1"/>
  <c r="EB177" i="1"/>
  <c r="DZ177" i="1"/>
  <c r="DY177" i="1"/>
  <c r="DW177" i="1"/>
  <c r="DV177" i="1"/>
  <c r="DU177" i="1"/>
  <c r="DD177" i="1"/>
  <c r="CP177" i="1" s="1"/>
  <c r="DC177" i="1"/>
  <c r="CO177" i="1" s="1"/>
  <c r="DB177" i="1"/>
  <c r="CN177" i="1" s="1"/>
  <c r="DA177" i="1"/>
  <c r="CZ177" i="1"/>
  <c r="CY177" i="1"/>
  <c r="CX177" i="1"/>
  <c r="CJ177" i="1" s="1"/>
  <c r="CW177" i="1"/>
  <c r="Q177" i="1" s="1"/>
  <c r="AN177" i="1"/>
  <c r="EF194" i="1"/>
  <c r="EE194" i="1"/>
  <c r="ED194" i="1"/>
  <c r="EC194" i="1"/>
  <c r="EB194" i="1"/>
  <c r="EA194" i="1"/>
  <c r="DZ194" i="1"/>
  <c r="DY194" i="1"/>
  <c r="DW194" i="1"/>
  <c r="DV194" i="1"/>
  <c r="DU194" i="1"/>
  <c r="DD194" i="1"/>
  <c r="CP194" i="1" s="1"/>
  <c r="DC194" i="1"/>
  <c r="AK194" i="1" s="1"/>
  <c r="DB194" i="1"/>
  <c r="DA194" i="1"/>
  <c r="CM194" i="1" s="1"/>
  <c r="CZ194" i="1"/>
  <c r="CL194" i="1" s="1"/>
  <c r="CY194" i="1"/>
  <c r="AG194" i="1" s="1"/>
  <c r="CX194" i="1"/>
  <c r="AF194" i="1" s="1"/>
  <c r="CW194" i="1"/>
  <c r="CI194" i="1" s="1"/>
  <c r="AN194" i="1"/>
  <c r="EF170" i="1"/>
  <c r="EE170" i="1"/>
  <c r="ED170" i="1"/>
  <c r="EC170" i="1"/>
  <c r="EB170" i="1"/>
  <c r="EA170" i="1"/>
  <c r="DW170" i="1"/>
  <c r="DV170" i="1"/>
  <c r="DU170" i="1"/>
  <c r="DD170" i="1"/>
  <c r="CP170" i="1" s="1"/>
  <c r="DC170" i="1"/>
  <c r="W170" i="1" s="1"/>
  <c r="BM170" i="1" s="1"/>
  <c r="CA170" i="1" s="1"/>
  <c r="DB170" i="1"/>
  <c r="AJ170" i="1" s="1"/>
  <c r="DA170" i="1"/>
  <c r="CZ170" i="1"/>
  <c r="CY170" i="1"/>
  <c r="CK170" i="1" s="1"/>
  <c r="CX170" i="1"/>
  <c r="CW170" i="1"/>
  <c r="CI170" i="1" s="1"/>
  <c r="AN170" i="1"/>
  <c r="EF169" i="1"/>
  <c r="EE169" i="1"/>
  <c r="ED169" i="1"/>
  <c r="EC169" i="1"/>
  <c r="EB169" i="1"/>
  <c r="EA169" i="1"/>
  <c r="DZ169" i="1"/>
  <c r="DY169" i="1"/>
  <c r="DW169" i="1"/>
  <c r="DV169" i="1"/>
  <c r="DU169" i="1"/>
  <c r="DD169" i="1"/>
  <c r="CP169" i="1" s="1"/>
  <c r="DC169" i="1"/>
  <c r="W169" i="1" s="1"/>
  <c r="DQ169" i="1" s="1"/>
  <c r="DB169" i="1"/>
  <c r="CN169" i="1" s="1"/>
  <c r="DA169" i="1"/>
  <c r="CZ169" i="1"/>
  <c r="CY169" i="1"/>
  <c r="AG169" i="1" s="1"/>
  <c r="CX169" i="1"/>
  <c r="AF169" i="1" s="1"/>
  <c r="CW169" i="1"/>
  <c r="AE169" i="1" s="1"/>
  <c r="AN169" i="1"/>
  <c r="EF167" i="1"/>
  <c r="EE167" i="1"/>
  <c r="ED167" i="1"/>
  <c r="EC167" i="1"/>
  <c r="EB167" i="1"/>
  <c r="EA167" i="1"/>
  <c r="DZ167" i="1"/>
  <c r="DY167" i="1"/>
  <c r="DW167" i="1"/>
  <c r="DV167" i="1"/>
  <c r="DU167" i="1"/>
  <c r="DD167" i="1"/>
  <c r="CP167" i="1" s="1"/>
  <c r="DC167" i="1"/>
  <c r="AK167" i="1" s="1"/>
  <c r="DB167" i="1"/>
  <c r="AJ167" i="1" s="1"/>
  <c r="DA167" i="1"/>
  <c r="CZ167" i="1"/>
  <c r="CY167" i="1"/>
  <c r="S167" i="1" s="1"/>
  <c r="DM167" i="1" s="1"/>
  <c r="CX167" i="1"/>
  <c r="AF167" i="1" s="1"/>
  <c r="CW167" i="1"/>
  <c r="CI167" i="1" s="1"/>
  <c r="AN167" i="1"/>
  <c r="EF156" i="1"/>
  <c r="EE156" i="1"/>
  <c r="ED156" i="1"/>
  <c r="EC156" i="1"/>
  <c r="EB156" i="1"/>
  <c r="DY156" i="1"/>
  <c r="DW156" i="1"/>
  <c r="DV156" i="1"/>
  <c r="DU156" i="1"/>
  <c r="DD156" i="1"/>
  <c r="CP156" i="1" s="1"/>
  <c r="DC156" i="1"/>
  <c r="CO156" i="1" s="1"/>
  <c r="DB156" i="1"/>
  <c r="AJ156" i="1" s="1"/>
  <c r="DA156" i="1"/>
  <c r="CZ156" i="1"/>
  <c r="CY156" i="1"/>
  <c r="CX156" i="1"/>
  <c r="R156" i="1" s="1"/>
  <c r="DL156" i="1" s="1"/>
  <c r="CW156" i="1"/>
  <c r="AE156" i="1" s="1"/>
  <c r="AN156" i="1"/>
  <c r="EF153" i="1"/>
  <c r="EE153" i="1"/>
  <c r="ED153" i="1"/>
  <c r="EC153" i="1"/>
  <c r="EB153" i="1"/>
  <c r="EA153" i="1"/>
  <c r="DZ153" i="1"/>
  <c r="DY153" i="1"/>
  <c r="DW153" i="1"/>
  <c r="DV153" i="1"/>
  <c r="DU153" i="1"/>
  <c r="DD153" i="1"/>
  <c r="CP153" i="1" s="1"/>
  <c r="DC153" i="1"/>
  <c r="DB153" i="1"/>
  <c r="CN153" i="1" s="1"/>
  <c r="DA153" i="1"/>
  <c r="AI153" i="1" s="1"/>
  <c r="CZ153" i="1"/>
  <c r="T153" i="1" s="1"/>
  <c r="DN153" i="1" s="1"/>
  <c r="CY153" i="1"/>
  <c r="S153" i="1" s="1"/>
  <c r="BI153" i="1" s="1"/>
  <c r="BW153" i="1" s="1"/>
  <c r="CX153" i="1"/>
  <c r="R153" i="1" s="1"/>
  <c r="DL153" i="1" s="1"/>
  <c r="CW153" i="1"/>
  <c r="Q153" i="1" s="1"/>
  <c r="BG153" i="1" s="1"/>
  <c r="BU153" i="1" s="1"/>
  <c r="AQ153" i="1"/>
  <c r="AN153" i="1" s="1"/>
  <c r="EF54" i="1"/>
  <c r="EE54" i="1"/>
  <c r="ED54" i="1"/>
  <c r="EC54" i="1"/>
  <c r="EB54" i="1"/>
  <c r="EA54" i="1"/>
  <c r="DZ54" i="1"/>
  <c r="DY54" i="1"/>
  <c r="DW54" i="1"/>
  <c r="DV54" i="1"/>
  <c r="DU54" i="1"/>
  <c r="DD54" i="1"/>
  <c r="DC54" i="1"/>
  <c r="DB54" i="1"/>
  <c r="V54" i="1" s="1"/>
  <c r="BL54" i="1" s="1"/>
  <c r="BZ54" i="1" s="1"/>
  <c r="DA54" i="1"/>
  <c r="AI54" i="1" s="1"/>
  <c r="CZ54" i="1"/>
  <c r="AH54" i="1" s="1"/>
  <c r="CY54" i="1"/>
  <c r="S54" i="1" s="1"/>
  <c r="DM54" i="1" s="1"/>
  <c r="CX54" i="1"/>
  <c r="AF54" i="1" s="1"/>
  <c r="CW54" i="1"/>
  <c r="CI54" i="1" s="1"/>
  <c r="AP54" i="1"/>
  <c r="EF100" i="1"/>
  <c r="EE100" i="1"/>
  <c r="ED100" i="1"/>
  <c r="EC100" i="1"/>
  <c r="EB100" i="1"/>
  <c r="EA100" i="1"/>
  <c r="DZ100" i="1"/>
  <c r="DY100" i="1"/>
  <c r="DW100" i="1"/>
  <c r="DV100" i="1"/>
  <c r="DU100" i="1"/>
  <c r="DD100" i="1"/>
  <c r="CP100" i="1" s="1"/>
  <c r="DC100" i="1"/>
  <c r="W100" i="1" s="1"/>
  <c r="DQ100" i="1" s="1"/>
  <c r="DB100" i="1"/>
  <c r="AJ100" i="1" s="1"/>
  <c r="DA100" i="1"/>
  <c r="AI100" i="1" s="1"/>
  <c r="CZ100" i="1"/>
  <c r="AH100" i="1" s="1"/>
  <c r="CY100" i="1"/>
  <c r="CK100" i="1" s="1"/>
  <c r="CX100" i="1"/>
  <c r="AF100" i="1" s="1"/>
  <c r="CW100" i="1"/>
  <c r="AE100" i="1" s="1"/>
  <c r="D65" i="22"/>
  <c r="D64" i="22"/>
  <c r="D63" i="22"/>
  <c r="D62" i="22"/>
  <c r="D61" i="22"/>
  <c r="P58" i="22"/>
  <c r="B58" i="22"/>
  <c r="AL6" i="8"/>
  <c r="AH6" i="8" s="1"/>
  <c r="AL18" i="8"/>
  <c r="AH18" i="8" s="1"/>
  <c r="AH15" i="8"/>
  <c r="AL14" i="8"/>
  <c r="AH14" i="8" s="1"/>
  <c r="AH13" i="8"/>
  <c r="AL12" i="8"/>
  <c r="AH12" i="8" s="1"/>
  <c r="AL11" i="8"/>
  <c r="AH11" i="8" s="1"/>
  <c r="AH10" i="8"/>
  <c r="AL8" i="8"/>
  <c r="AH8" i="8" s="1"/>
  <c r="AL7" i="8"/>
  <c r="AH7" i="8" s="1"/>
  <c r="M134" i="2"/>
  <c r="O134" i="2" s="1"/>
  <c r="X134" i="2" s="1"/>
  <c r="AC134" i="2" s="1"/>
  <c r="AD134" i="2" s="1"/>
  <c r="M225" i="2"/>
  <c r="O225" i="2" s="1"/>
  <c r="U225" i="2" s="1"/>
  <c r="V225" i="2" s="1"/>
  <c r="M224" i="2"/>
  <c r="O224" i="2" s="1"/>
  <c r="U224" i="2" s="1"/>
  <c r="Z224" i="2" s="1"/>
  <c r="M133" i="2"/>
  <c r="O133" i="2" s="1"/>
  <c r="M129" i="2"/>
  <c r="O129" i="2" s="1"/>
  <c r="X129" i="2" s="1"/>
  <c r="M227" i="2"/>
  <c r="O227" i="2" s="1"/>
  <c r="P227" i="2" s="1"/>
  <c r="Q227" i="2" s="1"/>
  <c r="L184" i="2"/>
  <c r="O184" i="2" s="1"/>
  <c r="L200" i="2"/>
  <c r="O200" i="2" s="1"/>
  <c r="P200" i="2" s="1"/>
  <c r="Q200" i="2" s="1"/>
  <c r="L186" i="2"/>
  <c r="O186" i="2" s="1"/>
  <c r="U186" i="2" s="1"/>
  <c r="L185" i="2"/>
  <c r="O185" i="2" s="1"/>
  <c r="L183" i="2"/>
  <c r="O183" i="2" s="1"/>
  <c r="X183" i="2" s="1"/>
  <c r="M226" i="2"/>
  <c r="O226" i="2" s="1"/>
  <c r="U226" i="2" s="1"/>
  <c r="V226" i="2" s="1"/>
  <c r="M135" i="2"/>
  <c r="O135" i="2" s="1"/>
  <c r="M132" i="2"/>
  <c r="O132" i="2" s="1"/>
  <c r="P132" i="2" s="1"/>
  <c r="Q132" i="2" s="1"/>
  <c r="M131" i="2"/>
  <c r="O131" i="2" s="1"/>
  <c r="P131" i="2" s="1"/>
  <c r="Q131" i="2" s="1"/>
  <c r="M130" i="2"/>
  <c r="O130" i="2" s="1"/>
  <c r="X130" i="2" s="1"/>
  <c r="Y181" i="2"/>
  <c r="AA181" i="2"/>
  <c r="Y182" i="2"/>
  <c r="AA182" i="2"/>
  <c r="Y183" i="2"/>
  <c r="AA183" i="2"/>
  <c r="Y184" i="2"/>
  <c r="AA184" i="2"/>
  <c r="Y185" i="2"/>
  <c r="AA185" i="2"/>
  <c r="Y186" i="2"/>
  <c r="AA186" i="2"/>
  <c r="Y187" i="2"/>
  <c r="AA187" i="2"/>
  <c r="Y188" i="2"/>
  <c r="AA188" i="2"/>
  <c r="Y189" i="2"/>
  <c r="AA189" i="2"/>
  <c r="Y190" i="2"/>
  <c r="AA190" i="2"/>
  <c r="Y191" i="2"/>
  <c r="AA191" i="2"/>
  <c r="Y192" i="2"/>
  <c r="AA192" i="2"/>
  <c r="Y193" i="2"/>
  <c r="AA193" i="2"/>
  <c r="Y194" i="2"/>
  <c r="AA194" i="2"/>
  <c r="Y195" i="2"/>
  <c r="AA195" i="2"/>
  <c r="Y196" i="2"/>
  <c r="AA196" i="2"/>
  <c r="Y197" i="2"/>
  <c r="AA197" i="2"/>
  <c r="Y198" i="2"/>
  <c r="AA198" i="2"/>
  <c r="Y199" i="2"/>
  <c r="AA199" i="2"/>
  <c r="Y200" i="2"/>
  <c r="AA200" i="2"/>
  <c r="Y201" i="2"/>
  <c r="AA201" i="2"/>
  <c r="Y202" i="2"/>
  <c r="AA202" i="2"/>
  <c r="Y203" i="2"/>
  <c r="AA203" i="2"/>
  <c r="Y204" i="2"/>
  <c r="AA204" i="2"/>
  <c r="Y205" i="2"/>
  <c r="AA205" i="2"/>
  <c r="Y206" i="2"/>
  <c r="AA206" i="2"/>
  <c r="Y207" i="2"/>
  <c r="AA207" i="2"/>
  <c r="Y208" i="2"/>
  <c r="AA208" i="2"/>
  <c r="Y209" i="2"/>
  <c r="AA209" i="2"/>
  <c r="Y210" i="2"/>
  <c r="AA210" i="2"/>
  <c r="Y211" i="2"/>
  <c r="AA211" i="2"/>
  <c r="Y212" i="2"/>
  <c r="AA212" i="2"/>
  <c r="Y213" i="2"/>
  <c r="AA213" i="2"/>
  <c r="Y214" i="2"/>
  <c r="AA214" i="2"/>
  <c r="Y215" i="2"/>
  <c r="AA215" i="2"/>
  <c r="Y216" i="2"/>
  <c r="AA216" i="2"/>
  <c r="Y217" i="2"/>
  <c r="AA217" i="2"/>
  <c r="Y218" i="2"/>
  <c r="AA218" i="2"/>
  <c r="Y219" i="2"/>
  <c r="AA219" i="2"/>
  <c r="Y220" i="2"/>
  <c r="AA220" i="2"/>
  <c r="Y221" i="2"/>
  <c r="AA221" i="2"/>
  <c r="Y222" i="2"/>
  <c r="AA222" i="2"/>
  <c r="Y223" i="2"/>
  <c r="AA223" i="2"/>
  <c r="Y224" i="2"/>
  <c r="AA224" i="2"/>
  <c r="Y225" i="2"/>
  <c r="AA225" i="2"/>
  <c r="Y226" i="2"/>
  <c r="AA226" i="2"/>
  <c r="Y227" i="2"/>
  <c r="AA227" i="2"/>
  <c r="Y228" i="2"/>
  <c r="AA228" i="2"/>
  <c r="Y229" i="2"/>
  <c r="AA229" i="2"/>
  <c r="Y230" i="2"/>
  <c r="AA230" i="2"/>
  <c r="Y231" i="2"/>
  <c r="AA231" i="2"/>
  <c r="Y232" i="2"/>
  <c r="AA232" i="2"/>
  <c r="Y233" i="2"/>
  <c r="AA233" i="2"/>
  <c r="Y234" i="2"/>
  <c r="AA234" i="2"/>
  <c r="Y235" i="2"/>
  <c r="AA235" i="2"/>
  <c r="Y236" i="2"/>
  <c r="AA236" i="2"/>
  <c r="Y237" i="2"/>
  <c r="AA237" i="2"/>
  <c r="Y238" i="2"/>
  <c r="AA238" i="2"/>
  <c r="Y239" i="2"/>
  <c r="AA239" i="2"/>
  <c r="Y240" i="2"/>
  <c r="AA240" i="2"/>
  <c r="Y241" i="2"/>
  <c r="AA241" i="2"/>
  <c r="Y242" i="2"/>
  <c r="AA242" i="2"/>
  <c r="Y243" i="2"/>
  <c r="AA243" i="2"/>
  <c r="Y244" i="2"/>
  <c r="AA244" i="2"/>
  <c r="Y245" i="2"/>
  <c r="AA245" i="2"/>
  <c r="Y246" i="2"/>
  <c r="AA246" i="2"/>
  <c r="Y247" i="2"/>
  <c r="AA247" i="2"/>
  <c r="S181" i="2"/>
  <c r="T181" i="2" s="1"/>
  <c r="S182" i="2"/>
  <c r="T182" i="2" s="1"/>
  <c r="S183" i="2"/>
  <c r="T183" i="2" s="1"/>
  <c r="S184" i="2"/>
  <c r="T184" i="2" s="1"/>
  <c r="S185" i="2"/>
  <c r="T185" i="2" s="1"/>
  <c r="S186" i="2"/>
  <c r="T186" i="2" s="1"/>
  <c r="S187" i="2"/>
  <c r="T187" i="2" s="1"/>
  <c r="S188" i="2"/>
  <c r="T188" i="2" s="1"/>
  <c r="S189" i="2"/>
  <c r="T189" i="2" s="1"/>
  <c r="S190" i="2"/>
  <c r="T190" i="2" s="1"/>
  <c r="S191" i="2"/>
  <c r="T191" i="2" s="1"/>
  <c r="S192" i="2"/>
  <c r="T192" i="2" s="1"/>
  <c r="S193" i="2"/>
  <c r="T193" i="2" s="1"/>
  <c r="S194" i="2"/>
  <c r="T194" i="2" s="1"/>
  <c r="S195" i="2"/>
  <c r="T195" i="2" s="1"/>
  <c r="S196" i="2"/>
  <c r="T196" i="2" s="1"/>
  <c r="S197" i="2"/>
  <c r="T197" i="2" s="1"/>
  <c r="S198" i="2"/>
  <c r="T198" i="2" s="1"/>
  <c r="S199" i="2"/>
  <c r="T199" i="2" s="1"/>
  <c r="S200" i="2"/>
  <c r="T200" i="2" s="1"/>
  <c r="S201" i="2"/>
  <c r="T201" i="2" s="1"/>
  <c r="S202" i="2"/>
  <c r="T202" i="2" s="1"/>
  <c r="S203" i="2"/>
  <c r="T203" i="2" s="1"/>
  <c r="S204" i="2"/>
  <c r="T204" i="2" s="1"/>
  <c r="S205" i="2"/>
  <c r="T205" i="2" s="1"/>
  <c r="S206" i="2"/>
  <c r="T206" i="2" s="1"/>
  <c r="S207" i="2"/>
  <c r="T207" i="2" s="1"/>
  <c r="S208" i="2"/>
  <c r="T208" i="2" s="1"/>
  <c r="S209" i="2"/>
  <c r="T209" i="2" s="1"/>
  <c r="S210" i="2"/>
  <c r="T210" i="2" s="1"/>
  <c r="S211" i="2"/>
  <c r="T211" i="2" s="1"/>
  <c r="S212" i="2"/>
  <c r="T212" i="2" s="1"/>
  <c r="S213" i="2"/>
  <c r="T213" i="2" s="1"/>
  <c r="S214" i="2"/>
  <c r="T214" i="2" s="1"/>
  <c r="S215" i="2"/>
  <c r="T215" i="2" s="1"/>
  <c r="S216" i="2"/>
  <c r="T216" i="2" s="1"/>
  <c r="S217" i="2"/>
  <c r="T217" i="2" s="1"/>
  <c r="S218" i="2"/>
  <c r="T218" i="2" s="1"/>
  <c r="S219" i="2"/>
  <c r="T219" i="2" s="1"/>
  <c r="S220" i="2"/>
  <c r="T220" i="2" s="1"/>
  <c r="S221" i="2"/>
  <c r="T221" i="2" s="1"/>
  <c r="S222" i="2"/>
  <c r="T222" i="2" s="1"/>
  <c r="S223" i="2"/>
  <c r="T223" i="2" s="1"/>
  <c r="S224" i="2"/>
  <c r="T224" i="2" s="1"/>
  <c r="S225" i="2"/>
  <c r="T225" i="2" s="1"/>
  <c r="S226" i="2"/>
  <c r="T226" i="2" s="1"/>
  <c r="S227" i="2"/>
  <c r="T227" i="2" s="1"/>
  <c r="S228" i="2"/>
  <c r="T228" i="2" s="1"/>
  <c r="S229" i="2"/>
  <c r="T229" i="2" s="1"/>
  <c r="S230" i="2"/>
  <c r="T230" i="2" s="1"/>
  <c r="S231" i="2"/>
  <c r="T231" i="2" s="1"/>
  <c r="S232" i="2"/>
  <c r="T232" i="2" s="1"/>
  <c r="S233" i="2"/>
  <c r="T233" i="2" s="1"/>
  <c r="S234" i="2"/>
  <c r="T234" i="2" s="1"/>
  <c r="S235" i="2"/>
  <c r="T235" i="2" s="1"/>
  <c r="S236" i="2"/>
  <c r="T236" i="2" s="1"/>
  <c r="S237" i="2"/>
  <c r="T237" i="2" s="1"/>
  <c r="S238" i="2"/>
  <c r="T238" i="2" s="1"/>
  <c r="S239" i="2"/>
  <c r="T239" i="2" s="1"/>
  <c r="S240" i="2"/>
  <c r="T240" i="2" s="1"/>
  <c r="S241" i="2"/>
  <c r="T241" i="2" s="1"/>
  <c r="S242" i="2"/>
  <c r="T242" i="2" s="1"/>
  <c r="S243" i="2"/>
  <c r="T243" i="2" s="1"/>
  <c r="S244" i="2"/>
  <c r="T244" i="2" s="1"/>
  <c r="S245" i="2"/>
  <c r="T245" i="2" s="1"/>
  <c r="S246" i="2"/>
  <c r="T246" i="2" s="1"/>
  <c r="S247" i="2"/>
  <c r="T247" i="2" s="1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S46" i="35"/>
  <c r="M18" i="35"/>
  <c r="K34" i="35" s="1"/>
  <c r="AA28" i="2"/>
  <c r="L150" i="2"/>
  <c r="L179" i="2"/>
  <c r="O179" i="2" s="1"/>
  <c r="X179" i="2" s="1"/>
  <c r="AC179" i="2" s="1"/>
  <c r="AD179" i="2" s="1"/>
  <c r="CN6" i="8"/>
  <c r="CN7" i="8"/>
  <c r="CO6" i="8"/>
  <c r="F18" i="62" s="1"/>
  <c r="CO7" i="8"/>
  <c r="CP6" i="8"/>
  <c r="CP7" i="8"/>
  <c r="CQ6" i="8"/>
  <c r="CC6" i="8" s="1"/>
  <c r="CQ7" i="8"/>
  <c r="H15" i="62" s="1"/>
  <c r="CR6" i="8"/>
  <c r="CD6" i="8" s="1"/>
  <c r="CR7" i="8"/>
  <c r="CD7" i="8" s="1"/>
  <c r="CS6" i="8"/>
  <c r="CE6" i="8" s="1"/>
  <c r="CS7" i="8"/>
  <c r="E110" i="22" s="1"/>
  <c r="CT6" i="8"/>
  <c r="CT7" i="8"/>
  <c r="CU6" i="8"/>
  <c r="AB5" i="44" s="1"/>
  <c r="CU7" i="8"/>
  <c r="AC7" i="8" s="1"/>
  <c r="CV6" i="8"/>
  <c r="AC5" i="44" s="1"/>
  <c r="CV7" i="8"/>
  <c r="M15" i="62" s="1"/>
  <c r="CW6" i="8"/>
  <c r="N18" i="62" s="1"/>
  <c r="CW7" i="8"/>
  <c r="N15" i="62" s="1"/>
  <c r="CX6" i="8"/>
  <c r="CX7" i="8"/>
  <c r="CM6" i="8"/>
  <c r="T5" i="44" s="1"/>
  <c r="CM7" i="8"/>
  <c r="BY7" i="8" s="1"/>
  <c r="CX69" i="8"/>
  <c r="CJ69" i="8" s="1"/>
  <c r="CJ68" i="8" s="1"/>
  <c r="CW69" i="8"/>
  <c r="CW68" i="8" s="1"/>
  <c r="CV69" i="8"/>
  <c r="CH69" i="8" s="1"/>
  <c r="CH68" i="8" s="1"/>
  <c r="CU69" i="8"/>
  <c r="O69" i="8" s="1"/>
  <c r="CT69" i="8"/>
  <c r="CF69" i="8" s="1"/>
  <c r="CF68" i="8" s="1"/>
  <c r="CS69" i="8"/>
  <c r="CS68" i="8" s="1"/>
  <c r="CR69" i="8"/>
  <c r="Z69" i="8" s="1"/>
  <c r="CQ69" i="8"/>
  <c r="K69" i="8" s="1"/>
  <c r="DE69" i="8" s="1"/>
  <c r="CP69" i="8"/>
  <c r="CB69" i="8" s="1"/>
  <c r="CB68" i="8" s="1"/>
  <c r="CO69" i="8"/>
  <c r="CO68" i="8" s="1"/>
  <c r="CN69" i="8"/>
  <c r="CM69" i="8"/>
  <c r="BY69" i="8" s="1"/>
  <c r="BY68" i="8" s="1"/>
  <c r="CX60" i="8"/>
  <c r="CX61" i="8"/>
  <c r="CJ61" i="8" s="1"/>
  <c r="CX62" i="8"/>
  <c r="CX63" i="8"/>
  <c r="R63" i="8" s="1"/>
  <c r="CX64" i="8"/>
  <c r="CX65" i="8"/>
  <c r="CJ65" i="8" s="1"/>
  <c r="CX67" i="8"/>
  <c r="CJ67" i="8" s="1"/>
  <c r="CW60" i="8"/>
  <c r="Q60" i="8" s="1"/>
  <c r="BG60" i="8" s="1"/>
  <c r="BU60" i="8" s="1"/>
  <c r="CW61" i="8"/>
  <c r="CI61" i="8" s="1"/>
  <c r="CW62" i="8"/>
  <c r="Q62" i="8" s="1"/>
  <c r="CW63" i="8"/>
  <c r="AE63" i="8" s="1"/>
  <c r="CW64" i="8"/>
  <c r="Q64" i="8" s="1"/>
  <c r="DK64" i="8" s="1"/>
  <c r="CW65" i="8"/>
  <c r="CI65" i="8" s="1"/>
  <c r="CW67" i="8"/>
  <c r="CV60" i="8"/>
  <c r="CH60" i="8" s="1"/>
  <c r="CV61" i="8"/>
  <c r="CV62" i="8"/>
  <c r="CH62" i="8" s="1"/>
  <c r="CV63" i="8"/>
  <c r="CH63" i="8" s="1"/>
  <c r="CV64" i="8"/>
  <c r="CH64" i="8" s="1"/>
  <c r="CV65" i="8"/>
  <c r="P65" i="8" s="1"/>
  <c r="BF65" i="8" s="1"/>
  <c r="BT65" i="8" s="1"/>
  <c r="CV67" i="8"/>
  <c r="CU60" i="8"/>
  <c r="CG60" i="8" s="1"/>
  <c r="CU61" i="8"/>
  <c r="CG61" i="8" s="1"/>
  <c r="CU62" i="8"/>
  <c r="CG62" i="8" s="1"/>
  <c r="CU63" i="8"/>
  <c r="O63" i="8" s="1"/>
  <c r="DI63" i="8" s="1"/>
  <c r="CU64" i="8"/>
  <c r="AC64" i="8" s="1"/>
  <c r="CU65" i="8"/>
  <c r="CG65" i="8" s="1"/>
  <c r="CU67" i="8"/>
  <c r="CT60" i="8"/>
  <c r="N60" i="8" s="1"/>
  <c r="CT61" i="8"/>
  <c r="CF61" i="8" s="1"/>
  <c r="CT62" i="8"/>
  <c r="CT63" i="8"/>
  <c r="CF63" i="8" s="1"/>
  <c r="CT64" i="8"/>
  <c r="CT65" i="8"/>
  <c r="CF65" i="8" s="1"/>
  <c r="CT67" i="8"/>
  <c r="AB67" i="8" s="1"/>
  <c r="CS60" i="8"/>
  <c r="CS61" i="8"/>
  <c r="AA61" i="8" s="1"/>
  <c r="CS62" i="8"/>
  <c r="M62" i="8" s="1"/>
  <c r="DG62" i="8" s="1"/>
  <c r="CS63" i="8"/>
  <c r="CE63" i="8" s="1"/>
  <c r="CS64" i="8"/>
  <c r="CE64" i="8" s="1"/>
  <c r="CS65" i="8"/>
  <c r="M65" i="8" s="1"/>
  <c r="DG65" i="8" s="1"/>
  <c r="CS67" i="8"/>
  <c r="AA67" i="8" s="1"/>
  <c r="CR60" i="8"/>
  <c r="L60" i="8" s="1"/>
  <c r="DF60" i="8" s="1"/>
  <c r="CR61" i="8"/>
  <c r="CR62" i="8"/>
  <c r="L62" i="8" s="1"/>
  <c r="DF62" i="8" s="1"/>
  <c r="CR63" i="8"/>
  <c r="CD63" i="8" s="1"/>
  <c r="CR64" i="8"/>
  <c r="Z64" i="8" s="1"/>
  <c r="CR65" i="8"/>
  <c r="CR67" i="8"/>
  <c r="L67" i="8" s="1"/>
  <c r="BB67" i="8" s="1"/>
  <c r="BP67" i="8" s="1"/>
  <c r="CQ60" i="8"/>
  <c r="CC60" i="8" s="1"/>
  <c r="CQ61" i="8"/>
  <c r="CQ62" i="8"/>
  <c r="K62" i="8" s="1"/>
  <c r="DE62" i="8" s="1"/>
  <c r="CQ63" i="8"/>
  <c r="CQ64" i="8"/>
  <c r="CC64" i="8" s="1"/>
  <c r="CQ65" i="8"/>
  <c r="CC65" i="8" s="1"/>
  <c r="CQ67" i="8"/>
  <c r="K67" i="8" s="1"/>
  <c r="BA67" i="8" s="1"/>
  <c r="BO67" i="8" s="1"/>
  <c r="CP60" i="8"/>
  <c r="CB60" i="8" s="1"/>
  <c r="CP61" i="8"/>
  <c r="CB61" i="8" s="1"/>
  <c r="CP62" i="8"/>
  <c r="X62" i="8" s="1"/>
  <c r="CP63" i="8"/>
  <c r="CP64" i="8"/>
  <c r="CB64" i="8" s="1"/>
  <c r="CP65" i="8"/>
  <c r="X65" i="8" s="1"/>
  <c r="CP67" i="8"/>
  <c r="CB67" i="8" s="1"/>
  <c r="CO60" i="8"/>
  <c r="CA60" i="8" s="1"/>
  <c r="CO61" i="8"/>
  <c r="CA61" i="8" s="1"/>
  <c r="CO62" i="8"/>
  <c r="CA62" i="8" s="1"/>
  <c r="CO63" i="8"/>
  <c r="W63" i="8" s="1"/>
  <c r="CO64" i="8"/>
  <c r="CA64" i="8" s="1"/>
  <c r="CO65" i="8"/>
  <c r="CO67" i="8"/>
  <c r="CA67" i="8" s="1"/>
  <c r="CN60" i="8"/>
  <c r="BZ60" i="8" s="1"/>
  <c r="CN61" i="8"/>
  <c r="V61" i="8" s="1"/>
  <c r="CN62" i="8"/>
  <c r="BZ62" i="8" s="1"/>
  <c r="CN63" i="8"/>
  <c r="BZ63" i="8" s="1"/>
  <c r="CN64" i="8"/>
  <c r="H64" i="8" s="1"/>
  <c r="DB64" i="8" s="1"/>
  <c r="CN65" i="8"/>
  <c r="BZ65" i="8" s="1"/>
  <c r="CN67" i="8"/>
  <c r="BZ67" i="8" s="1"/>
  <c r="CM60" i="8"/>
  <c r="CM61" i="8"/>
  <c r="CM62" i="8"/>
  <c r="CM63" i="8"/>
  <c r="BY63" i="8" s="1"/>
  <c r="CM64" i="8"/>
  <c r="CM65" i="8"/>
  <c r="U65" i="8" s="1"/>
  <c r="CM67" i="8"/>
  <c r="U67" i="8" s="1"/>
  <c r="CX42" i="8"/>
  <c r="CJ42" i="8" s="1"/>
  <c r="CX43" i="8"/>
  <c r="CJ43" i="8" s="1"/>
  <c r="CX44" i="8"/>
  <c r="CX45" i="8"/>
  <c r="R45" i="8" s="1"/>
  <c r="DL45" i="8" s="1"/>
  <c r="CX46" i="8"/>
  <c r="R46" i="8" s="1"/>
  <c r="BH46" i="8" s="1"/>
  <c r="BV46" i="8" s="1"/>
  <c r="CX47" i="8"/>
  <c r="AF47" i="8" s="1"/>
  <c r="CX48" i="8"/>
  <c r="AF48" i="8" s="1"/>
  <c r="CX49" i="8"/>
  <c r="R49" i="8" s="1"/>
  <c r="BH49" i="8" s="1"/>
  <c r="BV49" i="8" s="1"/>
  <c r="CX50" i="8"/>
  <c r="CJ50" i="8" s="1"/>
  <c r="CW42" i="8"/>
  <c r="CI42" i="8" s="1"/>
  <c r="CW43" i="8"/>
  <c r="CW44" i="8"/>
  <c r="CI44" i="8" s="1"/>
  <c r="CW45" i="8"/>
  <c r="CI45" i="8" s="1"/>
  <c r="CW46" i="8"/>
  <c r="CW47" i="8"/>
  <c r="AE47" i="8" s="1"/>
  <c r="CW48" i="8"/>
  <c r="CW49" i="8"/>
  <c r="CI49" i="8" s="1"/>
  <c r="CW50" i="8"/>
  <c r="CI50" i="8" s="1"/>
  <c r="CV42" i="8"/>
  <c r="CH42" i="8" s="1"/>
  <c r="CV43" i="8"/>
  <c r="CH43" i="8" s="1"/>
  <c r="CV44" i="8"/>
  <c r="AD44" i="8" s="1"/>
  <c r="CV45" i="8"/>
  <c r="P45" i="8" s="1"/>
  <c r="BF45" i="8" s="1"/>
  <c r="BT45" i="8" s="1"/>
  <c r="CV46" i="8"/>
  <c r="AD46" i="8" s="1"/>
  <c r="CV47" i="8"/>
  <c r="P47" i="8" s="1"/>
  <c r="DJ47" i="8" s="1"/>
  <c r="CV48" i="8"/>
  <c r="P48" i="8" s="1"/>
  <c r="BF48" i="8" s="1"/>
  <c r="BT48" i="8" s="1"/>
  <c r="CV49" i="8"/>
  <c r="P49" i="8" s="1"/>
  <c r="DJ49" i="8" s="1"/>
  <c r="CV50" i="8"/>
  <c r="CH50" i="8" s="1"/>
  <c r="CU42" i="8"/>
  <c r="CU43" i="8"/>
  <c r="CG43" i="8" s="1"/>
  <c r="CU44" i="8"/>
  <c r="CG44" i="8" s="1"/>
  <c r="CU45" i="8"/>
  <c r="O45" i="8" s="1"/>
  <c r="DI45" i="8" s="1"/>
  <c r="CU46" i="8"/>
  <c r="CU47" i="8"/>
  <c r="O47" i="8" s="1"/>
  <c r="BE47" i="8" s="1"/>
  <c r="BS47" i="8" s="1"/>
  <c r="CU48" i="8"/>
  <c r="CU49" i="8"/>
  <c r="CG49" i="8" s="1"/>
  <c r="CU50" i="8"/>
  <c r="CG50" i="8" s="1"/>
  <c r="CT42" i="8"/>
  <c r="CF42" i="8" s="1"/>
  <c r="CT43" i="8"/>
  <c r="AB43" i="8" s="1"/>
  <c r="CT44" i="8"/>
  <c r="CF44" i="8" s="1"/>
  <c r="CT45" i="8"/>
  <c r="CF45" i="8" s="1"/>
  <c r="CT46" i="8"/>
  <c r="CF46" i="8" s="1"/>
  <c r="CT47" i="8"/>
  <c r="N47" i="8" s="1"/>
  <c r="BD47" i="8" s="1"/>
  <c r="BR47" i="8" s="1"/>
  <c r="CT48" i="8"/>
  <c r="CT49" i="8"/>
  <c r="CF49" i="8" s="1"/>
  <c r="CT50" i="8"/>
  <c r="CF50" i="8" s="1"/>
  <c r="CS42" i="8"/>
  <c r="CS43" i="8"/>
  <c r="CE43" i="8" s="1"/>
  <c r="CS44" i="8"/>
  <c r="CS45" i="8"/>
  <c r="CE45" i="8" s="1"/>
  <c r="CS46" i="8"/>
  <c r="CE46" i="8" s="1"/>
  <c r="CS47" i="8"/>
  <c r="M47" i="8" s="1"/>
  <c r="BC47" i="8" s="1"/>
  <c r="BQ47" i="8" s="1"/>
  <c r="CS48" i="8"/>
  <c r="CE48" i="8" s="1"/>
  <c r="CS49" i="8"/>
  <c r="CE49" i="8" s="1"/>
  <c r="CS50" i="8"/>
  <c r="M50" i="8" s="1"/>
  <c r="BC50" i="8" s="1"/>
  <c r="BQ50" i="8" s="1"/>
  <c r="CR42" i="8"/>
  <c r="Z42" i="8" s="1"/>
  <c r="CR43" i="8"/>
  <c r="L43" i="8" s="1"/>
  <c r="DF43" i="8" s="1"/>
  <c r="CR44" i="8"/>
  <c r="CD44" i="8" s="1"/>
  <c r="CR45" i="8"/>
  <c r="CD45" i="8" s="1"/>
  <c r="CR46" i="8"/>
  <c r="L46" i="8" s="1"/>
  <c r="DF46" i="8" s="1"/>
  <c r="CR47" i="8"/>
  <c r="Z47" i="8" s="1"/>
  <c r="CR48" i="8"/>
  <c r="CD48" i="8" s="1"/>
  <c r="CR49" i="8"/>
  <c r="CD49" i="8" s="1"/>
  <c r="CR50" i="8"/>
  <c r="CD50" i="8" s="1"/>
  <c r="CQ42" i="8"/>
  <c r="Y42" i="8" s="1"/>
  <c r="CQ43" i="8"/>
  <c r="CQ44" i="8"/>
  <c r="CC44" i="8" s="1"/>
  <c r="CQ45" i="8"/>
  <c r="CC45" i="8" s="1"/>
  <c r="CQ46" i="8"/>
  <c r="K46" i="8" s="1"/>
  <c r="DE46" i="8" s="1"/>
  <c r="CQ47" i="8"/>
  <c r="Y47" i="8" s="1"/>
  <c r="CQ48" i="8"/>
  <c r="K48" i="8" s="1"/>
  <c r="BA48" i="8" s="1"/>
  <c r="BO48" i="8" s="1"/>
  <c r="CQ49" i="8"/>
  <c r="K49" i="8" s="1"/>
  <c r="BA49" i="8" s="1"/>
  <c r="BO49" i="8" s="1"/>
  <c r="CQ50" i="8"/>
  <c r="K50" i="8" s="1"/>
  <c r="DE50" i="8" s="1"/>
  <c r="CP42" i="8"/>
  <c r="CB42" i="8" s="1"/>
  <c r="CP43" i="8"/>
  <c r="CB43" i="8" s="1"/>
  <c r="CP44" i="8"/>
  <c r="CP45" i="8"/>
  <c r="CB45" i="8" s="1"/>
  <c r="CP46" i="8"/>
  <c r="J46" i="8" s="1"/>
  <c r="DD46" i="8" s="1"/>
  <c r="CP47" i="8"/>
  <c r="CP48" i="8"/>
  <c r="X48" i="8" s="1"/>
  <c r="CP49" i="8"/>
  <c r="X49" i="8" s="1"/>
  <c r="CP50" i="8"/>
  <c r="CO42" i="8"/>
  <c r="CA42" i="8" s="1"/>
  <c r="CO43" i="8"/>
  <c r="W43" i="8" s="1"/>
  <c r="CO44" i="8"/>
  <c r="CA44" i="8" s="1"/>
  <c r="CO45" i="8"/>
  <c r="CA45" i="8" s="1"/>
  <c r="CO46" i="8"/>
  <c r="CA46" i="8" s="1"/>
  <c r="CO47" i="8"/>
  <c r="W47" i="8" s="1"/>
  <c r="CO48" i="8"/>
  <c r="CO49" i="8"/>
  <c r="CA49" i="8" s="1"/>
  <c r="CO50" i="8"/>
  <c r="CA50" i="8" s="1"/>
  <c r="CN42" i="8"/>
  <c r="CN43" i="8"/>
  <c r="BZ43" i="8" s="1"/>
  <c r="CN44" i="8"/>
  <c r="BZ44" i="8" s="1"/>
  <c r="CN45" i="8"/>
  <c r="CN46" i="8"/>
  <c r="H46" i="8" s="1"/>
  <c r="CN47" i="8"/>
  <c r="BZ47" i="8" s="1"/>
  <c r="CN48" i="8"/>
  <c r="BZ48" i="8" s="1"/>
  <c r="CN49" i="8"/>
  <c r="BZ49" i="8" s="1"/>
  <c r="CN50" i="8"/>
  <c r="BZ50" i="8" s="1"/>
  <c r="CM42" i="8"/>
  <c r="BY42" i="8" s="1"/>
  <c r="CM43" i="8"/>
  <c r="BY43" i="8" s="1"/>
  <c r="CM44" i="8"/>
  <c r="G44" i="8" s="1"/>
  <c r="AW44" i="8" s="1"/>
  <c r="BK44" i="8" s="1"/>
  <c r="CM45" i="8"/>
  <c r="BY45" i="8" s="1"/>
  <c r="CM46" i="8"/>
  <c r="CM47" i="8"/>
  <c r="U47" i="8" s="1"/>
  <c r="CM48" i="8"/>
  <c r="BY48" i="8" s="1"/>
  <c r="CM49" i="8"/>
  <c r="G49" i="8" s="1"/>
  <c r="DA49" i="8" s="1"/>
  <c r="CM50" i="8"/>
  <c r="BY50" i="8" s="1"/>
  <c r="CX30" i="8"/>
  <c r="CJ30" i="8" s="1"/>
  <c r="CX31" i="8"/>
  <c r="CJ31" i="8" s="1"/>
  <c r="CX32" i="8"/>
  <c r="CJ32" i="8" s="1"/>
  <c r="CX33" i="8"/>
  <c r="AF33" i="8" s="1"/>
  <c r="CX34" i="8"/>
  <c r="CJ34" i="8" s="1"/>
  <c r="CX35" i="8"/>
  <c r="AF35" i="8" s="1"/>
  <c r="CX36" i="8"/>
  <c r="CJ36" i="8" s="1"/>
  <c r="CX37" i="8"/>
  <c r="R37" i="8" s="1"/>
  <c r="BH37" i="8" s="1"/>
  <c r="BV37" i="8" s="1"/>
  <c r="CX38" i="8"/>
  <c r="R38" i="8" s="1"/>
  <c r="DL38" i="8" s="1"/>
  <c r="CX39" i="8"/>
  <c r="AF39" i="8" s="1"/>
  <c r="CW30" i="8"/>
  <c r="AE30" i="8" s="1"/>
  <c r="Y42" i="28" s="1"/>
  <c r="Y49" i="28" s="1"/>
  <c r="Y50" i="28" s="1"/>
  <c r="CW31" i="8"/>
  <c r="CW32" i="8"/>
  <c r="CI32" i="8" s="1"/>
  <c r="CW33" i="8"/>
  <c r="CW34" i="8"/>
  <c r="CI34" i="8" s="1"/>
  <c r="CW35" i="8"/>
  <c r="CI35" i="8" s="1"/>
  <c r="CW36" i="8"/>
  <c r="CW37" i="8"/>
  <c r="CI37" i="8" s="1"/>
  <c r="CW38" i="8"/>
  <c r="AE38" i="8" s="1"/>
  <c r="CW39" i="8"/>
  <c r="AE39" i="8" s="1"/>
  <c r="CV30" i="8"/>
  <c r="P30" i="8" s="1"/>
  <c r="CV31" i="8"/>
  <c r="AD31" i="8" s="1"/>
  <c r="CV32" i="8"/>
  <c r="P32" i="8" s="1"/>
  <c r="CV33" i="8"/>
  <c r="P33" i="8" s="1"/>
  <c r="DJ33" i="8" s="1"/>
  <c r="CV34" i="8"/>
  <c r="CH34" i="8" s="1"/>
  <c r="CV35" i="8"/>
  <c r="AD35" i="8" s="1"/>
  <c r="CV36" i="8"/>
  <c r="AD36" i="8" s="1"/>
  <c r="CV37" i="8"/>
  <c r="P37" i="8" s="1"/>
  <c r="CV38" i="8"/>
  <c r="CH38" i="8" s="1"/>
  <c r="CV39" i="8"/>
  <c r="CU30" i="8"/>
  <c r="CU31" i="8"/>
  <c r="CG31" i="8" s="1"/>
  <c r="CU32" i="8"/>
  <c r="CG32" i="8" s="1"/>
  <c r="CU33" i="8"/>
  <c r="CG33" i="8" s="1"/>
  <c r="CU34" i="8"/>
  <c r="O34" i="8" s="1"/>
  <c r="DI34" i="8" s="1"/>
  <c r="CU35" i="8"/>
  <c r="O35" i="8" s="1"/>
  <c r="DI35" i="8" s="1"/>
  <c r="CU36" i="8"/>
  <c r="AC36" i="8" s="1"/>
  <c r="CU37" i="8"/>
  <c r="CG37" i="8" s="1"/>
  <c r="CU38" i="8"/>
  <c r="O38" i="8" s="1"/>
  <c r="CU39" i="8"/>
  <c r="O39" i="8" s="1"/>
  <c r="CT30" i="8"/>
  <c r="AB30" i="8" s="1"/>
  <c r="CT31" i="8"/>
  <c r="CF31" i="8" s="1"/>
  <c r="CT32" i="8"/>
  <c r="AB32" i="8" s="1"/>
  <c r="CT33" i="8"/>
  <c r="N33" i="8" s="1"/>
  <c r="BD33" i="8" s="1"/>
  <c r="BR33" i="8" s="1"/>
  <c r="CT34" i="8"/>
  <c r="CF34" i="8" s="1"/>
  <c r="CT35" i="8"/>
  <c r="CF35" i="8" s="1"/>
  <c r="CT36" i="8"/>
  <c r="CF36" i="8" s="1"/>
  <c r="CT37" i="8"/>
  <c r="CF37" i="8" s="1"/>
  <c r="CT38" i="8"/>
  <c r="CT39" i="8"/>
  <c r="CS30" i="8"/>
  <c r="M30" i="8" s="1"/>
  <c r="CS31" i="8"/>
  <c r="CS32" i="8"/>
  <c r="CE32" i="8" s="1"/>
  <c r="CS33" i="8"/>
  <c r="M33" i="8" s="1"/>
  <c r="DG33" i="8" s="1"/>
  <c r="CS34" i="8"/>
  <c r="CE34" i="8" s="1"/>
  <c r="CS35" i="8"/>
  <c r="CE35" i="8" s="1"/>
  <c r="CS36" i="8"/>
  <c r="AA36" i="8" s="1"/>
  <c r="CS37" i="8"/>
  <c r="CE37" i="8" s="1"/>
  <c r="CS38" i="8"/>
  <c r="CS39" i="8"/>
  <c r="M39" i="8" s="1"/>
  <c r="CR30" i="8"/>
  <c r="CD30" i="8" s="1"/>
  <c r="CR31" i="8"/>
  <c r="CD31" i="8" s="1"/>
  <c r="CR32" i="8"/>
  <c r="CD32" i="8" s="1"/>
  <c r="CR33" i="8"/>
  <c r="CR34" i="8"/>
  <c r="CD34" i="8" s="1"/>
  <c r="CR35" i="8"/>
  <c r="CD35" i="8" s="1"/>
  <c r="CR36" i="8"/>
  <c r="L36" i="8" s="1"/>
  <c r="CR37" i="8"/>
  <c r="CD37" i="8" s="1"/>
  <c r="CR38" i="8"/>
  <c r="L38" i="8" s="1"/>
  <c r="DF38" i="8" s="1"/>
  <c r="CR39" i="8"/>
  <c r="CD39" i="8" s="1"/>
  <c r="CQ30" i="8"/>
  <c r="CC30" i="8" s="1"/>
  <c r="CQ31" i="8"/>
  <c r="K31" i="8" s="1"/>
  <c r="DE31" i="8" s="1"/>
  <c r="CQ32" i="8"/>
  <c r="Y32" i="8" s="1"/>
  <c r="CQ33" i="8"/>
  <c r="K33" i="8" s="1"/>
  <c r="DE33" i="8" s="1"/>
  <c r="CQ34" i="8"/>
  <c r="K34" i="8" s="1"/>
  <c r="DE34" i="8" s="1"/>
  <c r="CQ35" i="8"/>
  <c r="Y35" i="8" s="1"/>
  <c r="CQ36" i="8"/>
  <c r="CC36" i="8" s="1"/>
  <c r="CQ37" i="8"/>
  <c r="CQ38" i="8"/>
  <c r="CQ39" i="8"/>
  <c r="CC39" i="8" s="1"/>
  <c r="CP30" i="8"/>
  <c r="E65" i="22" s="1"/>
  <c r="CP31" i="8"/>
  <c r="CB31" i="8" s="1"/>
  <c r="CP32" i="8"/>
  <c r="CB32" i="8" s="1"/>
  <c r="CP33" i="8"/>
  <c r="X33" i="8" s="1"/>
  <c r="CP34" i="8"/>
  <c r="CB34" i="8" s="1"/>
  <c r="CP35" i="8"/>
  <c r="X35" i="8" s="1"/>
  <c r="CP36" i="8"/>
  <c r="CP37" i="8"/>
  <c r="X37" i="8" s="1"/>
  <c r="CP38" i="8"/>
  <c r="CB38" i="8" s="1"/>
  <c r="CP39" i="8"/>
  <c r="CB39" i="8" s="1"/>
  <c r="CO30" i="8"/>
  <c r="E48" i="22" s="1"/>
  <c r="CO31" i="8"/>
  <c r="CA31" i="8" s="1"/>
  <c r="CO32" i="8"/>
  <c r="I32" i="8" s="1"/>
  <c r="AY32" i="8" s="1"/>
  <c r="BM32" i="8" s="1"/>
  <c r="CO33" i="8"/>
  <c r="CA33" i="8" s="1"/>
  <c r="CO34" i="8"/>
  <c r="CA34" i="8" s="1"/>
  <c r="CO35" i="8"/>
  <c r="CA35" i="8" s="1"/>
  <c r="CO36" i="8"/>
  <c r="CA36" i="8" s="1"/>
  <c r="CO37" i="8"/>
  <c r="W37" i="8" s="1"/>
  <c r="CO38" i="8"/>
  <c r="CA38" i="8" s="1"/>
  <c r="CO39" i="8"/>
  <c r="CN30" i="8"/>
  <c r="BZ30" i="8" s="1"/>
  <c r="CN31" i="8"/>
  <c r="CN32" i="8"/>
  <c r="H32" i="8" s="1"/>
  <c r="DB32" i="8" s="1"/>
  <c r="CN33" i="8"/>
  <c r="BZ33" i="8" s="1"/>
  <c r="CN34" i="8"/>
  <c r="BZ34" i="8" s="1"/>
  <c r="CN35" i="8"/>
  <c r="H35" i="8" s="1"/>
  <c r="DB35" i="8" s="1"/>
  <c r="CN36" i="8"/>
  <c r="H36" i="8" s="1"/>
  <c r="DB36" i="8" s="1"/>
  <c r="CN37" i="8"/>
  <c r="BZ37" i="8" s="1"/>
  <c r="CN38" i="8"/>
  <c r="BZ38" i="8" s="1"/>
  <c r="CN39" i="8"/>
  <c r="BZ39" i="8" s="1"/>
  <c r="CM30" i="8"/>
  <c r="BY30" i="8" s="1"/>
  <c r="CM31" i="8"/>
  <c r="BY31" i="8" s="1"/>
  <c r="CM32" i="8"/>
  <c r="G32" i="8" s="1"/>
  <c r="AW32" i="8" s="1"/>
  <c r="BK32" i="8" s="1"/>
  <c r="CM33" i="8"/>
  <c r="CM34" i="8"/>
  <c r="CM35" i="8"/>
  <c r="G35" i="8" s="1"/>
  <c r="DA35" i="8" s="1"/>
  <c r="CM36" i="8"/>
  <c r="BY36" i="8" s="1"/>
  <c r="CM37" i="8"/>
  <c r="BY37" i="8" s="1"/>
  <c r="CM38" i="8"/>
  <c r="BY38" i="8" s="1"/>
  <c r="CM39" i="8"/>
  <c r="BY39" i="8" s="1"/>
  <c r="CX23" i="8"/>
  <c r="CX24" i="8"/>
  <c r="AF24" i="8" s="1"/>
  <c r="CX25" i="8"/>
  <c r="CJ25" i="8" s="1"/>
  <c r="CX26" i="8"/>
  <c r="R26" i="8" s="1"/>
  <c r="CX27" i="8"/>
  <c r="R27" i="8" s="1"/>
  <c r="BH27" i="8" s="1"/>
  <c r="BV27" i="8" s="1"/>
  <c r="CW23" i="8"/>
  <c r="CI23" i="8" s="1"/>
  <c r="CW24" i="8"/>
  <c r="CW25" i="8"/>
  <c r="Q25" i="8" s="1"/>
  <c r="DK25" i="8" s="1"/>
  <c r="CW26" i="8"/>
  <c r="Q26" i="8" s="1"/>
  <c r="BG26" i="8" s="1"/>
  <c r="BU26" i="8" s="1"/>
  <c r="CW27" i="8"/>
  <c r="AE27" i="8" s="1"/>
  <c r="CV23" i="8"/>
  <c r="P23" i="8" s="1"/>
  <c r="DJ23" i="8" s="1"/>
  <c r="CV24" i="8"/>
  <c r="CV25" i="8"/>
  <c r="P25" i="8" s="1"/>
  <c r="BF25" i="8" s="1"/>
  <c r="BT25" i="8" s="1"/>
  <c r="CV26" i="8"/>
  <c r="P26" i="8" s="1"/>
  <c r="DJ26" i="8" s="1"/>
  <c r="CV27" i="8"/>
  <c r="AD27" i="8" s="1"/>
  <c r="CU23" i="8"/>
  <c r="CU24" i="8"/>
  <c r="AC24" i="8" s="1"/>
  <c r="CU25" i="8"/>
  <c r="CG25" i="8" s="1"/>
  <c r="CU26" i="8"/>
  <c r="CU27" i="8"/>
  <c r="CT23" i="8"/>
  <c r="CF23" i="8" s="1"/>
  <c r="CT24" i="8"/>
  <c r="CF24" i="8" s="1"/>
  <c r="CT25" i="8"/>
  <c r="CF25" i="8" s="1"/>
  <c r="CT26" i="8"/>
  <c r="CT27" i="8"/>
  <c r="CS23" i="8"/>
  <c r="CE23" i="8" s="1"/>
  <c r="CS24" i="8"/>
  <c r="AA24" i="8" s="1"/>
  <c r="CS25" i="8"/>
  <c r="AA25" i="8" s="1"/>
  <c r="CS26" i="8"/>
  <c r="M26" i="8" s="1"/>
  <c r="DG26" i="8" s="1"/>
  <c r="O113" i="22" s="1"/>
  <c r="G113" i="22" s="1"/>
  <c r="CS27" i="8"/>
  <c r="M27" i="8" s="1"/>
  <c r="CR23" i="8"/>
  <c r="L23" i="8" s="1"/>
  <c r="BB23" i="8" s="1"/>
  <c r="BP23" i="8" s="1"/>
  <c r="CR24" i="8"/>
  <c r="Z24" i="8" s="1"/>
  <c r="CR25" i="8"/>
  <c r="CD25" i="8" s="1"/>
  <c r="CR26" i="8"/>
  <c r="CR27" i="8"/>
  <c r="CQ23" i="8"/>
  <c r="K23" i="8" s="1"/>
  <c r="BA23" i="8" s="1"/>
  <c r="BO23" i="8" s="1"/>
  <c r="CQ24" i="8"/>
  <c r="CC24" i="8" s="1"/>
  <c r="CQ25" i="8"/>
  <c r="CC25" i="8" s="1"/>
  <c r="CQ26" i="8"/>
  <c r="Y26" i="8" s="1"/>
  <c r="CQ27" i="8"/>
  <c r="CP23" i="8"/>
  <c r="CB23" i="8" s="1"/>
  <c r="CP24" i="8"/>
  <c r="CB24" i="8" s="1"/>
  <c r="CP25" i="8"/>
  <c r="CP26" i="8"/>
  <c r="J26" i="8" s="1"/>
  <c r="DD26" i="8" s="1"/>
  <c r="CP27" i="8"/>
  <c r="J27" i="8" s="1"/>
  <c r="DD27" i="8" s="1"/>
  <c r="CP8" i="8"/>
  <c r="X8" i="8" s="1"/>
  <c r="CP9" i="8"/>
  <c r="W8" i="44" s="1"/>
  <c r="CP10" i="8"/>
  <c r="G17" i="62" s="1"/>
  <c r="CP11" i="8"/>
  <c r="W10" i="44" s="1"/>
  <c r="CP12" i="8"/>
  <c r="CB12" i="8" s="1"/>
  <c r="CP13" i="8"/>
  <c r="J13" i="8" s="1"/>
  <c r="DD13" i="8" s="1"/>
  <c r="CP14" i="8"/>
  <c r="W13" i="44" s="1"/>
  <c r="CP15" i="8"/>
  <c r="W14" i="44" s="1"/>
  <c r="CP18" i="8"/>
  <c r="J18" i="8" s="1"/>
  <c r="DD18" i="8" s="1"/>
  <c r="CQ8" i="8"/>
  <c r="Y8" i="8" s="1"/>
  <c r="CQ9" i="8"/>
  <c r="H13" i="62" s="1"/>
  <c r="CQ10" i="8"/>
  <c r="CQ11" i="8"/>
  <c r="H14" i="62" s="1"/>
  <c r="CQ12" i="8"/>
  <c r="CQ13" i="8"/>
  <c r="Y13" i="8" s="1"/>
  <c r="CQ14" i="8"/>
  <c r="Y14" i="8" s="1"/>
  <c r="CQ15" i="8"/>
  <c r="CC15" i="8" s="1"/>
  <c r="CQ18" i="8"/>
  <c r="Y18" i="8" s="1"/>
  <c r="CR8" i="8"/>
  <c r="L8" i="8" s="1"/>
  <c r="BB8" i="8" s="1"/>
  <c r="BP8" i="8" s="1"/>
  <c r="CR9" i="8"/>
  <c r="CD9" i="8" s="1"/>
  <c r="CR10" i="8"/>
  <c r="CD10" i="8" s="1"/>
  <c r="CR11" i="8"/>
  <c r="Y10" i="44" s="1"/>
  <c r="CR12" i="8"/>
  <c r="CR13" i="8"/>
  <c r="Z13" i="8" s="1"/>
  <c r="CR14" i="8"/>
  <c r="CD14" i="8" s="1"/>
  <c r="CR15" i="8"/>
  <c r="Z15" i="8" s="1"/>
  <c r="CR18" i="8"/>
  <c r="CD18" i="8" s="1"/>
  <c r="CS8" i="8"/>
  <c r="CS9" i="8"/>
  <c r="M9" i="8" s="1"/>
  <c r="CS10" i="8"/>
  <c r="AA10" i="8" s="1"/>
  <c r="CS11" i="8"/>
  <c r="CE11" i="8" s="1"/>
  <c r="CS12" i="8"/>
  <c r="M12" i="8" s="1"/>
  <c r="BC12" i="8" s="1"/>
  <c r="BQ12" i="8" s="1"/>
  <c r="CS13" i="8"/>
  <c r="Z12" i="44" s="1"/>
  <c r="CS14" i="8"/>
  <c r="Z13" i="44" s="1"/>
  <c r="CS15" i="8"/>
  <c r="M15" i="8" s="1"/>
  <c r="BC15" i="8" s="1"/>
  <c r="BQ15" i="8" s="1"/>
  <c r="CS18" i="8"/>
  <c r="M18" i="8" s="1"/>
  <c r="DG18" i="8" s="1"/>
  <c r="CT8" i="8"/>
  <c r="AA7" i="44" s="1"/>
  <c r="CT9" i="8"/>
  <c r="CT10" i="8"/>
  <c r="AA9" i="44" s="1"/>
  <c r="CT11" i="8"/>
  <c r="CT12" i="8"/>
  <c r="CF12" i="8" s="1"/>
  <c r="CT13" i="8"/>
  <c r="CT14" i="8"/>
  <c r="CF14" i="8" s="1"/>
  <c r="CT15" i="8"/>
  <c r="AA14" i="44" s="1"/>
  <c r="CT18" i="8"/>
  <c r="CF18" i="8" s="1"/>
  <c r="CU8" i="8"/>
  <c r="O8" i="8" s="1"/>
  <c r="DI8" i="8" s="1"/>
  <c r="CU9" i="8"/>
  <c r="CG9" i="8" s="1"/>
  <c r="CU10" i="8"/>
  <c r="AB9" i="44" s="1"/>
  <c r="CU11" i="8"/>
  <c r="L14" i="62" s="1"/>
  <c r="CU12" i="8"/>
  <c r="CG12" i="8" s="1"/>
  <c r="CU13" i="8"/>
  <c r="CG13" i="8" s="1"/>
  <c r="CU14" i="8"/>
  <c r="CG14" i="8" s="1"/>
  <c r="CU15" i="8"/>
  <c r="CG15" i="8" s="1"/>
  <c r="CU18" i="8"/>
  <c r="CG18" i="8" s="1"/>
  <c r="CV8" i="8"/>
  <c r="CH8" i="8" s="1"/>
  <c r="CV9" i="8"/>
  <c r="AD9" i="8" s="1"/>
  <c r="CV10" i="8"/>
  <c r="CH10" i="8" s="1"/>
  <c r="CV11" i="8"/>
  <c r="P11" i="8" s="1"/>
  <c r="DJ11" i="8" s="1"/>
  <c r="CV12" i="8"/>
  <c r="CV13" i="8"/>
  <c r="CH13" i="8" s="1"/>
  <c r="CV14" i="8"/>
  <c r="CV15" i="8"/>
  <c r="AC14" i="44" s="1"/>
  <c r="CV18" i="8"/>
  <c r="AD18" i="8" s="1"/>
  <c r="CW8" i="8"/>
  <c r="N16" i="62" s="1"/>
  <c r="CW9" i="8"/>
  <c r="Q9" i="8" s="1"/>
  <c r="BG9" i="8" s="1"/>
  <c r="BU9" i="8" s="1"/>
  <c r="CW10" i="8"/>
  <c r="CI10" i="8" s="1"/>
  <c r="CW11" i="8"/>
  <c r="N14" i="62" s="1"/>
  <c r="CW12" i="8"/>
  <c r="Q12" i="8" s="1"/>
  <c r="DK12" i="8" s="1"/>
  <c r="CW13" i="8"/>
  <c r="CI13" i="8" s="1"/>
  <c r="CW14" i="8"/>
  <c r="CI14" i="8" s="1"/>
  <c r="CW15" i="8"/>
  <c r="CI15" i="8" s="1"/>
  <c r="CW18" i="8"/>
  <c r="CI18" i="8" s="1"/>
  <c r="CX8" i="8"/>
  <c r="R8" i="8" s="1"/>
  <c r="BH8" i="8" s="1"/>
  <c r="BV8" i="8" s="1"/>
  <c r="CX9" i="8"/>
  <c r="O13" i="62" s="1"/>
  <c r="CX10" i="8"/>
  <c r="AF10" i="8" s="1"/>
  <c r="CX11" i="8"/>
  <c r="AF11" i="8" s="1"/>
  <c r="CX12" i="8"/>
  <c r="CJ12" i="8" s="1"/>
  <c r="CX13" i="8"/>
  <c r="AE12" i="44" s="1"/>
  <c r="CX14" i="8"/>
  <c r="R14" i="8" s="1"/>
  <c r="DL14" i="8" s="1"/>
  <c r="CX15" i="8"/>
  <c r="AF15" i="8" s="1"/>
  <c r="CX18" i="8"/>
  <c r="CJ18" i="8" s="1"/>
  <c r="CM23" i="8"/>
  <c r="U23" i="8" s="1"/>
  <c r="CM24" i="8"/>
  <c r="BY24" i="8" s="1"/>
  <c r="CM25" i="8"/>
  <c r="G25" i="8" s="1"/>
  <c r="AW25" i="8" s="1"/>
  <c r="BK25" i="8" s="1"/>
  <c r="CM26" i="8"/>
  <c r="CM27" i="8"/>
  <c r="CN23" i="8"/>
  <c r="CN24" i="8"/>
  <c r="BZ24" i="8" s="1"/>
  <c r="CN25" i="8"/>
  <c r="BZ25" i="8" s="1"/>
  <c r="CN26" i="8"/>
  <c r="CN27" i="8"/>
  <c r="CO23" i="8"/>
  <c r="CA23" i="8" s="1"/>
  <c r="CO24" i="8"/>
  <c r="W24" i="8" s="1"/>
  <c r="CO25" i="8"/>
  <c r="CO26" i="8"/>
  <c r="CA26" i="8" s="1"/>
  <c r="CO27" i="8"/>
  <c r="I27" i="8" s="1"/>
  <c r="CM8" i="8"/>
  <c r="BY8" i="8" s="1"/>
  <c r="CM9" i="8"/>
  <c r="G9" i="8" s="1"/>
  <c r="DA9" i="8" s="1"/>
  <c r="O9" i="22" s="1"/>
  <c r="CN9" i="8"/>
  <c r="E30" i="22" s="1"/>
  <c r="CO9" i="8"/>
  <c r="CA9" i="8" s="1"/>
  <c r="CM10" i="8"/>
  <c r="G10" i="8" s="1"/>
  <c r="DA10" i="8" s="1"/>
  <c r="O12" i="22" s="1"/>
  <c r="CM11" i="8"/>
  <c r="T10" i="44" s="1"/>
  <c r="AG10" i="44" s="1"/>
  <c r="CM12" i="8"/>
  <c r="U12" i="8" s="1"/>
  <c r="CM13" i="8"/>
  <c r="BY13" i="8" s="1"/>
  <c r="CM14" i="8"/>
  <c r="CM15" i="8"/>
  <c r="BY15" i="8" s="1"/>
  <c r="CM18" i="8"/>
  <c r="BY18" i="8" s="1"/>
  <c r="CN8" i="8"/>
  <c r="V8" i="8" s="1"/>
  <c r="CN10" i="8"/>
  <c r="H10" i="8" s="1"/>
  <c r="CN11" i="8"/>
  <c r="U10" i="44" s="1"/>
  <c r="CN12" i="8"/>
  <c r="H12" i="8" s="1"/>
  <c r="DB12" i="8" s="1"/>
  <c r="CN13" i="8"/>
  <c r="BZ13" i="8" s="1"/>
  <c r="CN14" i="8"/>
  <c r="BZ14" i="8" s="1"/>
  <c r="CN15" i="8"/>
  <c r="H15" i="8" s="1"/>
  <c r="DB15" i="8" s="1"/>
  <c r="CN18" i="8"/>
  <c r="H18" i="8" s="1"/>
  <c r="AX18" i="8" s="1"/>
  <c r="BL18" i="8" s="1"/>
  <c r="CO8" i="8"/>
  <c r="W8" i="8" s="1"/>
  <c r="CO10" i="8"/>
  <c r="F17" i="62" s="1"/>
  <c r="CO11" i="8"/>
  <c r="I11" i="8" s="1"/>
  <c r="DC11" i="8" s="1"/>
  <c r="O47" i="22" s="1"/>
  <c r="G47" i="22" s="1"/>
  <c r="CO12" i="8"/>
  <c r="V11" i="44" s="1"/>
  <c r="CO13" i="8"/>
  <c r="CA13" i="8" s="1"/>
  <c r="CO14" i="8"/>
  <c r="CA14" i="8" s="1"/>
  <c r="CO15" i="8"/>
  <c r="V14" i="44" s="1"/>
  <c r="CO18" i="8"/>
  <c r="CA18" i="8" s="1"/>
  <c r="L53" i="2"/>
  <c r="O53" i="2" s="1"/>
  <c r="L60" i="2"/>
  <c r="O60" i="2" s="1"/>
  <c r="U60" i="2" s="1"/>
  <c r="Z60" i="2" s="1"/>
  <c r="AA95" i="2"/>
  <c r="L116" i="2"/>
  <c r="O116" i="2" s="1"/>
  <c r="U116" i="2" s="1"/>
  <c r="V116" i="2" s="1"/>
  <c r="L117" i="2"/>
  <c r="O117" i="2" s="1"/>
  <c r="P117" i="2" s="1"/>
  <c r="Q117" i="2" s="1"/>
  <c r="M148" i="2"/>
  <c r="O148" i="2" s="1"/>
  <c r="P148" i="2" s="1"/>
  <c r="Q148" i="2" s="1"/>
  <c r="M149" i="2"/>
  <c r="O149" i="2" s="1"/>
  <c r="X149" i="2" s="1"/>
  <c r="AC149" i="2" s="1"/>
  <c r="AD149" i="2" s="1"/>
  <c r="L166" i="2"/>
  <c r="O166" i="2" s="1"/>
  <c r="U166" i="2" s="1"/>
  <c r="Z166" i="2" s="1"/>
  <c r="L167" i="2"/>
  <c r="O167" i="2" s="1"/>
  <c r="U167" i="2" s="1"/>
  <c r="L168" i="2"/>
  <c r="O168" i="2" s="1"/>
  <c r="X168" i="2" s="1"/>
  <c r="AA177" i="2"/>
  <c r="L178" i="2"/>
  <c r="O178" i="2" s="1"/>
  <c r="X178" i="2" s="1"/>
  <c r="G69" i="35"/>
  <c r="L108" i="2"/>
  <c r="C58" i="8"/>
  <c r="F67" i="35"/>
  <c r="F50" i="35"/>
  <c r="F59" i="35"/>
  <c r="F57" i="35"/>
  <c r="F58" i="35"/>
  <c r="F47" i="35"/>
  <c r="F46" i="35"/>
  <c r="F52" i="35"/>
  <c r="F51" i="35"/>
  <c r="F62" i="35"/>
  <c r="F64" i="35"/>
  <c r="F53" i="35"/>
  <c r="F65" i="35"/>
  <c r="F66" i="35"/>
  <c r="F55" i="35"/>
  <c r="F48" i="35"/>
  <c r="F49" i="35"/>
  <c r="F60" i="35"/>
  <c r="F61" i="35"/>
  <c r="F54" i="35"/>
  <c r="F45" i="35"/>
  <c r="F56" i="35"/>
  <c r="F63" i="35"/>
  <c r="M42" i="35"/>
  <c r="L58" i="35" s="1"/>
  <c r="D48" i="22"/>
  <c r="D47" i="22"/>
  <c r="D46" i="22"/>
  <c r="D45" i="22"/>
  <c r="D44" i="22"/>
  <c r="P41" i="22"/>
  <c r="B41" i="22"/>
  <c r="AS149" i="48"/>
  <c r="AS102" i="48"/>
  <c r="AS123" i="48" s="1"/>
  <c r="Y123" i="48" s="1"/>
  <c r="Z123" i="48" s="1"/>
  <c r="AS54" i="48"/>
  <c r="AS75" i="48" s="1"/>
  <c r="R75" i="48" s="1"/>
  <c r="AS5" i="48"/>
  <c r="AS28" i="48" s="1"/>
  <c r="R28" i="48" s="1"/>
  <c r="BI5" i="48"/>
  <c r="AW151" i="48"/>
  <c r="AX151" i="48"/>
  <c r="AY151" i="48"/>
  <c r="AZ151" i="48"/>
  <c r="BA151" i="48"/>
  <c r="BB151" i="48"/>
  <c r="BC151" i="48"/>
  <c r="BD151" i="48"/>
  <c r="BE151" i="48"/>
  <c r="BF151" i="48"/>
  <c r="BG151" i="48"/>
  <c r="AW152" i="48"/>
  <c r="AX152" i="48"/>
  <c r="AY152" i="48"/>
  <c r="AZ152" i="48"/>
  <c r="BA152" i="48"/>
  <c r="BB152" i="48"/>
  <c r="BC152" i="48"/>
  <c r="BD152" i="48"/>
  <c r="BE152" i="48"/>
  <c r="BF152" i="48"/>
  <c r="BG152" i="48"/>
  <c r="AW153" i="48"/>
  <c r="AX153" i="48"/>
  <c r="AY153" i="48"/>
  <c r="AZ153" i="48"/>
  <c r="BA153" i="48"/>
  <c r="BB153" i="48"/>
  <c r="BC153" i="48"/>
  <c r="BD153" i="48"/>
  <c r="BE153" i="48"/>
  <c r="BF153" i="48"/>
  <c r="BG153" i="48"/>
  <c r="AW154" i="48"/>
  <c r="AX154" i="48"/>
  <c r="AY154" i="48"/>
  <c r="AZ154" i="48"/>
  <c r="BA154" i="48"/>
  <c r="BB154" i="48"/>
  <c r="BC154" i="48"/>
  <c r="BD154" i="48"/>
  <c r="BE154" i="48"/>
  <c r="BF154" i="48"/>
  <c r="BG154" i="48"/>
  <c r="AW155" i="48"/>
  <c r="AX155" i="48"/>
  <c r="AY155" i="48"/>
  <c r="AZ155" i="48"/>
  <c r="BA155" i="48"/>
  <c r="BB155" i="48"/>
  <c r="BC155" i="48"/>
  <c r="BD155" i="48"/>
  <c r="BE155" i="48"/>
  <c r="BF155" i="48"/>
  <c r="BG155" i="48"/>
  <c r="AW156" i="48"/>
  <c r="AX156" i="48"/>
  <c r="AY156" i="48"/>
  <c r="AZ156" i="48"/>
  <c r="BA156" i="48"/>
  <c r="BB156" i="48"/>
  <c r="BC156" i="48"/>
  <c r="BD156" i="48"/>
  <c r="BE156" i="48"/>
  <c r="BF156" i="48"/>
  <c r="BG156" i="48"/>
  <c r="AW157" i="48"/>
  <c r="AX157" i="48"/>
  <c r="AY157" i="48"/>
  <c r="AZ157" i="48"/>
  <c r="BA157" i="48"/>
  <c r="BB157" i="48"/>
  <c r="BC157" i="48"/>
  <c r="BD157" i="48"/>
  <c r="BE157" i="48"/>
  <c r="BF157" i="48"/>
  <c r="BG157" i="48"/>
  <c r="AW158" i="48"/>
  <c r="AX158" i="48"/>
  <c r="AY158" i="48"/>
  <c r="AZ158" i="48"/>
  <c r="BA158" i="48"/>
  <c r="BB158" i="48"/>
  <c r="BC158" i="48"/>
  <c r="BD158" i="48"/>
  <c r="BE158" i="48"/>
  <c r="BF158" i="48"/>
  <c r="BG158" i="48"/>
  <c r="AW159" i="48"/>
  <c r="AX159" i="48"/>
  <c r="AY159" i="48"/>
  <c r="AZ159" i="48"/>
  <c r="BA159" i="48"/>
  <c r="BB159" i="48"/>
  <c r="BC159" i="48"/>
  <c r="BD159" i="48"/>
  <c r="BE159" i="48"/>
  <c r="BF159" i="48"/>
  <c r="BG159" i="48"/>
  <c r="AW160" i="48"/>
  <c r="AX160" i="48"/>
  <c r="AY160" i="48"/>
  <c r="AZ160" i="48"/>
  <c r="BA160" i="48"/>
  <c r="BB160" i="48"/>
  <c r="BC160" i="48"/>
  <c r="BD160" i="48"/>
  <c r="BE160" i="48"/>
  <c r="BF160" i="48"/>
  <c r="BG160" i="48"/>
  <c r="AW161" i="48"/>
  <c r="AX161" i="48"/>
  <c r="AY161" i="48"/>
  <c r="AZ161" i="48"/>
  <c r="BA161" i="48"/>
  <c r="BB161" i="48"/>
  <c r="BC161" i="48"/>
  <c r="BD161" i="48"/>
  <c r="BE161" i="48"/>
  <c r="BF161" i="48"/>
  <c r="BG161" i="48"/>
  <c r="AW162" i="48"/>
  <c r="AX162" i="48"/>
  <c r="AY162" i="48"/>
  <c r="AZ162" i="48"/>
  <c r="BA162" i="48"/>
  <c r="BB162" i="48"/>
  <c r="BC162" i="48"/>
  <c r="BD162" i="48"/>
  <c r="BE162" i="48"/>
  <c r="BF162" i="48"/>
  <c r="BG162" i="48"/>
  <c r="AW163" i="48"/>
  <c r="AX163" i="48"/>
  <c r="AY163" i="48"/>
  <c r="AZ163" i="48"/>
  <c r="BA163" i="48"/>
  <c r="BB163" i="48"/>
  <c r="BC163" i="48"/>
  <c r="BD163" i="48"/>
  <c r="BE163" i="48"/>
  <c r="BF163" i="48"/>
  <c r="BG163" i="48"/>
  <c r="AW164" i="48"/>
  <c r="AX164" i="48"/>
  <c r="AY164" i="48"/>
  <c r="AZ164" i="48"/>
  <c r="BA164" i="48"/>
  <c r="BB164" i="48"/>
  <c r="BC164" i="48"/>
  <c r="BD164" i="48"/>
  <c r="BE164" i="48"/>
  <c r="BF164" i="48"/>
  <c r="BG164" i="48"/>
  <c r="AW165" i="48"/>
  <c r="AX165" i="48"/>
  <c r="AY165" i="48"/>
  <c r="AZ165" i="48"/>
  <c r="BA165" i="48"/>
  <c r="BB165" i="48"/>
  <c r="BC165" i="48"/>
  <c r="BD165" i="48"/>
  <c r="BE165" i="48"/>
  <c r="BF165" i="48"/>
  <c r="BG165" i="48"/>
  <c r="AW166" i="48"/>
  <c r="AX166" i="48"/>
  <c r="AY166" i="48"/>
  <c r="AZ166" i="48"/>
  <c r="BA166" i="48"/>
  <c r="BB166" i="48"/>
  <c r="BC166" i="48"/>
  <c r="BD166" i="48"/>
  <c r="BE166" i="48"/>
  <c r="BF166" i="48"/>
  <c r="BG166" i="48"/>
  <c r="AV153" i="48"/>
  <c r="AV154" i="48"/>
  <c r="AV155" i="48"/>
  <c r="AV156" i="48"/>
  <c r="AV157" i="48"/>
  <c r="AV158" i="48"/>
  <c r="AV159" i="48"/>
  <c r="AV160" i="48"/>
  <c r="AV161" i="48"/>
  <c r="AV162" i="48"/>
  <c r="AV163" i="48"/>
  <c r="AV164" i="48"/>
  <c r="AV165" i="48"/>
  <c r="AV166" i="48"/>
  <c r="AV151" i="48"/>
  <c r="AV152" i="48"/>
  <c r="X166" i="48"/>
  <c r="X165" i="48"/>
  <c r="X164" i="48"/>
  <c r="X163" i="48"/>
  <c r="X162" i="48"/>
  <c r="X161" i="48"/>
  <c r="X160" i="48"/>
  <c r="X159" i="48"/>
  <c r="X158" i="48"/>
  <c r="X157" i="48"/>
  <c r="X156" i="48"/>
  <c r="X155" i="48"/>
  <c r="X154" i="48"/>
  <c r="X153" i="48"/>
  <c r="X152" i="48"/>
  <c r="J152" i="48"/>
  <c r="X151" i="48"/>
  <c r="J151" i="48"/>
  <c r="D123" i="48"/>
  <c r="F123" i="48"/>
  <c r="X119" i="48"/>
  <c r="J119" i="48"/>
  <c r="X118" i="48"/>
  <c r="J118" i="48"/>
  <c r="X117" i="48"/>
  <c r="J117" i="48"/>
  <c r="X116" i="48"/>
  <c r="J116" i="48"/>
  <c r="X115" i="48"/>
  <c r="J115" i="48"/>
  <c r="X114" i="48"/>
  <c r="J114" i="48"/>
  <c r="X113" i="48"/>
  <c r="J113" i="48"/>
  <c r="X112" i="48"/>
  <c r="J112" i="48"/>
  <c r="X111" i="48"/>
  <c r="J111" i="48"/>
  <c r="X110" i="48"/>
  <c r="J110" i="48"/>
  <c r="X109" i="48"/>
  <c r="J109" i="48"/>
  <c r="X108" i="48"/>
  <c r="J108" i="48"/>
  <c r="X107" i="48"/>
  <c r="J107" i="48"/>
  <c r="X106" i="48"/>
  <c r="J106" i="48"/>
  <c r="X105" i="48"/>
  <c r="J105" i="48"/>
  <c r="X104" i="48"/>
  <c r="J104" i="48"/>
  <c r="F75" i="48"/>
  <c r="D75" i="48"/>
  <c r="X71" i="48"/>
  <c r="J71" i="48"/>
  <c r="X70" i="48"/>
  <c r="J70" i="48"/>
  <c r="X69" i="48"/>
  <c r="J69" i="48"/>
  <c r="X68" i="48"/>
  <c r="J68" i="48"/>
  <c r="X67" i="48"/>
  <c r="J67" i="48"/>
  <c r="X66" i="48"/>
  <c r="J66" i="48"/>
  <c r="X65" i="48"/>
  <c r="J65" i="48"/>
  <c r="X64" i="48"/>
  <c r="J64" i="48"/>
  <c r="X63" i="48"/>
  <c r="J63" i="48"/>
  <c r="X62" i="48"/>
  <c r="J62" i="48"/>
  <c r="X61" i="48"/>
  <c r="J61" i="48"/>
  <c r="X60" i="48"/>
  <c r="J60" i="48"/>
  <c r="X59" i="48"/>
  <c r="J59" i="48"/>
  <c r="X58" i="48"/>
  <c r="J58" i="48"/>
  <c r="X57" i="48"/>
  <c r="J57" i="48"/>
  <c r="X56" i="48"/>
  <c r="J56" i="48"/>
  <c r="X8" i="48"/>
  <c r="X9" i="48"/>
  <c r="X10" i="48"/>
  <c r="X11" i="48"/>
  <c r="X12" i="48"/>
  <c r="X13" i="48"/>
  <c r="X14" i="48"/>
  <c r="X15" i="48"/>
  <c r="X16" i="48"/>
  <c r="X17" i="48"/>
  <c r="X18" i="48"/>
  <c r="X19" i="48"/>
  <c r="X20" i="48"/>
  <c r="X21" i="48"/>
  <c r="X22" i="48"/>
  <c r="X7" i="48"/>
  <c r="F28" i="48"/>
  <c r="D28" i="48"/>
  <c r="BH123" i="48"/>
  <c r="BH119" i="48"/>
  <c r="BH118" i="48"/>
  <c r="BH117" i="48"/>
  <c r="BH116" i="48"/>
  <c r="BH115" i="48"/>
  <c r="BH114" i="48"/>
  <c r="AQ114" i="48"/>
  <c r="AP114" i="48"/>
  <c r="AO114" i="48"/>
  <c r="AN114" i="48"/>
  <c r="AM114" i="48"/>
  <c r="AL114" i="48"/>
  <c r="AK114" i="48"/>
  <c r="AJ114" i="48"/>
  <c r="AI114" i="48"/>
  <c r="AH114" i="48"/>
  <c r="AG114" i="48"/>
  <c r="AF114" i="48"/>
  <c r="BH113" i="48"/>
  <c r="BH112" i="48"/>
  <c r="BH111" i="48"/>
  <c r="BH110" i="48"/>
  <c r="BH109" i="48"/>
  <c r="BH108" i="48"/>
  <c r="BH107" i="48"/>
  <c r="BH106" i="48"/>
  <c r="BH105" i="48"/>
  <c r="BH152" i="48" s="1"/>
  <c r="BH104" i="48"/>
  <c r="BH151" i="48" s="1"/>
  <c r="BG102" i="48"/>
  <c r="BF102" i="48"/>
  <c r="BE102" i="48"/>
  <c r="BD102" i="48"/>
  <c r="BC102" i="48"/>
  <c r="BB102" i="48"/>
  <c r="BA102" i="48"/>
  <c r="AZ102" i="48"/>
  <c r="AY102" i="48"/>
  <c r="AX102" i="48"/>
  <c r="AW102" i="48"/>
  <c r="AV102" i="48"/>
  <c r="BH71" i="48"/>
  <c r="BH70" i="48"/>
  <c r="BH69" i="48"/>
  <c r="BH164" i="48" s="1"/>
  <c r="BH68" i="48"/>
  <c r="BH67" i="48"/>
  <c r="BH66" i="48"/>
  <c r="BH161" i="48" s="1"/>
  <c r="AQ66" i="48"/>
  <c r="AP66" i="48"/>
  <c r="AO66" i="48"/>
  <c r="AN66" i="48"/>
  <c r="AM66" i="48"/>
  <c r="AL66" i="48"/>
  <c r="AK66" i="48"/>
  <c r="AJ66" i="48"/>
  <c r="AI66" i="48"/>
  <c r="AH66" i="48"/>
  <c r="AG66" i="48"/>
  <c r="AF66" i="48"/>
  <c r="BH65" i="48"/>
  <c r="BH160" i="48" s="1"/>
  <c r="BH64" i="48"/>
  <c r="BH159" i="48" s="1"/>
  <c r="BH63" i="48"/>
  <c r="BH62" i="48"/>
  <c r="BH61" i="48"/>
  <c r="BH60" i="48"/>
  <c r="BH59" i="48"/>
  <c r="BH58" i="48"/>
  <c r="BH153" i="48" s="1"/>
  <c r="BH57" i="48"/>
  <c r="BH56" i="48"/>
  <c r="BG54" i="48"/>
  <c r="BF54" i="48"/>
  <c r="BE54" i="48"/>
  <c r="BD54" i="48"/>
  <c r="BC54" i="48"/>
  <c r="BB54" i="48"/>
  <c r="BA54" i="48"/>
  <c r="AZ54" i="48"/>
  <c r="AY54" i="48"/>
  <c r="AX54" i="48"/>
  <c r="AW54" i="48"/>
  <c r="AV54" i="48"/>
  <c r="BH28" i="48"/>
  <c r="BH22" i="48"/>
  <c r="BH21" i="48"/>
  <c r="J21" i="48"/>
  <c r="BH20" i="48"/>
  <c r="J20" i="48"/>
  <c r="BH19" i="48"/>
  <c r="J19" i="48"/>
  <c r="BH18" i="48"/>
  <c r="J18" i="48"/>
  <c r="BH17" i="48"/>
  <c r="J17" i="48"/>
  <c r="BH16" i="48"/>
  <c r="J16" i="48"/>
  <c r="BH15" i="48"/>
  <c r="J15" i="48"/>
  <c r="BH14" i="48"/>
  <c r="J14" i="48"/>
  <c r="BH13" i="48"/>
  <c r="J13" i="48"/>
  <c r="BH12" i="48"/>
  <c r="J12" i="48"/>
  <c r="BH11" i="48"/>
  <c r="J11" i="48"/>
  <c r="BH10" i="48"/>
  <c r="J10" i="48"/>
  <c r="BH9" i="48"/>
  <c r="J9" i="48"/>
  <c r="BH8" i="48"/>
  <c r="J8" i="48"/>
  <c r="BH7" i="48"/>
  <c r="J7" i="48"/>
  <c r="BG5" i="48"/>
  <c r="BF5" i="48"/>
  <c r="BE5" i="48"/>
  <c r="BD5" i="48"/>
  <c r="BC5" i="48"/>
  <c r="BB5" i="48"/>
  <c r="BA5" i="48"/>
  <c r="AZ5" i="48"/>
  <c r="AY5" i="48"/>
  <c r="AX5" i="48"/>
  <c r="AW5" i="48"/>
  <c r="AV5" i="48"/>
  <c r="Q87" i="28"/>
  <c r="AN138" i="1"/>
  <c r="L107" i="2"/>
  <c r="EF217" i="1"/>
  <c r="EE217" i="1"/>
  <c r="ED217" i="1"/>
  <c r="EC217" i="1"/>
  <c r="EB217" i="1"/>
  <c r="EA217" i="1"/>
  <c r="DZ217" i="1"/>
  <c r="DY217" i="1"/>
  <c r="DX217" i="1"/>
  <c r="DV217" i="1"/>
  <c r="DU217" i="1"/>
  <c r="DD217" i="1"/>
  <c r="CP217" i="1" s="1"/>
  <c r="DC217" i="1"/>
  <c r="W217" i="1" s="1"/>
  <c r="DQ217" i="1" s="1"/>
  <c r="DB217" i="1"/>
  <c r="DA217" i="1"/>
  <c r="AI217" i="1" s="1"/>
  <c r="CZ217" i="1"/>
  <c r="CL217" i="1" s="1"/>
  <c r="CY217" i="1"/>
  <c r="AG217" i="1" s="1"/>
  <c r="CX217" i="1"/>
  <c r="CJ217" i="1" s="1"/>
  <c r="CW217" i="1"/>
  <c r="AE217" i="1" s="1"/>
  <c r="AN217" i="1"/>
  <c r="EF192" i="1"/>
  <c r="EE192" i="1"/>
  <c r="ED192" i="1"/>
  <c r="EC192" i="1"/>
  <c r="EB192" i="1"/>
  <c r="EA192" i="1"/>
  <c r="DZ192" i="1"/>
  <c r="DY192" i="1"/>
  <c r="DX192" i="1"/>
  <c r="DV192" i="1"/>
  <c r="DU192" i="1"/>
  <c r="DD192" i="1"/>
  <c r="CP192" i="1" s="1"/>
  <c r="DC192" i="1"/>
  <c r="AK192" i="1" s="1"/>
  <c r="DB192" i="1"/>
  <c r="AJ192" i="1" s="1"/>
  <c r="DA192" i="1"/>
  <c r="AI192" i="1" s="1"/>
  <c r="CZ192" i="1"/>
  <c r="AH192" i="1" s="1"/>
  <c r="CY192" i="1"/>
  <c r="CK192" i="1" s="1"/>
  <c r="CX192" i="1"/>
  <c r="R192" i="1" s="1"/>
  <c r="DL192" i="1" s="1"/>
  <c r="CW192" i="1"/>
  <c r="CI192" i="1" s="1"/>
  <c r="AN192" i="1"/>
  <c r="EF191" i="1"/>
  <c r="EE191" i="1"/>
  <c r="ED191" i="1"/>
  <c r="EC191" i="1"/>
  <c r="EB191" i="1"/>
  <c r="EA191" i="1"/>
  <c r="DZ191" i="1"/>
  <c r="DX191" i="1"/>
  <c r="DV191" i="1"/>
  <c r="DU191" i="1"/>
  <c r="DD191" i="1"/>
  <c r="X191" i="1" s="1"/>
  <c r="DR191" i="1" s="1"/>
  <c r="DC191" i="1"/>
  <c r="CO191" i="1" s="1"/>
  <c r="DB191" i="1"/>
  <c r="AJ191" i="1" s="1"/>
  <c r="DA191" i="1"/>
  <c r="CM191" i="1" s="1"/>
  <c r="CZ191" i="1"/>
  <c r="AH191" i="1" s="1"/>
  <c r="CY191" i="1"/>
  <c r="S191" i="1" s="1"/>
  <c r="DM191" i="1" s="1"/>
  <c r="CX191" i="1"/>
  <c r="AF191" i="1" s="1"/>
  <c r="CW191" i="1"/>
  <c r="Q191" i="1" s="1"/>
  <c r="DK191" i="1" s="1"/>
  <c r="AN191" i="1"/>
  <c r="EF190" i="1"/>
  <c r="EE190" i="1"/>
  <c r="ED190" i="1"/>
  <c r="EC190" i="1"/>
  <c r="EB190" i="1"/>
  <c r="EA190" i="1"/>
  <c r="DZ190" i="1"/>
  <c r="DY190" i="1"/>
  <c r="DX190" i="1"/>
  <c r="DV190" i="1"/>
  <c r="DU190" i="1"/>
  <c r="DD190" i="1"/>
  <c r="CP190" i="1" s="1"/>
  <c r="DC190" i="1"/>
  <c r="DB190" i="1"/>
  <c r="CN190" i="1" s="1"/>
  <c r="DA190" i="1"/>
  <c r="AI190" i="1" s="1"/>
  <c r="CZ190" i="1"/>
  <c r="CL190" i="1" s="1"/>
  <c r="CY190" i="1"/>
  <c r="CK190" i="1" s="1"/>
  <c r="CX190" i="1"/>
  <c r="CJ190" i="1" s="1"/>
  <c r="CW190" i="1"/>
  <c r="AN190" i="1"/>
  <c r="EF189" i="1"/>
  <c r="EE189" i="1"/>
  <c r="ED189" i="1"/>
  <c r="EC189" i="1"/>
  <c r="EB189" i="1"/>
  <c r="EA189" i="1"/>
  <c r="DZ189" i="1"/>
  <c r="DX189" i="1"/>
  <c r="DV189" i="1"/>
  <c r="DU189" i="1"/>
  <c r="DD189" i="1"/>
  <c r="AL189" i="1" s="1"/>
  <c r="DC189" i="1"/>
  <c r="CO189" i="1" s="1"/>
  <c r="DB189" i="1"/>
  <c r="AJ189" i="1" s="1"/>
  <c r="DA189" i="1"/>
  <c r="CM189" i="1" s="1"/>
  <c r="CZ189" i="1"/>
  <c r="CY189" i="1"/>
  <c r="S189" i="1" s="1"/>
  <c r="DM189" i="1" s="1"/>
  <c r="CX189" i="1"/>
  <c r="R189" i="1" s="1"/>
  <c r="BH189" i="1" s="1"/>
  <c r="BV189" i="1" s="1"/>
  <c r="CW189" i="1"/>
  <c r="Q189" i="1" s="1"/>
  <c r="DK189" i="1" s="1"/>
  <c r="AN189" i="1"/>
  <c r="EF188" i="1"/>
  <c r="EE188" i="1"/>
  <c r="ED188" i="1"/>
  <c r="EC188" i="1"/>
  <c r="EB188" i="1"/>
  <c r="EA188" i="1"/>
  <c r="DZ188" i="1"/>
  <c r="DY188" i="1"/>
  <c r="DX188" i="1"/>
  <c r="DV188" i="1"/>
  <c r="DU188" i="1"/>
  <c r="DD188" i="1"/>
  <c r="CP188" i="1" s="1"/>
  <c r="DC188" i="1"/>
  <c r="CO188" i="1" s="1"/>
  <c r="DB188" i="1"/>
  <c r="CN188" i="1" s="1"/>
  <c r="DA188" i="1"/>
  <c r="CM188" i="1" s="1"/>
  <c r="CZ188" i="1"/>
  <c r="AH188" i="1" s="1"/>
  <c r="CY188" i="1"/>
  <c r="S188" i="1" s="1"/>
  <c r="BI188" i="1" s="1"/>
  <c r="BW188" i="1" s="1"/>
  <c r="CX188" i="1"/>
  <c r="R188" i="1" s="1"/>
  <c r="BH188" i="1" s="1"/>
  <c r="BV188" i="1" s="1"/>
  <c r="CW188" i="1"/>
  <c r="Q188" i="1" s="1"/>
  <c r="DK188" i="1" s="1"/>
  <c r="AN188" i="1"/>
  <c r="EF187" i="1"/>
  <c r="EE187" i="1"/>
  <c r="ED187" i="1"/>
  <c r="EC187" i="1"/>
  <c r="EB187" i="1"/>
  <c r="DV187" i="1"/>
  <c r="DU187" i="1"/>
  <c r="DD187" i="1"/>
  <c r="CP187" i="1" s="1"/>
  <c r="DC187" i="1"/>
  <c r="AK187" i="1" s="1"/>
  <c r="DB187" i="1"/>
  <c r="AJ187" i="1" s="1"/>
  <c r="DA187" i="1"/>
  <c r="CM187" i="1" s="1"/>
  <c r="CZ187" i="1"/>
  <c r="CY187" i="1"/>
  <c r="CX187" i="1"/>
  <c r="CJ187" i="1" s="1"/>
  <c r="CW187" i="1"/>
  <c r="CI187" i="1" s="1"/>
  <c r="AN187" i="1"/>
  <c r="EF147" i="1"/>
  <c r="EE147" i="1"/>
  <c r="ED147" i="1"/>
  <c r="EC147" i="1"/>
  <c r="EB147" i="1"/>
  <c r="EA147" i="1"/>
  <c r="DZ147" i="1"/>
  <c r="DY147" i="1"/>
  <c r="DV147" i="1"/>
  <c r="DU147" i="1"/>
  <c r="DD147" i="1"/>
  <c r="DC147" i="1"/>
  <c r="CO147" i="1" s="1"/>
  <c r="DB147" i="1"/>
  <c r="V147" i="1" s="1"/>
  <c r="BL147" i="1" s="1"/>
  <c r="BZ147" i="1" s="1"/>
  <c r="DA147" i="1"/>
  <c r="AI147" i="1" s="1"/>
  <c r="CZ147" i="1"/>
  <c r="CY147" i="1"/>
  <c r="CK147" i="1" s="1"/>
  <c r="CX147" i="1"/>
  <c r="R147" i="1" s="1"/>
  <c r="BH147" i="1" s="1"/>
  <c r="BV147" i="1" s="1"/>
  <c r="CW147" i="1"/>
  <c r="AE147" i="1" s="1"/>
  <c r="AN147" i="1"/>
  <c r="A117" i="1"/>
  <c r="A118" i="1" s="1"/>
  <c r="A119" i="1" s="1"/>
  <c r="A129" i="1"/>
  <c r="A130" i="1" s="1"/>
  <c r="A131" i="1" s="1"/>
  <c r="A132" i="1" s="1"/>
  <c r="A159" i="1"/>
  <c r="A160" i="1" s="1"/>
  <c r="A161" i="1" s="1"/>
  <c r="A162" i="1" s="1"/>
  <c r="A163" i="1" s="1"/>
  <c r="A175" i="1"/>
  <c r="A177" i="1" s="1"/>
  <c r="DU97" i="1"/>
  <c r="DV97" i="1"/>
  <c r="DX97" i="1"/>
  <c r="DY97" i="1"/>
  <c r="DZ97" i="1"/>
  <c r="EA97" i="1"/>
  <c r="EB97" i="1"/>
  <c r="EC97" i="1"/>
  <c r="ED97" i="1"/>
  <c r="EE97" i="1"/>
  <c r="EF97" i="1"/>
  <c r="CW97" i="1"/>
  <c r="CI97" i="1" s="1"/>
  <c r="CX97" i="1"/>
  <c r="CJ97" i="1" s="1"/>
  <c r="CY97" i="1"/>
  <c r="CK97" i="1" s="1"/>
  <c r="CZ97" i="1"/>
  <c r="CL97" i="1" s="1"/>
  <c r="DA97" i="1"/>
  <c r="CM97" i="1" s="1"/>
  <c r="DB97" i="1"/>
  <c r="AJ97" i="1" s="1"/>
  <c r="DC97" i="1"/>
  <c r="W97" i="1" s="1"/>
  <c r="DD97" i="1"/>
  <c r="CP97" i="1" s="1"/>
  <c r="AN130" i="1"/>
  <c r="AQ131" i="1"/>
  <c r="AN131" i="1" s="1"/>
  <c r="AN134" i="1"/>
  <c r="AN135" i="1"/>
  <c r="AN136" i="1"/>
  <c r="AQ140" i="1"/>
  <c r="AN140" i="1" s="1"/>
  <c r="AQ141" i="1"/>
  <c r="AN141" i="1" s="1"/>
  <c r="AQ142" i="1"/>
  <c r="AN142" i="1" s="1"/>
  <c r="AQ143" i="1"/>
  <c r="AN143" i="1" s="1"/>
  <c r="AQ144" i="1"/>
  <c r="AN144" i="1" s="1"/>
  <c r="AQ145" i="1"/>
  <c r="AN145" i="1" s="1"/>
  <c r="AQ148" i="1"/>
  <c r="AN148" i="1" s="1"/>
  <c r="AQ149" i="1"/>
  <c r="AN149" i="1" s="1"/>
  <c r="AQ150" i="1"/>
  <c r="AN150" i="1" s="1"/>
  <c r="AQ152" i="1"/>
  <c r="AN152" i="1" s="1"/>
  <c r="BX66" i="8"/>
  <c r="DO66" i="8"/>
  <c r="DP66" i="8"/>
  <c r="DR66" i="8"/>
  <c r="DS66" i="8"/>
  <c r="DV66" i="8"/>
  <c r="DW66" i="8"/>
  <c r="DX66" i="8"/>
  <c r="DY66" i="8"/>
  <c r="DZ66" i="8"/>
  <c r="CM66" i="8"/>
  <c r="CN66" i="8"/>
  <c r="H66" i="8" s="1"/>
  <c r="AX66" i="8" s="1"/>
  <c r="CO66" i="8"/>
  <c r="I66" i="8" s="1"/>
  <c r="DC66" i="8" s="1"/>
  <c r="CP66" i="8"/>
  <c r="X66" i="8" s="1"/>
  <c r="CQ66" i="8"/>
  <c r="K66" i="8" s="1"/>
  <c r="BA66" i="8" s="1"/>
  <c r="CR66" i="8"/>
  <c r="L66" i="8" s="1"/>
  <c r="DF66" i="8" s="1"/>
  <c r="CS66" i="8"/>
  <c r="M66" i="8" s="1"/>
  <c r="CT66" i="8"/>
  <c r="N66" i="8" s="1"/>
  <c r="DH66" i="8" s="1"/>
  <c r="CU66" i="8"/>
  <c r="CV66" i="8"/>
  <c r="P66" i="8" s="1"/>
  <c r="BF66" i="8" s="1"/>
  <c r="CW66" i="8"/>
  <c r="CX66" i="8"/>
  <c r="R66" i="8" s="1"/>
  <c r="DL66" i="8" s="1"/>
  <c r="AH67" i="8"/>
  <c r="AH66" i="8"/>
  <c r="AH39" i="8"/>
  <c r="AK31" i="8"/>
  <c r="AH31" i="8" s="1"/>
  <c r="AH32" i="8"/>
  <c r="AK34" i="8"/>
  <c r="AH34" i="8" s="1"/>
  <c r="AH35" i="8"/>
  <c r="AH37" i="8"/>
  <c r="AH30" i="8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K168" i="2"/>
  <c r="Y168" i="2"/>
  <c r="K167" i="2"/>
  <c r="Y167" i="2"/>
  <c r="K166" i="2"/>
  <c r="Y166" i="2"/>
  <c r="K107" i="2"/>
  <c r="K106" i="2"/>
  <c r="Y106" i="2"/>
  <c r="AA107" i="2"/>
  <c r="Y108" i="2"/>
  <c r="AA108" i="2"/>
  <c r="Y109" i="2"/>
  <c r="AA109" i="2"/>
  <c r="Y110" i="2"/>
  <c r="AA110" i="2"/>
  <c r="Y111" i="2"/>
  <c r="AA111" i="2"/>
  <c r="Y112" i="2"/>
  <c r="AA112" i="2"/>
  <c r="Y113" i="2"/>
  <c r="AA113" i="2"/>
  <c r="Y114" i="2"/>
  <c r="AA114" i="2"/>
  <c r="Y115" i="2"/>
  <c r="AA115" i="2"/>
  <c r="Y116" i="2"/>
  <c r="AA116" i="2"/>
  <c r="Y117" i="2"/>
  <c r="AA117" i="2"/>
  <c r="Y118" i="2"/>
  <c r="AA118" i="2"/>
  <c r="Y119" i="2"/>
  <c r="AA119" i="2"/>
  <c r="Y120" i="2"/>
  <c r="AA120" i="2"/>
  <c r="Y121" i="2"/>
  <c r="AA121" i="2"/>
  <c r="Y122" i="2"/>
  <c r="AA122" i="2"/>
  <c r="Y123" i="2"/>
  <c r="AA123" i="2"/>
  <c r="Y124" i="2"/>
  <c r="AA124" i="2"/>
  <c r="Y125" i="2"/>
  <c r="AA125" i="2"/>
  <c r="Y126" i="2"/>
  <c r="AA126" i="2"/>
  <c r="Y127" i="2"/>
  <c r="AA127" i="2"/>
  <c r="Y128" i="2"/>
  <c r="AA128" i="2"/>
  <c r="Y129" i="2"/>
  <c r="AA129" i="2"/>
  <c r="Y130" i="2"/>
  <c r="AA130" i="2"/>
  <c r="Y131" i="2"/>
  <c r="AA131" i="2"/>
  <c r="Y132" i="2"/>
  <c r="AA132" i="2"/>
  <c r="Y133" i="2"/>
  <c r="AA133" i="2"/>
  <c r="Y134" i="2"/>
  <c r="AA134" i="2"/>
  <c r="Y135" i="2"/>
  <c r="AA135" i="2"/>
  <c r="Y136" i="2"/>
  <c r="AA136" i="2"/>
  <c r="Y137" i="2"/>
  <c r="AA137" i="2"/>
  <c r="Y138" i="2"/>
  <c r="AA138" i="2"/>
  <c r="Y139" i="2"/>
  <c r="AA139" i="2"/>
  <c r="Y140" i="2"/>
  <c r="AA140" i="2"/>
  <c r="Y141" i="2"/>
  <c r="AA141" i="2"/>
  <c r="Y142" i="2"/>
  <c r="AA142" i="2"/>
  <c r="Y143" i="2"/>
  <c r="AA143" i="2"/>
  <c r="Y144" i="2"/>
  <c r="AA144" i="2"/>
  <c r="Y145" i="2"/>
  <c r="AA145" i="2"/>
  <c r="Y146" i="2"/>
  <c r="AA146" i="2"/>
  <c r="Y147" i="2"/>
  <c r="AA147" i="2"/>
  <c r="Y148" i="2"/>
  <c r="AA148" i="2"/>
  <c r="Y149" i="2"/>
  <c r="AA149" i="2"/>
  <c r="Y150" i="2"/>
  <c r="AA150" i="2"/>
  <c r="Y151" i="2"/>
  <c r="AA151" i="2"/>
  <c r="Y152" i="2"/>
  <c r="AA152" i="2"/>
  <c r="Y153" i="2"/>
  <c r="AA153" i="2"/>
  <c r="Y154" i="2"/>
  <c r="AA154" i="2"/>
  <c r="Y155" i="2"/>
  <c r="AA155" i="2"/>
  <c r="Y156" i="2"/>
  <c r="AA156" i="2"/>
  <c r="Y157" i="2"/>
  <c r="AA157" i="2"/>
  <c r="Y158" i="2"/>
  <c r="AA158" i="2"/>
  <c r="Y159" i="2"/>
  <c r="AA159" i="2"/>
  <c r="Y160" i="2"/>
  <c r="AA160" i="2"/>
  <c r="Y161" i="2"/>
  <c r="AA161" i="2"/>
  <c r="Y162" i="2"/>
  <c r="AA162" i="2"/>
  <c r="Y163" i="2"/>
  <c r="AA163" i="2"/>
  <c r="Y164" i="2"/>
  <c r="AA164" i="2"/>
  <c r="Y165" i="2"/>
  <c r="AA165" i="2"/>
  <c r="AA166" i="2"/>
  <c r="AA167" i="2"/>
  <c r="AA168" i="2"/>
  <c r="Y169" i="2"/>
  <c r="AA169" i="2"/>
  <c r="Y170" i="2"/>
  <c r="AA170" i="2"/>
  <c r="Y171" i="2"/>
  <c r="AA171" i="2"/>
  <c r="Y172" i="2"/>
  <c r="AA172" i="2"/>
  <c r="Y173" i="2"/>
  <c r="AA173" i="2"/>
  <c r="Y174" i="2"/>
  <c r="AA174" i="2"/>
  <c r="Y175" i="2"/>
  <c r="AA175" i="2"/>
  <c r="Y176" i="2"/>
  <c r="AA176" i="2"/>
  <c r="Y177" i="2"/>
  <c r="Y178" i="2"/>
  <c r="AA178" i="2"/>
  <c r="Y179" i="2"/>
  <c r="AA179" i="2"/>
  <c r="Y180" i="2"/>
  <c r="AA180" i="2"/>
  <c r="AA106" i="2"/>
  <c r="S106" i="2"/>
  <c r="T106" i="2" s="1"/>
  <c r="S107" i="2"/>
  <c r="T107" i="2" s="1"/>
  <c r="S108" i="2"/>
  <c r="T108" i="2" s="1"/>
  <c r="S109" i="2"/>
  <c r="T109" i="2" s="1"/>
  <c r="S110" i="2"/>
  <c r="T110" i="2" s="1"/>
  <c r="S111" i="2"/>
  <c r="T111" i="2" s="1"/>
  <c r="S112" i="2"/>
  <c r="T112" i="2" s="1"/>
  <c r="S113" i="2"/>
  <c r="T113" i="2" s="1"/>
  <c r="S114" i="2"/>
  <c r="T114" i="2" s="1"/>
  <c r="S115" i="2"/>
  <c r="T115" i="2" s="1"/>
  <c r="S116" i="2"/>
  <c r="T116" i="2" s="1"/>
  <c r="S117" i="2"/>
  <c r="T117" i="2" s="1"/>
  <c r="S118" i="2"/>
  <c r="T118" i="2" s="1"/>
  <c r="S119" i="2"/>
  <c r="T119" i="2" s="1"/>
  <c r="S120" i="2"/>
  <c r="T120" i="2" s="1"/>
  <c r="S121" i="2"/>
  <c r="T121" i="2" s="1"/>
  <c r="S122" i="2"/>
  <c r="T122" i="2" s="1"/>
  <c r="S123" i="2"/>
  <c r="T123" i="2" s="1"/>
  <c r="S124" i="2"/>
  <c r="T124" i="2" s="1"/>
  <c r="S125" i="2"/>
  <c r="T125" i="2" s="1"/>
  <c r="S126" i="2"/>
  <c r="T126" i="2" s="1"/>
  <c r="S127" i="2"/>
  <c r="T127" i="2" s="1"/>
  <c r="S128" i="2"/>
  <c r="T128" i="2" s="1"/>
  <c r="S129" i="2"/>
  <c r="T129" i="2" s="1"/>
  <c r="S130" i="2"/>
  <c r="T130" i="2" s="1"/>
  <c r="S131" i="2"/>
  <c r="T131" i="2" s="1"/>
  <c r="S132" i="2"/>
  <c r="T132" i="2" s="1"/>
  <c r="S133" i="2"/>
  <c r="T133" i="2" s="1"/>
  <c r="S134" i="2"/>
  <c r="T134" i="2" s="1"/>
  <c r="S135" i="2"/>
  <c r="T135" i="2" s="1"/>
  <c r="S136" i="2"/>
  <c r="T136" i="2" s="1"/>
  <c r="S137" i="2"/>
  <c r="T137" i="2" s="1"/>
  <c r="S138" i="2"/>
  <c r="T138" i="2" s="1"/>
  <c r="S139" i="2"/>
  <c r="T139" i="2" s="1"/>
  <c r="S140" i="2"/>
  <c r="T140" i="2" s="1"/>
  <c r="S141" i="2"/>
  <c r="T141" i="2" s="1"/>
  <c r="S142" i="2"/>
  <c r="T142" i="2" s="1"/>
  <c r="S143" i="2"/>
  <c r="T143" i="2" s="1"/>
  <c r="S144" i="2"/>
  <c r="T144" i="2" s="1"/>
  <c r="S145" i="2"/>
  <c r="T145" i="2" s="1"/>
  <c r="S146" i="2"/>
  <c r="T146" i="2" s="1"/>
  <c r="S147" i="2"/>
  <c r="T147" i="2" s="1"/>
  <c r="S148" i="2"/>
  <c r="T148" i="2" s="1"/>
  <c r="S149" i="2"/>
  <c r="T149" i="2" s="1"/>
  <c r="S150" i="2"/>
  <c r="T150" i="2" s="1"/>
  <c r="S151" i="2"/>
  <c r="T151" i="2" s="1"/>
  <c r="S152" i="2"/>
  <c r="T152" i="2" s="1"/>
  <c r="S153" i="2"/>
  <c r="T153" i="2" s="1"/>
  <c r="S154" i="2"/>
  <c r="T154" i="2" s="1"/>
  <c r="S155" i="2"/>
  <c r="T155" i="2" s="1"/>
  <c r="S156" i="2"/>
  <c r="T156" i="2" s="1"/>
  <c r="S157" i="2"/>
  <c r="T157" i="2" s="1"/>
  <c r="S158" i="2"/>
  <c r="T158" i="2" s="1"/>
  <c r="S159" i="2"/>
  <c r="T159" i="2" s="1"/>
  <c r="S160" i="2"/>
  <c r="T160" i="2" s="1"/>
  <c r="S161" i="2"/>
  <c r="T161" i="2" s="1"/>
  <c r="S162" i="2"/>
  <c r="T162" i="2" s="1"/>
  <c r="S163" i="2"/>
  <c r="T163" i="2" s="1"/>
  <c r="S164" i="2"/>
  <c r="T164" i="2" s="1"/>
  <c r="S165" i="2"/>
  <c r="T165" i="2" s="1"/>
  <c r="S166" i="2"/>
  <c r="T166" i="2" s="1"/>
  <c r="S167" i="2"/>
  <c r="T167" i="2" s="1"/>
  <c r="S168" i="2"/>
  <c r="T168" i="2" s="1"/>
  <c r="S169" i="2"/>
  <c r="T169" i="2" s="1"/>
  <c r="S170" i="2"/>
  <c r="T170" i="2" s="1"/>
  <c r="S171" i="2"/>
  <c r="T171" i="2" s="1"/>
  <c r="S172" i="2"/>
  <c r="T172" i="2" s="1"/>
  <c r="S173" i="2"/>
  <c r="T173" i="2" s="1"/>
  <c r="S174" i="2"/>
  <c r="T174" i="2" s="1"/>
  <c r="S175" i="2"/>
  <c r="T175" i="2" s="1"/>
  <c r="S176" i="2"/>
  <c r="T176" i="2" s="1"/>
  <c r="S177" i="2"/>
  <c r="T177" i="2" s="1"/>
  <c r="S178" i="2"/>
  <c r="T178" i="2" s="1"/>
  <c r="S179" i="2"/>
  <c r="T179" i="2" s="1"/>
  <c r="S180" i="2"/>
  <c r="T180" i="2" s="1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G109" i="60" s="1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G100" i="60" s="1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H1" i="1"/>
  <c r="AI15" i="44"/>
  <c r="AJ15" i="44"/>
  <c r="AK15" i="44"/>
  <c r="AL15" i="44"/>
  <c r="AM15" i="44"/>
  <c r="AN15" i="44"/>
  <c r="AO15" i="44"/>
  <c r="AP15" i="44"/>
  <c r="AQ15" i="44"/>
  <c r="AR15" i="44"/>
  <c r="AI16" i="44"/>
  <c r="AJ16" i="44"/>
  <c r="AK16" i="44"/>
  <c r="AL16" i="44"/>
  <c r="AM16" i="44"/>
  <c r="AN16" i="44"/>
  <c r="AO16" i="44"/>
  <c r="AP16" i="44"/>
  <c r="AQ16" i="44"/>
  <c r="AR16" i="44"/>
  <c r="AG15" i="44"/>
  <c r="AG16" i="44"/>
  <c r="AH15" i="44"/>
  <c r="AH16" i="44"/>
  <c r="J20" i="44"/>
  <c r="R3" i="44"/>
  <c r="I20" i="44"/>
  <c r="B22" i="44"/>
  <c r="H22" i="44" s="1"/>
  <c r="D59" i="44" s="1"/>
  <c r="B23" i="44"/>
  <c r="B24" i="44"/>
  <c r="H21" i="44" s="1"/>
  <c r="B25" i="44"/>
  <c r="B26" i="44"/>
  <c r="H24" i="44" s="1"/>
  <c r="D61" i="44" s="1"/>
  <c r="B27" i="44"/>
  <c r="B28" i="44"/>
  <c r="B29" i="44"/>
  <c r="B30" i="44"/>
  <c r="H25" i="44"/>
  <c r="N25" i="44" s="1"/>
  <c r="B31" i="44"/>
  <c r="C31" i="44" s="1"/>
  <c r="B32" i="44"/>
  <c r="C32" i="44" s="1"/>
  <c r="B21" i="44"/>
  <c r="H23" i="44" s="1"/>
  <c r="ED28" i="8"/>
  <c r="EE28" i="8"/>
  <c r="EF28" i="8"/>
  <c r="EG28" i="8"/>
  <c r="EH28" i="8"/>
  <c r="EI28" i="8"/>
  <c r="EJ28" i="8"/>
  <c r="EK28" i="8"/>
  <c r="EL28" i="8"/>
  <c r="EM28" i="8"/>
  <c r="EN28" i="8"/>
  <c r="EC28" i="8"/>
  <c r="EB28" i="8"/>
  <c r="EB1" i="8"/>
  <c r="D17" i="42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18" i="6"/>
  <c r="E33" i="36"/>
  <c r="E32" i="36"/>
  <c r="E31" i="36"/>
  <c r="E30" i="36"/>
  <c r="E29" i="36"/>
  <c r="F9" i="36"/>
  <c r="F10" i="36"/>
  <c r="F11" i="36"/>
  <c r="F12" i="36"/>
  <c r="F13" i="36"/>
  <c r="F14" i="36"/>
  <c r="F15" i="36"/>
  <c r="F31" i="36"/>
  <c r="F16" i="36"/>
  <c r="F17" i="36"/>
  <c r="F18" i="36"/>
  <c r="F19" i="36"/>
  <c r="F20" i="36"/>
  <c r="F21" i="36"/>
  <c r="F32" i="36"/>
  <c r="F22" i="36"/>
  <c r="F7" i="36"/>
  <c r="F8" i="36"/>
  <c r="F6" i="36"/>
  <c r="E4" i="36"/>
  <c r="F23" i="35"/>
  <c r="F24" i="35"/>
  <c r="F29" i="35"/>
  <c r="F22" i="35"/>
  <c r="F30" i="35"/>
  <c r="F31" i="35"/>
  <c r="F32" i="35"/>
  <c r="F33" i="35"/>
  <c r="F34" i="35"/>
  <c r="F35" i="35"/>
  <c r="F36" i="35"/>
  <c r="G38" i="35"/>
  <c r="F25" i="35"/>
  <c r="F26" i="35"/>
  <c r="F21" i="35"/>
  <c r="F28" i="35"/>
  <c r="F27" i="35"/>
  <c r="F8" i="35"/>
  <c r="F9" i="35"/>
  <c r="F10" i="35"/>
  <c r="F11" i="35"/>
  <c r="F7" i="35"/>
  <c r="M4" i="35"/>
  <c r="K10" i="35" s="1"/>
  <c r="AA69" i="2"/>
  <c r="D29" i="22"/>
  <c r="D30" i="22"/>
  <c r="D31" i="22"/>
  <c r="D32" i="22"/>
  <c r="D28" i="22"/>
  <c r="C66" i="8"/>
  <c r="C49" i="8"/>
  <c r="C48" i="8"/>
  <c r="B25" i="22"/>
  <c r="P25" i="22"/>
  <c r="P238" i="28"/>
  <c r="P201" i="28"/>
  <c r="P202" i="28" s="1"/>
  <c r="P200" i="28"/>
  <c r="Y47" i="2"/>
  <c r="AP96" i="1"/>
  <c r="AP77" i="1"/>
  <c r="AP75" i="1"/>
  <c r="AP53" i="1"/>
  <c r="AP49" i="1"/>
  <c r="AP46" i="1"/>
  <c r="AP45" i="1"/>
  <c r="AP44" i="1"/>
  <c r="AP42" i="1"/>
  <c r="AP41" i="1"/>
  <c r="AP35" i="1"/>
  <c r="AP23" i="1"/>
  <c r="AP15" i="1"/>
  <c r="AP14" i="1"/>
  <c r="AP12" i="1"/>
  <c r="AP11" i="1"/>
  <c r="AP10" i="1"/>
  <c r="DZ48" i="8"/>
  <c r="DY48" i="8"/>
  <c r="DX48" i="8"/>
  <c r="DW48" i="8"/>
  <c r="DV48" i="8"/>
  <c r="DS48" i="8"/>
  <c r="DR48" i="8"/>
  <c r="DQ48" i="8"/>
  <c r="DO48" i="8"/>
  <c r="DZ47" i="8"/>
  <c r="DY47" i="8"/>
  <c r="DX47" i="8"/>
  <c r="DW47" i="8"/>
  <c r="DV47" i="8"/>
  <c r="DU47" i="8"/>
  <c r="DT47" i="8"/>
  <c r="DS47" i="8"/>
  <c r="DR47" i="8"/>
  <c r="DQ47" i="8"/>
  <c r="DO47" i="8"/>
  <c r="AH56" i="8"/>
  <c r="AH48" i="8"/>
  <c r="AH47" i="8"/>
  <c r="C47" i="8"/>
  <c r="CM56" i="8"/>
  <c r="U56" i="8" s="1"/>
  <c r="CN56" i="8"/>
  <c r="BZ56" i="8" s="1"/>
  <c r="CO56" i="8"/>
  <c r="I56" i="8" s="1"/>
  <c r="DC56" i="8" s="1"/>
  <c r="CP56" i="8"/>
  <c r="CB56" i="8" s="1"/>
  <c r="CQ56" i="8"/>
  <c r="Y56" i="8" s="1"/>
  <c r="CR56" i="8"/>
  <c r="CS56" i="8"/>
  <c r="M56" i="8" s="1"/>
  <c r="CT56" i="8"/>
  <c r="AB56" i="8" s="1"/>
  <c r="CU56" i="8"/>
  <c r="AC56" i="8" s="1"/>
  <c r="CV56" i="8"/>
  <c r="AD56" i="8" s="1"/>
  <c r="CW56" i="8"/>
  <c r="CI56" i="8" s="1"/>
  <c r="CX56" i="8"/>
  <c r="AF56" i="8" s="1"/>
  <c r="C56" i="8"/>
  <c r="L61" i="2"/>
  <c r="L57" i="2"/>
  <c r="L58" i="2"/>
  <c r="Y49" i="2"/>
  <c r="AA49" i="2"/>
  <c r="Y50" i="2"/>
  <c r="AA50" i="2"/>
  <c r="Y51" i="2"/>
  <c r="AA51" i="2"/>
  <c r="Y52" i="2"/>
  <c r="AA52" i="2"/>
  <c r="Y53" i="2"/>
  <c r="AA53" i="2"/>
  <c r="Y54" i="2"/>
  <c r="AA54" i="2"/>
  <c r="Y55" i="2"/>
  <c r="AA55" i="2"/>
  <c r="Y56" i="2"/>
  <c r="AA56" i="2"/>
  <c r="Y57" i="2"/>
  <c r="AA57" i="2"/>
  <c r="Y58" i="2"/>
  <c r="AA58" i="2"/>
  <c r="Y59" i="2"/>
  <c r="AA59" i="2"/>
  <c r="Y60" i="2"/>
  <c r="AA60" i="2"/>
  <c r="Y61" i="2"/>
  <c r="AA61" i="2"/>
  <c r="Y62" i="2"/>
  <c r="AA62" i="2"/>
  <c r="Y63" i="2"/>
  <c r="AA63" i="2"/>
  <c r="Y64" i="2"/>
  <c r="AA64" i="2"/>
  <c r="Y65" i="2"/>
  <c r="AA65" i="2"/>
  <c r="Y66" i="2"/>
  <c r="AA66" i="2"/>
  <c r="Y67" i="2"/>
  <c r="AA67" i="2"/>
  <c r="Y68" i="2"/>
  <c r="AA68" i="2"/>
  <c r="Y69" i="2"/>
  <c r="Y70" i="2"/>
  <c r="AA70" i="2"/>
  <c r="Y71" i="2"/>
  <c r="AA71" i="2"/>
  <c r="Y72" i="2"/>
  <c r="AA72" i="2"/>
  <c r="Y73" i="2"/>
  <c r="AA73" i="2"/>
  <c r="Y74" i="2"/>
  <c r="AA74" i="2"/>
  <c r="Y75" i="2"/>
  <c r="AA75" i="2"/>
  <c r="Y76" i="2"/>
  <c r="AA76" i="2"/>
  <c r="Y77" i="2"/>
  <c r="AA77" i="2"/>
  <c r="Y78" i="2"/>
  <c r="AA78" i="2"/>
  <c r="Y79" i="2"/>
  <c r="AA79" i="2"/>
  <c r="Y80" i="2"/>
  <c r="AA80" i="2"/>
  <c r="Y81" i="2"/>
  <c r="AA81" i="2"/>
  <c r="Y82" i="2"/>
  <c r="AA82" i="2"/>
  <c r="Y83" i="2"/>
  <c r="AA83" i="2"/>
  <c r="Y84" i="2"/>
  <c r="AA84" i="2"/>
  <c r="Y85" i="2"/>
  <c r="AA85" i="2"/>
  <c r="Y86" i="2"/>
  <c r="AA86" i="2"/>
  <c r="Y87" i="2"/>
  <c r="AA87" i="2"/>
  <c r="Y88" i="2"/>
  <c r="AA88" i="2"/>
  <c r="Y89" i="2"/>
  <c r="AA89" i="2"/>
  <c r="Y90" i="2"/>
  <c r="AA90" i="2"/>
  <c r="Y91" i="2"/>
  <c r="AA91" i="2"/>
  <c r="Y92" i="2"/>
  <c r="AA92" i="2"/>
  <c r="Y93" i="2"/>
  <c r="AA93" i="2"/>
  <c r="Y94" i="2"/>
  <c r="AA94" i="2"/>
  <c r="Y95" i="2"/>
  <c r="Y96" i="2"/>
  <c r="AA96" i="2"/>
  <c r="Y97" i="2"/>
  <c r="AA97" i="2"/>
  <c r="Y98" i="2"/>
  <c r="AA98" i="2"/>
  <c r="Y99" i="2"/>
  <c r="AA99" i="2"/>
  <c r="Y100" i="2"/>
  <c r="AA100" i="2"/>
  <c r="Y101" i="2"/>
  <c r="AA101" i="2"/>
  <c r="Y102" i="2"/>
  <c r="AA102" i="2"/>
  <c r="Y103" i="2"/>
  <c r="AA103" i="2"/>
  <c r="Y104" i="2"/>
  <c r="AA104" i="2"/>
  <c r="Y105" i="2"/>
  <c r="AA105" i="2"/>
  <c r="AA47" i="2"/>
  <c r="Y48" i="2"/>
  <c r="AA48" i="2"/>
  <c r="S47" i="2"/>
  <c r="T47" i="2" s="1"/>
  <c r="S48" i="2"/>
  <c r="T48" i="2" s="1"/>
  <c r="S49" i="2"/>
  <c r="T49" i="2" s="1"/>
  <c r="S50" i="2"/>
  <c r="T50" i="2" s="1"/>
  <c r="S51" i="2"/>
  <c r="T51" i="2" s="1"/>
  <c r="S52" i="2"/>
  <c r="T52" i="2" s="1"/>
  <c r="S53" i="2"/>
  <c r="T53" i="2" s="1"/>
  <c r="S54" i="2"/>
  <c r="T54" i="2" s="1"/>
  <c r="S55" i="2"/>
  <c r="T55" i="2" s="1"/>
  <c r="S56" i="2"/>
  <c r="T56" i="2" s="1"/>
  <c r="S57" i="2"/>
  <c r="T57" i="2" s="1"/>
  <c r="S58" i="2"/>
  <c r="T58" i="2" s="1"/>
  <c r="S59" i="2"/>
  <c r="T59" i="2" s="1"/>
  <c r="S60" i="2"/>
  <c r="T60" i="2" s="1"/>
  <c r="S61" i="2"/>
  <c r="T61" i="2" s="1"/>
  <c r="S62" i="2"/>
  <c r="T62" i="2" s="1"/>
  <c r="S63" i="2"/>
  <c r="T63" i="2" s="1"/>
  <c r="S64" i="2"/>
  <c r="T64" i="2" s="1"/>
  <c r="S65" i="2"/>
  <c r="T65" i="2" s="1"/>
  <c r="S66" i="2"/>
  <c r="T66" i="2" s="1"/>
  <c r="S67" i="2"/>
  <c r="T67" i="2" s="1"/>
  <c r="S68" i="2"/>
  <c r="T68" i="2" s="1"/>
  <c r="S69" i="2"/>
  <c r="T69" i="2" s="1"/>
  <c r="S70" i="2"/>
  <c r="T70" i="2" s="1"/>
  <c r="S71" i="2"/>
  <c r="T71" i="2" s="1"/>
  <c r="S72" i="2"/>
  <c r="T72" i="2" s="1"/>
  <c r="S73" i="2"/>
  <c r="T73" i="2" s="1"/>
  <c r="S74" i="2"/>
  <c r="T74" i="2" s="1"/>
  <c r="S75" i="2"/>
  <c r="T75" i="2" s="1"/>
  <c r="S76" i="2"/>
  <c r="T76" i="2" s="1"/>
  <c r="S77" i="2"/>
  <c r="T77" i="2" s="1"/>
  <c r="S78" i="2"/>
  <c r="T78" i="2" s="1"/>
  <c r="S79" i="2"/>
  <c r="T79" i="2" s="1"/>
  <c r="S80" i="2"/>
  <c r="T80" i="2" s="1"/>
  <c r="S81" i="2"/>
  <c r="T81" i="2" s="1"/>
  <c r="S82" i="2"/>
  <c r="T82" i="2" s="1"/>
  <c r="S83" i="2"/>
  <c r="T83" i="2" s="1"/>
  <c r="S84" i="2"/>
  <c r="T84" i="2" s="1"/>
  <c r="S85" i="2"/>
  <c r="T85" i="2" s="1"/>
  <c r="S86" i="2"/>
  <c r="T86" i="2" s="1"/>
  <c r="S87" i="2"/>
  <c r="T87" i="2" s="1"/>
  <c r="S88" i="2"/>
  <c r="T88" i="2" s="1"/>
  <c r="S89" i="2"/>
  <c r="T89" i="2" s="1"/>
  <c r="S90" i="2"/>
  <c r="T90" i="2" s="1"/>
  <c r="S91" i="2"/>
  <c r="T91" i="2" s="1"/>
  <c r="S92" i="2"/>
  <c r="T92" i="2" s="1"/>
  <c r="S93" i="2"/>
  <c r="T93" i="2" s="1"/>
  <c r="S94" i="2"/>
  <c r="T94" i="2" s="1"/>
  <c r="S95" i="2"/>
  <c r="T95" i="2" s="1"/>
  <c r="S96" i="2"/>
  <c r="T96" i="2" s="1"/>
  <c r="S97" i="2"/>
  <c r="T97" i="2" s="1"/>
  <c r="S98" i="2"/>
  <c r="T98" i="2" s="1"/>
  <c r="S99" i="2"/>
  <c r="T99" i="2" s="1"/>
  <c r="S100" i="2"/>
  <c r="T100" i="2" s="1"/>
  <c r="S101" i="2"/>
  <c r="T101" i="2" s="1"/>
  <c r="S102" i="2"/>
  <c r="T102" i="2" s="1"/>
  <c r="S103" i="2"/>
  <c r="T103" i="2" s="1"/>
  <c r="S104" i="2"/>
  <c r="T104" i="2" s="1"/>
  <c r="S105" i="2"/>
  <c r="T105" i="2" s="1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G89" i="60" s="1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B5" i="22"/>
  <c r="DD6" i="1"/>
  <c r="X6" i="1" s="1"/>
  <c r="DR6" i="1" s="1"/>
  <c r="D159" i="28"/>
  <c r="D160" i="28" s="1"/>
  <c r="E159" i="28"/>
  <c r="E160" i="28" s="1"/>
  <c r="F159" i="28"/>
  <c r="F160" i="28" s="1"/>
  <c r="G159" i="28"/>
  <c r="G160" i="28" s="1"/>
  <c r="H159" i="28"/>
  <c r="H160" i="28" s="1"/>
  <c r="I159" i="28"/>
  <c r="I160" i="28" s="1"/>
  <c r="J159" i="28"/>
  <c r="J160" i="28" s="1"/>
  <c r="K159" i="28"/>
  <c r="K160" i="28" s="1"/>
  <c r="L159" i="28"/>
  <c r="L160" i="28" s="1"/>
  <c r="M159" i="28"/>
  <c r="M160" i="28" s="1"/>
  <c r="N159" i="28"/>
  <c r="N160" i="28" s="1"/>
  <c r="O159" i="28"/>
  <c r="O160" i="28" s="1"/>
  <c r="P159" i="28"/>
  <c r="P160" i="28" s="1"/>
  <c r="Q159" i="28"/>
  <c r="Q160" i="28" s="1"/>
  <c r="R159" i="28"/>
  <c r="R160" i="28" s="1"/>
  <c r="S159" i="28"/>
  <c r="S160" i="28" s="1"/>
  <c r="T159" i="28"/>
  <c r="T160" i="28" s="1"/>
  <c r="U159" i="28"/>
  <c r="U160" i="28" s="1"/>
  <c r="V159" i="28"/>
  <c r="V160" i="28" s="1"/>
  <c r="W159" i="28"/>
  <c r="W160" i="28" s="1"/>
  <c r="X159" i="28"/>
  <c r="X160" i="28" s="1"/>
  <c r="Y159" i="28"/>
  <c r="Y160" i="28" s="1"/>
  <c r="C158" i="28"/>
  <c r="C159" i="28" s="1"/>
  <c r="C160" i="28" s="1"/>
  <c r="C123" i="28"/>
  <c r="D124" i="28"/>
  <c r="D125" i="28" s="1"/>
  <c r="F124" i="28"/>
  <c r="F125" i="28" s="1"/>
  <c r="G124" i="28"/>
  <c r="G125" i="28" s="1"/>
  <c r="H124" i="28"/>
  <c r="H125" i="28" s="1"/>
  <c r="O124" i="28"/>
  <c r="O125" i="28"/>
  <c r="R124" i="28"/>
  <c r="R125" i="28" s="1"/>
  <c r="S124" i="28"/>
  <c r="S125" i="28" s="1"/>
  <c r="T124" i="28"/>
  <c r="T125" i="28" s="1"/>
  <c r="U124" i="28"/>
  <c r="U125" i="28" s="1"/>
  <c r="V124" i="28"/>
  <c r="V125" i="28" s="1"/>
  <c r="W124" i="28"/>
  <c r="W125" i="28" s="1"/>
  <c r="X124" i="28"/>
  <c r="X125" i="28" s="1"/>
  <c r="Y124" i="28"/>
  <c r="Y125" i="28" s="1"/>
  <c r="C124" i="28"/>
  <c r="C125" i="28" s="1"/>
  <c r="D123" i="28"/>
  <c r="E123" i="28"/>
  <c r="E124" i="28" s="1"/>
  <c r="E125" i="28" s="1"/>
  <c r="F123" i="28"/>
  <c r="G123" i="28"/>
  <c r="H123" i="28"/>
  <c r="I123" i="28"/>
  <c r="I124" i="28"/>
  <c r="I125" i="28" s="1"/>
  <c r="J123" i="28"/>
  <c r="J124" i="28" s="1"/>
  <c r="J125" i="28" s="1"/>
  <c r="K123" i="28"/>
  <c r="K124" i="28" s="1"/>
  <c r="K125" i="28" s="1"/>
  <c r="L123" i="28"/>
  <c r="L124" i="28" s="1"/>
  <c r="L125" i="28" s="1"/>
  <c r="M123" i="28"/>
  <c r="M124" i="28" s="1"/>
  <c r="M125" i="28" s="1"/>
  <c r="N123" i="28"/>
  <c r="N124" i="28" s="1"/>
  <c r="N125" i="28" s="1"/>
  <c r="O123" i="28"/>
  <c r="P123" i="28"/>
  <c r="P124" i="28" s="1"/>
  <c r="P125" i="28" s="1"/>
  <c r="Q123" i="28"/>
  <c r="Q124" i="28"/>
  <c r="Q125" i="28" s="1"/>
  <c r="R123" i="28"/>
  <c r="S123" i="28"/>
  <c r="T123" i="28"/>
  <c r="U123" i="28"/>
  <c r="V123" i="28"/>
  <c r="W123" i="28"/>
  <c r="X123" i="28"/>
  <c r="Y123" i="28"/>
  <c r="D88" i="28"/>
  <c r="D89" i="28" s="1"/>
  <c r="E88" i="28"/>
  <c r="E89" i="28" s="1"/>
  <c r="F88" i="28"/>
  <c r="F89" i="28" s="1"/>
  <c r="G88" i="28"/>
  <c r="G89" i="28" s="1"/>
  <c r="H88" i="28"/>
  <c r="H89" i="28" s="1"/>
  <c r="I88" i="28"/>
  <c r="I89" i="28" s="1"/>
  <c r="J88" i="28"/>
  <c r="J89" i="28" s="1"/>
  <c r="K88" i="28"/>
  <c r="K89" i="28" s="1"/>
  <c r="L88" i="28"/>
  <c r="L89" i="28" s="1"/>
  <c r="M88" i="28"/>
  <c r="M89" i="28"/>
  <c r="N88" i="28"/>
  <c r="N89" i="28" s="1"/>
  <c r="O88" i="28"/>
  <c r="O89" i="28" s="1"/>
  <c r="P88" i="28"/>
  <c r="P89" i="28" s="1"/>
  <c r="Q88" i="28"/>
  <c r="Q89" i="28" s="1"/>
  <c r="R88" i="28"/>
  <c r="R89" i="28" s="1"/>
  <c r="S88" i="28"/>
  <c r="S89" i="28" s="1"/>
  <c r="T88" i="28"/>
  <c r="T89" i="28" s="1"/>
  <c r="U88" i="28"/>
  <c r="U89" i="28"/>
  <c r="V88" i="28"/>
  <c r="V89" i="28" s="1"/>
  <c r="W88" i="28"/>
  <c r="W89" i="28" s="1"/>
  <c r="X88" i="28"/>
  <c r="X89" i="28" s="1"/>
  <c r="Y88" i="28"/>
  <c r="Y89" i="28" s="1"/>
  <c r="C88" i="28"/>
  <c r="C89" i="28" s="1"/>
  <c r="D87" i="28"/>
  <c r="E87" i="28"/>
  <c r="F87" i="28"/>
  <c r="G87" i="28"/>
  <c r="H87" i="28"/>
  <c r="I87" i="28"/>
  <c r="J87" i="28"/>
  <c r="K87" i="28"/>
  <c r="L87" i="28"/>
  <c r="M87" i="28"/>
  <c r="N87" i="28"/>
  <c r="O87" i="28"/>
  <c r="P87" i="28"/>
  <c r="C87" i="28"/>
  <c r="Q48" i="28"/>
  <c r="R48" i="28"/>
  <c r="S48" i="28"/>
  <c r="T48" i="28"/>
  <c r="U48" i="28"/>
  <c r="V48" i="28"/>
  <c r="W48" i="28"/>
  <c r="X48" i="28"/>
  <c r="Y48" i="28"/>
  <c r="D48" i="28"/>
  <c r="E48" i="28"/>
  <c r="F48" i="28"/>
  <c r="G48" i="28"/>
  <c r="H48" i="28"/>
  <c r="I48" i="28"/>
  <c r="J48" i="28"/>
  <c r="K48" i="28"/>
  <c r="L48" i="28"/>
  <c r="M48" i="28"/>
  <c r="N48" i="28"/>
  <c r="O48" i="28"/>
  <c r="P48" i="28"/>
  <c r="D49" i="28"/>
  <c r="D50" i="28"/>
  <c r="E49" i="28"/>
  <c r="E50" i="28" s="1"/>
  <c r="F49" i="28"/>
  <c r="F50" i="28" s="1"/>
  <c r="G49" i="28"/>
  <c r="G50" i="28" s="1"/>
  <c r="H49" i="28"/>
  <c r="H50" i="28" s="1"/>
  <c r="I49" i="28"/>
  <c r="I50" i="28" s="1"/>
  <c r="J49" i="28"/>
  <c r="J50" i="28" s="1"/>
  <c r="K49" i="28"/>
  <c r="K50" i="28" s="1"/>
  <c r="L49" i="28"/>
  <c r="L50" i="28" s="1"/>
  <c r="M49" i="28"/>
  <c r="M50" i="28" s="1"/>
  <c r="N49" i="28"/>
  <c r="N50" i="28" s="1"/>
  <c r="C48" i="28"/>
  <c r="C49" i="28"/>
  <c r="C50" i="28" s="1"/>
  <c r="C11" i="28"/>
  <c r="P240" i="28"/>
  <c r="O239" i="28"/>
  <c r="O240" i="28" s="1"/>
  <c r="N239" i="28"/>
  <c r="N240" i="28"/>
  <c r="M239" i="28"/>
  <c r="M240" i="28" s="1"/>
  <c r="L239" i="28"/>
  <c r="L240" i="28" s="1"/>
  <c r="K239" i="28"/>
  <c r="K240" i="28" s="1"/>
  <c r="J239" i="28"/>
  <c r="J240" i="28" s="1"/>
  <c r="I239" i="28"/>
  <c r="I240" i="28" s="1"/>
  <c r="H239" i="28"/>
  <c r="H240" i="28"/>
  <c r="G239" i="28"/>
  <c r="G240" i="28" s="1"/>
  <c r="F239" i="28"/>
  <c r="F240" i="28" s="1"/>
  <c r="E239" i="28"/>
  <c r="E240" i="28"/>
  <c r="D239" i="28"/>
  <c r="D240" i="28" s="1"/>
  <c r="C239" i="28"/>
  <c r="C240" i="28" s="1"/>
  <c r="O238" i="28"/>
  <c r="N238" i="28"/>
  <c r="M238" i="28"/>
  <c r="L238" i="28"/>
  <c r="K238" i="28"/>
  <c r="J238" i="28"/>
  <c r="I238" i="28"/>
  <c r="H238" i="28"/>
  <c r="G238" i="28"/>
  <c r="F238" i="28"/>
  <c r="E238" i="28"/>
  <c r="D238" i="28"/>
  <c r="C238" i="28"/>
  <c r="O201" i="28"/>
  <c r="O202" i="28" s="1"/>
  <c r="N201" i="28"/>
  <c r="N202" i="28" s="1"/>
  <c r="M201" i="28"/>
  <c r="M202" i="28" s="1"/>
  <c r="L201" i="28"/>
  <c r="L202" i="28" s="1"/>
  <c r="K201" i="28"/>
  <c r="K202" i="28" s="1"/>
  <c r="J201" i="28"/>
  <c r="J202" i="28" s="1"/>
  <c r="I201" i="28"/>
  <c r="I202" i="28" s="1"/>
  <c r="H201" i="28"/>
  <c r="H202" i="28" s="1"/>
  <c r="G201" i="28"/>
  <c r="G202" i="28"/>
  <c r="F201" i="28"/>
  <c r="F202" i="28" s="1"/>
  <c r="E201" i="28"/>
  <c r="E202" i="28" s="1"/>
  <c r="D201" i="28"/>
  <c r="D202" i="28" s="1"/>
  <c r="C201" i="28"/>
  <c r="C202" i="28" s="1"/>
  <c r="O200" i="28"/>
  <c r="N200" i="28"/>
  <c r="M200" i="28"/>
  <c r="L200" i="28"/>
  <c r="K200" i="28"/>
  <c r="J200" i="28"/>
  <c r="I200" i="28"/>
  <c r="H200" i="28"/>
  <c r="G200" i="28"/>
  <c r="F200" i="28"/>
  <c r="E200" i="28"/>
  <c r="D200" i="28"/>
  <c r="C200" i="28"/>
  <c r="P14" i="28"/>
  <c r="O14" i="28"/>
  <c r="N14" i="28"/>
  <c r="N15" i="28" s="1"/>
  <c r="M14" i="28"/>
  <c r="M15" i="28" s="1"/>
  <c r="L14" i="28"/>
  <c r="L15" i="28"/>
  <c r="K14" i="28"/>
  <c r="K15" i="28" s="1"/>
  <c r="J14" i="28"/>
  <c r="J15" i="28" s="1"/>
  <c r="I14" i="28"/>
  <c r="I15" i="28" s="1"/>
  <c r="H14" i="28"/>
  <c r="H15" i="28"/>
  <c r="G14" i="28"/>
  <c r="G15" i="28" s="1"/>
  <c r="F14" i="28"/>
  <c r="F15" i="28"/>
  <c r="E14" i="28"/>
  <c r="E15" i="28" s="1"/>
  <c r="D14" i="28"/>
  <c r="D15" i="28" s="1"/>
  <c r="C14" i="28"/>
  <c r="C15" i="28" s="1"/>
  <c r="Y13" i="28"/>
  <c r="X13" i="28"/>
  <c r="Y12" i="28"/>
  <c r="X12" i="28"/>
  <c r="N12" i="28"/>
  <c r="N13" i="28" s="1"/>
  <c r="M12" i="28"/>
  <c r="M13" i="28" s="1"/>
  <c r="L12" i="28"/>
  <c r="L13" i="28"/>
  <c r="K12" i="28"/>
  <c r="K13" i="28" s="1"/>
  <c r="J12" i="28"/>
  <c r="J13" i="28" s="1"/>
  <c r="I12" i="28"/>
  <c r="I13" i="28"/>
  <c r="H12" i="28"/>
  <c r="H13" i="28" s="1"/>
  <c r="G12" i="28"/>
  <c r="G13" i="28" s="1"/>
  <c r="F12" i="28"/>
  <c r="F13" i="28" s="1"/>
  <c r="E12" i="28"/>
  <c r="E13" i="28" s="1"/>
  <c r="D12" i="28"/>
  <c r="D13" i="28" s="1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AA8" i="2"/>
  <c r="AA27" i="2"/>
  <c r="AL20" i="20"/>
  <c r="AM20" i="20"/>
  <c r="AN20" i="20"/>
  <c r="AO20" i="20"/>
  <c r="AP20" i="20"/>
  <c r="AQ20" i="20"/>
  <c r="AR20" i="20"/>
  <c r="AS20" i="20"/>
  <c r="AT20" i="20"/>
  <c r="AU20" i="20"/>
  <c r="AL21" i="20"/>
  <c r="AM21" i="20"/>
  <c r="AN21" i="20"/>
  <c r="AO21" i="20"/>
  <c r="AP21" i="20"/>
  <c r="AQ21" i="20"/>
  <c r="AR21" i="20"/>
  <c r="AS21" i="20"/>
  <c r="AT21" i="20"/>
  <c r="AU21" i="20"/>
  <c r="AL22" i="20"/>
  <c r="AM22" i="20"/>
  <c r="AN22" i="20"/>
  <c r="AO22" i="20"/>
  <c r="AP22" i="20"/>
  <c r="AQ22" i="20"/>
  <c r="AR22" i="20"/>
  <c r="AS22" i="20"/>
  <c r="AT22" i="20"/>
  <c r="AU22" i="20"/>
  <c r="AL23" i="20"/>
  <c r="AM23" i="20"/>
  <c r="AN23" i="20"/>
  <c r="AO23" i="20"/>
  <c r="AP23" i="20"/>
  <c r="AQ23" i="20"/>
  <c r="AR23" i="20"/>
  <c r="AS23" i="20"/>
  <c r="AT23" i="20"/>
  <c r="AU23" i="20"/>
  <c r="AL24" i="20"/>
  <c r="AM24" i="20"/>
  <c r="AN24" i="20"/>
  <c r="AO24" i="20"/>
  <c r="AP24" i="20"/>
  <c r="AQ24" i="20"/>
  <c r="AR24" i="20"/>
  <c r="AS24" i="20"/>
  <c r="AT24" i="20"/>
  <c r="AU24" i="20"/>
  <c r="AK20" i="20"/>
  <c r="AK21" i="20"/>
  <c r="AK22" i="20"/>
  <c r="AK23" i="20"/>
  <c r="AK24" i="20"/>
  <c r="AJ24" i="20"/>
  <c r="AJ23" i="20"/>
  <c r="AJ22" i="20"/>
  <c r="AJ21" i="20"/>
  <c r="AJ20" i="20"/>
  <c r="AN32" i="20"/>
  <c r="AO32" i="20"/>
  <c r="AP32" i="20"/>
  <c r="AQ32" i="20"/>
  <c r="AR32" i="20"/>
  <c r="AR44" i="20" s="1"/>
  <c r="AS32" i="20"/>
  <c r="AT32" i="20"/>
  <c r="AU32" i="20"/>
  <c r="AN33" i="20"/>
  <c r="AO33" i="20"/>
  <c r="AP33" i="20"/>
  <c r="AQ33" i="20"/>
  <c r="AR33" i="20"/>
  <c r="AS33" i="20"/>
  <c r="AT33" i="20"/>
  <c r="AU33" i="20"/>
  <c r="AN34" i="20"/>
  <c r="AO34" i="20"/>
  <c r="AP34" i="20"/>
  <c r="AQ34" i="20"/>
  <c r="AR34" i="20"/>
  <c r="AS34" i="20"/>
  <c r="AT34" i="20"/>
  <c r="AU34" i="20"/>
  <c r="AN35" i="20"/>
  <c r="AO35" i="20"/>
  <c r="AO47" i="20" s="1"/>
  <c r="AP35" i="20"/>
  <c r="AQ35" i="20"/>
  <c r="AR35" i="20"/>
  <c r="AS35" i="20"/>
  <c r="AT35" i="20"/>
  <c r="AU35" i="20"/>
  <c r="AN36" i="20"/>
  <c r="AN48" i="20" s="1"/>
  <c r="AO36" i="20"/>
  <c r="AP36" i="20"/>
  <c r="AQ36" i="20"/>
  <c r="AR36" i="20"/>
  <c r="AS36" i="20"/>
  <c r="AT36" i="20"/>
  <c r="AU36" i="20"/>
  <c r="AL32" i="20"/>
  <c r="AM32" i="20"/>
  <c r="AM44" i="20" s="1"/>
  <c r="AL33" i="20"/>
  <c r="AM33" i="20"/>
  <c r="AL34" i="20"/>
  <c r="AM34" i="20"/>
  <c r="AL35" i="20"/>
  <c r="AM35" i="20"/>
  <c r="AL36" i="20"/>
  <c r="AM36" i="20"/>
  <c r="AK32" i="20"/>
  <c r="AK33" i="20"/>
  <c r="AK34" i="20"/>
  <c r="AK35" i="20"/>
  <c r="AK36" i="20"/>
  <c r="AJ36" i="20"/>
  <c r="AJ35" i="20"/>
  <c r="AJ34" i="20"/>
  <c r="AJ33" i="20"/>
  <c r="AJ32" i="20"/>
  <c r="K32" i="20"/>
  <c r="L32" i="20"/>
  <c r="M32" i="20"/>
  <c r="N32" i="20"/>
  <c r="O32" i="20"/>
  <c r="K33" i="20"/>
  <c r="L33" i="20"/>
  <c r="M33" i="20"/>
  <c r="N33" i="20"/>
  <c r="O33" i="20"/>
  <c r="K34" i="20"/>
  <c r="L34" i="20"/>
  <c r="M34" i="20"/>
  <c r="N34" i="20"/>
  <c r="O34" i="20"/>
  <c r="K35" i="20"/>
  <c r="L35" i="20"/>
  <c r="M35" i="20"/>
  <c r="N35" i="20"/>
  <c r="O35" i="20"/>
  <c r="K36" i="20"/>
  <c r="L36" i="20"/>
  <c r="M36" i="20"/>
  <c r="N36" i="20"/>
  <c r="O36" i="20"/>
  <c r="K37" i="20"/>
  <c r="L37" i="20"/>
  <c r="M37" i="20"/>
  <c r="N37" i="20"/>
  <c r="O37" i="20"/>
  <c r="K38" i="20"/>
  <c r="L38" i="20"/>
  <c r="M38" i="20"/>
  <c r="N38" i="20"/>
  <c r="O38" i="20"/>
  <c r="K39" i="20"/>
  <c r="L39" i="20"/>
  <c r="M39" i="20"/>
  <c r="N39" i="20"/>
  <c r="O39" i="20"/>
  <c r="U11" i="20"/>
  <c r="U16" i="20" s="1"/>
  <c r="U10" i="20"/>
  <c r="U9" i="20"/>
  <c r="P5" i="22"/>
  <c r="DN1" i="8"/>
  <c r="CZ1" i="8"/>
  <c r="CL1" i="8"/>
  <c r="AC9" i="24"/>
  <c r="AC10" i="24"/>
  <c r="E152" i="6"/>
  <c r="E147" i="6"/>
  <c r="E151" i="6"/>
  <c r="E146" i="6"/>
  <c r="E145" i="6"/>
  <c r="U20" i="20"/>
  <c r="AH25" i="20"/>
  <c r="AH26" i="20"/>
  <c r="AH27" i="20"/>
  <c r="AG26" i="20"/>
  <c r="AF36" i="20"/>
  <c r="AE36" i="20"/>
  <c r="AD36" i="20"/>
  <c r="AC36" i="20"/>
  <c r="AB36" i="20"/>
  <c r="AA36" i="20"/>
  <c r="Z36" i="20"/>
  <c r="Y36" i="20"/>
  <c r="X36" i="20"/>
  <c r="W36" i="20"/>
  <c r="V36" i="20"/>
  <c r="AF35" i="20"/>
  <c r="AE35" i="20"/>
  <c r="AD35" i="20"/>
  <c r="AC35" i="20"/>
  <c r="AB35" i="20"/>
  <c r="AA35" i="20"/>
  <c r="Z35" i="20"/>
  <c r="Y35" i="20"/>
  <c r="X35" i="20"/>
  <c r="W35" i="20"/>
  <c r="V35" i="20"/>
  <c r="AF34" i="20"/>
  <c r="AE34" i="20"/>
  <c r="AD34" i="20"/>
  <c r="AC34" i="20"/>
  <c r="AB34" i="20"/>
  <c r="AA34" i="20"/>
  <c r="Z34" i="20"/>
  <c r="Y34" i="20"/>
  <c r="Y46" i="20" s="1"/>
  <c r="X34" i="20"/>
  <c r="W34" i="20"/>
  <c r="V34" i="20"/>
  <c r="AF33" i="20"/>
  <c r="AE33" i="20"/>
  <c r="AD33" i="20"/>
  <c r="AC33" i="20"/>
  <c r="AB33" i="20"/>
  <c r="AA33" i="20"/>
  <c r="Z33" i="20"/>
  <c r="Y33" i="20"/>
  <c r="X33" i="20"/>
  <c r="W33" i="20"/>
  <c r="V33" i="20"/>
  <c r="AF32" i="20"/>
  <c r="AE32" i="20"/>
  <c r="AD32" i="20"/>
  <c r="AC32" i="20"/>
  <c r="AB32" i="20"/>
  <c r="AA32" i="20"/>
  <c r="Z32" i="20"/>
  <c r="Y32" i="20"/>
  <c r="X32" i="20"/>
  <c r="W32" i="20"/>
  <c r="V32" i="20"/>
  <c r="U36" i="20"/>
  <c r="U35" i="20"/>
  <c r="U34" i="20"/>
  <c r="U33" i="20"/>
  <c r="U32" i="20"/>
  <c r="AF24" i="20"/>
  <c r="AE24" i="20"/>
  <c r="AD24" i="20"/>
  <c r="AC24" i="20"/>
  <c r="AC48" i="20" s="1"/>
  <c r="AB24" i="20"/>
  <c r="AA24" i="20"/>
  <c r="Z24" i="20"/>
  <c r="Y24" i="20"/>
  <c r="X24" i="20"/>
  <c r="W24" i="20"/>
  <c r="V24" i="20"/>
  <c r="AF23" i="20"/>
  <c r="AE23" i="20"/>
  <c r="AD23" i="20"/>
  <c r="AC23" i="20"/>
  <c r="AB23" i="20"/>
  <c r="AA23" i="20"/>
  <c r="Z23" i="20"/>
  <c r="Y23" i="20"/>
  <c r="X23" i="20"/>
  <c r="W23" i="20"/>
  <c r="V23" i="20"/>
  <c r="AF22" i="20"/>
  <c r="AE22" i="20"/>
  <c r="AD22" i="20"/>
  <c r="AC22" i="20"/>
  <c r="AB22" i="20"/>
  <c r="AA22" i="20"/>
  <c r="Z22" i="20"/>
  <c r="Y22" i="20"/>
  <c r="X22" i="20"/>
  <c r="W22" i="20"/>
  <c r="V22" i="20"/>
  <c r="AF21" i="20"/>
  <c r="AE21" i="20"/>
  <c r="AD21" i="20"/>
  <c r="AC21" i="20"/>
  <c r="AB21" i="20"/>
  <c r="AA21" i="20"/>
  <c r="Z21" i="20"/>
  <c r="Y21" i="20"/>
  <c r="X21" i="20"/>
  <c r="W21" i="20"/>
  <c r="V21" i="20"/>
  <c r="AF20" i="20"/>
  <c r="AE20" i="20"/>
  <c r="AD20" i="20"/>
  <c r="AC20" i="20"/>
  <c r="AC44" i="20" s="1"/>
  <c r="AB20" i="20"/>
  <c r="AA20" i="20"/>
  <c r="Z20" i="20"/>
  <c r="Y20" i="20"/>
  <c r="X20" i="20"/>
  <c r="W20" i="20"/>
  <c r="V20" i="20"/>
  <c r="U24" i="20"/>
  <c r="U23" i="20"/>
  <c r="U22" i="20"/>
  <c r="U21" i="20"/>
  <c r="AF12" i="20"/>
  <c r="AE12" i="20"/>
  <c r="AD12" i="20"/>
  <c r="AC12" i="20"/>
  <c r="AB12" i="20"/>
  <c r="AA12" i="20"/>
  <c r="Z12" i="20"/>
  <c r="Y12" i="20"/>
  <c r="X12" i="20"/>
  <c r="W12" i="20"/>
  <c r="V12" i="20"/>
  <c r="AF11" i="20"/>
  <c r="AE11" i="20"/>
  <c r="AD11" i="20"/>
  <c r="AC11" i="20"/>
  <c r="AB11" i="20"/>
  <c r="AA11" i="20"/>
  <c r="Z11" i="20"/>
  <c r="Y11" i="20"/>
  <c r="X11" i="20"/>
  <c r="W11" i="20"/>
  <c r="V11" i="20"/>
  <c r="AF10" i="20"/>
  <c r="AE10" i="20"/>
  <c r="AD10" i="20"/>
  <c r="AC10" i="20"/>
  <c r="AB10" i="20"/>
  <c r="AA10" i="20"/>
  <c r="Z10" i="20"/>
  <c r="Y10" i="20"/>
  <c r="X10" i="20"/>
  <c r="W10" i="20"/>
  <c r="V10" i="20"/>
  <c r="AF9" i="20"/>
  <c r="AE9" i="20"/>
  <c r="AD9" i="20"/>
  <c r="AC9" i="20"/>
  <c r="AB9" i="20"/>
  <c r="AA9" i="20"/>
  <c r="Z9" i="20"/>
  <c r="Y9" i="20"/>
  <c r="X9" i="20"/>
  <c r="W9" i="20"/>
  <c r="V9" i="20"/>
  <c r="AF8" i="20"/>
  <c r="AE8" i="20"/>
  <c r="AD8" i="20"/>
  <c r="AC8" i="20"/>
  <c r="AB8" i="20"/>
  <c r="AA8" i="20"/>
  <c r="Z8" i="20"/>
  <c r="Y8" i="20"/>
  <c r="X8" i="20"/>
  <c r="W8" i="20"/>
  <c r="V8" i="20"/>
  <c r="U12" i="20"/>
  <c r="U8" i="20"/>
  <c r="S5" i="2"/>
  <c r="T5" i="2" s="1"/>
  <c r="K36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E21" i="2"/>
  <c r="E22" i="2"/>
  <c r="E23" i="2"/>
  <c r="E24" i="2"/>
  <c r="E25" i="2"/>
  <c r="E26" i="2"/>
  <c r="E27" i="2"/>
  <c r="G97" i="60" s="1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6" i="2"/>
  <c r="E45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6" i="2"/>
  <c r="G132" i="60" s="1"/>
  <c r="E7" i="2"/>
  <c r="H5" i="2"/>
  <c r="E5" i="2"/>
  <c r="AW15" i="20"/>
  <c r="S15" i="20"/>
  <c r="AW14" i="20"/>
  <c r="S14" i="20"/>
  <c r="AW13" i="20"/>
  <c r="S13" i="20"/>
  <c r="AW12" i="20"/>
  <c r="S12" i="20"/>
  <c r="AW11" i="20"/>
  <c r="S11" i="20"/>
  <c r="AW10" i="20"/>
  <c r="AW16" i="20"/>
  <c r="AW9" i="20"/>
  <c r="S9" i="20"/>
  <c r="AW8" i="20"/>
  <c r="S8" i="20"/>
  <c r="AH15" i="20"/>
  <c r="R15" i="20"/>
  <c r="AH14" i="20"/>
  <c r="R14" i="20"/>
  <c r="AH13" i="20"/>
  <c r="R13" i="20"/>
  <c r="AG14" i="20"/>
  <c r="U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D6" i="20"/>
  <c r="AV39" i="20"/>
  <c r="AG39" i="20"/>
  <c r="AV37" i="20"/>
  <c r="AG37" i="20"/>
  <c r="AV27" i="20"/>
  <c r="AG27" i="20"/>
  <c r="AV25" i="20"/>
  <c r="AG25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V16" i="20"/>
  <c r="AV15" i="20"/>
  <c r="AV13" i="20"/>
  <c r="AV12" i="20"/>
  <c r="AV11" i="20"/>
  <c r="AV10" i="20"/>
  <c r="AV9" i="20"/>
  <c r="AV8" i="20"/>
  <c r="AG15" i="20"/>
  <c r="AG13" i="20"/>
  <c r="E202" i="6"/>
  <c r="E200" i="6"/>
  <c r="E197" i="6"/>
  <c r="E195" i="6"/>
  <c r="E150" i="6"/>
  <c r="AH6" i="6"/>
  <c r="AH22" i="6"/>
  <c r="AG6" i="6"/>
  <c r="AG22" i="6"/>
  <c r="EE152" i="1"/>
  <c r="ED152" i="1"/>
  <c r="EC152" i="1"/>
  <c r="EB152" i="1"/>
  <c r="EA152" i="1"/>
  <c r="DY152" i="1"/>
  <c r="DX152" i="1"/>
  <c r="DV152" i="1"/>
  <c r="DU152" i="1"/>
  <c r="DD152" i="1"/>
  <c r="CP152" i="1" s="1"/>
  <c r="DC152" i="1"/>
  <c r="CO152" i="1" s="1"/>
  <c r="DB152" i="1"/>
  <c r="CN152" i="1" s="1"/>
  <c r="DA152" i="1"/>
  <c r="CZ152" i="1"/>
  <c r="T152" i="1" s="1"/>
  <c r="BJ152" i="1" s="1"/>
  <c r="BX152" i="1" s="1"/>
  <c r="CY152" i="1"/>
  <c r="CX152" i="1"/>
  <c r="CJ152" i="1" s="1"/>
  <c r="CW152" i="1"/>
  <c r="Q152" i="1" s="1"/>
  <c r="DK152" i="1" s="1"/>
  <c r="EE141" i="1"/>
  <c r="S80" i="36" s="1"/>
  <c r="ED141" i="1"/>
  <c r="R80" i="36" s="1"/>
  <c r="EC141" i="1"/>
  <c r="Q80" i="36" s="1"/>
  <c r="EB141" i="1"/>
  <c r="P80" i="36" s="1"/>
  <c r="DD141" i="1"/>
  <c r="T23" i="36" s="1"/>
  <c r="DC141" i="1"/>
  <c r="S23" i="36" s="1"/>
  <c r="DB141" i="1"/>
  <c r="CN141" i="1" s="1"/>
  <c r="DA141" i="1"/>
  <c r="Q23" i="36" s="1"/>
  <c r="CZ141" i="1"/>
  <c r="CY141" i="1"/>
  <c r="CX141" i="1"/>
  <c r="N23" i="36" s="1"/>
  <c r="CW141" i="1"/>
  <c r="CI141" i="1" s="1"/>
  <c r="EE140" i="1"/>
  <c r="ED140" i="1"/>
  <c r="EC140" i="1"/>
  <c r="EB140" i="1"/>
  <c r="EA140" i="1"/>
  <c r="DZ140" i="1"/>
  <c r="DY140" i="1"/>
  <c r="DX140" i="1"/>
  <c r="DW140" i="1"/>
  <c r="DV140" i="1"/>
  <c r="DU140" i="1"/>
  <c r="DD140" i="1"/>
  <c r="CP140" i="1" s="1"/>
  <c r="DC140" i="1"/>
  <c r="CO140" i="1" s="1"/>
  <c r="DB140" i="1"/>
  <c r="AJ140" i="1" s="1"/>
  <c r="DA140" i="1"/>
  <c r="U140" i="1" s="1"/>
  <c r="BK140" i="1" s="1"/>
  <c r="BY140" i="1" s="1"/>
  <c r="CZ140" i="1"/>
  <c r="CL140" i="1" s="1"/>
  <c r="CY140" i="1"/>
  <c r="AG140" i="1" s="1"/>
  <c r="CX140" i="1"/>
  <c r="R140" i="1" s="1"/>
  <c r="CW140" i="1"/>
  <c r="CI140" i="1" s="1"/>
  <c r="EE111" i="1"/>
  <c r="AP122" i="48" s="1"/>
  <c r="ED111" i="1"/>
  <c r="AO122" i="48" s="1"/>
  <c r="EC111" i="1"/>
  <c r="AN122" i="48" s="1"/>
  <c r="EB111" i="1"/>
  <c r="AM122" i="48" s="1"/>
  <c r="DZ111" i="1"/>
  <c r="AK122" i="48" s="1"/>
  <c r="DY111" i="1"/>
  <c r="AJ122" i="48" s="1"/>
  <c r="DX111" i="1"/>
  <c r="AI122" i="48" s="1"/>
  <c r="DW111" i="1"/>
  <c r="AH122" i="48" s="1"/>
  <c r="DU111" i="1"/>
  <c r="AF122" i="48" s="1"/>
  <c r="DD111" i="1"/>
  <c r="X111" i="1" s="1"/>
  <c r="BN111" i="1" s="1"/>
  <c r="CB111" i="1" s="1"/>
  <c r="DC111" i="1"/>
  <c r="AP25" i="48" s="1"/>
  <c r="DB111" i="1"/>
  <c r="AO25" i="48" s="1"/>
  <c r="DA111" i="1"/>
  <c r="AI111" i="1" s="1"/>
  <c r="CZ111" i="1"/>
  <c r="AH111" i="1" s="1"/>
  <c r="CY111" i="1"/>
  <c r="AL25" i="48" s="1"/>
  <c r="CX111" i="1"/>
  <c r="CW111" i="1"/>
  <c r="AJ25" i="48" s="1"/>
  <c r="EE99" i="1"/>
  <c r="ED99" i="1"/>
  <c r="EC99" i="1"/>
  <c r="EB99" i="1"/>
  <c r="EA99" i="1"/>
  <c r="DZ99" i="1"/>
  <c r="DU99" i="1"/>
  <c r="DD99" i="1"/>
  <c r="X99" i="1" s="1"/>
  <c r="BN99" i="1" s="1"/>
  <c r="CB99" i="1" s="1"/>
  <c r="DC99" i="1"/>
  <c r="CO99" i="1" s="1"/>
  <c r="DB99" i="1"/>
  <c r="AJ99" i="1" s="1"/>
  <c r="DA99" i="1"/>
  <c r="U99" i="1" s="1"/>
  <c r="DO99" i="1" s="1"/>
  <c r="CZ99" i="1"/>
  <c r="CL99" i="1" s="1"/>
  <c r="CY99" i="1"/>
  <c r="CK99" i="1" s="1"/>
  <c r="CX99" i="1"/>
  <c r="AF99" i="1" s="1"/>
  <c r="CW99" i="1"/>
  <c r="EE98" i="1"/>
  <c r="ED98" i="1"/>
  <c r="EC98" i="1"/>
  <c r="EB98" i="1"/>
  <c r="EA98" i="1"/>
  <c r="DZ98" i="1"/>
  <c r="DY98" i="1"/>
  <c r="DX98" i="1"/>
  <c r="DV98" i="1"/>
  <c r="DU98" i="1"/>
  <c r="DD98" i="1"/>
  <c r="X98" i="1" s="1"/>
  <c r="BN98" i="1" s="1"/>
  <c r="CB98" i="1" s="1"/>
  <c r="DC98" i="1"/>
  <c r="AK98" i="1" s="1"/>
  <c r="DB98" i="1"/>
  <c r="CN98" i="1" s="1"/>
  <c r="DA98" i="1"/>
  <c r="AI98" i="1" s="1"/>
  <c r="CZ98" i="1"/>
  <c r="T98" i="1" s="1"/>
  <c r="DN98" i="1" s="1"/>
  <c r="CY98" i="1"/>
  <c r="S98" i="1" s="1"/>
  <c r="DM98" i="1" s="1"/>
  <c r="CX98" i="1"/>
  <c r="AF98" i="1" s="1"/>
  <c r="CW98" i="1"/>
  <c r="Q98" i="1" s="1"/>
  <c r="BG98" i="1" s="1"/>
  <c r="BU98" i="1" s="1"/>
  <c r="EE96" i="1"/>
  <c r="ED96" i="1"/>
  <c r="EC96" i="1"/>
  <c r="EB96" i="1"/>
  <c r="EA96" i="1"/>
  <c r="DZ96" i="1"/>
  <c r="DY96" i="1"/>
  <c r="DX96" i="1"/>
  <c r="DV96" i="1"/>
  <c r="DU96" i="1"/>
  <c r="DD96" i="1"/>
  <c r="CP96" i="1" s="1"/>
  <c r="DC96" i="1"/>
  <c r="DB96" i="1"/>
  <c r="DA96" i="1"/>
  <c r="AI96" i="1" s="1"/>
  <c r="CZ96" i="1"/>
  <c r="CL96" i="1" s="1"/>
  <c r="CY96" i="1"/>
  <c r="AG96" i="1" s="1"/>
  <c r="CX96" i="1"/>
  <c r="R96" i="1" s="1"/>
  <c r="BH96" i="1" s="1"/>
  <c r="BV96" i="1" s="1"/>
  <c r="CW96" i="1"/>
  <c r="EE80" i="1"/>
  <c r="ED80" i="1"/>
  <c r="EC80" i="1"/>
  <c r="EB80" i="1"/>
  <c r="EA80" i="1"/>
  <c r="DZ80" i="1"/>
  <c r="DY80" i="1"/>
  <c r="DX80" i="1"/>
  <c r="DW80" i="1"/>
  <c r="DV80" i="1"/>
  <c r="DU80" i="1"/>
  <c r="DD80" i="1"/>
  <c r="CP80" i="1" s="1"/>
  <c r="DC80" i="1"/>
  <c r="AK80" i="1" s="1"/>
  <c r="DB80" i="1"/>
  <c r="AJ80" i="1" s="1"/>
  <c r="DA80" i="1"/>
  <c r="CM80" i="1" s="1"/>
  <c r="CZ80" i="1"/>
  <c r="CL80" i="1" s="1"/>
  <c r="CY80" i="1"/>
  <c r="CX80" i="1"/>
  <c r="AF80" i="1" s="1"/>
  <c r="CW80" i="1"/>
  <c r="Q80" i="1" s="1"/>
  <c r="DK80" i="1" s="1"/>
  <c r="EF224" i="1"/>
  <c r="EE224" i="1"/>
  <c r="ED224" i="1"/>
  <c r="EC224" i="1"/>
  <c r="EB224" i="1"/>
  <c r="DV224" i="1"/>
  <c r="DU224" i="1"/>
  <c r="EF223" i="1"/>
  <c r="EE223" i="1"/>
  <c r="ED223" i="1"/>
  <c r="EC223" i="1"/>
  <c r="EB223" i="1"/>
  <c r="EA223" i="1"/>
  <c r="DZ223" i="1"/>
  <c r="DY223" i="1"/>
  <c r="DX223" i="1"/>
  <c r="DW223" i="1"/>
  <c r="EF221" i="1"/>
  <c r="EE221" i="1"/>
  <c r="ED221" i="1"/>
  <c r="EB221" i="1"/>
  <c r="EA221" i="1"/>
  <c r="DZ221" i="1"/>
  <c r="DY221" i="1"/>
  <c r="DX221" i="1"/>
  <c r="DW221" i="1"/>
  <c r="DV221" i="1"/>
  <c r="DU221" i="1"/>
  <c r="ED218" i="1"/>
  <c r="EC218" i="1"/>
  <c r="EB218" i="1"/>
  <c r="EA218" i="1"/>
  <c r="DZ218" i="1"/>
  <c r="DY218" i="1"/>
  <c r="DX218" i="1"/>
  <c r="DW218" i="1"/>
  <c r="DV218" i="1"/>
  <c r="DU218" i="1"/>
  <c r="EE216" i="1"/>
  <c r="ED216" i="1"/>
  <c r="EC216" i="1"/>
  <c r="DY216" i="1"/>
  <c r="DX216" i="1"/>
  <c r="DV216" i="1"/>
  <c r="DU216" i="1"/>
  <c r="EE215" i="1"/>
  <c r="ED215" i="1"/>
  <c r="EC215" i="1"/>
  <c r="DY215" i="1"/>
  <c r="DX215" i="1"/>
  <c r="DV215" i="1"/>
  <c r="DU215" i="1"/>
  <c r="EF214" i="1"/>
  <c r="EE214" i="1"/>
  <c r="ED214" i="1"/>
  <c r="EC214" i="1"/>
  <c r="EA214" i="1"/>
  <c r="DZ214" i="1"/>
  <c r="DY214" i="1"/>
  <c r="DX214" i="1"/>
  <c r="DW214" i="1"/>
  <c r="DU214" i="1"/>
  <c r="EF212" i="1"/>
  <c r="EE212" i="1"/>
  <c r="ED212" i="1"/>
  <c r="EC212" i="1"/>
  <c r="EA212" i="1"/>
  <c r="DZ212" i="1"/>
  <c r="DY212" i="1"/>
  <c r="DX212" i="1"/>
  <c r="DV212" i="1"/>
  <c r="DU212" i="1"/>
  <c r="EF211" i="1"/>
  <c r="EE211" i="1"/>
  <c r="EC211" i="1"/>
  <c r="EB211" i="1"/>
  <c r="DZ211" i="1"/>
  <c r="DY211" i="1"/>
  <c r="DV211" i="1"/>
  <c r="DU211" i="1"/>
  <c r="EF210" i="1"/>
  <c r="EE210" i="1"/>
  <c r="ED210" i="1"/>
  <c r="EC210" i="1"/>
  <c r="EB210" i="1"/>
  <c r="DZ210" i="1"/>
  <c r="DY210" i="1"/>
  <c r="DW210" i="1"/>
  <c r="DV210" i="1"/>
  <c r="DU210" i="1"/>
  <c r="EF209" i="1"/>
  <c r="EC209" i="1"/>
  <c r="EB209" i="1"/>
  <c r="EA209" i="1"/>
  <c r="DZ209" i="1"/>
  <c r="DY209" i="1"/>
  <c r="DX209" i="1"/>
  <c r="DW209" i="1"/>
  <c r="DV209" i="1"/>
  <c r="DU209" i="1"/>
  <c r="EF208" i="1"/>
  <c r="EE208" i="1"/>
  <c r="EC208" i="1"/>
  <c r="EA208" i="1"/>
  <c r="DZ208" i="1"/>
  <c r="DY208" i="1"/>
  <c r="DX208" i="1"/>
  <c r="DV208" i="1"/>
  <c r="DU208" i="1"/>
  <c r="EF206" i="1"/>
  <c r="ED206" i="1"/>
  <c r="EC206" i="1"/>
  <c r="EB206" i="1"/>
  <c r="EA206" i="1"/>
  <c r="DZ206" i="1"/>
  <c r="DY206" i="1"/>
  <c r="DW206" i="1"/>
  <c r="DV206" i="1"/>
  <c r="DU206" i="1"/>
  <c r="EF186" i="1"/>
  <c r="EE186" i="1"/>
  <c r="ED186" i="1"/>
  <c r="EC186" i="1"/>
  <c r="EB186" i="1"/>
  <c r="EA186" i="1"/>
  <c r="DZ186" i="1"/>
  <c r="DY186" i="1"/>
  <c r="DX186" i="1"/>
  <c r="DU186" i="1"/>
  <c r="EF185" i="1"/>
  <c r="EE185" i="1"/>
  <c r="ED185" i="1"/>
  <c r="EB185" i="1"/>
  <c r="EA185" i="1"/>
  <c r="DZ185" i="1"/>
  <c r="DY185" i="1"/>
  <c r="DX185" i="1"/>
  <c r="DV185" i="1"/>
  <c r="DU185" i="1"/>
  <c r="EF184" i="1"/>
  <c r="EE184" i="1"/>
  <c r="EB184" i="1"/>
  <c r="EA184" i="1"/>
  <c r="DZ184" i="1"/>
  <c r="DY184" i="1"/>
  <c r="DX184" i="1"/>
  <c r="DW184" i="1"/>
  <c r="DV184" i="1"/>
  <c r="DU184" i="1"/>
  <c r="EF183" i="1"/>
  <c r="EE183" i="1"/>
  <c r="EC183" i="1"/>
  <c r="EB183" i="1"/>
  <c r="EA183" i="1"/>
  <c r="DZ183" i="1"/>
  <c r="DY183" i="1"/>
  <c r="DX183" i="1"/>
  <c r="DW183" i="1"/>
  <c r="DU183" i="1"/>
  <c r="EC182" i="1"/>
  <c r="EB182" i="1"/>
  <c r="EA182" i="1"/>
  <c r="DZ182" i="1"/>
  <c r="DY182" i="1"/>
  <c r="DX182" i="1"/>
  <c r="DW182" i="1"/>
  <c r="DU182" i="1"/>
  <c r="EC181" i="1"/>
  <c r="EB181" i="1"/>
  <c r="EA181" i="1"/>
  <c r="DZ181" i="1"/>
  <c r="DY181" i="1"/>
  <c r="DX181" i="1"/>
  <c r="DW181" i="1"/>
  <c r="DU181" i="1"/>
  <c r="EF180" i="1"/>
  <c r="EE180" i="1"/>
  <c r="ED180" i="1"/>
  <c r="EC180" i="1"/>
  <c r="EB180" i="1"/>
  <c r="DW180" i="1"/>
  <c r="DU180" i="1"/>
  <c r="EF179" i="1"/>
  <c r="EE179" i="1"/>
  <c r="ED179" i="1"/>
  <c r="EC179" i="1"/>
  <c r="EB179" i="1"/>
  <c r="DU179" i="1"/>
  <c r="EF178" i="1"/>
  <c r="EE178" i="1"/>
  <c r="ED178" i="1"/>
  <c r="EC178" i="1"/>
  <c r="EB178" i="1"/>
  <c r="EA178" i="1"/>
  <c r="DZ178" i="1"/>
  <c r="DY178" i="1"/>
  <c r="DX178" i="1"/>
  <c r="DW178" i="1"/>
  <c r="EF176" i="1"/>
  <c r="EE176" i="1"/>
  <c r="ED176" i="1"/>
  <c r="EC176" i="1"/>
  <c r="EB176" i="1"/>
  <c r="EA176" i="1"/>
  <c r="DZ176" i="1"/>
  <c r="DY176" i="1"/>
  <c r="DU176" i="1"/>
  <c r="EF175" i="1"/>
  <c r="EE175" i="1"/>
  <c r="ED175" i="1"/>
  <c r="EC175" i="1"/>
  <c r="EB175" i="1"/>
  <c r="EF174" i="1"/>
  <c r="EE174" i="1"/>
  <c r="ED174" i="1"/>
  <c r="EC174" i="1"/>
  <c r="EB174" i="1"/>
  <c r="EA174" i="1"/>
  <c r="DZ174" i="1"/>
  <c r="EF172" i="1"/>
  <c r="ED172" i="1"/>
  <c r="EC172" i="1"/>
  <c r="EB172" i="1"/>
  <c r="EA172" i="1"/>
  <c r="DZ172" i="1"/>
  <c r="DY172" i="1"/>
  <c r="DX172" i="1"/>
  <c r="DV172" i="1"/>
  <c r="EF166" i="1"/>
  <c r="EE166" i="1"/>
  <c r="ED166" i="1"/>
  <c r="EC166" i="1"/>
  <c r="EB166" i="1"/>
  <c r="EA166" i="1"/>
  <c r="DW166" i="1"/>
  <c r="DV166" i="1"/>
  <c r="DU166" i="1"/>
  <c r="EF164" i="1"/>
  <c r="ED164" i="1"/>
  <c r="EC164" i="1"/>
  <c r="EB164" i="1"/>
  <c r="DY164" i="1"/>
  <c r="DW164" i="1"/>
  <c r="DU164" i="1"/>
  <c r="ED163" i="1"/>
  <c r="EC163" i="1"/>
  <c r="EB163" i="1"/>
  <c r="DZ163" i="1"/>
  <c r="EC160" i="1"/>
  <c r="Q72" i="36" s="1"/>
  <c r="EA160" i="1"/>
  <c r="O72" i="36" s="1"/>
  <c r="DZ160" i="1"/>
  <c r="N72" i="36" s="1"/>
  <c r="DY160" i="1"/>
  <c r="M72" i="36" s="1"/>
  <c r="DX160" i="1"/>
  <c r="L72" i="36" s="1"/>
  <c r="DW160" i="1"/>
  <c r="K72" i="36" s="1"/>
  <c r="DV160" i="1"/>
  <c r="J72" i="36" s="1"/>
  <c r="EC162" i="1"/>
  <c r="DZ162" i="1"/>
  <c r="DW162" i="1"/>
  <c r="EF161" i="1"/>
  <c r="EE161" i="1"/>
  <c r="ED161" i="1"/>
  <c r="EC161" i="1"/>
  <c r="EB161" i="1"/>
  <c r="EF159" i="1"/>
  <c r="T74" i="36" s="1"/>
  <c r="EE159" i="1"/>
  <c r="S74" i="36" s="1"/>
  <c r="ED159" i="1"/>
  <c r="R74" i="36" s="1"/>
  <c r="EC159" i="1"/>
  <c r="Q74" i="36" s="1"/>
  <c r="EA159" i="1"/>
  <c r="O74" i="36" s="1"/>
  <c r="DZ159" i="1"/>
  <c r="N74" i="36" s="1"/>
  <c r="DY159" i="1"/>
  <c r="M74" i="36" s="1"/>
  <c r="DX159" i="1"/>
  <c r="L74" i="36" s="1"/>
  <c r="DW159" i="1"/>
  <c r="K74" i="36" s="1"/>
  <c r="DU159" i="1"/>
  <c r="I74" i="36" s="1"/>
  <c r="EF158" i="1"/>
  <c r="EE158" i="1"/>
  <c r="ED158" i="1"/>
  <c r="EC158" i="1"/>
  <c r="EB158" i="1"/>
  <c r="DZ158" i="1"/>
  <c r="DY158" i="1"/>
  <c r="DX158" i="1"/>
  <c r="DW158" i="1"/>
  <c r="DU158" i="1"/>
  <c r="EF150" i="1"/>
  <c r="ED150" i="1"/>
  <c r="EC150" i="1"/>
  <c r="EB150" i="1"/>
  <c r="EA150" i="1"/>
  <c r="DZ150" i="1"/>
  <c r="DY150" i="1"/>
  <c r="DX150" i="1"/>
  <c r="DW150" i="1"/>
  <c r="DV150" i="1"/>
  <c r="DU150" i="1"/>
  <c r="EF149" i="1"/>
  <c r="EE149" i="1"/>
  <c r="ED149" i="1"/>
  <c r="EC149" i="1"/>
  <c r="EB149" i="1"/>
  <c r="EA149" i="1"/>
  <c r="DZ149" i="1"/>
  <c r="DX149" i="1"/>
  <c r="DV149" i="1"/>
  <c r="DU149" i="1"/>
  <c r="EF148" i="1"/>
  <c r="EE148" i="1"/>
  <c r="ED148" i="1"/>
  <c r="EB148" i="1"/>
  <c r="EA148" i="1"/>
  <c r="DZ148" i="1"/>
  <c r="DY148" i="1"/>
  <c r="DX148" i="1"/>
  <c r="DW148" i="1"/>
  <c r="DV148" i="1"/>
  <c r="DU148" i="1"/>
  <c r="EF146" i="1"/>
  <c r="EE146" i="1"/>
  <c r="ED146" i="1"/>
  <c r="EB146" i="1"/>
  <c r="EA146" i="1"/>
  <c r="DZ146" i="1"/>
  <c r="DY146" i="1"/>
  <c r="DU146" i="1"/>
  <c r="EF145" i="1"/>
  <c r="EE145" i="1"/>
  <c r="ED145" i="1"/>
  <c r="EC145" i="1"/>
  <c r="EB145" i="1"/>
  <c r="EA145" i="1"/>
  <c r="DZ145" i="1"/>
  <c r="DY145" i="1"/>
  <c r="DX145" i="1"/>
  <c r="DV145" i="1"/>
  <c r="DU145" i="1"/>
  <c r="EF144" i="1"/>
  <c r="EE144" i="1"/>
  <c r="ED144" i="1"/>
  <c r="EC144" i="1"/>
  <c r="EB144" i="1"/>
  <c r="EA144" i="1"/>
  <c r="DZ144" i="1"/>
  <c r="DY144" i="1"/>
  <c r="DX144" i="1"/>
  <c r="DV144" i="1"/>
  <c r="DU144" i="1"/>
  <c r="EF143" i="1"/>
  <c r="EE143" i="1"/>
  <c r="ED143" i="1"/>
  <c r="EC143" i="1"/>
  <c r="EB143" i="1"/>
  <c r="EA143" i="1"/>
  <c r="DZ143" i="1"/>
  <c r="DY143" i="1"/>
  <c r="DX143" i="1"/>
  <c r="DV143" i="1"/>
  <c r="DU143" i="1"/>
  <c r="EF142" i="1"/>
  <c r="EE142" i="1"/>
  <c r="ED142" i="1"/>
  <c r="EC142" i="1"/>
  <c r="EB142" i="1"/>
  <c r="EA142" i="1"/>
  <c r="DZ142" i="1"/>
  <c r="DY142" i="1"/>
  <c r="DX142" i="1"/>
  <c r="DV142" i="1"/>
  <c r="DU142" i="1"/>
  <c r="EF139" i="1"/>
  <c r="EE139" i="1"/>
  <c r="ED139" i="1"/>
  <c r="EC139" i="1"/>
  <c r="DZ139" i="1"/>
  <c r="EF138" i="1"/>
  <c r="EE138" i="1"/>
  <c r="ED138" i="1"/>
  <c r="EC138" i="1"/>
  <c r="EB138" i="1"/>
  <c r="EA138" i="1"/>
  <c r="DZ138" i="1"/>
  <c r="DX138" i="1"/>
  <c r="DW138" i="1"/>
  <c r="DV138" i="1"/>
  <c r="DU138" i="1"/>
  <c r="EE137" i="1"/>
  <c r="ED137" i="1"/>
  <c r="EF136" i="1"/>
  <c r="EE136" i="1"/>
  <c r="ED136" i="1"/>
  <c r="EC136" i="1"/>
  <c r="EB136" i="1"/>
  <c r="EA136" i="1"/>
  <c r="DZ136" i="1"/>
  <c r="DY136" i="1"/>
  <c r="DV136" i="1"/>
  <c r="DU136" i="1"/>
  <c r="ED135" i="1"/>
  <c r="EC135" i="1"/>
  <c r="EB135" i="1"/>
  <c r="EA135" i="1"/>
  <c r="DX135" i="1"/>
  <c r="DW135" i="1"/>
  <c r="DV135" i="1"/>
  <c r="EF134" i="1"/>
  <c r="EE134" i="1"/>
  <c r="ED134" i="1"/>
  <c r="EC134" i="1"/>
  <c r="EB134" i="1"/>
  <c r="EA134" i="1"/>
  <c r="DZ134" i="1"/>
  <c r="DY134" i="1"/>
  <c r="DX134" i="1"/>
  <c r="DV134" i="1"/>
  <c r="EF132" i="1"/>
  <c r="EE132" i="1"/>
  <c r="ED132" i="1"/>
  <c r="EC132" i="1"/>
  <c r="EB132" i="1"/>
  <c r="EA132" i="1"/>
  <c r="DZ132" i="1"/>
  <c r="EA131" i="1"/>
  <c r="EF130" i="1"/>
  <c r="EE130" i="1"/>
  <c r="ED130" i="1"/>
  <c r="DZ130" i="1"/>
  <c r="DX130" i="1"/>
  <c r="EF126" i="1"/>
  <c r="EE126" i="1"/>
  <c r="ED126" i="1"/>
  <c r="EC126" i="1"/>
  <c r="EB126" i="1"/>
  <c r="DY126" i="1"/>
  <c r="DX126" i="1"/>
  <c r="EF123" i="1"/>
  <c r="EE123" i="1"/>
  <c r="ED123" i="1"/>
  <c r="EC123" i="1"/>
  <c r="EB123" i="1"/>
  <c r="DX123" i="1"/>
  <c r="DW123" i="1"/>
  <c r="DU123" i="1"/>
  <c r="EC125" i="1"/>
  <c r="EB125" i="1"/>
  <c r="EA125" i="1"/>
  <c r="DW125" i="1"/>
  <c r="DV125" i="1"/>
  <c r="DU125" i="1"/>
  <c r="EE122" i="1"/>
  <c r="S81" i="36" s="1"/>
  <c r="EB122" i="1"/>
  <c r="P81" i="36" s="1"/>
  <c r="EA122" i="1"/>
  <c r="O81" i="36" s="1"/>
  <c r="DZ122" i="1"/>
  <c r="N81" i="36" s="1"/>
  <c r="DY122" i="1"/>
  <c r="M81" i="36" s="1"/>
  <c r="DW122" i="1"/>
  <c r="K81" i="36" s="1"/>
  <c r="DV122" i="1"/>
  <c r="J81" i="36" s="1"/>
  <c r="DU122" i="1"/>
  <c r="I81" i="36" s="1"/>
  <c r="EF121" i="1"/>
  <c r="EE121" i="1"/>
  <c r="ED121" i="1"/>
  <c r="EC121" i="1"/>
  <c r="EB121" i="1"/>
  <c r="EA121" i="1"/>
  <c r="DZ121" i="1"/>
  <c r="DW121" i="1"/>
  <c r="DU121" i="1"/>
  <c r="EF119" i="1"/>
  <c r="EE119" i="1"/>
  <c r="ED119" i="1"/>
  <c r="EC119" i="1"/>
  <c r="EB119" i="1"/>
  <c r="DZ119" i="1"/>
  <c r="DY119" i="1"/>
  <c r="DX119" i="1"/>
  <c r="DW119" i="1"/>
  <c r="DV119" i="1"/>
  <c r="DU119" i="1"/>
  <c r="EF118" i="1"/>
  <c r="EE118" i="1"/>
  <c r="ED118" i="1"/>
  <c r="EC118" i="1"/>
  <c r="EB118" i="1"/>
  <c r="EA118" i="1"/>
  <c r="DY118" i="1"/>
  <c r="DX118" i="1"/>
  <c r="DW118" i="1"/>
  <c r="DV118" i="1"/>
  <c r="EF117" i="1"/>
  <c r="EE117" i="1"/>
  <c r="ED117" i="1"/>
  <c r="EC117" i="1"/>
  <c r="EB117" i="1"/>
  <c r="DY117" i="1"/>
  <c r="DX117" i="1"/>
  <c r="DV117" i="1"/>
  <c r="DU117" i="1"/>
  <c r="EF116" i="1"/>
  <c r="EE116" i="1"/>
  <c r="ED116" i="1"/>
  <c r="EC116" i="1"/>
  <c r="EB116" i="1"/>
  <c r="EA116" i="1"/>
  <c r="DY116" i="1"/>
  <c r="DX116" i="1"/>
  <c r="DW116" i="1"/>
  <c r="DU116" i="1"/>
  <c r="EE114" i="1"/>
  <c r="ED114" i="1"/>
  <c r="EC114" i="1"/>
  <c r="EB114" i="1"/>
  <c r="DX114" i="1"/>
  <c r="DV114" i="1"/>
  <c r="EF95" i="1"/>
  <c r="ED95" i="1"/>
  <c r="EC95" i="1"/>
  <c r="EB95" i="1"/>
  <c r="EA95" i="1"/>
  <c r="DZ95" i="1"/>
  <c r="DY95" i="1"/>
  <c r="DV95" i="1"/>
  <c r="EF94" i="1"/>
  <c r="ED94" i="1"/>
  <c r="EC94" i="1"/>
  <c r="EB94" i="1"/>
  <c r="EA94" i="1"/>
  <c r="DX94" i="1"/>
  <c r="DU94" i="1"/>
  <c r="EF93" i="1"/>
  <c r="ED93" i="1"/>
  <c r="EC93" i="1"/>
  <c r="EB93" i="1"/>
  <c r="EA93" i="1"/>
  <c r="DZ93" i="1"/>
  <c r="DY93" i="1"/>
  <c r="DX93" i="1"/>
  <c r="DW93" i="1"/>
  <c r="DU93" i="1"/>
  <c r="ED92" i="1"/>
  <c r="EC92" i="1"/>
  <c r="EB92" i="1"/>
  <c r="DU92" i="1"/>
  <c r="EF91" i="1"/>
  <c r="ED91" i="1"/>
  <c r="EC91" i="1"/>
  <c r="EB91" i="1"/>
  <c r="EA91" i="1"/>
  <c r="DY91" i="1"/>
  <c r="DX91" i="1"/>
  <c r="DW91" i="1"/>
  <c r="DV91" i="1"/>
  <c r="EF88" i="1"/>
  <c r="EE88" i="1"/>
  <c r="ED88" i="1"/>
  <c r="EC88" i="1"/>
  <c r="EB88" i="1"/>
  <c r="DZ88" i="1"/>
  <c r="DY88" i="1"/>
  <c r="DW88" i="1"/>
  <c r="DV88" i="1"/>
  <c r="DU88" i="1"/>
  <c r="EF87" i="1"/>
  <c r="EE87" i="1"/>
  <c r="EC87" i="1"/>
  <c r="EB87" i="1"/>
  <c r="EA87" i="1"/>
  <c r="DZ87" i="1"/>
  <c r="DX87" i="1"/>
  <c r="DV87" i="1"/>
  <c r="DU87" i="1"/>
  <c r="EF86" i="1"/>
  <c r="EE86" i="1"/>
  <c r="EB86" i="1"/>
  <c r="DY86" i="1"/>
  <c r="DX86" i="1"/>
  <c r="DW86" i="1"/>
  <c r="DV86" i="1"/>
  <c r="DU86" i="1"/>
  <c r="EF84" i="1"/>
  <c r="EE84" i="1"/>
  <c r="ED84" i="1"/>
  <c r="EB84" i="1"/>
  <c r="EA84" i="1"/>
  <c r="DZ84" i="1"/>
  <c r="DX84" i="1"/>
  <c r="DW84" i="1"/>
  <c r="DV84" i="1"/>
  <c r="DU84" i="1"/>
  <c r="EF83" i="1"/>
  <c r="EE83" i="1"/>
  <c r="ED83" i="1"/>
  <c r="EC83" i="1"/>
  <c r="EB83" i="1"/>
  <c r="EA83" i="1"/>
  <c r="DZ83" i="1"/>
  <c r="DX83" i="1"/>
  <c r="DV83" i="1"/>
  <c r="DU83" i="1"/>
  <c r="EF61" i="1"/>
  <c r="EE61" i="1"/>
  <c r="ED61" i="1"/>
  <c r="EC61" i="1"/>
  <c r="EB61" i="1"/>
  <c r="DZ61" i="1"/>
  <c r="DX61" i="1"/>
  <c r="DV61" i="1"/>
  <c r="DU61" i="1"/>
  <c r="EF82" i="1"/>
  <c r="EE82" i="1"/>
  <c r="EC82" i="1"/>
  <c r="EB82" i="1"/>
  <c r="DZ82" i="1"/>
  <c r="DX82" i="1"/>
  <c r="DW82" i="1"/>
  <c r="DU82" i="1"/>
  <c r="ED81" i="1"/>
  <c r="EC81" i="1"/>
  <c r="EB81" i="1"/>
  <c r="EA81" i="1"/>
  <c r="DZ81" i="1"/>
  <c r="DY81" i="1"/>
  <c r="DX81" i="1"/>
  <c r="DW81" i="1"/>
  <c r="DV81" i="1"/>
  <c r="DU81" i="1"/>
  <c r="EF79" i="1"/>
  <c r="EC79" i="1"/>
  <c r="EB79" i="1"/>
  <c r="EA79" i="1"/>
  <c r="DZ79" i="1"/>
  <c r="DY79" i="1"/>
  <c r="DX79" i="1"/>
  <c r="DW79" i="1"/>
  <c r="DV79" i="1"/>
  <c r="DU79" i="1"/>
  <c r="EF78" i="1"/>
  <c r="EE78" i="1"/>
  <c r="ED78" i="1"/>
  <c r="EC78" i="1"/>
  <c r="EB78" i="1"/>
  <c r="EA78" i="1"/>
  <c r="DZ78" i="1"/>
  <c r="DW78" i="1"/>
  <c r="DV78" i="1"/>
  <c r="DU78" i="1"/>
  <c r="EF77" i="1"/>
  <c r="EE77" i="1"/>
  <c r="ED77" i="1"/>
  <c r="EC77" i="1"/>
  <c r="EA77" i="1"/>
  <c r="DZ77" i="1"/>
  <c r="DY77" i="1"/>
  <c r="DX77" i="1"/>
  <c r="DW77" i="1"/>
  <c r="DU77" i="1"/>
  <c r="EF76" i="1"/>
  <c r="EE76" i="1"/>
  <c r="ED76" i="1"/>
  <c r="EC76" i="1"/>
  <c r="EB76" i="1"/>
  <c r="EA76" i="1"/>
  <c r="DZ76" i="1"/>
  <c r="DY76" i="1"/>
  <c r="DX76" i="1"/>
  <c r="DW76" i="1"/>
  <c r="DU76" i="1"/>
  <c r="EF75" i="1"/>
  <c r="EE75" i="1"/>
  <c r="ED75" i="1"/>
  <c r="EC75" i="1"/>
  <c r="EB75" i="1"/>
  <c r="EA75" i="1"/>
  <c r="DY75" i="1"/>
  <c r="DV75" i="1"/>
  <c r="DU75" i="1"/>
  <c r="EF74" i="1"/>
  <c r="AQ117" i="48"/>
  <c r="EE74" i="1"/>
  <c r="AP117" i="48"/>
  <c r="ED74" i="1"/>
  <c r="AO117" i="48"/>
  <c r="EC74" i="1"/>
  <c r="AN117" i="48"/>
  <c r="EB74" i="1"/>
  <c r="AM117" i="48"/>
  <c r="EA74" i="1"/>
  <c r="AL117" i="48"/>
  <c r="DZ74" i="1"/>
  <c r="AK117" i="48"/>
  <c r="DX74" i="1"/>
  <c r="AI117" i="48"/>
  <c r="DW74" i="1"/>
  <c r="DV74" i="1"/>
  <c r="DU74" i="1"/>
  <c r="AF117" i="48"/>
  <c r="EF73" i="1"/>
  <c r="EC73" i="1"/>
  <c r="EB73" i="1"/>
  <c r="EA73" i="1"/>
  <c r="DZ73" i="1"/>
  <c r="DY73" i="1"/>
  <c r="DX73" i="1"/>
  <c r="DW73" i="1"/>
  <c r="DV73" i="1"/>
  <c r="DU73" i="1"/>
  <c r="EF71" i="1"/>
  <c r="AQ120" i="48" s="1"/>
  <c r="EE71" i="1"/>
  <c r="AP120" i="48" s="1"/>
  <c r="ED71" i="1"/>
  <c r="AO120" i="48" s="1"/>
  <c r="EC71" i="1"/>
  <c r="AN120" i="48" s="1"/>
  <c r="EB71" i="1"/>
  <c r="AM120" i="48" s="1"/>
  <c r="EA71" i="1"/>
  <c r="DZ71" i="1"/>
  <c r="AK120" i="48" s="1"/>
  <c r="DY71" i="1"/>
  <c r="AJ120" i="48" s="1"/>
  <c r="DX71" i="1"/>
  <c r="AI120" i="48" s="1"/>
  <c r="DV71" i="1"/>
  <c r="AG120" i="48" s="1"/>
  <c r="DU71" i="1"/>
  <c r="AF120" i="48" s="1"/>
  <c r="EF70" i="1"/>
  <c r="EE70" i="1"/>
  <c r="ED70" i="1"/>
  <c r="EC70" i="1"/>
  <c r="EB70" i="1"/>
  <c r="EA70" i="1"/>
  <c r="DZ70" i="1"/>
  <c r="DY70" i="1"/>
  <c r="DX70" i="1"/>
  <c r="DV70" i="1"/>
  <c r="DU70" i="1"/>
  <c r="EF68" i="1"/>
  <c r="EE68" i="1"/>
  <c r="ED68" i="1"/>
  <c r="EC68" i="1"/>
  <c r="DZ68" i="1"/>
  <c r="DY68" i="1"/>
  <c r="DX68" i="1"/>
  <c r="DW68" i="1"/>
  <c r="DV68" i="1"/>
  <c r="DU68" i="1"/>
  <c r="EF67" i="1"/>
  <c r="EE67" i="1"/>
  <c r="ED67" i="1"/>
  <c r="EC67" i="1"/>
  <c r="EB67" i="1"/>
  <c r="EA67" i="1"/>
  <c r="DZ67" i="1"/>
  <c r="DY67" i="1"/>
  <c r="DX67" i="1"/>
  <c r="DW67" i="1"/>
  <c r="DV67" i="1"/>
  <c r="EF66" i="1"/>
  <c r="EE66" i="1"/>
  <c r="ED66" i="1"/>
  <c r="EC66" i="1"/>
  <c r="EB66" i="1"/>
  <c r="EA66" i="1"/>
  <c r="DZ66" i="1"/>
  <c r="DY66" i="1"/>
  <c r="DX66" i="1"/>
  <c r="DW66" i="1"/>
  <c r="DU66" i="1"/>
  <c r="EF65" i="1"/>
  <c r="EE65" i="1"/>
  <c r="ED65" i="1"/>
  <c r="EC65" i="1"/>
  <c r="EB65" i="1"/>
  <c r="EA65" i="1"/>
  <c r="DZ65" i="1"/>
  <c r="DY65" i="1"/>
  <c r="DX65" i="1"/>
  <c r="DX55" i="1"/>
  <c r="DW65" i="1"/>
  <c r="DU65" i="1"/>
  <c r="EF64" i="1"/>
  <c r="EE64" i="1"/>
  <c r="ED64" i="1"/>
  <c r="EC64" i="1"/>
  <c r="EA64" i="1"/>
  <c r="DZ64" i="1"/>
  <c r="DY64" i="1"/>
  <c r="DX64" i="1"/>
  <c r="DW64" i="1"/>
  <c r="DV64" i="1"/>
  <c r="DU64" i="1"/>
  <c r="EF63" i="1"/>
  <c r="EE63" i="1"/>
  <c r="EC63" i="1"/>
  <c r="EB63" i="1"/>
  <c r="EA63" i="1"/>
  <c r="DY63" i="1"/>
  <c r="DW63" i="1"/>
  <c r="DU63" i="1"/>
  <c r="EF62" i="1"/>
  <c r="EE62" i="1"/>
  <c r="EC62" i="1"/>
  <c r="EB62" i="1"/>
  <c r="EA62" i="1"/>
  <c r="DZ62" i="1"/>
  <c r="DY62" i="1"/>
  <c r="DX62" i="1"/>
  <c r="DW62" i="1"/>
  <c r="DU62" i="1"/>
  <c r="EF60" i="1"/>
  <c r="EE60" i="1"/>
  <c r="ED60" i="1"/>
  <c r="EC60" i="1"/>
  <c r="EA60" i="1"/>
  <c r="DZ60" i="1"/>
  <c r="DY60" i="1"/>
  <c r="DX60" i="1"/>
  <c r="DW60" i="1"/>
  <c r="DU60" i="1"/>
  <c r="EF59" i="1"/>
  <c r="EE59" i="1"/>
  <c r="ED59" i="1"/>
  <c r="EC59" i="1"/>
  <c r="EA59" i="1"/>
  <c r="DZ59" i="1"/>
  <c r="DX59" i="1"/>
  <c r="DW59" i="1"/>
  <c r="DV59" i="1"/>
  <c r="DU59" i="1"/>
  <c r="EF57" i="1"/>
  <c r="ED57" i="1"/>
  <c r="EA57" i="1"/>
  <c r="DW57" i="1"/>
  <c r="EF56" i="1"/>
  <c r="EE56" i="1"/>
  <c r="ED56" i="1"/>
  <c r="EC56" i="1"/>
  <c r="EA56" i="1"/>
  <c r="DZ56" i="1"/>
  <c r="DY56" i="1"/>
  <c r="DX56" i="1"/>
  <c r="DW56" i="1"/>
  <c r="DV56" i="1"/>
  <c r="DU56" i="1"/>
  <c r="EF55" i="1"/>
  <c r="EE55" i="1"/>
  <c r="ED55" i="1"/>
  <c r="EC55" i="1"/>
  <c r="EB55" i="1"/>
  <c r="EA55" i="1"/>
  <c r="DZ55" i="1"/>
  <c r="DY55" i="1"/>
  <c r="DW55" i="1"/>
  <c r="DV55" i="1"/>
  <c r="DU55" i="1"/>
  <c r="EF52" i="1"/>
  <c r="EE52" i="1"/>
  <c r="ED52" i="1"/>
  <c r="EC52" i="1"/>
  <c r="EB52" i="1"/>
  <c r="EA52" i="1"/>
  <c r="DZ52" i="1"/>
  <c r="DY52" i="1"/>
  <c r="DW52" i="1"/>
  <c r="DV52" i="1"/>
  <c r="DU52" i="1"/>
  <c r="EF51" i="1"/>
  <c r="EE51" i="1"/>
  <c r="EC51" i="1"/>
  <c r="EA51" i="1"/>
  <c r="DY51" i="1"/>
  <c r="EF50" i="1"/>
  <c r="EE50" i="1"/>
  <c r="ED50" i="1"/>
  <c r="EC50" i="1"/>
  <c r="EB50" i="1"/>
  <c r="DZ50" i="1"/>
  <c r="DY50" i="1"/>
  <c r="DX50" i="1"/>
  <c r="DW50" i="1"/>
  <c r="DV50" i="1"/>
  <c r="ED49" i="1"/>
  <c r="EC49" i="1"/>
  <c r="EB49" i="1"/>
  <c r="DV49" i="1"/>
  <c r="EE48" i="1"/>
  <c r="EC48" i="1"/>
  <c r="EB48" i="1"/>
  <c r="EA48" i="1"/>
  <c r="DZ48" i="1"/>
  <c r="DY48" i="1"/>
  <c r="DX48" i="1"/>
  <c r="DW48" i="1"/>
  <c r="DV48" i="1"/>
  <c r="DU48" i="1"/>
  <c r="EF47" i="1"/>
  <c r="EE47" i="1"/>
  <c r="ED47" i="1"/>
  <c r="EC47" i="1"/>
  <c r="EB47" i="1"/>
  <c r="EA47" i="1"/>
  <c r="DZ47" i="1"/>
  <c r="DX47" i="1"/>
  <c r="DW47" i="1"/>
  <c r="DV47" i="1"/>
  <c r="DU47" i="1"/>
  <c r="EF46" i="1"/>
  <c r="EE46" i="1"/>
  <c r="ED46" i="1"/>
  <c r="EC46" i="1"/>
  <c r="EB46" i="1"/>
  <c r="EA46" i="1"/>
  <c r="DZ46" i="1"/>
  <c r="DY46" i="1"/>
  <c r="DX46" i="1"/>
  <c r="DW46" i="1"/>
  <c r="DV46" i="1"/>
  <c r="EF45" i="1"/>
  <c r="EE45" i="1"/>
  <c r="ED45" i="1"/>
  <c r="EC45" i="1"/>
  <c r="EB45" i="1"/>
  <c r="EA45" i="1"/>
  <c r="DZ45" i="1"/>
  <c r="DY45" i="1"/>
  <c r="DX45" i="1"/>
  <c r="DW45" i="1"/>
  <c r="DV45" i="1"/>
  <c r="ED44" i="1"/>
  <c r="DZ44" i="1"/>
  <c r="EF42" i="1"/>
  <c r="EA42" i="1"/>
  <c r="DZ42" i="1"/>
  <c r="DX42" i="1"/>
  <c r="EF41" i="1"/>
  <c r="ED41" i="1"/>
  <c r="EC41" i="1"/>
  <c r="EB41" i="1"/>
  <c r="EA41" i="1"/>
  <c r="DY41" i="1"/>
  <c r="DW41" i="1"/>
  <c r="EF40" i="1"/>
  <c r="EE40" i="1"/>
  <c r="EC40" i="1"/>
  <c r="EF39" i="1"/>
  <c r="EE39" i="1"/>
  <c r="ED39" i="1"/>
  <c r="EC39" i="1"/>
  <c r="DX39" i="1"/>
  <c r="EF38" i="1"/>
  <c r="EE38" i="1"/>
  <c r="ED38" i="1"/>
  <c r="EC38" i="1"/>
  <c r="EB38" i="1"/>
  <c r="EA38" i="1"/>
  <c r="DZ38" i="1"/>
  <c r="DU38" i="1"/>
  <c r="EF37" i="1"/>
  <c r="EC37" i="1"/>
  <c r="EA37" i="1"/>
  <c r="DZ37" i="1"/>
  <c r="ED36" i="1"/>
  <c r="EC36" i="1"/>
  <c r="EB36" i="1"/>
  <c r="EA36" i="1"/>
  <c r="DZ36" i="1"/>
  <c r="DY36" i="1"/>
  <c r="DX36" i="1"/>
  <c r="DV36" i="1"/>
  <c r="DU36" i="1"/>
  <c r="EF35" i="1"/>
  <c r="EE35" i="1"/>
  <c r="EC35" i="1"/>
  <c r="EA35" i="1"/>
  <c r="DZ35" i="1"/>
  <c r="DX35" i="1"/>
  <c r="DV35" i="1"/>
  <c r="DU35" i="1"/>
  <c r="DX32" i="1"/>
  <c r="L64" i="36" s="1"/>
  <c r="EF31" i="1"/>
  <c r="EE31" i="1"/>
  <c r="ED31" i="1"/>
  <c r="EC31" i="1"/>
  <c r="EB31" i="1"/>
  <c r="DZ31" i="1"/>
  <c r="DY31" i="1"/>
  <c r="DW31" i="1"/>
  <c r="DV31" i="1"/>
  <c r="DU31" i="1"/>
  <c r="EF30" i="1"/>
  <c r="EE30" i="1"/>
  <c r="ED30" i="1"/>
  <c r="EB30" i="1"/>
  <c r="EA30" i="1"/>
  <c r="DZ30" i="1"/>
  <c r="DY30" i="1"/>
  <c r="DX30" i="1"/>
  <c r="DW30" i="1"/>
  <c r="DV30" i="1"/>
  <c r="DU30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EF26" i="1"/>
  <c r="EE26" i="1"/>
  <c r="ED26" i="1"/>
  <c r="EB26" i="1"/>
  <c r="EA26" i="1"/>
  <c r="DZ26" i="1"/>
  <c r="DY26" i="1"/>
  <c r="DX26" i="1"/>
  <c r="DW26" i="1"/>
  <c r="DU26" i="1"/>
  <c r="EF25" i="1"/>
  <c r="EE25" i="1"/>
  <c r="ED25" i="1"/>
  <c r="EB25" i="1"/>
  <c r="DZ25" i="1"/>
  <c r="DW25" i="1"/>
  <c r="DU25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EF23" i="1"/>
  <c r="EE23" i="1"/>
  <c r="ED23" i="1"/>
  <c r="EB23" i="1"/>
  <c r="EA23" i="1"/>
  <c r="DX23" i="1"/>
  <c r="DW23" i="1"/>
  <c r="DV23" i="1"/>
  <c r="DU23" i="1"/>
  <c r="EF22" i="1"/>
  <c r="EE22" i="1"/>
  <c r="ED22" i="1"/>
  <c r="EB22" i="1"/>
  <c r="EA22" i="1"/>
  <c r="DZ22" i="1"/>
  <c r="DX22" i="1"/>
  <c r="DV22" i="1"/>
  <c r="DU22" i="1"/>
  <c r="EF21" i="1"/>
  <c r="AQ118" i="48" s="1"/>
  <c r="EE21" i="1"/>
  <c r="S68" i="36" s="1"/>
  <c r="ED21" i="1"/>
  <c r="R68" i="36" s="1"/>
  <c r="EC21" i="1"/>
  <c r="AN118" i="48" s="1"/>
  <c r="EB21" i="1"/>
  <c r="P68" i="36" s="1"/>
  <c r="EA21" i="1"/>
  <c r="O68" i="36" s="1"/>
  <c r="DZ21" i="1"/>
  <c r="N68" i="36" s="1"/>
  <c r="DV21" i="1"/>
  <c r="J68" i="36" s="1"/>
  <c r="DU21" i="1"/>
  <c r="AF118" i="48" s="1"/>
  <c r="EF20" i="1"/>
  <c r="AQ110" i="48" s="1"/>
  <c r="EE20" i="1"/>
  <c r="AP110" i="48" s="1"/>
  <c r="DY20" i="1"/>
  <c r="M65" i="36" s="1"/>
  <c r="DX20" i="1"/>
  <c r="L65" i="36" s="1"/>
  <c r="DW20" i="1"/>
  <c r="AH110" i="48" s="1"/>
  <c r="DV20" i="1"/>
  <c r="AG110" i="48" s="1"/>
  <c r="DU20" i="1"/>
  <c r="I65" i="36" s="1"/>
  <c r="EF19" i="1"/>
  <c r="EE19" i="1"/>
  <c r="ED19" i="1"/>
  <c r="EC19" i="1"/>
  <c r="EA19" i="1"/>
  <c r="DZ19" i="1"/>
  <c r="DY19" i="1"/>
  <c r="DX19" i="1"/>
  <c r="DV19" i="1"/>
  <c r="DU19" i="1"/>
  <c r="EF18" i="1"/>
  <c r="EE18" i="1"/>
  <c r="EC18" i="1"/>
  <c r="EB18" i="1"/>
  <c r="EA18" i="1"/>
  <c r="DY18" i="1"/>
  <c r="DX18" i="1"/>
  <c r="DW18" i="1"/>
  <c r="EF16" i="1"/>
  <c r="EE16" i="1"/>
  <c r="ED16" i="1"/>
  <c r="EC16" i="1"/>
  <c r="EB16" i="1"/>
  <c r="EA16" i="1"/>
  <c r="DY16" i="1"/>
  <c r="DX16" i="1"/>
  <c r="DW16" i="1"/>
  <c r="DV16" i="1"/>
  <c r="EF15" i="1"/>
  <c r="ED15" i="1"/>
  <c r="EC15" i="1"/>
  <c r="EB15" i="1"/>
  <c r="EA15" i="1"/>
  <c r="DY15" i="1"/>
  <c r="DX15" i="1"/>
  <c r="DW15" i="1"/>
  <c r="DV15" i="1"/>
  <c r="DU15" i="1"/>
  <c r="EF14" i="1"/>
  <c r="EE14" i="1"/>
  <c r="ED14" i="1"/>
  <c r="EC14" i="1"/>
  <c r="EB14" i="1"/>
  <c r="DY14" i="1"/>
  <c r="DX14" i="1"/>
  <c r="DW14" i="1"/>
  <c r="DV14" i="1"/>
  <c r="DU14" i="1"/>
  <c r="EF13" i="1"/>
  <c r="T73" i="36" s="1"/>
  <c r="EE13" i="1"/>
  <c r="S73" i="36" s="1"/>
  <c r="EB13" i="1"/>
  <c r="P73" i="36" s="1"/>
  <c r="DU13" i="1"/>
  <c r="I73" i="36" s="1"/>
  <c r="EF12" i="1"/>
  <c r="EE12" i="1"/>
  <c r="ED12" i="1"/>
  <c r="EC12" i="1"/>
  <c r="EB12" i="1"/>
  <c r="EA12" i="1"/>
  <c r="DZ12" i="1"/>
  <c r="DY12" i="1"/>
  <c r="DX12" i="1"/>
  <c r="DW12" i="1"/>
  <c r="DV12" i="1"/>
  <c r="DU12" i="1"/>
  <c r="EF11" i="1"/>
  <c r="EE11" i="1"/>
  <c r="ED11" i="1"/>
  <c r="EC11" i="1"/>
  <c r="EA11" i="1"/>
  <c r="DZ11" i="1"/>
  <c r="DY11" i="1"/>
  <c r="DX11" i="1"/>
  <c r="DW11" i="1"/>
  <c r="DV11" i="1"/>
  <c r="EF10" i="1"/>
  <c r="EE10" i="1"/>
  <c r="ED10" i="1"/>
  <c r="EC10" i="1"/>
  <c r="EA10" i="1"/>
  <c r="DZ10" i="1"/>
  <c r="DY10" i="1"/>
  <c r="DX10" i="1"/>
  <c r="DW10" i="1"/>
  <c r="DV10" i="1"/>
  <c r="DU10" i="1"/>
  <c r="ED9" i="1"/>
  <c r="EF8" i="1"/>
  <c r="EE8" i="1"/>
  <c r="ED8" i="1"/>
  <c r="EC8" i="1"/>
  <c r="EB8" i="1"/>
  <c r="EA8" i="1"/>
  <c r="DZ8" i="1"/>
  <c r="DX8" i="1"/>
  <c r="DU8" i="1"/>
  <c r="EF7" i="1"/>
  <c r="EE7" i="1"/>
  <c r="ED7" i="1"/>
  <c r="EC7" i="1"/>
  <c r="EB7" i="1"/>
  <c r="EA7" i="1"/>
  <c r="DZ7" i="1"/>
  <c r="DY7" i="1"/>
  <c r="DX7" i="1"/>
  <c r="DW7" i="1"/>
  <c r="DV7" i="1"/>
  <c r="DZ71" i="8"/>
  <c r="EN71" i="8" s="1"/>
  <c r="DY71" i="8"/>
  <c r="EM71" i="8" s="1"/>
  <c r="DX71" i="8"/>
  <c r="EL71" i="8" s="1"/>
  <c r="DW71" i="8"/>
  <c r="EK71" i="8" s="1"/>
  <c r="DV71" i="8"/>
  <c r="EJ71" i="8" s="1"/>
  <c r="DU71" i="8"/>
  <c r="EI71" i="8" s="1"/>
  <c r="DT71" i="8"/>
  <c r="EH71" i="8" s="1"/>
  <c r="DS71" i="8"/>
  <c r="EG71" i="8" s="1"/>
  <c r="DR71" i="8"/>
  <c r="EF71" i="8" s="1"/>
  <c r="DQ71" i="8"/>
  <c r="EE71" i="8" s="1"/>
  <c r="DP71" i="8"/>
  <c r="ED71" i="8" s="1"/>
  <c r="DO71" i="8"/>
  <c r="EC71" i="8" s="1"/>
  <c r="DZ70" i="8"/>
  <c r="DY70" i="8"/>
  <c r="DX70" i="8"/>
  <c r="DW70" i="8"/>
  <c r="DV70" i="8"/>
  <c r="DU70" i="8"/>
  <c r="DT70" i="8"/>
  <c r="DS70" i="8"/>
  <c r="DR70" i="8"/>
  <c r="DQ70" i="8"/>
  <c r="DP70" i="8"/>
  <c r="DO70" i="8"/>
  <c r="DZ69" i="8"/>
  <c r="DY69" i="8"/>
  <c r="DX69" i="8"/>
  <c r="DW69" i="8"/>
  <c r="DV69" i="8"/>
  <c r="DY67" i="8"/>
  <c r="DX67" i="8"/>
  <c r="DW67" i="8"/>
  <c r="DU67" i="8"/>
  <c r="DT67" i="8"/>
  <c r="DS67" i="8"/>
  <c r="DR67" i="8"/>
  <c r="DQ67" i="8"/>
  <c r="DP67" i="8"/>
  <c r="DO67" i="8"/>
  <c r="DY65" i="8"/>
  <c r="DX65" i="8"/>
  <c r="DW65" i="8"/>
  <c r="DS65" i="8"/>
  <c r="DR65" i="8"/>
  <c r="DO65" i="8"/>
  <c r="DZ64" i="8"/>
  <c r="DY64" i="8"/>
  <c r="DX64" i="8"/>
  <c r="DW64" i="8"/>
  <c r="DU64" i="8"/>
  <c r="DT64" i="8"/>
  <c r="DS64" i="8"/>
  <c r="DQ64" i="8"/>
  <c r="DO64" i="8"/>
  <c r="DZ63" i="8"/>
  <c r="DY63" i="8"/>
  <c r="DX63" i="8"/>
  <c r="DW63" i="8"/>
  <c r="DU63" i="8"/>
  <c r="DT63" i="8"/>
  <c r="DS63" i="8"/>
  <c r="DR63" i="8"/>
  <c r="DO63" i="8"/>
  <c r="DZ62" i="8"/>
  <c r="DW62" i="8"/>
  <c r="DV62" i="8"/>
  <c r="DT62" i="8"/>
  <c r="DS62" i="8"/>
  <c r="DR62" i="8"/>
  <c r="DQ62" i="8"/>
  <c r="DO62" i="8"/>
  <c r="DZ61" i="8"/>
  <c r="DY61" i="8"/>
  <c r="DX61" i="8"/>
  <c r="DV61" i="8"/>
  <c r="DT61" i="8"/>
  <c r="DS61" i="8"/>
  <c r="DR61" i="8"/>
  <c r="DP61" i="8"/>
  <c r="DO61" i="8"/>
  <c r="DZ60" i="8"/>
  <c r="DY60" i="8"/>
  <c r="DW60" i="8"/>
  <c r="DT60" i="8"/>
  <c r="DS60" i="8"/>
  <c r="DO60" i="8"/>
  <c r="DZ57" i="8"/>
  <c r="DY57" i="8"/>
  <c r="DV57" i="8"/>
  <c r="DU57" i="8"/>
  <c r="DS57" i="8"/>
  <c r="DP57" i="8"/>
  <c r="DO57" i="8"/>
  <c r="DZ55" i="8"/>
  <c r="DY55" i="8"/>
  <c r="DW55" i="8"/>
  <c r="DV55" i="8"/>
  <c r="DU55" i="8"/>
  <c r="DO55" i="8"/>
  <c r="DV54" i="8"/>
  <c r="DU54" i="8"/>
  <c r="DT54" i="8"/>
  <c r="DW53" i="8"/>
  <c r="DV53" i="8"/>
  <c r="DZ52" i="8"/>
  <c r="DX52" i="8"/>
  <c r="DW52" i="8"/>
  <c r="DV52" i="8"/>
  <c r="DZ50" i="8"/>
  <c r="DY50" i="8"/>
  <c r="DX50" i="8"/>
  <c r="DW50" i="8"/>
  <c r="DV50" i="8"/>
  <c r="DU50" i="8"/>
  <c r="DQ50" i="8"/>
  <c r="DP50" i="8"/>
  <c r="DO50" i="8"/>
  <c r="DZ49" i="8"/>
  <c r="DX49" i="8"/>
  <c r="DW49" i="8"/>
  <c r="DV49" i="8"/>
  <c r="DU49" i="8"/>
  <c r="DT49" i="8"/>
  <c r="DS49" i="8"/>
  <c r="DQ49" i="8"/>
  <c r="DO49" i="8"/>
  <c r="DX46" i="8"/>
  <c r="DW46" i="8"/>
  <c r="DV46" i="8"/>
  <c r="DW45" i="8"/>
  <c r="DW44" i="8"/>
  <c r="DT44" i="8"/>
  <c r="DQ44" i="8"/>
  <c r="DZ43" i="8"/>
  <c r="DY43" i="8"/>
  <c r="DX43" i="8"/>
  <c r="DW43" i="8"/>
  <c r="DV43" i="8"/>
  <c r="DQ43" i="8"/>
  <c r="DP43" i="8"/>
  <c r="DZ42" i="8"/>
  <c r="DX42" i="8"/>
  <c r="DW42" i="8"/>
  <c r="DT42" i="8"/>
  <c r="DS42" i="8"/>
  <c r="DR42" i="8"/>
  <c r="DP42" i="8"/>
  <c r="DZ40" i="8"/>
  <c r="EN40" i="8" s="1"/>
  <c r="DY40" i="8"/>
  <c r="EM40" i="8" s="1"/>
  <c r="DX40" i="8"/>
  <c r="EL40" i="8" s="1"/>
  <c r="DW40" i="8"/>
  <c r="EK40" i="8" s="1"/>
  <c r="DV40" i="8"/>
  <c r="EJ40" i="8" s="1"/>
  <c r="DU40" i="8"/>
  <c r="EI40" i="8" s="1"/>
  <c r="DT40" i="8"/>
  <c r="EH40" i="8" s="1"/>
  <c r="DS40" i="8"/>
  <c r="EG40" i="8" s="1"/>
  <c r="DR40" i="8"/>
  <c r="EF40" i="8" s="1"/>
  <c r="DQ40" i="8"/>
  <c r="EE40" i="8" s="1"/>
  <c r="DP40" i="8"/>
  <c r="ED40" i="8" s="1"/>
  <c r="DO40" i="8"/>
  <c r="EC40" i="8" s="1"/>
  <c r="DY39" i="8"/>
  <c r="DX39" i="8"/>
  <c r="DW39" i="8"/>
  <c r="DV39" i="8"/>
  <c r="DZ38" i="8"/>
  <c r="DY38" i="8"/>
  <c r="DX38" i="8"/>
  <c r="DV38" i="8"/>
  <c r="DS38" i="8"/>
  <c r="DO38" i="8"/>
  <c r="DZ37" i="8"/>
  <c r="DY37" i="8"/>
  <c r="DX37" i="8"/>
  <c r="DW37" i="8"/>
  <c r="DV37" i="8"/>
  <c r="DU37" i="8"/>
  <c r="DT37" i="8"/>
  <c r="DS37" i="8"/>
  <c r="DR37" i="8"/>
  <c r="DP37" i="8"/>
  <c r="DO37" i="8"/>
  <c r="DZ36" i="8"/>
  <c r="DY36" i="8"/>
  <c r="DX36" i="8"/>
  <c r="DW36" i="8"/>
  <c r="DV36" i="8"/>
  <c r="DU36" i="8"/>
  <c r="DS36" i="8"/>
  <c r="DP36" i="8"/>
  <c r="DO36" i="8"/>
  <c r="DZ35" i="8"/>
  <c r="DY35" i="8"/>
  <c r="DX35" i="8"/>
  <c r="DW35" i="8"/>
  <c r="DV35" i="8"/>
  <c r="DU35" i="8"/>
  <c r="DS35" i="8"/>
  <c r="DR35" i="8"/>
  <c r="DP35" i="8"/>
  <c r="DO35" i="8"/>
  <c r="DX33" i="8"/>
  <c r="DR33" i="8"/>
  <c r="DZ32" i="8"/>
  <c r="DX32" i="8"/>
  <c r="DV32" i="8"/>
  <c r="DU32" i="8"/>
  <c r="DT32" i="8"/>
  <c r="DS32" i="8"/>
  <c r="DR32" i="8"/>
  <c r="DP32" i="8"/>
  <c r="DU31" i="8"/>
  <c r="DZ27" i="8"/>
  <c r="DY27" i="8"/>
  <c r="DX27" i="8"/>
  <c r="DW27" i="8"/>
  <c r="DV27" i="8"/>
  <c r="DS27" i="8"/>
  <c r="DR27" i="8"/>
  <c r="DV26" i="8"/>
  <c r="DQ26" i="8"/>
  <c r="DO26" i="8"/>
  <c r="DZ25" i="8"/>
  <c r="DY25" i="8"/>
  <c r="DX25" i="8"/>
  <c r="DW25" i="8"/>
  <c r="DV25" i="8"/>
  <c r="DU25" i="8"/>
  <c r="DT25" i="8"/>
  <c r="DQ25" i="8"/>
  <c r="DO25" i="8"/>
  <c r="DZ24" i="8"/>
  <c r="DY24" i="8"/>
  <c r="DX24" i="8"/>
  <c r="DW24" i="8"/>
  <c r="DV24" i="8"/>
  <c r="DU24" i="8"/>
  <c r="DT24" i="8"/>
  <c r="DS24" i="8"/>
  <c r="DR24" i="8"/>
  <c r="DZ23" i="8"/>
  <c r="DY23" i="8"/>
  <c r="DX23" i="8"/>
  <c r="DW23" i="8"/>
  <c r="DV23" i="8"/>
  <c r="DU23" i="8"/>
  <c r="DT23" i="8"/>
  <c r="DS23" i="8"/>
  <c r="DR23" i="8"/>
  <c r="DQ23" i="8"/>
  <c r="DP23" i="8"/>
  <c r="DO23" i="8"/>
  <c r="DZ18" i="8"/>
  <c r="DY18" i="8"/>
  <c r="DX18" i="8"/>
  <c r="DW18" i="8"/>
  <c r="DV18" i="8"/>
  <c r="DU18" i="8"/>
  <c r="DT18" i="8"/>
  <c r="DS18" i="8"/>
  <c r="DR18" i="8"/>
  <c r="DP18" i="8"/>
  <c r="DO18" i="8"/>
  <c r="DZ15" i="8"/>
  <c r="DY15" i="8"/>
  <c r="DX15" i="8"/>
  <c r="DW15" i="8"/>
  <c r="DV15" i="8"/>
  <c r="DU15" i="8"/>
  <c r="DT15" i="8"/>
  <c r="DR15" i="8"/>
  <c r="DQ15" i="8"/>
  <c r="DP15" i="8"/>
  <c r="DZ14" i="8"/>
  <c r="DY14" i="8"/>
  <c r="DX14" i="8"/>
  <c r="DW14" i="8"/>
  <c r="DV14" i="8"/>
  <c r="DU14" i="8"/>
  <c r="DT14" i="8"/>
  <c r="DR14" i="8"/>
  <c r="DQ14" i="8"/>
  <c r="DP14" i="8"/>
  <c r="DO14" i="8"/>
  <c r="DZ13" i="8"/>
  <c r="DY13" i="8"/>
  <c r="DX13" i="8"/>
  <c r="DW13" i="8"/>
  <c r="DV13" i="8"/>
  <c r="DT13" i="8"/>
  <c r="DS13" i="8"/>
  <c r="DR13" i="8"/>
  <c r="DQ13" i="8"/>
  <c r="DP13" i="8"/>
  <c r="DO13" i="8"/>
  <c r="DX12" i="8"/>
  <c r="DT12" i="8"/>
  <c r="DS12" i="8"/>
  <c r="DP12" i="8"/>
  <c r="DO12" i="8"/>
  <c r="DY11" i="8"/>
  <c r="DO11" i="8"/>
  <c r="DZ8" i="8"/>
  <c r="DY8" i="8"/>
  <c r="DX8" i="8"/>
  <c r="DW8" i="8"/>
  <c r="DU8" i="8"/>
  <c r="DT8" i="8"/>
  <c r="DS8" i="8"/>
  <c r="DR8" i="8"/>
  <c r="DQ8" i="8"/>
  <c r="DP8" i="8"/>
  <c r="AA13" i="2"/>
  <c r="BX70" i="8"/>
  <c r="BX71" i="8"/>
  <c r="BX40" i="8"/>
  <c r="R3" i="2"/>
  <c r="EF32" i="1"/>
  <c r="T64" i="36" s="1"/>
  <c r="EF152" i="1"/>
  <c r="EF99" i="1"/>
  <c r="EF80" i="1"/>
  <c r="DZ26" i="8"/>
  <c r="EF98" i="1"/>
  <c r="EF131" i="1"/>
  <c r="EF81" i="1"/>
  <c r="EF34" i="1"/>
  <c r="EF135" i="1"/>
  <c r="EF9" i="1"/>
  <c r="EF44" i="1"/>
  <c r="EF96" i="1"/>
  <c r="EF128" i="1"/>
  <c r="DZ65" i="8"/>
  <c r="EF160" i="1"/>
  <c r="T72" i="36" s="1"/>
  <c r="EF218" i="1"/>
  <c r="EF53" i="1"/>
  <c r="EF129" i="1"/>
  <c r="EF163" i="1"/>
  <c r="EF48" i="1"/>
  <c r="EF114" i="1"/>
  <c r="DZ12" i="8"/>
  <c r="EF162" i="1"/>
  <c r="EF49" i="1"/>
  <c r="EF92" i="1"/>
  <c r="EF36" i="1"/>
  <c r="EF122" i="1"/>
  <c r="T81" i="36" s="1"/>
  <c r="EF17" i="1"/>
  <c r="DZ34" i="8"/>
  <c r="EF6" i="1"/>
  <c r="DZ54" i="8"/>
  <c r="DZ10" i="8"/>
  <c r="EF182" i="1"/>
  <c r="C69" i="8"/>
  <c r="C65" i="8"/>
  <c r="C64" i="8"/>
  <c r="C63" i="8"/>
  <c r="C62" i="8"/>
  <c r="C61" i="8"/>
  <c r="C60" i="8"/>
  <c r="C57" i="8"/>
  <c r="C55" i="8"/>
  <c r="C54" i="8"/>
  <c r="C53" i="8"/>
  <c r="C46" i="8"/>
  <c r="C45" i="8"/>
  <c r="C44" i="8"/>
  <c r="C43" i="8"/>
  <c r="C42" i="8"/>
  <c r="C39" i="8"/>
  <c r="C38" i="8"/>
  <c r="C37" i="8"/>
  <c r="C36" i="8"/>
  <c r="C35" i="8"/>
  <c r="C34" i="8"/>
  <c r="C33" i="8"/>
  <c r="C32" i="8"/>
  <c r="C31" i="8"/>
  <c r="DZ39" i="8"/>
  <c r="EF141" i="1"/>
  <c r="T80" i="36" s="1"/>
  <c r="DZ7" i="8"/>
  <c r="EF125" i="1"/>
  <c r="DZ9" i="8"/>
  <c r="DZ11" i="8"/>
  <c r="EF111" i="1"/>
  <c r="AQ122" i="48" s="1"/>
  <c r="DZ33" i="8"/>
  <c r="DZ44" i="8"/>
  <c r="DZ46" i="8"/>
  <c r="EF215" i="1"/>
  <c r="DZ45" i="8"/>
  <c r="DZ6" i="8"/>
  <c r="EF216" i="1"/>
  <c r="DZ67" i="8"/>
  <c r="DD218" i="1"/>
  <c r="X218" i="1" s="1"/>
  <c r="BN218" i="1" s="1"/>
  <c r="CB218" i="1" s="1"/>
  <c r="DC218" i="1"/>
  <c r="CO218" i="1" s="1"/>
  <c r="DB218" i="1"/>
  <c r="AJ218" i="1" s="1"/>
  <c r="DA218" i="1"/>
  <c r="AI218" i="1" s="1"/>
  <c r="CZ218" i="1"/>
  <c r="CL218" i="1" s="1"/>
  <c r="CY218" i="1"/>
  <c r="S218" i="1" s="1"/>
  <c r="DM218" i="1" s="1"/>
  <c r="CX218" i="1"/>
  <c r="AF218" i="1" s="1"/>
  <c r="CW218" i="1"/>
  <c r="CI218" i="1" s="1"/>
  <c r="AN218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DD81" i="1"/>
  <c r="X81" i="1" s="1"/>
  <c r="DR81" i="1" s="1"/>
  <c r="DC81" i="1"/>
  <c r="AK81" i="1" s="1"/>
  <c r="DB81" i="1"/>
  <c r="CN81" i="1" s="1"/>
  <c r="DA81" i="1"/>
  <c r="U81" i="1" s="1"/>
  <c r="DO81" i="1" s="1"/>
  <c r="CZ81" i="1"/>
  <c r="AH81" i="1" s="1"/>
  <c r="CY81" i="1"/>
  <c r="CK81" i="1" s="1"/>
  <c r="CX81" i="1"/>
  <c r="R81" i="1" s="1"/>
  <c r="BH81" i="1" s="1"/>
  <c r="BV81" i="1" s="1"/>
  <c r="CW81" i="1"/>
  <c r="AE81" i="1" s="1"/>
  <c r="AR127" i="1"/>
  <c r="AS127" i="1"/>
  <c r="AT127" i="1"/>
  <c r="AU127" i="1"/>
  <c r="AV127" i="1"/>
  <c r="AW127" i="1"/>
  <c r="AX127" i="1"/>
  <c r="AY127" i="1"/>
  <c r="AZ127" i="1"/>
  <c r="CW206" i="1"/>
  <c r="Q206" i="1" s="1"/>
  <c r="DK206" i="1" s="1"/>
  <c r="CX206" i="1"/>
  <c r="CJ206" i="1" s="1"/>
  <c r="CY206" i="1"/>
  <c r="CZ206" i="1"/>
  <c r="AH206" i="1" s="1"/>
  <c r="DA206" i="1"/>
  <c r="CM206" i="1" s="1"/>
  <c r="DB206" i="1"/>
  <c r="AJ206" i="1" s="1"/>
  <c r="DC206" i="1"/>
  <c r="AK206" i="1" s="1"/>
  <c r="DD206" i="1"/>
  <c r="AL206" i="1" s="1"/>
  <c r="DD172" i="1"/>
  <c r="CP172" i="1" s="1"/>
  <c r="DC172" i="1"/>
  <c r="W172" i="1" s="1"/>
  <c r="DQ172" i="1" s="1"/>
  <c r="DB172" i="1"/>
  <c r="CN172" i="1" s="1"/>
  <c r="DA172" i="1"/>
  <c r="U172" i="1" s="1"/>
  <c r="DO172" i="1" s="1"/>
  <c r="CZ172" i="1"/>
  <c r="AH172" i="1" s="1"/>
  <c r="CY172" i="1"/>
  <c r="CK172" i="1" s="1"/>
  <c r="CX172" i="1"/>
  <c r="R172" i="1" s="1"/>
  <c r="DL172" i="1" s="1"/>
  <c r="CW172" i="1"/>
  <c r="Q172" i="1" s="1"/>
  <c r="AN172" i="1"/>
  <c r="DD150" i="1"/>
  <c r="AL150" i="1" s="1"/>
  <c r="DC150" i="1"/>
  <c r="W150" i="1" s="1"/>
  <c r="DB150" i="1"/>
  <c r="AJ150" i="1" s="1"/>
  <c r="DA150" i="1"/>
  <c r="CM150" i="1" s="1"/>
  <c r="CZ150" i="1"/>
  <c r="AH150" i="1" s="1"/>
  <c r="CY150" i="1"/>
  <c r="AG150" i="1" s="1"/>
  <c r="CX150" i="1"/>
  <c r="R150" i="1" s="1"/>
  <c r="DL150" i="1" s="1"/>
  <c r="CW150" i="1"/>
  <c r="Q150" i="1" s="1"/>
  <c r="DK150" i="1" s="1"/>
  <c r="DD114" i="1"/>
  <c r="AL114" i="1" s="1"/>
  <c r="DC114" i="1"/>
  <c r="AK114" i="1" s="1"/>
  <c r="DB114" i="1"/>
  <c r="V114" i="1" s="1"/>
  <c r="DA114" i="1"/>
  <c r="CM114" i="1" s="1"/>
  <c r="CZ114" i="1"/>
  <c r="AH114" i="1" s="1"/>
  <c r="CY114" i="1"/>
  <c r="S114" i="1" s="1"/>
  <c r="DM114" i="1" s="1"/>
  <c r="CX114" i="1"/>
  <c r="R114" i="1" s="1"/>
  <c r="DL114" i="1" s="1"/>
  <c r="CW114" i="1"/>
  <c r="Q114" i="1" s="1"/>
  <c r="DK114" i="1" s="1"/>
  <c r="DD95" i="1"/>
  <c r="X95" i="1" s="1"/>
  <c r="DR95" i="1" s="1"/>
  <c r="DC95" i="1"/>
  <c r="AK95" i="1" s="1"/>
  <c r="DB95" i="1"/>
  <c r="V95" i="1" s="1"/>
  <c r="BL95" i="1" s="1"/>
  <c r="BZ95" i="1" s="1"/>
  <c r="DA95" i="1"/>
  <c r="CM95" i="1" s="1"/>
  <c r="CZ95" i="1"/>
  <c r="T95" i="1" s="1"/>
  <c r="DN95" i="1" s="1"/>
  <c r="CY95" i="1"/>
  <c r="AG95" i="1" s="1"/>
  <c r="CX95" i="1"/>
  <c r="AF95" i="1" s="1"/>
  <c r="CW95" i="1"/>
  <c r="CI95" i="1" s="1"/>
  <c r="DD94" i="1"/>
  <c r="X94" i="1" s="1"/>
  <c r="BN94" i="1" s="1"/>
  <c r="CB94" i="1" s="1"/>
  <c r="DC94" i="1"/>
  <c r="W94" i="1" s="1"/>
  <c r="DB94" i="1"/>
  <c r="CN94" i="1" s="1"/>
  <c r="DA94" i="1"/>
  <c r="U94" i="1" s="1"/>
  <c r="DO94" i="1" s="1"/>
  <c r="CZ94" i="1"/>
  <c r="CL94" i="1" s="1"/>
  <c r="CY94" i="1"/>
  <c r="CK94" i="1" s="1"/>
  <c r="CX94" i="1"/>
  <c r="CW94" i="1"/>
  <c r="Q94" i="1" s="1"/>
  <c r="DK94" i="1" s="1"/>
  <c r="DD93" i="1"/>
  <c r="AL93" i="1" s="1"/>
  <c r="DC93" i="1"/>
  <c r="CO93" i="1" s="1"/>
  <c r="DB93" i="1"/>
  <c r="AJ93" i="1" s="1"/>
  <c r="DA93" i="1"/>
  <c r="CM93" i="1" s="1"/>
  <c r="CZ93" i="1"/>
  <c r="T93" i="1" s="1"/>
  <c r="DN93" i="1" s="1"/>
  <c r="CY93" i="1"/>
  <c r="AG93" i="1" s="1"/>
  <c r="CX93" i="1"/>
  <c r="R93" i="1" s="1"/>
  <c r="BH93" i="1" s="1"/>
  <c r="BV93" i="1" s="1"/>
  <c r="CW93" i="1"/>
  <c r="AE93" i="1" s="1"/>
  <c r="DD92" i="1"/>
  <c r="CP92" i="1" s="1"/>
  <c r="DC92" i="1"/>
  <c r="AK92" i="1" s="1"/>
  <c r="DB92" i="1"/>
  <c r="CN92" i="1" s="1"/>
  <c r="DA92" i="1"/>
  <c r="CZ92" i="1"/>
  <c r="CL92" i="1" s="1"/>
  <c r="CY92" i="1"/>
  <c r="S92" i="1" s="1"/>
  <c r="CX92" i="1"/>
  <c r="CW92" i="1"/>
  <c r="CI92" i="1" s="1"/>
  <c r="CW91" i="1"/>
  <c r="CI91" i="1" s="1"/>
  <c r="CX91" i="1"/>
  <c r="CY91" i="1"/>
  <c r="CK91" i="1" s="1"/>
  <c r="CZ91" i="1"/>
  <c r="T91" i="1" s="1"/>
  <c r="BJ91" i="1" s="1"/>
  <c r="BX91" i="1" s="1"/>
  <c r="DA91" i="1"/>
  <c r="U91" i="1" s="1"/>
  <c r="BK91" i="1" s="1"/>
  <c r="BY91" i="1" s="1"/>
  <c r="DB91" i="1"/>
  <c r="V91" i="1" s="1"/>
  <c r="DP91" i="1" s="1"/>
  <c r="DC91" i="1"/>
  <c r="CO91" i="1" s="1"/>
  <c r="DD91" i="1"/>
  <c r="CP91" i="1" s="1"/>
  <c r="V58" i="6"/>
  <c r="AD56" i="6"/>
  <c r="Z55" i="6"/>
  <c r="Z18" i="6"/>
  <c r="V17" i="6"/>
  <c r="AB56" i="6"/>
  <c r="X55" i="6"/>
  <c r="AF20" i="6"/>
  <c r="X18" i="6"/>
  <c r="AF16" i="6"/>
  <c r="AA56" i="6"/>
  <c r="W55" i="6"/>
  <c r="AE53" i="6"/>
  <c r="AE20" i="6"/>
  <c r="W18" i="6"/>
  <c r="Z56" i="6"/>
  <c r="V55" i="6"/>
  <c r="AF55" i="6"/>
  <c r="Y20" i="6"/>
  <c r="AD18" i="6"/>
  <c r="W17" i="6"/>
  <c r="Y55" i="6"/>
  <c r="Z16" i="6"/>
  <c r="AB58" i="6"/>
  <c r="AE17" i="6"/>
  <c r="AE55" i="6"/>
  <c r="X20" i="6"/>
  <c r="AC18" i="6"/>
  <c r="AD55" i="6"/>
  <c r="W20" i="6"/>
  <c r="AB18" i="6"/>
  <c r="AD58" i="6"/>
  <c r="AC55" i="6"/>
  <c r="V20" i="6"/>
  <c r="AA18" i="6"/>
  <c r="AC16" i="6"/>
  <c r="AF17" i="6"/>
  <c r="AF56" i="6"/>
  <c r="AF58" i="6"/>
  <c r="AB55" i="6"/>
  <c r="AB53" i="6"/>
  <c r="Y18" i="6"/>
  <c r="AC58" i="6"/>
  <c r="AF54" i="6"/>
  <c r="AE58" i="6"/>
  <c r="AA55" i="6"/>
  <c r="AA53" i="6"/>
  <c r="V18" i="6"/>
  <c r="AD17" i="6"/>
  <c r="AB17" i="6"/>
  <c r="Z54" i="6"/>
  <c r="Z17" i="6"/>
  <c r="AA58" i="6"/>
  <c r="AC54" i="6"/>
  <c r="AC17" i="6"/>
  <c r="AA17" i="6"/>
  <c r="Z58" i="6"/>
  <c r="Y58" i="6"/>
  <c r="X58" i="6"/>
  <c r="AD20" i="6"/>
  <c r="V56" i="6"/>
  <c r="AF18" i="6"/>
  <c r="W56" i="6"/>
  <c r="AE18" i="6"/>
  <c r="W58" i="6"/>
  <c r="AC20" i="6"/>
  <c r="Y17" i="6"/>
  <c r="Y56" i="6"/>
  <c r="AB20" i="6"/>
  <c r="X17" i="6"/>
  <c r="V53" i="6"/>
  <c r="AA20" i="6"/>
  <c r="AE56" i="6"/>
  <c r="Z20" i="6"/>
  <c r="AC56" i="6"/>
  <c r="X56" i="6"/>
  <c r="DY54" i="8"/>
  <c r="EE182" i="1"/>
  <c r="EE206" i="1"/>
  <c r="DY52" i="8"/>
  <c r="EE181" i="1"/>
  <c r="DY53" i="8"/>
  <c r="EE218" i="1"/>
  <c r="EE92" i="1"/>
  <c r="EE9" i="1"/>
  <c r="EE79" i="1"/>
  <c r="EE36" i="1"/>
  <c r="EE53" i="1"/>
  <c r="EE95" i="1"/>
  <c r="EE37" i="1"/>
  <c r="EE15" i="1"/>
  <c r="EE42" i="1"/>
  <c r="EE17" i="1"/>
  <c r="EE49" i="1"/>
  <c r="EE73" i="1"/>
  <c r="EE81" i="1"/>
  <c r="EE6" i="1"/>
  <c r="EE44" i="1"/>
  <c r="EE57" i="1"/>
  <c r="EE94" i="1"/>
  <c r="AF71" i="8"/>
  <c r="AE71" i="8"/>
  <c r="AD71" i="8"/>
  <c r="AC71" i="8"/>
  <c r="AB71" i="8"/>
  <c r="AA71" i="8"/>
  <c r="Z71" i="8"/>
  <c r="Y71" i="8"/>
  <c r="X71" i="8"/>
  <c r="W71" i="8"/>
  <c r="V71" i="8"/>
  <c r="U71" i="8"/>
  <c r="AF70" i="8"/>
  <c r="AE70" i="8"/>
  <c r="AD70" i="8"/>
  <c r="AC70" i="8"/>
  <c r="AB70" i="8"/>
  <c r="AA70" i="8"/>
  <c r="Z70" i="8"/>
  <c r="Y70" i="8"/>
  <c r="X70" i="8"/>
  <c r="W70" i="8"/>
  <c r="V70" i="8"/>
  <c r="U70" i="8"/>
  <c r="AF40" i="8"/>
  <c r="AE40" i="8"/>
  <c r="AD40" i="8"/>
  <c r="AC40" i="8"/>
  <c r="AB40" i="8"/>
  <c r="AA40" i="8"/>
  <c r="Z40" i="8"/>
  <c r="Y40" i="8"/>
  <c r="X40" i="8"/>
  <c r="W40" i="8"/>
  <c r="V40" i="8"/>
  <c r="U40" i="8"/>
  <c r="R40" i="8"/>
  <c r="BH40" i="8" s="1"/>
  <c r="BV40" i="8" s="1"/>
  <c r="Q40" i="8"/>
  <c r="BG40" i="8" s="1"/>
  <c r="BU40" i="8" s="1"/>
  <c r="P40" i="8"/>
  <c r="O40" i="8"/>
  <c r="BE40" i="8" s="1"/>
  <c r="BS40" i="8" s="1"/>
  <c r="N40" i="8"/>
  <c r="BD40" i="8" s="1"/>
  <c r="BR40" i="8" s="1"/>
  <c r="M40" i="8"/>
  <c r="BC40" i="8" s="1"/>
  <c r="BQ40" i="8" s="1"/>
  <c r="L40" i="8"/>
  <c r="BB40" i="8" s="1"/>
  <c r="BP40" i="8" s="1"/>
  <c r="K40" i="8"/>
  <c r="BA40" i="8" s="1"/>
  <c r="BO40" i="8" s="1"/>
  <c r="J40" i="8"/>
  <c r="AZ40" i="8" s="1"/>
  <c r="BN40" i="8" s="1"/>
  <c r="I40" i="8"/>
  <c r="AY40" i="8" s="1"/>
  <c r="BM40" i="8" s="1"/>
  <c r="H40" i="8"/>
  <c r="AX40" i="8" s="1"/>
  <c r="BL40" i="8" s="1"/>
  <c r="G40" i="8"/>
  <c r="AW40" i="8" s="1"/>
  <c r="BK40" i="8" s="1"/>
  <c r="CX57" i="8"/>
  <c r="AF57" i="8" s="1"/>
  <c r="CW57" i="8"/>
  <c r="AE57" i="8" s="1"/>
  <c r="CV57" i="8"/>
  <c r="P57" i="8" s="1"/>
  <c r="BF57" i="8" s="1"/>
  <c r="BT57" i="8" s="1"/>
  <c r="CU57" i="8"/>
  <c r="AC57" i="8" s="1"/>
  <c r="CT57" i="8"/>
  <c r="N57" i="8" s="1"/>
  <c r="CS57" i="8"/>
  <c r="M57" i="8" s="1"/>
  <c r="BC57" i="8" s="1"/>
  <c r="BQ57" i="8" s="1"/>
  <c r="CR57" i="8"/>
  <c r="CD57" i="8" s="1"/>
  <c r="CQ57" i="8"/>
  <c r="CC57" i="8" s="1"/>
  <c r="CP57" i="8"/>
  <c r="CB57" i="8" s="1"/>
  <c r="CO57" i="8"/>
  <c r="I57" i="8" s="1"/>
  <c r="DC57" i="8" s="1"/>
  <c r="CN57" i="8"/>
  <c r="V57" i="8" s="1"/>
  <c r="CM57" i="8"/>
  <c r="G57" i="8" s="1"/>
  <c r="DA57" i="8" s="1"/>
  <c r="CX55" i="8"/>
  <c r="CJ55" i="8" s="1"/>
  <c r="CW55" i="8"/>
  <c r="Q55" i="8" s="1"/>
  <c r="BG55" i="8" s="1"/>
  <c r="BU55" i="8" s="1"/>
  <c r="CV55" i="8"/>
  <c r="P55" i="8" s="1"/>
  <c r="BF55" i="8" s="1"/>
  <c r="BT55" i="8" s="1"/>
  <c r="CU55" i="8"/>
  <c r="CG55" i="8" s="1"/>
  <c r="CT55" i="8"/>
  <c r="N55" i="8" s="1"/>
  <c r="DH55" i="8" s="1"/>
  <c r="CS55" i="8"/>
  <c r="CR55" i="8"/>
  <c r="CQ55" i="8"/>
  <c r="CC55" i="8" s="1"/>
  <c r="CP55" i="8"/>
  <c r="J55" i="8" s="1"/>
  <c r="CO55" i="8"/>
  <c r="CA55" i="8" s="1"/>
  <c r="CN55" i="8"/>
  <c r="CM55" i="8"/>
  <c r="BY55" i="8" s="1"/>
  <c r="CX54" i="8"/>
  <c r="R54" i="8" s="1"/>
  <c r="BH54" i="8" s="1"/>
  <c r="BV54" i="8" s="1"/>
  <c r="CW54" i="8"/>
  <c r="CI54" i="8" s="1"/>
  <c r="CV54" i="8"/>
  <c r="P54" i="8" s="1"/>
  <c r="BF54" i="8" s="1"/>
  <c r="BT54" i="8" s="1"/>
  <c r="CU54" i="8"/>
  <c r="O54" i="8" s="1"/>
  <c r="CT54" i="8"/>
  <c r="N54" i="8" s="1"/>
  <c r="CS54" i="8"/>
  <c r="AA54" i="8" s="1"/>
  <c r="CR54" i="8"/>
  <c r="L54" i="8" s="1"/>
  <c r="BB54" i="8" s="1"/>
  <c r="BP54" i="8" s="1"/>
  <c r="CQ54" i="8"/>
  <c r="CP54" i="8"/>
  <c r="CB54" i="8" s="1"/>
  <c r="CO54" i="8"/>
  <c r="CA54" i="8" s="1"/>
  <c r="CN54" i="8"/>
  <c r="CM54" i="8"/>
  <c r="BY54" i="8" s="1"/>
  <c r="CX53" i="8"/>
  <c r="CJ53" i="8" s="1"/>
  <c r="CW53" i="8"/>
  <c r="Q53" i="8" s="1"/>
  <c r="DK53" i="8" s="1"/>
  <c r="CV53" i="8"/>
  <c r="CU53" i="8"/>
  <c r="AC53" i="8" s="1"/>
  <c r="CT53" i="8"/>
  <c r="N53" i="8" s="1"/>
  <c r="CS53" i="8"/>
  <c r="CE53" i="8" s="1"/>
  <c r="CR53" i="8"/>
  <c r="CQ53" i="8"/>
  <c r="CC53" i="8" s="1"/>
  <c r="CP53" i="8"/>
  <c r="J53" i="8" s="1"/>
  <c r="DD53" i="8" s="1"/>
  <c r="CO53" i="8"/>
  <c r="I53" i="8" s="1"/>
  <c r="DC53" i="8" s="1"/>
  <c r="CN53" i="8"/>
  <c r="H53" i="8" s="1"/>
  <c r="DB53" i="8" s="1"/>
  <c r="CM53" i="8"/>
  <c r="CX52" i="8"/>
  <c r="AF52" i="8" s="1"/>
  <c r="CW52" i="8"/>
  <c r="Q52" i="8" s="1"/>
  <c r="DK52" i="8" s="1"/>
  <c r="CV52" i="8"/>
  <c r="CH52" i="8" s="1"/>
  <c r="CU52" i="8"/>
  <c r="O52" i="8" s="1"/>
  <c r="DI52" i="8" s="1"/>
  <c r="CT52" i="8"/>
  <c r="CF52" i="8" s="1"/>
  <c r="CS52" i="8"/>
  <c r="CE52" i="8" s="1"/>
  <c r="CR52" i="8"/>
  <c r="L52" i="8" s="1"/>
  <c r="DF52" i="8" s="1"/>
  <c r="CQ52" i="8"/>
  <c r="K52" i="8" s="1"/>
  <c r="DE52" i="8" s="1"/>
  <c r="CP52" i="8"/>
  <c r="J52" i="8" s="1"/>
  <c r="DD52" i="8" s="1"/>
  <c r="CO52" i="8"/>
  <c r="CA52" i="8" s="1"/>
  <c r="CN52" i="8"/>
  <c r="BZ52" i="8" s="1"/>
  <c r="CM52" i="8"/>
  <c r="U52" i="8" s="1"/>
  <c r="A31" i="8"/>
  <c r="A32" i="8" s="1"/>
  <c r="A33" i="8" s="1"/>
  <c r="A34" i="8" s="1"/>
  <c r="A35" i="8" s="1"/>
  <c r="A36" i="8" s="1"/>
  <c r="A37" i="8" s="1"/>
  <c r="A38" i="8" s="1"/>
  <c r="A39" i="8" s="1"/>
  <c r="A43" i="8"/>
  <c r="A44" i="8" s="1"/>
  <c r="A45" i="8" s="1"/>
  <c r="A46" i="8" s="1"/>
  <c r="A47" i="8" s="1"/>
  <c r="A48" i="8" s="1"/>
  <c r="A49" i="8" s="1"/>
  <c r="A50" i="8" s="1"/>
  <c r="A53" i="8"/>
  <c r="A54" i="8" s="1"/>
  <c r="A55" i="8" s="1"/>
  <c r="A56" i="8" s="1"/>
  <c r="A57" i="8" s="1"/>
  <c r="A58" i="8" s="1"/>
  <c r="A61" i="8"/>
  <c r="A62" i="8" s="1"/>
  <c r="A63" i="8" s="1"/>
  <c r="A64" i="8" s="1"/>
  <c r="A65" i="8" s="1"/>
  <c r="A66" i="8" s="1"/>
  <c r="A67" i="8" s="1"/>
  <c r="CZ71" i="8"/>
  <c r="CL71" i="8"/>
  <c r="AH71" i="8"/>
  <c r="R71" i="8"/>
  <c r="BH71" i="8" s="1"/>
  <c r="BV71" i="8" s="1"/>
  <c r="Q71" i="8"/>
  <c r="BG71" i="8" s="1"/>
  <c r="BU71" i="8" s="1"/>
  <c r="P71" i="8"/>
  <c r="BF71" i="8" s="1"/>
  <c r="BT71" i="8" s="1"/>
  <c r="O71" i="8"/>
  <c r="BE71" i="8" s="1"/>
  <c r="BS71" i="8" s="1"/>
  <c r="N71" i="8"/>
  <c r="BD71" i="8" s="1"/>
  <c r="BR71" i="8" s="1"/>
  <c r="M71" i="8"/>
  <c r="BC71" i="8" s="1"/>
  <c r="BQ71" i="8" s="1"/>
  <c r="L71" i="8"/>
  <c r="BB71" i="8" s="1"/>
  <c r="BP71" i="8" s="1"/>
  <c r="K71" i="8"/>
  <c r="BA71" i="8" s="1"/>
  <c r="BO71" i="8" s="1"/>
  <c r="J71" i="8"/>
  <c r="AZ71" i="8" s="1"/>
  <c r="BN71" i="8" s="1"/>
  <c r="I71" i="8"/>
  <c r="AY71" i="8" s="1"/>
  <c r="BM71" i="8" s="1"/>
  <c r="H71" i="8"/>
  <c r="AX71" i="8" s="1"/>
  <c r="BL71" i="8" s="1"/>
  <c r="G71" i="8"/>
  <c r="AW71" i="8" s="1"/>
  <c r="BK71" i="8" s="1"/>
  <c r="CL70" i="8"/>
  <c r="AH70" i="8"/>
  <c r="R70" i="8"/>
  <c r="BH70" i="8" s="1"/>
  <c r="BV70" i="8" s="1"/>
  <c r="Q70" i="8"/>
  <c r="DK70" i="8" s="1"/>
  <c r="P70" i="8"/>
  <c r="O70" i="8"/>
  <c r="BE70" i="8" s="1"/>
  <c r="BS70" i="8" s="1"/>
  <c r="N70" i="8"/>
  <c r="DH70" i="8" s="1"/>
  <c r="M70" i="8"/>
  <c r="BC70" i="8" s="1"/>
  <c r="BQ70" i="8" s="1"/>
  <c r="L70" i="8"/>
  <c r="BB70" i="8" s="1"/>
  <c r="BP70" i="8" s="1"/>
  <c r="K70" i="8"/>
  <c r="BA70" i="8" s="1"/>
  <c r="BO70" i="8" s="1"/>
  <c r="J70" i="8"/>
  <c r="DD70" i="8" s="1"/>
  <c r="I70" i="8"/>
  <c r="DC70" i="8" s="1"/>
  <c r="H70" i="8"/>
  <c r="AX70" i="8" s="1"/>
  <c r="BL70" i="8" s="1"/>
  <c r="G70" i="8"/>
  <c r="AH69" i="8"/>
  <c r="AT68" i="8"/>
  <c r="AS68" i="8"/>
  <c r="AR68" i="8"/>
  <c r="AQ68" i="8"/>
  <c r="AP68" i="8"/>
  <c r="AO68" i="8"/>
  <c r="AN68" i="8"/>
  <c r="AM68" i="8"/>
  <c r="AL68" i="8"/>
  <c r="AK68" i="8"/>
  <c r="AJ68" i="8"/>
  <c r="AI68" i="8"/>
  <c r="AH65" i="8"/>
  <c r="AH64" i="8"/>
  <c r="AH63" i="8"/>
  <c r="AH62" i="8"/>
  <c r="AH61" i="8"/>
  <c r="AH60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8" i="8"/>
  <c r="AH57" i="8"/>
  <c r="AH55" i="8"/>
  <c r="AH54" i="8"/>
  <c r="AH53" i="8"/>
  <c r="AH52" i="8"/>
  <c r="AU51" i="8"/>
  <c r="AU41" i="8" s="1"/>
  <c r="AU29" i="8" s="1"/>
  <c r="AT51" i="8"/>
  <c r="AS51" i="8"/>
  <c r="AR51" i="8"/>
  <c r="AQ51" i="8"/>
  <c r="AP51" i="8"/>
  <c r="AO51" i="8"/>
  <c r="AN51" i="8"/>
  <c r="AM51" i="8"/>
  <c r="AL51" i="8"/>
  <c r="AK51" i="8"/>
  <c r="AJ51" i="8"/>
  <c r="AI51" i="8"/>
  <c r="AH50" i="8"/>
  <c r="AH49" i="8"/>
  <c r="AH46" i="8"/>
  <c r="AH45" i="8"/>
  <c r="AH44" i="8"/>
  <c r="AH43" i="8"/>
  <c r="AH42" i="8"/>
  <c r="AT41" i="8"/>
  <c r="AS41" i="8"/>
  <c r="AR41" i="8"/>
  <c r="AQ41" i="8"/>
  <c r="AP41" i="8"/>
  <c r="AO41" i="8"/>
  <c r="AN41" i="8"/>
  <c r="AM41" i="8"/>
  <c r="AL41" i="8"/>
  <c r="AK41" i="8"/>
  <c r="AJ41" i="8"/>
  <c r="AI41" i="8"/>
  <c r="AH38" i="8"/>
  <c r="AT29" i="8"/>
  <c r="AS29" i="8"/>
  <c r="AR29" i="8"/>
  <c r="AQ29" i="8"/>
  <c r="AP29" i="8"/>
  <c r="AO29" i="8"/>
  <c r="AN29" i="8"/>
  <c r="AM29" i="8"/>
  <c r="AL29" i="8"/>
  <c r="AJ29" i="8"/>
  <c r="S29" i="8"/>
  <c r="AH27" i="8"/>
  <c r="AH26" i="8"/>
  <c r="AH25" i="8"/>
  <c r="AH24" i="8"/>
  <c r="A24" i="8"/>
  <c r="A25" i="8" s="1"/>
  <c r="A26" i="8" s="1"/>
  <c r="A27" i="8" s="1"/>
  <c r="AH23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9" i="8"/>
  <c r="A7" i="8"/>
  <c r="A8" i="8" s="1"/>
  <c r="A9" i="8" s="1"/>
  <c r="A10" i="8" s="1"/>
  <c r="A11" i="8" s="1"/>
  <c r="A12" i="8" s="1"/>
  <c r="A13" i="8" s="1"/>
  <c r="A14" i="8" s="1"/>
  <c r="S5" i="8"/>
  <c r="AA6" i="2"/>
  <c r="AE43" i="6"/>
  <c r="AC21" i="6"/>
  <c r="AF21" i="6"/>
  <c r="Q151" i="6" s="1"/>
  <c r="AC5" i="6"/>
  <c r="S7" i="24" s="1"/>
  <c r="AH11" i="6"/>
  <c r="AG11" i="6"/>
  <c r="AF81" i="6"/>
  <c r="Y93" i="6"/>
  <c r="AB91" i="6"/>
  <c r="AD5" i="6"/>
  <c r="U7" i="24" s="1"/>
  <c r="U55" i="6"/>
  <c r="AH47" i="6"/>
  <c r="AH55" i="6" s="1"/>
  <c r="AG47" i="6"/>
  <c r="AG55" i="6" s="1"/>
  <c r="AA15" i="6"/>
  <c r="AA5" i="6"/>
  <c r="W93" i="6"/>
  <c r="Z5" i="6"/>
  <c r="AD94" i="6"/>
  <c r="AF96" i="6"/>
  <c r="Z93" i="6"/>
  <c r="W94" i="6"/>
  <c r="Y5" i="6"/>
  <c r="K7" i="24" s="1"/>
  <c r="Z96" i="6"/>
  <c r="Y96" i="6"/>
  <c r="AE15" i="6"/>
  <c r="AE5" i="6"/>
  <c r="W7" i="24" s="1"/>
  <c r="V96" i="6"/>
  <c r="AE91" i="6"/>
  <c r="U18" i="6"/>
  <c r="AH10" i="6"/>
  <c r="AG10" i="6"/>
  <c r="V91" i="6"/>
  <c r="AC94" i="6"/>
  <c r="Z21" i="6"/>
  <c r="M8" i="24" s="1"/>
  <c r="X96" i="6"/>
  <c r="AA93" i="6"/>
  <c r="V15" i="6"/>
  <c r="V5" i="6"/>
  <c r="G150" i="6" s="1"/>
  <c r="U54" i="6"/>
  <c r="AF93" i="6"/>
  <c r="AE81" i="6"/>
  <c r="AE114" i="6" s="1"/>
  <c r="AB93" i="6"/>
  <c r="U56" i="6"/>
  <c r="AG48" i="6"/>
  <c r="AG56" i="6" s="1"/>
  <c r="AH48" i="6"/>
  <c r="AH56" i="6" s="1"/>
  <c r="AD93" i="6"/>
  <c r="AG25" i="6"/>
  <c r="AH25" i="6"/>
  <c r="X21" i="6"/>
  <c r="I8" i="24" s="1"/>
  <c r="AC92" i="6"/>
  <c r="U93" i="6"/>
  <c r="AH85" i="6"/>
  <c r="AH93" i="6" s="1"/>
  <c r="AG85" i="6"/>
  <c r="AG93" i="6" s="1"/>
  <c r="W96" i="6"/>
  <c r="U5" i="6"/>
  <c r="AH7" i="6"/>
  <c r="AG7" i="6"/>
  <c r="AB96" i="6"/>
  <c r="Y94" i="6"/>
  <c r="AF92" i="6"/>
  <c r="AD21" i="6"/>
  <c r="U8" i="24" s="1"/>
  <c r="V21" i="6"/>
  <c r="E8" i="24" s="1"/>
  <c r="U21" i="6"/>
  <c r="AG23" i="6"/>
  <c r="AH23" i="6"/>
  <c r="W21" i="6"/>
  <c r="AH24" i="6"/>
  <c r="AG24" i="6"/>
  <c r="X93" i="6"/>
  <c r="U94" i="6"/>
  <c r="AG86" i="6"/>
  <c r="AG94" i="6" s="1"/>
  <c r="AH86" i="6"/>
  <c r="AH94" i="6" s="1"/>
  <c r="AE96" i="6"/>
  <c r="AH26" i="6"/>
  <c r="AG26" i="6"/>
  <c r="Z92" i="6"/>
  <c r="W5" i="6"/>
  <c r="H150" i="6" s="1"/>
  <c r="AG27" i="6"/>
  <c r="AH27" i="6"/>
  <c r="AE21" i="6"/>
  <c r="W8" i="24" s="1"/>
  <c r="AC96" i="6"/>
  <c r="AA94" i="6"/>
  <c r="U20" i="6"/>
  <c r="AG12" i="6"/>
  <c r="AH12" i="6"/>
  <c r="X94" i="6"/>
  <c r="AH28" i="6"/>
  <c r="AG28" i="6"/>
  <c r="V93" i="6"/>
  <c r="U92" i="6"/>
  <c r="AE93" i="6"/>
  <c r="AB15" i="6"/>
  <c r="AB5" i="6"/>
  <c r="M150" i="6" s="1"/>
  <c r="AA21" i="6"/>
  <c r="O8" i="24" s="1"/>
  <c r="AG8" i="6"/>
  <c r="AH8" i="6"/>
  <c r="U16" i="6"/>
  <c r="Z94" i="6"/>
  <c r="AB94" i="6"/>
  <c r="AC93" i="6"/>
  <c r="V94" i="6"/>
  <c r="Y21" i="6"/>
  <c r="K8" i="24" s="1"/>
  <c r="AF5" i="6"/>
  <c r="AF39" i="6" s="1"/>
  <c r="AH88" i="6"/>
  <c r="AH96" i="6" s="1"/>
  <c r="AG88" i="6"/>
  <c r="AG96" i="6" s="1"/>
  <c r="U96" i="6"/>
  <c r="AF59" i="6"/>
  <c r="AE59" i="6"/>
  <c r="AE77" i="6" s="1"/>
  <c r="AB21" i="6"/>
  <c r="AF43" i="6"/>
  <c r="AA91" i="6"/>
  <c r="AE94" i="6"/>
  <c r="X5" i="6"/>
  <c r="I7" i="24" s="1"/>
  <c r="AA96" i="6"/>
  <c r="U58" i="6"/>
  <c r="AH50" i="6"/>
  <c r="AH58" i="6" s="1"/>
  <c r="AG50" i="6"/>
  <c r="AG58" i="6" s="1"/>
  <c r="AF94" i="6"/>
  <c r="U17" i="6"/>
  <c r="AG9" i="6"/>
  <c r="AH9" i="6"/>
  <c r="AD96" i="6"/>
  <c r="EE160" i="1"/>
  <c r="S72" i="36" s="1"/>
  <c r="DY45" i="8"/>
  <c r="DY12" i="8"/>
  <c r="EE125" i="1"/>
  <c r="DY26" i="8"/>
  <c r="DY46" i="8"/>
  <c r="EE163" i="1"/>
  <c r="DY49" i="8"/>
  <c r="EE164" i="1"/>
  <c r="DY30" i="8"/>
  <c r="EE128" i="1"/>
  <c r="DY10" i="8"/>
  <c r="EE32" i="1"/>
  <c r="S64" i="36" s="1"/>
  <c r="EE209" i="1"/>
  <c r="DY62" i="8"/>
  <c r="EE150" i="1"/>
  <c r="DY32" i="8"/>
  <c r="EE131" i="1"/>
  <c r="DY31" i="8"/>
  <c r="DY7" i="8"/>
  <c r="EE91" i="1"/>
  <c r="DY9" i="8"/>
  <c r="EE41" i="1"/>
  <c r="EE162" i="1"/>
  <c r="DY44" i="8"/>
  <c r="EE34" i="1"/>
  <c r="DY6" i="8"/>
  <c r="DY33" i="8"/>
  <c r="EE135" i="1"/>
  <c r="EE93" i="1"/>
  <c r="DY42" i="8"/>
  <c r="EE172" i="1"/>
  <c r="EE129" i="1"/>
  <c r="DY34" i="8"/>
  <c r="AU76" i="6"/>
  <c r="AT76" i="6"/>
  <c r="AS76" i="6"/>
  <c r="AR76" i="6"/>
  <c r="AQ76" i="6"/>
  <c r="AP76" i="6"/>
  <c r="AO74" i="6"/>
  <c r="AN74" i="6"/>
  <c r="AM74" i="6"/>
  <c r="AQ73" i="6"/>
  <c r="AO73" i="6"/>
  <c r="AN73" i="6"/>
  <c r="AR72" i="6"/>
  <c r="AL72" i="6"/>
  <c r="AR70" i="6"/>
  <c r="AQ70" i="6"/>
  <c r="AL70" i="6"/>
  <c r="AU58" i="6"/>
  <c r="AT58" i="6"/>
  <c r="AS58" i="6"/>
  <c r="AR58" i="6"/>
  <c r="AQ58" i="6"/>
  <c r="AP58" i="6"/>
  <c r="AO58" i="6"/>
  <c r="AN58" i="6"/>
  <c r="AM58" i="6"/>
  <c r="AL58" i="6"/>
  <c r="AT57" i="6"/>
  <c r="AS57" i="6"/>
  <c r="AR57" i="6"/>
  <c r="AP57" i="6"/>
  <c r="AO57" i="6"/>
  <c r="AN57" i="6"/>
  <c r="AM57" i="6"/>
  <c r="AL57" i="6"/>
  <c r="AU56" i="6"/>
  <c r="AT56" i="6"/>
  <c r="AS56" i="6"/>
  <c r="AR56" i="6"/>
  <c r="AQ56" i="6"/>
  <c r="AP56" i="6"/>
  <c r="AO56" i="6"/>
  <c r="AN56" i="6"/>
  <c r="AM56" i="6"/>
  <c r="AL56" i="6"/>
  <c r="AU55" i="6"/>
  <c r="AT55" i="6"/>
  <c r="AS55" i="6"/>
  <c r="AR55" i="6"/>
  <c r="AQ55" i="6"/>
  <c r="AP55" i="6"/>
  <c r="AO55" i="6"/>
  <c r="AN55" i="6"/>
  <c r="AM55" i="6"/>
  <c r="AL55" i="6"/>
  <c r="AU54" i="6"/>
  <c r="AT54" i="6"/>
  <c r="AS54" i="6"/>
  <c r="AR54" i="6"/>
  <c r="AQ54" i="6"/>
  <c r="AP54" i="6"/>
  <c r="AO54" i="6"/>
  <c r="AN54" i="6"/>
  <c r="AM54" i="6"/>
  <c r="AT53" i="6"/>
  <c r="AQ53" i="6"/>
  <c r="AP53" i="6"/>
  <c r="AO53" i="6"/>
  <c r="AN53" i="6"/>
  <c r="AU38" i="6"/>
  <c r="AT38" i="6"/>
  <c r="AS38" i="6"/>
  <c r="AR38" i="6"/>
  <c r="AQ38" i="6"/>
  <c r="AP38" i="6"/>
  <c r="AO36" i="6"/>
  <c r="AN36" i="6"/>
  <c r="AM36" i="6"/>
  <c r="AK36" i="6"/>
  <c r="AQ35" i="6"/>
  <c r="AO35" i="6"/>
  <c r="AN35" i="6"/>
  <c r="AR34" i="6"/>
  <c r="AL34" i="6"/>
  <c r="AR32" i="6"/>
  <c r="AQ32" i="6"/>
  <c r="AL32" i="6"/>
  <c r="AU20" i="6"/>
  <c r="AT20" i="6"/>
  <c r="AS20" i="6"/>
  <c r="AR20" i="6"/>
  <c r="AQ20" i="6"/>
  <c r="AP20" i="6"/>
  <c r="AO20" i="6"/>
  <c r="AN20" i="6"/>
  <c r="AM20" i="6"/>
  <c r="AL20" i="6"/>
  <c r="AK20" i="6"/>
  <c r="AT19" i="6"/>
  <c r="AS19" i="6"/>
  <c r="AR19" i="6"/>
  <c r="AP19" i="6"/>
  <c r="AO19" i="6"/>
  <c r="AN19" i="6"/>
  <c r="AM19" i="6"/>
  <c r="AL19" i="6"/>
  <c r="AK19" i="6"/>
  <c r="AU18" i="6"/>
  <c r="AT18" i="6"/>
  <c r="AS18" i="6"/>
  <c r="AR18" i="6"/>
  <c r="AQ18" i="6"/>
  <c r="AP18" i="6"/>
  <c r="AO18" i="6"/>
  <c r="AN18" i="6"/>
  <c r="AM18" i="6"/>
  <c r="AL18" i="6"/>
  <c r="AK18" i="6"/>
  <c r="AU17" i="6"/>
  <c r="AT17" i="6"/>
  <c r="AS17" i="6"/>
  <c r="AR17" i="6"/>
  <c r="AQ17" i="6"/>
  <c r="AP17" i="6"/>
  <c r="AO17" i="6"/>
  <c r="AN17" i="6"/>
  <c r="AM17" i="6"/>
  <c r="AL17" i="6"/>
  <c r="AK17" i="6"/>
  <c r="AU16" i="6"/>
  <c r="AT16" i="6"/>
  <c r="AS16" i="6"/>
  <c r="AR16" i="6"/>
  <c r="AQ16" i="6"/>
  <c r="AP16" i="6"/>
  <c r="AO16" i="6"/>
  <c r="AN16" i="6"/>
  <c r="AM16" i="6"/>
  <c r="AK16" i="6"/>
  <c r="AT15" i="6"/>
  <c r="AQ15" i="6"/>
  <c r="AP15" i="6"/>
  <c r="AO15" i="6"/>
  <c r="AN15" i="6"/>
  <c r="AK15" i="6"/>
  <c r="AA35" i="2"/>
  <c r="G14" i="35"/>
  <c r="O151" i="6"/>
  <c r="AE97" i="6"/>
  <c r="AF118" i="6"/>
  <c r="AE128" i="6"/>
  <c r="AH125" i="6"/>
  <c r="AG125" i="6"/>
  <c r="AG123" i="6"/>
  <c r="AH123" i="6"/>
  <c r="AH122" i="6"/>
  <c r="AG122" i="6"/>
  <c r="AE118" i="6"/>
  <c r="AE127" i="6" s="1"/>
  <c r="AJ56" i="6"/>
  <c r="AW48" i="6"/>
  <c r="AW56" i="6" s="1"/>
  <c r="AW86" i="6"/>
  <c r="AW94" i="6" s="1"/>
  <c r="AJ74" i="6"/>
  <c r="AJ58" i="6"/>
  <c r="AW50" i="6"/>
  <c r="AW58" i="6" s="1"/>
  <c r="AW88" i="6"/>
  <c r="AW96" i="6" s="1"/>
  <c r="AJ57" i="6"/>
  <c r="AW25" i="6"/>
  <c r="AK56" i="6"/>
  <c r="AK53" i="6"/>
  <c r="AW24" i="6"/>
  <c r="AW28" i="6"/>
  <c r="AJ19" i="6"/>
  <c r="AW11" i="6"/>
  <c r="AW7" i="6"/>
  <c r="AK55" i="6"/>
  <c r="AJ20" i="6"/>
  <c r="AW12" i="6"/>
  <c r="AW23" i="6"/>
  <c r="AJ36" i="6"/>
  <c r="AW27" i="6"/>
  <c r="AK74" i="6"/>
  <c r="AW6" i="6"/>
  <c r="AJ18" i="6"/>
  <c r="AW10" i="6"/>
  <c r="AK58" i="6"/>
  <c r="AK54" i="6"/>
  <c r="AW26" i="6"/>
  <c r="AW8" i="6"/>
  <c r="AW22" i="6"/>
  <c r="AW9" i="6"/>
  <c r="AK57" i="6"/>
  <c r="AM111" i="6"/>
  <c r="AL109" i="6"/>
  <c r="AQ112" i="6"/>
  <c r="AQ92" i="6"/>
  <c r="AN95" i="6"/>
  <c r="AS92" i="6"/>
  <c r="AK94" i="6"/>
  <c r="AO95" i="6"/>
  <c r="AT96" i="6"/>
  <c r="AN110" i="6"/>
  <c r="AT112" i="6"/>
  <c r="AS94" i="6"/>
  <c r="AM96" i="6"/>
  <c r="AN92" i="6"/>
  <c r="AP96" i="6"/>
  <c r="AT93" i="6"/>
  <c r="AS96" i="6"/>
  <c r="AK91" i="6"/>
  <c r="AT92" i="6"/>
  <c r="AL94" i="6"/>
  <c r="AP95" i="6"/>
  <c r="AU96" i="6"/>
  <c r="AO110" i="6"/>
  <c r="AU112" i="6"/>
  <c r="AR107" i="6"/>
  <c r="AN111" i="6"/>
  <c r="AT94" i="6"/>
  <c r="AM92" i="6"/>
  <c r="AU94" i="6"/>
  <c r="AO96" i="6"/>
  <c r="AO92" i="6"/>
  <c r="AU93" i="6"/>
  <c r="AN91" i="6"/>
  <c r="AU92" i="6"/>
  <c r="AM94" i="6"/>
  <c r="AR95" i="6"/>
  <c r="AQ110" i="6"/>
  <c r="AR94" i="6"/>
  <c r="AO93" i="6"/>
  <c r="AK92" i="6"/>
  <c r="AQ93" i="6"/>
  <c r="AJ95" i="6"/>
  <c r="AO91" i="6"/>
  <c r="AN94" i="6"/>
  <c r="AS95" i="6"/>
  <c r="AO111" i="6"/>
  <c r="AS93" i="6"/>
  <c r="AL95" i="6"/>
  <c r="AR96" i="6"/>
  <c r="AJ94" i="6"/>
  <c r="AP91" i="6"/>
  <c r="AK93" i="6"/>
  <c r="AO94" i="6"/>
  <c r="AT95" i="6"/>
  <c r="AN93" i="6"/>
  <c r="AK96" i="6"/>
  <c r="AP93" i="6"/>
  <c r="AK95" i="6"/>
  <c r="AP92" i="6"/>
  <c r="AQ96" i="6"/>
  <c r="AQ91" i="6"/>
  <c r="AL93" i="6"/>
  <c r="AP94" i="6"/>
  <c r="AL107" i="6"/>
  <c r="AJ111" i="6"/>
  <c r="AL96" i="6"/>
  <c r="AN96" i="6"/>
  <c r="AR93" i="6"/>
  <c r="AP112" i="6"/>
  <c r="AR109" i="6"/>
  <c r="AM95" i="6"/>
  <c r="AR112" i="6"/>
  <c r="AR92" i="6"/>
  <c r="AS112" i="6"/>
  <c r="AT91" i="6"/>
  <c r="AM93" i="6"/>
  <c r="AQ94" i="6"/>
  <c r="AJ96" i="6"/>
  <c r="AQ107" i="6"/>
  <c r="AK111" i="6"/>
  <c r="AJ21" i="6"/>
  <c r="AT97" i="6"/>
  <c r="AU59" i="6"/>
  <c r="AV86" i="6"/>
  <c r="AV94" i="6" s="1"/>
  <c r="AT81" i="6"/>
  <c r="AT114" i="6" s="1"/>
  <c r="AV88" i="6"/>
  <c r="AV96" i="6" s="1"/>
  <c r="AU81" i="6"/>
  <c r="AU114" i="6" s="1"/>
  <c r="AT59" i="6"/>
  <c r="AT43" i="6"/>
  <c r="AU43" i="6"/>
  <c r="AV48" i="6"/>
  <c r="AV56" i="6" s="1"/>
  <c r="AV50" i="6"/>
  <c r="AV58" i="6" s="1"/>
  <c r="AV8" i="6"/>
  <c r="AV12" i="6"/>
  <c r="AP21" i="6"/>
  <c r="AR21" i="6"/>
  <c r="AO21" i="6"/>
  <c r="AQ21" i="6"/>
  <c r="AS21" i="6"/>
  <c r="AT21" i="6"/>
  <c r="AU21" i="6"/>
  <c r="AL21" i="6"/>
  <c r="AM21" i="6"/>
  <c r="AN21" i="6"/>
  <c r="AK21" i="6"/>
  <c r="AV24" i="6"/>
  <c r="AS5" i="6"/>
  <c r="AU5" i="6"/>
  <c r="AT5" i="6"/>
  <c r="AR5" i="6"/>
  <c r="AV28" i="6"/>
  <c r="AJ5" i="6"/>
  <c r="AO5" i="6"/>
  <c r="AO39" i="6" s="1"/>
  <c r="AK5" i="6"/>
  <c r="AP5" i="6"/>
  <c r="AL5" i="6"/>
  <c r="AQ5" i="6"/>
  <c r="AM5" i="6"/>
  <c r="AV9" i="6"/>
  <c r="AN5" i="6"/>
  <c r="AN39" i="6" s="1"/>
  <c r="AN31" i="6" s="1"/>
  <c r="AV11" i="6"/>
  <c r="AV10" i="6"/>
  <c r="AV7" i="6"/>
  <c r="AV23" i="6"/>
  <c r="AV25" i="6"/>
  <c r="AV26" i="6"/>
  <c r="AV27" i="6"/>
  <c r="AV22" i="6"/>
  <c r="AV6" i="6"/>
  <c r="V32" i="6"/>
  <c r="V38" i="6"/>
  <c r="AD15" i="6"/>
  <c r="W16" i="6"/>
  <c r="W15" i="6"/>
  <c r="U38" i="6"/>
  <c r="U15" i="6"/>
  <c r="X15" i="6"/>
  <c r="AF53" i="6"/>
  <c r="AF15" i="6"/>
  <c r="AW125" i="6"/>
  <c r="AW123" i="6"/>
  <c r="AA22" i="2"/>
  <c r="AA46" i="2"/>
  <c r="AA45" i="2"/>
  <c r="AA44" i="2"/>
  <c r="AA43" i="2"/>
  <c r="AA42" i="2"/>
  <c r="AA41" i="2"/>
  <c r="AA40" i="2"/>
  <c r="AA39" i="2"/>
  <c r="AA38" i="2"/>
  <c r="AA37" i="2"/>
  <c r="AA36" i="2"/>
  <c r="AA34" i="2"/>
  <c r="AA33" i="2"/>
  <c r="AA32" i="2"/>
  <c r="AA31" i="2"/>
  <c r="AA30" i="2"/>
  <c r="AA29" i="2"/>
  <c r="AA26" i="2"/>
  <c r="AA25" i="2"/>
  <c r="AA24" i="2"/>
  <c r="AA23" i="2"/>
  <c r="AA21" i="2"/>
  <c r="AA20" i="2"/>
  <c r="AA19" i="2"/>
  <c r="AA18" i="2"/>
  <c r="AA17" i="2"/>
  <c r="AA16" i="2"/>
  <c r="AA15" i="2"/>
  <c r="AA14" i="2"/>
  <c r="AA12" i="2"/>
  <c r="AA11" i="2"/>
  <c r="AA10" i="2"/>
  <c r="AA9" i="2"/>
  <c r="AA7" i="2"/>
  <c r="AA5" i="2"/>
  <c r="DD210" i="1"/>
  <c r="AL210" i="1" s="1"/>
  <c r="DC210" i="1"/>
  <c r="W210" i="1" s="1"/>
  <c r="DQ210" i="1" s="1"/>
  <c r="DB210" i="1"/>
  <c r="V210" i="1" s="1"/>
  <c r="DP210" i="1" s="1"/>
  <c r="DA210" i="1"/>
  <c r="CM210" i="1" s="1"/>
  <c r="CZ210" i="1"/>
  <c r="AH210" i="1" s="1"/>
  <c r="CY210" i="1"/>
  <c r="CK210" i="1" s="1"/>
  <c r="CX210" i="1"/>
  <c r="CJ210" i="1" s="1"/>
  <c r="CW210" i="1"/>
  <c r="AE210" i="1" s="1"/>
  <c r="AN210" i="1"/>
  <c r="Y127" i="1"/>
  <c r="Y5" i="1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224" i="1"/>
  <c r="BA173" i="1"/>
  <c r="BA157" i="1" s="1"/>
  <c r="BA127" i="1" s="1"/>
  <c r="AW49" i="6"/>
  <c r="AW46" i="6"/>
  <c r="AW47" i="6"/>
  <c r="AW55" i="6" s="1"/>
  <c r="AV47" i="6"/>
  <c r="AV55" i="6" s="1"/>
  <c r="AW45" i="6"/>
  <c r="AV46" i="6"/>
  <c r="AV66" i="6"/>
  <c r="AA59" i="6"/>
  <c r="AG46" i="6"/>
  <c r="AH46" i="6"/>
  <c r="W59" i="6"/>
  <c r="AH49" i="6"/>
  <c r="AG49" i="6"/>
  <c r="Z59" i="6"/>
  <c r="Z43" i="6"/>
  <c r="AH66" i="6"/>
  <c r="AG66" i="6"/>
  <c r="AB43" i="6"/>
  <c r="W43" i="6"/>
  <c r="AG65" i="6"/>
  <c r="AH65" i="6"/>
  <c r="AH63" i="6"/>
  <c r="AG63" i="6"/>
  <c r="AH62" i="6"/>
  <c r="AG62" i="6"/>
  <c r="X59" i="6"/>
  <c r="AW66" i="6"/>
  <c r="Y59" i="6"/>
  <c r="AD59" i="6"/>
  <c r="AV45" i="6"/>
  <c r="X43" i="6"/>
  <c r="Y43" i="6"/>
  <c r="AH64" i="6"/>
  <c r="AG64" i="6"/>
  <c r="AH61" i="6"/>
  <c r="AG61" i="6"/>
  <c r="AC43" i="6"/>
  <c r="AH44" i="6"/>
  <c r="U43" i="6"/>
  <c r="AG44" i="6"/>
  <c r="AD43" i="6"/>
  <c r="AA43" i="6"/>
  <c r="AA77" i="6" s="1"/>
  <c r="AC59" i="6"/>
  <c r="U59" i="6"/>
  <c r="AH45" i="6"/>
  <c r="AG45" i="6"/>
  <c r="V59" i="6"/>
  <c r="V43" i="6"/>
  <c r="AW64" i="6"/>
  <c r="AW61" i="6"/>
  <c r="AW44" i="6"/>
  <c r="AW62" i="6"/>
  <c r="AW63" i="6"/>
  <c r="AW65" i="6"/>
  <c r="AV49" i="6"/>
  <c r="AR43" i="6"/>
  <c r="AP43" i="6"/>
  <c r="AO43" i="6"/>
  <c r="AN43" i="6"/>
  <c r="AL43" i="6"/>
  <c r="AS43" i="6"/>
  <c r="AM43" i="6"/>
  <c r="AQ43" i="6"/>
  <c r="AK43" i="6"/>
  <c r="AS59" i="6"/>
  <c r="AO59" i="6"/>
  <c r="AV64" i="6"/>
  <c r="AV61" i="6"/>
  <c r="AK59" i="6"/>
  <c r="AP59" i="6"/>
  <c r="AM59" i="6"/>
  <c r="AV63" i="6"/>
  <c r="AJ59" i="6"/>
  <c r="AV44" i="6"/>
  <c r="AJ43" i="6"/>
  <c r="AV65" i="6"/>
  <c r="AL59" i="6"/>
  <c r="AV62" i="6"/>
  <c r="AN59" i="6"/>
  <c r="AR59" i="6"/>
  <c r="V70" i="6"/>
  <c r="V76" i="6"/>
  <c r="AJ55" i="6"/>
  <c r="ED37" i="1"/>
  <c r="EC9" i="1"/>
  <c r="EB44" i="1"/>
  <c r="EB37" i="1"/>
  <c r="EA82" i="1"/>
  <c r="DX139" i="1"/>
  <c r="EC17" i="1"/>
  <c r="EB35" i="1"/>
  <c r="EA40" i="1"/>
  <c r="DZ16" i="1"/>
  <c r="DY123" i="1"/>
  <c r="DY82" i="1"/>
  <c r="EB17" i="1"/>
  <c r="EB40" i="1"/>
  <c r="ED87" i="1"/>
  <c r="DY132" i="1"/>
  <c r="DX132" i="1"/>
  <c r="ED48" i="1"/>
  <c r="EB39" i="1"/>
  <c r="EB20" i="1"/>
  <c r="P65" i="36" s="1"/>
  <c r="ED62" i="1"/>
  <c r="EC6" i="1"/>
  <c r="ED42" i="1"/>
  <c r="EB59" i="1"/>
  <c r="ED35" i="1"/>
  <c r="EC30" i="1"/>
  <c r="EB68" i="1"/>
  <c r="DW38" i="1"/>
  <c r="EC25" i="1"/>
  <c r="EB6" i="1"/>
  <c r="ED6" i="1"/>
  <c r="EB128" i="1"/>
  <c r="DX21" i="1"/>
  <c r="L68" i="36" s="1"/>
  <c r="DW83" i="1"/>
  <c r="EB10" i="1"/>
  <c r="DW36" i="1"/>
  <c r="EB34" i="1"/>
  <c r="EA20" i="1"/>
  <c r="O65" i="36" s="1"/>
  <c r="ED20" i="1"/>
  <c r="R65" i="36" s="1"/>
  <c r="EC23" i="1"/>
  <c r="ED17" i="1"/>
  <c r="ED211" i="1"/>
  <c r="EB56" i="1"/>
  <c r="EA68" i="1"/>
  <c r="DY61" i="1"/>
  <c r="DZ15" i="1"/>
  <c r="DW22" i="1"/>
  <c r="EC34" i="1"/>
  <c r="ED79" i="1"/>
  <c r="DX52" i="1"/>
  <c r="EC128" i="1"/>
  <c r="EC84" i="1"/>
  <c r="EB77" i="1"/>
  <c r="ED18" i="1"/>
  <c r="EC44" i="1"/>
  <c r="EC13" i="1"/>
  <c r="Q73" i="36" s="1"/>
  <c r="EB9" i="1"/>
  <c r="DX51" i="1"/>
  <c r="DZ14" i="1"/>
  <c r="ED73" i="1"/>
  <c r="ED40" i="1"/>
  <c r="EC20" i="1"/>
  <c r="Q65" i="36" s="1"/>
  <c r="EB139" i="1"/>
  <c r="EA14" i="1"/>
  <c r="DY47" i="1"/>
  <c r="DW143" i="1"/>
  <c r="DY38" i="1"/>
  <c r="DW8" i="1"/>
  <c r="ED63" i="1"/>
  <c r="ED82" i="1"/>
  <c r="EC22" i="1"/>
  <c r="EA61" i="1"/>
  <c r="DY22" i="1"/>
  <c r="DX40" i="1"/>
  <c r="AJ54" i="6"/>
  <c r="AJ70" i="6"/>
  <c r="AD53" i="6"/>
  <c r="ED122" i="1"/>
  <c r="R81" i="36" s="1"/>
  <c r="U53" i="6"/>
  <c r="U76" i="6"/>
  <c r="W54" i="6"/>
  <c r="W53" i="6"/>
  <c r="ED13" i="1"/>
  <c r="R73" i="36" s="1"/>
  <c r="DX125" i="1"/>
  <c r="X53" i="6"/>
  <c r="DZ23" i="1"/>
  <c r="EC53" i="1"/>
  <c r="DV64" i="8"/>
  <c r="EB214" i="1"/>
  <c r="EC26" i="1"/>
  <c r="DW7" i="8"/>
  <c r="DS10" i="8"/>
  <c r="DZ32" i="1"/>
  <c r="N64" i="36" s="1"/>
  <c r="DT10" i="8"/>
  <c r="EA158" i="1"/>
  <c r="DU42" i="8"/>
  <c r="DX55" i="8"/>
  <c r="ED183" i="1"/>
  <c r="EA31" i="1"/>
  <c r="DX224" i="1"/>
  <c r="DV8" i="8"/>
  <c r="EB11" i="1"/>
  <c r="DW136" i="1"/>
  <c r="DQ12" i="8"/>
  <c r="EC129" i="1"/>
  <c r="DW34" i="8"/>
  <c r="DX30" i="8"/>
  <c r="ED128" i="1"/>
  <c r="EC42" i="1"/>
  <c r="DW9" i="8"/>
  <c r="DZ166" i="1"/>
  <c r="DT50" i="8"/>
  <c r="DX164" i="1"/>
  <c r="DR49" i="8"/>
  <c r="DW212" i="1"/>
  <c r="DQ63" i="8"/>
  <c r="DW10" i="8"/>
  <c r="EC32" i="1"/>
  <c r="Q64" i="36" s="1"/>
  <c r="EA210" i="1"/>
  <c r="DU61" i="8"/>
  <c r="ED160" i="1"/>
  <c r="R72" i="36" s="1"/>
  <c r="DX45" i="8"/>
  <c r="DY138" i="1"/>
  <c r="DV31" i="8"/>
  <c r="EB131" i="1"/>
  <c r="EA123" i="1"/>
  <c r="EA88" i="1"/>
  <c r="DU13" i="8"/>
  <c r="DY166" i="1"/>
  <c r="DS50" i="8"/>
  <c r="DW12" i="8"/>
  <c r="DZ224" i="1"/>
  <c r="DT69" i="8"/>
  <c r="ED51" i="1"/>
  <c r="DX7" i="8"/>
  <c r="EB212" i="1"/>
  <c r="DV63" i="8"/>
  <c r="DV9" i="8"/>
  <c r="EB42" i="1"/>
  <c r="EC122" i="1"/>
  <c r="Q81" i="36" s="1"/>
  <c r="DW26" i="8"/>
  <c r="DW35" i="1"/>
  <c r="EB60" i="1"/>
  <c r="DV11" i="8"/>
  <c r="DY25" i="1"/>
  <c r="EC184" i="1"/>
  <c r="DW57" i="8"/>
  <c r="DW117" i="1"/>
  <c r="DQ24" i="8"/>
  <c r="DX9" i="8"/>
  <c r="ED53" i="1"/>
  <c r="EC221" i="1"/>
  <c r="DW61" i="8"/>
  <c r="EB51" i="1"/>
  <c r="ED129" i="1"/>
  <c r="DX34" i="8"/>
  <c r="EB57" i="1"/>
  <c r="EB19" i="1"/>
  <c r="DV7" i="8"/>
  <c r="DY121" i="1"/>
  <c r="DS25" i="8"/>
  <c r="DX176" i="1"/>
  <c r="DW30" i="8"/>
  <c r="EC137" i="1"/>
  <c r="DQ32" i="8"/>
  <c r="DW134" i="1"/>
  <c r="EA50" i="1"/>
  <c r="DV34" i="8"/>
  <c r="EB129" i="1"/>
  <c r="EC146" i="1"/>
  <c r="DW38" i="8"/>
  <c r="DX163" i="1"/>
  <c r="EA39" i="1"/>
  <c r="DY149" i="1"/>
  <c r="DX136" i="1"/>
  <c r="DY125" i="1"/>
  <c r="DU12" i="8"/>
  <c r="DW32" i="8"/>
  <c r="EC148" i="1"/>
  <c r="DZ125" i="1"/>
  <c r="DW208" i="1"/>
  <c r="DW54" i="8"/>
  <c r="EC185" i="1"/>
  <c r="ED182" i="1"/>
  <c r="DX54" i="8"/>
  <c r="DW144" i="1"/>
  <c r="DS14" i="8"/>
  <c r="DW31" i="8"/>
  <c r="EC131" i="1"/>
  <c r="DW32" i="1"/>
  <c r="K64" i="36" s="1"/>
  <c r="DQ10" i="8"/>
  <c r="EB208" i="1"/>
  <c r="DV60" i="8"/>
  <c r="ED209" i="1"/>
  <c r="DX62" i="8"/>
  <c r="DZ86" i="1"/>
  <c r="EB162" i="1"/>
  <c r="DV44" i="8"/>
  <c r="DW33" i="8"/>
  <c r="EC130" i="1"/>
  <c r="ED125" i="1"/>
  <c r="DX26" i="8"/>
  <c r="DX60" i="8"/>
  <c r="ED208" i="1"/>
  <c r="DW176" i="1"/>
  <c r="DY42" i="1"/>
  <c r="DW145" i="1"/>
  <c r="DQ37" i="8"/>
  <c r="EA180" i="1"/>
  <c r="EA139" i="1"/>
  <c r="DX31" i="1"/>
  <c r="DR12" i="8"/>
  <c r="EB32" i="1"/>
  <c r="P64" i="36" s="1"/>
  <c r="DV10" i="8"/>
  <c r="DV42" i="8"/>
  <c r="EB159" i="1"/>
  <c r="DV67" i="8"/>
  <c r="EB216" i="1"/>
  <c r="DW11" i="8"/>
  <c r="EC86" i="1"/>
  <c r="DW19" i="1"/>
  <c r="DW142" i="1"/>
  <c r="DW6" i="8"/>
  <c r="EC57" i="1"/>
  <c r="DV45" i="8"/>
  <c r="EB160" i="1"/>
  <c r="P72" i="36" s="1"/>
  <c r="DV12" i="8"/>
  <c r="DX38" i="1"/>
  <c r="DR10" i="8"/>
  <c r="ED184" i="1"/>
  <c r="DX57" i="8"/>
  <c r="ED131" i="1"/>
  <c r="DX31" i="8"/>
  <c r="DZ41" i="1"/>
  <c r="ED162" i="1"/>
  <c r="DX44" i="8"/>
  <c r="DR50" i="8"/>
  <c r="DX166" i="1"/>
  <c r="DX10" i="8"/>
  <c r="ED32" i="1"/>
  <c r="R64" i="36" s="1"/>
  <c r="ED86" i="1"/>
  <c r="DX11" i="8"/>
  <c r="DR26" i="8"/>
  <c r="DX122" i="1"/>
  <c r="L81" i="36" s="1"/>
  <c r="EB137" i="1"/>
  <c r="DV30" i="8"/>
  <c r="DX41" i="1"/>
  <c r="EB53" i="1"/>
  <c r="EB215" i="1"/>
  <c r="DV65" i="8"/>
  <c r="DW132" i="1"/>
  <c r="DV33" i="8"/>
  <c r="EB130" i="1"/>
  <c r="ED181" i="1"/>
  <c r="DX53" i="8"/>
  <c r="EA32" i="1"/>
  <c r="O64" i="36" s="1"/>
  <c r="DU10" i="8"/>
  <c r="ED34" i="1"/>
  <c r="DX6" i="8"/>
  <c r="AW87" i="6"/>
  <c r="AU118" i="6"/>
  <c r="AO5" i="1"/>
  <c r="AQ5" i="1"/>
  <c r="AT5" i="1"/>
  <c r="AU5" i="1"/>
  <c r="AV5" i="1"/>
  <c r="AW5" i="1"/>
  <c r="AX5" i="1"/>
  <c r="AZ5" i="1"/>
  <c r="AY5" i="1"/>
  <c r="AN209" i="1"/>
  <c r="AN223" i="1"/>
  <c r="AN211" i="1"/>
  <c r="AN224" i="1"/>
  <c r="AN186" i="1"/>
  <c r="AN212" i="1"/>
  <c r="AN214" i="1"/>
  <c r="AN215" i="1"/>
  <c r="AN216" i="1"/>
  <c r="AN221" i="1"/>
  <c r="AN208" i="1"/>
  <c r="AN126" i="1"/>
  <c r="AN123" i="1"/>
  <c r="AN125" i="1"/>
  <c r="AN122" i="1"/>
  <c r="AN121" i="1"/>
  <c r="AN119" i="1"/>
  <c r="AN118" i="1"/>
  <c r="AN117" i="1"/>
  <c r="AN116" i="1"/>
  <c r="AN175" i="1"/>
  <c r="AN176" i="1"/>
  <c r="AN178" i="1"/>
  <c r="AN179" i="1"/>
  <c r="AN180" i="1"/>
  <c r="AN181" i="1"/>
  <c r="AN182" i="1"/>
  <c r="AN183" i="1"/>
  <c r="AN184" i="1"/>
  <c r="AN185" i="1"/>
  <c r="AN206" i="1"/>
  <c r="AN161" i="1"/>
  <c r="AN162" i="1"/>
  <c r="AN160" i="1"/>
  <c r="AN163" i="1"/>
  <c r="AN164" i="1"/>
  <c r="AN166" i="1"/>
  <c r="AN174" i="1"/>
  <c r="AN132" i="1"/>
  <c r="AN137" i="1"/>
  <c r="AN139" i="1"/>
  <c r="AN146" i="1"/>
  <c r="AN158" i="1"/>
  <c r="AN159" i="1"/>
  <c r="AN128" i="1"/>
  <c r="Z118" i="6"/>
  <c r="Z127" i="6" s="1"/>
  <c r="Z81" i="6"/>
  <c r="Z114" i="6" s="1"/>
  <c r="Y97" i="6"/>
  <c r="AD97" i="6"/>
  <c r="AG87" i="6"/>
  <c r="AH87" i="6"/>
  <c r="X118" i="6"/>
  <c r="X127" i="6" s="1"/>
  <c r="X81" i="6"/>
  <c r="AG84" i="6"/>
  <c r="AH84" i="6"/>
  <c r="AD81" i="6"/>
  <c r="AC97" i="6"/>
  <c r="X97" i="6"/>
  <c r="W97" i="6"/>
  <c r="AB81" i="6"/>
  <c r="AB114" i="6" s="1"/>
  <c r="AC118" i="6"/>
  <c r="AC127" i="6" s="1"/>
  <c r="AC81" i="6"/>
  <c r="W81" i="6"/>
  <c r="AG103" i="6"/>
  <c r="AH103" i="6"/>
  <c r="AW103" i="6"/>
  <c r="AO118" i="6"/>
  <c r="AW124" i="6"/>
  <c r="AS81" i="6"/>
  <c r="AS114" i="6" s="1"/>
  <c r="AM81" i="6"/>
  <c r="AV103" i="6"/>
  <c r="AQ81" i="6"/>
  <c r="AQ114" i="6" s="1"/>
  <c r="AR81" i="6"/>
  <c r="AR97" i="6"/>
  <c r="AL97" i="6"/>
  <c r="AS97" i="6"/>
  <c r="AM97" i="6"/>
  <c r="AM113" i="6" s="1"/>
  <c r="AM109" i="6" s="1"/>
  <c r="AL81" i="6"/>
  <c r="AL114" i="6" s="1"/>
  <c r="AV87" i="6"/>
  <c r="AO81" i="6"/>
  <c r="AO114" i="6" s="1"/>
  <c r="AN97" i="6"/>
  <c r="W118" i="6"/>
  <c r="W127" i="6" s="1"/>
  <c r="W128" i="6"/>
  <c r="W137" i="6" s="1"/>
  <c r="Y128" i="6"/>
  <c r="AD118" i="6"/>
  <c r="X128" i="6"/>
  <c r="AH121" i="6"/>
  <c r="AG121" i="6"/>
  <c r="AB118" i="6"/>
  <c r="AD128" i="6"/>
  <c r="AH124" i="6"/>
  <c r="AG124" i="6"/>
  <c r="AC128" i="6"/>
  <c r="AH134" i="6"/>
  <c r="AG134" i="6"/>
  <c r="AW134" i="6"/>
  <c r="AL118" i="6"/>
  <c r="AM128" i="6"/>
  <c r="AM138" i="6" s="1"/>
  <c r="AM136" i="6" s="1"/>
  <c r="AL128" i="6"/>
  <c r="AM118" i="6"/>
  <c r="AR118" i="6"/>
  <c r="AN128" i="6"/>
  <c r="AR128" i="6"/>
  <c r="AQ118" i="6"/>
  <c r="A209" i="1"/>
  <c r="A210" i="1" s="1"/>
  <c r="A211" i="1" s="1"/>
  <c r="A212" i="1" s="1"/>
  <c r="DD183" i="1"/>
  <c r="CP183" i="1" s="1"/>
  <c r="DC183" i="1"/>
  <c r="W183" i="1" s="1"/>
  <c r="BM183" i="1" s="1"/>
  <c r="CA183" i="1" s="1"/>
  <c r="DB183" i="1"/>
  <c r="V183" i="1" s="1"/>
  <c r="DP183" i="1" s="1"/>
  <c r="DA183" i="1"/>
  <c r="CM183" i="1" s="1"/>
  <c r="CZ183" i="1"/>
  <c r="AH183" i="1" s="1"/>
  <c r="CY183" i="1"/>
  <c r="S183" i="1" s="1"/>
  <c r="BI183" i="1" s="1"/>
  <c r="BW183" i="1" s="1"/>
  <c r="CX183" i="1"/>
  <c r="CJ183" i="1" s="1"/>
  <c r="CW183" i="1"/>
  <c r="AE183" i="1" s="1"/>
  <c r="DD182" i="1"/>
  <c r="CP182" i="1" s="1"/>
  <c r="DC182" i="1"/>
  <c r="W182" i="1" s="1"/>
  <c r="BM182" i="1" s="1"/>
  <c r="CA182" i="1" s="1"/>
  <c r="DB182" i="1"/>
  <c r="V182" i="1" s="1"/>
  <c r="DP182" i="1" s="1"/>
  <c r="DA182" i="1"/>
  <c r="CZ182" i="1"/>
  <c r="CL182" i="1" s="1"/>
  <c r="CY182" i="1"/>
  <c r="S182" i="1" s="1"/>
  <c r="BI182" i="1" s="1"/>
  <c r="BW182" i="1" s="1"/>
  <c r="CX182" i="1"/>
  <c r="AF182" i="1" s="1"/>
  <c r="CW182" i="1"/>
  <c r="AE182" i="1" s="1"/>
  <c r="DD209" i="1"/>
  <c r="CP209" i="1" s="1"/>
  <c r="DC209" i="1"/>
  <c r="CO209" i="1" s="1"/>
  <c r="DB209" i="1"/>
  <c r="V209" i="1" s="1"/>
  <c r="DP209" i="1" s="1"/>
  <c r="DA209" i="1"/>
  <c r="CM209" i="1" s="1"/>
  <c r="CZ209" i="1"/>
  <c r="CL209" i="1" s="1"/>
  <c r="CY209" i="1"/>
  <c r="CK209" i="1" s="1"/>
  <c r="CX209" i="1"/>
  <c r="R209" i="1" s="1"/>
  <c r="BH209" i="1" s="1"/>
  <c r="BV209" i="1" s="1"/>
  <c r="CW209" i="1"/>
  <c r="AE209" i="1" s="1"/>
  <c r="DD73" i="1"/>
  <c r="CP73" i="1" s="1"/>
  <c r="DC73" i="1"/>
  <c r="CO73" i="1" s="1"/>
  <c r="DB73" i="1"/>
  <c r="AJ73" i="1" s="1"/>
  <c r="DA73" i="1"/>
  <c r="AI73" i="1" s="1"/>
  <c r="CZ73" i="1"/>
  <c r="AH73" i="1" s="1"/>
  <c r="CY73" i="1"/>
  <c r="S73" i="1" s="1"/>
  <c r="DM73" i="1" s="1"/>
  <c r="CX73" i="1"/>
  <c r="R73" i="1" s="1"/>
  <c r="DL73" i="1" s="1"/>
  <c r="CW73" i="1"/>
  <c r="Q73" i="1" s="1"/>
  <c r="DK73" i="1" s="1"/>
  <c r="DD79" i="1"/>
  <c r="AL79" i="1" s="1"/>
  <c r="DC79" i="1"/>
  <c r="CO79" i="1" s="1"/>
  <c r="DB79" i="1"/>
  <c r="V79" i="1" s="1"/>
  <c r="DP79" i="1" s="1"/>
  <c r="DA79" i="1"/>
  <c r="CM79" i="1" s="1"/>
  <c r="CZ79" i="1"/>
  <c r="AH79" i="1" s="1"/>
  <c r="CY79" i="1"/>
  <c r="AG79" i="1" s="1"/>
  <c r="CX79" i="1"/>
  <c r="R79" i="1" s="1"/>
  <c r="CW79" i="1"/>
  <c r="CI79" i="1" s="1"/>
  <c r="DD87" i="1"/>
  <c r="X87" i="1" s="1"/>
  <c r="DR87" i="1" s="1"/>
  <c r="DC87" i="1"/>
  <c r="W87" i="1" s="1"/>
  <c r="BM87" i="1" s="1"/>
  <c r="CA87" i="1" s="1"/>
  <c r="DB87" i="1"/>
  <c r="AJ87" i="1" s="1"/>
  <c r="DA87" i="1"/>
  <c r="CZ87" i="1"/>
  <c r="CL87" i="1" s="1"/>
  <c r="CY87" i="1"/>
  <c r="CK87" i="1" s="1"/>
  <c r="CX87" i="1"/>
  <c r="AF87" i="1" s="1"/>
  <c r="CW87" i="1"/>
  <c r="CI87" i="1" s="1"/>
  <c r="DD63" i="1"/>
  <c r="AL63" i="1" s="1"/>
  <c r="DC63" i="1"/>
  <c r="AK63" i="1" s="1"/>
  <c r="DB63" i="1"/>
  <c r="V63" i="1" s="1"/>
  <c r="BL63" i="1" s="1"/>
  <c r="BZ63" i="1" s="1"/>
  <c r="DA63" i="1"/>
  <c r="U63" i="1" s="1"/>
  <c r="DO63" i="1" s="1"/>
  <c r="CZ63" i="1"/>
  <c r="T63" i="1" s="1"/>
  <c r="DN63" i="1" s="1"/>
  <c r="CY63" i="1"/>
  <c r="S63" i="1" s="1"/>
  <c r="DM63" i="1" s="1"/>
  <c r="CX63" i="1"/>
  <c r="CW63" i="1"/>
  <c r="CI63" i="1" s="1"/>
  <c r="DD62" i="1"/>
  <c r="CP62" i="1" s="1"/>
  <c r="DC62" i="1"/>
  <c r="W62" i="1" s="1"/>
  <c r="DB62" i="1"/>
  <c r="V62" i="1" s="1"/>
  <c r="DP62" i="1" s="1"/>
  <c r="DA62" i="1"/>
  <c r="U62" i="1" s="1"/>
  <c r="CZ62" i="1"/>
  <c r="CL62" i="1" s="1"/>
  <c r="CY62" i="1"/>
  <c r="S62" i="1" s="1"/>
  <c r="DM62" i="1" s="1"/>
  <c r="CX62" i="1"/>
  <c r="CJ62" i="1" s="1"/>
  <c r="CW62" i="1"/>
  <c r="AE62" i="1" s="1"/>
  <c r="DD18" i="1"/>
  <c r="AL18" i="1" s="1"/>
  <c r="DC18" i="1"/>
  <c r="CO18" i="1" s="1"/>
  <c r="DB18" i="1"/>
  <c r="V18" i="1" s="1"/>
  <c r="DP18" i="1" s="1"/>
  <c r="DA18" i="1"/>
  <c r="AI18" i="1" s="1"/>
  <c r="CZ18" i="1"/>
  <c r="T18" i="1" s="1"/>
  <c r="BJ18" i="1" s="1"/>
  <c r="BX18" i="1" s="1"/>
  <c r="CY18" i="1"/>
  <c r="S18" i="1" s="1"/>
  <c r="DM18" i="1" s="1"/>
  <c r="CX18" i="1"/>
  <c r="R18" i="1" s="1"/>
  <c r="DL18" i="1" s="1"/>
  <c r="CW18" i="1"/>
  <c r="CI18" i="1" s="1"/>
  <c r="DD48" i="1"/>
  <c r="CP48" i="1" s="1"/>
  <c r="DC48" i="1"/>
  <c r="AK48" i="1" s="1"/>
  <c r="DB48" i="1"/>
  <c r="V48" i="1" s="1"/>
  <c r="BL48" i="1" s="1"/>
  <c r="BZ48" i="1" s="1"/>
  <c r="DA48" i="1"/>
  <c r="U48" i="1" s="1"/>
  <c r="CZ48" i="1"/>
  <c r="AH48" i="1" s="1"/>
  <c r="CY48" i="1"/>
  <c r="S48" i="1" s="1"/>
  <c r="BI48" i="1" s="1"/>
  <c r="BW48" i="1" s="1"/>
  <c r="CX48" i="1"/>
  <c r="AF48" i="1" s="1"/>
  <c r="CW48" i="1"/>
  <c r="AE48" i="1" s="1"/>
  <c r="DD136" i="1"/>
  <c r="AL136" i="1" s="1"/>
  <c r="DC136" i="1"/>
  <c r="AK136" i="1" s="1"/>
  <c r="DB136" i="1"/>
  <c r="CN136" i="1" s="1"/>
  <c r="DA136" i="1"/>
  <c r="AI136" i="1" s="1"/>
  <c r="CZ136" i="1"/>
  <c r="CL136" i="1" s="1"/>
  <c r="CY136" i="1"/>
  <c r="S136" i="1" s="1"/>
  <c r="CX136" i="1"/>
  <c r="CW136" i="1"/>
  <c r="Q136" i="1" s="1"/>
  <c r="BG136" i="1" s="1"/>
  <c r="BU136" i="1" s="1"/>
  <c r="DD186" i="1"/>
  <c r="X186" i="1" s="1"/>
  <c r="DR186" i="1" s="1"/>
  <c r="DC186" i="1"/>
  <c r="AK186" i="1" s="1"/>
  <c r="DB186" i="1"/>
  <c r="AJ186" i="1" s="1"/>
  <c r="DA186" i="1"/>
  <c r="CZ186" i="1"/>
  <c r="CL186" i="1" s="1"/>
  <c r="CY186" i="1"/>
  <c r="CK186" i="1" s="1"/>
  <c r="CX186" i="1"/>
  <c r="R186" i="1" s="1"/>
  <c r="DL186" i="1" s="1"/>
  <c r="CW186" i="1"/>
  <c r="CI186" i="1" s="1"/>
  <c r="DD37" i="1"/>
  <c r="CP37" i="1" s="1"/>
  <c r="DC37" i="1"/>
  <c r="CO37" i="1" s="1"/>
  <c r="DB37" i="1"/>
  <c r="AJ37" i="1" s="1"/>
  <c r="DA37" i="1"/>
  <c r="AI37" i="1" s="1"/>
  <c r="CZ37" i="1"/>
  <c r="CL37" i="1" s="1"/>
  <c r="CY37" i="1"/>
  <c r="AG37" i="1" s="1"/>
  <c r="CX37" i="1"/>
  <c r="R37" i="1" s="1"/>
  <c r="BH37" i="1" s="1"/>
  <c r="BV37" i="1" s="1"/>
  <c r="CW37" i="1"/>
  <c r="Q37" i="1" s="1"/>
  <c r="DK37" i="1" s="1"/>
  <c r="DD121" i="1"/>
  <c r="CP121" i="1" s="1"/>
  <c r="DC121" i="1"/>
  <c r="AK121" i="1" s="1"/>
  <c r="DB121" i="1"/>
  <c r="AJ121" i="1" s="1"/>
  <c r="DA121" i="1"/>
  <c r="CZ121" i="1"/>
  <c r="T121" i="1" s="1"/>
  <c r="DN121" i="1" s="1"/>
  <c r="CY121" i="1"/>
  <c r="CK121" i="1" s="1"/>
  <c r="CX121" i="1"/>
  <c r="AF121" i="1" s="1"/>
  <c r="CW121" i="1"/>
  <c r="Q121" i="1" s="1"/>
  <c r="BG121" i="1" s="1"/>
  <c r="BU121" i="1" s="1"/>
  <c r="DD166" i="1"/>
  <c r="CP166" i="1" s="1"/>
  <c r="DC166" i="1"/>
  <c r="AK166" i="1" s="1"/>
  <c r="DB166" i="1"/>
  <c r="CN166" i="1" s="1"/>
  <c r="DA166" i="1"/>
  <c r="AI166" i="1" s="1"/>
  <c r="CZ166" i="1"/>
  <c r="T166" i="1" s="1"/>
  <c r="BJ166" i="1" s="1"/>
  <c r="BX166" i="1" s="1"/>
  <c r="CY166" i="1"/>
  <c r="CK166" i="1" s="1"/>
  <c r="CX166" i="1"/>
  <c r="CJ166" i="1" s="1"/>
  <c r="CW166" i="1"/>
  <c r="AE166" i="1" s="1"/>
  <c r="DD164" i="1"/>
  <c r="CP164" i="1" s="1"/>
  <c r="DC164" i="1"/>
  <c r="CO164" i="1" s="1"/>
  <c r="DB164" i="1"/>
  <c r="V164" i="1" s="1"/>
  <c r="DA164" i="1"/>
  <c r="CZ164" i="1"/>
  <c r="AH164" i="1" s="1"/>
  <c r="CY164" i="1"/>
  <c r="CX164" i="1"/>
  <c r="CW164" i="1"/>
  <c r="CI164" i="1" s="1"/>
  <c r="DD163" i="1"/>
  <c r="CP163" i="1" s="1"/>
  <c r="DC163" i="1"/>
  <c r="AK163" i="1" s="1"/>
  <c r="DB163" i="1"/>
  <c r="V163" i="1" s="1"/>
  <c r="BL163" i="1" s="1"/>
  <c r="BZ163" i="1" s="1"/>
  <c r="DA163" i="1"/>
  <c r="CZ163" i="1"/>
  <c r="CL163" i="1" s="1"/>
  <c r="CY163" i="1"/>
  <c r="CX163" i="1"/>
  <c r="R163" i="1" s="1"/>
  <c r="BH163" i="1" s="1"/>
  <c r="BV163" i="1" s="1"/>
  <c r="CW163" i="1"/>
  <c r="Q163" i="1" s="1"/>
  <c r="DK163" i="1" s="1"/>
  <c r="DD160" i="1"/>
  <c r="CP160" i="1" s="1"/>
  <c r="DC160" i="1"/>
  <c r="CO160" i="1" s="1"/>
  <c r="DB160" i="1"/>
  <c r="CN160" i="1" s="1"/>
  <c r="DA160" i="1"/>
  <c r="U160" i="1" s="1"/>
  <c r="DO160" i="1" s="1"/>
  <c r="CZ160" i="1"/>
  <c r="AH160" i="1" s="1"/>
  <c r="CY160" i="1"/>
  <c r="O15" i="36" s="1"/>
  <c r="CX160" i="1"/>
  <c r="R160" i="1" s="1"/>
  <c r="DL160" i="1" s="1"/>
  <c r="CW160" i="1"/>
  <c r="CI160" i="1" s="1"/>
  <c r="X91" i="6"/>
  <c r="W91" i="6"/>
  <c r="W92" i="6"/>
  <c r="AD91" i="6"/>
  <c r="DD221" i="1"/>
  <c r="CP221" i="1" s="1"/>
  <c r="DC221" i="1"/>
  <c r="W221" i="1" s="1"/>
  <c r="DB221" i="1"/>
  <c r="AJ221" i="1" s="1"/>
  <c r="DA221" i="1"/>
  <c r="AI221" i="1" s="1"/>
  <c r="CZ221" i="1"/>
  <c r="CL221" i="1" s="1"/>
  <c r="CY221" i="1"/>
  <c r="AG221" i="1" s="1"/>
  <c r="CX221" i="1"/>
  <c r="R221" i="1" s="1"/>
  <c r="DL221" i="1" s="1"/>
  <c r="CW221" i="1"/>
  <c r="AE221" i="1" s="1"/>
  <c r="DD216" i="1"/>
  <c r="X216" i="1" s="1"/>
  <c r="DR216" i="1" s="1"/>
  <c r="DC216" i="1"/>
  <c r="CO216" i="1" s="1"/>
  <c r="DB216" i="1"/>
  <c r="AJ216" i="1" s="1"/>
  <c r="DA216" i="1"/>
  <c r="CZ216" i="1"/>
  <c r="CL216" i="1" s="1"/>
  <c r="CY216" i="1"/>
  <c r="CX216" i="1"/>
  <c r="R216" i="1" s="1"/>
  <c r="DL216" i="1" s="1"/>
  <c r="CW216" i="1"/>
  <c r="AE216" i="1" s="1"/>
  <c r="DD215" i="1"/>
  <c r="CP215" i="1" s="1"/>
  <c r="DC215" i="1"/>
  <c r="DB215" i="1"/>
  <c r="AJ215" i="1" s="1"/>
  <c r="DA215" i="1"/>
  <c r="CZ215" i="1"/>
  <c r="AH215" i="1" s="1"/>
  <c r="CY215" i="1"/>
  <c r="CX215" i="1"/>
  <c r="CJ215" i="1" s="1"/>
  <c r="CW215" i="1"/>
  <c r="Q215" i="1" s="1"/>
  <c r="DK215" i="1" s="1"/>
  <c r="DD214" i="1"/>
  <c r="AL214" i="1" s="1"/>
  <c r="DC214" i="1"/>
  <c r="CO214" i="1" s="1"/>
  <c r="DB214" i="1"/>
  <c r="AJ214" i="1" s="1"/>
  <c r="DA214" i="1"/>
  <c r="CM214" i="1" s="1"/>
  <c r="CZ214" i="1"/>
  <c r="T214" i="1" s="1"/>
  <c r="BJ214" i="1" s="1"/>
  <c r="BX214" i="1" s="1"/>
  <c r="CY214" i="1"/>
  <c r="S214" i="1" s="1"/>
  <c r="DM214" i="1" s="1"/>
  <c r="CX214" i="1"/>
  <c r="AF214" i="1" s="1"/>
  <c r="CW214" i="1"/>
  <c r="CI214" i="1" s="1"/>
  <c r="DD212" i="1"/>
  <c r="CP212" i="1" s="1"/>
  <c r="DC212" i="1"/>
  <c r="W212" i="1" s="1"/>
  <c r="BM212" i="1" s="1"/>
  <c r="CA212" i="1" s="1"/>
  <c r="DB212" i="1"/>
  <c r="V212" i="1" s="1"/>
  <c r="DP212" i="1" s="1"/>
  <c r="DA212" i="1"/>
  <c r="AI212" i="1" s="1"/>
  <c r="CZ212" i="1"/>
  <c r="AH212" i="1" s="1"/>
  <c r="CY212" i="1"/>
  <c r="CK212" i="1" s="1"/>
  <c r="CX212" i="1"/>
  <c r="R212" i="1" s="1"/>
  <c r="BH212" i="1" s="1"/>
  <c r="BV212" i="1" s="1"/>
  <c r="CW212" i="1"/>
  <c r="Q212" i="1" s="1"/>
  <c r="BG212" i="1" s="1"/>
  <c r="BU212" i="1" s="1"/>
  <c r="DD224" i="1"/>
  <c r="AL224" i="1" s="1"/>
  <c r="DC224" i="1"/>
  <c r="CO224" i="1" s="1"/>
  <c r="DB224" i="1"/>
  <c r="AJ224" i="1" s="1"/>
  <c r="DA224" i="1"/>
  <c r="CM224" i="1" s="1"/>
  <c r="CZ224" i="1"/>
  <c r="CL224" i="1" s="1"/>
  <c r="CY224" i="1"/>
  <c r="CX224" i="1"/>
  <c r="AF224" i="1" s="1"/>
  <c r="CW224" i="1"/>
  <c r="DD211" i="1"/>
  <c r="CP211" i="1" s="1"/>
  <c r="DC211" i="1"/>
  <c r="W211" i="1" s="1"/>
  <c r="DQ211" i="1" s="1"/>
  <c r="DB211" i="1"/>
  <c r="AJ211" i="1" s="1"/>
  <c r="DA211" i="1"/>
  <c r="CZ211" i="1"/>
  <c r="CY211" i="1"/>
  <c r="CX211" i="1"/>
  <c r="CJ211" i="1" s="1"/>
  <c r="CW211" i="1"/>
  <c r="Q211" i="1" s="1"/>
  <c r="DK211" i="1" s="1"/>
  <c r="DD223" i="1"/>
  <c r="X223" i="1" s="1"/>
  <c r="BN223" i="1" s="1"/>
  <c r="CB223" i="1" s="1"/>
  <c r="DC223" i="1"/>
  <c r="CO223" i="1" s="1"/>
  <c r="DB223" i="1"/>
  <c r="CN223" i="1" s="1"/>
  <c r="DA223" i="1"/>
  <c r="CM223" i="1" s="1"/>
  <c r="CZ223" i="1"/>
  <c r="T223" i="1" s="1"/>
  <c r="CY223" i="1"/>
  <c r="CK223" i="1" s="1"/>
  <c r="CX223" i="1"/>
  <c r="CJ223" i="1" s="1"/>
  <c r="CW223" i="1"/>
  <c r="AE223" i="1" s="1"/>
  <c r="DD208" i="1"/>
  <c r="CP208" i="1" s="1"/>
  <c r="DC208" i="1"/>
  <c r="AK208" i="1" s="1"/>
  <c r="DB208" i="1"/>
  <c r="CN208" i="1" s="1"/>
  <c r="DA208" i="1"/>
  <c r="AI208" i="1" s="1"/>
  <c r="CZ208" i="1"/>
  <c r="T208" i="1" s="1"/>
  <c r="BJ208" i="1" s="1"/>
  <c r="BX208" i="1" s="1"/>
  <c r="CY208" i="1"/>
  <c r="CK208" i="1" s="1"/>
  <c r="CX208" i="1"/>
  <c r="CJ208" i="1" s="1"/>
  <c r="CW208" i="1"/>
  <c r="AE208" i="1" s="1"/>
  <c r="DD185" i="1"/>
  <c r="X185" i="1" s="1"/>
  <c r="BN185" i="1" s="1"/>
  <c r="CB185" i="1" s="1"/>
  <c r="DC185" i="1"/>
  <c r="AK185" i="1" s="1"/>
  <c r="DB185" i="1"/>
  <c r="V185" i="1" s="1"/>
  <c r="DP185" i="1" s="1"/>
  <c r="DA185" i="1"/>
  <c r="AI185" i="1" s="1"/>
  <c r="CZ185" i="1"/>
  <c r="T185" i="1" s="1"/>
  <c r="DN185" i="1" s="1"/>
  <c r="CY185" i="1"/>
  <c r="S185" i="1" s="1"/>
  <c r="BI185" i="1" s="1"/>
  <c r="BW185" i="1" s="1"/>
  <c r="CX185" i="1"/>
  <c r="CJ185" i="1" s="1"/>
  <c r="CW185" i="1"/>
  <c r="Q185" i="1" s="1"/>
  <c r="DD184" i="1"/>
  <c r="AL184" i="1" s="1"/>
  <c r="DC184" i="1"/>
  <c r="DB184" i="1"/>
  <c r="CN184" i="1" s="1"/>
  <c r="DA184" i="1"/>
  <c r="U184" i="1" s="1"/>
  <c r="BK184" i="1" s="1"/>
  <c r="BY184" i="1" s="1"/>
  <c r="CZ184" i="1"/>
  <c r="CL184" i="1" s="1"/>
  <c r="CY184" i="1"/>
  <c r="CK184" i="1" s="1"/>
  <c r="CX184" i="1"/>
  <c r="CJ184" i="1" s="1"/>
  <c r="CW184" i="1"/>
  <c r="Q184" i="1" s="1"/>
  <c r="BG184" i="1" s="1"/>
  <c r="BU184" i="1" s="1"/>
  <c r="DD181" i="1"/>
  <c r="AL181" i="1" s="1"/>
  <c r="DC181" i="1"/>
  <c r="W181" i="1" s="1"/>
  <c r="BM181" i="1" s="1"/>
  <c r="CA181" i="1" s="1"/>
  <c r="DB181" i="1"/>
  <c r="CN181" i="1" s="1"/>
  <c r="DA181" i="1"/>
  <c r="CM181" i="1" s="1"/>
  <c r="CZ181" i="1"/>
  <c r="CL181" i="1" s="1"/>
  <c r="CY181" i="1"/>
  <c r="AG181" i="1" s="1"/>
  <c r="CX181" i="1"/>
  <c r="R181" i="1" s="1"/>
  <c r="BH181" i="1" s="1"/>
  <c r="BV181" i="1" s="1"/>
  <c r="CW181" i="1"/>
  <c r="AE181" i="1" s="1"/>
  <c r="DD180" i="1"/>
  <c r="AL180" i="1" s="1"/>
  <c r="DC180" i="1"/>
  <c r="W180" i="1" s="1"/>
  <c r="BM180" i="1" s="1"/>
  <c r="CA180" i="1" s="1"/>
  <c r="DB180" i="1"/>
  <c r="V180" i="1" s="1"/>
  <c r="DP180" i="1" s="1"/>
  <c r="DA180" i="1"/>
  <c r="U180" i="1" s="1"/>
  <c r="DO180" i="1" s="1"/>
  <c r="CZ180" i="1"/>
  <c r="CY180" i="1"/>
  <c r="AG180" i="1" s="1"/>
  <c r="CX180" i="1"/>
  <c r="CW180" i="1"/>
  <c r="Q180" i="1" s="1"/>
  <c r="DK180" i="1" s="1"/>
  <c r="DD179" i="1"/>
  <c r="AL179" i="1" s="1"/>
  <c r="DC179" i="1"/>
  <c r="CO179" i="1" s="1"/>
  <c r="DB179" i="1"/>
  <c r="CN179" i="1" s="1"/>
  <c r="DA179" i="1"/>
  <c r="AI179" i="1" s="1"/>
  <c r="CZ179" i="1"/>
  <c r="CY179" i="1"/>
  <c r="CX179" i="1"/>
  <c r="R179" i="1" s="1"/>
  <c r="DL179" i="1" s="1"/>
  <c r="CW179" i="1"/>
  <c r="CI179" i="1" s="1"/>
  <c r="DD178" i="1"/>
  <c r="CP178" i="1" s="1"/>
  <c r="DC178" i="1"/>
  <c r="W178" i="1" s="1"/>
  <c r="BM178" i="1" s="1"/>
  <c r="CA178" i="1" s="1"/>
  <c r="DB178" i="1"/>
  <c r="CN178" i="1" s="1"/>
  <c r="DA178" i="1"/>
  <c r="CZ178" i="1"/>
  <c r="CL178" i="1" s="1"/>
  <c r="CY178" i="1"/>
  <c r="AG178" i="1" s="1"/>
  <c r="CX178" i="1"/>
  <c r="AF178" i="1" s="1"/>
  <c r="CW178" i="1"/>
  <c r="Q178" i="1" s="1"/>
  <c r="DK178" i="1" s="1"/>
  <c r="DD176" i="1"/>
  <c r="X176" i="1" s="1"/>
  <c r="BN176" i="1" s="1"/>
  <c r="CB176" i="1" s="1"/>
  <c r="DC176" i="1"/>
  <c r="CO176" i="1" s="1"/>
  <c r="DB176" i="1"/>
  <c r="AJ176" i="1" s="1"/>
  <c r="DA176" i="1"/>
  <c r="U176" i="1" s="1"/>
  <c r="DO176" i="1" s="1"/>
  <c r="CZ176" i="1"/>
  <c r="CL176" i="1" s="1"/>
  <c r="CY176" i="1"/>
  <c r="AG176" i="1" s="1"/>
  <c r="CX176" i="1"/>
  <c r="R176" i="1" s="1"/>
  <c r="DL176" i="1" s="1"/>
  <c r="CW176" i="1"/>
  <c r="AE176" i="1" s="1"/>
  <c r="DD175" i="1"/>
  <c r="AL175" i="1" s="1"/>
  <c r="DC175" i="1"/>
  <c r="W175" i="1" s="1"/>
  <c r="DB175" i="1"/>
  <c r="CN175" i="1" s="1"/>
  <c r="DA175" i="1"/>
  <c r="CZ175" i="1"/>
  <c r="CY175" i="1"/>
  <c r="CX175" i="1"/>
  <c r="CJ175" i="1" s="1"/>
  <c r="CW175" i="1"/>
  <c r="Q175" i="1" s="1"/>
  <c r="DK175" i="1" s="1"/>
  <c r="DD174" i="1"/>
  <c r="AL174" i="1" s="1"/>
  <c r="DC174" i="1"/>
  <c r="W174" i="1" s="1"/>
  <c r="DB174" i="1"/>
  <c r="AJ174" i="1" s="1"/>
  <c r="DA174" i="1"/>
  <c r="CZ174" i="1"/>
  <c r="CY174" i="1"/>
  <c r="S174" i="1" s="1"/>
  <c r="DM174" i="1" s="1"/>
  <c r="CX174" i="1"/>
  <c r="AF174" i="1" s="1"/>
  <c r="CW174" i="1"/>
  <c r="CI174" i="1" s="1"/>
  <c r="DD162" i="1"/>
  <c r="CP162" i="1" s="1"/>
  <c r="DC162" i="1"/>
  <c r="W162" i="1" s="1"/>
  <c r="BM162" i="1" s="1"/>
  <c r="CA162" i="1" s="1"/>
  <c r="DB162" i="1"/>
  <c r="DA162" i="1"/>
  <c r="CZ162" i="1"/>
  <c r="CY162" i="1"/>
  <c r="CX162" i="1"/>
  <c r="R162" i="1" s="1"/>
  <c r="DL162" i="1" s="1"/>
  <c r="CW162" i="1"/>
  <c r="DD161" i="1"/>
  <c r="X161" i="1" s="1"/>
  <c r="DR161" i="1" s="1"/>
  <c r="DC161" i="1"/>
  <c r="W161" i="1" s="1"/>
  <c r="DQ161" i="1" s="1"/>
  <c r="DB161" i="1"/>
  <c r="V161" i="1" s="1"/>
  <c r="DP161" i="1" s="1"/>
  <c r="DA161" i="1"/>
  <c r="CZ161" i="1"/>
  <c r="CY161" i="1"/>
  <c r="CX161" i="1"/>
  <c r="R161" i="1" s="1"/>
  <c r="DL161" i="1" s="1"/>
  <c r="CW161" i="1"/>
  <c r="DD149" i="1"/>
  <c r="AL149" i="1" s="1"/>
  <c r="DC149" i="1"/>
  <c r="DB149" i="1"/>
  <c r="AJ149" i="1" s="1"/>
  <c r="DA149" i="1"/>
  <c r="AI149" i="1" s="1"/>
  <c r="CZ149" i="1"/>
  <c r="T149" i="1" s="1"/>
  <c r="BJ149" i="1" s="1"/>
  <c r="BX149" i="1" s="1"/>
  <c r="CY149" i="1"/>
  <c r="S149" i="1" s="1"/>
  <c r="DM149" i="1" s="1"/>
  <c r="CX149" i="1"/>
  <c r="CJ149" i="1" s="1"/>
  <c r="CW149" i="1"/>
  <c r="AE149" i="1" s="1"/>
  <c r="DD159" i="1"/>
  <c r="CP159" i="1" s="1"/>
  <c r="DC159" i="1"/>
  <c r="CO159" i="1" s="1"/>
  <c r="DB159" i="1"/>
  <c r="CN159" i="1" s="1"/>
  <c r="DA159" i="1"/>
  <c r="AI159" i="1" s="1"/>
  <c r="CZ159" i="1"/>
  <c r="T159" i="1" s="1"/>
  <c r="BJ159" i="1" s="1"/>
  <c r="BX159" i="1" s="1"/>
  <c r="CY159" i="1"/>
  <c r="AG159" i="1" s="1"/>
  <c r="CX159" i="1"/>
  <c r="CJ159" i="1" s="1"/>
  <c r="CW159" i="1"/>
  <c r="M17" i="36" s="1"/>
  <c r="DD158" i="1"/>
  <c r="AL158" i="1" s="1"/>
  <c r="DC158" i="1"/>
  <c r="AK158" i="1" s="1"/>
  <c r="DB158" i="1"/>
  <c r="V158" i="1" s="1"/>
  <c r="DA158" i="1"/>
  <c r="CM158" i="1" s="1"/>
  <c r="CZ158" i="1"/>
  <c r="AH158" i="1" s="1"/>
  <c r="CY158" i="1"/>
  <c r="S158" i="1" s="1"/>
  <c r="DM158" i="1" s="1"/>
  <c r="CX158" i="1"/>
  <c r="AF158" i="1" s="1"/>
  <c r="CW158" i="1"/>
  <c r="Q158" i="1" s="1"/>
  <c r="BG158" i="1" s="1"/>
  <c r="BU158" i="1" s="1"/>
  <c r="DD148" i="1"/>
  <c r="CP148" i="1" s="1"/>
  <c r="DC148" i="1"/>
  <c r="AK148" i="1" s="1"/>
  <c r="DB148" i="1"/>
  <c r="AJ148" i="1" s="1"/>
  <c r="DA148" i="1"/>
  <c r="CM148" i="1" s="1"/>
  <c r="CZ148" i="1"/>
  <c r="AH148" i="1" s="1"/>
  <c r="CY148" i="1"/>
  <c r="CK148" i="1" s="1"/>
  <c r="CX148" i="1"/>
  <c r="CJ148" i="1" s="1"/>
  <c r="CW148" i="1"/>
  <c r="DD146" i="1"/>
  <c r="CP146" i="1" s="1"/>
  <c r="DC146" i="1"/>
  <c r="CO146" i="1" s="1"/>
  <c r="DB146" i="1"/>
  <c r="V146" i="1" s="1"/>
  <c r="DA146" i="1"/>
  <c r="AI146" i="1" s="1"/>
  <c r="CZ146" i="1"/>
  <c r="CL146" i="1" s="1"/>
  <c r="CY146" i="1"/>
  <c r="S146" i="1" s="1"/>
  <c r="BI146" i="1" s="1"/>
  <c r="BW146" i="1" s="1"/>
  <c r="CX146" i="1"/>
  <c r="R146" i="1" s="1"/>
  <c r="CW146" i="1"/>
  <c r="AE146" i="1" s="1"/>
  <c r="DD145" i="1"/>
  <c r="AL145" i="1" s="1"/>
  <c r="DC145" i="1"/>
  <c r="CO145" i="1" s="1"/>
  <c r="DB145" i="1"/>
  <c r="V145" i="1" s="1"/>
  <c r="DA145" i="1"/>
  <c r="CM145" i="1" s="1"/>
  <c r="CZ145" i="1"/>
  <c r="T145" i="1" s="1"/>
  <c r="BJ145" i="1" s="1"/>
  <c r="BX145" i="1" s="1"/>
  <c r="CY145" i="1"/>
  <c r="CK145" i="1" s="1"/>
  <c r="CX145" i="1"/>
  <c r="AF145" i="1" s="1"/>
  <c r="CW145" i="1"/>
  <c r="CI145" i="1" s="1"/>
  <c r="DD144" i="1"/>
  <c r="CP144" i="1" s="1"/>
  <c r="DC144" i="1"/>
  <c r="CO144" i="1" s="1"/>
  <c r="DB144" i="1"/>
  <c r="CN144" i="1" s="1"/>
  <c r="DA144" i="1"/>
  <c r="AI144" i="1" s="1"/>
  <c r="CZ144" i="1"/>
  <c r="CL144" i="1" s="1"/>
  <c r="CY144" i="1"/>
  <c r="CK144" i="1" s="1"/>
  <c r="CX144" i="1"/>
  <c r="R144" i="1" s="1"/>
  <c r="DL144" i="1" s="1"/>
  <c r="CW144" i="1"/>
  <c r="Q144" i="1" s="1"/>
  <c r="BG144" i="1" s="1"/>
  <c r="BU144" i="1" s="1"/>
  <c r="DD143" i="1"/>
  <c r="CP143" i="1" s="1"/>
  <c r="DC143" i="1"/>
  <c r="W143" i="1" s="1"/>
  <c r="BM143" i="1" s="1"/>
  <c r="CA143" i="1" s="1"/>
  <c r="DB143" i="1"/>
  <c r="CN143" i="1" s="1"/>
  <c r="DA143" i="1"/>
  <c r="U143" i="1" s="1"/>
  <c r="DO143" i="1" s="1"/>
  <c r="CZ143" i="1"/>
  <c r="CL143" i="1" s="1"/>
  <c r="CY143" i="1"/>
  <c r="AG143" i="1" s="1"/>
  <c r="CX143" i="1"/>
  <c r="AF143" i="1" s="1"/>
  <c r="CW143" i="1"/>
  <c r="AE143" i="1" s="1"/>
  <c r="DD142" i="1"/>
  <c r="AL142" i="1" s="1"/>
  <c r="DC142" i="1"/>
  <c r="AK142" i="1" s="1"/>
  <c r="DB142" i="1"/>
  <c r="AJ142" i="1" s="1"/>
  <c r="DA142" i="1"/>
  <c r="CM142" i="1" s="1"/>
  <c r="CZ142" i="1"/>
  <c r="CL142" i="1" s="1"/>
  <c r="CY142" i="1"/>
  <c r="AG142" i="1" s="1"/>
  <c r="CX142" i="1"/>
  <c r="CJ142" i="1" s="1"/>
  <c r="CW142" i="1"/>
  <c r="CI142" i="1" s="1"/>
  <c r="DD139" i="1"/>
  <c r="CP139" i="1" s="1"/>
  <c r="DC139" i="1"/>
  <c r="W139" i="1" s="1"/>
  <c r="BM139" i="1" s="1"/>
  <c r="CA139" i="1" s="1"/>
  <c r="DB139" i="1"/>
  <c r="AJ139" i="1" s="1"/>
  <c r="DB137" i="1"/>
  <c r="CN137" i="1" s="1"/>
  <c r="DB138" i="1"/>
  <c r="AJ138" i="1" s="1"/>
  <c r="DA139" i="1"/>
  <c r="AI139" i="1" s="1"/>
  <c r="CZ139" i="1"/>
  <c r="AH139" i="1" s="1"/>
  <c r="CY139" i="1"/>
  <c r="CK139" i="1" s="1"/>
  <c r="CX139" i="1"/>
  <c r="CJ139" i="1" s="1"/>
  <c r="CW139" i="1"/>
  <c r="DD138" i="1"/>
  <c r="CP138" i="1" s="1"/>
  <c r="DC138" i="1"/>
  <c r="W138" i="1" s="1"/>
  <c r="DQ138" i="1" s="1"/>
  <c r="DA138" i="1"/>
  <c r="AI138" i="1" s="1"/>
  <c r="CZ138" i="1"/>
  <c r="CL138" i="1" s="1"/>
  <c r="CY138" i="1"/>
  <c r="S138" i="1" s="1"/>
  <c r="DM138" i="1" s="1"/>
  <c r="CX138" i="1"/>
  <c r="CJ138" i="1" s="1"/>
  <c r="CW138" i="1"/>
  <c r="Q138" i="1" s="1"/>
  <c r="BG138" i="1" s="1"/>
  <c r="BU138" i="1" s="1"/>
  <c r="DD137" i="1"/>
  <c r="CP137" i="1" s="1"/>
  <c r="DC137" i="1"/>
  <c r="W137" i="1" s="1"/>
  <c r="BM137" i="1" s="1"/>
  <c r="CA137" i="1" s="1"/>
  <c r="DA137" i="1"/>
  <c r="AI137" i="1" s="1"/>
  <c r="CZ137" i="1"/>
  <c r="T137" i="1" s="1"/>
  <c r="DN137" i="1" s="1"/>
  <c r="CY137" i="1"/>
  <c r="S137" i="1" s="1"/>
  <c r="DM137" i="1" s="1"/>
  <c r="CX137" i="1"/>
  <c r="CW137" i="1"/>
  <c r="Q137" i="1" s="1"/>
  <c r="DK137" i="1" s="1"/>
  <c r="DD135" i="1"/>
  <c r="DC135" i="1"/>
  <c r="W135" i="1" s="1"/>
  <c r="DQ135" i="1" s="1"/>
  <c r="DB135" i="1"/>
  <c r="CN135" i="1" s="1"/>
  <c r="DA135" i="1"/>
  <c r="AI135" i="1" s="1"/>
  <c r="CZ135" i="1"/>
  <c r="CL135" i="1" s="1"/>
  <c r="CY135" i="1"/>
  <c r="S135" i="1" s="1"/>
  <c r="DM135" i="1" s="1"/>
  <c r="CX135" i="1"/>
  <c r="CW135" i="1"/>
  <c r="CI135" i="1" s="1"/>
  <c r="DD134" i="1"/>
  <c r="CP134" i="1" s="1"/>
  <c r="DC134" i="1"/>
  <c r="W134" i="1" s="1"/>
  <c r="BM134" i="1" s="1"/>
  <c r="CA134" i="1" s="1"/>
  <c r="DB134" i="1"/>
  <c r="CN134" i="1" s="1"/>
  <c r="DA134" i="1"/>
  <c r="CM134" i="1" s="1"/>
  <c r="CZ134" i="1"/>
  <c r="AH134" i="1" s="1"/>
  <c r="CY134" i="1"/>
  <c r="S134" i="1" s="1"/>
  <c r="DM134" i="1" s="1"/>
  <c r="CX134" i="1"/>
  <c r="R134" i="1" s="1"/>
  <c r="BH134" i="1" s="1"/>
  <c r="BV134" i="1" s="1"/>
  <c r="CW134" i="1"/>
  <c r="AE134" i="1" s="1"/>
  <c r="DD132" i="1"/>
  <c r="X132" i="1" s="1"/>
  <c r="DR132" i="1" s="1"/>
  <c r="DC132" i="1"/>
  <c r="W132" i="1" s="1"/>
  <c r="DB132" i="1"/>
  <c r="AJ132" i="1" s="1"/>
  <c r="DA132" i="1"/>
  <c r="CM132" i="1" s="1"/>
  <c r="CZ132" i="1"/>
  <c r="CL132" i="1" s="1"/>
  <c r="CY132" i="1"/>
  <c r="S132" i="1" s="1"/>
  <c r="CX132" i="1"/>
  <c r="AF132" i="1" s="1"/>
  <c r="CW132" i="1"/>
  <c r="AE132" i="1" s="1"/>
  <c r="DD131" i="1"/>
  <c r="X131" i="1" s="1"/>
  <c r="BN131" i="1" s="1"/>
  <c r="CB131" i="1" s="1"/>
  <c r="DC131" i="1"/>
  <c r="W131" i="1" s="1"/>
  <c r="DQ131" i="1" s="1"/>
  <c r="DB131" i="1"/>
  <c r="CN131" i="1" s="1"/>
  <c r="DA131" i="1"/>
  <c r="CM131" i="1" s="1"/>
  <c r="CZ131" i="1"/>
  <c r="T131" i="1" s="1"/>
  <c r="CY131" i="1"/>
  <c r="CK131" i="1" s="1"/>
  <c r="CX131" i="1"/>
  <c r="R131" i="1" s="1"/>
  <c r="DL131" i="1" s="1"/>
  <c r="CW131" i="1"/>
  <c r="Q131" i="1" s="1"/>
  <c r="DK131" i="1" s="1"/>
  <c r="DD130" i="1"/>
  <c r="X130" i="1" s="1"/>
  <c r="DR130" i="1" s="1"/>
  <c r="DC130" i="1"/>
  <c r="CO130" i="1" s="1"/>
  <c r="DB130" i="1"/>
  <c r="V130" i="1" s="1"/>
  <c r="DP130" i="1" s="1"/>
  <c r="DA130" i="1"/>
  <c r="CM130" i="1" s="1"/>
  <c r="CZ130" i="1"/>
  <c r="T130" i="1" s="1"/>
  <c r="BJ130" i="1" s="1"/>
  <c r="BX130" i="1" s="1"/>
  <c r="CY130" i="1"/>
  <c r="CK130" i="1" s="1"/>
  <c r="CX130" i="1"/>
  <c r="R130" i="1" s="1"/>
  <c r="DL130" i="1" s="1"/>
  <c r="CW130" i="1"/>
  <c r="CI130" i="1" s="1"/>
  <c r="DD129" i="1"/>
  <c r="CP129" i="1" s="1"/>
  <c r="DC129" i="1"/>
  <c r="W129" i="1" s="1"/>
  <c r="DQ129" i="1" s="1"/>
  <c r="DB129" i="1"/>
  <c r="V129" i="1" s="1"/>
  <c r="DP129" i="1" s="1"/>
  <c r="DA129" i="1"/>
  <c r="CM129" i="1" s="1"/>
  <c r="CZ129" i="1"/>
  <c r="T129" i="1" s="1"/>
  <c r="DN129" i="1" s="1"/>
  <c r="CY129" i="1"/>
  <c r="S129" i="1" s="1"/>
  <c r="CX129" i="1"/>
  <c r="CJ129" i="1" s="1"/>
  <c r="CW129" i="1"/>
  <c r="CI129" i="1" s="1"/>
  <c r="DD128" i="1"/>
  <c r="AL128" i="1" s="1"/>
  <c r="DC128" i="1"/>
  <c r="AK128" i="1" s="1"/>
  <c r="DB128" i="1"/>
  <c r="AJ128" i="1" s="1"/>
  <c r="DA128" i="1"/>
  <c r="U128" i="1" s="1"/>
  <c r="DO128" i="1" s="1"/>
  <c r="CZ128" i="1"/>
  <c r="T128" i="1" s="1"/>
  <c r="CY128" i="1"/>
  <c r="CX128" i="1"/>
  <c r="CJ128" i="1" s="1"/>
  <c r="CW128" i="1"/>
  <c r="Q128" i="1" s="1"/>
  <c r="DK128" i="1" s="1"/>
  <c r="DD126" i="1"/>
  <c r="X126" i="1" s="1"/>
  <c r="BN126" i="1" s="1"/>
  <c r="CB126" i="1" s="1"/>
  <c r="DC126" i="1"/>
  <c r="W126" i="1" s="1"/>
  <c r="BM126" i="1" s="1"/>
  <c r="CA126" i="1" s="1"/>
  <c r="DB126" i="1"/>
  <c r="CN126" i="1" s="1"/>
  <c r="DA126" i="1"/>
  <c r="U126" i="1" s="1"/>
  <c r="DO126" i="1" s="1"/>
  <c r="CZ126" i="1"/>
  <c r="T126" i="1" s="1"/>
  <c r="DN126" i="1" s="1"/>
  <c r="CY126" i="1"/>
  <c r="CX126" i="1"/>
  <c r="CW126" i="1"/>
  <c r="Q126" i="1" s="1"/>
  <c r="DK126" i="1" s="1"/>
  <c r="DD123" i="1"/>
  <c r="DC123" i="1"/>
  <c r="W123" i="1" s="1"/>
  <c r="DQ123" i="1" s="1"/>
  <c r="DB123" i="1"/>
  <c r="V123" i="1" s="1"/>
  <c r="DP123" i="1" s="1"/>
  <c r="DA123" i="1"/>
  <c r="CM123" i="1" s="1"/>
  <c r="CZ123" i="1"/>
  <c r="CL123" i="1" s="1"/>
  <c r="CY123" i="1"/>
  <c r="AG123" i="1" s="1"/>
  <c r="CX123" i="1"/>
  <c r="CW123" i="1"/>
  <c r="Q123" i="1" s="1"/>
  <c r="DK123" i="1" s="1"/>
  <c r="DD125" i="1"/>
  <c r="X125" i="1" s="1"/>
  <c r="BN125" i="1" s="1"/>
  <c r="CB125" i="1" s="1"/>
  <c r="DC125" i="1"/>
  <c r="W125" i="1" s="1"/>
  <c r="DQ125" i="1" s="1"/>
  <c r="DB125" i="1"/>
  <c r="V125" i="1" s="1"/>
  <c r="BL125" i="1" s="1"/>
  <c r="BZ125" i="1" s="1"/>
  <c r="DA125" i="1"/>
  <c r="U125" i="1" s="1"/>
  <c r="BK125" i="1" s="1"/>
  <c r="BY125" i="1" s="1"/>
  <c r="CZ125" i="1"/>
  <c r="AH125" i="1" s="1"/>
  <c r="CY125" i="1"/>
  <c r="AG125" i="1" s="1"/>
  <c r="CX125" i="1"/>
  <c r="CJ125" i="1" s="1"/>
  <c r="CW125" i="1"/>
  <c r="CI125" i="1" s="1"/>
  <c r="DD122" i="1"/>
  <c r="DC122" i="1"/>
  <c r="S24" i="36" s="1"/>
  <c r="DB122" i="1"/>
  <c r="V122" i="1" s="1"/>
  <c r="DP122" i="1" s="1"/>
  <c r="R57" i="36" s="1"/>
  <c r="DA122" i="1"/>
  <c r="CM122" i="1" s="1"/>
  <c r="CZ122" i="1"/>
  <c r="T122" i="1" s="1"/>
  <c r="BJ122" i="1" s="1"/>
  <c r="BX122" i="1" s="1"/>
  <c r="CY122" i="1"/>
  <c r="CK122" i="1" s="1"/>
  <c r="CX122" i="1"/>
  <c r="AF122" i="1" s="1"/>
  <c r="CW122" i="1"/>
  <c r="M24" i="36" s="1"/>
  <c r="DD119" i="1"/>
  <c r="CP119" i="1" s="1"/>
  <c r="DC119" i="1"/>
  <c r="AK119" i="1" s="1"/>
  <c r="DB119" i="1"/>
  <c r="V119" i="1" s="1"/>
  <c r="BL119" i="1" s="1"/>
  <c r="BZ119" i="1" s="1"/>
  <c r="DA119" i="1"/>
  <c r="U119" i="1" s="1"/>
  <c r="BK119" i="1" s="1"/>
  <c r="BY119" i="1" s="1"/>
  <c r="CZ119" i="1"/>
  <c r="T119" i="1" s="1"/>
  <c r="BJ119" i="1" s="1"/>
  <c r="BX119" i="1" s="1"/>
  <c r="CY119" i="1"/>
  <c r="CX119" i="1"/>
  <c r="CW119" i="1"/>
  <c r="AE119" i="1" s="1"/>
  <c r="DD118" i="1"/>
  <c r="DC118" i="1"/>
  <c r="CO118" i="1" s="1"/>
  <c r="DB118" i="1"/>
  <c r="V118" i="1" s="1"/>
  <c r="BL118" i="1" s="1"/>
  <c r="BZ118" i="1" s="1"/>
  <c r="DA118" i="1"/>
  <c r="AI118" i="1" s="1"/>
  <c r="CZ118" i="1"/>
  <c r="T118" i="1" s="1"/>
  <c r="DN118" i="1" s="1"/>
  <c r="CY118" i="1"/>
  <c r="CK118" i="1" s="1"/>
  <c r="CX118" i="1"/>
  <c r="CW118" i="1"/>
  <c r="CI118" i="1" s="1"/>
  <c r="DD117" i="1"/>
  <c r="X117" i="1" s="1"/>
  <c r="BN117" i="1" s="1"/>
  <c r="CB117" i="1" s="1"/>
  <c r="DC117" i="1"/>
  <c r="AK117" i="1" s="1"/>
  <c r="DB117" i="1"/>
  <c r="V117" i="1" s="1"/>
  <c r="BL117" i="1" s="1"/>
  <c r="BZ117" i="1" s="1"/>
  <c r="DA117" i="1"/>
  <c r="CM117" i="1" s="1"/>
  <c r="CZ117" i="1"/>
  <c r="CY117" i="1"/>
  <c r="CX117" i="1"/>
  <c r="R117" i="1" s="1"/>
  <c r="DL117" i="1" s="1"/>
  <c r="CW117" i="1"/>
  <c r="CI117" i="1" s="1"/>
  <c r="DD116" i="1"/>
  <c r="AL116" i="1" s="1"/>
  <c r="DC116" i="1"/>
  <c r="CO116" i="1" s="1"/>
  <c r="DB116" i="1"/>
  <c r="AJ116" i="1" s="1"/>
  <c r="DA116" i="1"/>
  <c r="AI116" i="1" s="1"/>
  <c r="CZ116" i="1"/>
  <c r="CL116" i="1" s="1"/>
  <c r="CY116" i="1"/>
  <c r="CK116" i="1" s="1"/>
  <c r="CX116" i="1"/>
  <c r="CJ116" i="1" s="1"/>
  <c r="CW116" i="1"/>
  <c r="DD88" i="1"/>
  <c r="AL88" i="1" s="1"/>
  <c r="DC88" i="1"/>
  <c r="W88" i="1" s="1"/>
  <c r="BM88" i="1" s="1"/>
  <c r="CA88" i="1" s="1"/>
  <c r="DB88" i="1"/>
  <c r="AJ88" i="1" s="1"/>
  <c r="DA88" i="1"/>
  <c r="CM88" i="1" s="1"/>
  <c r="CZ88" i="1"/>
  <c r="CL88" i="1" s="1"/>
  <c r="CY88" i="1"/>
  <c r="CK88" i="1" s="1"/>
  <c r="CX88" i="1"/>
  <c r="R88" i="1" s="1"/>
  <c r="BH88" i="1" s="1"/>
  <c r="BV88" i="1" s="1"/>
  <c r="CW88" i="1"/>
  <c r="CI88" i="1" s="1"/>
  <c r="DD86" i="1"/>
  <c r="X86" i="1" s="1"/>
  <c r="BN86" i="1" s="1"/>
  <c r="CB86" i="1" s="1"/>
  <c r="DC86" i="1"/>
  <c r="CO86" i="1" s="1"/>
  <c r="DB86" i="1"/>
  <c r="AJ86" i="1" s="1"/>
  <c r="DA86" i="1"/>
  <c r="AI86" i="1" s="1"/>
  <c r="CZ86" i="1"/>
  <c r="CL86" i="1" s="1"/>
  <c r="CY86" i="1"/>
  <c r="S86" i="1" s="1"/>
  <c r="CX86" i="1"/>
  <c r="CJ86" i="1" s="1"/>
  <c r="CW86" i="1"/>
  <c r="CI86" i="1" s="1"/>
  <c r="DD84" i="1"/>
  <c r="AL84" i="1" s="1"/>
  <c r="DC84" i="1"/>
  <c r="W84" i="1" s="1"/>
  <c r="BM84" i="1" s="1"/>
  <c r="CA84" i="1" s="1"/>
  <c r="DB84" i="1"/>
  <c r="V84" i="1" s="1"/>
  <c r="BL84" i="1" s="1"/>
  <c r="BZ84" i="1" s="1"/>
  <c r="DA84" i="1"/>
  <c r="CM84" i="1" s="1"/>
  <c r="CZ84" i="1"/>
  <c r="CL84" i="1" s="1"/>
  <c r="CY84" i="1"/>
  <c r="S84" i="1" s="1"/>
  <c r="DM84" i="1" s="1"/>
  <c r="CX84" i="1"/>
  <c r="AF84" i="1" s="1"/>
  <c r="CW84" i="1"/>
  <c r="CI84" i="1" s="1"/>
  <c r="DD83" i="1"/>
  <c r="AL83" i="1" s="1"/>
  <c r="DC83" i="1"/>
  <c r="W83" i="1" s="1"/>
  <c r="DQ83" i="1" s="1"/>
  <c r="DB83" i="1"/>
  <c r="V83" i="1" s="1"/>
  <c r="DP83" i="1" s="1"/>
  <c r="DA83" i="1"/>
  <c r="AI83" i="1" s="1"/>
  <c r="CZ83" i="1"/>
  <c r="CL83" i="1" s="1"/>
  <c r="CY83" i="1"/>
  <c r="CK83" i="1" s="1"/>
  <c r="CX83" i="1"/>
  <c r="CJ83" i="1" s="1"/>
  <c r="CW83" i="1"/>
  <c r="CI83" i="1" s="1"/>
  <c r="DD61" i="1"/>
  <c r="X61" i="1" s="1"/>
  <c r="BN61" i="1" s="1"/>
  <c r="CB61" i="1" s="1"/>
  <c r="DC61" i="1"/>
  <c r="CO61" i="1" s="1"/>
  <c r="DB61" i="1"/>
  <c r="V61" i="1" s="1"/>
  <c r="DP61" i="1" s="1"/>
  <c r="DA61" i="1"/>
  <c r="CM61" i="1" s="1"/>
  <c r="CZ61" i="1"/>
  <c r="CL61" i="1" s="1"/>
  <c r="CY61" i="1"/>
  <c r="S61" i="1" s="1"/>
  <c r="BI61" i="1" s="1"/>
  <c r="BW61" i="1" s="1"/>
  <c r="CX61" i="1"/>
  <c r="CJ61" i="1" s="1"/>
  <c r="CW61" i="1"/>
  <c r="AE61" i="1" s="1"/>
  <c r="DD82" i="1"/>
  <c r="CP82" i="1" s="1"/>
  <c r="DC82" i="1"/>
  <c r="AK82" i="1" s="1"/>
  <c r="DB82" i="1"/>
  <c r="V82" i="1" s="1"/>
  <c r="BL82" i="1" s="1"/>
  <c r="BZ82" i="1" s="1"/>
  <c r="DA82" i="1"/>
  <c r="CM82" i="1" s="1"/>
  <c r="CZ82" i="1"/>
  <c r="T82" i="1" s="1"/>
  <c r="BJ82" i="1" s="1"/>
  <c r="BX82" i="1" s="1"/>
  <c r="CY82" i="1"/>
  <c r="CK82" i="1" s="1"/>
  <c r="CX82" i="1"/>
  <c r="R82" i="1" s="1"/>
  <c r="DL82" i="1" s="1"/>
  <c r="CW82" i="1"/>
  <c r="CI82" i="1" s="1"/>
  <c r="DD78" i="1"/>
  <c r="CP78" i="1" s="1"/>
  <c r="DC78" i="1"/>
  <c r="W78" i="1" s="1"/>
  <c r="BM78" i="1" s="1"/>
  <c r="CA78" i="1" s="1"/>
  <c r="DB78" i="1"/>
  <c r="V78" i="1" s="1"/>
  <c r="BL78" i="1" s="1"/>
  <c r="BZ78" i="1" s="1"/>
  <c r="DA78" i="1"/>
  <c r="AI78" i="1" s="1"/>
  <c r="CZ78" i="1"/>
  <c r="CY78" i="1"/>
  <c r="S78" i="1" s="1"/>
  <c r="BI78" i="1" s="1"/>
  <c r="BW78" i="1" s="1"/>
  <c r="CX78" i="1"/>
  <c r="CW78" i="1"/>
  <c r="CI78" i="1" s="1"/>
  <c r="DD77" i="1"/>
  <c r="CP77" i="1" s="1"/>
  <c r="DC77" i="1"/>
  <c r="AK77" i="1" s="1"/>
  <c r="DB77" i="1"/>
  <c r="AJ77" i="1" s="1"/>
  <c r="DA77" i="1"/>
  <c r="CM77" i="1" s="1"/>
  <c r="CZ77" i="1"/>
  <c r="AH77" i="1" s="1"/>
  <c r="CY77" i="1"/>
  <c r="S77" i="1" s="1"/>
  <c r="DM77" i="1" s="1"/>
  <c r="CX77" i="1"/>
  <c r="AF77" i="1" s="1"/>
  <c r="CW77" i="1"/>
  <c r="Q77" i="1" s="1"/>
  <c r="DK77" i="1" s="1"/>
  <c r="DD76" i="1"/>
  <c r="CP76" i="1" s="1"/>
  <c r="DC76" i="1"/>
  <c r="CO76" i="1" s="1"/>
  <c r="DB76" i="1"/>
  <c r="CN76" i="1" s="1"/>
  <c r="DA76" i="1"/>
  <c r="CM76" i="1" s="1"/>
  <c r="CZ76" i="1"/>
  <c r="T76" i="1" s="1"/>
  <c r="DN76" i="1" s="1"/>
  <c r="CY76" i="1"/>
  <c r="AG76" i="1" s="1"/>
  <c r="CX76" i="1"/>
  <c r="CJ76" i="1" s="1"/>
  <c r="CW76" i="1"/>
  <c r="AE76" i="1" s="1"/>
  <c r="DD75" i="1"/>
  <c r="AL75" i="1" s="1"/>
  <c r="DC75" i="1"/>
  <c r="CO75" i="1" s="1"/>
  <c r="DB75" i="1"/>
  <c r="AJ75" i="1" s="1"/>
  <c r="DA75" i="1"/>
  <c r="U75" i="1" s="1"/>
  <c r="DO75" i="1" s="1"/>
  <c r="CZ75" i="1"/>
  <c r="AH75" i="1" s="1"/>
  <c r="CY75" i="1"/>
  <c r="S75" i="1" s="1"/>
  <c r="DM75" i="1" s="1"/>
  <c r="CX75" i="1"/>
  <c r="R75" i="1" s="1"/>
  <c r="CW75" i="1"/>
  <c r="CI75" i="1" s="1"/>
  <c r="DD74" i="1"/>
  <c r="X74" i="1" s="1"/>
  <c r="DR74" i="1" s="1"/>
  <c r="AQ20" i="48"/>
  <c r="DC74" i="1"/>
  <c r="AK74" i="1" s="1"/>
  <c r="DB74" i="1"/>
  <c r="AJ74" i="1" s="1"/>
  <c r="DA74" i="1"/>
  <c r="U74" i="1" s="1"/>
  <c r="DO74" i="1" s="1"/>
  <c r="AN20" i="48"/>
  <c r="CZ74" i="1"/>
  <c r="CY74" i="1"/>
  <c r="CK74" i="1" s="1"/>
  <c r="CX74" i="1"/>
  <c r="CJ74" i="1" s="1"/>
  <c r="CW74" i="1"/>
  <c r="AJ20" i="48"/>
  <c r="DD71" i="1"/>
  <c r="AQ23" i="48" s="1"/>
  <c r="DC71" i="1"/>
  <c r="AK71" i="1" s="1"/>
  <c r="DB71" i="1"/>
  <c r="CN71" i="1" s="1"/>
  <c r="DA71" i="1"/>
  <c r="AN23" i="48" s="1"/>
  <c r="CZ71" i="1"/>
  <c r="CL71" i="1" s="1"/>
  <c r="CY71" i="1"/>
  <c r="AG71" i="1" s="1"/>
  <c r="CX71" i="1"/>
  <c r="CJ71" i="1" s="1"/>
  <c r="CW71" i="1"/>
  <c r="AJ23" i="48" s="1"/>
  <c r="DD70" i="1"/>
  <c r="AL70" i="1" s="1"/>
  <c r="DC70" i="1"/>
  <c r="W70" i="1" s="1"/>
  <c r="DQ70" i="1" s="1"/>
  <c r="DB70" i="1"/>
  <c r="CN70" i="1" s="1"/>
  <c r="DA70" i="1"/>
  <c r="AI70" i="1" s="1"/>
  <c r="CZ70" i="1"/>
  <c r="AH70" i="1" s="1"/>
  <c r="CY70" i="1"/>
  <c r="AG70" i="1" s="1"/>
  <c r="CX70" i="1"/>
  <c r="R70" i="1" s="1"/>
  <c r="BH70" i="1" s="1"/>
  <c r="BV70" i="1" s="1"/>
  <c r="CW70" i="1"/>
  <c r="AE70" i="1" s="1"/>
  <c r="DD68" i="1"/>
  <c r="AL68" i="1" s="1"/>
  <c r="DC68" i="1"/>
  <c r="W68" i="1" s="1"/>
  <c r="BM68" i="1" s="1"/>
  <c r="CA68" i="1" s="1"/>
  <c r="DB68" i="1"/>
  <c r="AJ68" i="1" s="1"/>
  <c r="DA68" i="1"/>
  <c r="U68" i="1" s="1"/>
  <c r="DO68" i="1" s="1"/>
  <c r="CZ68" i="1"/>
  <c r="T68" i="1" s="1"/>
  <c r="BJ68" i="1" s="1"/>
  <c r="BX68" i="1" s="1"/>
  <c r="CY68" i="1"/>
  <c r="CK68" i="1" s="1"/>
  <c r="CX68" i="1"/>
  <c r="CJ68" i="1" s="1"/>
  <c r="CW68" i="1"/>
  <c r="AE68" i="1" s="1"/>
  <c r="DD67" i="1"/>
  <c r="CP67" i="1" s="1"/>
  <c r="DC67" i="1"/>
  <c r="AK67" i="1" s="1"/>
  <c r="DB67" i="1"/>
  <c r="V67" i="1" s="1"/>
  <c r="DP67" i="1" s="1"/>
  <c r="DA67" i="1"/>
  <c r="CZ67" i="1"/>
  <c r="AH67" i="1" s="1"/>
  <c r="CY67" i="1"/>
  <c r="AG67" i="1" s="1"/>
  <c r="CX67" i="1"/>
  <c r="CJ67" i="1" s="1"/>
  <c r="CW67" i="1"/>
  <c r="AE67" i="1" s="1"/>
  <c r="DD66" i="1"/>
  <c r="CP66" i="1" s="1"/>
  <c r="DC66" i="1"/>
  <c r="W66" i="1" s="1"/>
  <c r="BM66" i="1" s="1"/>
  <c r="CA66" i="1" s="1"/>
  <c r="DB66" i="1"/>
  <c r="CN66" i="1" s="1"/>
  <c r="DA66" i="1"/>
  <c r="CM66" i="1" s="1"/>
  <c r="CZ66" i="1"/>
  <c r="CL66" i="1" s="1"/>
  <c r="CY66" i="1"/>
  <c r="S66" i="1" s="1"/>
  <c r="DM66" i="1" s="1"/>
  <c r="CX66" i="1"/>
  <c r="AF66" i="1" s="1"/>
  <c r="CW66" i="1"/>
  <c r="CI66" i="1" s="1"/>
  <c r="DD65" i="1"/>
  <c r="DC65" i="1"/>
  <c r="W65" i="1" s="1"/>
  <c r="DQ65" i="1" s="1"/>
  <c r="DB65" i="1"/>
  <c r="CN65" i="1" s="1"/>
  <c r="DA65" i="1"/>
  <c r="AI65" i="1" s="1"/>
  <c r="CZ65" i="1"/>
  <c r="AH65" i="1" s="1"/>
  <c r="CY65" i="1"/>
  <c r="S65" i="1" s="1"/>
  <c r="DM65" i="1" s="1"/>
  <c r="CX65" i="1"/>
  <c r="R65" i="1" s="1"/>
  <c r="BH65" i="1" s="1"/>
  <c r="BV65" i="1" s="1"/>
  <c r="CW65" i="1"/>
  <c r="AE65" i="1" s="1"/>
  <c r="DD64" i="1"/>
  <c r="AL64" i="1" s="1"/>
  <c r="DC64" i="1"/>
  <c r="CO64" i="1" s="1"/>
  <c r="DB64" i="1"/>
  <c r="V64" i="1" s="1"/>
  <c r="DP64" i="1" s="1"/>
  <c r="DA64" i="1"/>
  <c r="CZ64" i="1"/>
  <c r="AH64" i="1" s="1"/>
  <c r="CY64" i="1"/>
  <c r="AG64" i="1" s="1"/>
  <c r="CX64" i="1"/>
  <c r="AF64" i="1" s="1"/>
  <c r="CW64" i="1"/>
  <c r="Q64" i="1" s="1"/>
  <c r="BG64" i="1" s="1"/>
  <c r="BU64" i="1" s="1"/>
  <c r="DD60" i="1"/>
  <c r="DC60" i="1"/>
  <c r="CO60" i="1" s="1"/>
  <c r="DB60" i="1"/>
  <c r="AJ60" i="1" s="1"/>
  <c r="DA60" i="1"/>
  <c r="AI60" i="1" s="1"/>
  <c r="CZ60" i="1"/>
  <c r="CL60" i="1" s="1"/>
  <c r="CY60" i="1"/>
  <c r="CK60" i="1" s="1"/>
  <c r="CX60" i="1"/>
  <c r="AF60" i="1" s="1"/>
  <c r="CW60" i="1"/>
  <c r="Q60" i="1" s="1"/>
  <c r="DK60" i="1" s="1"/>
  <c r="DD59" i="1"/>
  <c r="AL59" i="1" s="1"/>
  <c r="DC59" i="1"/>
  <c r="CO59" i="1" s="1"/>
  <c r="DB59" i="1"/>
  <c r="CN59" i="1" s="1"/>
  <c r="DA59" i="1"/>
  <c r="CM59" i="1" s="1"/>
  <c r="CZ59" i="1"/>
  <c r="T59" i="1" s="1"/>
  <c r="CY59" i="1"/>
  <c r="S59" i="1" s="1"/>
  <c r="DM59" i="1" s="1"/>
  <c r="CX59" i="1"/>
  <c r="R59" i="1" s="1"/>
  <c r="DL59" i="1" s="1"/>
  <c r="CW59" i="1"/>
  <c r="Q59" i="1" s="1"/>
  <c r="DK59" i="1" s="1"/>
  <c r="DD57" i="1"/>
  <c r="AL57" i="1" s="1"/>
  <c r="DC57" i="1"/>
  <c r="W57" i="1" s="1"/>
  <c r="DQ57" i="1" s="1"/>
  <c r="DB57" i="1"/>
  <c r="CN57" i="1" s="1"/>
  <c r="DA57" i="1"/>
  <c r="CM57" i="1" s="1"/>
  <c r="CZ57" i="1"/>
  <c r="AH57" i="1" s="1"/>
  <c r="CY57" i="1"/>
  <c r="CK57" i="1" s="1"/>
  <c r="CX57" i="1"/>
  <c r="CW57" i="1"/>
  <c r="CI57" i="1" s="1"/>
  <c r="DD56" i="1"/>
  <c r="X56" i="1" s="1"/>
  <c r="BN56" i="1" s="1"/>
  <c r="CB56" i="1" s="1"/>
  <c r="DC56" i="1"/>
  <c r="AK56" i="1" s="1"/>
  <c r="DB56" i="1"/>
  <c r="CN56" i="1" s="1"/>
  <c r="DA56" i="1"/>
  <c r="CM56" i="1" s="1"/>
  <c r="CZ56" i="1"/>
  <c r="CL56" i="1" s="1"/>
  <c r="CY56" i="1"/>
  <c r="S56" i="1" s="1"/>
  <c r="DM56" i="1" s="1"/>
  <c r="CX56" i="1"/>
  <c r="CJ56" i="1" s="1"/>
  <c r="CW56" i="1"/>
  <c r="CI56" i="1" s="1"/>
  <c r="DD55" i="1"/>
  <c r="DC55" i="1"/>
  <c r="AK55" i="1" s="1"/>
  <c r="DB55" i="1"/>
  <c r="V55" i="1" s="1"/>
  <c r="BL55" i="1" s="1"/>
  <c r="BZ55" i="1" s="1"/>
  <c r="DA55" i="1"/>
  <c r="U55" i="1" s="1"/>
  <c r="DO55" i="1" s="1"/>
  <c r="CZ55" i="1"/>
  <c r="AH55" i="1" s="1"/>
  <c r="CY55" i="1"/>
  <c r="S55" i="1" s="1"/>
  <c r="DM55" i="1" s="1"/>
  <c r="CX55" i="1"/>
  <c r="R55" i="1" s="1"/>
  <c r="BH55" i="1" s="1"/>
  <c r="BV55" i="1" s="1"/>
  <c r="CW55" i="1"/>
  <c r="Q55" i="1" s="1"/>
  <c r="DK55" i="1" s="1"/>
  <c r="DD53" i="1"/>
  <c r="AL53" i="1" s="1"/>
  <c r="DC53" i="1"/>
  <c r="AK53" i="1" s="1"/>
  <c r="DB53" i="1"/>
  <c r="CN53" i="1" s="1"/>
  <c r="DA53" i="1"/>
  <c r="CZ53" i="1"/>
  <c r="AH53" i="1" s="1"/>
  <c r="CY53" i="1"/>
  <c r="S53" i="1" s="1"/>
  <c r="CX53" i="1"/>
  <c r="CJ53" i="1" s="1"/>
  <c r="CW53" i="1"/>
  <c r="Q53" i="1" s="1"/>
  <c r="DK53" i="1" s="1"/>
  <c r="DD52" i="1"/>
  <c r="CP52" i="1" s="1"/>
  <c r="DC52" i="1"/>
  <c r="CO52" i="1" s="1"/>
  <c r="DB52" i="1"/>
  <c r="DA52" i="1"/>
  <c r="U52" i="1" s="1"/>
  <c r="BK52" i="1" s="1"/>
  <c r="BY52" i="1" s="1"/>
  <c r="CZ52" i="1"/>
  <c r="AH52" i="1" s="1"/>
  <c r="CY52" i="1"/>
  <c r="AG52" i="1" s="1"/>
  <c r="CX52" i="1"/>
  <c r="R52" i="1" s="1"/>
  <c r="DL52" i="1" s="1"/>
  <c r="CW52" i="1"/>
  <c r="CI52" i="1" s="1"/>
  <c r="DD51" i="1"/>
  <c r="CP51" i="1" s="1"/>
  <c r="DC51" i="1"/>
  <c r="W51" i="1" s="1"/>
  <c r="DQ51" i="1" s="1"/>
  <c r="DB51" i="1"/>
  <c r="CN51" i="1" s="1"/>
  <c r="DA51" i="1"/>
  <c r="AI51" i="1" s="1"/>
  <c r="CZ51" i="1"/>
  <c r="CL51" i="1" s="1"/>
  <c r="CY51" i="1"/>
  <c r="S51" i="1" s="1"/>
  <c r="BI51" i="1" s="1"/>
  <c r="BW51" i="1" s="1"/>
  <c r="CX51" i="1"/>
  <c r="CJ51" i="1" s="1"/>
  <c r="CW51" i="1"/>
  <c r="Q51" i="1" s="1"/>
  <c r="DK51" i="1" s="1"/>
  <c r="DD50" i="1"/>
  <c r="CP50" i="1" s="1"/>
  <c r="DC50" i="1"/>
  <c r="W50" i="1" s="1"/>
  <c r="DQ50" i="1" s="1"/>
  <c r="DB50" i="1"/>
  <c r="DA50" i="1"/>
  <c r="AI50" i="1" s="1"/>
  <c r="CZ50" i="1"/>
  <c r="AH50" i="1" s="1"/>
  <c r="CY50" i="1"/>
  <c r="S50" i="1" s="1"/>
  <c r="DM50" i="1" s="1"/>
  <c r="CX50" i="1"/>
  <c r="CJ50" i="1" s="1"/>
  <c r="CW50" i="1"/>
  <c r="CI50" i="1" s="1"/>
  <c r="DD49" i="1"/>
  <c r="CP49" i="1" s="1"/>
  <c r="DC49" i="1"/>
  <c r="DB49" i="1"/>
  <c r="CN49" i="1" s="1"/>
  <c r="DA49" i="1"/>
  <c r="AI49" i="1" s="1"/>
  <c r="CZ49" i="1"/>
  <c r="T49" i="1" s="1"/>
  <c r="DN49" i="1" s="1"/>
  <c r="CY49" i="1"/>
  <c r="CX49" i="1"/>
  <c r="CJ49" i="1" s="1"/>
  <c r="CW49" i="1"/>
  <c r="DD47" i="1"/>
  <c r="CP47" i="1" s="1"/>
  <c r="DC47" i="1"/>
  <c r="AK47" i="1" s="1"/>
  <c r="DB47" i="1"/>
  <c r="DA47" i="1"/>
  <c r="CM47" i="1" s="1"/>
  <c r="CZ47" i="1"/>
  <c r="T47" i="1" s="1"/>
  <c r="BJ47" i="1" s="1"/>
  <c r="BX47" i="1" s="1"/>
  <c r="CY47" i="1"/>
  <c r="CK47" i="1" s="1"/>
  <c r="CX47" i="1"/>
  <c r="CJ47" i="1" s="1"/>
  <c r="CW47" i="1"/>
  <c r="Q47" i="1" s="1"/>
  <c r="DD46" i="1"/>
  <c r="CP46" i="1" s="1"/>
  <c r="DC46" i="1"/>
  <c r="W46" i="1" s="1"/>
  <c r="DB46" i="1"/>
  <c r="V46" i="1" s="1"/>
  <c r="BL46" i="1" s="1"/>
  <c r="BZ46" i="1" s="1"/>
  <c r="DA46" i="1"/>
  <c r="AI46" i="1" s="1"/>
  <c r="CZ46" i="1"/>
  <c r="CL46" i="1" s="1"/>
  <c r="CY46" i="1"/>
  <c r="S46" i="1" s="1"/>
  <c r="DM46" i="1" s="1"/>
  <c r="CX46" i="1"/>
  <c r="CJ46" i="1" s="1"/>
  <c r="CW46" i="1"/>
  <c r="AE46" i="1" s="1"/>
  <c r="DD45" i="1"/>
  <c r="AL45" i="1" s="1"/>
  <c r="DC45" i="1"/>
  <c r="CO45" i="1" s="1"/>
  <c r="DB45" i="1"/>
  <c r="DA45" i="1"/>
  <c r="CM45" i="1" s="1"/>
  <c r="CZ45" i="1"/>
  <c r="AH45" i="1" s="1"/>
  <c r="CY45" i="1"/>
  <c r="CK45" i="1" s="1"/>
  <c r="CX45" i="1"/>
  <c r="R45" i="1" s="1"/>
  <c r="DL45" i="1" s="1"/>
  <c r="CW45" i="1"/>
  <c r="AE45" i="1" s="1"/>
  <c r="DD44" i="1"/>
  <c r="CP44" i="1" s="1"/>
  <c r="DC44" i="1"/>
  <c r="W44" i="1" s="1"/>
  <c r="DB44" i="1"/>
  <c r="V44" i="1" s="1"/>
  <c r="DP44" i="1" s="1"/>
  <c r="DA44" i="1"/>
  <c r="AI44" i="1" s="1"/>
  <c r="CZ44" i="1"/>
  <c r="T44" i="1" s="1"/>
  <c r="CY44" i="1"/>
  <c r="CX44" i="1"/>
  <c r="R44" i="1" s="1"/>
  <c r="BH44" i="1" s="1"/>
  <c r="BV44" i="1" s="1"/>
  <c r="CW44" i="1"/>
  <c r="Q44" i="1" s="1"/>
  <c r="DK44" i="1" s="1"/>
  <c r="DD42" i="1"/>
  <c r="AL42" i="1" s="1"/>
  <c r="DC42" i="1"/>
  <c r="CO42" i="1" s="1"/>
  <c r="DB42" i="1"/>
  <c r="CN42" i="1" s="1"/>
  <c r="DA42" i="1"/>
  <c r="U42" i="1" s="1"/>
  <c r="BK42" i="1" s="1"/>
  <c r="BY42" i="1" s="1"/>
  <c r="CZ42" i="1"/>
  <c r="T42" i="1" s="1"/>
  <c r="CY42" i="1"/>
  <c r="S42" i="1" s="1"/>
  <c r="CX42" i="1"/>
  <c r="AF42" i="1" s="1"/>
  <c r="CW42" i="1"/>
  <c r="CI42" i="1" s="1"/>
  <c r="DD41" i="1"/>
  <c r="AL41" i="1" s="1"/>
  <c r="DC41" i="1"/>
  <c r="DB41" i="1"/>
  <c r="CN41" i="1" s="1"/>
  <c r="DA41" i="1"/>
  <c r="U41" i="1" s="1"/>
  <c r="BK41" i="1" s="1"/>
  <c r="BY41" i="1" s="1"/>
  <c r="CZ41" i="1"/>
  <c r="CL41" i="1" s="1"/>
  <c r="CY41" i="1"/>
  <c r="AG41" i="1" s="1"/>
  <c r="CX41" i="1"/>
  <c r="CJ41" i="1" s="1"/>
  <c r="CW41" i="1"/>
  <c r="AE41" i="1" s="1"/>
  <c r="DD40" i="1"/>
  <c r="AL40" i="1" s="1"/>
  <c r="DC40" i="1"/>
  <c r="AK40" i="1" s="1"/>
  <c r="DB40" i="1"/>
  <c r="V40" i="1" s="1"/>
  <c r="DA40" i="1"/>
  <c r="AI40" i="1" s="1"/>
  <c r="CZ40" i="1"/>
  <c r="T40" i="1" s="1"/>
  <c r="CY40" i="1"/>
  <c r="CK40" i="1" s="1"/>
  <c r="CX40" i="1"/>
  <c r="CW40" i="1"/>
  <c r="DD39" i="1"/>
  <c r="X39" i="1" s="1"/>
  <c r="DC39" i="1"/>
  <c r="CO39" i="1" s="1"/>
  <c r="DB39" i="1"/>
  <c r="CN39" i="1" s="1"/>
  <c r="DA39" i="1"/>
  <c r="CM39" i="1" s="1"/>
  <c r="CZ39" i="1"/>
  <c r="AH39" i="1" s="1"/>
  <c r="CY39" i="1"/>
  <c r="S39" i="1" s="1"/>
  <c r="DM39" i="1" s="1"/>
  <c r="CX39" i="1"/>
  <c r="R39" i="1" s="1"/>
  <c r="DL39" i="1" s="1"/>
  <c r="CW39" i="1"/>
  <c r="CI39" i="1" s="1"/>
  <c r="DD38" i="1"/>
  <c r="AL38" i="1" s="1"/>
  <c r="DC38" i="1"/>
  <c r="AK38" i="1" s="1"/>
  <c r="DB38" i="1"/>
  <c r="DA38" i="1"/>
  <c r="CZ38" i="1"/>
  <c r="T38" i="1" s="1"/>
  <c r="DN38" i="1" s="1"/>
  <c r="CY38" i="1"/>
  <c r="CK38" i="1" s="1"/>
  <c r="CX38" i="1"/>
  <c r="CJ38" i="1" s="1"/>
  <c r="CW38" i="1"/>
  <c r="DD36" i="1"/>
  <c r="CP36" i="1" s="1"/>
  <c r="DC36" i="1"/>
  <c r="CO36" i="1" s="1"/>
  <c r="DB36" i="1"/>
  <c r="CN36" i="1" s="1"/>
  <c r="DA36" i="1"/>
  <c r="U36" i="1" s="1"/>
  <c r="CZ36" i="1"/>
  <c r="CL36" i="1" s="1"/>
  <c r="CY36" i="1"/>
  <c r="CK36" i="1" s="1"/>
  <c r="CX36" i="1"/>
  <c r="R36" i="1" s="1"/>
  <c r="DL36" i="1" s="1"/>
  <c r="CW36" i="1"/>
  <c r="AE36" i="1" s="1"/>
  <c r="DD35" i="1"/>
  <c r="CP35" i="1" s="1"/>
  <c r="DC35" i="1"/>
  <c r="W35" i="1" s="1"/>
  <c r="DQ35" i="1" s="1"/>
  <c r="DB35" i="1"/>
  <c r="AJ35" i="1" s="1"/>
  <c r="DA35" i="1"/>
  <c r="CM35" i="1" s="1"/>
  <c r="CZ35" i="1"/>
  <c r="AH35" i="1" s="1"/>
  <c r="CY35" i="1"/>
  <c r="AG35" i="1" s="1"/>
  <c r="CX35" i="1"/>
  <c r="CJ35" i="1" s="1"/>
  <c r="CW35" i="1"/>
  <c r="DD34" i="1"/>
  <c r="CP34" i="1" s="1"/>
  <c r="DC34" i="1"/>
  <c r="AK34" i="1" s="1"/>
  <c r="DB34" i="1"/>
  <c r="AJ34" i="1" s="1"/>
  <c r="DA34" i="1"/>
  <c r="AI34" i="1" s="1"/>
  <c r="CZ34" i="1"/>
  <c r="CY34" i="1"/>
  <c r="CK34" i="1" s="1"/>
  <c r="CX34" i="1"/>
  <c r="R34" i="1" s="1"/>
  <c r="DL34" i="1" s="1"/>
  <c r="CW34" i="1"/>
  <c r="Q34" i="1" s="1"/>
  <c r="DK34" i="1" s="1"/>
  <c r="DD32" i="1"/>
  <c r="X32" i="1" s="1"/>
  <c r="DR32" i="1" s="1"/>
  <c r="T40" i="36" s="1"/>
  <c r="DC32" i="1"/>
  <c r="AK32" i="1" s="1"/>
  <c r="DB32" i="1"/>
  <c r="CN32" i="1" s="1"/>
  <c r="DA32" i="1"/>
  <c r="U32" i="1" s="1"/>
  <c r="DO32" i="1" s="1"/>
  <c r="CZ32" i="1"/>
  <c r="CL32" i="1" s="1"/>
  <c r="CY32" i="1"/>
  <c r="S32" i="1" s="1"/>
  <c r="DM32" i="1" s="1"/>
  <c r="O40" i="36" s="1"/>
  <c r="CX32" i="1"/>
  <c r="N7" i="36" s="1"/>
  <c r="CW32" i="1"/>
  <c r="M7" i="36" s="1"/>
  <c r="DD31" i="1"/>
  <c r="X31" i="1" s="1"/>
  <c r="BN31" i="1" s="1"/>
  <c r="CB31" i="1" s="1"/>
  <c r="DC31" i="1"/>
  <c r="CO31" i="1" s="1"/>
  <c r="DB31" i="1"/>
  <c r="CN31" i="1" s="1"/>
  <c r="DA31" i="1"/>
  <c r="CM31" i="1" s="1"/>
  <c r="CZ31" i="1"/>
  <c r="AH31" i="1" s="1"/>
  <c r="CY31" i="1"/>
  <c r="CK31" i="1" s="1"/>
  <c r="CX31" i="1"/>
  <c r="R31" i="1" s="1"/>
  <c r="DL31" i="1" s="1"/>
  <c r="CW31" i="1"/>
  <c r="Q31" i="1" s="1"/>
  <c r="DD30" i="1"/>
  <c r="AL30" i="1" s="1"/>
  <c r="DC30" i="1"/>
  <c r="CO30" i="1" s="1"/>
  <c r="DB30" i="1"/>
  <c r="DA30" i="1"/>
  <c r="U30" i="1" s="1"/>
  <c r="DO30" i="1" s="1"/>
  <c r="CZ30" i="1"/>
  <c r="T30" i="1" s="1"/>
  <c r="DN30" i="1" s="1"/>
  <c r="CW30" i="1"/>
  <c r="AE30" i="1" s="1"/>
  <c r="CX30" i="1"/>
  <c r="CY30" i="1"/>
  <c r="AG30" i="1" s="1"/>
  <c r="DD29" i="1"/>
  <c r="CP29" i="1" s="1"/>
  <c r="DC29" i="1"/>
  <c r="CO29" i="1" s="1"/>
  <c r="DB29" i="1"/>
  <c r="AJ29" i="1" s="1"/>
  <c r="DA29" i="1"/>
  <c r="U29" i="1" s="1"/>
  <c r="CZ29" i="1"/>
  <c r="T29" i="1" s="1"/>
  <c r="CY29" i="1"/>
  <c r="CK29" i="1" s="1"/>
  <c r="CX29" i="1"/>
  <c r="CJ29" i="1" s="1"/>
  <c r="CW29" i="1"/>
  <c r="AE29" i="1" s="1"/>
  <c r="DD26" i="1"/>
  <c r="X26" i="1" s="1"/>
  <c r="DC26" i="1"/>
  <c r="AK26" i="1" s="1"/>
  <c r="DB26" i="1"/>
  <c r="CN26" i="1" s="1"/>
  <c r="DA26" i="1"/>
  <c r="U26" i="1" s="1"/>
  <c r="BK26" i="1" s="1"/>
  <c r="BY26" i="1" s="1"/>
  <c r="CZ26" i="1"/>
  <c r="AH26" i="1" s="1"/>
  <c r="CY26" i="1"/>
  <c r="S26" i="1" s="1"/>
  <c r="DM26" i="1" s="1"/>
  <c r="CX26" i="1"/>
  <c r="CW26" i="1"/>
  <c r="AE26" i="1" s="1"/>
  <c r="DD25" i="1"/>
  <c r="AL25" i="1" s="1"/>
  <c r="DC25" i="1"/>
  <c r="AK25" i="1" s="1"/>
  <c r="DB25" i="1"/>
  <c r="CN25" i="1" s="1"/>
  <c r="DA25" i="1"/>
  <c r="CM25" i="1" s="1"/>
  <c r="CZ25" i="1"/>
  <c r="AH25" i="1" s="1"/>
  <c r="CY25" i="1"/>
  <c r="CX25" i="1"/>
  <c r="R25" i="1" s="1"/>
  <c r="DL25" i="1" s="1"/>
  <c r="CW25" i="1"/>
  <c r="Q25" i="1" s="1"/>
  <c r="DK25" i="1" s="1"/>
  <c r="DD24" i="1"/>
  <c r="CP24" i="1" s="1"/>
  <c r="DC24" i="1"/>
  <c r="AK24" i="1" s="1"/>
  <c r="DB24" i="1"/>
  <c r="V24" i="1" s="1"/>
  <c r="DP24" i="1" s="1"/>
  <c r="DA24" i="1"/>
  <c r="CM24" i="1" s="1"/>
  <c r="CZ24" i="1"/>
  <c r="AH24" i="1" s="1"/>
  <c r="CY24" i="1"/>
  <c r="S24" i="1" s="1"/>
  <c r="BI24" i="1" s="1"/>
  <c r="BW24" i="1" s="1"/>
  <c r="CX24" i="1"/>
  <c r="R24" i="1" s="1"/>
  <c r="BH24" i="1" s="1"/>
  <c r="BV24" i="1" s="1"/>
  <c r="CW24" i="1"/>
  <c r="AE24" i="1" s="1"/>
  <c r="DD23" i="1"/>
  <c r="X23" i="1" s="1"/>
  <c r="DC23" i="1"/>
  <c r="CO23" i="1" s="1"/>
  <c r="DB23" i="1"/>
  <c r="AJ23" i="1" s="1"/>
  <c r="DA23" i="1"/>
  <c r="CM23" i="1" s="1"/>
  <c r="CZ23" i="1"/>
  <c r="CL23" i="1" s="1"/>
  <c r="CY23" i="1"/>
  <c r="CK23" i="1" s="1"/>
  <c r="CX23" i="1"/>
  <c r="CJ23" i="1" s="1"/>
  <c r="CW23" i="1"/>
  <c r="Q23" i="1" s="1"/>
  <c r="DK23" i="1" s="1"/>
  <c r="DD22" i="1"/>
  <c r="X22" i="1" s="1"/>
  <c r="DC22" i="1"/>
  <c r="CO22" i="1" s="1"/>
  <c r="DB22" i="1"/>
  <c r="CN22" i="1" s="1"/>
  <c r="DA22" i="1"/>
  <c r="CM22" i="1" s="1"/>
  <c r="CZ22" i="1"/>
  <c r="AH22" i="1" s="1"/>
  <c r="CY22" i="1"/>
  <c r="CK22" i="1" s="1"/>
  <c r="CX22" i="1"/>
  <c r="R22" i="1" s="1"/>
  <c r="CW22" i="1"/>
  <c r="DD21" i="1"/>
  <c r="CP21" i="1" s="1"/>
  <c r="DC21" i="1"/>
  <c r="S11" i="36" s="1"/>
  <c r="DB21" i="1"/>
  <c r="V21" i="1" s="1"/>
  <c r="DP21" i="1" s="1"/>
  <c r="R44" i="36" s="1"/>
  <c r="DA21" i="1"/>
  <c r="CM21" i="1" s="1"/>
  <c r="CZ21" i="1"/>
  <c r="AH21" i="1" s="1"/>
  <c r="CY21" i="1"/>
  <c r="S21" i="1" s="1"/>
  <c r="BI21" i="1" s="1"/>
  <c r="BW21" i="1" s="1"/>
  <c r="CX21" i="1"/>
  <c r="N11" i="36" s="1"/>
  <c r="CW21" i="1"/>
  <c r="Q21" i="1" s="1"/>
  <c r="BG21" i="1" s="1"/>
  <c r="BU21" i="1" s="1"/>
  <c r="DD20" i="1"/>
  <c r="T8" i="36" s="1"/>
  <c r="DC20" i="1"/>
  <c r="CO20" i="1" s="1"/>
  <c r="DB20" i="1"/>
  <c r="DA20" i="1"/>
  <c r="AN13" i="48" s="1"/>
  <c r="CZ20" i="1"/>
  <c r="AH20" i="1" s="1"/>
  <c r="CY20" i="1"/>
  <c r="S20" i="1" s="1"/>
  <c r="BI20" i="1" s="1"/>
  <c r="BW20" i="1" s="1"/>
  <c r="CX20" i="1"/>
  <c r="CJ20" i="1" s="1"/>
  <c r="CW20" i="1"/>
  <c r="AJ13" i="48" s="1"/>
  <c r="DD19" i="1"/>
  <c r="CP19" i="1" s="1"/>
  <c r="DC19" i="1"/>
  <c r="W19" i="1" s="1"/>
  <c r="DQ19" i="1" s="1"/>
  <c r="DB19" i="1"/>
  <c r="V19" i="1" s="1"/>
  <c r="BL19" i="1" s="1"/>
  <c r="BZ19" i="1" s="1"/>
  <c r="DA19" i="1"/>
  <c r="AI19" i="1" s="1"/>
  <c r="CZ19" i="1"/>
  <c r="CL19" i="1" s="1"/>
  <c r="CY19" i="1"/>
  <c r="CK19" i="1" s="1"/>
  <c r="CX19" i="1"/>
  <c r="AF19" i="1" s="1"/>
  <c r="CW19" i="1"/>
  <c r="AE19" i="1" s="1"/>
  <c r="DD17" i="1"/>
  <c r="X17" i="1" s="1"/>
  <c r="BN17" i="1" s="1"/>
  <c r="CB17" i="1" s="1"/>
  <c r="DC17" i="1"/>
  <c r="CO17" i="1" s="1"/>
  <c r="DB17" i="1"/>
  <c r="AJ17" i="1" s="1"/>
  <c r="DA17" i="1"/>
  <c r="AI17" i="1" s="1"/>
  <c r="CZ17" i="1"/>
  <c r="CL17" i="1" s="1"/>
  <c r="CY17" i="1"/>
  <c r="S17" i="1" s="1"/>
  <c r="CX17" i="1"/>
  <c r="CJ17" i="1" s="1"/>
  <c r="CW17" i="1"/>
  <c r="Q17" i="1" s="1"/>
  <c r="DK17" i="1" s="1"/>
  <c r="DD16" i="1"/>
  <c r="CP16" i="1" s="1"/>
  <c r="DC16" i="1"/>
  <c r="CO16" i="1" s="1"/>
  <c r="DB16" i="1"/>
  <c r="AJ16" i="1" s="1"/>
  <c r="DA16" i="1"/>
  <c r="AI16" i="1" s="1"/>
  <c r="CZ16" i="1"/>
  <c r="AH16" i="1" s="1"/>
  <c r="CY16" i="1"/>
  <c r="CK16" i="1" s="1"/>
  <c r="CX16" i="1"/>
  <c r="R16" i="1" s="1"/>
  <c r="BH16" i="1" s="1"/>
  <c r="BV16" i="1" s="1"/>
  <c r="CW16" i="1"/>
  <c r="CI16" i="1" s="1"/>
  <c r="DD15" i="1"/>
  <c r="AL15" i="1" s="1"/>
  <c r="DC15" i="1"/>
  <c r="W15" i="1" s="1"/>
  <c r="BM15" i="1" s="1"/>
  <c r="CA15" i="1" s="1"/>
  <c r="DB15" i="1"/>
  <c r="DA15" i="1"/>
  <c r="U15" i="1" s="1"/>
  <c r="BK15" i="1" s="1"/>
  <c r="BY15" i="1" s="1"/>
  <c r="CZ15" i="1"/>
  <c r="AH15" i="1" s="1"/>
  <c r="CY15" i="1"/>
  <c r="AG15" i="1" s="1"/>
  <c r="CX15" i="1"/>
  <c r="R15" i="1" s="1"/>
  <c r="CW15" i="1"/>
  <c r="Q15" i="1" s="1"/>
  <c r="DK15" i="1" s="1"/>
  <c r="DD14" i="1"/>
  <c r="AL14" i="1" s="1"/>
  <c r="DC14" i="1"/>
  <c r="W14" i="1" s="1"/>
  <c r="BM14" i="1" s="1"/>
  <c r="CA14" i="1" s="1"/>
  <c r="DB14" i="1"/>
  <c r="CN14" i="1" s="1"/>
  <c r="DA14" i="1"/>
  <c r="U14" i="1" s="1"/>
  <c r="CZ14" i="1"/>
  <c r="AH14" i="1" s="1"/>
  <c r="CY14" i="1"/>
  <c r="AG14" i="1" s="1"/>
  <c r="CX14" i="1"/>
  <c r="R14" i="1" s="1"/>
  <c r="DL14" i="1" s="1"/>
  <c r="CW14" i="1"/>
  <c r="Q14" i="1" s="1"/>
  <c r="BG14" i="1" s="1"/>
  <c r="BU14" i="1" s="1"/>
  <c r="DD13" i="1"/>
  <c r="T16" i="36" s="1"/>
  <c r="DC13" i="1"/>
  <c r="AK13" i="1" s="1"/>
  <c r="DB13" i="1"/>
  <c r="DA13" i="1"/>
  <c r="CM13" i="1" s="1"/>
  <c r="CZ13" i="1"/>
  <c r="P16" i="36" s="1"/>
  <c r="CY13" i="1"/>
  <c r="CX13" i="1"/>
  <c r="R13" i="1" s="1"/>
  <c r="DL13" i="1" s="1"/>
  <c r="CW13" i="1"/>
  <c r="M16" i="36" s="1"/>
  <c r="DD12" i="1"/>
  <c r="X12" i="1" s="1"/>
  <c r="BN12" i="1" s="1"/>
  <c r="CB12" i="1" s="1"/>
  <c r="DC12" i="1"/>
  <c r="W12" i="1" s="1"/>
  <c r="BM12" i="1" s="1"/>
  <c r="CA12" i="1" s="1"/>
  <c r="DB12" i="1"/>
  <c r="AJ12" i="1" s="1"/>
  <c r="DA12" i="1"/>
  <c r="AI12" i="1" s="1"/>
  <c r="CZ12" i="1"/>
  <c r="T12" i="1" s="1"/>
  <c r="DN12" i="1" s="1"/>
  <c r="CY12" i="1"/>
  <c r="AG12" i="1" s="1"/>
  <c r="CX12" i="1"/>
  <c r="AF12" i="1" s="1"/>
  <c r="CW12" i="1"/>
  <c r="AE12" i="1" s="1"/>
  <c r="DD11" i="1"/>
  <c r="X11" i="1" s="1"/>
  <c r="BN11" i="1" s="1"/>
  <c r="CB11" i="1" s="1"/>
  <c r="DC11" i="1"/>
  <c r="CO11" i="1" s="1"/>
  <c r="DB11" i="1"/>
  <c r="AJ11" i="1" s="1"/>
  <c r="DA11" i="1"/>
  <c r="CM11" i="1" s="1"/>
  <c r="CZ11" i="1"/>
  <c r="T11" i="1" s="1"/>
  <c r="BJ11" i="1" s="1"/>
  <c r="BX11" i="1" s="1"/>
  <c r="CY11" i="1"/>
  <c r="CK11" i="1" s="1"/>
  <c r="CX11" i="1"/>
  <c r="R11" i="1" s="1"/>
  <c r="DL11" i="1" s="1"/>
  <c r="CW11" i="1"/>
  <c r="AE11" i="1" s="1"/>
  <c r="DD10" i="1"/>
  <c r="CP10" i="1" s="1"/>
  <c r="DC10" i="1"/>
  <c r="CO10" i="1" s="1"/>
  <c r="DB10" i="1"/>
  <c r="V10" i="1" s="1"/>
  <c r="BL10" i="1" s="1"/>
  <c r="BZ10" i="1" s="1"/>
  <c r="DA10" i="1"/>
  <c r="CZ10" i="1"/>
  <c r="CL10" i="1" s="1"/>
  <c r="CY10" i="1"/>
  <c r="AG10" i="1" s="1"/>
  <c r="CX10" i="1"/>
  <c r="CJ10" i="1" s="1"/>
  <c r="CW10" i="1"/>
  <c r="Q10" i="1" s="1"/>
  <c r="DK10" i="1" s="1"/>
  <c r="DD9" i="1"/>
  <c r="X9" i="1" s="1"/>
  <c r="BN9" i="1" s="1"/>
  <c r="CB9" i="1" s="1"/>
  <c r="DC9" i="1"/>
  <c r="AK9" i="1" s="1"/>
  <c r="DB9" i="1"/>
  <c r="V9" i="1" s="1"/>
  <c r="BL9" i="1" s="1"/>
  <c r="BZ9" i="1" s="1"/>
  <c r="DA9" i="1"/>
  <c r="U9" i="1" s="1"/>
  <c r="DO9" i="1" s="1"/>
  <c r="CZ9" i="1"/>
  <c r="AH9" i="1" s="1"/>
  <c r="CY9" i="1"/>
  <c r="S9" i="1" s="1"/>
  <c r="DM9" i="1" s="1"/>
  <c r="CX9" i="1"/>
  <c r="CJ9" i="1" s="1"/>
  <c r="CW9" i="1"/>
  <c r="Q9" i="1" s="1"/>
  <c r="DK9" i="1" s="1"/>
  <c r="DD8" i="1"/>
  <c r="AL8" i="1" s="1"/>
  <c r="DC8" i="1"/>
  <c r="W8" i="1" s="1"/>
  <c r="DQ8" i="1" s="1"/>
  <c r="DB8" i="1"/>
  <c r="AJ8" i="1" s="1"/>
  <c r="DA8" i="1"/>
  <c r="U8" i="1" s="1"/>
  <c r="CZ8" i="1"/>
  <c r="CY8" i="1"/>
  <c r="S8" i="1" s="1"/>
  <c r="CX8" i="1"/>
  <c r="CJ8" i="1" s="1"/>
  <c r="CW8" i="1"/>
  <c r="Q8" i="1" s="1"/>
  <c r="DK8" i="1" s="1"/>
  <c r="CW6" i="1"/>
  <c r="CW7" i="1"/>
  <c r="CI7" i="1" s="1"/>
  <c r="DD7" i="1"/>
  <c r="AL7" i="1" s="1"/>
  <c r="DC7" i="1"/>
  <c r="AK7" i="1" s="1"/>
  <c r="DB7" i="1"/>
  <c r="CN7" i="1" s="1"/>
  <c r="DA7" i="1"/>
  <c r="AI7" i="1" s="1"/>
  <c r="CZ7" i="1"/>
  <c r="CL7" i="1" s="1"/>
  <c r="CY7" i="1"/>
  <c r="S7" i="1" s="1"/>
  <c r="CX7" i="1"/>
  <c r="CJ7" i="1" s="1"/>
  <c r="DC6" i="1"/>
  <c r="W6" i="1" s="1"/>
  <c r="DB6" i="1"/>
  <c r="V6" i="1" s="1"/>
  <c r="DP6" i="1" s="1"/>
  <c r="DA6" i="1"/>
  <c r="CZ6" i="1"/>
  <c r="CL6" i="1" s="1"/>
  <c r="CY6" i="1"/>
  <c r="S6" i="1" s="1"/>
  <c r="CX6" i="1"/>
  <c r="CJ6" i="1" s="1"/>
  <c r="S44" i="2"/>
  <c r="T44" i="2" s="1"/>
  <c r="S46" i="2"/>
  <c r="T46" i="2" s="1"/>
  <c r="S45" i="2"/>
  <c r="T45" i="2" s="1"/>
  <c r="S43" i="2"/>
  <c r="T43" i="2" s="1"/>
  <c r="S42" i="2"/>
  <c r="T42" i="2" s="1"/>
  <c r="S40" i="2"/>
  <c r="T40" i="2" s="1"/>
  <c r="S39" i="2"/>
  <c r="T39" i="2" s="1"/>
  <c r="S34" i="2"/>
  <c r="T34" i="2" s="1"/>
  <c r="S37" i="2"/>
  <c r="T37" i="2" s="1"/>
  <c r="S29" i="2"/>
  <c r="T29" i="2" s="1"/>
  <c r="S41" i="2"/>
  <c r="T41" i="2" s="1"/>
  <c r="S36" i="2"/>
  <c r="T36" i="2" s="1"/>
  <c r="S21" i="2"/>
  <c r="T21" i="2" s="1"/>
  <c r="S35" i="2"/>
  <c r="T35" i="2" s="1"/>
  <c r="S31" i="2"/>
  <c r="T31" i="2" s="1"/>
  <c r="S30" i="2"/>
  <c r="T30" i="2" s="1"/>
  <c r="S38" i="2"/>
  <c r="T38" i="2" s="1"/>
  <c r="S6" i="2"/>
  <c r="T6" i="2" s="1"/>
  <c r="S7" i="2"/>
  <c r="T7" i="2" s="1"/>
  <c r="S28" i="2"/>
  <c r="T28" i="2" s="1"/>
  <c r="S27" i="2"/>
  <c r="T27" i="2" s="1"/>
  <c r="S26" i="2"/>
  <c r="T26" i="2" s="1"/>
  <c r="S25" i="2"/>
  <c r="T25" i="2" s="1"/>
  <c r="S33" i="2"/>
  <c r="T33" i="2" s="1"/>
  <c r="S32" i="2"/>
  <c r="T32" i="2" s="1"/>
  <c r="S24" i="2"/>
  <c r="T24" i="2" s="1"/>
  <c r="S23" i="2"/>
  <c r="T23" i="2" s="1"/>
  <c r="S22" i="2"/>
  <c r="T22" i="2" s="1"/>
  <c r="S20" i="2"/>
  <c r="T20" i="2" s="1"/>
  <c r="S19" i="2"/>
  <c r="T19" i="2" s="1"/>
  <c r="S18" i="2"/>
  <c r="T18" i="2" s="1"/>
  <c r="S17" i="2"/>
  <c r="T17" i="2" s="1"/>
  <c r="S16" i="2"/>
  <c r="T16" i="2" s="1"/>
  <c r="S15" i="2"/>
  <c r="T15" i="2" s="1"/>
  <c r="S14" i="2"/>
  <c r="T14" i="2" s="1"/>
  <c r="S13" i="2"/>
  <c r="T13" i="2" s="1"/>
  <c r="S12" i="2"/>
  <c r="T12" i="2" s="1"/>
  <c r="S11" i="2"/>
  <c r="T11" i="2" s="1"/>
  <c r="S10" i="2"/>
  <c r="T10" i="2" s="1"/>
  <c r="S9" i="2"/>
  <c r="T9" i="2" s="1"/>
  <c r="S8" i="2"/>
  <c r="T8" i="2" s="1"/>
  <c r="DV8" i="1"/>
  <c r="DV38" i="1"/>
  <c r="DV82" i="1"/>
  <c r="DY8" i="1"/>
  <c r="DV9" i="1"/>
  <c r="DV41" i="1"/>
  <c r="DU46" i="1"/>
  <c r="DU139" i="1"/>
  <c r="DU9" i="1"/>
  <c r="DO44" i="8"/>
  <c r="DU162" i="1"/>
  <c r="DU163" i="1"/>
  <c r="DO46" i="8"/>
  <c r="DU118" i="1"/>
  <c r="DO24" i="8"/>
  <c r="DU7" i="1"/>
  <c r="DU161" i="1"/>
  <c r="DO43" i="8"/>
  <c r="DO69" i="8"/>
  <c r="DU223" i="1"/>
  <c r="DO52" i="8"/>
  <c r="DU178" i="1"/>
  <c r="DU135" i="1"/>
  <c r="DU132" i="1"/>
  <c r="DV186" i="1"/>
  <c r="DV132" i="1"/>
  <c r="DP69" i="8"/>
  <c r="DV223" i="1"/>
  <c r="DP49" i="8"/>
  <c r="DV26" i="1"/>
  <c r="DV116" i="1"/>
  <c r="DP24" i="8"/>
  <c r="DV121" i="1"/>
  <c r="DP25" i="8"/>
  <c r="DO32" i="8"/>
  <c r="DU134" i="1"/>
  <c r="DP10" i="8"/>
  <c r="DV32" i="1"/>
  <c r="J64" i="36" s="1"/>
  <c r="DO8" i="8"/>
  <c r="DU11" i="1"/>
  <c r="AW83" i="6"/>
  <c r="AS128" i="6"/>
  <c r="AV123" i="6"/>
  <c r="AV125" i="6"/>
  <c r="AV134" i="6"/>
  <c r="AW60" i="6"/>
  <c r="AJ17" i="6"/>
  <c r="AS39" i="6"/>
  <c r="AS35" i="6" s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W99" i="6"/>
  <c r="AW85" i="6"/>
  <c r="AW93" i="6" s="1"/>
  <c r="AV85" i="6"/>
  <c r="AV93" i="6" s="1"/>
  <c r="AJ16" i="6"/>
  <c r="AJ32" i="6"/>
  <c r="AW84" i="6"/>
  <c r="AV84" i="6"/>
  <c r="AH83" i="6"/>
  <c r="AG83" i="6"/>
  <c r="U81" i="6"/>
  <c r="U114" i="6" s="1"/>
  <c r="AA128" i="6"/>
  <c r="AA97" i="6"/>
  <c r="U97" i="6"/>
  <c r="V97" i="6"/>
  <c r="AB59" i="6"/>
  <c r="AG60" i="6"/>
  <c r="AH60" i="6"/>
  <c r="AH101" i="6"/>
  <c r="AG101" i="6"/>
  <c r="V81" i="6"/>
  <c r="AG104" i="6"/>
  <c r="AH104" i="6"/>
  <c r="AH99" i="6"/>
  <c r="AG99" i="6"/>
  <c r="AA118" i="6"/>
  <c r="AA81" i="6"/>
  <c r="AA114" i="6" s="1"/>
  <c r="AW104" i="6"/>
  <c r="AW101" i="6"/>
  <c r="DZ51" i="1"/>
  <c r="EB64" i="1"/>
  <c r="DV6" i="8"/>
  <c r="DY21" i="1"/>
  <c r="M68" i="36" s="1"/>
  <c r="AV82" i="6"/>
  <c r="AO128" i="6"/>
  <c r="AP118" i="6"/>
  <c r="AW130" i="6"/>
  <c r="AP128" i="6"/>
  <c r="AP97" i="6"/>
  <c r="AP81" i="6"/>
  <c r="AV104" i="6"/>
  <c r="AV83" i="6"/>
  <c r="AV99" i="6"/>
  <c r="AV124" i="6"/>
  <c r="AV101" i="6"/>
  <c r="AK81" i="6"/>
  <c r="AJ97" i="6"/>
  <c r="AJ81" i="6"/>
  <c r="AJ114" i="6" s="1"/>
  <c r="AT128" i="6"/>
  <c r="AK97" i="6"/>
  <c r="AS118" i="6"/>
  <c r="AS138" i="6" s="1"/>
  <c r="AT118" i="6"/>
  <c r="AQ59" i="6"/>
  <c r="AQ77" i="6" s="1"/>
  <c r="AV60" i="6"/>
  <c r="A7" i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W122" i="6"/>
  <c r="AV122" i="6"/>
  <c r="AW121" i="6"/>
  <c r="AV121" i="6"/>
  <c r="AH98" i="6"/>
  <c r="Y118" i="6"/>
  <c r="Y81" i="6"/>
  <c r="Y113" i="6" s="1"/>
  <c r="AG135" i="6"/>
  <c r="AH135" i="6"/>
  <c r="AH82" i="6"/>
  <c r="AH81" i="6" s="1"/>
  <c r="AG82" i="6"/>
  <c r="U128" i="6"/>
  <c r="AG132" i="6"/>
  <c r="AH132" i="6"/>
  <c r="AB128" i="6"/>
  <c r="AB138" i="6" s="1"/>
  <c r="AB126" i="6" s="1"/>
  <c r="AB97" i="6"/>
  <c r="AG98" i="6"/>
  <c r="AH120" i="6"/>
  <c r="AG120" i="6"/>
  <c r="U118" i="6"/>
  <c r="V118" i="6"/>
  <c r="V128" i="6"/>
  <c r="AG130" i="6"/>
  <c r="AH130" i="6"/>
  <c r="Z128" i="6"/>
  <c r="Z138" i="6" s="1"/>
  <c r="Z97" i="6"/>
  <c r="Z113" i="6" s="1"/>
  <c r="AW132" i="6"/>
  <c r="AV120" i="6"/>
  <c r="AW120" i="6"/>
  <c r="AW98" i="6"/>
  <c r="AW82" i="6"/>
  <c r="AW135" i="6"/>
  <c r="AK118" i="6"/>
  <c r="AV130" i="6"/>
  <c r="AN81" i="6"/>
  <c r="AN114" i="6" s="1"/>
  <c r="AN118" i="6"/>
  <c r="AO97" i="6"/>
  <c r="AV132" i="6"/>
  <c r="AV135" i="6"/>
  <c r="AK128" i="6"/>
  <c r="AK137" i="6" s="1"/>
  <c r="AQ128" i="6"/>
  <c r="AJ118" i="6"/>
  <c r="AJ93" i="6"/>
  <c r="AQ97" i="6"/>
  <c r="AQ113" i="6" s="1"/>
  <c r="AV98" i="6"/>
  <c r="AJ128" i="6"/>
  <c r="AJ92" i="6"/>
  <c r="AJ107" i="6"/>
  <c r="AH129" i="6"/>
  <c r="AH128" i="6" s="1"/>
  <c r="AG129" i="6"/>
  <c r="U91" i="6"/>
  <c r="U112" i="6"/>
  <c r="V107" i="6"/>
  <c r="V112" i="6"/>
  <c r="AG119" i="6"/>
  <c r="AH119" i="6"/>
  <c r="AH118" i="6" s="1"/>
  <c r="AW129" i="6"/>
  <c r="AW119" i="6"/>
  <c r="AV119" i="6"/>
  <c r="AV129" i="6"/>
  <c r="EF137" i="1"/>
  <c r="DZ30" i="8"/>
  <c r="EF181" i="1"/>
  <c r="AW102" i="6"/>
  <c r="DZ53" i="8"/>
  <c r="AH102" i="6"/>
  <c r="AG102" i="6"/>
  <c r="EF140" i="1"/>
  <c r="DZ31" i="8"/>
  <c r="AW100" i="6"/>
  <c r="AV102" i="6"/>
  <c r="AW133" i="6"/>
  <c r="AG133" i="6"/>
  <c r="AH133" i="6"/>
  <c r="AF97" i="6"/>
  <c r="AH100" i="6"/>
  <c r="AG100" i="6"/>
  <c r="AV133" i="6"/>
  <c r="AW131" i="6"/>
  <c r="AU97" i="6"/>
  <c r="AV100" i="6"/>
  <c r="AF91" i="6"/>
  <c r="AF128" i="6"/>
  <c r="AG131" i="6"/>
  <c r="AH131" i="6"/>
  <c r="AU128" i="6"/>
  <c r="AU137" i="6" s="1"/>
  <c r="AV131" i="6"/>
  <c r="W114" i="6"/>
  <c r="AC113" i="6"/>
  <c r="AC111" i="6" s="1"/>
  <c r="AC114" i="6"/>
  <c r="AA137" i="6"/>
  <c r="AD114" i="6"/>
  <c r="AS137" i="6"/>
  <c r="AO44" i="20"/>
  <c r="AL47" i="20"/>
  <c r="AQ127" i="6"/>
  <c r="Q60" i="24" s="1"/>
  <c r="U46" i="20"/>
  <c r="L151" i="6"/>
  <c r="AT45" i="20"/>
  <c r="Z45" i="20"/>
  <c r="AE46" i="20"/>
  <c r="X47" i="20"/>
  <c r="AQ138" i="6"/>
  <c r="AQ126" i="6" s="1"/>
  <c r="AB47" i="20"/>
  <c r="AK44" i="20"/>
  <c r="W40" i="20"/>
  <c r="W46" i="20"/>
  <c r="AR138" i="6"/>
  <c r="AR136" i="6" s="1"/>
  <c r="AD44" i="20"/>
  <c r="AC47" i="20"/>
  <c r="U138" i="6"/>
  <c r="U136" i="6" s="1"/>
  <c r="AP46" i="20"/>
  <c r="I150" i="6"/>
  <c r="AQ105" i="6"/>
  <c r="AA52" i="6"/>
  <c r="AH69" i="48"/>
  <c r="AG69" i="48"/>
  <c r="L49" i="35"/>
  <c r="L50" i="35"/>
  <c r="L67" i="35"/>
  <c r="L52" i="35"/>
  <c r="L54" i="35"/>
  <c r="L55" i="35"/>
  <c r="L56" i="35"/>
  <c r="L57" i="35"/>
  <c r="L60" i="35"/>
  <c r="L61" i="35"/>
  <c r="K78" i="35"/>
  <c r="BH155" i="48"/>
  <c r="AC11" i="24"/>
  <c r="AB88" i="28"/>
  <c r="AB89" i="28" s="1"/>
  <c r="AN13" i="1"/>
  <c r="J151" i="6"/>
  <c r="AM114" i="6"/>
  <c r="X48" i="20"/>
  <c r="AR114" i="6"/>
  <c r="AR113" i="6"/>
  <c r="AR105" i="6" s="1"/>
  <c r="AT39" i="6"/>
  <c r="AT35" i="6" s="1"/>
  <c r="AR77" i="6"/>
  <c r="AR51" i="6" s="1"/>
  <c r="AR137" i="6"/>
  <c r="H151" i="6"/>
  <c r="G8" i="24"/>
  <c r="Y114" i="6"/>
  <c r="AR127" i="6"/>
  <c r="S60" i="24" s="1"/>
  <c r="Y45" i="20"/>
  <c r="U48" i="20"/>
  <c r="AJ117" i="48"/>
  <c r="AH20" i="48"/>
  <c r="V137" i="6"/>
  <c r="AA138" i="6"/>
  <c r="AA136" i="6" s="1"/>
  <c r="AQ111" i="6"/>
  <c r="AC107" i="6"/>
  <c r="AC90" i="6"/>
  <c r="AC106" i="6"/>
  <c r="AC89" i="6"/>
  <c r="AN138" i="6"/>
  <c r="X77" i="6"/>
  <c r="X72" i="6" s="1"/>
  <c r="S8" i="24"/>
  <c r="N151" i="6"/>
  <c r="M151" i="6"/>
  <c r="Y107" i="2"/>
  <c r="S10" i="20"/>
  <c r="S16" i="20"/>
  <c r="AK20" i="48"/>
  <c r="AM20" i="48"/>
  <c r="AM69" i="48"/>
  <c r="AP20" i="48"/>
  <c r="B13" i="57"/>
  <c r="I13" i="57"/>
  <c r="I42" i="58"/>
  <c r="U42" i="58"/>
  <c r="I75" i="58"/>
  <c r="Z108" i="58"/>
  <c r="AL20" i="48"/>
  <c r="AI20" i="48"/>
  <c r="AH117" i="48"/>
  <c r="AG20" i="48"/>
  <c r="AG117" i="48"/>
  <c r="U43" i="58"/>
  <c r="I77" i="58"/>
  <c r="Z110" i="58"/>
  <c r="U110" i="58"/>
  <c r="U77" i="58"/>
  <c r="Z109" i="58"/>
  <c r="I76" i="58"/>
  <c r="U76" i="58"/>
  <c r="I41" i="58"/>
  <c r="U41" i="58"/>
  <c r="I112" i="58"/>
  <c r="I108" i="58"/>
  <c r="U108" i="58"/>
  <c r="Z78" i="58"/>
  <c r="Z111" i="58"/>
  <c r="U111" i="58"/>
  <c r="AZ108" i="58"/>
  <c r="AV109" i="58"/>
  <c r="AX73" i="58"/>
  <c r="AT73" i="58"/>
  <c r="AU73" i="58"/>
  <c r="AV73" i="58"/>
  <c r="BC79" i="58"/>
  <c r="AZ112" i="58"/>
  <c r="BC78" i="58"/>
  <c r="BC111" i="58"/>
  <c r="BC77" i="58"/>
  <c r="BC110" i="58"/>
  <c r="AQ112" i="58"/>
  <c r="BC75" i="58"/>
  <c r="BC108" i="58"/>
  <c r="AQ73" i="58"/>
  <c r="AM79" i="58"/>
  <c r="U44" i="58"/>
  <c r="I40" i="58"/>
  <c r="U40" i="58"/>
  <c r="AV38" i="58"/>
  <c r="AS109" i="58"/>
  <c r="AW38" i="58"/>
  <c r="AT109" i="58"/>
  <c r="AX38" i="58"/>
  <c r="AU109" i="58"/>
  <c r="BC41" i="58"/>
  <c r="BC38" i="58"/>
  <c r="AR38" i="58"/>
  <c r="AQ38" i="58"/>
  <c r="I45" i="58"/>
  <c r="BC10" i="58"/>
  <c r="BC8" i="58"/>
  <c r="BC5" i="58"/>
  <c r="BD12" i="58"/>
  <c r="BD7" i="58"/>
  <c r="BD8" i="58"/>
  <c r="BD10" i="58"/>
  <c r="BD11" i="58"/>
  <c r="BC112" i="58"/>
  <c r="BD73" i="58"/>
  <c r="BD77" i="58" s="1"/>
  <c r="AN12" i="58"/>
  <c r="AN46" i="58"/>
  <c r="V46" i="58" s="1"/>
  <c r="W46" i="58" s="1"/>
  <c r="BD38" i="58"/>
  <c r="BD44" i="58" s="1"/>
  <c r="BD9" i="58"/>
  <c r="BI54" i="48"/>
  <c r="BI75" i="48" s="1"/>
  <c r="T75" i="48" s="1"/>
  <c r="BI18" i="48"/>
  <c r="BI149" i="48"/>
  <c r="AO20" i="48"/>
  <c r="AS5" i="1"/>
  <c r="AL69" i="48"/>
  <c r="AN69" i="48"/>
  <c r="I110" i="58"/>
  <c r="V11" i="58"/>
  <c r="W11" i="58"/>
  <c r="I111" i="58"/>
  <c r="F113" i="58"/>
  <c r="U109" i="58"/>
  <c r="I109" i="58"/>
  <c r="U78" i="58"/>
  <c r="I78" i="58"/>
  <c r="BC73" i="58"/>
  <c r="AN79" i="58"/>
  <c r="V80" i="58" s="1"/>
  <c r="W80" i="58" s="1"/>
  <c r="BC109" i="58"/>
  <c r="BD79" i="58"/>
  <c r="BD78" i="58"/>
  <c r="BD75" i="58"/>
  <c r="BD80" i="58"/>
  <c r="BD76" i="58"/>
  <c r="BD45" i="58"/>
  <c r="BD42" i="58"/>
  <c r="BD46" i="58"/>
  <c r="AO69" i="48"/>
  <c r="AQ69" i="48"/>
  <c r="AK69" i="48"/>
  <c r="AI69" i="48"/>
  <c r="AF69" i="48"/>
  <c r="V79" i="58"/>
  <c r="W79" i="58"/>
  <c r="AP69" i="48"/>
  <c r="AJ69" i="48"/>
  <c r="K83" i="35"/>
  <c r="K89" i="35"/>
  <c r="L46" i="35"/>
  <c r="L53" i="35"/>
  <c r="L66" i="35"/>
  <c r="K91" i="35"/>
  <c r="L48" i="35"/>
  <c r="L83" i="35"/>
  <c r="L63" i="35"/>
  <c r="L84" i="35"/>
  <c r="K82" i="35"/>
  <c r="L89" i="35"/>
  <c r="L87" i="35"/>
  <c r="L91" i="35"/>
  <c r="K95" i="35"/>
  <c r="L85" i="35"/>
  <c r="L25" i="44"/>
  <c r="F29" i="36"/>
  <c r="AB11" i="28"/>
  <c r="N10" i="41"/>
  <c r="D9" i="41"/>
  <c r="Q14" i="41"/>
  <c r="AA39" i="6"/>
  <c r="AA33" i="6" s="1"/>
  <c r="L150" i="6"/>
  <c r="L152" i="6" s="1"/>
  <c r="O7" i="24"/>
  <c r="Q150" i="6"/>
  <c r="C36" i="42"/>
  <c r="J36" i="42" s="1"/>
  <c r="H36" i="42"/>
  <c r="BI12" i="48"/>
  <c r="BI13" i="48"/>
  <c r="BI20" i="48"/>
  <c r="BI19" i="48"/>
  <c r="BI17" i="48"/>
  <c r="BH162" i="48"/>
  <c r="BI10" i="48"/>
  <c r="BI8" i="48"/>
  <c r="BH163" i="48"/>
  <c r="BI11" i="48"/>
  <c r="BI25" i="48"/>
  <c r="BI16" i="48"/>
  <c r="BI24" i="48"/>
  <c r="BI14" i="48"/>
  <c r="BI23" i="48"/>
  <c r="BI22" i="48"/>
  <c r="BI102" i="48"/>
  <c r="BI123" i="48" s="1"/>
  <c r="BI7" i="48"/>
  <c r="BI21" i="48"/>
  <c r="BI28" i="48"/>
  <c r="T28" i="48" s="1"/>
  <c r="BI9" i="48"/>
  <c r="BH156" i="48"/>
  <c r="BH157" i="48"/>
  <c r="F61" i="36"/>
  <c r="E85" i="36"/>
  <c r="F30" i="36"/>
  <c r="F4" i="36"/>
  <c r="F37" i="36"/>
  <c r="M32" i="44"/>
  <c r="L32" i="44"/>
  <c r="DS26" i="8"/>
  <c r="L45" i="35"/>
  <c r="L51" i="35"/>
  <c r="L65" i="35"/>
  <c r="L64" i="35"/>
  <c r="L47" i="35"/>
  <c r="L62" i="35"/>
  <c r="L59" i="35"/>
  <c r="L106" i="35"/>
  <c r="K106" i="35"/>
  <c r="L109" i="35"/>
  <c r="L117" i="35"/>
  <c r="K113" i="35"/>
  <c r="N32" i="60"/>
  <c r="BI60" i="48"/>
  <c r="BI64" i="48"/>
  <c r="BI112" i="48"/>
  <c r="BI57" i="48"/>
  <c r="B29" i="51"/>
  <c r="M3" i="51"/>
  <c r="K110" i="35"/>
  <c r="L113" i="35"/>
  <c r="K118" i="35"/>
  <c r="L114" i="35"/>
  <c r="K114" i="35"/>
  <c r="L110" i="35"/>
  <c r="K107" i="35"/>
  <c r="L118" i="35"/>
  <c r="K115" i="35"/>
  <c r="K111" i="35"/>
  <c r="L107" i="35"/>
  <c r="K105" i="35"/>
  <c r="L115" i="35"/>
  <c r="L111" i="35"/>
  <c r="K108" i="35"/>
  <c r="L105" i="35"/>
  <c r="K116" i="35"/>
  <c r="K112" i="35"/>
  <c r="L108" i="35"/>
  <c r="L116" i="35"/>
  <c r="L104" i="35"/>
  <c r="K109" i="35"/>
  <c r="L112" i="35"/>
  <c r="K117" i="35"/>
  <c r="DW152" i="1"/>
  <c r="DU91" i="1"/>
  <c r="N73" i="60" l="1"/>
  <c r="N72" i="60"/>
  <c r="N83" i="60"/>
  <c r="P67" i="6"/>
  <c r="CM174" i="1"/>
  <c r="J220" i="35" s="1"/>
  <c r="G220" i="35"/>
  <c r="U169" i="1"/>
  <c r="DO169" i="1" s="1"/>
  <c r="EQ169" i="1" s="1"/>
  <c r="G218" i="35"/>
  <c r="K218" i="35" s="1"/>
  <c r="AI197" i="1"/>
  <c r="G224" i="35"/>
  <c r="CM175" i="1"/>
  <c r="J221" i="35" s="1"/>
  <c r="G221" i="35"/>
  <c r="U178" i="1"/>
  <c r="DO178" i="1" s="1"/>
  <c r="EQ178" i="1" s="1"/>
  <c r="G223" i="35"/>
  <c r="AI211" i="1"/>
  <c r="G227" i="35"/>
  <c r="CM215" i="1"/>
  <c r="J229" i="35" s="1"/>
  <c r="G229" i="35"/>
  <c r="AI162" i="1"/>
  <c r="G215" i="35"/>
  <c r="CM170" i="1"/>
  <c r="J219" i="35" s="1"/>
  <c r="G219" i="35"/>
  <c r="AI163" i="1"/>
  <c r="G216" i="35"/>
  <c r="U156" i="1"/>
  <c r="DO156" i="1" s="1"/>
  <c r="EQ156" i="1" s="1"/>
  <c r="G213" i="35"/>
  <c r="U177" i="1"/>
  <c r="DO177" i="1" s="1"/>
  <c r="EQ177" i="1" s="1"/>
  <c r="G222" i="35"/>
  <c r="CM161" i="1"/>
  <c r="J214" i="35" s="1"/>
  <c r="G214" i="35"/>
  <c r="U167" i="1"/>
  <c r="DO167" i="1" s="1"/>
  <c r="EQ167" i="1" s="1"/>
  <c r="G217" i="35"/>
  <c r="CM216" i="1"/>
  <c r="J230" i="35" s="1"/>
  <c r="G230" i="35"/>
  <c r="CM53" i="1"/>
  <c r="J208" i="35" s="1"/>
  <c r="G208" i="35"/>
  <c r="G186" i="35"/>
  <c r="K186" i="35" s="1"/>
  <c r="A214" i="1"/>
  <c r="A215" i="1" s="1"/>
  <c r="A216" i="1" s="1"/>
  <c r="A213" i="1"/>
  <c r="E138" i="22"/>
  <c r="E142" i="22"/>
  <c r="AN12" i="1"/>
  <c r="AN45" i="1"/>
  <c r="E141" i="22"/>
  <c r="E140" i="22"/>
  <c r="E139" i="22"/>
  <c r="P127" i="22"/>
  <c r="H127" i="22" s="1"/>
  <c r="P140" i="22"/>
  <c r="H140" i="22" s="1"/>
  <c r="P125" i="22"/>
  <c r="H125" i="22" s="1"/>
  <c r="P138" i="22"/>
  <c r="H138" i="22" s="1"/>
  <c r="P128" i="22"/>
  <c r="H128" i="22" s="1"/>
  <c r="P141" i="22"/>
  <c r="H141" i="22" s="1"/>
  <c r="P129" i="22"/>
  <c r="H129" i="22" s="1"/>
  <c r="P142" i="22"/>
  <c r="H142" i="22" s="1"/>
  <c r="P126" i="22"/>
  <c r="H126" i="22" s="1"/>
  <c r="P139" i="22"/>
  <c r="H139" i="22" s="1"/>
  <c r="H29" i="6"/>
  <c r="K29" i="6"/>
  <c r="P29" i="6"/>
  <c r="I29" i="6"/>
  <c r="M67" i="6"/>
  <c r="L29" i="6"/>
  <c r="O29" i="6"/>
  <c r="Q29" i="6"/>
  <c r="F67" i="6"/>
  <c r="G67" i="6"/>
  <c r="Q67" i="6"/>
  <c r="H67" i="6"/>
  <c r="N67" i="6"/>
  <c r="I67" i="6"/>
  <c r="J29" i="6"/>
  <c r="J67" i="6"/>
  <c r="O67" i="6"/>
  <c r="N29" i="6"/>
  <c r="K67" i="6"/>
  <c r="L67" i="6"/>
  <c r="AN46" i="20"/>
  <c r="W44" i="20"/>
  <c r="AJ47" i="20"/>
  <c r="AR71" i="6"/>
  <c r="AR53" i="6"/>
  <c r="AT113" i="6"/>
  <c r="AV116" i="6"/>
  <c r="AP47" i="20"/>
  <c r="AB127" i="6"/>
  <c r="AR47" i="20"/>
  <c r="Z77" i="6"/>
  <c r="Z76" i="6" s="1"/>
  <c r="AD40" i="20"/>
  <c r="AN47" i="20"/>
  <c r="AT138" i="6"/>
  <c r="AT126" i="6" s="1"/>
  <c r="AK45" i="20"/>
  <c r="AQ44" i="20"/>
  <c r="AB77" i="6"/>
  <c r="AB69" i="6" s="1"/>
  <c r="O150" i="6"/>
  <c r="AD39" i="6"/>
  <c r="AD38" i="6" s="1"/>
  <c r="W45" i="20"/>
  <c r="V44" i="20"/>
  <c r="AM46" i="20"/>
  <c r="AS47" i="20"/>
  <c r="X113" i="6"/>
  <c r="AL138" i="6"/>
  <c r="AL126" i="6" s="1"/>
  <c r="AP138" i="6"/>
  <c r="AO137" i="6"/>
  <c r="Y47" i="20"/>
  <c r="AR69" i="6"/>
  <c r="AC105" i="6"/>
  <c r="AV128" i="6"/>
  <c r="AU127" i="6"/>
  <c r="Y60" i="24" s="1"/>
  <c r="AA46" i="20"/>
  <c r="AM77" i="6"/>
  <c r="AM68" i="6" s="1"/>
  <c r="U28" i="20"/>
  <c r="AM127" i="6"/>
  <c r="I60" i="24" s="1"/>
  <c r="AC39" i="6"/>
  <c r="AC13" i="6" s="1"/>
  <c r="AC138" i="6"/>
  <c r="AC136" i="6" s="1"/>
  <c r="AB137" i="6"/>
  <c r="AR52" i="6"/>
  <c r="AR74" i="6"/>
  <c r="AC112" i="6"/>
  <c r="AR73" i="6"/>
  <c r="W113" i="6"/>
  <c r="W109" i="6" s="1"/>
  <c r="AT137" i="6"/>
  <c r="Y8" i="24"/>
  <c r="AF44" i="20"/>
  <c r="Z46" i="20"/>
  <c r="AA13" i="6"/>
  <c r="AA32" i="6"/>
  <c r="AR91" i="6"/>
  <c r="AB46" i="20"/>
  <c r="V48" i="20"/>
  <c r="AS45" i="20"/>
  <c r="AA36" i="6"/>
  <c r="AR110" i="6"/>
  <c r="AR111" i="6"/>
  <c r="AD47" i="20"/>
  <c r="AS77" i="6"/>
  <c r="AA38" i="6"/>
  <c r="AA34" i="6"/>
  <c r="AR106" i="6"/>
  <c r="AB113" i="6"/>
  <c r="N150" i="6"/>
  <c r="N152" i="6" s="1"/>
  <c r="N153" i="6" s="1"/>
  <c r="AO45" i="20"/>
  <c r="AJ48" i="20"/>
  <c r="AU48" i="20"/>
  <c r="AR139" i="6"/>
  <c r="AS46" i="20"/>
  <c r="AW22" i="20"/>
  <c r="V113" i="6"/>
  <c r="AJ39" i="6"/>
  <c r="AJ33" i="6" s="1"/>
  <c r="AQ46" i="20"/>
  <c r="AB136" i="6"/>
  <c r="Z39" i="6"/>
  <c r="AM48" i="20"/>
  <c r="Y138" i="6"/>
  <c r="AV59" i="6"/>
  <c r="X69" i="6"/>
  <c r="AK77" i="6"/>
  <c r="AK72" i="6" s="1"/>
  <c r="AJ46" i="20"/>
  <c r="U45" i="20"/>
  <c r="AB40" i="20"/>
  <c r="AU44" i="20"/>
  <c r="AK28" i="20"/>
  <c r="AL77" i="6"/>
  <c r="AL73" i="6" s="1"/>
  <c r="AT89" i="6"/>
  <c r="AT107" i="6"/>
  <c r="AT108" i="6"/>
  <c r="AT109" i="6"/>
  <c r="AO48" i="20"/>
  <c r="AQ48" i="20"/>
  <c r="AF77" i="6"/>
  <c r="AF57" i="6" s="1"/>
  <c r="X45" i="20"/>
  <c r="AL48" i="20"/>
  <c r="AN40" i="20"/>
  <c r="AP48" i="20"/>
  <c r="AT46" i="20"/>
  <c r="AG128" i="6"/>
  <c r="AT105" i="6"/>
  <c r="I9" i="24"/>
  <c r="I10" i="24" s="1"/>
  <c r="O9" i="24"/>
  <c r="O11" i="24" s="1"/>
  <c r="V77" i="6"/>
  <c r="V51" i="6" s="1"/>
  <c r="Y127" i="6"/>
  <c r="AN137" i="6"/>
  <c r="W9" i="24"/>
  <c r="W10" i="24" s="1"/>
  <c r="AB48" i="20"/>
  <c r="AJ44" i="20"/>
  <c r="AJ113" i="6"/>
  <c r="AJ105" i="6" s="1"/>
  <c r="Y40" i="20"/>
  <c r="AD45" i="20"/>
  <c r="AJ45" i="20"/>
  <c r="G200" i="6"/>
  <c r="K200" i="6"/>
  <c r="P151" i="6"/>
  <c r="AA113" i="6"/>
  <c r="AA112" i="6" s="1"/>
  <c r="AF138" i="6"/>
  <c r="AF136" i="6" s="1"/>
  <c r="AF45" i="20"/>
  <c r="AE40" i="20"/>
  <c r="V46" i="20"/>
  <c r="AR126" i="6"/>
  <c r="AJ137" i="6"/>
  <c r="AP77" i="6"/>
  <c r="AP73" i="6" s="1"/>
  <c r="AG59" i="6"/>
  <c r="AQ39" i="6"/>
  <c r="AD28" i="20"/>
  <c r="AV97" i="6"/>
  <c r="Z16" i="20"/>
  <c r="Z28" i="20"/>
  <c r="AE28" i="20"/>
  <c r="AE44" i="20"/>
  <c r="H132" i="35"/>
  <c r="O132" i="35" s="1"/>
  <c r="AC318" i="2"/>
  <c r="U6" i="2"/>
  <c r="Z6" i="2" s="1"/>
  <c r="X6" i="2"/>
  <c r="AD6" i="2" s="1"/>
  <c r="X75" i="2"/>
  <c r="AC75" i="2" s="1"/>
  <c r="AD75" i="2" s="1"/>
  <c r="V38" i="8"/>
  <c r="P212" i="2"/>
  <c r="Q212" i="2" s="1"/>
  <c r="X38" i="8"/>
  <c r="X353" i="2"/>
  <c r="H131" i="35" s="1"/>
  <c r="Z38" i="8"/>
  <c r="BB38" i="8" s="1"/>
  <c r="BP38" i="8" s="1"/>
  <c r="N38" i="8"/>
  <c r="DH38" i="8" s="1"/>
  <c r="EJ38" i="8" s="1"/>
  <c r="AB38" i="8"/>
  <c r="X123" i="2"/>
  <c r="AC123" i="2" s="1"/>
  <c r="AD123" i="2" s="1"/>
  <c r="W38" i="8"/>
  <c r="AA38" i="8"/>
  <c r="CC38" i="8"/>
  <c r="Y38" i="8"/>
  <c r="T71" i="8"/>
  <c r="T70" i="8"/>
  <c r="V42" i="28"/>
  <c r="V49" i="28" s="1"/>
  <c r="V50" i="28" s="1"/>
  <c r="AB1" i="8"/>
  <c r="O10" i="41"/>
  <c r="K29" i="44"/>
  <c r="I28" i="44"/>
  <c r="N27" i="44"/>
  <c r="D64" i="44"/>
  <c r="G64" i="44" s="1"/>
  <c r="I27" i="44"/>
  <c r="N30" i="44"/>
  <c r="L29" i="44"/>
  <c r="D65" i="44"/>
  <c r="F65" i="44" s="1"/>
  <c r="C65" i="44" s="1"/>
  <c r="K27" i="44"/>
  <c r="I29" i="44"/>
  <c r="N31" i="44"/>
  <c r="M28" i="44"/>
  <c r="K31" i="44"/>
  <c r="L27" i="44"/>
  <c r="M29" i="44"/>
  <c r="I30" i="44"/>
  <c r="M31" i="44"/>
  <c r="AN11" i="1"/>
  <c r="C7" i="24"/>
  <c r="AT90" i="6"/>
  <c r="AE45" i="20"/>
  <c r="AL113" i="6"/>
  <c r="AL110" i="6" s="1"/>
  <c r="AF28" i="20"/>
  <c r="Y44" i="20"/>
  <c r="AQ47" i="20"/>
  <c r="F150" i="6"/>
  <c r="M7" i="24"/>
  <c r="AL40" i="20"/>
  <c r="AH22" i="20"/>
  <c r="AW43" i="6"/>
  <c r="AR39" i="6"/>
  <c r="W28" i="20"/>
  <c r="Z44" i="20"/>
  <c r="AD48" i="20"/>
  <c r="AQ137" i="6"/>
  <c r="Q61" i="24" s="1"/>
  <c r="AA28" i="20"/>
  <c r="AG22" i="20"/>
  <c r="O200" i="6"/>
  <c r="AN45" i="20"/>
  <c r="U9" i="24"/>
  <c r="U10" i="24" s="1"/>
  <c r="X70" i="6"/>
  <c r="U126" i="6"/>
  <c r="AF127" i="6"/>
  <c r="AW118" i="6"/>
  <c r="V16" i="20"/>
  <c r="AA44" i="20"/>
  <c r="Z47" i="20"/>
  <c r="AC40" i="20"/>
  <c r="Y137" i="6"/>
  <c r="X51" i="6"/>
  <c r="AK138" i="6"/>
  <c r="AG97" i="6"/>
  <c r="Z137" i="6"/>
  <c r="W16" i="20"/>
  <c r="AA47" i="20"/>
  <c r="AE48" i="20"/>
  <c r="X46" i="20"/>
  <c r="AS44" i="20"/>
  <c r="G7" i="24"/>
  <c r="X73" i="6"/>
  <c r="AW128" i="6"/>
  <c r="AD77" i="6"/>
  <c r="AT77" i="6"/>
  <c r="AT70" i="6" s="1"/>
  <c r="AG11" i="20"/>
  <c r="AF48" i="20"/>
  <c r="AH11" i="20"/>
  <c r="R11" i="20" s="1"/>
  <c r="AK46" i="20"/>
  <c r="AN28" i="20"/>
  <c r="AR28" i="20"/>
  <c r="AV20" i="20"/>
  <c r="X74" i="6"/>
  <c r="AP113" i="6"/>
  <c r="U77" i="6"/>
  <c r="U69" i="6" s="1"/>
  <c r="AE47" i="20"/>
  <c r="F200" i="6"/>
  <c r="X52" i="6"/>
  <c r="AW59" i="6"/>
  <c r="AW77" i="6" s="1"/>
  <c r="AW51" i="6" s="1"/>
  <c r="V45" i="20"/>
  <c r="AP44" i="20"/>
  <c r="AP45" i="20"/>
  <c r="AL137" i="6"/>
  <c r="G61" i="24" s="1"/>
  <c r="AJ77" i="6"/>
  <c r="AJ73" i="6" s="1"/>
  <c r="AU113" i="6"/>
  <c r="AO46" i="20"/>
  <c r="AO40" i="20"/>
  <c r="AU46" i="20"/>
  <c r="AO28" i="20"/>
  <c r="AS113" i="6"/>
  <c r="AS106" i="6" s="1"/>
  <c r="AA68" i="6"/>
  <c r="AU47" i="20"/>
  <c r="AU45" i="20"/>
  <c r="AG81" i="6"/>
  <c r="AT47" i="20"/>
  <c r="AT40" i="20"/>
  <c r="AJ28" i="20"/>
  <c r="AR46" i="20"/>
  <c r="AE39" i="6"/>
  <c r="AE13" i="6" s="1"/>
  <c r="AT106" i="6"/>
  <c r="AO138" i="6"/>
  <c r="AO136" i="6" s="1"/>
  <c r="E7" i="24"/>
  <c r="AE16" i="20"/>
  <c r="AA45" i="20"/>
  <c r="AH34" i="20"/>
  <c r="AT110" i="6"/>
  <c r="AE113" i="6"/>
  <c r="AE95" i="6" s="1"/>
  <c r="V114" i="6"/>
  <c r="AG32" i="20"/>
  <c r="AB45" i="20"/>
  <c r="V47" i="20"/>
  <c r="AR45" i="20"/>
  <c r="BH154" i="48"/>
  <c r="BH158" i="48"/>
  <c r="BH165" i="48"/>
  <c r="BH166" i="48"/>
  <c r="BH54" i="48"/>
  <c r="BI108" i="48"/>
  <c r="BI155" i="48" s="1"/>
  <c r="BI117" i="48"/>
  <c r="BI110" i="48"/>
  <c r="BI118" i="48"/>
  <c r="BI114" i="48"/>
  <c r="BI106" i="48"/>
  <c r="BI105" i="48"/>
  <c r="BI152" i="48" s="1"/>
  <c r="BI119" i="48"/>
  <c r="BI104" i="48"/>
  <c r="BI107" i="48"/>
  <c r="G95" i="60"/>
  <c r="G120" i="60"/>
  <c r="G108" i="60"/>
  <c r="G124" i="60"/>
  <c r="G107" i="60"/>
  <c r="G121" i="60"/>
  <c r="G93" i="60"/>
  <c r="G122" i="60"/>
  <c r="G99" i="60"/>
  <c r="G123" i="60"/>
  <c r="G91" i="60"/>
  <c r="G119" i="60"/>
  <c r="AB26" i="8"/>
  <c r="E129" i="22"/>
  <c r="K14" i="62"/>
  <c r="E128" i="22"/>
  <c r="K13" i="62"/>
  <c r="D29" i="62" s="1"/>
  <c r="E127" i="22"/>
  <c r="N7" i="8"/>
  <c r="DH7" i="8" s="1"/>
  <c r="E126" i="22"/>
  <c r="AA5" i="44"/>
  <c r="E125" i="22"/>
  <c r="H56" i="60"/>
  <c r="H73" i="60" s="1"/>
  <c r="H84" i="60" s="1"/>
  <c r="H102" i="60" s="1"/>
  <c r="H112" i="60" s="1"/>
  <c r="H126" i="60" s="1"/>
  <c r="N10" i="60"/>
  <c r="N11" i="60" s="1"/>
  <c r="M11" i="60"/>
  <c r="M33" i="60" s="1"/>
  <c r="N33" i="60" s="1"/>
  <c r="C33" i="60"/>
  <c r="C56" i="60" s="1"/>
  <c r="C73" i="60" s="1"/>
  <c r="C84" i="60" s="1"/>
  <c r="C102" i="60" s="1"/>
  <c r="C112" i="60" s="1"/>
  <c r="C126" i="60" s="1"/>
  <c r="L84" i="60"/>
  <c r="N84" i="60" s="1"/>
  <c r="F19" i="51"/>
  <c r="BD40" i="58"/>
  <c r="BD108" i="58" s="1"/>
  <c r="BD41" i="58"/>
  <c r="BD109" i="58" s="1"/>
  <c r="BD43" i="58"/>
  <c r="BD111" i="58" s="1"/>
  <c r="D16" i="51"/>
  <c r="BI15" i="48"/>
  <c r="BI26" i="48"/>
  <c r="BI27" i="48"/>
  <c r="CL189" i="1"/>
  <c r="G192" i="35"/>
  <c r="CL141" i="1"/>
  <c r="G200" i="35"/>
  <c r="CL177" i="1"/>
  <c r="G194" i="35"/>
  <c r="AH167" i="1"/>
  <c r="G191" i="35"/>
  <c r="T162" i="1"/>
  <c r="DN162" i="1" s="1"/>
  <c r="EP162" i="1" s="1"/>
  <c r="G195" i="35"/>
  <c r="AH175" i="1"/>
  <c r="G193" i="35"/>
  <c r="AH180" i="1"/>
  <c r="G190" i="35"/>
  <c r="CL211" i="1"/>
  <c r="G185" i="35"/>
  <c r="U170" i="2"/>
  <c r="Z170" i="2" s="1"/>
  <c r="AH169" i="1"/>
  <c r="G181" i="35"/>
  <c r="AH117" i="1"/>
  <c r="G182" i="35"/>
  <c r="CL161" i="1"/>
  <c r="G184" i="35"/>
  <c r="CL174" i="1"/>
  <c r="G189" i="35"/>
  <c r="AH179" i="1"/>
  <c r="G197" i="35"/>
  <c r="CL187" i="1"/>
  <c r="G199" i="35"/>
  <c r="AH170" i="1"/>
  <c r="G183" i="35"/>
  <c r="K55" i="35"/>
  <c r="K22" i="35"/>
  <c r="S141" i="1"/>
  <c r="DM141" i="1" s="1"/>
  <c r="S177" i="1"/>
  <c r="DM177" i="1" s="1"/>
  <c r="G151" i="35"/>
  <c r="K27" i="35"/>
  <c r="L24" i="35"/>
  <c r="DH67" i="1"/>
  <c r="EJ67" i="1" s="1"/>
  <c r="Z246" i="2"/>
  <c r="CG70" i="1"/>
  <c r="U365" i="2"/>
  <c r="V365" i="2" s="1"/>
  <c r="AB88" i="1"/>
  <c r="AE153" i="1"/>
  <c r="P351" i="2"/>
  <c r="Q351" i="2" s="1"/>
  <c r="Z192" i="2"/>
  <c r="AA86" i="1"/>
  <c r="U262" i="2"/>
  <c r="V262" i="2" s="1"/>
  <c r="AD58" i="8"/>
  <c r="CH58" i="8"/>
  <c r="AN100" i="1"/>
  <c r="A121" i="1"/>
  <c r="A120" i="1"/>
  <c r="A26" i="1"/>
  <c r="A29" i="1" s="1"/>
  <c r="A30" i="1" s="1"/>
  <c r="A31" i="1" s="1"/>
  <c r="A32" i="1" s="1"/>
  <c r="A28" i="1"/>
  <c r="AP5" i="1"/>
  <c r="AN90" i="1"/>
  <c r="AN41" i="1"/>
  <c r="BZ15" i="8"/>
  <c r="AA215" i="1"/>
  <c r="AN49" i="1"/>
  <c r="AN54" i="1"/>
  <c r="AN10" i="1"/>
  <c r="AN77" i="1"/>
  <c r="AN46" i="1"/>
  <c r="AN14" i="1"/>
  <c r="AN23" i="1"/>
  <c r="CG58" i="8"/>
  <c r="Z34" i="2"/>
  <c r="AA14" i="8"/>
  <c r="AD32" i="8"/>
  <c r="AC197" i="1"/>
  <c r="A176" i="1"/>
  <c r="A178" i="1" s="1"/>
  <c r="A179" i="1" s="1"/>
  <c r="A180" i="1" s="1"/>
  <c r="A200" i="1" s="1"/>
  <c r="BZ61" i="8"/>
  <c r="AF45" i="8"/>
  <c r="CF45" i="1"/>
  <c r="X143" i="2"/>
  <c r="P189" i="2"/>
  <c r="Q189" i="2" s="1"/>
  <c r="AG21" i="48"/>
  <c r="O192" i="1"/>
  <c r="DI192" i="1" s="1"/>
  <c r="CG191" i="1"/>
  <c r="N69" i="8"/>
  <c r="BD69" i="8" s="1"/>
  <c r="BR69" i="8" s="1"/>
  <c r="AH22" i="8"/>
  <c r="AH41" i="8"/>
  <c r="AH68" i="8"/>
  <c r="V166" i="2"/>
  <c r="Z122" i="2"/>
  <c r="AB145" i="1"/>
  <c r="V189" i="1"/>
  <c r="BL189" i="1" s="1"/>
  <c r="BZ189" i="1" s="1"/>
  <c r="P148" i="1"/>
  <c r="BF148" i="1" s="1"/>
  <c r="BT148" i="1" s="1"/>
  <c r="X333" i="2"/>
  <c r="H141" i="35" s="1"/>
  <c r="K141" i="35" s="1"/>
  <c r="U12" i="2"/>
  <c r="V12" i="2" s="1"/>
  <c r="T196" i="1"/>
  <c r="DN196" i="1" s="1"/>
  <c r="EP196" i="1" s="1"/>
  <c r="M77" i="1"/>
  <c r="BC77" i="1" s="1"/>
  <c r="BQ77" i="1" s="1"/>
  <c r="U36" i="2"/>
  <c r="V36" i="2" s="1"/>
  <c r="AH196" i="1"/>
  <c r="U301" i="2"/>
  <c r="V301" i="2" s="1"/>
  <c r="X20" i="2"/>
  <c r="AD20" i="2" s="1"/>
  <c r="Z319" i="2"/>
  <c r="CP195" i="1"/>
  <c r="U283" i="2"/>
  <c r="V283" i="2" s="1"/>
  <c r="X343" i="2"/>
  <c r="DT57" i="8" s="1"/>
  <c r="I62" i="8"/>
  <c r="DC62" i="8" s="1"/>
  <c r="EE62" i="8" s="1"/>
  <c r="X327" i="2"/>
  <c r="DZ161" i="1" s="1"/>
  <c r="EN161" i="1" s="1"/>
  <c r="V366" i="2"/>
  <c r="AB117" i="1"/>
  <c r="CE78" i="1"/>
  <c r="N18" i="8"/>
  <c r="DH18" i="8" s="1"/>
  <c r="EJ18" i="8" s="1"/>
  <c r="X167" i="2"/>
  <c r="AC167" i="2" s="1"/>
  <c r="AD167" i="2" s="1"/>
  <c r="P167" i="2"/>
  <c r="Q167" i="2" s="1"/>
  <c r="AB6" i="8"/>
  <c r="P69" i="2"/>
  <c r="Q69" i="2" s="1"/>
  <c r="X261" i="2"/>
  <c r="DS46" i="8" s="1"/>
  <c r="EG46" i="8" s="1"/>
  <c r="P111" i="2"/>
  <c r="Q111" i="2" s="1"/>
  <c r="CE172" i="1"/>
  <c r="U134" i="2"/>
  <c r="V134" i="2" s="1"/>
  <c r="P123" i="2"/>
  <c r="Q123" i="2" s="1"/>
  <c r="P158" i="1"/>
  <c r="DJ158" i="1" s="1"/>
  <c r="X350" i="2"/>
  <c r="AF21" i="48"/>
  <c r="O218" i="1"/>
  <c r="BE218" i="1" s="1"/>
  <c r="BS218" i="1" s="1"/>
  <c r="V86" i="2"/>
  <c r="BF33" i="8"/>
  <c r="BT33" i="8" s="1"/>
  <c r="CF174" i="1"/>
  <c r="P43" i="8"/>
  <c r="BF43" i="8" s="1"/>
  <c r="BT43" i="8" s="1"/>
  <c r="U20" i="2"/>
  <c r="V20" i="2" s="1"/>
  <c r="P317" i="2"/>
  <c r="Q317" i="2" s="1"/>
  <c r="CH16" i="1"/>
  <c r="CH26" i="1"/>
  <c r="U317" i="2"/>
  <c r="Z317" i="2" s="1"/>
  <c r="E13" i="62"/>
  <c r="CC67" i="8"/>
  <c r="AD33" i="8"/>
  <c r="Y67" i="8"/>
  <c r="AD16" i="1"/>
  <c r="X34" i="2"/>
  <c r="AD34" i="2" s="1"/>
  <c r="U100" i="2"/>
  <c r="Z100" i="2" s="1"/>
  <c r="P130" i="2"/>
  <c r="Q130" i="2" s="1"/>
  <c r="CE224" i="1"/>
  <c r="AC118" i="1"/>
  <c r="U333" i="2"/>
  <c r="Z333" i="2" s="1"/>
  <c r="AB215" i="1"/>
  <c r="AF13" i="48"/>
  <c r="CH221" i="1"/>
  <c r="AN121" i="48"/>
  <c r="V169" i="1"/>
  <c r="BL169" i="1" s="1"/>
  <c r="BZ169" i="1" s="1"/>
  <c r="AC218" i="1"/>
  <c r="AB67" i="1"/>
  <c r="K47" i="8"/>
  <c r="BA47" i="8" s="1"/>
  <c r="BO47" i="8" s="1"/>
  <c r="AA34" i="8"/>
  <c r="P118" i="2"/>
  <c r="Q118" i="2" s="1"/>
  <c r="W39" i="8"/>
  <c r="N12" i="1"/>
  <c r="DH12" i="1" s="1"/>
  <c r="EJ12" i="1" s="1"/>
  <c r="U280" i="2"/>
  <c r="V280" i="2" s="1"/>
  <c r="CE7" i="8"/>
  <c r="CE3" i="8" s="1"/>
  <c r="P166" i="2"/>
  <c r="Q166" i="2" s="1"/>
  <c r="AA224" i="1"/>
  <c r="AF58" i="8"/>
  <c r="P280" i="2"/>
  <c r="Q280" i="2" s="1"/>
  <c r="CG23" i="1"/>
  <c r="P144" i="2"/>
  <c r="Q144" i="2" s="1"/>
  <c r="U297" i="2"/>
  <c r="V297" i="2" s="1"/>
  <c r="X297" i="2"/>
  <c r="AC297" i="2" s="1"/>
  <c r="J15" i="62"/>
  <c r="C28" i="62" s="1"/>
  <c r="CF190" i="1"/>
  <c r="P162" i="2"/>
  <c r="Q162" i="2" s="1"/>
  <c r="AA64" i="8"/>
  <c r="CF21" i="1"/>
  <c r="CD24" i="8"/>
  <c r="AA15" i="8"/>
  <c r="AA55" i="1"/>
  <c r="CH175" i="1"/>
  <c r="K18" i="62"/>
  <c r="D30" i="62" s="1"/>
  <c r="AC169" i="1"/>
  <c r="DG81" i="1"/>
  <c r="EI81" i="1" s="1"/>
  <c r="P304" i="2"/>
  <c r="Q304" i="2" s="1"/>
  <c r="AH153" i="1"/>
  <c r="CE119" i="1"/>
  <c r="P330" i="2"/>
  <c r="Q330" i="2" s="1"/>
  <c r="R15" i="8"/>
  <c r="BH15" i="8" s="1"/>
  <c r="BV15" i="8" s="1"/>
  <c r="X8" i="2"/>
  <c r="AD8" i="2" s="1"/>
  <c r="U385" i="2"/>
  <c r="Z385" i="2" s="1"/>
  <c r="M100" i="60" s="1"/>
  <c r="N100" i="60" s="1"/>
  <c r="AA12" i="8"/>
  <c r="P362" i="2"/>
  <c r="Q362" i="2" s="1"/>
  <c r="AB83" i="1"/>
  <c r="AD191" i="1"/>
  <c r="Z55" i="8"/>
  <c r="U117" i="2"/>
  <c r="Z117" i="2" s="1"/>
  <c r="K58" i="8"/>
  <c r="DE58" i="8" s="1"/>
  <c r="EG58" i="8" s="1"/>
  <c r="BD61" i="1"/>
  <c r="BR61" i="1" s="1"/>
  <c r="X117" i="2"/>
  <c r="AC117" i="2" s="1"/>
  <c r="AD117" i="2" s="1"/>
  <c r="P88" i="1"/>
  <c r="DJ88" i="1" s="1"/>
  <c r="P350" i="2"/>
  <c r="Q350" i="2" s="1"/>
  <c r="AJ169" i="1"/>
  <c r="Q204" i="1"/>
  <c r="DK204" i="1" s="1"/>
  <c r="EM204" i="1" s="1"/>
  <c r="AB13" i="44"/>
  <c r="CG63" i="1"/>
  <c r="U298" i="2"/>
  <c r="V298" i="2" s="1"/>
  <c r="X169" i="2"/>
  <c r="AC169" i="2" s="1"/>
  <c r="AD169" i="2" s="1"/>
  <c r="Q58" i="8"/>
  <c r="DK58" i="8" s="1"/>
  <c r="EM58" i="8" s="1"/>
  <c r="L58" i="8"/>
  <c r="DF58" i="8" s="1"/>
  <c r="EH58" i="8" s="1"/>
  <c r="AF69" i="8"/>
  <c r="Z118" i="2"/>
  <c r="CJ46" i="8"/>
  <c r="U264" i="2"/>
  <c r="V264" i="2" s="1"/>
  <c r="P352" i="2"/>
  <c r="Q352" i="2" s="1"/>
  <c r="BC64" i="1"/>
  <c r="BQ64" i="1" s="1"/>
  <c r="P318" i="2"/>
  <c r="Q318" i="2" s="1"/>
  <c r="X100" i="1"/>
  <c r="BN100" i="1" s="1"/>
  <c r="CB100" i="1" s="1"/>
  <c r="AB194" i="1"/>
  <c r="U331" i="2"/>
  <c r="V331" i="2" s="1"/>
  <c r="Y46" i="8"/>
  <c r="BA46" i="8" s="1"/>
  <c r="BO46" i="8" s="1"/>
  <c r="X349" i="2"/>
  <c r="K32" i="8"/>
  <c r="DE32" i="8" s="1"/>
  <c r="EG32" i="8" s="1"/>
  <c r="I18" i="62"/>
  <c r="CF128" i="1"/>
  <c r="CC31" i="8"/>
  <c r="CC1" i="8" s="1"/>
  <c r="P70" i="2"/>
  <c r="Q70" i="2" s="1"/>
  <c r="X264" i="2"/>
  <c r="DY37" i="1" s="1"/>
  <c r="EM37" i="1" s="1"/>
  <c r="CJ58" i="8"/>
  <c r="P86" i="2"/>
  <c r="Q86" i="2" s="1"/>
  <c r="AK197" i="1"/>
  <c r="V70" i="2"/>
  <c r="AD145" i="1"/>
  <c r="CI204" i="1"/>
  <c r="AK169" i="1"/>
  <c r="O48" i="1"/>
  <c r="DI48" i="1" s="1"/>
  <c r="EK48" i="1" s="1"/>
  <c r="M48" i="8"/>
  <c r="DG48" i="8" s="1"/>
  <c r="CL227" i="1"/>
  <c r="CH148" i="1"/>
  <c r="CH71" i="1"/>
  <c r="I11" i="36"/>
  <c r="U315" i="2"/>
  <c r="Z315" i="2" s="1"/>
  <c r="CG51" i="1"/>
  <c r="J60" i="8"/>
  <c r="DD60" i="8" s="1"/>
  <c r="P101" i="2"/>
  <c r="Q101" i="2" s="1"/>
  <c r="X319" i="2"/>
  <c r="G24" i="8"/>
  <c r="AW24" i="8" s="1"/>
  <c r="BK24" i="8" s="1"/>
  <c r="AA18" i="8"/>
  <c r="AE194" i="1"/>
  <c r="CF211" i="1"/>
  <c r="AJ203" i="1"/>
  <c r="CG146" i="1"/>
  <c r="U123" i="2"/>
  <c r="V123" i="2" s="1"/>
  <c r="AA144" i="1"/>
  <c r="U85" i="2"/>
  <c r="V85" i="2" s="1"/>
  <c r="I8" i="8"/>
  <c r="DC8" i="8" s="1"/>
  <c r="EE8" i="8" s="1"/>
  <c r="E7" i="44" s="1"/>
  <c r="O20" i="1"/>
  <c r="DI20" i="1" s="1"/>
  <c r="K41" i="36" s="1"/>
  <c r="DL37" i="8"/>
  <c r="EN37" i="8" s="1"/>
  <c r="R69" i="8"/>
  <c r="DL69" i="8" s="1"/>
  <c r="EN69" i="8" s="1"/>
  <c r="U55" i="2"/>
  <c r="Z55" i="2" s="1"/>
  <c r="CE39" i="1"/>
  <c r="DY57" i="1"/>
  <c r="Q170" i="1"/>
  <c r="DK170" i="1" s="1"/>
  <c r="U380" i="2"/>
  <c r="Z380" i="2" s="1"/>
  <c r="P156" i="2"/>
  <c r="Q156" i="2" s="1"/>
  <c r="AG128" i="1"/>
  <c r="X380" i="2"/>
  <c r="DT31" i="8" s="1"/>
  <c r="V54" i="8"/>
  <c r="V101" i="2"/>
  <c r="V350" i="2"/>
  <c r="P385" i="2"/>
  <c r="Q385" i="2" s="1"/>
  <c r="CE81" i="1"/>
  <c r="AA119" i="1"/>
  <c r="CF187" i="1"/>
  <c r="CF175" i="1"/>
  <c r="CF6" i="8"/>
  <c r="AF137" i="1"/>
  <c r="M78" i="1"/>
  <c r="DG78" i="1" s="1"/>
  <c r="EI78" i="1" s="1"/>
  <c r="U180" i="2"/>
  <c r="Z180" i="2" s="1"/>
  <c r="CE9" i="8"/>
  <c r="U94" i="2"/>
  <c r="V94" i="2" s="1"/>
  <c r="BD223" i="1"/>
  <c r="BR223" i="1" s="1"/>
  <c r="L25" i="8"/>
  <c r="BB25" i="8" s="1"/>
  <c r="BP25" i="8" s="1"/>
  <c r="CE185" i="1"/>
  <c r="BD187" i="1"/>
  <c r="BR187" i="1" s="1"/>
  <c r="AF31" i="8"/>
  <c r="CG177" i="1"/>
  <c r="X298" i="2"/>
  <c r="DY17" i="1" s="1"/>
  <c r="EM17" i="1" s="1"/>
  <c r="U113" i="2"/>
  <c r="V113" i="2" s="1"/>
  <c r="X366" i="2"/>
  <c r="AA209" i="1"/>
  <c r="AF102" i="1"/>
  <c r="CM196" i="1"/>
  <c r="CI27" i="8"/>
  <c r="AC91" i="1"/>
  <c r="AD30" i="1"/>
  <c r="CC46" i="8"/>
  <c r="X37" i="2"/>
  <c r="DO42" i="8" s="1"/>
  <c r="U344" i="2"/>
  <c r="V344" i="2" s="1"/>
  <c r="M35" i="8"/>
  <c r="DG35" i="8" s="1"/>
  <c r="EI35" i="8" s="1"/>
  <c r="N215" i="1"/>
  <c r="DH215" i="1" s="1"/>
  <c r="EJ215" i="1" s="1"/>
  <c r="X228" i="2"/>
  <c r="DX196" i="1" s="1"/>
  <c r="DT196" i="1" s="1"/>
  <c r="CE55" i="1"/>
  <c r="AC69" i="8"/>
  <c r="BE69" i="8" s="1"/>
  <c r="BS69" i="8" s="1"/>
  <c r="BZ18" i="8"/>
  <c r="CO169" i="1"/>
  <c r="AA24" i="1"/>
  <c r="CE125" i="1"/>
  <c r="P165" i="2"/>
  <c r="Q165" i="2" s="1"/>
  <c r="U349" i="2"/>
  <c r="V349" i="2" s="1"/>
  <c r="AD43" i="8"/>
  <c r="X376" i="2"/>
  <c r="L98" i="60" s="1"/>
  <c r="I98" i="60" s="1"/>
  <c r="AB190" i="1"/>
  <c r="V165" i="2"/>
  <c r="X365" i="2"/>
  <c r="AA35" i="8"/>
  <c r="M64" i="8"/>
  <c r="DG64" i="8" s="1"/>
  <c r="EI64" i="8" s="1"/>
  <c r="CH94" i="1"/>
  <c r="AD26" i="1"/>
  <c r="X207" i="2"/>
  <c r="AC207" i="2" s="1"/>
  <c r="AD207" i="2" s="1"/>
  <c r="U245" i="2"/>
  <c r="V245" i="2" s="1"/>
  <c r="BF191" i="1"/>
  <c r="BT191" i="1" s="1"/>
  <c r="P145" i="1"/>
  <c r="DJ145" i="1" s="1"/>
  <c r="EL145" i="1" s="1"/>
  <c r="CI200" i="1"/>
  <c r="V7" i="44"/>
  <c r="CF67" i="1"/>
  <c r="AA189" i="1"/>
  <c r="CG29" i="1"/>
  <c r="CC47" i="8"/>
  <c r="AD7" i="44"/>
  <c r="X24" i="2"/>
  <c r="AD24" i="2" s="1"/>
  <c r="X85" i="2"/>
  <c r="AC85" i="2" s="1"/>
  <c r="AD85" i="2" s="1"/>
  <c r="U374" i="2"/>
  <c r="V374" i="2" s="1"/>
  <c r="U304" i="2"/>
  <c r="Z304" i="2" s="1"/>
  <c r="L7" i="8"/>
  <c r="DF7" i="8" s="1"/>
  <c r="O94" i="22" s="1"/>
  <c r="G94" i="22" s="1"/>
  <c r="AA166" i="1"/>
  <c r="AC63" i="1"/>
  <c r="AA121" i="1"/>
  <c r="M226" i="1"/>
  <c r="DG226" i="1" s="1"/>
  <c r="EI226" i="1" s="1"/>
  <c r="CP197" i="1"/>
  <c r="BC185" i="1"/>
  <c r="BQ185" i="1" s="1"/>
  <c r="U261" i="2"/>
  <c r="V261" i="2" s="1"/>
  <c r="P366" i="2"/>
  <c r="Q366" i="2" s="1"/>
  <c r="CE166" i="1"/>
  <c r="BD211" i="1"/>
  <c r="BR211" i="1" s="1"/>
  <c r="R190" i="1"/>
  <c r="BH190" i="1" s="1"/>
  <c r="BV190" i="1" s="1"/>
  <c r="J11" i="8"/>
  <c r="DD11" i="8" s="1"/>
  <c r="O64" i="22" s="1"/>
  <c r="G64" i="22" s="1"/>
  <c r="E93" i="22"/>
  <c r="O130" i="1"/>
  <c r="DI130" i="1" s="1"/>
  <c r="P8" i="2"/>
  <c r="Q8" i="2" s="1"/>
  <c r="P315" i="2"/>
  <c r="Q315" i="2" s="1"/>
  <c r="CE21" i="1"/>
  <c r="X197" i="1"/>
  <c r="BN197" i="1" s="1"/>
  <c r="CB197" i="1" s="1"/>
  <c r="P229" i="2"/>
  <c r="Q229" i="2" s="1"/>
  <c r="U362" i="2"/>
  <c r="V362" i="2" s="1"/>
  <c r="U360" i="2"/>
  <c r="V360" i="2" s="1"/>
  <c r="U161" i="2"/>
  <c r="Z161" i="2" s="1"/>
  <c r="AA185" i="1"/>
  <c r="AD11" i="44"/>
  <c r="CF145" i="1"/>
  <c r="AD25" i="1"/>
  <c r="BF25" i="1" s="1"/>
  <c r="BT25" i="1" s="1"/>
  <c r="X36" i="2"/>
  <c r="AD36" i="2" s="1"/>
  <c r="P346" i="2"/>
  <c r="Q346" i="2" s="1"/>
  <c r="P161" i="2"/>
  <c r="Q161" i="2" s="1"/>
  <c r="O172" i="1"/>
  <c r="DI172" i="1" s="1"/>
  <c r="AI227" i="1"/>
  <c r="L90" i="60"/>
  <c r="I90" i="60" s="1"/>
  <c r="CH73" i="1"/>
  <c r="CE64" i="1"/>
  <c r="AD158" i="1"/>
  <c r="P44" i="8"/>
  <c r="DJ44" i="8" s="1"/>
  <c r="EL44" i="8" s="1"/>
  <c r="CH25" i="1"/>
  <c r="P122" i="2"/>
  <c r="Q122" i="2" s="1"/>
  <c r="CF88" i="1"/>
  <c r="DZ133" i="1"/>
  <c r="DZ137" i="1"/>
  <c r="N79" i="36" s="1"/>
  <c r="U13" i="44"/>
  <c r="X141" i="2"/>
  <c r="AC141" i="2" s="1"/>
  <c r="AD141" i="2" s="1"/>
  <c r="X69" i="2"/>
  <c r="DV126" i="1" s="1"/>
  <c r="U330" i="2"/>
  <c r="V330" i="2" s="1"/>
  <c r="X225" i="2"/>
  <c r="DX169" i="1" s="1"/>
  <c r="AC14" i="8"/>
  <c r="CB11" i="8"/>
  <c r="CE209" i="1"/>
  <c r="CF83" i="1"/>
  <c r="BF46" i="1"/>
  <c r="BT46" i="1" s="1"/>
  <c r="O24" i="8"/>
  <c r="BE24" i="8" s="1"/>
  <c r="BS24" i="8" s="1"/>
  <c r="CE214" i="1"/>
  <c r="U169" i="2"/>
  <c r="Z169" i="2" s="1"/>
  <c r="U145" i="2"/>
  <c r="Z145" i="2" s="1"/>
  <c r="P134" i="2"/>
  <c r="Q134" i="2" s="1"/>
  <c r="P141" i="2"/>
  <c r="Q141" i="2" s="1"/>
  <c r="U346" i="2"/>
  <c r="V346" i="2" s="1"/>
  <c r="X334" i="2"/>
  <c r="U335" i="2"/>
  <c r="Z335" i="2" s="1"/>
  <c r="I38" i="20" s="1"/>
  <c r="I45" i="8"/>
  <c r="DC45" i="8" s="1"/>
  <c r="AD46" i="1"/>
  <c r="DL46" i="8"/>
  <c r="EN46" i="8" s="1"/>
  <c r="M45" i="8"/>
  <c r="DG45" i="8" s="1"/>
  <c r="N42" i="8"/>
  <c r="DH42" i="8" s="1"/>
  <c r="EJ42" i="8" s="1"/>
  <c r="J24" i="36"/>
  <c r="P149" i="1"/>
  <c r="DJ149" i="1" s="1"/>
  <c r="EL149" i="1" s="1"/>
  <c r="U209" i="2"/>
  <c r="V209" i="2" s="1"/>
  <c r="X283" i="2"/>
  <c r="AC283" i="2" s="1"/>
  <c r="X118" i="2"/>
  <c r="AC118" i="2" s="1"/>
  <c r="AD118" i="2" s="1"/>
  <c r="AB69" i="8"/>
  <c r="P5" i="2"/>
  <c r="Q5" i="2" s="1"/>
  <c r="CH52" i="1"/>
  <c r="P311" i="2"/>
  <c r="Q311" i="2" s="1"/>
  <c r="P355" i="2"/>
  <c r="Q355" i="2" s="1"/>
  <c r="AA26" i="8"/>
  <c r="BC26" i="8" s="1"/>
  <c r="BQ26" i="8" s="1"/>
  <c r="Z355" i="2"/>
  <c r="N178" i="1"/>
  <c r="DH178" i="1" s="1"/>
  <c r="DZ63" i="1"/>
  <c r="AK108" i="48" s="1"/>
  <c r="AG141" i="1"/>
  <c r="AB94" i="1"/>
  <c r="M43" i="8"/>
  <c r="DG43" i="8" s="1"/>
  <c r="AB40" i="1"/>
  <c r="BD40" i="1" s="1"/>
  <c r="BR40" i="1" s="1"/>
  <c r="CF195" i="1"/>
  <c r="V339" i="2"/>
  <c r="K7" i="36"/>
  <c r="CB14" i="8"/>
  <c r="U363" i="2"/>
  <c r="Z363" i="2" s="1"/>
  <c r="S197" i="1"/>
  <c r="BI197" i="1" s="1"/>
  <c r="BW197" i="1" s="1"/>
  <c r="V337" i="2"/>
  <c r="P337" i="2"/>
  <c r="Q337" i="2" s="1"/>
  <c r="CF47" i="8"/>
  <c r="Z372" i="2"/>
  <c r="CM169" i="1"/>
  <c r="J218" i="35" s="1"/>
  <c r="AL226" i="1"/>
  <c r="M22" i="1"/>
  <c r="DG22" i="1" s="1"/>
  <c r="EI22" i="1" s="1"/>
  <c r="X52" i="2"/>
  <c r="AC52" i="2" s="1"/>
  <c r="AD52" i="2" s="1"/>
  <c r="X70" i="2"/>
  <c r="AC70" i="2" s="1"/>
  <c r="AD70" i="2" s="1"/>
  <c r="P230" i="2"/>
  <c r="Q230" i="2" s="1"/>
  <c r="AA122" i="1"/>
  <c r="X188" i="1"/>
  <c r="BN188" i="1" s="1"/>
  <c r="CB188" i="1" s="1"/>
  <c r="G13" i="62"/>
  <c r="CG149" i="1"/>
  <c r="DX195" i="1"/>
  <c r="DT195" i="1" s="1"/>
  <c r="P225" i="2"/>
  <c r="Q225" i="2" s="1"/>
  <c r="U367" i="2"/>
  <c r="Z367" i="2" s="1"/>
  <c r="X351" i="2"/>
  <c r="AC351" i="2" s="1"/>
  <c r="AL195" i="1"/>
  <c r="U361" i="2"/>
  <c r="V361" i="2" s="1"/>
  <c r="P367" i="2"/>
  <c r="Q367" i="2" s="1"/>
  <c r="U328" i="2"/>
  <c r="V328" i="2" s="1"/>
  <c r="AC11" i="8"/>
  <c r="X202" i="1"/>
  <c r="BN202" i="1" s="1"/>
  <c r="CB202" i="1" s="1"/>
  <c r="P27" i="8"/>
  <c r="DJ27" i="8" s="1"/>
  <c r="EL27" i="8" s="1"/>
  <c r="N61" i="8"/>
  <c r="DH61" i="8" s="1"/>
  <c r="EJ61" i="8" s="1"/>
  <c r="U102" i="2"/>
  <c r="V102" i="2" s="1"/>
  <c r="CG144" i="1"/>
  <c r="X355" i="2"/>
  <c r="DZ6" i="1" s="1"/>
  <c r="N63" i="36" s="1"/>
  <c r="AI169" i="1"/>
  <c r="P79" i="2"/>
  <c r="Q79" i="2" s="1"/>
  <c r="X301" i="2"/>
  <c r="X262" i="2"/>
  <c r="DY135" i="1" s="1"/>
  <c r="M76" i="36" s="1"/>
  <c r="U140" i="2"/>
  <c r="Z140" i="2" s="1"/>
  <c r="AA44" i="8"/>
  <c r="P245" i="2"/>
  <c r="Q245" i="2" s="1"/>
  <c r="P320" i="2"/>
  <c r="Q320" i="2" s="1"/>
  <c r="P368" i="2"/>
  <c r="Q368" i="2" s="1"/>
  <c r="P50" i="8"/>
  <c r="DJ50" i="8" s="1"/>
  <c r="EL50" i="8" s="1"/>
  <c r="AF36" i="8"/>
  <c r="AA49" i="8"/>
  <c r="CH44" i="8"/>
  <c r="AL100" i="1"/>
  <c r="G14" i="62"/>
  <c r="CE86" i="1"/>
  <c r="P145" i="2"/>
  <c r="Q145" i="2" s="1"/>
  <c r="X122" i="2"/>
  <c r="H103" i="6" s="1"/>
  <c r="H134" i="6" s="1"/>
  <c r="AC194" i="1"/>
  <c r="P334" i="2"/>
  <c r="Q334" i="2" s="1"/>
  <c r="CM227" i="1"/>
  <c r="F16" i="62"/>
  <c r="CE25" i="1"/>
  <c r="U170" i="1"/>
  <c r="M189" i="1"/>
  <c r="DG189" i="1" s="1"/>
  <c r="EI189" i="1" s="1"/>
  <c r="AC229" i="2"/>
  <c r="AD229" i="2" s="1"/>
  <c r="X220" i="2"/>
  <c r="AC220" i="2" s="1"/>
  <c r="AD220" i="2" s="1"/>
  <c r="AC58" i="8"/>
  <c r="AA130" i="1"/>
  <c r="CF30" i="8"/>
  <c r="CF1" i="8" s="1"/>
  <c r="P21" i="2"/>
  <c r="Q21" i="2" s="1"/>
  <c r="P331" i="2"/>
  <c r="Q331" i="2" s="1"/>
  <c r="U318" i="2"/>
  <c r="Z318" i="2" s="1"/>
  <c r="M90" i="60" s="1"/>
  <c r="AB42" i="8"/>
  <c r="J38" i="8"/>
  <c r="DD38" i="8" s="1"/>
  <c r="AI196" i="1"/>
  <c r="CH162" i="1"/>
  <c r="K97" i="60"/>
  <c r="AE12" i="8"/>
  <c r="AD73" i="1"/>
  <c r="AC29" i="1"/>
  <c r="CG48" i="1"/>
  <c r="CC32" i="8"/>
  <c r="CT68" i="8"/>
  <c r="DX99" i="1"/>
  <c r="U229" i="2"/>
  <c r="V229" i="2" s="1"/>
  <c r="X101" i="2"/>
  <c r="AC101" i="2" s="1"/>
  <c r="AD101" i="2" s="1"/>
  <c r="CI12" i="8"/>
  <c r="U38" i="8"/>
  <c r="AI97" i="1"/>
  <c r="CE10" i="8"/>
  <c r="N216" i="1"/>
  <c r="DH216" i="1" s="1"/>
  <c r="EJ216" i="1" s="1"/>
  <c r="AA187" i="1"/>
  <c r="DZ57" i="1"/>
  <c r="CG24" i="8"/>
  <c r="CH217" i="1"/>
  <c r="AA226" i="1"/>
  <c r="P196" i="1"/>
  <c r="DJ196" i="1" s="1"/>
  <c r="AD99" i="1"/>
  <c r="AA214" i="1"/>
  <c r="AF105" i="1"/>
  <c r="BH105" i="1" s="1"/>
  <c r="BV105" i="1" s="1"/>
  <c r="DZ13" i="1"/>
  <c r="N73" i="36" s="1"/>
  <c r="W58" i="8"/>
  <c r="BC87" i="1"/>
  <c r="BQ87" i="1" s="1"/>
  <c r="X60" i="8"/>
  <c r="V34" i="8"/>
  <c r="T140" i="1"/>
  <c r="DN140" i="1" s="1"/>
  <c r="EP140" i="1" s="1"/>
  <c r="AC129" i="1"/>
  <c r="ER204" i="1"/>
  <c r="U131" i="2"/>
  <c r="V131" i="2" s="1"/>
  <c r="X339" i="2"/>
  <c r="P321" i="2"/>
  <c r="Q321" i="2" s="1"/>
  <c r="X14" i="44"/>
  <c r="AF67" i="8"/>
  <c r="P68" i="1"/>
  <c r="BF68" i="1" s="1"/>
  <c r="BT68" i="1" s="1"/>
  <c r="U250" i="2"/>
  <c r="Z250" i="2" s="1"/>
  <c r="X99" i="2"/>
  <c r="AC99" i="2" s="1"/>
  <c r="AD99" i="2" s="1"/>
  <c r="V373" i="2"/>
  <c r="BF64" i="1"/>
  <c r="BT64" i="1" s="1"/>
  <c r="X188" i="2"/>
  <c r="DX201" i="1" s="1"/>
  <c r="E80" i="22"/>
  <c r="AD42" i="8"/>
  <c r="U66" i="2"/>
  <c r="Z66" i="2" s="1"/>
  <c r="P312" i="2"/>
  <c r="Q312" i="2" s="1"/>
  <c r="X32" i="2"/>
  <c r="AD32" i="2" s="1"/>
  <c r="U197" i="1"/>
  <c r="DO197" i="1" s="1"/>
  <c r="EQ197" i="1" s="1"/>
  <c r="U322" i="2"/>
  <c r="Z322" i="2" s="1"/>
  <c r="O22" i="1"/>
  <c r="BE22" i="1" s="1"/>
  <c r="BS22" i="1" s="1"/>
  <c r="AG23" i="48"/>
  <c r="P373" i="2"/>
  <c r="Q373" i="2" s="1"/>
  <c r="CG66" i="1"/>
  <c r="N189" i="1"/>
  <c r="DH189" i="1" s="1"/>
  <c r="EJ189" i="1" s="1"/>
  <c r="CG145" i="1"/>
  <c r="U23" i="2"/>
  <c r="V23" i="2" s="1"/>
  <c r="U37" i="8"/>
  <c r="AC12" i="8"/>
  <c r="AG12" i="48"/>
  <c r="DZ129" i="1"/>
  <c r="R197" i="1"/>
  <c r="DL197" i="1" s="1"/>
  <c r="CF144" i="1"/>
  <c r="W197" i="1"/>
  <c r="BM197" i="1" s="1"/>
  <c r="CA197" i="1" s="1"/>
  <c r="V14" i="8"/>
  <c r="AD10" i="44"/>
  <c r="Z34" i="8"/>
  <c r="I44" i="8"/>
  <c r="DC44" i="8" s="1"/>
  <c r="EE44" i="8" s="1"/>
  <c r="CH195" i="1"/>
  <c r="CF194" i="1"/>
  <c r="AD68" i="1"/>
  <c r="CG47" i="1"/>
  <c r="U111" i="2"/>
  <c r="Z111" i="2" s="1"/>
  <c r="U146" i="2"/>
  <c r="V146" i="2" s="1"/>
  <c r="P258" i="2"/>
  <c r="Q258" i="2" s="1"/>
  <c r="U267" i="2"/>
  <c r="Z267" i="2" s="1"/>
  <c r="P34" i="2"/>
  <c r="Q34" i="2" s="1"/>
  <c r="CE20" i="1"/>
  <c r="DY189" i="1"/>
  <c r="EM189" i="1" s="1"/>
  <c r="X194" i="2"/>
  <c r="AC194" i="2" s="1"/>
  <c r="AD194" i="2" s="1"/>
  <c r="AD195" i="1"/>
  <c r="BF195" i="1" s="1"/>
  <c r="BT195" i="1" s="1"/>
  <c r="P363" i="2"/>
  <c r="Q363" i="2" s="1"/>
  <c r="X162" i="2"/>
  <c r="AC162" i="2" s="1"/>
  <c r="AD162" i="2" s="1"/>
  <c r="M46" i="8"/>
  <c r="DG46" i="8" s="1"/>
  <c r="AC62" i="8"/>
  <c r="U11" i="44"/>
  <c r="CF98" i="1"/>
  <c r="Z50" i="8"/>
  <c r="CD8" i="8"/>
  <c r="T227" i="1"/>
  <c r="BJ227" i="1" s="1"/>
  <c r="BX227" i="1" s="1"/>
  <c r="CG129" i="1"/>
  <c r="P49" i="1"/>
  <c r="DJ49" i="1" s="1"/>
  <c r="AC23" i="1"/>
  <c r="X146" i="2"/>
  <c r="AC146" i="2" s="1"/>
  <c r="AD146" i="2" s="1"/>
  <c r="U156" i="2"/>
  <c r="Z156" i="2" s="1"/>
  <c r="P180" i="2"/>
  <c r="Q180" i="2" s="1"/>
  <c r="AC77" i="1"/>
  <c r="AC98" i="1"/>
  <c r="Z230" i="2"/>
  <c r="AE23" i="8"/>
  <c r="U130" i="2"/>
  <c r="Z130" i="2" s="1"/>
  <c r="U347" i="2"/>
  <c r="V347" i="2" s="1"/>
  <c r="Z340" i="2"/>
  <c r="AF43" i="8"/>
  <c r="BZ9" i="8"/>
  <c r="J10" i="8"/>
  <c r="AZ10" i="8" s="1"/>
  <c r="BN10" i="8" s="1"/>
  <c r="CE227" i="1"/>
  <c r="DG153" i="1"/>
  <c r="EI153" i="1" s="1"/>
  <c r="CG134" i="1"/>
  <c r="CF166" i="1"/>
  <c r="L16" i="62"/>
  <c r="H61" i="8"/>
  <c r="DB61" i="8" s="1"/>
  <c r="ED61" i="8" s="1"/>
  <c r="CP202" i="1"/>
  <c r="O210" i="1"/>
  <c r="DI210" i="1" s="1"/>
  <c r="EK210" i="1" s="1"/>
  <c r="AD221" i="1"/>
  <c r="X310" i="2"/>
  <c r="DY130" i="1" s="1"/>
  <c r="U310" i="2"/>
  <c r="V310" i="2" s="1"/>
  <c r="X102" i="2"/>
  <c r="AC102" i="2" s="1"/>
  <c r="AD102" i="2" s="1"/>
  <c r="L50" i="8"/>
  <c r="BB50" i="8" s="1"/>
  <c r="BP50" i="8" s="1"/>
  <c r="X108" i="2"/>
  <c r="DQ18" i="8" s="1"/>
  <c r="DN18" i="8" s="1"/>
  <c r="DY180" i="1"/>
  <c r="EM180" i="1" s="1"/>
  <c r="DZ114" i="1"/>
  <c r="EN114" i="1" s="1"/>
  <c r="DZ39" i="1"/>
  <c r="EN39" i="1" s="1"/>
  <c r="AB197" i="1"/>
  <c r="AB87" i="1"/>
  <c r="BM100" i="1"/>
  <c r="CA100" i="1" s="1"/>
  <c r="P347" i="2"/>
  <c r="Q347" i="2" s="1"/>
  <c r="P335" i="2"/>
  <c r="Q335" i="2" s="1"/>
  <c r="Q50" i="8"/>
  <c r="BG50" i="8" s="1"/>
  <c r="BU50" i="8" s="1"/>
  <c r="O62" i="8"/>
  <c r="BE62" i="8" s="1"/>
  <c r="BS62" i="8" s="1"/>
  <c r="O50" i="8"/>
  <c r="BE50" i="8" s="1"/>
  <c r="BS50" i="8" s="1"/>
  <c r="K30" i="8"/>
  <c r="DE30" i="8" s="1"/>
  <c r="O80" i="22" s="1"/>
  <c r="G80" i="22" s="1"/>
  <c r="W44" i="8"/>
  <c r="AL187" i="1"/>
  <c r="X187" i="1"/>
  <c r="BN187" i="1" s="1"/>
  <c r="CB187" i="1" s="1"/>
  <c r="P332" i="2"/>
  <c r="Q332" i="2" s="1"/>
  <c r="AG170" i="1"/>
  <c r="J132" i="35"/>
  <c r="AF37" i="8"/>
  <c r="CN196" i="1"/>
  <c r="CE111" i="1"/>
  <c r="CE68" i="1"/>
  <c r="AD94" i="1"/>
  <c r="AA223" i="1"/>
  <c r="P246" i="2"/>
  <c r="Q246" i="2" s="1"/>
  <c r="X170" i="2"/>
  <c r="DW185" i="1" s="1"/>
  <c r="DT185" i="1" s="1"/>
  <c r="DY141" i="1"/>
  <c r="M80" i="36" s="1"/>
  <c r="AB45" i="1"/>
  <c r="Y44" i="8"/>
  <c r="O56" i="8"/>
  <c r="DI56" i="8" s="1"/>
  <c r="EK56" i="8" s="1"/>
  <c r="X86" i="2"/>
  <c r="AC86" i="2" s="1"/>
  <c r="AD86" i="2" s="1"/>
  <c r="P319" i="2"/>
  <c r="Q319" i="2" s="1"/>
  <c r="P344" i="2"/>
  <c r="Q344" i="2" s="1"/>
  <c r="X10" i="8"/>
  <c r="CJ45" i="8"/>
  <c r="AL188" i="1"/>
  <c r="AC172" i="1"/>
  <c r="H127" i="35"/>
  <c r="K127" i="35" s="1"/>
  <c r="CI11" i="8"/>
  <c r="CF64" i="1"/>
  <c r="CG175" i="1"/>
  <c r="P70" i="1"/>
  <c r="DJ70" i="1" s="1"/>
  <c r="EL70" i="1" s="1"/>
  <c r="AA186" i="1"/>
  <c r="U311" i="2"/>
  <c r="Z311" i="2" s="1"/>
  <c r="CG118" i="1"/>
  <c r="X192" i="2"/>
  <c r="DR57" i="8" s="1"/>
  <c r="X202" i="2"/>
  <c r="AC202" i="2" s="1"/>
  <c r="AD202" i="2" s="1"/>
  <c r="CI197" i="1"/>
  <c r="R10" i="8"/>
  <c r="BH10" i="8" s="1"/>
  <c r="BV10" i="8" s="1"/>
  <c r="AA44" i="1"/>
  <c r="BC44" i="1" s="1"/>
  <c r="BQ44" i="1" s="1"/>
  <c r="E79" i="22"/>
  <c r="U108" i="2"/>
  <c r="V108" i="2" s="1"/>
  <c r="P339" i="2"/>
  <c r="Q339" i="2" s="1"/>
  <c r="I42" i="8"/>
  <c r="DC42" i="8" s="1"/>
  <c r="I16" i="62"/>
  <c r="Z6" i="44"/>
  <c r="S170" i="1"/>
  <c r="BI170" i="1" s="1"/>
  <c r="BW170" i="1" s="1"/>
  <c r="CE13" i="1"/>
  <c r="I31" i="8"/>
  <c r="DC31" i="8" s="1"/>
  <c r="CE62" i="8"/>
  <c r="CQ68" i="8"/>
  <c r="Z14" i="44"/>
  <c r="X166" i="2"/>
  <c r="AC166" i="2" s="1"/>
  <c r="AD166" i="2" s="1"/>
  <c r="M7" i="1"/>
  <c r="DG7" i="1" s="1"/>
  <c r="EI7" i="1" s="1"/>
  <c r="AC192" i="1"/>
  <c r="P228" i="2"/>
  <c r="Q228" i="2" s="1"/>
  <c r="CJ200" i="1"/>
  <c r="CE63" i="1"/>
  <c r="U207" i="2"/>
  <c r="Z207" i="2" s="1"/>
  <c r="AB21" i="1"/>
  <c r="CF126" i="1"/>
  <c r="CE188" i="1"/>
  <c r="AD37" i="1"/>
  <c r="BF37" i="1" s="1"/>
  <c r="BT37" i="1" s="1"/>
  <c r="Z357" i="2"/>
  <c r="O31" i="8"/>
  <c r="P382" i="2"/>
  <c r="Q382" i="2" s="1"/>
  <c r="DY191" i="1"/>
  <c r="EM191" i="1" s="1"/>
  <c r="U76" i="2"/>
  <c r="Z76" i="2" s="1"/>
  <c r="E36" i="20" s="1"/>
  <c r="AD54" i="1"/>
  <c r="P309" i="2"/>
  <c r="Q309" i="2" s="1"/>
  <c r="V341" i="2"/>
  <c r="AA27" i="8"/>
  <c r="BC27" i="8" s="1"/>
  <c r="BQ27" i="8" s="1"/>
  <c r="U61" i="2"/>
  <c r="Z61" i="2" s="1"/>
  <c r="P61" i="2"/>
  <c r="Q61" i="2" s="1"/>
  <c r="J17" i="36"/>
  <c r="X8" i="44"/>
  <c r="AB12" i="44"/>
  <c r="L24" i="8"/>
  <c r="BB24" i="8" s="1"/>
  <c r="BP24" i="8" s="1"/>
  <c r="U325" i="2"/>
  <c r="V325" i="2" s="1"/>
  <c r="J18" i="36"/>
  <c r="G12" i="8"/>
  <c r="AW12" i="8" s="1"/>
  <c r="BK12" i="8" s="1"/>
  <c r="AD196" i="1"/>
  <c r="N94" i="1"/>
  <c r="DH94" i="1" s="1"/>
  <c r="O47" i="1"/>
  <c r="BE47" i="1" s="1"/>
  <c r="BS47" i="1" s="1"/>
  <c r="AC176" i="1"/>
  <c r="U43" i="2"/>
  <c r="V43" i="2" s="1"/>
  <c r="AA20" i="1"/>
  <c r="DZ180" i="1"/>
  <c r="DT55" i="8"/>
  <c r="M7" i="8"/>
  <c r="DG7" i="8" s="1"/>
  <c r="O110" i="22" s="1"/>
  <c r="G110" i="22" s="1"/>
  <c r="W111" i="1"/>
  <c r="BM111" i="1" s="1"/>
  <c r="CA111" i="1" s="1"/>
  <c r="U34" i="8"/>
  <c r="CH98" i="1"/>
  <c r="J11" i="36"/>
  <c r="CG77" i="1"/>
  <c r="CM197" i="1"/>
  <c r="J224" i="35" s="1"/>
  <c r="U79" i="2"/>
  <c r="Z79" i="2" s="1"/>
  <c r="U88" i="2"/>
  <c r="V88" i="2" s="1"/>
  <c r="P360" i="2"/>
  <c r="Q360" i="2" s="1"/>
  <c r="X337" i="2"/>
  <c r="CD15" i="8"/>
  <c r="K44" i="8"/>
  <c r="DE44" i="8" s="1"/>
  <c r="V46" i="2"/>
  <c r="M53" i="1"/>
  <c r="DG53" i="1" s="1"/>
  <c r="AA125" i="1"/>
  <c r="AC50" i="8"/>
  <c r="CH30" i="1"/>
  <c r="O176" i="1"/>
  <c r="BE176" i="1" s="1"/>
  <c r="BS176" i="1" s="1"/>
  <c r="CE44" i="1"/>
  <c r="CF87" i="1"/>
  <c r="AB144" i="1"/>
  <c r="P253" i="2"/>
  <c r="Q253" i="2" s="1"/>
  <c r="P325" i="2"/>
  <c r="Q325" i="2" s="1"/>
  <c r="X43" i="2"/>
  <c r="AD43" i="2" s="1"/>
  <c r="U378" i="2"/>
  <c r="V378" i="2" s="1"/>
  <c r="P24" i="2"/>
  <c r="Q24" i="2" s="1"/>
  <c r="Y6" i="44"/>
  <c r="P341" i="2"/>
  <c r="Q341" i="2" s="1"/>
  <c r="X373" i="2"/>
  <c r="DZ53" i="1" s="1"/>
  <c r="U384" i="2"/>
  <c r="V384" i="2" s="1"/>
  <c r="U24" i="8"/>
  <c r="DE67" i="8"/>
  <c r="EG67" i="8" s="1"/>
  <c r="CG14" i="1"/>
  <c r="CE135" i="1"/>
  <c r="P169" i="1"/>
  <c r="DJ169" i="1" s="1"/>
  <c r="AD14" i="44"/>
  <c r="CH33" i="8"/>
  <c r="AF16" i="48"/>
  <c r="AA188" i="1"/>
  <c r="CE24" i="1"/>
  <c r="AC216" i="1"/>
  <c r="AC139" i="1"/>
  <c r="BE139" i="1" s="1"/>
  <c r="BS139" i="1" s="1"/>
  <c r="AB131" i="1"/>
  <c r="X309" i="2"/>
  <c r="DY40" i="1" s="1"/>
  <c r="AA53" i="1"/>
  <c r="X137" i="2"/>
  <c r="DQ36" i="8" s="1"/>
  <c r="DZ216" i="1"/>
  <c r="EN216" i="1" s="1"/>
  <c r="CE35" i="1"/>
  <c r="U176" i="2"/>
  <c r="V176" i="2" s="1"/>
  <c r="U136" i="2"/>
  <c r="V136" i="2" s="1"/>
  <c r="X165" i="2"/>
  <c r="X239" i="2"/>
  <c r="AC239" i="2" s="1"/>
  <c r="AD239" i="2" s="1"/>
  <c r="AA172" i="1"/>
  <c r="BC172" i="1" s="1"/>
  <c r="BQ172" i="1" s="1"/>
  <c r="AB126" i="1"/>
  <c r="BD126" i="1" s="1"/>
  <c r="BR126" i="1" s="1"/>
  <c r="P378" i="2"/>
  <c r="Q378" i="2" s="1"/>
  <c r="P370" i="2"/>
  <c r="Q370" i="2" s="1"/>
  <c r="H9" i="8"/>
  <c r="DB9" i="8" s="1"/>
  <c r="O30" i="22" s="1"/>
  <c r="G30" i="22" s="1"/>
  <c r="Y7" i="44"/>
  <c r="AC151" i="1"/>
  <c r="BE151" i="1" s="1"/>
  <c r="BS151" i="1" s="1"/>
  <c r="AB10" i="8"/>
  <c r="G42" i="8"/>
  <c r="DA42" i="8" s="1"/>
  <c r="O91" i="1"/>
  <c r="DI91" i="1" s="1"/>
  <c r="EK91" i="1" s="1"/>
  <c r="P131" i="1"/>
  <c r="DJ131" i="1" s="1"/>
  <c r="X144" i="2"/>
  <c r="AA63" i="1"/>
  <c r="AB64" i="1"/>
  <c r="I8" i="36"/>
  <c r="AE162" i="1"/>
  <c r="P137" i="2"/>
  <c r="Q137" i="2" s="1"/>
  <c r="CE95" i="1"/>
  <c r="V309" i="2"/>
  <c r="AB174" i="1"/>
  <c r="BD174" i="1" s="1"/>
  <c r="BR174" i="1" s="1"/>
  <c r="W7" i="44"/>
  <c r="V189" i="2"/>
  <c r="U14" i="44"/>
  <c r="AB119" i="1"/>
  <c r="J14" i="62"/>
  <c r="CG8" i="8"/>
  <c r="Y15" i="8"/>
  <c r="CE47" i="8"/>
  <c r="CG21" i="1"/>
  <c r="CJ201" i="1"/>
  <c r="P149" i="2"/>
  <c r="Q149" i="2" s="1"/>
  <c r="W18" i="8"/>
  <c r="AC60" i="8"/>
  <c r="P91" i="1"/>
  <c r="BF91" i="1" s="1"/>
  <c r="BT91" i="1" s="1"/>
  <c r="O60" i="8"/>
  <c r="CO196" i="1"/>
  <c r="N131" i="1"/>
  <c r="DH131" i="1" s="1"/>
  <c r="U256" i="2"/>
  <c r="V256" i="2" s="1"/>
  <c r="J22" i="36"/>
  <c r="AA48" i="8"/>
  <c r="P357" i="2"/>
  <c r="Q357" i="2" s="1"/>
  <c r="P328" i="2"/>
  <c r="Q328" i="2" s="1"/>
  <c r="U353" i="2"/>
  <c r="Z353" i="2" s="1"/>
  <c r="AF65" i="8"/>
  <c r="P60" i="8"/>
  <c r="BF60" i="8" s="1"/>
  <c r="BT60" i="8" s="1"/>
  <c r="M34" i="8"/>
  <c r="DG34" i="8" s="1"/>
  <c r="L14" i="36"/>
  <c r="W200" i="1"/>
  <c r="DQ200" i="1" s="1"/>
  <c r="ES200" i="1" s="1"/>
  <c r="AC51" i="1"/>
  <c r="BE51" i="1" s="1"/>
  <c r="BS51" i="1" s="1"/>
  <c r="H65" i="8"/>
  <c r="DB65" i="8" s="1"/>
  <c r="AD48" i="1"/>
  <c r="AF177" i="1"/>
  <c r="CG41" i="1"/>
  <c r="N172" i="1"/>
  <c r="BD172" i="1" s="1"/>
  <c r="BR172" i="1" s="1"/>
  <c r="AB73" i="1"/>
  <c r="M146" i="1"/>
  <c r="BC146" i="1" s="1"/>
  <c r="BQ146" i="1" s="1"/>
  <c r="CG46" i="1"/>
  <c r="N63" i="1"/>
  <c r="DH63" i="1" s="1"/>
  <c r="U109" i="2"/>
  <c r="Z109" i="2" s="1"/>
  <c r="U164" i="2"/>
  <c r="Z164" i="2" s="1"/>
  <c r="V316" i="2"/>
  <c r="U188" i="2"/>
  <c r="Z188" i="2" s="1"/>
  <c r="X332" i="2"/>
  <c r="DT46" i="8" s="1"/>
  <c r="EH46" i="8" s="1"/>
  <c r="W56" i="8"/>
  <c r="AY56" i="8" s="1"/>
  <c r="BM56" i="8" s="1"/>
  <c r="Z39" i="8"/>
  <c r="P316" i="2"/>
  <c r="Q316" i="2" s="1"/>
  <c r="DG47" i="8"/>
  <c r="EI47" i="8" s="1"/>
  <c r="S111" i="1"/>
  <c r="DM111" i="1" s="1"/>
  <c r="P214" i="1"/>
  <c r="DJ214" i="1" s="1"/>
  <c r="EL214" i="1" s="1"/>
  <c r="K13" i="8"/>
  <c r="DE13" i="8" s="1"/>
  <c r="EG13" i="8" s="1"/>
  <c r="G12" i="44" s="1"/>
  <c r="BZ11" i="8"/>
  <c r="CG87" i="1"/>
  <c r="AB186" i="1"/>
  <c r="AC64" i="1"/>
  <c r="X55" i="2"/>
  <c r="AC55" i="2" s="1"/>
  <c r="AD55" i="2" s="1"/>
  <c r="X206" i="2"/>
  <c r="AC206" i="2" s="1"/>
  <c r="AD206" i="2" s="1"/>
  <c r="X312" i="2"/>
  <c r="DY131" i="1" s="1"/>
  <c r="EM131" i="1" s="1"/>
  <c r="DZ91" i="1"/>
  <c r="DT91" i="1" s="1"/>
  <c r="X348" i="2"/>
  <c r="P109" i="2"/>
  <c r="Q109" i="2" s="1"/>
  <c r="AL111" i="1"/>
  <c r="AF13" i="8"/>
  <c r="BD125" i="1"/>
  <c r="BR125" i="1" s="1"/>
  <c r="AB125" i="1"/>
  <c r="CF10" i="8"/>
  <c r="P194" i="1"/>
  <c r="DJ194" i="1" s="1"/>
  <c r="AB195" i="1"/>
  <c r="CF172" i="1"/>
  <c r="CG64" i="1"/>
  <c r="AD218" i="1"/>
  <c r="U160" i="2"/>
  <c r="Z160" i="2" s="1"/>
  <c r="AC61" i="8"/>
  <c r="X83" i="2"/>
  <c r="AC83" i="2" s="1"/>
  <c r="AD83" i="2" s="1"/>
  <c r="X364" i="2"/>
  <c r="DZ17" i="1" s="1"/>
  <c r="X341" i="2"/>
  <c r="E78" i="22"/>
  <c r="CE186" i="1"/>
  <c r="R177" i="1"/>
  <c r="DL177" i="1" s="1"/>
  <c r="EN177" i="1" s="1"/>
  <c r="U128" i="2"/>
  <c r="Z128" i="2" s="1"/>
  <c r="X73" i="2"/>
  <c r="DV57" i="1" s="1"/>
  <c r="EJ57" i="1" s="1"/>
  <c r="BY23" i="8"/>
  <c r="AB86" i="1"/>
  <c r="CE223" i="1"/>
  <c r="D13" i="62"/>
  <c r="N197" i="1"/>
  <c r="BD197" i="1" s="1"/>
  <c r="BR197" i="1" s="1"/>
  <c r="DV42" i="1"/>
  <c r="EJ42" i="1" s="1"/>
  <c r="X277" i="2"/>
  <c r="DZ187" i="1"/>
  <c r="U163" i="2"/>
  <c r="V163" i="2" s="1"/>
  <c r="AH18" i="48"/>
  <c r="E14" i="62"/>
  <c r="AF26" i="8"/>
  <c r="R67" i="8"/>
  <c r="DL67" i="8" s="1"/>
  <c r="EN67" i="8" s="1"/>
  <c r="U149" i="2"/>
  <c r="Z149" i="2" s="1"/>
  <c r="AA13" i="8"/>
  <c r="X357" i="2"/>
  <c r="H14" i="8"/>
  <c r="DB14" i="8" s="1"/>
  <c r="ED14" i="8" s="1"/>
  <c r="D13" i="44" s="1"/>
  <c r="CC7" i="8"/>
  <c r="CC3" i="8" s="1"/>
  <c r="AJ226" i="1"/>
  <c r="CE37" i="1"/>
  <c r="CE33" i="8"/>
  <c r="CH31" i="8"/>
  <c r="M16" i="62"/>
  <c r="CF86" i="1"/>
  <c r="CE42" i="1"/>
  <c r="Y45" i="8"/>
  <c r="AH12" i="48"/>
  <c r="CI9" i="8"/>
  <c r="X316" i="2"/>
  <c r="AC37" i="8"/>
  <c r="AB7" i="44"/>
  <c r="K45" i="8"/>
  <c r="DE45" i="8" s="1"/>
  <c r="CT222" i="1"/>
  <c r="CG190" i="1"/>
  <c r="AC22" i="1"/>
  <c r="CE121" i="1"/>
  <c r="CE211" i="1"/>
  <c r="X131" i="2"/>
  <c r="DW189" i="1" s="1"/>
  <c r="Z48" i="8"/>
  <c r="X340" i="2"/>
  <c r="U320" i="2"/>
  <c r="V320" i="2" s="1"/>
  <c r="H49" i="8"/>
  <c r="DB49" i="8" s="1"/>
  <c r="ED49" i="8" s="1"/>
  <c r="K15" i="8"/>
  <c r="DE15" i="8" s="1"/>
  <c r="H16" i="62"/>
  <c r="AA6" i="8"/>
  <c r="U5" i="28" s="1"/>
  <c r="U12" i="28" s="1"/>
  <c r="CG38" i="8"/>
  <c r="CH56" i="8"/>
  <c r="BF45" i="1"/>
  <c r="BT45" i="1" s="1"/>
  <c r="AF171" i="1"/>
  <c r="BH171" i="1" s="1"/>
  <c r="BV171" i="1" s="1"/>
  <c r="L49" i="8"/>
  <c r="DF49" i="8" s="1"/>
  <c r="EH49" i="8" s="1"/>
  <c r="CG35" i="8"/>
  <c r="AE7" i="44"/>
  <c r="AD217" i="1"/>
  <c r="CE7" i="1"/>
  <c r="AC46" i="1"/>
  <c r="P177" i="1"/>
  <c r="DJ177" i="1" s="1"/>
  <c r="CH32" i="8"/>
  <c r="R36" i="8"/>
  <c r="BH36" i="8" s="1"/>
  <c r="BV36" i="8" s="1"/>
  <c r="U263" i="2"/>
  <c r="Z263" i="2" s="1"/>
  <c r="P32" i="2"/>
  <c r="Q32" i="2" s="1"/>
  <c r="P14" i="2"/>
  <c r="Q14" i="2" s="1"/>
  <c r="CV68" i="8"/>
  <c r="X295" i="2"/>
  <c r="DY175" i="1" s="1"/>
  <c r="EM175" i="1" s="1"/>
  <c r="AC41" i="1"/>
  <c r="U376" i="2"/>
  <c r="V376" i="2" s="1"/>
  <c r="AC175" i="1"/>
  <c r="BE175" i="1" s="1"/>
  <c r="BS175" i="1" s="1"/>
  <c r="DZ152" i="1"/>
  <c r="X267" i="2"/>
  <c r="DY139" i="1" s="1"/>
  <c r="D16" i="62"/>
  <c r="U42" i="8"/>
  <c r="X293" i="2"/>
  <c r="DY6" i="1" s="1"/>
  <c r="K56" i="8"/>
  <c r="BA56" i="8" s="1"/>
  <c r="BO56" i="8" s="1"/>
  <c r="P384" i="2"/>
  <c r="Q384" i="2" s="1"/>
  <c r="X163" i="2"/>
  <c r="DW215" i="1" s="1"/>
  <c r="Z7" i="8"/>
  <c r="G8" i="8"/>
  <c r="DA8" i="8" s="1"/>
  <c r="EC8" i="8" s="1"/>
  <c r="C7" i="44" s="1"/>
  <c r="G30" i="8"/>
  <c r="DA30" i="8" s="1"/>
  <c r="O11" i="22" s="1"/>
  <c r="G11" i="22" s="1"/>
  <c r="AD69" i="8"/>
  <c r="CF117" i="1"/>
  <c r="CF183" i="1"/>
  <c r="AA62" i="1"/>
  <c r="Q10" i="8"/>
  <c r="BG10" i="8" s="1"/>
  <c r="BU10" i="8" s="1"/>
  <c r="CH161" i="1"/>
  <c r="J18" i="62"/>
  <c r="C30" i="62" s="1"/>
  <c r="CH129" i="1"/>
  <c r="Q167" i="1"/>
  <c r="DK167" i="1" s="1"/>
  <c r="EM167" i="1" s="1"/>
  <c r="AB97" i="1"/>
  <c r="CG188" i="1"/>
  <c r="CH70" i="1"/>
  <c r="AC50" i="1"/>
  <c r="P146" i="1"/>
  <c r="DJ146" i="1" s="1"/>
  <c r="CG97" i="1"/>
  <c r="U143" i="2"/>
  <c r="Z143" i="2" s="1"/>
  <c r="P256" i="2"/>
  <c r="Q256" i="2" s="1"/>
  <c r="X263" i="2"/>
  <c r="DY35" i="1" s="1"/>
  <c r="DT35" i="1" s="1"/>
  <c r="X223" i="2"/>
  <c r="AC223" i="2" s="1"/>
  <c r="AD223" i="2" s="1"/>
  <c r="AE6" i="1"/>
  <c r="AD202" i="1"/>
  <c r="I6" i="8"/>
  <c r="DC6" i="8" s="1"/>
  <c r="AD11" i="8"/>
  <c r="AF11" i="48"/>
  <c r="BE60" i="1"/>
  <c r="BS60" i="1" s="1"/>
  <c r="J23" i="8"/>
  <c r="AZ23" i="8" s="1"/>
  <c r="BN23" i="8" s="1"/>
  <c r="U314" i="2"/>
  <c r="V314" i="2" s="1"/>
  <c r="DT36" i="8"/>
  <c r="P336" i="2"/>
  <c r="Q336" i="2" s="1"/>
  <c r="I67" i="8"/>
  <c r="DC67" i="8" s="1"/>
  <c r="EE67" i="8" s="1"/>
  <c r="R18" i="8"/>
  <c r="DL18" i="8" s="1"/>
  <c r="EN18" i="8" s="1"/>
  <c r="CA6" i="8"/>
  <c r="P69" i="8"/>
  <c r="BF69" i="8" s="1"/>
  <c r="BT69" i="8" s="1"/>
  <c r="AH21" i="48"/>
  <c r="BF24" i="1"/>
  <c r="BT24" i="1" s="1"/>
  <c r="CF159" i="1"/>
  <c r="AC33" i="8"/>
  <c r="CE62" i="1"/>
  <c r="P42" i="8"/>
  <c r="DJ42" i="8" s="1"/>
  <c r="EL42" i="8" s="1"/>
  <c r="AA80" i="1"/>
  <c r="AD98" i="1"/>
  <c r="AD176" i="1"/>
  <c r="CF93" i="1"/>
  <c r="M175" i="1"/>
  <c r="DG175" i="1" s="1"/>
  <c r="X153" i="2"/>
  <c r="AC153" i="2" s="1"/>
  <c r="AD153" i="2" s="1"/>
  <c r="U223" i="2"/>
  <c r="V223" i="2" s="1"/>
  <c r="CF42" i="1"/>
  <c r="CE8" i="1"/>
  <c r="U83" i="2"/>
  <c r="Z83" i="2" s="1"/>
  <c r="CH48" i="1"/>
  <c r="U231" i="2"/>
  <c r="Z231" i="2" s="1"/>
  <c r="AF91" i="1"/>
  <c r="P340" i="2"/>
  <c r="Q340" i="2" s="1"/>
  <c r="Z46" i="8"/>
  <c r="BB46" i="8" s="1"/>
  <c r="BP46" i="8" s="1"/>
  <c r="P226" i="2"/>
  <c r="Q226" i="2" s="1"/>
  <c r="O11" i="8"/>
  <c r="DI11" i="8" s="1"/>
  <c r="U277" i="2"/>
  <c r="Z277" i="2" s="1"/>
  <c r="X314" i="2"/>
  <c r="DY34" i="1" s="1"/>
  <c r="EM34" i="1" s="1"/>
  <c r="P129" i="2"/>
  <c r="Q129" i="2" s="1"/>
  <c r="U348" i="2"/>
  <c r="Z348" i="2" s="1"/>
  <c r="X279" i="2"/>
  <c r="DY187" i="1" s="1"/>
  <c r="Z312" i="2"/>
  <c r="U368" i="2"/>
  <c r="V368" i="2" s="1"/>
  <c r="R65" i="8"/>
  <c r="BH65" i="8" s="1"/>
  <c r="BV65" i="8" s="1"/>
  <c r="Y64" i="8"/>
  <c r="J67" i="8"/>
  <c r="DD67" i="8" s="1"/>
  <c r="EF67" i="8" s="1"/>
  <c r="BE144" i="1"/>
  <c r="BS144" i="1" s="1"/>
  <c r="N8" i="1"/>
  <c r="BD8" i="1" s="1"/>
  <c r="BR8" i="1" s="1"/>
  <c r="D15" i="62"/>
  <c r="AD159" i="1"/>
  <c r="Y31" i="8"/>
  <c r="BA31" i="8" s="1"/>
  <c r="BO31" i="8" s="1"/>
  <c r="N65" i="8"/>
  <c r="DH65" i="8" s="1"/>
  <c r="EJ65" i="8" s="1"/>
  <c r="CF224" i="1"/>
  <c r="O95" i="1"/>
  <c r="DI95" i="1" s="1"/>
  <c r="AB189" i="1"/>
  <c r="P176" i="1"/>
  <c r="BF176" i="1" s="1"/>
  <c r="BT176" i="1" s="1"/>
  <c r="CF214" i="1"/>
  <c r="P295" i="2"/>
  <c r="Q295" i="2" s="1"/>
  <c r="AC95" i="1"/>
  <c r="AA211" i="1"/>
  <c r="AG25" i="1"/>
  <c r="AG44" i="1"/>
  <c r="AG49" i="1"/>
  <c r="X372" i="2"/>
  <c r="DZ49" i="1" s="1"/>
  <c r="P372" i="2"/>
  <c r="Q372" i="2" s="1"/>
  <c r="U364" i="2"/>
  <c r="Z364" i="2" s="1"/>
  <c r="AF18" i="8"/>
  <c r="V49" i="8"/>
  <c r="AC10" i="44"/>
  <c r="O61" i="8"/>
  <c r="BE61" i="8" s="1"/>
  <c r="BS61" i="8" s="1"/>
  <c r="BC164" i="1"/>
  <c r="BQ164" i="1" s="1"/>
  <c r="AK140" i="1"/>
  <c r="X26" i="8"/>
  <c r="P61" i="1"/>
  <c r="BF61" i="1" s="1"/>
  <c r="BT61" i="1" s="1"/>
  <c r="W50" i="8"/>
  <c r="AH15" i="48"/>
  <c r="I12" i="36"/>
  <c r="CF125" i="1"/>
  <c r="U258" i="2"/>
  <c r="Z258" i="2" s="1"/>
  <c r="X140" i="2"/>
  <c r="AC140" i="2" s="1"/>
  <c r="AD140" i="2" s="1"/>
  <c r="X46" i="2"/>
  <c r="P46" i="2"/>
  <c r="Q46" i="2" s="1"/>
  <c r="AE69" i="8"/>
  <c r="AE68" i="8" s="1"/>
  <c r="W61" i="8"/>
  <c r="L39" i="8"/>
  <c r="DF39" i="8" s="1"/>
  <c r="AA46" i="8"/>
  <c r="M63" i="8"/>
  <c r="DG63" i="8" s="1"/>
  <c r="EI63" i="8" s="1"/>
  <c r="K65" i="8"/>
  <c r="DE65" i="8" s="1"/>
  <c r="EG65" i="8" s="1"/>
  <c r="CE40" i="1"/>
  <c r="AC35" i="8"/>
  <c r="O44" i="8"/>
  <c r="DI44" i="8" s="1"/>
  <c r="EK44" i="8" s="1"/>
  <c r="O49" i="8"/>
  <c r="DI49" i="8" s="1"/>
  <c r="EK49" i="8" s="1"/>
  <c r="S204" i="1"/>
  <c r="DM204" i="1" s="1"/>
  <c r="EO204" i="1" s="1"/>
  <c r="CG174" i="1"/>
  <c r="AC140" i="1"/>
  <c r="AC88" i="1"/>
  <c r="P92" i="1"/>
  <c r="DJ92" i="1" s="1"/>
  <c r="X164" i="2"/>
  <c r="Y43" i="8"/>
  <c r="W65" i="8"/>
  <c r="AI10" i="48"/>
  <c r="AD92" i="1"/>
  <c r="X128" i="2"/>
  <c r="V60" i="8"/>
  <c r="K64" i="8"/>
  <c r="DE64" i="8" s="1"/>
  <c r="EG64" i="8" s="1"/>
  <c r="I33" i="8"/>
  <c r="DC33" i="8" s="1"/>
  <c r="U293" i="2"/>
  <c r="V293" i="2" s="1"/>
  <c r="U336" i="2"/>
  <c r="V336" i="2" s="1"/>
  <c r="U370" i="2"/>
  <c r="Z370" i="2" s="1"/>
  <c r="I35" i="20" s="1"/>
  <c r="U352" i="2"/>
  <c r="V352" i="2" s="1"/>
  <c r="DW217" i="1"/>
  <c r="DT217" i="1" s="1"/>
  <c r="O37" i="8"/>
  <c r="DI37" i="8" s="1"/>
  <c r="EK37" i="8" s="1"/>
  <c r="AE50" i="8"/>
  <c r="Y65" i="8"/>
  <c r="AC49" i="8"/>
  <c r="AG97" i="1"/>
  <c r="AJ177" i="1"/>
  <c r="AD12" i="1"/>
  <c r="G23" i="8"/>
  <c r="DA23" i="8" s="1"/>
  <c r="EC23" i="8" s="1"/>
  <c r="AC145" i="1"/>
  <c r="CH15" i="1"/>
  <c r="X250" i="2"/>
  <c r="M187" i="1"/>
  <c r="DG187" i="1" s="1"/>
  <c r="EI187" i="1" s="1"/>
  <c r="X9" i="2"/>
  <c r="AD9" i="2" s="1"/>
  <c r="AA40" i="1"/>
  <c r="BC40" i="1" s="1"/>
  <c r="BQ40" i="1" s="1"/>
  <c r="U206" i="2"/>
  <c r="Z206" i="2" s="1"/>
  <c r="CE83" i="1"/>
  <c r="X189" i="2"/>
  <c r="AC189" i="2" s="1"/>
  <c r="AD189" i="2" s="1"/>
  <c r="DX34" i="1"/>
  <c r="EL34" i="1" s="1"/>
  <c r="V10" i="8"/>
  <c r="E17" i="62"/>
  <c r="BZ10" i="8"/>
  <c r="H45" i="8"/>
  <c r="DB45" i="8" s="1"/>
  <c r="BZ45" i="8"/>
  <c r="G15" i="62"/>
  <c r="E62" i="22"/>
  <c r="O39" i="1"/>
  <c r="DI39" i="1" s="1"/>
  <c r="CG39" i="1"/>
  <c r="N204" i="1"/>
  <c r="DH204" i="1" s="1"/>
  <c r="EJ204" i="1" s="1"/>
  <c r="CF204" i="1"/>
  <c r="DH184" i="1"/>
  <c r="EJ184" i="1" s="1"/>
  <c r="BD184" i="1"/>
  <c r="BR184" i="1" s="1"/>
  <c r="AA136" i="1"/>
  <c r="CE136" i="1"/>
  <c r="M54" i="1"/>
  <c r="DG54" i="1" s="1"/>
  <c r="EI54" i="1" s="1"/>
  <c r="CE54" i="1"/>
  <c r="O13" i="1"/>
  <c r="DI13" i="1" s="1"/>
  <c r="K49" i="36" s="1"/>
  <c r="AH10" i="48"/>
  <c r="M118" i="1"/>
  <c r="DG118" i="1" s="1"/>
  <c r="EI118" i="1" s="1"/>
  <c r="AA118" i="1"/>
  <c r="P291" i="2"/>
  <c r="Q291" i="2" s="1"/>
  <c r="U291" i="2"/>
  <c r="V291" i="2" s="1"/>
  <c r="U270" i="2"/>
  <c r="Z270" i="2" s="1"/>
  <c r="X270" i="2"/>
  <c r="DY83" i="1" s="1"/>
  <c r="DT83" i="1" s="1"/>
  <c r="X254" i="2"/>
  <c r="U254" i="2"/>
  <c r="Z254" i="2" s="1"/>
  <c r="U238" i="2"/>
  <c r="P238" i="2"/>
  <c r="Q238" i="2" s="1"/>
  <c r="X217" i="2"/>
  <c r="P217" i="2"/>
  <c r="Q217" i="2" s="1"/>
  <c r="AC180" i="2"/>
  <c r="AD180" i="2" s="1"/>
  <c r="DW94" i="1"/>
  <c r="EK94" i="1" s="1"/>
  <c r="X138" i="2"/>
  <c r="AC138" i="2" s="1"/>
  <c r="AD138" i="2" s="1"/>
  <c r="U138" i="2"/>
  <c r="Z138" i="2" s="1"/>
  <c r="F36" i="20" s="1"/>
  <c r="I37" i="8"/>
  <c r="DC37" i="8" s="1"/>
  <c r="EE37" i="8" s="1"/>
  <c r="CA37" i="8"/>
  <c r="P212" i="1"/>
  <c r="DJ212" i="1" s="1"/>
  <c r="EL212" i="1" s="1"/>
  <c r="AD212" i="1"/>
  <c r="Q96" i="1"/>
  <c r="DK96" i="1" s="1"/>
  <c r="EM96" i="1" s="1"/>
  <c r="AE96" i="1"/>
  <c r="T147" i="1"/>
  <c r="BJ147" i="1" s="1"/>
  <c r="BX147" i="1" s="1"/>
  <c r="CL147" i="1"/>
  <c r="AA8" i="8"/>
  <c r="J16" i="62"/>
  <c r="CI36" i="8"/>
  <c r="AE36" i="8"/>
  <c r="CJ60" i="8"/>
  <c r="R60" i="8"/>
  <c r="DL60" i="8" s="1"/>
  <c r="EN60" i="8" s="1"/>
  <c r="E61" i="22"/>
  <c r="G18" i="62"/>
  <c r="CL156" i="1"/>
  <c r="T156" i="1"/>
  <c r="DN156" i="1" s="1"/>
  <c r="EP156" i="1" s="1"/>
  <c r="AC166" i="1"/>
  <c r="CG166" i="1"/>
  <c r="K18" i="36"/>
  <c r="O10" i="1"/>
  <c r="DI10" i="1" s="1"/>
  <c r="EK10" i="1" s="1"/>
  <c r="AC10" i="1"/>
  <c r="CT115" i="1"/>
  <c r="AB54" i="1"/>
  <c r="CF54" i="1"/>
  <c r="CH197" i="1"/>
  <c r="P197" i="1"/>
  <c r="DJ197" i="1" s="1"/>
  <c r="EL197" i="1" s="1"/>
  <c r="P269" i="2"/>
  <c r="Q269" i="2" s="1"/>
  <c r="X269" i="2"/>
  <c r="DS69" i="8" s="1"/>
  <c r="DS68" i="8" s="1"/>
  <c r="X77" i="2"/>
  <c r="DV175" i="1" s="1"/>
  <c r="EJ175" i="1" s="1"/>
  <c r="AB175" i="1"/>
  <c r="BD175" i="1" s="1"/>
  <c r="BR175" i="1" s="1"/>
  <c r="X379" i="2"/>
  <c r="P379" i="2"/>
  <c r="Q379" i="2" s="1"/>
  <c r="X358" i="2"/>
  <c r="P358" i="2"/>
  <c r="Q358" i="2" s="1"/>
  <c r="AF170" i="1"/>
  <c r="U342" i="2"/>
  <c r="Z342" i="2" s="1"/>
  <c r="P342" i="2"/>
  <c r="Q342" i="2" s="1"/>
  <c r="X326" i="2"/>
  <c r="U326" i="2"/>
  <c r="Z326" i="2" s="1"/>
  <c r="P326" i="2"/>
  <c r="Q326" i="2" s="1"/>
  <c r="W6" i="44"/>
  <c r="EJ117" i="1"/>
  <c r="CH12" i="8"/>
  <c r="AC11" i="44"/>
  <c r="BY62" i="8"/>
  <c r="G62" i="8"/>
  <c r="DA62" i="8" s="1"/>
  <c r="EC62" i="8" s="1"/>
  <c r="CD65" i="8"/>
  <c r="L65" i="8"/>
  <c r="DF65" i="8" s="1"/>
  <c r="I7" i="8"/>
  <c r="DC7" i="8" s="1"/>
  <c r="O45" i="22" s="1"/>
  <c r="G45" i="22" s="1"/>
  <c r="E45" i="22"/>
  <c r="AD175" i="1"/>
  <c r="BF175" i="1" s="1"/>
  <c r="BT175" i="1" s="1"/>
  <c r="U198" i="2"/>
  <c r="P198" i="2"/>
  <c r="Q198" i="2" s="1"/>
  <c r="X34" i="8"/>
  <c r="P176" i="2"/>
  <c r="Q176" i="2" s="1"/>
  <c r="X176" i="2"/>
  <c r="DQ34" i="8" s="1"/>
  <c r="P92" i="2"/>
  <c r="Q92" i="2" s="1"/>
  <c r="AB77" i="1"/>
  <c r="BD77" i="1" s="1"/>
  <c r="BR77" i="1" s="1"/>
  <c r="U92" i="2"/>
  <c r="V92" i="2" s="1"/>
  <c r="X92" i="2"/>
  <c r="AC92" i="2" s="1"/>
  <c r="AD92" i="2" s="1"/>
  <c r="V26" i="8"/>
  <c r="U59" i="2"/>
  <c r="X59" i="2"/>
  <c r="AC59" i="2" s="1"/>
  <c r="AD59" i="2" s="1"/>
  <c r="P59" i="2"/>
  <c r="Q59" i="2" s="1"/>
  <c r="CO194" i="1"/>
  <c r="W194" i="1"/>
  <c r="DQ194" i="1" s="1"/>
  <c r="ES194" i="1" s="1"/>
  <c r="O33" i="8"/>
  <c r="DI33" i="8" s="1"/>
  <c r="EK33" i="8" s="1"/>
  <c r="CC11" i="8"/>
  <c r="U62" i="2"/>
  <c r="Z62" i="2" s="1"/>
  <c r="DW161" i="1"/>
  <c r="EK161" i="1" s="1"/>
  <c r="AA12" i="44"/>
  <c r="N13" i="8"/>
  <c r="DH13" i="8" s="1"/>
  <c r="EJ13" i="8" s="1"/>
  <c r="J12" i="44" s="1"/>
  <c r="CI24" i="8"/>
  <c r="AE24" i="8"/>
  <c r="CG30" i="8"/>
  <c r="CU29" i="8"/>
  <c r="H42" i="8"/>
  <c r="AX42" i="8" s="1"/>
  <c r="BL42" i="8" s="1"/>
  <c r="V42" i="8"/>
  <c r="CB44" i="8"/>
  <c r="J44" i="8"/>
  <c r="DD44" i="8" s="1"/>
  <c r="BY61" i="8"/>
  <c r="U61" i="8"/>
  <c r="CF62" i="8"/>
  <c r="N62" i="8"/>
  <c r="DH62" i="8" s="1"/>
  <c r="EJ62" i="8" s="1"/>
  <c r="BZ69" i="8"/>
  <c r="BZ68" i="8" s="1"/>
  <c r="V69" i="8"/>
  <c r="H69" i="8"/>
  <c r="DB69" i="8" s="1"/>
  <c r="ED69" i="8" s="1"/>
  <c r="AC116" i="1"/>
  <c r="CG116" i="1"/>
  <c r="DS11" i="8"/>
  <c r="P81" i="22" s="1"/>
  <c r="H81" i="22" s="1"/>
  <c r="U197" i="2"/>
  <c r="Z197" i="2" s="1"/>
  <c r="AD128" i="1"/>
  <c r="P197" i="2"/>
  <c r="Q197" i="2" s="1"/>
  <c r="P58" i="2"/>
  <c r="Q58" i="2" s="1"/>
  <c r="U58" i="2"/>
  <c r="Z58" i="2" s="1"/>
  <c r="P9" i="2"/>
  <c r="Q9" i="2" s="1"/>
  <c r="AA90" i="1"/>
  <c r="CB47" i="8"/>
  <c r="J47" i="8"/>
  <c r="DD47" i="8" s="1"/>
  <c r="EF47" i="8" s="1"/>
  <c r="X47" i="8"/>
  <c r="U64" i="8"/>
  <c r="BY64" i="8"/>
  <c r="CF37" i="1"/>
  <c r="K11" i="8"/>
  <c r="DE11" i="8" s="1"/>
  <c r="O81" i="22" s="1"/>
  <c r="G81" i="22" s="1"/>
  <c r="N97" i="1"/>
  <c r="DH97" i="1" s="1"/>
  <c r="EJ97" i="1" s="1"/>
  <c r="G64" i="8"/>
  <c r="DA64" i="8" s="1"/>
  <c r="EC64" i="8" s="1"/>
  <c r="Q33" i="8"/>
  <c r="DK33" i="8" s="1"/>
  <c r="EM33" i="8" s="1"/>
  <c r="CI33" i="8"/>
  <c r="AD7" i="8"/>
  <c r="CH7" i="8"/>
  <c r="E29" i="22"/>
  <c r="H7" i="8"/>
  <c r="DB7" i="8" s="1"/>
  <c r="O29" i="22" s="1"/>
  <c r="G29" i="22" s="1"/>
  <c r="U278" i="2"/>
  <c r="V278" i="2" s="1"/>
  <c r="X278" i="2"/>
  <c r="DS43" i="8" s="1"/>
  <c r="X36" i="8"/>
  <c r="U234" i="2"/>
  <c r="V234" i="2" s="1"/>
  <c r="X213" i="2"/>
  <c r="AC213" i="2" s="1"/>
  <c r="AD213" i="2" s="1"/>
  <c r="U213" i="2"/>
  <c r="Z213" i="2" s="1"/>
  <c r="U196" i="2"/>
  <c r="P196" i="2"/>
  <c r="Q196" i="2" s="1"/>
  <c r="X196" i="2"/>
  <c r="DX211" i="1" s="1"/>
  <c r="X127" i="2"/>
  <c r="P127" i="2"/>
  <c r="Q127" i="2" s="1"/>
  <c r="V65" i="8"/>
  <c r="P57" i="2"/>
  <c r="Q57" i="2" s="1"/>
  <c r="X57" i="2"/>
  <c r="DV53" i="1" s="1"/>
  <c r="EJ53" i="1" s="1"/>
  <c r="CE42" i="8"/>
  <c r="AA42" i="8"/>
  <c r="X377" i="2"/>
  <c r="DZ109" i="1" s="1"/>
  <c r="CA24" i="8"/>
  <c r="CH142" i="1"/>
  <c r="R61" i="8"/>
  <c r="BH61" i="8" s="1"/>
  <c r="BV61" i="8" s="1"/>
  <c r="AH25" i="48"/>
  <c r="AC111" i="1"/>
  <c r="CG75" i="1"/>
  <c r="O75" i="1"/>
  <c r="DI75" i="1" s="1"/>
  <c r="O6" i="1"/>
  <c r="DI6" i="1" s="1"/>
  <c r="CG6" i="1"/>
  <c r="CF196" i="1"/>
  <c r="N196" i="1"/>
  <c r="DH196" i="1" s="1"/>
  <c r="EJ196" i="1" s="1"/>
  <c r="CE130" i="1"/>
  <c r="M130" i="1"/>
  <c r="DG130" i="1" s="1"/>
  <c r="I10" i="36"/>
  <c r="BY33" i="8"/>
  <c r="G33" i="8"/>
  <c r="DA33" i="8" s="1"/>
  <c r="I24" i="8"/>
  <c r="DC24" i="8" s="1"/>
  <c r="EE24" i="8" s="1"/>
  <c r="X28" i="2"/>
  <c r="U178" i="2"/>
  <c r="V178" i="2" s="1"/>
  <c r="P178" i="2"/>
  <c r="Q178" i="2" s="1"/>
  <c r="CI31" i="8"/>
  <c r="Q31" i="8"/>
  <c r="DK31" i="8" s="1"/>
  <c r="EM31" i="8" s="1"/>
  <c r="L61" i="8"/>
  <c r="DF61" i="8" s="1"/>
  <c r="EH61" i="8" s="1"/>
  <c r="CD61" i="8"/>
  <c r="O7" i="8"/>
  <c r="BE7" i="8" s="1"/>
  <c r="BS7" i="8" s="1"/>
  <c r="CG7" i="8"/>
  <c r="U179" i="2"/>
  <c r="V179" i="2" s="1"/>
  <c r="P179" i="2"/>
  <c r="Q179" i="2" s="1"/>
  <c r="P133" i="2"/>
  <c r="Q133" i="2" s="1"/>
  <c r="U133" i="2"/>
  <c r="Z133" i="2" s="1"/>
  <c r="CJ227" i="1"/>
  <c r="R227" i="1"/>
  <c r="BH227" i="1" s="1"/>
  <c r="BV227" i="1" s="1"/>
  <c r="P78" i="1"/>
  <c r="DJ78" i="1" s="1"/>
  <c r="CH78" i="1"/>
  <c r="AD78" i="1"/>
  <c r="K15" i="36"/>
  <c r="CG160" i="1"/>
  <c r="N71" i="1"/>
  <c r="AB71" i="1"/>
  <c r="AB16" i="1"/>
  <c r="CF16" i="1"/>
  <c r="N16" i="1"/>
  <c r="DH16" i="1" s="1"/>
  <c r="EJ16" i="1" s="1"/>
  <c r="AA176" i="1"/>
  <c r="M176" i="1"/>
  <c r="DG176" i="1" s="1"/>
  <c r="EI176" i="1" s="1"/>
  <c r="M26" i="1"/>
  <c r="CE26" i="1"/>
  <c r="AA26" i="1"/>
  <c r="X232" i="2"/>
  <c r="U232" i="2"/>
  <c r="V232" i="2" s="1"/>
  <c r="AB39" i="8"/>
  <c r="CF39" i="8"/>
  <c r="AD224" i="1"/>
  <c r="AG177" i="1"/>
  <c r="P188" i="1"/>
  <c r="DJ188" i="1" s="1"/>
  <c r="EL188" i="1" s="1"/>
  <c r="X359" i="2"/>
  <c r="BH140" i="1"/>
  <c r="BV140" i="1" s="1"/>
  <c r="DL140" i="1"/>
  <c r="EN140" i="1" s="1"/>
  <c r="K9" i="8"/>
  <c r="DE9" i="8" s="1"/>
  <c r="O79" i="22" s="1"/>
  <c r="G79" i="22" s="1"/>
  <c r="Y25" i="8"/>
  <c r="G6" i="8"/>
  <c r="DA6" i="8" s="1"/>
  <c r="CE162" i="1"/>
  <c r="CJ7" i="8"/>
  <c r="AE6" i="44"/>
  <c r="AF7" i="8"/>
  <c r="O15" i="62"/>
  <c r="G154" i="35"/>
  <c r="CK156" i="1"/>
  <c r="S156" i="1"/>
  <c r="DM156" i="1" s="1"/>
  <c r="CH42" i="1"/>
  <c r="P42" i="1"/>
  <c r="DJ42" i="1" s="1"/>
  <c r="EL42" i="1" s="1"/>
  <c r="AD42" i="1"/>
  <c r="U33" i="8"/>
  <c r="AC82" i="1"/>
  <c r="X7" i="8"/>
  <c r="CB7" i="8"/>
  <c r="P15" i="8"/>
  <c r="BF15" i="8" s="1"/>
  <c r="BT15" i="8" s="1"/>
  <c r="P60" i="2"/>
  <c r="Q60" i="2" s="1"/>
  <c r="AC31" i="8"/>
  <c r="R7" i="8"/>
  <c r="DL7" i="8" s="1"/>
  <c r="EN7" i="8" s="1"/>
  <c r="N6" i="44" s="1"/>
  <c r="Q37" i="8"/>
  <c r="BG37" i="8" s="1"/>
  <c r="BU37" i="8" s="1"/>
  <c r="AB13" i="8"/>
  <c r="P327" i="2"/>
  <c r="Q327" i="2" s="1"/>
  <c r="CI6" i="8"/>
  <c r="N35" i="8"/>
  <c r="DH35" i="8" s="1"/>
  <c r="EJ35" i="8" s="1"/>
  <c r="CD47" i="8"/>
  <c r="J7" i="8"/>
  <c r="DD7" i="8" s="1"/>
  <c r="O62" i="22" s="1"/>
  <c r="G62" i="22" s="1"/>
  <c r="X31" i="8"/>
  <c r="AH22" i="48"/>
  <c r="AE31" i="8"/>
  <c r="AC25" i="1"/>
  <c r="CG34" i="1"/>
  <c r="X201" i="2"/>
  <c r="DX17" i="1" s="1"/>
  <c r="EL17" i="1" s="1"/>
  <c r="CH14" i="8"/>
  <c r="AD14" i="8"/>
  <c r="W153" i="1"/>
  <c r="BM153" i="1" s="1"/>
  <c r="CA153" i="1" s="1"/>
  <c r="CO153" i="1"/>
  <c r="X10" i="44"/>
  <c r="P14" i="8"/>
  <c r="BF14" i="8" s="1"/>
  <c r="BT14" i="8" s="1"/>
  <c r="CS22" i="8"/>
  <c r="P142" i="1"/>
  <c r="BF142" i="1" s="1"/>
  <c r="BT142" i="1" s="1"/>
  <c r="N39" i="8"/>
  <c r="X238" i="2"/>
  <c r="AC238" i="2" s="1"/>
  <c r="AD238" i="2" s="1"/>
  <c r="CG167" i="1"/>
  <c r="U28" i="2"/>
  <c r="Z28" i="2" s="1"/>
  <c r="V37" i="8"/>
  <c r="H37" i="8"/>
  <c r="DB37" i="8" s="1"/>
  <c r="ED37" i="8" s="1"/>
  <c r="U30" i="8"/>
  <c r="AB8" i="44"/>
  <c r="X24" i="8"/>
  <c r="AB44" i="1"/>
  <c r="CG10" i="8"/>
  <c r="P64" i="8"/>
  <c r="BF64" i="8" s="1"/>
  <c r="BT64" i="8" s="1"/>
  <c r="CW41" i="8"/>
  <c r="P343" i="2"/>
  <c r="Q343" i="2" s="1"/>
  <c r="Z327" i="2"/>
  <c r="DT52" i="8"/>
  <c r="EH52" i="8" s="1"/>
  <c r="X60" i="2"/>
  <c r="DV44" i="1" s="1"/>
  <c r="AC30" i="8"/>
  <c r="W42" i="28" s="1"/>
  <c r="W49" i="28" s="1"/>
  <c r="W50" i="28" s="1"/>
  <c r="CF13" i="8"/>
  <c r="CG81" i="1"/>
  <c r="AC134" i="1"/>
  <c r="P223" i="1"/>
  <c r="DJ223" i="1" s="1"/>
  <c r="BY32" i="8"/>
  <c r="CI25" i="8"/>
  <c r="AC13" i="44"/>
  <c r="AC143" i="1"/>
  <c r="O25" i="1"/>
  <c r="BE25" i="1" s="1"/>
  <c r="BS25" i="1" s="1"/>
  <c r="AF201" i="1"/>
  <c r="CO170" i="1"/>
  <c r="P94" i="2"/>
  <c r="Q94" i="2" s="1"/>
  <c r="CE153" i="1"/>
  <c r="AF12" i="8"/>
  <c r="CH203" i="1"/>
  <c r="U217" i="2"/>
  <c r="Z217" i="2" s="1"/>
  <c r="P113" i="2"/>
  <c r="Q113" i="2" s="1"/>
  <c r="CG186" i="1"/>
  <c r="CG76" i="1"/>
  <c r="AA8" i="1"/>
  <c r="AK153" i="1"/>
  <c r="AC76" i="1"/>
  <c r="AF61" i="8"/>
  <c r="O167" i="1"/>
  <c r="DI167" i="1" s="1"/>
  <c r="EK167" i="1" s="1"/>
  <c r="X12" i="2"/>
  <c r="AD12" i="2" s="1"/>
  <c r="AA114" i="1"/>
  <c r="BC114" i="1" s="1"/>
  <c r="BQ114" i="1" s="1"/>
  <c r="DZ123" i="1"/>
  <c r="T14" i="44"/>
  <c r="AG14" i="44" s="1"/>
  <c r="W7" i="8"/>
  <c r="O197" i="1"/>
  <c r="DI197" i="1" s="1"/>
  <c r="EK197" i="1" s="1"/>
  <c r="V9" i="8"/>
  <c r="P359" i="2"/>
  <c r="Q359" i="2" s="1"/>
  <c r="DZ179" i="1"/>
  <c r="EN179" i="1" s="1"/>
  <c r="CN68" i="8"/>
  <c r="X67" i="8"/>
  <c r="CX68" i="8"/>
  <c r="CE36" i="1"/>
  <c r="CG60" i="1"/>
  <c r="N54" i="1"/>
  <c r="BD54" i="1" s="1"/>
  <c r="BR54" i="1" s="1"/>
  <c r="X56" i="8"/>
  <c r="P62" i="8"/>
  <c r="BF62" i="8" s="1"/>
  <c r="BT62" i="8" s="1"/>
  <c r="N37" i="8"/>
  <c r="BD37" i="8" s="1"/>
  <c r="BR37" i="8" s="1"/>
  <c r="W26" i="8"/>
  <c r="O43" i="8"/>
  <c r="W69" i="8"/>
  <c r="W68" i="8" s="1"/>
  <c r="AE37" i="8"/>
  <c r="CH136" i="1"/>
  <c r="O143" i="1"/>
  <c r="DI143" i="1" s="1"/>
  <c r="EK143" i="1" s="1"/>
  <c r="AA66" i="1"/>
  <c r="P62" i="2"/>
  <c r="Q62" i="2" s="1"/>
  <c r="Z61" i="8"/>
  <c r="CE114" i="1"/>
  <c r="P138" i="2"/>
  <c r="Q138" i="2" s="1"/>
  <c r="CI46" i="8"/>
  <c r="AE46" i="8"/>
  <c r="Q46" i="8"/>
  <c r="DK46" i="8" s="1"/>
  <c r="EM46" i="8" s="1"/>
  <c r="P63" i="8"/>
  <c r="DJ63" i="8" s="1"/>
  <c r="EL63" i="8" s="1"/>
  <c r="V45" i="8"/>
  <c r="AA54" i="1"/>
  <c r="AD170" i="1"/>
  <c r="CE8" i="8"/>
  <c r="CF208" i="1"/>
  <c r="AG152" i="1"/>
  <c r="CK152" i="1"/>
  <c r="CJ192" i="1"/>
  <c r="L31" i="8"/>
  <c r="DF31" i="8" s="1"/>
  <c r="Y60" i="8"/>
  <c r="U227" i="2"/>
  <c r="V227" i="2" s="1"/>
  <c r="Z359" i="2"/>
  <c r="D18" i="62"/>
  <c r="I38" i="8"/>
  <c r="DC38" i="8" s="1"/>
  <c r="J21" i="36"/>
  <c r="U377" i="2"/>
  <c r="Z377" i="2" s="1"/>
  <c r="M99" i="60" s="1"/>
  <c r="M23" i="8"/>
  <c r="DG23" i="8" s="1"/>
  <c r="EI23" i="8" s="1"/>
  <c r="CC56" i="8"/>
  <c r="AC44" i="8"/>
  <c r="AC10" i="8"/>
  <c r="AA32" i="8"/>
  <c r="P211" i="1"/>
  <c r="DJ211" i="1" s="1"/>
  <c r="CC35" i="8"/>
  <c r="AB14" i="8"/>
  <c r="U253" i="2"/>
  <c r="Z253" i="2" s="1"/>
  <c r="P136" i="1"/>
  <c r="DJ136" i="1" s="1"/>
  <c r="EL136" i="1" s="1"/>
  <c r="M66" i="1"/>
  <c r="DG66" i="1" s="1"/>
  <c r="X44" i="2"/>
  <c r="AD44" i="2" s="1"/>
  <c r="P78" i="2"/>
  <c r="Q78" i="2" s="1"/>
  <c r="U201" i="2"/>
  <c r="V201" i="2" s="1"/>
  <c r="AD63" i="8"/>
  <c r="K60" i="8"/>
  <c r="BA60" i="8" s="1"/>
  <c r="BO60" i="8" s="1"/>
  <c r="W62" i="8"/>
  <c r="CF184" i="1"/>
  <c r="Y11" i="8"/>
  <c r="AB208" i="1"/>
  <c r="J24" i="8"/>
  <c r="DD24" i="8" s="1"/>
  <c r="EF24" i="8" s="1"/>
  <c r="U9" i="44"/>
  <c r="J31" i="8"/>
  <c r="DD31" i="8" s="1"/>
  <c r="F15" i="62"/>
  <c r="L45" i="8"/>
  <c r="DF45" i="8" s="1"/>
  <c r="Z49" i="8"/>
  <c r="X227" i="2"/>
  <c r="AC227" i="2" s="1"/>
  <c r="AD227" i="2" s="1"/>
  <c r="L15" i="8"/>
  <c r="BB15" i="8" s="1"/>
  <c r="BP15" i="8" s="1"/>
  <c r="Y5" i="44"/>
  <c r="Q47" i="8"/>
  <c r="DK47" i="8" s="1"/>
  <c r="EM47" i="8" s="1"/>
  <c r="BH192" i="1"/>
  <c r="BV192" i="1" s="1"/>
  <c r="CK111" i="1"/>
  <c r="U191" i="1"/>
  <c r="DO191" i="1" s="1"/>
  <c r="EQ191" i="1" s="1"/>
  <c r="CG38" i="1"/>
  <c r="I13" i="36"/>
  <c r="AC9" i="8"/>
  <c r="AB65" i="8"/>
  <c r="AB18" i="8"/>
  <c r="W27" i="8"/>
  <c r="AY27" i="8" s="1"/>
  <c r="BM27" i="8" s="1"/>
  <c r="R12" i="8"/>
  <c r="BH12" i="8" s="1"/>
  <c r="BV12" i="8" s="1"/>
  <c r="R31" i="8"/>
  <c r="BH31" i="8" s="1"/>
  <c r="BV31" i="8" s="1"/>
  <c r="AE49" i="8"/>
  <c r="K35" i="8"/>
  <c r="DE35" i="8" s="1"/>
  <c r="AE167" i="1"/>
  <c r="CL205" i="1"/>
  <c r="P62" i="1"/>
  <c r="BF62" i="1" s="1"/>
  <c r="BT62" i="1" s="1"/>
  <c r="AA35" i="1"/>
  <c r="CF80" i="1"/>
  <c r="P44" i="2"/>
  <c r="Q44" i="2" s="1"/>
  <c r="U78" i="2"/>
  <c r="V78" i="2" s="1"/>
  <c r="P270" i="2"/>
  <c r="Q270" i="2" s="1"/>
  <c r="DX174" i="1"/>
  <c r="CF56" i="8"/>
  <c r="N56" i="8"/>
  <c r="DH56" i="8" s="1"/>
  <c r="EJ56" i="8" s="1"/>
  <c r="V13" i="8"/>
  <c r="U12" i="44"/>
  <c r="H13" i="8"/>
  <c r="DB13" i="8" s="1"/>
  <c r="ED13" i="8" s="1"/>
  <c r="D12" i="44" s="1"/>
  <c r="CI8" i="8"/>
  <c r="Q8" i="8"/>
  <c r="BG8" i="8" s="1"/>
  <c r="BU8" i="8" s="1"/>
  <c r="AE8" i="8"/>
  <c r="CD38" i="8"/>
  <c r="CG36" i="8"/>
  <c r="O36" i="8"/>
  <c r="DI36" i="8" s="1"/>
  <c r="EK36" i="8" s="1"/>
  <c r="AF34" i="8"/>
  <c r="R34" i="8"/>
  <c r="BH34" i="8" s="1"/>
  <c r="BV34" i="8" s="1"/>
  <c r="H48" i="8"/>
  <c r="DB48" i="8" s="1"/>
  <c r="V48" i="8"/>
  <c r="CB50" i="8"/>
  <c r="J50" i="8"/>
  <c r="AZ50" i="8" s="1"/>
  <c r="BN50" i="8" s="1"/>
  <c r="CC43" i="8"/>
  <c r="K43" i="8"/>
  <c r="DE43" i="8" s="1"/>
  <c r="Y63" i="8"/>
  <c r="K63" i="8"/>
  <c r="DE63" i="8" s="1"/>
  <c r="EG63" i="8" s="1"/>
  <c r="CC63" i="8"/>
  <c r="AD67" i="8"/>
  <c r="P67" i="8"/>
  <c r="DJ67" i="8" s="1"/>
  <c r="EL67" i="8" s="1"/>
  <c r="CH67" i="8"/>
  <c r="AF64" i="8"/>
  <c r="CJ64" i="8"/>
  <c r="P135" i="2"/>
  <c r="Q135" i="2" s="1"/>
  <c r="X135" i="2"/>
  <c r="DQ58" i="8" s="1"/>
  <c r="U135" i="2"/>
  <c r="Z135" i="2" s="1"/>
  <c r="CP54" i="1"/>
  <c r="AL54" i="1"/>
  <c r="P128" i="1"/>
  <c r="DJ128" i="1" s="1"/>
  <c r="CH128" i="1"/>
  <c r="AD67" i="1"/>
  <c r="P67" i="1"/>
  <c r="BF67" i="1" s="1"/>
  <c r="BT67" i="1" s="1"/>
  <c r="AI19" i="48"/>
  <c r="CG189" i="1"/>
  <c r="O189" i="1"/>
  <c r="DI189" i="1" s="1"/>
  <c r="AC189" i="1"/>
  <c r="O214" i="1"/>
  <c r="DI214" i="1" s="1"/>
  <c r="EK214" i="1" s="1"/>
  <c r="AC214" i="1"/>
  <c r="CG44" i="1"/>
  <c r="AC44" i="1"/>
  <c r="BE44" i="1" s="1"/>
  <c r="BS44" i="1" s="1"/>
  <c r="AC20" i="1"/>
  <c r="AH13" i="48"/>
  <c r="DH122" i="1"/>
  <c r="J57" i="36" s="1"/>
  <c r="J105" i="36" s="1"/>
  <c r="BD122" i="1"/>
  <c r="BR122" i="1" s="1"/>
  <c r="M205" i="1"/>
  <c r="DG205" i="1" s="1"/>
  <c r="EI205" i="1" s="1"/>
  <c r="CE205" i="1"/>
  <c r="DG209" i="1"/>
  <c r="EI209" i="1" s="1"/>
  <c r="BC209" i="1"/>
  <c r="BQ209" i="1" s="1"/>
  <c r="CF118" i="1"/>
  <c r="AB118" i="1"/>
  <c r="N118" i="1"/>
  <c r="DH118" i="1" s="1"/>
  <c r="EJ118" i="1" s="1"/>
  <c r="U275" i="2"/>
  <c r="P275" i="2"/>
  <c r="Q275" i="2" s="1"/>
  <c r="U241" i="2"/>
  <c r="X241" i="2"/>
  <c r="DX25" i="1" s="1"/>
  <c r="AI119" i="48" s="1"/>
  <c r="P241" i="2"/>
  <c r="Q241" i="2" s="1"/>
  <c r="P159" i="2"/>
  <c r="Q159" i="2" s="1"/>
  <c r="X159" i="2"/>
  <c r="X97" i="2"/>
  <c r="AC97" i="2" s="1"/>
  <c r="AD97" i="2" s="1"/>
  <c r="U97" i="2"/>
  <c r="V97" i="2" s="1"/>
  <c r="P97" i="2"/>
  <c r="Q97" i="2" s="1"/>
  <c r="X81" i="2"/>
  <c r="AC81" i="2" s="1"/>
  <c r="AD81" i="2" s="1"/>
  <c r="U81" i="2"/>
  <c r="Z81" i="2" s="1"/>
  <c r="X65" i="2"/>
  <c r="AC65" i="2" s="1"/>
  <c r="AD65" i="2" s="1"/>
  <c r="P65" i="2"/>
  <c r="Q65" i="2" s="1"/>
  <c r="V33" i="8"/>
  <c r="U15" i="2"/>
  <c r="X15" i="2"/>
  <c r="AD15" i="2" s="1"/>
  <c r="AA56" i="8"/>
  <c r="BC56" i="8" s="1"/>
  <c r="BQ56" i="8" s="1"/>
  <c r="CE56" i="8"/>
  <c r="P18" i="8"/>
  <c r="DJ18" i="8" s="1"/>
  <c r="CH18" i="8"/>
  <c r="AA11" i="8"/>
  <c r="CH24" i="8"/>
  <c r="P24" i="8"/>
  <c r="DJ24" i="8" s="1"/>
  <c r="EL24" i="8" s="1"/>
  <c r="CB33" i="8"/>
  <c r="J33" i="8"/>
  <c r="DD33" i="8" s="1"/>
  <c r="EF33" i="8" s="1"/>
  <c r="M31" i="8"/>
  <c r="BC31" i="8" s="1"/>
  <c r="BQ31" i="8" s="1"/>
  <c r="AA31" i="8"/>
  <c r="CI39" i="8"/>
  <c r="Q39" i="8"/>
  <c r="DK39" i="8" s="1"/>
  <c r="EM39" i="8" s="1"/>
  <c r="CG46" i="8"/>
  <c r="AC46" i="8"/>
  <c r="O46" i="8"/>
  <c r="DI46" i="8" s="1"/>
  <c r="EK46" i="8" s="1"/>
  <c r="Q48" i="8"/>
  <c r="DK48" i="8" s="1"/>
  <c r="EM48" i="8" s="1"/>
  <c r="CI48" i="8"/>
  <c r="AE48" i="8"/>
  <c r="CJ63" i="8"/>
  <c r="AF63" i="8"/>
  <c r="X226" i="2"/>
  <c r="X43" i="8"/>
  <c r="DH186" i="1"/>
  <c r="EJ186" i="1" s="1"/>
  <c r="BD186" i="1"/>
  <c r="BR186" i="1" s="1"/>
  <c r="N167" i="1"/>
  <c r="BD167" i="1" s="1"/>
  <c r="BR167" i="1" s="1"/>
  <c r="CF167" i="1"/>
  <c r="M204" i="1"/>
  <c r="DG204" i="1" s="1"/>
  <c r="EI204" i="1" s="1"/>
  <c r="CE204" i="1"/>
  <c r="M38" i="1"/>
  <c r="DG38" i="1" s="1"/>
  <c r="I51" i="36" s="1"/>
  <c r="AA38" i="1"/>
  <c r="O26" i="1"/>
  <c r="DI26" i="1" s="1"/>
  <c r="EK26" i="1" s="1"/>
  <c r="AC26" i="1"/>
  <c r="AA197" i="1"/>
  <c r="M197" i="1"/>
  <c r="DG197" i="1" s="1"/>
  <c r="EI197" i="1" s="1"/>
  <c r="CE197" i="1"/>
  <c r="P220" i="2"/>
  <c r="Q220" i="2" s="1"/>
  <c r="AD179" i="1"/>
  <c r="X182" i="2"/>
  <c r="DX162" i="1" s="1"/>
  <c r="EL162" i="1" s="1"/>
  <c r="P182" i="2"/>
  <c r="Q182" i="2" s="1"/>
  <c r="X96" i="2"/>
  <c r="DP47" i="8" s="1"/>
  <c r="DN47" i="8" s="1"/>
  <c r="AB159" i="1"/>
  <c r="BD159" i="1" s="1"/>
  <c r="BR159" i="1" s="1"/>
  <c r="X30" i="2"/>
  <c r="AD30" i="2" s="1"/>
  <c r="U30" i="2"/>
  <c r="V30" i="2" s="1"/>
  <c r="U39" i="8"/>
  <c r="U345" i="2"/>
  <c r="P345" i="2"/>
  <c r="Q345" i="2" s="1"/>
  <c r="U329" i="2"/>
  <c r="X329" i="2"/>
  <c r="DZ20" i="1" s="1"/>
  <c r="AK110" i="48" s="1"/>
  <c r="P329" i="2"/>
  <c r="Q329" i="2" s="1"/>
  <c r="CC12" i="8"/>
  <c r="Y12" i="8"/>
  <c r="CB25" i="8"/>
  <c r="X25" i="8"/>
  <c r="J25" i="8"/>
  <c r="DD25" i="8" s="1"/>
  <c r="CH23" i="8"/>
  <c r="CV22" i="8"/>
  <c r="AD23" i="8"/>
  <c r="BY34" i="8"/>
  <c r="G34" i="8"/>
  <c r="DA34" i="8" s="1"/>
  <c r="CD36" i="8"/>
  <c r="Z36" i="8"/>
  <c r="BB36" i="8" s="1"/>
  <c r="BP36" i="8" s="1"/>
  <c r="CG45" i="8"/>
  <c r="AC45" i="8"/>
  <c r="BE45" i="8" s="1"/>
  <c r="BS45" i="8" s="1"/>
  <c r="CA63" i="8"/>
  <c r="I63" i="8"/>
  <c r="DC63" i="8" s="1"/>
  <c r="EE63" i="8" s="1"/>
  <c r="CC61" i="8"/>
  <c r="Y61" i="8"/>
  <c r="K61" i="8"/>
  <c r="DE61" i="8" s="1"/>
  <c r="EG61" i="8" s="1"/>
  <c r="R62" i="8"/>
  <c r="DL62" i="8" s="1"/>
  <c r="EN62" i="8" s="1"/>
  <c r="CJ62" i="8"/>
  <c r="E77" i="22"/>
  <c r="K6" i="8"/>
  <c r="DE6" i="8" s="1"/>
  <c r="H18" i="62"/>
  <c r="P189" i="1"/>
  <c r="DJ189" i="1" s="1"/>
  <c r="EL189" i="1" s="1"/>
  <c r="AD189" i="1"/>
  <c r="CF205" i="1"/>
  <c r="AB205" i="1"/>
  <c r="AA183" i="1"/>
  <c r="M183" i="1"/>
  <c r="BC183" i="1" s="1"/>
  <c r="BQ183" i="1" s="1"/>
  <c r="M163" i="1"/>
  <c r="DG163" i="1" s="1"/>
  <c r="AA163" i="1"/>
  <c r="AA116" i="1"/>
  <c r="CE116" i="1"/>
  <c r="M116" i="1"/>
  <c r="DG116" i="1" s="1"/>
  <c r="EI116" i="1" s="1"/>
  <c r="M9" i="1"/>
  <c r="DG9" i="1" s="1"/>
  <c r="CE9" i="1"/>
  <c r="N56" i="1"/>
  <c r="DH56" i="1" s="1"/>
  <c r="EJ56" i="1" s="1"/>
  <c r="AB56" i="1"/>
  <c r="X181" i="2"/>
  <c r="P181" i="2"/>
  <c r="Q181" i="2" s="1"/>
  <c r="AD161" i="1"/>
  <c r="BF161" i="1" s="1"/>
  <c r="BT161" i="1" s="1"/>
  <c r="X45" i="8"/>
  <c r="U45" i="2"/>
  <c r="V45" i="2" s="1"/>
  <c r="AA95" i="1"/>
  <c r="BC95" i="1" s="1"/>
  <c r="BQ95" i="1" s="1"/>
  <c r="P381" i="2"/>
  <c r="Q381" i="2" s="1"/>
  <c r="X381" i="2"/>
  <c r="DZ40" i="1" s="1"/>
  <c r="AF108" i="1"/>
  <c r="Z27" i="8"/>
  <c r="AC179" i="1"/>
  <c r="AC17" i="1"/>
  <c r="AG189" i="1"/>
  <c r="AF164" i="1"/>
  <c r="DV111" i="1"/>
  <c r="AG122" i="48" s="1"/>
  <c r="DT33" i="8"/>
  <c r="DY49" i="1"/>
  <c r="DY39" i="1"/>
  <c r="M75" i="36" s="1"/>
  <c r="AE66" i="8"/>
  <c r="Q66" i="8"/>
  <c r="DK66" i="8" s="1"/>
  <c r="EM66" i="8" s="1"/>
  <c r="CB46" i="8"/>
  <c r="X46" i="8"/>
  <c r="AZ46" i="8" s="1"/>
  <c r="BN46" i="8" s="1"/>
  <c r="Z186" i="2"/>
  <c r="V186" i="2"/>
  <c r="N137" i="1"/>
  <c r="DH137" i="1" s="1"/>
  <c r="AB137" i="1"/>
  <c r="N36" i="1"/>
  <c r="CF36" i="1"/>
  <c r="AA201" i="1"/>
  <c r="M201" i="1"/>
  <c r="BC201" i="1" s="1"/>
  <c r="BQ201" i="1" s="1"/>
  <c r="U77" i="2"/>
  <c r="P77" i="2"/>
  <c r="Q77" i="2" s="1"/>
  <c r="AB42" i="1"/>
  <c r="BD42" i="1" s="1"/>
  <c r="BR42" i="1" s="1"/>
  <c r="CD33" i="8"/>
  <c r="L33" i="8"/>
  <c r="DF33" i="8" s="1"/>
  <c r="CG42" i="8"/>
  <c r="AC42" i="8"/>
  <c r="CH61" i="8"/>
  <c r="AD61" i="8"/>
  <c r="V6" i="44"/>
  <c r="CA7" i="8"/>
  <c r="X236" i="2"/>
  <c r="U236" i="2"/>
  <c r="Z236" i="2" s="1"/>
  <c r="P236" i="2"/>
  <c r="Q236" i="2" s="1"/>
  <c r="DT34" i="8"/>
  <c r="Z35" i="8"/>
  <c r="AF133" i="1"/>
  <c r="U383" i="2"/>
  <c r="P383" i="2"/>
  <c r="Q383" i="2" s="1"/>
  <c r="AF9" i="8"/>
  <c r="AE8" i="44"/>
  <c r="CF48" i="8"/>
  <c r="N48" i="8"/>
  <c r="BD48" i="8" s="1"/>
  <c r="BR48" i="8" s="1"/>
  <c r="CI43" i="8"/>
  <c r="AE43" i="8"/>
  <c r="CD64" i="8"/>
  <c r="L64" i="8"/>
  <c r="DF64" i="8" s="1"/>
  <c r="EH64" i="8" s="1"/>
  <c r="AB6" i="1"/>
  <c r="BD6" i="1" s="1"/>
  <c r="BR6" i="1" s="1"/>
  <c r="X25" i="2"/>
  <c r="AD25" i="2" s="1"/>
  <c r="P25" i="2"/>
  <c r="Q25" i="2" s="1"/>
  <c r="U356" i="2"/>
  <c r="X356" i="2"/>
  <c r="U324" i="2"/>
  <c r="P324" i="2"/>
  <c r="Q324" i="2" s="1"/>
  <c r="J65" i="8"/>
  <c r="DD65" i="8" s="1"/>
  <c r="EF65" i="8" s="1"/>
  <c r="CB65" i="8"/>
  <c r="U306" i="2"/>
  <c r="V306" i="2" s="1"/>
  <c r="X306" i="2"/>
  <c r="DY53" i="1" s="1"/>
  <c r="EM53" i="1" s="1"/>
  <c r="X234" i="2"/>
  <c r="DR36" i="8" s="1"/>
  <c r="P234" i="2"/>
  <c r="Q234" i="2" s="1"/>
  <c r="P40" i="2"/>
  <c r="Q40" i="2" s="1"/>
  <c r="U40" i="2"/>
  <c r="V40" i="2" s="1"/>
  <c r="U375" i="2"/>
  <c r="X375" i="2"/>
  <c r="U323" i="2"/>
  <c r="X323" i="2"/>
  <c r="AK25" i="48"/>
  <c r="AF111" i="1"/>
  <c r="H6" i="8"/>
  <c r="U5" i="44"/>
  <c r="AH5" i="44" s="1"/>
  <c r="H23" i="8"/>
  <c r="DB23" i="8" s="1"/>
  <c r="ED23" i="8" s="1"/>
  <c r="BZ23" i="8"/>
  <c r="V23" i="8"/>
  <c r="P8" i="8"/>
  <c r="DJ8" i="8" s="1"/>
  <c r="EL8" i="8" s="1"/>
  <c r="L7" i="44" s="1"/>
  <c r="AD8" i="8"/>
  <c r="O27" i="8"/>
  <c r="BE27" i="8" s="1"/>
  <c r="BS27" i="8" s="1"/>
  <c r="AC27" i="8"/>
  <c r="BY46" i="8"/>
  <c r="G46" i="8"/>
  <c r="AW46" i="8" s="1"/>
  <c r="BK46" i="8" s="1"/>
  <c r="U46" i="8"/>
  <c r="CC50" i="8"/>
  <c r="Y50" i="8"/>
  <c r="CG67" i="8"/>
  <c r="AC67" i="8"/>
  <c r="O67" i="8"/>
  <c r="DI67" i="8" s="1"/>
  <c r="EK67" i="8" s="1"/>
  <c r="P182" i="1"/>
  <c r="BF182" i="1" s="1"/>
  <c r="BT182" i="1" s="1"/>
  <c r="CH182" i="1"/>
  <c r="P114" i="1"/>
  <c r="BF114" i="1" s="1"/>
  <c r="BT114" i="1" s="1"/>
  <c r="AD114" i="1"/>
  <c r="CH53" i="1"/>
  <c r="P53" i="1"/>
  <c r="DJ53" i="1" s="1"/>
  <c r="AC180" i="1"/>
  <c r="CG180" i="1"/>
  <c r="O180" i="1"/>
  <c r="BE180" i="1" s="1"/>
  <c r="BS180" i="1" s="1"/>
  <c r="O74" i="1"/>
  <c r="DI74" i="1" s="1"/>
  <c r="EK74" i="1" s="1"/>
  <c r="CG74" i="1"/>
  <c r="N221" i="1"/>
  <c r="BD221" i="1" s="1"/>
  <c r="BR221" i="1" s="1"/>
  <c r="CF221" i="1"/>
  <c r="CE129" i="1"/>
  <c r="M129" i="1"/>
  <c r="DG129" i="1" s="1"/>
  <c r="P285" i="2"/>
  <c r="Q285" i="2" s="1"/>
  <c r="U285" i="2"/>
  <c r="V285" i="2" s="1"/>
  <c r="X150" i="2"/>
  <c r="P150" i="2"/>
  <c r="Q150" i="2" s="1"/>
  <c r="AC70" i="1"/>
  <c r="BE70" i="1" s="1"/>
  <c r="BS70" i="1" s="1"/>
  <c r="CG132" i="1"/>
  <c r="AC132" i="1"/>
  <c r="AB65" i="1"/>
  <c r="N65" i="1"/>
  <c r="DH65" i="1" s="1"/>
  <c r="X302" i="2"/>
  <c r="P302" i="2"/>
  <c r="Q302" i="2" s="1"/>
  <c r="X11" i="8"/>
  <c r="P10" i="8"/>
  <c r="BF10" i="8" s="1"/>
  <c r="BT10" i="8" s="1"/>
  <c r="M17" i="62"/>
  <c r="G15" i="8"/>
  <c r="DA15" i="8" s="1"/>
  <c r="AB66" i="8"/>
  <c r="AJ141" i="1"/>
  <c r="U32" i="8"/>
  <c r="X186" i="2"/>
  <c r="AC186" i="2" s="1"/>
  <c r="AD186" i="2" s="1"/>
  <c r="R97" i="1"/>
  <c r="DL97" i="1" s="1"/>
  <c r="EN97" i="1" s="1"/>
  <c r="AF97" i="1"/>
  <c r="H44" i="8"/>
  <c r="DB44" i="8" s="1"/>
  <c r="S99" i="1"/>
  <c r="DM99" i="1" s="1"/>
  <c r="EO99" i="1" s="1"/>
  <c r="AB10" i="44"/>
  <c r="R43" i="8"/>
  <c r="BH43" i="8" s="1"/>
  <c r="BV43" i="8" s="1"/>
  <c r="Q24" i="8"/>
  <c r="DK24" i="8" s="1"/>
  <c r="EM24" i="8" s="1"/>
  <c r="M32" i="8"/>
  <c r="DG32" i="8" s="1"/>
  <c r="EI32" i="8" s="1"/>
  <c r="AF62" i="8"/>
  <c r="R64" i="8"/>
  <c r="DL64" i="8" s="1"/>
  <c r="EN64" i="8" s="1"/>
  <c r="W67" i="8"/>
  <c r="CJ15" i="8"/>
  <c r="CH91" i="1"/>
  <c r="AC144" i="1"/>
  <c r="AB50" i="8"/>
  <c r="K7" i="8"/>
  <c r="DE7" i="8" s="1"/>
  <c r="O78" i="22" s="1"/>
  <c r="G78" i="22" s="1"/>
  <c r="CI47" i="8"/>
  <c r="Q45" i="8"/>
  <c r="BG45" i="8" s="1"/>
  <c r="BU45" i="8" s="1"/>
  <c r="X6" i="44"/>
  <c r="AC8" i="8"/>
  <c r="W35" i="8"/>
  <c r="AF42" i="8"/>
  <c r="W33" i="8"/>
  <c r="AB224" i="1"/>
  <c r="AD129" i="1"/>
  <c r="BF129" i="1" s="1"/>
  <c r="BT129" i="1" s="1"/>
  <c r="AA146" i="1"/>
  <c r="P36" i="1"/>
  <c r="DJ36" i="1" s="1"/>
  <c r="EL36" i="1" s="1"/>
  <c r="N149" i="1"/>
  <c r="BD149" i="1" s="1"/>
  <c r="BR149" i="1" s="1"/>
  <c r="X5" i="2"/>
  <c r="AD5" i="2" s="1"/>
  <c r="U202" i="2"/>
  <c r="V202" i="2" s="1"/>
  <c r="CO22" i="8"/>
  <c r="P186" i="2"/>
  <c r="Q186" i="2" s="1"/>
  <c r="M3" i="2"/>
  <c r="CG56" i="8"/>
  <c r="X224" i="2"/>
  <c r="DX167" i="1" s="1"/>
  <c r="DT167" i="1" s="1"/>
  <c r="DQ45" i="8"/>
  <c r="AD50" i="8"/>
  <c r="N25" i="8"/>
  <c r="DH25" i="8" s="1"/>
  <c r="EJ25" i="8" s="1"/>
  <c r="Z66" i="8"/>
  <c r="BB66" i="8" s="1"/>
  <c r="R42" i="8"/>
  <c r="DL42" i="8" s="1"/>
  <c r="EN42" i="8" s="1"/>
  <c r="Q49" i="8"/>
  <c r="DK49" i="8" s="1"/>
  <c r="EM49" i="8" s="1"/>
  <c r="AD24" i="8"/>
  <c r="X54" i="1"/>
  <c r="BN54" i="1" s="1"/>
  <c r="CB54" i="1" s="1"/>
  <c r="U62" i="8"/>
  <c r="R11" i="8"/>
  <c r="BH11" i="8" s="1"/>
  <c r="BV11" i="8" s="1"/>
  <c r="X50" i="8"/>
  <c r="AD64" i="8"/>
  <c r="H47" i="8"/>
  <c r="DB47" i="8" s="1"/>
  <c r="CE31" i="8"/>
  <c r="CC69" i="8"/>
  <c r="CC68" i="8" s="1"/>
  <c r="U153" i="1"/>
  <c r="BK153" i="1" s="1"/>
  <c r="BY153" i="1" s="1"/>
  <c r="P54" i="1"/>
  <c r="DJ54" i="1" s="1"/>
  <c r="CM190" i="1"/>
  <c r="U190" i="1"/>
  <c r="BK190" i="1" s="1"/>
  <c r="BY190" i="1" s="1"/>
  <c r="CE13" i="8"/>
  <c r="M13" i="8"/>
  <c r="BC13" i="8" s="1"/>
  <c r="BQ13" i="8" s="1"/>
  <c r="BZ31" i="8"/>
  <c r="BZ1" i="8" s="1"/>
  <c r="H31" i="8"/>
  <c r="DB31" i="8" s="1"/>
  <c r="J35" i="8"/>
  <c r="DD35" i="8" s="1"/>
  <c r="EF35" i="8" s="1"/>
  <c r="CB35" i="8"/>
  <c r="CI69" i="8"/>
  <c r="CI68" i="8" s="1"/>
  <c r="Q69" i="8"/>
  <c r="Q68" i="8" s="1"/>
  <c r="BG68" i="8" s="1"/>
  <c r="BU68" i="8" s="1"/>
  <c r="O215" i="1"/>
  <c r="DI215" i="1" s="1"/>
  <c r="AC215" i="1"/>
  <c r="CG215" i="1"/>
  <c r="CF188" i="1"/>
  <c r="N188" i="1"/>
  <c r="BD188" i="1" s="1"/>
  <c r="BR188" i="1" s="1"/>
  <c r="CF170" i="1"/>
  <c r="N170" i="1"/>
  <c r="DH170" i="1" s="1"/>
  <c r="EJ170" i="1" s="1"/>
  <c r="N142" i="1"/>
  <c r="DH142" i="1" s="1"/>
  <c r="EJ142" i="1" s="1"/>
  <c r="CF142" i="1"/>
  <c r="N84" i="1"/>
  <c r="CF84" i="1"/>
  <c r="AA167" i="1"/>
  <c r="M167" i="1"/>
  <c r="BC167" i="1" s="1"/>
  <c r="BQ167" i="1" s="1"/>
  <c r="AC56" i="1"/>
  <c r="CG56" i="1"/>
  <c r="U276" i="2"/>
  <c r="P276" i="2"/>
  <c r="Q276" i="2" s="1"/>
  <c r="P160" i="2"/>
  <c r="Q160" i="2" s="1"/>
  <c r="W42" i="8"/>
  <c r="P66" i="2"/>
  <c r="Q66" i="2" s="1"/>
  <c r="X66" i="2"/>
  <c r="DV129" i="1" s="1"/>
  <c r="Z32" i="2"/>
  <c r="V32" i="2"/>
  <c r="O10" i="8"/>
  <c r="L17" i="62"/>
  <c r="K14" i="8"/>
  <c r="DE14" i="8" s="1"/>
  <c r="EG14" i="8" s="1"/>
  <c r="G13" i="44" s="1"/>
  <c r="X13" i="44"/>
  <c r="CC14" i="8"/>
  <c r="CH30" i="8"/>
  <c r="AD30" i="8"/>
  <c r="X42" i="28" s="1"/>
  <c r="X49" i="28" s="1"/>
  <c r="X50" i="28" s="1"/>
  <c r="M61" i="8"/>
  <c r="CE61" i="8"/>
  <c r="CH216" i="1"/>
  <c r="AD216" i="1"/>
  <c r="CH22" i="1"/>
  <c r="AD22" i="1"/>
  <c r="O226" i="1"/>
  <c r="BE226" i="1" s="1"/>
  <c r="BS226" i="1" s="1"/>
  <c r="CG226" i="1"/>
  <c r="AC123" i="1"/>
  <c r="CG123" i="1"/>
  <c r="O86" i="1"/>
  <c r="DI86" i="1" s="1"/>
  <c r="EK86" i="1" s="1"/>
  <c r="AC86" i="1"/>
  <c r="AB169" i="1"/>
  <c r="CF169" i="1"/>
  <c r="CF141" i="1"/>
  <c r="N141" i="1"/>
  <c r="DH141" i="1" s="1"/>
  <c r="J56" i="36" s="1"/>
  <c r="M139" i="1"/>
  <c r="AA139" i="1"/>
  <c r="AA60" i="1"/>
  <c r="M60" i="1"/>
  <c r="DG60" i="1" s="1"/>
  <c r="AA11" i="1"/>
  <c r="CE11" i="1"/>
  <c r="CH13" i="1"/>
  <c r="P13" i="1"/>
  <c r="DJ13" i="1" s="1"/>
  <c r="L49" i="36" s="1"/>
  <c r="P294" i="2"/>
  <c r="Q294" i="2" s="1"/>
  <c r="U294" i="2"/>
  <c r="V294" i="2" s="1"/>
  <c r="U257" i="2"/>
  <c r="V257" i="2" s="1"/>
  <c r="X257" i="2"/>
  <c r="DY32" i="1" s="1"/>
  <c r="M64" i="36" s="1"/>
  <c r="P257" i="2"/>
  <c r="Q257" i="2" s="1"/>
  <c r="U221" i="2"/>
  <c r="P221" i="2"/>
  <c r="Q221" i="2" s="1"/>
  <c r="P204" i="2"/>
  <c r="Q204" i="2" s="1"/>
  <c r="X204" i="2"/>
  <c r="DX92" i="1" s="1"/>
  <c r="P187" i="2"/>
  <c r="Q187" i="2" s="1"/>
  <c r="X187" i="2"/>
  <c r="AC187" i="2" s="1"/>
  <c r="AD187" i="2" s="1"/>
  <c r="U47" i="2"/>
  <c r="X47" i="2"/>
  <c r="AC47" i="2" s="1"/>
  <c r="AD47" i="2" s="1"/>
  <c r="U31" i="2"/>
  <c r="X31" i="2"/>
  <c r="AD31" i="2" s="1"/>
  <c r="H134" i="35"/>
  <c r="K134" i="35" s="1"/>
  <c r="DZ175" i="1"/>
  <c r="CE25" i="8"/>
  <c r="M25" i="8"/>
  <c r="BC25" i="8" s="1"/>
  <c r="BQ25" i="8" s="1"/>
  <c r="CE60" i="8"/>
  <c r="AA60" i="8"/>
  <c r="N121" i="1"/>
  <c r="BD121" i="1" s="1"/>
  <c r="BR121" i="1" s="1"/>
  <c r="AB121" i="1"/>
  <c r="U240" i="2"/>
  <c r="X240" i="2"/>
  <c r="AC240" i="2" s="1"/>
  <c r="AD240" i="2" s="1"/>
  <c r="X203" i="2"/>
  <c r="AC203" i="2" s="1"/>
  <c r="AD203" i="2" s="1"/>
  <c r="U203" i="2"/>
  <c r="V203" i="2" s="1"/>
  <c r="U158" i="2"/>
  <c r="V158" i="2" s="1"/>
  <c r="X158" i="2"/>
  <c r="U64" i="2"/>
  <c r="V64" i="2" s="1"/>
  <c r="X64" i="2"/>
  <c r="DV40" i="1" s="1"/>
  <c r="EJ40" i="1" s="1"/>
  <c r="AF106" i="1"/>
  <c r="X361" i="2"/>
  <c r="DT66" i="8"/>
  <c r="EH66" i="8" s="1"/>
  <c r="H142" i="35"/>
  <c r="O142" i="35" s="1"/>
  <c r="H11" i="8"/>
  <c r="DB11" i="8" s="1"/>
  <c r="O32" i="22" s="1"/>
  <c r="G32" i="22" s="1"/>
  <c r="V11" i="8"/>
  <c r="CA25" i="8"/>
  <c r="W25" i="8"/>
  <c r="M10" i="8"/>
  <c r="DG10" i="8" s="1"/>
  <c r="EI10" i="8" s="1"/>
  <c r="I9" i="44" s="1"/>
  <c r="Z9" i="44"/>
  <c r="J32" i="8"/>
  <c r="DD32" i="8" s="1"/>
  <c r="EF32" i="8" s="1"/>
  <c r="X32" i="8"/>
  <c r="BZ46" i="8"/>
  <c r="V46" i="8"/>
  <c r="AX46" i="8" s="1"/>
  <c r="BL46" i="8" s="1"/>
  <c r="CB48" i="8"/>
  <c r="J48" i="8"/>
  <c r="AZ48" i="8" s="1"/>
  <c r="BN48" i="8" s="1"/>
  <c r="N139" i="1"/>
  <c r="DH139" i="1" s="1"/>
  <c r="AB139" i="1"/>
  <c r="CE137" i="1"/>
  <c r="M137" i="1"/>
  <c r="DG137" i="1" s="1"/>
  <c r="CE79" i="1"/>
  <c r="AA79" i="1"/>
  <c r="O93" i="1"/>
  <c r="DI93" i="1" s="1"/>
  <c r="EK93" i="1" s="1"/>
  <c r="CG93" i="1"/>
  <c r="X139" i="2"/>
  <c r="AC139" i="2" s="1"/>
  <c r="AD139" i="2" s="1"/>
  <c r="P139" i="2"/>
  <c r="Q139" i="2" s="1"/>
  <c r="V30" i="8"/>
  <c r="P42" i="28" s="1"/>
  <c r="P49" i="28" s="1"/>
  <c r="P50" i="28" s="1"/>
  <c r="P63" i="2"/>
  <c r="Q63" i="2" s="1"/>
  <c r="AB128" i="1"/>
  <c r="BD128" i="1" s="1"/>
  <c r="BR128" i="1" s="1"/>
  <c r="CA58" i="8"/>
  <c r="I58" i="8"/>
  <c r="DC58" i="8" s="1"/>
  <c r="AC146" i="1"/>
  <c r="BE146" i="1" s="1"/>
  <c r="BS146" i="1" s="1"/>
  <c r="DZ18" i="1"/>
  <c r="EN18" i="1" s="1"/>
  <c r="DZ94" i="1"/>
  <c r="DT26" i="8"/>
  <c r="Y6" i="8"/>
  <c r="S5" i="28" s="1"/>
  <c r="S13" i="28" s="1"/>
  <c r="AA30" i="8"/>
  <c r="U42" i="28" s="1"/>
  <c r="U49" i="28" s="1"/>
  <c r="U50" i="28" s="1"/>
  <c r="AA45" i="8"/>
  <c r="AF193" i="1"/>
  <c r="BH193" i="1" s="1"/>
  <c r="BV193" i="1" s="1"/>
  <c r="AG164" i="1"/>
  <c r="Z53" i="8"/>
  <c r="Z16" i="8"/>
  <c r="U21" i="2"/>
  <c r="Z21" i="2" s="1"/>
  <c r="P279" i="2"/>
  <c r="Q279" i="2" s="1"/>
  <c r="X322" i="2"/>
  <c r="BE201" i="1"/>
  <c r="BS201" i="1" s="1"/>
  <c r="AD52" i="1"/>
  <c r="AA71" i="1"/>
  <c r="AC181" i="1"/>
  <c r="AA175" i="1"/>
  <c r="CE194" i="1"/>
  <c r="P105" i="2"/>
  <c r="Q105" i="2" s="1"/>
  <c r="P71" i="2"/>
  <c r="Q71" i="2" s="1"/>
  <c r="U265" i="2"/>
  <c r="V265" i="2" s="1"/>
  <c r="U284" i="2"/>
  <c r="V284" i="2" s="1"/>
  <c r="U147" i="2"/>
  <c r="Z147" i="2" s="1"/>
  <c r="R111" i="1"/>
  <c r="BH111" i="1" s="1"/>
  <c r="BV111" i="1" s="1"/>
  <c r="CG201" i="1"/>
  <c r="CE71" i="1"/>
  <c r="AA194" i="1"/>
  <c r="U105" i="2"/>
  <c r="V105" i="2" s="1"/>
  <c r="X151" i="2"/>
  <c r="AC151" i="2" s="1"/>
  <c r="AD151" i="2" s="1"/>
  <c r="X9" i="44"/>
  <c r="CC10" i="8"/>
  <c r="N64" i="8"/>
  <c r="DH64" i="8" s="1"/>
  <c r="EJ64" i="8" s="1"/>
  <c r="AB64" i="8"/>
  <c r="O209" i="1"/>
  <c r="DI209" i="1" s="1"/>
  <c r="EK209" i="1" s="1"/>
  <c r="CG209" i="1"/>
  <c r="CF156" i="1"/>
  <c r="AB156" i="1"/>
  <c r="AB8" i="1"/>
  <c r="AG18" i="48"/>
  <c r="M181" i="1"/>
  <c r="DG181" i="1" s="1"/>
  <c r="EI181" i="1" s="1"/>
  <c r="CE181" i="1"/>
  <c r="AF25" i="48"/>
  <c r="M111" i="1"/>
  <c r="BC111" i="1" s="1"/>
  <c r="BQ111" i="1" s="1"/>
  <c r="W31" i="8"/>
  <c r="U11" i="2"/>
  <c r="Z11" i="2" s="1"/>
  <c r="X11" i="2"/>
  <c r="AD11" i="2" s="1"/>
  <c r="CJ101" i="1"/>
  <c r="AF101" i="1"/>
  <c r="AA43" i="8"/>
  <c r="O181" i="1"/>
  <c r="BE181" i="1" s="1"/>
  <c r="BS181" i="1" s="1"/>
  <c r="AA49" i="1"/>
  <c r="BC49" i="1" s="1"/>
  <c r="BQ49" i="1" s="1"/>
  <c r="P374" i="2"/>
  <c r="Q374" i="2" s="1"/>
  <c r="J127" i="35"/>
  <c r="M71" i="1"/>
  <c r="DG71" i="1" s="1"/>
  <c r="O52" i="1"/>
  <c r="BE52" i="1" s="1"/>
  <c r="BS52" i="1" s="1"/>
  <c r="P8" i="1"/>
  <c r="DJ8" i="1" s="1"/>
  <c r="AB196" i="1"/>
  <c r="AB149" i="1"/>
  <c r="U151" i="2"/>
  <c r="Z151" i="2" s="1"/>
  <c r="CF158" i="1"/>
  <c r="EI194" i="1"/>
  <c r="U268" i="2"/>
  <c r="V268" i="2" s="1"/>
  <c r="X268" i="2"/>
  <c r="DY197" i="1" s="1"/>
  <c r="EM197" i="1" s="1"/>
  <c r="AC75" i="1"/>
  <c r="AC52" i="1"/>
  <c r="V338" i="2"/>
  <c r="J10" i="36"/>
  <c r="K95" i="60"/>
  <c r="CF25" i="1"/>
  <c r="M177" i="1"/>
  <c r="DG177" i="1" s="1"/>
  <c r="EI177" i="1" s="1"/>
  <c r="CH36" i="1"/>
  <c r="N92" i="1"/>
  <c r="DH92" i="1" s="1"/>
  <c r="AA16" i="1"/>
  <c r="CH183" i="1"/>
  <c r="O66" i="8"/>
  <c r="DI66" i="8" s="1"/>
  <c r="EK66" i="8" s="1"/>
  <c r="AC66" i="8"/>
  <c r="U307" i="2"/>
  <c r="V307" i="2" s="1"/>
  <c r="P307" i="2"/>
  <c r="Q307" i="2" s="1"/>
  <c r="U288" i="2"/>
  <c r="X288" i="2"/>
  <c r="X235" i="2"/>
  <c r="DX156" i="1" s="1"/>
  <c r="EL156" i="1" s="1"/>
  <c r="P235" i="2"/>
  <c r="Q235" i="2" s="1"/>
  <c r="U107" i="2"/>
  <c r="V107" i="2" s="1"/>
  <c r="X107" i="2"/>
  <c r="AC107" i="2" s="1"/>
  <c r="AD107" i="2" s="1"/>
  <c r="P107" i="2"/>
  <c r="Q107" i="2" s="1"/>
  <c r="CA69" i="8"/>
  <c r="CA68" i="8" s="1"/>
  <c r="I69" i="8"/>
  <c r="I68" i="8" s="1"/>
  <c r="P163" i="1"/>
  <c r="AD163" i="1"/>
  <c r="CG152" i="1"/>
  <c r="O152" i="1"/>
  <c r="DI152" i="1" s="1"/>
  <c r="EK152" i="1" s="1"/>
  <c r="CL197" i="1"/>
  <c r="P249" i="2"/>
  <c r="Q249" i="2" s="1"/>
  <c r="CE147" i="1"/>
  <c r="N73" i="1"/>
  <c r="DH73" i="1" s="1"/>
  <c r="EJ73" i="1" s="1"/>
  <c r="CG111" i="1"/>
  <c r="CH54" i="1"/>
  <c r="X23" i="2"/>
  <c r="AD23" i="2" s="1"/>
  <c r="X284" i="2"/>
  <c r="DY179" i="1" s="1"/>
  <c r="P39" i="2"/>
  <c r="Q39" i="2" s="1"/>
  <c r="P147" i="2"/>
  <c r="Q147" i="2" s="1"/>
  <c r="L12" i="8"/>
  <c r="DF12" i="8" s="1"/>
  <c r="EH12" i="8" s="1"/>
  <c r="H11" i="44" s="1"/>
  <c r="Y11" i="44"/>
  <c r="CC23" i="8"/>
  <c r="Y23" i="8"/>
  <c r="AD37" i="8"/>
  <c r="CH37" i="8"/>
  <c r="CH202" i="1"/>
  <c r="P202" i="1"/>
  <c r="DJ202" i="1" s="1"/>
  <c r="P153" i="1"/>
  <c r="DJ153" i="1" s="1"/>
  <c r="CH153" i="1"/>
  <c r="AD7" i="1"/>
  <c r="CH7" i="1"/>
  <c r="O100" i="1"/>
  <c r="DI100" i="1" s="1"/>
  <c r="EK100" i="1" s="1"/>
  <c r="CG100" i="1"/>
  <c r="M192" i="1"/>
  <c r="AA192" i="1"/>
  <c r="CE70" i="1"/>
  <c r="M70" i="1"/>
  <c r="BC70" i="1" s="1"/>
  <c r="BQ70" i="1" s="1"/>
  <c r="M15" i="1"/>
  <c r="DG15" i="1" s="1"/>
  <c r="EI15" i="1" s="1"/>
  <c r="AA15" i="1"/>
  <c r="AH16" i="48"/>
  <c r="U248" i="2"/>
  <c r="X248" i="2"/>
  <c r="E26" i="20" s="1"/>
  <c r="P248" i="2"/>
  <c r="Q248" i="2" s="1"/>
  <c r="P172" i="2"/>
  <c r="Q172" i="2" s="1"/>
  <c r="X172" i="2"/>
  <c r="U125" i="2"/>
  <c r="Z125" i="2" s="1"/>
  <c r="P125" i="2"/>
  <c r="Q125" i="2" s="1"/>
  <c r="P88" i="2"/>
  <c r="Q88" i="2" s="1"/>
  <c r="AB179" i="1"/>
  <c r="AB92" i="1"/>
  <c r="AF90" i="1"/>
  <c r="BH90" i="1" s="1"/>
  <c r="BV90" i="1" s="1"/>
  <c r="X321" i="2"/>
  <c r="DZ90" i="1" s="1"/>
  <c r="EN90" i="1" s="1"/>
  <c r="U233" i="2"/>
  <c r="V233" i="2" s="1"/>
  <c r="X233" i="2"/>
  <c r="AC233" i="2" s="1"/>
  <c r="AD233" i="2" s="1"/>
  <c r="P233" i="2"/>
  <c r="Q233" i="2" s="1"/>
  <c r="AF109" i="1"/>
  <c r="BH109" i="1" s="1"/>
  <c r="BV109" i="1" s="1"/>
  <c r="O111" i="1"/>
  <c r="DI111" i="1" s="1"/>
  <c r="AD203" i="1"/>
  <c r="BF203" i="1" s="1"/>
  <c r="BT203" i="1" s="1"/>
  <c r="EK201" i="1"/>
  <c r="CH201" i="1"/>
  <c r="P201" i="1"/>
  <c r="DJ201" i="1" s="1"/>
  <c r="CF70" i="1"/>
  <c r="N70" i="1"/>
  <c r="BD70" i="1" s="1"/>
  <c r="BR70" i="1" s="1"/>
  <c r="P193" i="2"/>
  <c r="Q193" i="2" s="1"/>
  <c r="U193" i="2"/>
  <c r="Z193" i="2" s="1"/>
  <c r="X87" i="2"/>
  <c r="AB178" i="1"/>
  <c r="M147" i="1"/>
  <c r="DG147" i="1" s="1"/>
  <c r="EI147" i="1" s="1"/>
  <c r="AD201" i="1"/>
  <c r="CE96" i="1"/>
  <c r="O50" i="1"/>
  <c r="DI50" i="1" s="1"/>
  <c r="CH156" i="1"/>
  <c r="X126" i="2"/>
  <c r="U195" i="2"/>
  <c r="Z195" i="2" s="1"/>
  <c r="G38" i="20" s="1"/>
  <c r="U152" i="1"/>
  <c r="BK152" i="1" s="1"/>
  <c r="BY152" i="1" s="1"/>
  <c r="AI152" i="1"/>
  <c r="V217" i="1"/>
  <c r="BL217" i="1" s="1"/>
  <c r="BZ217" i="1" s="1"/>
  <c r="AJ217" i="1"/>
  <c r="T203" i="1"/>
  <c r="BJ203" i="1" s="1"/>
  <c r="BX203" i="1" s="1"/>
  <c r="CL203" i="1"/>
  <c r="AI14" i="48"/>
  <c r="M68" i="1"/>
  <c r="BC68" i="1" s="1"/>
  <c r="BQ68" i="1" s="1"/>
  <c r="AC135" i="1"/>
  <c r="P79" i="1"/>
  <c r="BF79" i="1" s="1"/>
  <c r="BT79" i="1" s="1"/>
  <c r="AB17" i="1"/>
  <c r="BD17" i="1" s="1"/>
  <c r="BR17" i="1" s="1"/>
  <c r="X39" i="2"/>
  <c r="AD39" i="2" s="1"/>
  <c r="X305" i="2"/>
  <c r="DY44" i="1" s="1"/>
  <c r="EM44" i="1" s="1"/>
  <c r="AB57" i="1"/>
  <c r="BD57" i="1" s="1"/>
  <c r="BR57" i="1" s="1"/>
  <c r="AJ197" i="1"/>
  <c r="X110" i="2"/>
  <c r="DW97" i="1" s="1"/>
  <c r="EK97" i="1" s="1"/>
  <c r="V39" i="2"/>
  <c r="AF7" i="48"/>
  <c r="AH24" i="48"/>
  <c r="I13" i="8"/>
  <c r="AY13" i="8" s="1"/>
  <c r="BM13" i="8" s="1"/>
  <c r="L30" i="8"/>
  <c r="DF30" i="8" s="1"/>
  <c r="O97" i="22" s="1"/>
  <c r="G97" i="22" s="1"/>
  <c r="CF130" i="1"/>
  <c r="M96" i="1"/>
  <c r="DG96" i="1" s="1"/>
  <c r="EI96" i="1" s="1"/>
  <c r="CG135" i="1"/>
  <c r="AD116" i="1"/>
  <c r="CG99" i="1"/>
  <c r="P126" i="2"/>
  <c r="Q126" i="2" s="1"/>
  <c r="X193" i="2"/>
  <c r="DX206" i="1" s="1"/>
  <c r="DT206" i="1" s="1"/>
  <c r="P151" i="2"/>
  <c r="Q151" i="2" s="1"/>
  <c r="CH46" i="8"/>
  <c r="DZ117" i="1"/>
  <c r="EN117" i="1" s="1"/>
  <c r="O13" i="8"/>
  <c r="AC13" i="8"/>
  <c r="O23" i="8"/>
  <c r="DI23" i="8" s="1"/>
  <c r="EK23" i="8" s="1"/>
  <c r="AC23" i="8"/>
  <c r="AC39" i="8"/>
  <c r="BE39" i="8" s="1"/>
  <c r="BS39" i="8" s="1"/>
  <c r="CG39" i="8"/>
  <c r="CG69" i="8"/>
  <c r="CG68" i="8" s="1"/>
  <c r="CU68" i="8"/>
  <c r="O217" i="1"/>
  <c r="DI217" i="1" s="1"/>
  <c r="AC217" i="1"/>
  <c r="O68" i="1"/>
  <c r="DI68" i="1" s="1"/>
  <c r="EK68" i="1" s="1"/>
  <c r="CG68" i="1"/>
  <c r="N227" i="1"/>
  <c r="BD227" i="1" s="1"/>
  <c r="BR227" i="1" s="1"/>
  <c r="CF227" i="1"/>
  <c r="M84" i="1"/>
  <c r="DG84" i="1" s="1"/>
  <c r="EI84" i="1" s="1"/>
  <c r="CE84" i="1"/>
  <c r="U260" i="2"/>
  <c r="X260" i="2"/>
  <c r="DY162" i="1" s="1"/>
  <c r="P260" i="2"/>
  <c r="Q260" i="2" s="1"/>
  <c r="P100" i="2"/>
  <c r="Q100" i="2" s="1"/>
  <c r="AB63" i="1"/>
  <c r="P68" i="2"/>
  <c r="Q68" i="2" s="1"/>
  <c r="X68" i="2"/>
  <c r="AC68" i="2" s="1"/>
  <c r="AD68" i="2" s="1"/>
  <c r="U50" i="2"/>
  <c r="P50" i="2"/>
  <c r="Q50" i="2" s="1"/>
  <c r="CF58" i="8"/>
  <c r="N58" i="8"/>
  <c r="DH58" i="8" s="1"/>
  <c r="EJ58" i="8" s="1"/>
  <c r="AA88" i="1"/>
  <c r="CE88" i="1"/>
  <c r="Z9" i="8"/>
  <c r="AC97" i="1"/>
  <c r="BE97" i="1" s="1"/>
  <c r="BS97" i="1" s="1"/>
  <c r="AC152" i="1"/>
  <c r="BC93" i="1"/>
  <c r="BQ93" i="1" s="1"/>
  <c r="X7" i="2"/>
  <c r="AD7" i="2" s="1"/>
  <c r="BC194" i="1"/>
  <c r="BQ194" i="1" s="1"/>
  <c r="U110" i="2"/>
  <c r="V110" i="2" s="1"/>
  <c r="V56" i="2"/>
  <c r="AH152" i="1"/>
  <c r="L44" i="8"/>
  <c r="BB44" i="8" s="1"/>
  <c r="BP44" i="8" s="1"/>
  <c r="AC149" i="1"/>
  <c r="BE149" i="1" s="1"/>
  <c r="BS149" i="1" s="1"/>
  <c r="M16" i="1"/>
  <c r="DG16" i="1" s="1"/>
  <c r="AA145" i="1"/>
  <c r="CE128" i="1"/>
  <c r="AA23" i="1"/>
  <c r="AC65" i="1"/>
  <c r="P265" i="2"/>
  <c r="Q265" i="2" s="1"/>
  <c r="U73" i="2"/>
  <c r="V73" i="2" s="1"/>
  <c r="U7" i="2"/>
  <c r="Z7" i="2" s="1"/>
  <c r="X195" i="2"/>
  <c r="AC195" i="2" s="1"/>
  <c r="AD195" i="2" s="1"/>
  <c r="CE19" i="1"/>
  <c r="M19" i="1"/>
  <c r="BC19" i="1" s="1"/>
  <c r="BQ19" i="1" s="1"/>
  <c r="U286" i="2"/>
  <c r="P286" i="2"/>
  <c r="Q286" i="2" s="1"/>
  <c r="P173" i="2"/>
  <c r="Q173" i="2" s="1"/>
  <c r="AC128" i="1"/>
  <c r="U129" i="2"/>
  <c r="V129" i="2" s="1"/>
  <c r="X338" i="2"/>
  <c r="W226" i="1"/>
  <c r="BM226" i="1" s="1"/>
  <c r="CA226" i="1" s="1"/>
  <c r="AK226" i="1"/>
  <c r="N218" i="1"/>
  <c r="DH218" i="1" s="1"/>
  <c r="EJ218" i="1" s="1"/>
  <c r="AB218" i="1"/>
  <c r="H24" i="8"/>
  <c r="DB24" i="8" s="1"/>
  <c r="ED24" i="8" s="1"/>
  <c r="CF17" i="1"/>
  <c r="CE16" i="1"/>
  <c r="AA128" i="1"/>
  <c r="BC128" i="1" s="1"/>
  <c r="BQ128" i="1" s="1"/>
  <c r="P116" i="1"/>
  <c r="DJ116" i="1" s="1"/>
  <c r="EL116" i="1" s="1"/>
  <c r="CE23" i="1"/>
  <c r="M13" i="62"/>
  <c r="V7" i="8"/>
  <c r="P354" i="2"/>
  <c r="Q354" i="2" s="1"/>
  <c r="P338" i="2"/>
  <c r="Q338" i="2" s="1"/>
  <c r="Z126" i="2"/>
  <c r="BF183" i="1"/>
  <c r="BT183" i="1" s="1"/>
  <c r="L9" i="36"/>
  <c r="AB25" i="1"/>
  <c r="BD25" i="1" s="1"/>
  <c r="BR25" i="1" s="1"/>
  <c r="AG227" i="1"/>
  <c r="AB130" i="1"/>
  <c r="BD130" i="1" s="1"/>
  <c r="BR130" i="1" s="1"/>
  <c r="P137" i="1"/>
  <c r="DJ137" i="1" s="1"/>
  <c r="AA30" i="1"/>
  <c r="M145" i="1"/>
  <c r="DG145" i="1" s="1"/>
  <c r="EI145" i="1" s="1"/>
  <c r="N179" i="1"/>
  <c r="DH179" i="1" s="1"/>
  <c r="AC161" i="1"/>
  <c r="BE161" i="1" s="1"/>
  <c r="BS161" i="1" s="1"/>
  <c r="N48" i="1"/>
  <c r="BD48" i="1" s="1"/>
  <c r="BR48" i="1" s="1"/>
  <c r="CF132" i="1"/>
  <c r="AA218" i="1"/>
  <c r="O65" i="1"/>
  <c r="DI65" i="1" s="1"/>
  <c r="X286" i="2"/>
  <c r="U305" i="2"/>
  <c r="Z305" i="2" s="1"/>
  <c r="X173" i="2"/>
  <c r="DW128" i="1" s="1"/>
  <c r="X247" i="2"/>
  <c r="DX88" i="1" s="1"/>
  <c r="DT88" i="1" s="1"/>
  <c r="E94" i="22"/>
  <c r="I15" i="62"/>
  <c r="W54" i="1"/>
  <c r="BM54" i="1" s="1"/>
  <c r="CA54" i="1" s="1"/>
  <c r="AK54" i="1"/>
  <c r="P192" i="1"/>
  <c r="DJ192" i="1" s="1"/>
  <c r="EL192" i="1" s="1"/>
  <c r="AD192" i="1"/>
  <c r="CH23" i="1"/>
  <c r="P23" i="1"/>
  <c r="DJ23" i="1" s="1"/>
  <c r="EL23" i="1" s="1"/>
  <c r="M206" i="1"/>
  <c r="DG206" i="1" s="1"/>
  <c r="EI206" i="1" s="1"/>
  <c r="AA206" i="1"/>
  <c r="AA210" i="1"/>
  <c r="CE210" i="1"/>
  <c r="CE140" i="1"/>
  <c r="AA140" i="1"/>
  <c r="M140" i="1"/>
  <c r="DG140" i="1" s="1"/>
  <c r="EI140" i="1" s="1"/>
  <c r="AA61" i="1"/>
  <c r="CE61" i="1"/>
  <c r="U205" i="2"/>
  <c r="P205" i="2"/>
  <c r="Q205" i="2" s="1"/>
  <c r="P142" i="2"/>
  <c r="Q142" i="2" s="1"/>
  <c r="U142" i="2"/>
  <c r="Z142" i="2" s="1"/>
  <c r="U98" i="2"/>
  <c r="P98" i="2"/>
  <c r="Q98" i="2" s="1"/>
  <c r="X48" i="2"/>
  <c r="DV161" i="1" s="1"/>
  <c r="P48" i="2"/>
  <c r="Q48" i="2" s="1"/>
  <c r="G13" i="8"/>
  <c r="AW13" i="8" s="1"/>
  <c r="BK13" i="8" s="1"/>
  <c r="P224" i="2"/>
  <c r="Q224" i="2" s="1"/>
  <c r="DW114" i="1"/>
  <c r="EK114" i="1" s="1"/>
  <c r="Z249" i="2"/>
  <c r="AI15" i="48"/>
  <c r="BF98" i="1"/>
  <c r="BT98" i="1" s="1"/>
  <c r="CK189" i="1"/>
  <c r="CT5" i="1"/>
  <c r="Y66" i="8"/>
  <c r="CH75" i="1"/>
  <c r="AA177" i="1"/>
  <c r="M30" i="1"/>
  <c r="DG30" i="1" s="1"/>
  <c r="EI30" i="1" s="1"/>
  <c r="AA19" i="1"/>
  <c r="CG161" i="1"/>
  <c r="M218" i="1"/>
  <c r="DG218" i="1" s="1"/>
  <c r="EI218" i="1" s="1"/>
  <c r="U89" i="2"/>
  <c r="V89" i="2" s="1"/>
  <c r="P56" i="2"/>
  <c r="Q56" i="2" s="1"/>
  <c r="CO202" i="1"/>
  <c r="W202" i="1"/>
  <c r="BM202" i="1" s="1"/>
  <c r="CA202" i="1" s="1"/>
  <c r="CG179" i="1"/>
  <c r="O179" i="1"/>
  <c r="DI179" i="1" s="1"/>
  <c r="AA191" i="1"/>
  <c r="M191" i="1"/>
  <c r="BC191" i="1" s="1"/>
  <c r="BQ191" i="1" s="1"/>
  <c r="AH197" i="1"/>
  <c r="U6" i="8"/>
  <c r="U37" i="2"/>
  <c r="Z37" i="2" s="1"/>
  <c r="AC34" i="1"/>
  <c r="BE34" i="1" s="1"/>
  <c r="BS34" i="1" s="1"/>
  <c r="CK203" i="1"/>
  <c r="CE49" i="1"/>
  <c r="AB70" i="1"/>
  <c r="N99" i="1"/>
  <c r="DH99" i="1" s="1"/>
  <c r="AD8" i="1"/>
  <c r="AD135" i="1"/>
  <c r="CE93" i="1"/>
  <c r="U210" i="2"/>
  <c r="Z210" i="2" s="1"/>
  <c r="X89" i="2"/>
  <c r="AC89" i="2" s="1"/>
  <c r="AD89" i="2" s="1"/>
  <c r="X212" i="2"/>
  <c r="AC212" i="2" s="1"/>
  <c r="AD212" i="2" s="1"/>
  <c r="W190" i="1"/>
  <c r="DQ190" i="1" s="1"/>
  <c r="ES190" i="1" s="1"/>
  <c r="CO190" i="1"/>
  <c r="CJ14" i="8"/>
  <c r="AF14" i="8"/>
  <c r="AE13" i="44"/>
  <c r="L13" i="62"/>
  <c r="O9" i="8"/>
  <c r="DI9" i="8" s="1"/>
  <c r="EK9" i="8" s="1"/>
  <c r="K8" i="44" s="1"/>
  <c r="E111" i="22"/>
  <c r="Z10" i="44"/>
  <c r="CJ33" i="8"/>
  <c r="R33" i="8"/>
  <c r="DL33" i="8" s="1"/>
  <c r="EN33" i="8" s="1"/>
  <c r="CC42" i="8"/>
  <c r="K42" i="8"/>
  <c r="DE42" i="8" s="1"/>
  <c r="EG42" i="8" s="1"/>
  <c r="M44" i="8"/>
  <c r="CE44" i="8"/>
  <c r="BY67" i="8"/>
  <c r="G67" i="8"/>
  <c r="AW67" i="8" s="1"/>
  <c r="BK67" i="8" s="1"/>
  <c r="CC62" i="8"/>
  <c r="Y62" i="8"/>
  <c r="CN204" i="1"/>
  <c r="AJ204" i="1"/>
  <c r="CG62" i="1"/>
  <c r="AH11" i="48"/>
  <c r="M208" i="1"/>
  <c r="I21" i="36"/>
  <c r="M117" i="1"/>
  <c r="BC117" i="1" s="1"/>
  <c r="BQ117" i="1" s="1"/>
  <c r="CE117" i="1"/>
  <c r="CE38" i="1"/>
  <c r="I18" i="36"/>
  <c r="P115" i="2"/>
  <c r="Q115" i="2" s="1"/>
  <c r="X115" i="2"/>
  <c r="AC115" i="2" s="1"/>
  <c r="AD115" i="2" s="1"/>
  <c r="DW34" i="1"/>
  <c r="EK34" i="1" s="1"/>
  <c r="X249" i="2"/>
  <c r="AD79" i="1"/>
  <c r="U354" i="2"/>
  <c r="Z354" i="2" s="1"/>
  <c r="AC201" i="1"/>
  <c r="CH34" i="1"/>
  <c r="N132" i="1"/>
  <c r="BD132" i="1" s="1"/>
  <c r="BR132" i="1" s="1"/>
  <c r="P135" i="1"/>
  <c r="BF135" i="1" s="1"/>
  <c r="BT135" i="1" s="1"/>
  <c r="AB158" i="1"/>
  <c r="BD158" i="1" s="1"/>
  <c r="BR158" i="1" s="1"/>
  <c r="X71" i="2"/>
  <c r="DP39" i="8" s="1"/>
  <c r="X210" i="2"/>
  <c r="AC210" i="2" s="1"/>
  <c r="AD210" i="2" s="1"/>
  <c r="X56" i="2"/>
  <c r="DP52" i="8" s="1"/>
  <c r="U87" i="2"/>
  <c r="V87" i="2" s="1"/>
  <c r="AD183" i="1"/>
  <c r="U212" i="2"/>
  <c r="Z212" i="2" s="1"/>
  <c r="CD56" i="8"/>
  <c r="L56" i="8"/>
  <c r="DF56" i="8" s="1"/>
  <c r="EH56" i="8" s="1"/>
  <c r="CJ13" i="8"/>
  <c r="R13" i="8"/>
  <c r="BH13" i="8" s="1"/>
  <c r="BV13" i="8" s="1"/>
  <c r="AD15" i="8"/>
  <c r="CH15" i="8"/>
  <c r="CE24" i="8"/>
  <c r="M24" i="8"/>
  <c r="BC24" i="8" s="1"/>
  <c r="BQ24" i="8" s="1"/>
  <c r="Q38" i="8"/>
  <c r="DK38" i="8" s="1"/>
  <c r="EM38" i="8" s="1"/>
  <c r="CI38" i="8"/>
  <c r="AF32" i="8"/>
  <c r="R32" i="8"/>
  <c r="BH32" i="8" s="1"/>
  <c r="BV32" i="8" s="1"/>
  <c r="V194" i="1"/>
  <c r="BL194" i="1" s="1"/>
  <c r="BZ194" i="1" s="1"/>
  <c r="AJ194" i="1"/>
  <c r="CK205" i="1"/>
  <c r="S205" i="1"/>
  <c r="DM205" i="1" s="1"/>
  <c r="EO205" i="1" s="1"/>
  <c r="O12" i="1"/>
  <c r="CG12" i="1"/>
  <c r="N41" i="1"/>
  <c r="DH41" i="1" s="1"/>
  <c r="AG64" i="48" s="1"/>
  <c r="AG15" i="48"/>
  <c r="P218" i="2"/>
  <c r="Q218" i="2" s="1"/>
  <c r="U218" i="2"/>
  <c r="V218" i="2" s="1"/>
  <c r="AA17" i="1"/>
  <c r="BC17" i="1" s="1"/>
  <c r="BQ17" i="1" s="1"/>
  <c r="AA33" i="8"/>
  <c r="BC33" i="8" s="1"/>
  <c r="BQ33" i="8" s="1"/>
  <c r="AF118" i="1"/>
  <c r="AF123" i="1"/>
  <c r="AF135" i="1"/>
  <c r="EM114" i="1"/>
  <c r="AD194" i="1"/>
  <c r="P40" i="1"/>
  <c r="DJ40" i="1" s="1"/>
  <c r="EL40" i="1" s="1"/>
  <c r="AD40" i="1"/>
  <c r="CG185" i="1"/>
  <c r="AC185" i="1"/>
  <c r="O59" i="1"/>
  <c r="BE59" i="1" s="1"/>
  <c r="BS59" i="1" s="1"/>
  <c r="CG59" i="1"/>
  <c r="O38" i="1"/>
  <c r="DI38" i="1" s="1"/>
  <c r="EK38" i="1" s="1"/>
  <c r="AC38" i="1"/>
  <c r="N116" i="1"/>
  <c r="BD116" i="1" s="1"/>
  <c r="BR116" i="1" s="1"/>
  <c r="CF116" i="1"/>
  <c r="M161" i="1"/>
  <c r="DG161" i="1" s="1"/>
  <c r="EI161" i="1" s="1"/>
  <c r="CE161" i="1"/>
  <c r="CE152" i="1"/>
  <c r="M152" i="1"/>
  <c r="DG152" i="1" s="1"/>
  <c r="EI152" i="1" s="1"/>
  <c r="AA75" i="1"/>
  <c r="M75" i="1"/>
  <c r="DG75" i="1" s="1"/>
  <c r="EI75" i="1" s="1"/>
  <c r="P290" i="2"/>
  <c r="Q290" i="2" s="1"/>
  <c r="X290" i="2"/>
  <c r="DY74" i="1" s="1"/>
  <c r="DT74" i="1" s="1"/>
  <c r="Y69" i="8"/>
  <c r="BA69" i="8" s="1"/>
  <c r="BO69" i="8" s="1"/>
  <c r="P216" i="2"/>
  <c r="Q216" i="2" s="1"/>
  <c r="U216" i="2"/>
  <c r="Z216" i="2" s="1"/>
  <c r="P199" i="2"/>
  <c r="Q199" i="2" s="1"/>
  <c r="U199" i="2"/>
  <c r="Z199" i="2" s="1"/>
  <c r="AD131" i="1"/>
  <c r="X177" i="2"/>
  <c r="DQ31" i="8" s="1"/>
  <c r="U177" i="2"/>
  <c r="Z177" i="2" s="1"/>
  <c r="P155" i="2"/>
  <c r="Q155" i="2" s="1"/>
  <c r="X155" i="2"/>
  <c r="AC155" i="2" s="1"/>
  <c r="AD155" i="2" s="1"/>
  <c r="U112" i="2"/>
  <c r="X112" i="2"/>
  <c r="AC112" i="2" s="1"/>
  <c r="AD112" i="2" s="1"/>
  <c r="U93" i="2"/>
  <c r="X93" i="2"/>
  <c r="AC93" i="2" s="1"/>
  <c r="AD93" i="2" s="1"/>
  <c r="X342" i="2"/>
  <c r="Z43" i="8"/>
  <c r="BB43" i="8" s="1"/>
  <c r="BP43" i="8" s="1"/>
  <c r="BY58" i="8"/>
  <c r="G58" i="8"/>
  <c r="DA58" i="8" s="1"/>
  <c r="EC58" i="8" s="1"/>
  <c r="O17" i="62"/>
  <c r="AE9" i="44"/>
  <c r="CI7" i="8"/>
  <c r="AD6" i="44"/>
  <c r="CF26" i="1"/>
  <c r="AG14" i="48"/>
  <c r="P308" i="2"/>
  <c r="Q308" i="2" s="1"/>
  <c r="X308" i="2"/>
  <c r="DY128" i="1" s="1"/>
  <c r="EM128" i="1" s="1"/>
  <c r="P289" i="2"/>
  <c r="Q289" i="2" s="1"/>
  <c r="X289" i="2"/>
  <c r="DY92" i="1" s="1"/>
  <c r="P215" i="2"/>
  <c r="Q215" i="2" s="1"/>
  <c r="U215" i="2"/>
  <c r="V215" i="2" s="1"/>
  <c r="P154" i="2"/>
  <c r="Q154" i="2" s="1"/>
  <c r="X154" i="2"/>
  <c r="AC154" i="2" s="1"/>
  <c r="AD154" i="2" s="1"/>
  <c r="X136" i="2"/>
  <c r="AC99" i="1"/>
  <c r="BE99" i="1" s="1"/>
  <c r="BS99" i="1" s="1"/>
  <c r="X76" i="2"/>
  <c r="AB123" i="1"/>
  <c r="U42" i="2"/>
  <c r="X42" i="2"/>
  <c r="DU174" i="1" s="1"/>
  <c r="U26" i="2"/>
  <c r="X26" i="2"/>
  <c r="AD26" i="2" s="1"/>
  <c r="P10" i="2"/>
  <c r="Q10" i="2" s="1"/>
  <c r="U10" i="2"/>
  <c r="Z10" i="2" s="1"/>
  <c r="X251" i="2"/>
  <c r="P251" i="2"/>
  <c r="Q251" i="2" s="1"/>
  <c r="U235" i="2"/>
  <c r="Z235" i="2" s="1"/>
  <c r="AD156" i="1"/>
  <c r="BF156" i="1" s="1"/>
  <c r="BT156" i="1" s="1"/>
  <c r="U214" i="2"/>
  <c r="P214" i="2"/>
  <c r="Q214" i="2" s="1"/>
  <c r="X214" i="2"/>
  <c r="AC214" i="2" s="1"/>
  <c r="AD214" i="2" s="1"/>
  <c r="X175" i="2"/>
  <c r="AC175" i="2" s="1"/>
  <c r="AD175" i="2" s="1"/>
  <c r="AC130" i="1"/>
  <c r="U175" i="2"/>
  <c r="Z175" i="2" s="1"/>
  <c r="P153" i="2"/>
  <c r="Q153" i="2" s="1"/>
  <c r="AC174" i="1"/>
  <c r="BE174" i="1" s="1"/>
  <c r="BS174" i="1" s="1"/>
  <c r="P91" i="2"/>
  <c r="Q91" i="2" s="1"/>
  <c r="X91" i="2"/>
  <c r="AC91" i="2" s="1"/>
  <c r="AD91" i="2" s="1"/>
  <c r="P75" i="2"/>
  <c r="Q75" i="2" s="1"/>
  <c r="U75" i="2"/>
  <c r="Z75" i="2" s="1"/>
  <c r="P41" i="2"/>
  <c r="Q41" i="2" s="1"/>
  <c r="U41" i="2"/>
  <c r="Z41" i="2" s="1"/>
  <c r="U7" i="8"/>
  <c r="BY14" i="8"/>
  <c r="U14" i="8"/>
  <c r="CH49" i="8"/>
  <c r="AD49" i="8"/>
  <c r="CI67" i="8"/>
  <c r="Q67" i="8"/>
  <c r="BG67" i="8" s="1"/>
  <c r="BU67" i="8" s="1"/>
  <c r="U287" i="2"/>
  <c r="X287" i="2"/>
  <c r="P266" i="2"/>
  <c r="Q266" i="2" s="1"/>
  <c r="U266" i="2"/>
  <c r="Z266" i="2" s="1"/>
  <c r="P174" i="2"/>
  <c r="Q174" i="2" s="1"/>
  <c r="U174" i="2"/>
  <c r="Z174" i="2" s="1"/>
  <c r="U152" i="2"/>
  <c r="P152" i="2"/>
  <c r="Q152" i="2" s="1"/>
  <c r="P90" i="2"/>
  <c r="Q90" i="2" s="1"/>
  <c r="U90" i="2"/>
  <c r="Z90" i="2" s="1"/>
  <c r="AJ96" i="1"/>
  <c r="CN96" i="1"/>
  <c r="CA12" i="8"/>
  <c r="I12" i="8"/>
  <c r="DC12" i="8" s="1"/>
  <c r="EE12" i="8" s="1"/>
  <c r="E11" i="44" s="1"/>
  <c r="W12" i="8"/>
  <c r="BY12" i="8"/>
  <c r="T11" i="44"/>
  <c r="N10" i="8"/>
  <c r="BD10" i="8" s="1"/>
  <c r="BR10" i="8" s="1"/>
  <c r="K17" i="62"/>
  <c r="CA48" i="8"/>
  <c r="W48" i="8"/>
  <c r="AB45" i="8"/>
  <c r="N45" i="8"/>
  <c r="DH45" i="8" s="1"/>
  <c r="EJ45" i="8" s="1"/>
  <c r="CH47" i="8"/>
  <c r="AD47" i="8"/>
  <c r="CJ49" i="8"/>
  <c r="AF49" i="8"/>
  <c r="CB63" i="8"/>
  <c r="J63" i="8"/>
  <c r="DD63" i="8" s="1"/>
  <c r="EF63" i="8" s="1"/>
  <c r="X63" i="8"/>
  <c r="L15" i="62"/>
  <c r="AB6" i="44"/>
  <c r="X133" i="2"/>
  <c r="DQ55" i="8" s="1"/>
  <c r="AC191" i="1"/>
  <c r="BE191" i="1" s="1"/>
  <c r="BS191" i="1" s="1"/>
  <c r="CH35" i="1"/>
  <c r="P35" i="1"/>
  <c r="BF35" i="1" s="1"/>
  <c r="BT35" i="1" s="1"/>
  <c r="AC200" i="1"/>
  <c r="CG200" i="1"/>
  <c r="AC160" i="1"/>
  <c r="O160" i="1"/>
  <c r="DI160" i="1" s="1"/>
  <c r="K48" i="36" s="1"/>
  <c r="K96" i="36" s="1"/>
  <c r="AC32" i="1"/>
  <c r="O32" i="1"/>
  <c r="DI32" i="1" s="1"/>
  <c r="CG18" i="1"/>
  <c r="O18" i="1"/>
  <c r="BE18" i="1" s="1"/>
  <c r="BS18" i="1" s="1"/>
  <c r="N148" i="1"/>
  <c r="DH148" i="1" s="1"/>
  <c r="EJ148" i="1" s="1"/>
  <c r="AB148" i="1"/>
  <c r="AB49" i="1"/>
  <c r="N49" i="1"/>
  <c r="BD49" i="1" s="1"/>
  <c r="BR49" i="1" s="1"/>
  <c r="AB30" i="1"/>
  <c r="N30" i="1"/>
  <c r="DH30" i="1" s="1"/>
  <c r="EJ30" i="1" s="1"/>
  <c r="AA217" i="1"/>
  <c r="M217" i="1"/>
  <c r="DG217" i="1" s="1"/>
  <c r="EI217" i="1" s="1"/>
  <c r="M91" i="1"/>
  <c r="DG91" i="1" s="1"/>
  <c r="EI91" i="1" s="1"/>
  <c r="AA91" i="1"/>
  <c r="M48" i="1"/>
  <c r="CE48" i="1"/>
  <c r="AA29" i="1"/>
  <c r="M29" i="1"/>
  <c r="BC29" i="1" s="1"/>
  <c r="BQ29" i="1" s="1"/>
  <c r="CG55" i="1"/>
  <c r="O55" i="1"/>
  <c r="DI55" i="1" s="1"/>
  <c r="EK55" i="1" s="1"/>
  <c r="AB24" i="1"/>
  <c r="N24" i="1"/>
  <c r="DH24" i="1" s="1"/>
  <c r="EJ24" i="1" s="1"/>
  <c r="CF24" i="1"/>
  <c r="AA13" i="1"/>
  <c r="M13" i="1"/>
  <c r="BC13" i="1" s="1"/>
  <c r="BQ13" i="1" s="1"/>
  <c r="U281" i="2"/>
  <c r="Z281" i="2" s="1"/>
  <c r="P281" i="2"/>
  <c r="Q281" i="2" s="1"/>
  <c r="U303" i="2"/>
  <c r="X303" i="2"/>
  <c r="P211" i="2"/>
  <c r="Q211" i="2" s="1"/>
  <c r="U211" i="2"/>
  <c r="V211" i="2" s="1"/>
  <c r="U194" i="2"/>
  <c r="AD137" i="1"/>
  <c r="U172" i="2"/>
  <c r="AC87" i="1"/>
  <c r="BE87" i="1" s="1"/>
  <c r="BS87" i="1" s="1"/>
  <c r="X104" i="2"/>
  <c r="P104" i="2"/>
  <c r="Q104" i="2" s="1"/>
  <c r="X72" i="2"/>
  <c r="U72" i="2"/>
  <c r="Z72" i="2" s="1"/>
  <c r="P38" i="2"/>
  <c r="Q38" i="2" s="1"/>
  <c r="U38" i="2"/>
  <c r="V38" i="2" s="1"/>
  <c r="X22" i="2"/>
  <c r="AD22" i="2" s="1"/>
  <c r="AA129" i="1"/>
  <c r="P22" i="2"/>
  <c r="Q22" i="2" s="1"/>
  <c r="P6" i="2"/>
  <c r="Q6" i="2" s="1"/>
  <c r="AA45" i="1"/>
  <c r="P353" i="2"/>
  <c r="Q353" i="2" s="1"/>
  <c r="AF156" i="1"/>
  <c r="BH156" i="1" s="1"/>
  <c r="BV156" i="1" s="1"/>
  <c r="AK96" i="1"/>
  <c r="W96" i="1"/>
  <c r="DQ96" i="1" s="1"/>
  <c r="ES96" i="1" s="1"/>
  <c r="U217" i="1"/>
  <c r="BK217" i="1" s="1"/>
  <c r="BY217" i="1" s="1"/>
  <c r="CM217" i="1"/>
  <c r="CH152" i="1"/>
  <c r="P152" i="1"/>
  <c r="DJ152" i="1" s="1"/>
  <c r="EL152" i="1" s="1"/>
  <c r="P111" i="1"/>
  <c r="DJ111" i="1" s="1"/>
  <c r="AI74" i="48" s="1"/>
  <c r="AI169" i="48" s="1"/>
  <c r="CH111" i="1"/>
  <c r="O196" i="1"/>
  <c r="CG196" i="1"/>
  <c r="O158" i="1"/>
  <c r="AC158" i="1"/>
  <c r="CG73" i="1"/>
  <c r="AC73" i="1"/>
  <c r="AC31" i="1"/>
  <c r="CG31" i="1"/>
  <c r="CF147" i="1"/>
  <c r="AB147" i="1"/>
  <c r="N29" i="1"/>
  <c r="DH29" i="1" s="1"/>
  <c r="EJ29" i="1" s="1"/>
  <c r="CF29" i="1"/>
  <c r="CF15" i="1"/>
  <c r="AB15" i="1"/>
  <c r="M216" i="1"/>
  <c r="DG216" i="1" s="1"/>
  <c r="EI216" i="1" s="1"/>
  <c r="AA216" i="1"/>
  <c r="AD118" i="1"/>
  <c r="P118" i="1"/>
  <c r="DJ118" i="1" s="1"/>
  <c r="P247" i="2"/>
  <c r="Q247" i="2" s="1"/>
  <c r="AD88" i="1"/>
  <c r="P171" i="2"/>
  <c r="Q171" i="2" s="1"/>
  <c r="U171" i="2"/>
  <c r="V171" i="2" s="1"/>
  <c r="X124" i="2"/>
  <c r="F26" i="20" s="1"/>
  <c r="U124" i="2"/>
  <c r="V124" i="2" s="1"/>
  <c r="U103" i="2"/>
  <c r="X103" i="2"/>
  <c r="DV99" i="1" s="1"/>
  <c r="AG121" i="48" s="1"/>
  <c r="AB99" i="1"/>
  <c r="P54" i="2"/>
  <c r="Q54" i="2" s="1"/>
  <c r="X54" i="2"/>
  <c r="DV181" i="1" s="1"/>
  <c r="DT181" i="1" s="1"/>
  <c r="E46" i="22"/>
  <c r="F13" i="62"/>
  <c r="BY25" i="8"/>
  <c r="U25" i="8"/>
  <c r="CJ38" i="8"/>
  <c r="AF38" i="8"/>
  <c r="G43" i="8"/>
  <c r="U43" i="8"/>
  <c r="H62" i="8"/>
  <c r="DB62" i="8" s="1"/>
  <c r="V62" i="8"/>
  <c r="Q61" i="8"/>
  <c r="DK61" i="8" s="1"/>
  <c r="EM61" i="8" s="1"/>
  <c r="AE61" i="8"/>
  <c r="CL54" i="1"/>
  <c r="T54" i="1"/>
  <c r="BJ54" i="1" s="1"/>
  <c r="BX54" i="1" s="1"/>
  <c r="CJ170" i="1"/>
  <c r="R170" i="1"/>
  <c r="DL170" i="1" s="1"/>
  <c r="P132" i="1"/>
  <c r="DJ132" i="1" s="1"/>
  <c r="EL132" i="1" s="1"/>
  <c r="AD132" i="1"/>
  <c r="P99" i="1"/>
  <c r="DJ99" i="1" s="1"/>
  <c r="CH99" i="1"/>
  <c r="P50" i="1"/>
  <c r="DJ50" i="1" s="1"/>
  <c r="EL50" i="1" s="1"/>
  <c r="AD50" i="1"/>
  <c r="P31" i="1"/>
  <c r="BF31" i="1" s="1"/>
  <c r="BT31" i="1" s="1"/>
  <c r="AD31" i="1"/>
  <c r="CH17" i="1"/>
  <c r="AD17" i="1"/>
  <c r="BF17" i="1" s="1"/>
  <c r="BT17" i="1" s="1"/>
  <c r="CG147" i="1"/>
  <c r="AC147" i="1"/>
  <c r="BE147" i="1" s="1"/>
  <c r="BS147" i="1" s="1"/>
  <c r="N191" i="1"/>
  <c r="DH191" i="1" s="1"/>
  <c r="EJ191" i="1" s="1"/>
  <c r="AB191" i="1"/>
  <c r="N46" i="1"/>
  <c r="DH46" i="1" s="1"/>
  <c r="EJ46" i="1" s="1"/>
  <c r="CF46" i="1"/>
  <c r="AB46" i="1"/>
  <c r="AB22" i="1"/>
  <c r="CF22" i="1"/>
  <c r="M143" i="1"/>
  <c r="DG143" i="1" s="1"/>
  <c r="EI143" i="1" s="1"/>
  <c r="CE143" i="1"/>
  <c r="M123" i="1"/>
  <c r="DG123" i="1" s="1"/>
  <c r="EI123" i="1" s="1"/>
  <c r="AA123" i="1"/>
  <c r="P96" i="1"/>
  <c r="DJ96" i="1" s="1"/>
  <c r="EL96" i="1" s="1"/>
  <c r="CH96" i="1"/>
  <c r="P41" i="1"/>
  <c r="DJ41" i="1" s="1"/>
  <c r="EL41" i="1" s="1"/>
  <c r="AD41" i="1"/>
  <c r="M65" i="1"/>
  <c r="DG65" i="1" s="1"/>
  <c r="EI65" i="1" s="1"/>
  <c r="AA65" i="1"/>
  <c r="P56" i="1"/>
  <c r="DJ56" i="1" s="1"/>
  <c r="EL56" i="1" s="1"/>
  <c r="AD56" i="1"/>
  <c r="U282" i="2"/>
  <c r="V282" i="2" s="1"/>
  <c r="X282" i="2"/>
  <c r="DY99" i="1" s="1"/>
  <c r="AJ121" i="48" s="1"/>
  <c r="P208" i="2"/>
  <c r="Q208" i="2" s="1"/>
  <c r="U208" i="2"/>
  <c r="Z208" i="2" s="1"/>
  <c r="X208" i="2"/>
  <c r="AC208" i="2" s="1"/>
  <c r="AD208" i="2" s="1"/>
  <c r="I13" i="62"/>
  <c r="L9" i="8"/>
  <c r="DF9" i="8" s="1"/>
  <c r="O95" i="22" s="1"/>
  <c r="G95" i="22" s="1"/>
  <c r="CX59" i="8"/>
  <c r="O14" i="8"/>
  <c r="BE14" i="8" s="1"/>
  <c r="BS14" i="8" s="1"/>
  <c r="AB36" i="8"/>
  <c r="BG12" i="8"/>
  <c r="BU12" i="8" s="1"/>
  <c r="I25" i="8"/>
  <c r="AY25" i="8" s="1"/>
  <c r="BM25" i="8" s="1"/>
  <c r="AF190" i="1"/>
  <c r="E32" i="22"/>
  <c r="J17" i="62"/>
  <c r="M60" i="8"/>
  <c r="DG60" i="8" s="1"/>
  <c r="V47" i="8"/>
  <c r="AA47" i="8"/>
  <c r="AB47" i="8"/>
  <c r="W45" i="8"/>
  <c r="X169" i="1"/>
  <c r="BN169" i="1" s="1"/>
  <c r="CB169" i="1" s="1"/>
  <c r="CH31" i="1"/>
  <c r="H50" i="8"/>
  <c r="DB50" i="8" s="1"/>
  <c r="ED50" i="8" s="1"/>
  <c r="AF46" i="8"/>
  <c r="DR31" i="8"/>
  <c r="M83" i="1"/>
  <c r="BC83" i="1" s="1"/>
  <c r="BQ83" i="1" s="1"/>
  <c r="AA21" i="1"/>
  <c r="U66" i="8"/>
  <c r="G66" i="8"/>
  <c r="AW66" i="8" s="1"/>
  <c r="CE14" i="8"/>
  <c r="M14" i="8"/>
  <c r="BC14" i="8" s="1"/>
  <c r="BQ14" i="8" s="1"/>
  <c r="Z23" i="8"/>
  <c r="CD23" i="8"/>
  <c r="AF44" i="8"/>
  <c r="CJ44" i="8"/>
  <c r="R44" i="8"/>
  <c r="DL44" i="8" s="1"/>
  <c r="EN44" i="8" s="1"/>
  <c r="E109" i="22"/>
  <c r="Z5" i="44"/>
  <c r="P130" i="1"/>
  <c r="DJ130" i="1" s="1"/>
  <c r="AD130" i="1"/>
  <c r="AD29" i="1"/>
  <c r="CH29" i="1"/>
  <c r="O216" i="1"/>
  <c r="DI216" i="1" s="1"/>
  <c r="CG216" i="1"/>
  <c r="O128" i="1"/>
  <c r="DI128" i="1" s="1"/>
  <c r="CG128" i="1"/>
  <c r="AC67" i="1"/>
  <c r="O67" i="1"/>
  <c r="BE67" i="1" s="1"/>
  <c r="BS67" i="1" s="1"/>
  <c r="N226" i="1"/>
  <c r="BD226" i="1" s="1"/>
  <c r="BR226" i="1" s="1"/>
  <c r="CF226" i="1"/>
  <c r="AB143" i="1"/>
  <c r="N143" i="1"/>
  <c r="DH143" i="1" s="1"/>
  <c r="EJ143" i="1" s="1"/>
  <c r="N123" i="1"/>
  <c r="DH123" i="1" s="1"/>
  <c r="CF123" i="1"/>
  <c r="N44" i="1"/>
  <c r="DH44" i="1" s="1"/>
  <c r="CF44" i="1"/>
  <c r="M169" i="1"/>
  <c r="DG169" i="1" s="1"/>
  <c r="EI169" i="1" s="1"/>
  <c r="AA169" i="1"/>
  <c r="CE122" i="1"/>
  <c r="I24" i="36"/>
  <c r="M14" i="1"/>
  <c r="DG14" i="1" s="1"/>
  <c r="EI14" i="1" s="1"/>
  <c r="CE14" i="1"/>
  <c r="O98" i="1"/>
  <c r="DI98" i="1" s="1"/>
  <c r="CG98" i="1"/>
  <c r="P93" i="1"/>
  <c r="BF93" i="1" s="1"/>
  <c r="BT93" i="1" s="1"/>
  <c r="AD93" i="1"/>
  <c r="X296" i="2"/>
  <c r="DY174" i="1" s="1"/>
  <c r="U296" i="2"/>
  <c r="V296" i="2" s="1"/>
  <c r="X259" i="2"/>
  <c r="P259" i="2"/>
  <c r="Q259" i="2" s="1"/>
  <c r="P243" i="2"/>
  <c r="Q243" i="2" s="1"/>
  <c r="X243" i="2"/>
  <c r="DX95" i="1" s="1"/>
  <c r="AI109" i="48" s="1"/>
  <c r="U243" i="2"/>
  <c r="V243" i="2" s="1"/>
  <c r="U120" i="2"/>
  <c r="P120" i="2"/>
  <c r="Q120" i="2" s="1"/>
  <c r="X120" i="2"/>
  <c r="AC120" i="2" s="1"/>
  <c r="AD120" i="2" s="1"/>
  <c r="P99" i="2"/>
  <c r="Q99" i="2" s="1"/>
  <c r="AB62" i="1"/>
  <c r="P67" i="2"/>
  <c r="Q67" i="2" s="1"/>
  <c r="X67" i="2"/>
  <c r="DV131" i="1" s="1"/>
  <c r="V31" i="8"/>
  <c r="P49" i="2"/>
  <c r="Q49" i="2" s="1"/>
  <c r="X49" i="2"/>
  <c r="DV162" i="1" s="1"/>
  <c r="U33" i="2"/>
  <c r="P33" i="2"/>
  <c r="Q33" i="2" s="1"/>
  <c r="M58" i="8"/>
  <c r="DG58" i="8" s="1"/>
  <c r="EI58" i="8" s="1"/>
  <c r="AA58" i="8"/>
  <c r="CB8" i="8"/>
  <c r="J8" i="8"/>
  <c r="DD8" i="8" s="1"/>
  <c r="EF8" i="8" s="1"/>
  <c r="F7" i="44" s="1"/>
  <c r="O227" i="1"/>
  <c r="BE227" i="1" s="1"/>
  <c r="BS227" i="1" s="1"/>
  <c r="CG227" i="1"/>
  <c r="O126" i="1"/>
  <c r="DI126" i="1" s="1"/>
  <c r="CG126" i="1"/>
  <c r="CG45" i="1"/>
  <c r="O45" i="1"/>
  <c r="DI45" i="1" s="1"/>
  <c r="EK45" i="1" s="1"/>
  <c r="AC21" i="1"/>
  <c r="BE21" i="1" s="1"/>
  <c r="BS21" i="1" s="1"/>
  <c r="K11" i="36"/>
  <c r="N62" i="1"/>
  <c r="DH62" i="1" s="1"/>
  <c r="AG11" i="48"/>
  <c r="N14" i="1"/>
  <c r="DH14" i="1" s="1"/>
  <c r="EJ14" i="1" s="1"/>
  <c r="CF14" i="1"/>
  <c r="M12" i="1"/>
  <c r="DG12" i="1" s="1"/>
  <c r="EI12" i="1" s="1"/>
  <c r="CE12" i="1"/>
  <c r="CH19" i="1"/>
  <c r="P19" i="1"/>
  <c r="BF19" i="1" s="1"/>
  <c r="BT19" i="1" s="1"/>
  <c r="P242" i="2"/>
  <c r="Q242" i="2" s="1"/>
  <c r="X242" i="2"/>
  <c r="AC242" i="2" s="1"/>
  <c r="AD242" i="2" s="1"/>
  <c r="AD147" i="1"/>
  <c r="BF147" i="1" s="1"/>
  <c r="BT147" i="1" s="1"/>
  <c r="X222" i="2"/>
  <c r="DX147" i="1" s="1"/>
  <c r="EL147" i="1" s="1"/>
  <c r="U119" i="2"/>
  <c r="P119" i="2"/>
  <c r="Q119" i="2" s="1"/>
  <c r="X82" i="2"/>
  <c r="AC82" i="2" s="1"/>
  <c r="AD82" i="2" s="1"/>
  <c r="P82" i="2"/>
  <c r="Q82" i="2" s="1"/>
  <c r="P16" i="2"/>
  <c r="Q16" i="2" s="1"/>
  <c r="X16" i="2"/>
  <c r="AD16" i="2" s="1"/>
  <c r="BZ12" i="8"/>
  <c r="V12" i="8"/>
  <c r="CC13" i="8"/>
  <c r="X12" i="44"/>
  <c r="L37" i="8"/>
  <c r="BB37" i="8" s="1"/>
  <c r="BP37" i="8" s="1"/>
  <c r="Z37" i="8"/>
  <c r="CB49" i="8"/>
  <c r="J49" i="8"/>
  <c r="DD49" i="8" s="1"/>
  <c r="EF49" i="8" s="1"/>
  <c r="CH65" i="8"/>
  <c r="AD65" i="8"/>
  <c r="T6" i="44"/>
  <c r="AG6" i="44" s="1"/>
  <c r="G7" i="8"/>
  <c r="CN200" i="1"/>
  <c r="V200" i="1"/>
  <c r="BL200" i="1" s="1"/>
  <c r="BZ200" i="1" s="1"/>
  <c r="AF205" i="1"/>
  <c r="R205" i="1"/>
  <c r="DL205" i="1" s="1"/>
  <c r="EN205" i="1" s="1"/>
  <c r="O212" i="1"/>
  <c r="BE212" i="1" s="1"/>
  <c r="BS212" i="1" s="1"/>
  <c r="CG212" i="1"/>
  <c r="O159" i="1"/>
  <c r="CG159" i="1"/>
  <c r="N95" i="1"/>
  <c r="DH95" i="1" s="1"/>
  <c r="EJ95" i="1" s="1"/>
  <c r="AB95" i="1"/>
  <c r="CF95" i="1"/>
  <c r="X274" i="2"/>
  <c r="U274" i="2"/>
  <c r="V274" i="2" s="1"/>
  <c r="P274" i="2"/>
  <c r="Q274" i="2" s="1"/>
  <c r="U182" i="2"/>
  <c r="AD162" i="1"/>
  <c r="BF162" i="1" s="1"/>
  <c r="BT162" i="1" s="1"/>
  <c r="U80" i="2"/>
  <c r="P80" i="2"/>
  <c r="Q80" i="2" s="1"/>
  <c r="P30" i="2"/>
  <c r="Q30" i="2" s="1"/>
  <c r="AA141" i="1"/>
  <c r="X11" i="44"/>
  <c r="K12" i="8"/>
  <c r="DE12" i="8" s="1"/>
  <c r="EG12" i="8" s="1"/>
  <c r="G11" i="44" s="1"/>
  <c r="CG34" i="8"/>
  <c r="AC34" i="8"/>
  <c r="BE34" i="8" s="1"/>
  <c r="BS34" i="8" s="1"/>
  <c r="BY65" i="8"/>
  <c r="G65" i="8"/>
  <c r="DA65" i="8" s="1"/>
  <c r="EC65" i="8" s="1"/>
  <c r="AL170" i="1"/>
  <c r="X170" i="1"/>
  <c r="DR170" i="1" s="1"/>
  <c r="ET170" i="1" s="1"/>
  <c r="AG201" i="1"/>
  <c r="S201" i="1"/>
  <c r="BI201" i="1" s="1"/>
  <c r="BW201" i="1" s="1"/>
  <c r="W204" i="1"/>
  <c r="DQ204" i="1" s="1"/>
  <c r="ES204" i="1" s="1"/>
  <c r="CO204" i="1"/>
  <c r="CG187" i="1"/>
  <c r="AC187" i="1"/>
  <c r="AB59" i="1"/>
  <c r="N59" i="1"/>
  <c r="BD59" i="1" s="1"/>
  <c r="BR59" i="1" s="1"/>
  <c r="AA156" i="1"/>
  <c r="CE156" i="1"/>
  <c r="DY129" i="1"/>
  <c r="U292" i="2"/>
  <c r="V292" i="2" s="1"/>
  <c r="X292" i="2"/>
  <c r="X273" i="2"/>
  <c r="H26" i="20" s="1"/>
  <c r="U273" i="2"/>
  <c r="V273" i="2" s="1"/>
  <c r="P273" i="2"/>
  <c r="Q273" i="2" s="1"/>
  <c r="P255" i="2"/>
  <c r="Q255" i="2" s="1"/>
  <c r="X255" i="2"/>
  <c r="U157" i="2"/>
  <c r="P157" i="2"/>
  <c r="Q157" i="2" s="1"/>
  <c r="P114" i="2"/>
  <c r="Q114" i="2" s="1"/>
  <c r="U114" i="2"/>
  <c r="V114" i="2" s="1"/>
  <c r="X114" i="2"/>
  <c r="AC114" i="2" s="1"/>
  <c r="AD114" i="2" s="1"/>
  <c r="X95" i="2"/>
  <c r="P95" i="2"/>
  <c r="Q95" i="2" s="1"/>
  <c r="U63" i="2"/>
  <c r="Z63" i="2" s="1"/>
  <c r="X63" i="2"/>
  <c r="AC63" i="2" s="1"/>
  <c r="AD63" i="2" s="1"/>
  <c r="X45" i="2"/>
  <c r="AD45" i="2" s="1"/>
  <c r="P45" i="2"/>
  <c r="Q45" i="2" s="1"/>
  <c r="U29" i="2"/>
  <c r="P29" i="2"/>
  <c r="Q29" i="2" s="1"/>
  <c r="P13" i="2"/>
  <c r="Q13" i="2" s="1"/>
  <c r="X13" i="2"/>
  <c r="AD13" i="2" s="1"/>
  <c r="U13" i="2"/>
  <c r="Z13" i="2" s="1"/>
  <c r="AE49" i="1"/>
  <c r="DY137" i="1"/>
  <c r="EM137" i="1" s="1"/>
  <c r="AE40" i="1"/>
  <c r="AG13" i="1"/>
  <c r="AF94" i="1"/>
  <c r="DY94" i="1"/>
  <c r="EM94" i="1" s="1"/>
  <c r="N96" i="1"/>
  <c r="DH96" i="1" s="1"/>
  <c r="EJ96" i="1" s="1"/>
  <c r="CF96" i="1"/>
  <c r="U237" i="2"/>
  <c r="X237" i="2"/>
  <c r="AC237" i="2" s="1"/>
  <c r="AD237" i="2" s="1"/>
  <c r="P27" i="2"/>
  <c r="Q27" i="2" s="1"/>
  <c r="X27" i="2"/>
  <c r="D24" i="20" s="1"/>
  <c r="U252" i="2"/>
  <c r="P252" i="2"/>
  <c r="Q252" i="2" s="1"/>
  <c r="S226" i="1"/>
  <c r="DM226" i="1" s="1"/>
  <c r="EO226" i="1" s="1"/>
  <c r="CK226" i="1"/>
  <c r="CC37" i="8"/>
  <c r="Y37" i="8"/>
  <c r="CH39" i="8"/>
  <c r="AD39" i="8"/>
  <c r="BY60" i="8"/>
  <c r="G60" i="8"/>
  <c r="AW60" i="8" s="1"/>
  <c r="BK60" i="8" s="1"/>
  <c r="AD153" i="1"/>
  <c r="X106" i="2"/>
  <c r="DW75" i="1" s="1"/>
  <c r="U106" i="2"/>
  <c r="V106" i="2" s="1"/>
  <c r="U74" i="2"/>
  <c r="P74" i="2"/>
  <c r="Q74" i="2" s="1"/>
  <c r="X147" i="1"/>
  <c r="BN147" i="1" s="1"/>
  <c r="CB147" i="1" s="1"/>
  <c r="AL147" i="1"/>
  <c r="CF50" i="1"/>
  <c r="AB50" i="1"/>
  <c r="AB31" i="1"/>
  <c r="CF31" i="1"/>
  <c r="M92" i="1"/>
  <c r="AA92" i="1"/>
  <c r="CG150" i="1"/>
  <c r="O150" i="1"/>
  <c r="BE150" i="1" s="1"/>
  <c r="BS150" i="1" s="1"/>
  <c r="X300" i="2"/>
  <c r="P300" i="2"/>
  <c r="Q300" i="2" s="1"/>
  <c r="T169" i="1"/>
  <c r="CL169" i="1"/>
  <c r="AD181" i="1"/>
  <c r="P181" i="1"/>
  <c r="BF181" i="1" s="1"/>
  <c r="BT181" i="1" s="1"/>
  <c r="P6" i="1"/>
  <c r="DJ6" i="1" s="1"/>
  <c r="L6" i="36"/>
  <c r="O17" i="1"/>
  <c r="DI17" i="1" s="1"/>
  <c r="CG17" i="1"/>
  <c r="N177" i="1"/>
  <c r="DH177" i="1" s="1"/>
  <c r="AB177" i="1"/>
  <c r="AA47" i="1"/>
  <c r="M47" i="1"/>
  <c r="DG47" i="1" s="1"/>
  <c r="EI47" i="1" s="1"/>
  <c r="CH77" i="1"/>
  <c r="AD77" i="1"/>
  <c r="R56" i="8"/>
  <c r="CJ56" i="8"/>
  <c r="R23" i="8"/>
  <c r="BH23" i="8" s="1"/>
  <c r="BV23" i="8" s="1"/>
  <c r="AF23" i="8"/>
  <c r="M36" i="8"/>
  <c r="CE36" i="8"/>
  <c r="P34" i="8"/>
  <c r="AD34" i="8"/>
  <c r="CE65" i="8"/>
  <c r="AA65" i="8"/>
  <c r="BC65" i="8" s="1"/>
  <c r="BQ65" i="8" s="1"/>
  <c r="AC63" i="8"/>
  <c r="CG63" i="8"/>
  <c r="U203" i="1"/>
  <c r="BK203" i="1" s="1"/>
  <c r="BY203" i="1" s="1"/>
  <c r="AI203" i="1"/>
  <c r="CG15" i="1"/>
  <c r="AC15" i="1"/>
  <c r="CE45" i="1"/>
  <c r="M45" i="1"/>
  <c r="DG45" i="1" s="1"/>
  <c r="AC92" i="1"/>
  <c r="P19" i="2"/>
  <c r="Q19" i="2" s="1"/>
  <c r="X19" i="2"/>
  <c r="AD19" i="2" s="1"/>
  <c r="CB37" i="8"/>
  <c r="J37" i="8"/>
  <c r="AZ37" i="8" s="1"/>
  <c r="BN37" i="8" s="1"/>
  <c r="CI60" i="8"/>
  <c r="AE60" i="8"/>
  <c r="P178" i="1"/>
  <c r="DJ178" i="1" s="1"/>
  <c r="EL178" i="1" s="1"/>
  <c r="CH178" i="1"/>
  <c r="AI23" i="48"/>
  <c r="AD71" i="1"/>
  <c r="M170" i="1"/>
  <c r="DG170" i="1" s="1"/>
  <c r="EI170" i="1" s="1"/>
  <c r="CE170" i="1"/>
  <c r="M212" i="1"/>
  <c r="DG212" i="1" s="1"/>
  <c r="EI212" i="1" s="1"/>
  <c r="CE212" i="1"/>
  <c r="M142" i="1"/>
  <c r="DG142" i="1" s="1"/>
  <c r="EI142" i="1" s="1"/>
  <c r="CE142" i="1"/>
  <c r="P313" i="2"/>
  <c r="Q313" i="2" s="1"/>
  <c r="U313" i="2"/>
  <c r="V313" i="2" s="1"/>
  <c r="U244" i="2"/>
  <c r="P244" i="2"/>
  <c r="Q244" i="2" s="1"/>
  <c r="P190" i="2"/>
  <c r="Q190" i="2" s="1"/>
  <c r="X190" i="2"/>
  <c r="DX203" i="1" s="1"/>
  <c r="DT203" i="1" s="1"/>
  <c r="U121" i="2"/>
  <c r="P121" i="2"/>
  <c r="Q121" i="2" s="1"/>
  <c r="X84" i="2"/>
  <c r="U84" i="2"/>
  <c r="V84" i="2" s="1"/>
  <c r="BZ32" i="8"/>
  <c r="V32" i="8"/>
  <c r="N20" i="1"/>
  <c r="DH20" i="1" s="1"/>
  <c r="AG62" i="48" s="1"/>
  <c r="AG157" i="48" s="1"/>
  <c r="AB20" i="1"/>
  <c r="I23" i="36"/>
  <c r="M141" i="1"/>
  <c r="DG141" i="1" s="1"/>
  <c r="I56" i="36" s="1"/>
  <c r="X17" i="2"/>
  <c r="AD17" i="2" s="1"/>
  <c r="P17" i="2"/>
  <c r="Q17" i="2" s="1"/>
  <c r="AD47" i="1"/>
  <c r="P47" i="1"/>
  <c r="BF47" i="1" s="1"/>
  <c r="BT47" i="1" s="1"/>
  <c r="N212" i="1"/>
  <c r="DH212" i="1" s="1"/>
  <c r="EJ212" i="1" s="1"/>
  <c r="CF212" i="1"/>
  <c r="M82" i="1"/>
  <c r="AA82" i="1"/>
  <c r="AD76" i="1"/>
  <c r="CH76" i="1"/>
  <c r="U5" i="2"/>
  <c r="AA39" i="1"/>
  <c r="BC39" i="1" s="1"/>
  <c r="BQ39" i="1" s="1"/>
  <c r="U222" i="2"/>
  <c r="P222" i="2"/>
  <c r="Q222" i="2" s="1"/>
  <c r="J56" i="8"/>
  <c r="DD56" i="8" s="1"/>
  <c r="AE224" i="1"/>
  <c r="BY35" i="8"/>
  <c r="U35" i="8"/>
  <c r="CA39" i="8"/>
  <c r="I39" i="8"/>
  <c r="DC39" i="8" s="1"/>
  <c r="W64" i="8"/>
  <c r="I64" i="8"/>
  <c r="AY64" i="8" s="1"/>
  <c r="BM64" i="8" s="1"/>
  <c r="U96" i="2"/>
  <c r="P96" i="2"/>
  <c r="Q96" i="2" s="1"/>
  <c r="U14" i="2"/>
  <c r="AA42" i="1"/>
  <c r="BC42" i="1" s="1"/>
  <c r="BQ42" i="1" s="1"/>
  <c r="CF67" i="8"/>
  <c r="N67" i="8"/>
  <c r="BD67" i="8" s="1"/>
  <c r="BR67" i="8" s="1"/>
  <c r="P239" i="2"/>
  <c r="Q239" i="2" s="1"/>
  <c r="AD6" i="1"/>
  <c r="AF40" i="1"/>
  <c r="AF57" i="1"/>
  <c r="AE74" i="1"/>
  <c r="X231" i="2"/>
  <c r="DX226" i="1" s="1"/>
  <c r="DT226" i="1" s="1"/>
  <c r="AD146" i="1"/>
  <c r="EO54" i="1"/>
  <c r="U97" i="1"/>
  <c r="BK97" i="1" s="1"/>
  <c r="BY97" i="1" s="1"/>
  <c r="CG194" i="1"/>
  <c r="AA56" i="1"/>
  <c r="AD11" i="1"/>
  <c r="AD9" i="1"/>
  <c r="BF9" i="1" s="1"/>
  <c r="BT9" i="1" s="1"/>
  <c r="AG202" i="1"/>
  <c r="AA99" i="1"/>
  <c r="N19" i="1"/>
  <c r="DH19" i="1" s="1"/>
  <c r="EJ19" i="1" s="1"/>
  <c r="CK195" i="1"/>
  <c r="AC204" i="1"/>
  <c r="AB93" i="1"/>
  <c r="BD93" i="1" s="1"/>
  <c r="BR93" i="1" s="1"/>
  <c r="M149" i="1"/>
  <c r="DG149" i="1" s="1"/>
  <c r="EI149" i="1" s="1"/>
  <c r="AF15" i="48"/>
  <c r="Q169" i="1"/>
  <c r="DK169" i="1" s="1"/>
  <c r="EM169" i="1" s="1"/>
  <c r="CH80" i="1"/>
  <c r="CE18" i="1"/>
  <c r="AC117" i="1"/>
  <c r="AC79" i="1"/>
  <c r="CE132" i="1"/>
  <c r="AG197" i="1"/>
  <c r="AB111" i="1"/>
  <c r="I6" i="36"/>
  <c r="W201" i="1"/>
  <c r="BM201" i="1" s="1"/>
  <c r="CA201" i="1" s="1"/>
  <c r="CE149" i="1"/>
  <c r="N136" i="1"/>
  <c r="DH136" i="1" s="1"/>
  <c r="EJ136" i="1" s="1"/>
  <c r="CL167" i="1"/>
  <c r="S202" i="1"/>
  <c r="DM202" i="1" s="1"/>
  <c r="EO202" i="1" s="1"/>
  <c r="N26" i="1"/>
  <c r="DH26" i="1" s="1"/>
  <c r="EJ26" i="1" s="1"/>
  <c r="CE100" i="1"/>
  <c r="M104" i="35"/>
  <c r="AB53" i="1"/>
  <c r="BD53" i="1" s="1"/>
  <c r="BR53" i="1" s="1"/>
  <c r="CJ100" i="1"/>
  <c r="AC138" i="1"/>
  <c r="AA6" i="1"/>
  <c r="CE34" i="1"/>
  <c r="CH60" i="1"/>
  <c r="V177" i="1"/>
  <c r="DP177" i="1" s="1"/>
  <c r="ER177" i="1" s="1"/>
  <c r="K21" i="36"/>
  <c r="CE179" i="1"/>
  <c r="N114" i="1"/>
  <c r="DH114" i="1" s="1"/>
  <c r="EJ114" i="1" s="1"/>
  <c r="M52" i="1"/>
  <c r="BC52" i="1" s="1"/>
  <c r="BQ52" i="1" s="1"/>
  <c r="AB7" i="1"/>
  <c r="N202" i="1"/>
  <c r="DH202" i="1" s="1"/>
  <c r="EJ202" i="1" s="1"/>
  <c r="CE160" i="1"/>
  <c r="AA74" i="1"/>
  <c r="CF35" i="1"/>
  <c r="CF7" i="1"/>
  <c r="CG184" i="1"/>
  <c r="S195" i="1"/>
  <c r="BI195" i="1" s="1"/>
  <c r="BW195" i="1" s="1"/>
  <c r="AD38" i="1"/>
  <c r="CG9" i="1"/>
  <c r="AB202" i="1"/>
  <c r="AE11" i="44"/>
  <c r="E81" i="22"/>
  <c r="CH11" i="1"/>
  <c r="AB182" i="1"/>
  <c r="BD182" i="1" s="1"/>
  <c r="BR182" i="1" s="1"/>
  <c r="AA150" i="1"/>
  <c r="P167" i="1"/>
  <c r="DJ167" i="1" s="1"/>
  <c r="N78" i="1"/>
  <c r="DH78" i="1" s="1"/>
  <c r="EJ78" i="1" s="1"/>
  <c r="J78" i="36"/>
  <c r="AD167" i="1"/>
  <c r="M100" i="1"/>
  <c r="DG100" i="1" s="1"/>
  <c r="EI100" i="1" s="1"/>
  <c r="CE180" i="1"/>
  <c r="CG57" i="1"/>
  <c r="M200" i="1"/>
  <c r="DG200" i="1" s="1"/>
  <c r="EI200" i="1" s="1"/>
  <c r="AC57" i="1"/>
  <c r="N35" i="1"/>
  <c r="DH35" i="1" s="1"/>
  <c r="EJ35" i="1" s="1"/>
  <c r="CS173" i="1"/>
  <c r="CF53" i="1"/>
  <c r="M6" i="1"/>
  <c r="DG6" i="1" s="1"/>
  <c r="O24" i="1"/>
  <c r="BE24" i="1" s="1"/>
  <c r="BS24" i="1" s="1"/>
  <c r="AF24" i="48"/>
  <c r="AB114" i="1"/>
  <c r="M41" i="1"/>
  <c r="DG41" i="1" s="1"/>
  <c r="CF153" i="1"/>
  <c r="CF182" i="1"/>
  <c r="AB136" i="1"/>
  <c r="AG19" i="48"/>
  <c r="AB153" i="1"/>
  <c r="AA160" i="1"/>
  <c r="CF78" i="1"/>
  <c r="CF19" i="1"/>
  <c r="M180" i="1"/>
  <c r="DG180" i="1" s="1"/>
  <c r="EI180" i="1" s="1"/>
  <c r="CJ226" i="1"/>
  <c r="AD39" i="1"/>
  <c r="AF187" i="1"/>
  <c r="I9" i="36"/>
  <c r="CG80" i="1"/>
  <c r="P206" i="1"/>
  <c r="DJ206" i="1" s="1"/>
  <c r="AB26" i="1"/>
  <c r="CG164" i="1"/>
  <c r="AC9" i="1"/>
  <c r="BE9" i="1" s="1"/>
  <c r="BS9" i="1" s="1"/>
  <c r="CL226" i="1"/>
  <c r="CU157" i="1"/>
  <c r="CH39" i="1"/>
  <c r="AC184" i="1"/>
  <c r="CG37" i="1"/>
  <c r="M160" i="1"/>
  <c r="DG160" i="1" s="1"/>
  <c r="I48" i="36" s="1"/>
  <c r="AC24" i="1"/>
  <c r="CE200" i="1"/>
  <c r="AN44" i="1"/>
  <c r="U80" i="1"/>
  <c r="DO80" i="1" s="1"/>
  <c r="EQ80" i="1" s="1"/>
  <c r="CJ96" i="1"/>
  <c r="CJ95" i="1"/>
  <c r="AE15" i="8"/>
  <c r="EI166" i="1"/>
  <c r="AC7" i="44"/>
  <c r="AG10" i="28"/>
  <c r="AH10" i="28" s="1"/>
  <c r="AI10" i="28" s="1"/>
  <c r="AA48" i="28"/>
  <c r="AA87" i="28"/>
  <c r="AH46" i="28"/>
  <c r="AI46" i="28" s="1"/>
  <c r="AB12" i="28"/>
  <c r="AB13" i="28" s="1"/>
  <c r="AF11" i="28" s="1"/>
  <c r="AB49" i="28"/>
  <c r="AB50" i="28" s="1"/>
  <c r="AF47" i="28" s="1"/>
  <c r="AA124" i="28"/>
  <c r="AA125" i="28" s="1"/>
  <c r="AB124" i="28"/>
  <c r="AB125" i="28" s="1"/>
  <c r="AB48" i="28"/>
  <c r="AH9" i="28"/>
  <c r="AI9" i="28" s="1"/>
  <c r="AB87" i="28"/>
  <c r="AH45" i="28"/>
  <c r="AI45" i="28" s="1"/>
  <c r="V197" i="1"/>
  <c r="BL197" i="1" s="1"/>
  <c r="BZ197" i="1" s="1"/>
  <c r="AD57" i="1"/>
  <c r="BF57" i="1" s="1"/>
  <c r="BT57" i="1" s="1"/>
  <c r="BM169" i="1"/>
  <c r="CA169" i="1" s="1"/>
  <c r="U98" i="1"/>
  <c r="BK98" i="1" s="1"/>
  <c r="BY98" i="1" s="1"/>
  <c r="AA18" i="1"/>
  <c r="BC18" i="1" s="1"/>
  <c r="BQ18" i="1" s="1"/>
  <c r="R99" i="1"/>
  <c r="BH99" i="1" s="1"/>
  <c r="BV99" i="1" s="1"/>
  <c r="CH46" i="1"/>
  <c r="I22" i="36"/>
  <c r="AF12" i="48"/>
  <c r="AC126" i="1"/>
  <c r="T167" i="1"/>
  <c r="DN167" i="1" s="1"/>
  <c r="EP167" i="1" s="1"/>
  <c r="Q97" i="1"/>
  <c r="DK97" i="1" s="1"/>
  <c r="EM97" i="1" s="1"/>
  <c r="CH223" i="1"/>
  <c r="AB183" i="1"/>
  <c r="BD183" i="1" s="1"/>
  <c r="BR183" i="1" s="1"/>
  <c r="CL152" i="1"/>
  <c r="AB116" i="1"/>
  <c r="AC208" i="1"/>
  <c r="CF177" i="1"/>
  <c r="M179" i="1"/>
  <c r="DG179" i="1" s="1"/>
  <c r="EI179" i="1" s="1"/>
  <c r="CG210" i="1"/>
  <c r="AA93" i="1"/>
  <c r="M88" i="1"/>
  <c r="DG88" i="1" s="1"/>
  <c r="EI88" i="1" s="1"/>
  <c r="CJ191" i="1"/>
  <c r="M97" i="1"/>
  <c r="DG97" i="1" s="1"/>
  <c r="EI97" i="1" s="1"/>
  <c r="M56" i="1"/>
  <c r="DG56" i="1" s="1"/>
  <c r="CE134" i="1"/>
  <c r="AA181" i="1"/>
  <c r="CG158" i="1"/>
  <c r="CF48" i="1"/>
  <c r="M182" i="1"/>
  <c r="BC182" i="1" s="1"/>
  <c r="BQ182" i="1" s="1"/>
  <c r="CH6" i="1"/>
  <c r="AI25" i="48"/>
  <c r="AK24" i="48"/>
  <c r="AD187" i="1"/>
  <c r="AE170" i="1"/>
  <c r="CF61" i="1"/>
  <c r="CE139" i="1"/>
  <c r="K8" i="36"/>
  <c r="CG117" i="1"/>
  <c r="BL202" i="1"/>
  <c r="BZ202" i="1" s="1"/>
  <c r="BI54" i="1"/>
  <c r="BW54" i="1" s="1"/>
  <c r="Q200" i="1"/>
  <c r="DK200" i="1" s="1"/>
  <c r="EM200" i="1" s="1"/>
  <c r="AC12" i="1"/>
  <c r="AM25" i="48"/>
  <c r="K25" i="48" s="1"/>
  <c r="O166" i="1"/>
  <c r="BE166" i="1" s="1"/>
  <c r="BS166" i="1" s="1"/>
  <c r="AJ205" i="1"/>
  <c r="CM54" i="1"/>
  <c r="CH140" i="1"/>
  <c r="X226" i="1"/>
  <c r="DR226" i="1" s="1"/>
  <c r="ET226" i="1" s="1"/>
  <c r="CF122" i="1"/>
  <c r="Q194" i="1"/>
  <c r="DK194" i="1" s="1"/>
  <c r="EM194" i="1" s="1"/>
  <c r="U54" i="1"/>
  <c r="BK54" i="1" s="1"/>
  <c r="BY54" i="1" s="1"/>
  <c r="P122" i="1"/>
  <c r="DJ122" i="1" s="1"/>
  <c r="L57" i="36" s="1"/>
  <c r="L105" i="36" s="1"/>
  <c r="O132" i="1"/>
  <c r="DI132" i="1" s="1"/>
  <c r="P224" i="1"/>
  <c r="DJ224" i="1" s="1"/>
  <c r="EL224" i="1" s="1"/>
  <c r="AA81" i="1"/>
  <c r="AB142" i="1"/>
  <c r="CG96" i="1"/>
  <c r="AK217" i="1"/>
  <c r="L30" i="44"/>
  <c r="I31" i="44"/>
  <c r="K30" i="44"/>
  <c r="X417" i="2"/>
  <c r="AC417" i="2" s="1"/>
  <c r="AG72" i="1"/>
  <c r="BI72" i="1" s="1"/>
  <c r="BW72" i="1" s="1"/>
  <c r="AE10" i="8"/>
  <c r="J34" i="8"/>
  <c r="CD1" i="8"/>
  <c r="U437" i="2"/>
  <c r="V437" i="2" s="1"/>
  <c r="P405" i="2"/>
  <c r="Q405" i="2" s="1"/>
  <c r="U389" i="2"/>
  <c r="V389" i="2" s="1"/>
  <c r="U388" i="2"/>
  <c r="V388" i="2" s="1"/>
  <c r="X419" i="2"/>
  <c r="EA114" i="1" s="1"/>
  <c r="EO114" i="1" s="1"/>
  <c r="X387" i="2"/>
  <c r="H157" i="35" s="1"/>
  <c r="O157" i="35" s="1"/>
  <c r="P402" i="2"/>
  <c r="Q402" i="2" s="1"/>
  <c r="P386" i="2"/>
  <c r="Q386" i="2" s="1"/>
  <c r="X432" i="2"/>
  <c r="H152" i="35" s="1"/>
  <c r="O152" i="35" s="1"/>
  <c r="X416" i="2"/>
  <c r="X431" i="2"/>
  <c r="EA106" i="1" s="1"/>
  <c r="X415" i="2"/>
  <c r="U430" i="2"/>
  <c r="V430" i="2" s="1"/>
  <c r="U414" i="2"/>
  <c r="Z414" i="2" s="1"/>
  <c r="U429" i="2"/>
  <c r="V429" i="2" s="1"/>
  <c r="X413" i="2"/>
  <c r="H153" i="35" s="1"/>
  <c r="O153" i="35" s="1"/>
  <c r="U428" i="2"/>
  <c r="V428" i="2" s="1"/>
  <c r="X396" i="2"/>
  <c r="EA44" i="1" s="1"/>
  <c r="X443" i="2"/>
  <c r="X411" i="2"/>
  <c r="EA49" i="1" s="1"/>
  <c r="U442" i="2"/>
  <c r="Z442" i="2" s="1"/>
  <c r="P426" i="2"/>
  <c r="Q426" i="2" s="1"/>
  <c r="U410" i="2"/>
  <c r="V410" i="2" s="1"/>
  <c r="P394" i="2"/>
  <c r="Q394" i="2" s="1"/>
  <c r="U441" i="2"/>
  <c r="V441" i="2" s="1"/>
  <c r="P425" i="2"/>
  <c r="Q425" i="2" s="1"/>
  <c r="X440" i="2"/>
  <c r="EA13" i="1" s="1"/>
  <c r="O73" i="36" s="1"/>
  <c r="X424" i="2"/>
  <c r="H160" i="35" s="1"/>
  <c r="O160" i="35" s="1"/>
  <c r="U408" i="2"/>
  <c r="V408" i="2" s="1"/>
  <c r="X392" i="2"/>
  <c r="X439" i="2"/>
  <c r="X407" i="2"/>
  <c r="EA128" i="1" s="1"/>
  <c r="X391" i="2"/>
  <c r="EA86" i="1" s="1"/>
  <c r="DT86" i="1" s="1"/>
  <c r="U438" i="2"/>
  <c r="V438" i="2" s="1"/>
  <c r="P406" i="2"/>
  <c r="Q406" i="2" s="1"/>
  <c r="AF137" i="6"/>
  <c r="AG118" i="6"/>
  <c r="Z136" i="6"/>
  <c r="Z126" i="6"/>
  <c r="AS108" i="6"/>
  <c r="AM53" i="6"/>
  <c r="AM73" i="6"/>
  <c r="AM69" i="6"/>
  <c r="AM72" i="6"/>
  <c r="AM71" i="6"/>
  <c r="AM52" i="6"/>
  <c r="AM51" i="6"/>
  <c r="AM76" i="6"/>
  <c r="AM70" i="6"/>
  <c r="Q152" i="6"/>
  <c r="Q154" i="6" s="1"/>
  <c r="AJ91" i="6"/>
  <c r="AJ109" i="6"/>
  <c r="AJ112" i="6"/>
  <c r="AJ108" i="6"/>
  <c r="AJ90" i="6"/>
  <c r="AJ110" i="6"/>
  <c r="AJ89" i="6"/>
  <c r="AF113" i="6"/>
  <c r="AF89" i="6" s="1"/>
  <c r="AF114" i="6"/>
  <c r="M9" i="24"/>
  <c r="M11" i="24" s="1"/>
  <c r="AN126" i="6"/>
  <c r="AN136" i="6"/>
  <c r="O201" i="6"/>
  <c r="O202" i="6" s="1"/>
  <c r="J201" i="6"/>
  <c r="AG21" i="6"/>
  <c r="G201" i="6"/>
  <c r="F151" i="6"/>
  <c r="F152" i="6" s="1"/>
  <c r="F154" i="6" s="1"/>
  <c r="M201" i="6"/>
  <c r="I201" i="6"/>
  <c r="P201" i="6"/>
  <c r="H201" i="6"/>
  <c r="F201" i="6"/>
  <c r="C8" i="24"/>
  <c r="K201" i="6"/>
  <c r="L201" i="6"/>
  <c r="N201" i="6"/>
  <c r="Q201" i="6"/>
  <c r="R201" i="6" s="1"/>
  <c r="U39" i="6"/>
  <c r="AW32" i="20"/>
  <c r="AM47" i="20"/>
  <c r="AM28" i="20"/>
  <c r="AW35" i="20"/>
  <c r="U61" i="24"/>
  <c r="K61" i="24"/>
  <c r="W61" i="24"/>
  <c r="Y61" i="24"/>
  <c r="C61" i="24"/>
  <c r="AM89" i="6"/>
  <c r="AM106" i="6"/>
  <c r="AM112" i="6"/>
  <c r="AM91" i="6"/>
  <c r="AM90" i="6"/>
  <c r="AM107" i="6"/>
  <c r="AM108" i="6"/>
  <c r="AM110" i="6"/>
  <c r="AM105" i="6"/>
  <c r="AJ106" i="6"/>
  <c r="AQ95" i="6"/>
  <c r="AQ106" i="6"/>
  <c r="AQ89" i="6"/>
  <c r="AQ90" i="6"/>
  <c r="AQ108" i="6"/>
  <c r="AQ109" i="6"/>
  <c r="AN30" i="6"/>
  <c r="Z40" i="20"/>
  <c r="Z48" i="20"/>
  <c r="Z139" i="6"/>
  <c r="AV118" i="6"/>
  <c r="V109" i="6"/>
  <c r="V105" i="6"/>
  <c r="V95" i="6"/>
  <c r="V92" i="6"/>
  <c r="V111" i="6"/>
  <c r="V90" i="6"/>
  <c r="V106" i="6"/>
  <c r="V89" i="6"/>
  <c r="AD113" i="6"/>
  <c r="AV43" i="6"/>
  <c r="AV77" i="6" s="1"/>
  <c r="AV74" i="6" s="1"/>
  <c r="AN127" i="6"/>
  <c r="K60" i="24" s="1"/>
  <c r="AN77" i="6"/>
  <c r="AN139" i="6" s="1"/>
  <c r="AN52" i="20"/>
  <c r="AD127" i="6"/>
  <c r="AD138" i="6"/>
  <c r="AD136" i="6" s="1"/>
  <c r="AA72" i="6"/>
  <c r="AA73" i="6"/>
  <c r="AA76" i="6"/>
  <c r="AA71" i="6"/>
  <c r="AA57" i="6"/>
  <c r="AA74" i="6"/>
  <c r="AA70" i="6"/>
  <c r="AA54" i="6"/>
  <c r="AU90" i="6"/>
  <c r="AU111" i="6"/>
  <c r="AQ45" i="20"/>
  <c r="AE70" i="6"/>
  <c r="AE69" i="6"/>
  <c r="AE57" i="6"/>
  <c r="AE74" i="6"/>
  <c r="AE51" i="6"/>
  <c r="AE54" i="6"/>
  <c r="AE52" i="6"/>
  <c r="AE72" i="6"/>
  <c r="AE76" i="6"/>
  <c r="AE73" i="6"/>
  <c r="AE71" i="6"/>
  <c r="E9" i="24"/>
  <c r="E10" i="24" s="1"/>
  <c r="AR48" i="20"/>
  <c r="AW24" i="20"/>
  <c r="Z38" i="6"/>
  <c r="Z15" i="6"/>
  <c r="Z35" i="6"/>
  <c r="G9" i="24"/>
  <c r="G11" i="24" s="1"/>
  <c r="M61" i="24"/>
  <c r="AN38" i="6"/>
  <c r="AN34" i="6"/>
  <c r="AN32" i="6"/>
  <c r="AN33" i="6"/>
  <c r="Y136" i="6"/>
  <c r="Y126" i="6"/>
  <c r="AU138" i="6"/>
  <c r="AU126" i="6" s="1"/>
  <c r="AP74" i="6"/>
  <c r="AP70" i="6"/>
  <c r="AP69" i="6"/>
  <c r="AP52" i="6"/>
  <c r="AP68" i="6"/>
  <c r="AG21" i="20"/>
  <c r="AG23" i="20"/>
  <c r="V28" i="20"/>
  <c r="AH23" i="20"/>
  <c r="AA31" i="6"/>
  <c r="AS34" i="6"/>
  <c r="AS33" i="6"/>
  <c r="X57" i="6"/>
  <c r="AC109" i="6"/>
  <c r="AB76" i="6"/>
  <c r="Z57" i="6"/>
  <c r="AH32" i="20"/>
  <c r="X138" i="6"/>
  <c r="X136" i="6" s="1"/>
  <c r="AS127" i="6"/>
  <c r="U60" i="24" s="1"/>
  <c r="AD137" i="6"/>
  <c r="W77" i="6"/>
  <c r="W74" i="6" s="1"/>
  <c r="P150" i="6"/>
  <c r="AF47" i="20"/>
  <c r="AQ28" i="20"/>
  <c r="P200" i="6"/>
  <c r="X76" i="6"/>
  <c r="W138" i="6"/>
  <c r="W136" i="6" s="1"/>
  <c r="AB44" i="20"/>
  <c r="W39" i="6"/>
  <c r="Z74" i="6"/>
  <c r="AA40" i="20"/>
  <c r="V40" i="20"/>
  <c r="AL45" i="20"/>
  <c r="AG43" i="6"/>
  <c r="AP127" i="6"/>
  <c r="O60" i="24" s="1"/>
  <c r="AG35" i="20"/>
  <c r="Q200" i="6"/>
  <c r="AS15" i="6"/>
  <c r="X54" i="6"/>
  <c r="AJ40" i="20"/>
  <c r="AJ52" i="20" s="1"/>
  <c r="Z53" i="6"/>
  <c r="AH43" i="6"/>
  <c r="Z71" i="6"/>
  <c r="Z68" i="6"/>
  <c r="AF40" i="20"/>
  <c r="AA51" i="6"/>
  <c r="AB28" i="20"/>
  <c r="AW21" i="20"/>
  <c r="AC28" i="20"/>
  <c r="AN113" i="6"/>
  <c r="Y77" i="6"/>
  <c r="Y73" i="6" s="1"/>
  <c r="W11" i="24"/>
  <c r="AF16" i="20"/>
  <c r="AG36" i="20"/>
  <c r="AC46" i="20"/>
  <c r="AU28" i="20"/>
  <c r="AA19" i="6"/>
  <c r="AA30" i="6"/>
  <c r="AA16" i="6"/>
  <c r="X71" i="6"/>
  <c r="AA139" i="6"/>
  <c r="S61" i="24"/>
  <c r="AK70" i="6"/>
  <c r="Z69" i="6"/>
  <c r="AN44" i="20"/>
  <c r="X39" i="6"/>
  <c r="V138" i="6"/>
  <c r="V136" i="6" s="1"/>
  <c r="AU39" i="6"/>
  <c r="AU30" i="6" s="1"/>
  <c r="AH9" i="20"/>
  <c r="R9" i="20" s="1"/>
  <c r="AD46" i="20"/>
  <c r="W48" i="20"/>
  <c r="AA35" i="6"/>
  <c r="AS32" i="6"/>
  <c r="X68" i="6"/>
  <c r="Z73" i="6"/>
  <c r="AA127" i="6"/>
  <c r="AK69" i="6"/>
  <c r="AG33" i="20"/>
  <c r="AM139" i="6"/>
  <c r="AE138" i="6"/>
  <c r="AE126" i="6" s="1"/>
  <c r="Z70" i="6"/>
  <c r="U127" i="6"/>
  <c r="AS31" i="6"/>
  <c r="AW5" i="6"/>
  <c r="S145" i="6" s="1"/>
  <c r="K150" i="6"/>
  <c r="AB39" i="6"/>
  <c r="AB33" i="6" s="1"/>
  <c r="AG8" i="20"/>
  <c r="AF46" i="20"/>
  <c r="AG24" i="20"/>
  <c r="AV34" i="20"/>
  <c r="M152" i="6"/>
  <c r="M153" i="6" s="1"/>
  <c r="AS13" i="6"/>
  <c r="AW21" i="6"/>
  <c r="AD8" i="24" s="1"/>
  <c r="AG20" i="20"/>
  <c r="AG44" i="20" s="1"/>
  <c r="AH36" i="20"/>
  <c r="AV24" i="20"/>
  <c r="AH12" i="20"/>
  <c r="R12" i="20" s="1"/>
  <c r="AC45" i="20"/>
  <c r="W47" i="20"/>
  <c r="AA48" i="20"/>
  <c r="AS30" i="6"/>
  <c r="Z72" i="6"/>
  <c r="Z51" i="6"/>
  <c r="J200" i="6"/>
  <c r="AL44" i="20"/>
  <c r="AV21" i="20"/>
  <c r="AH33" i="20"/>
  <c r="AJ127" i="6"/>
  <c r="C60" i="24" s="1"/>
  <c r="AW97" i="6"/>
  <c r="AM137" i="6"/>
  <c r="I61" i="24" s="1"/>
  <c r="X137" i="6"/>
  <c r="X16" i="20"/>
  <c r="M200" i="6"/>
  <c r="M202" i="6" s="1"/>
  <c r="M203" i="6" s="1"/>
  <c r="AS14" i="6"/>
  <c r="N154" i="6"/>
  <c r="AC95" i="6"/>
  <c r="AC91" i="6"/>
  <c r="AL127" i="6"/>
  <c r="G60" i="24" s="1"/>
  <c r="V39" i="6"/>
  <c r="Z52" i="6"/>
  <c r="Q7" i="24"/>
  <c r="AL46" i="20"/>
  <c r="AE137" i="6"/>
  <c r="AH21" i="20"/>
  <c r="AL39" i="6"/>
  <c r="AL30" i="6" s="1"/>
  <c r="AL28" i="20"/>
  <c r="AB54" i="6"/>
  <c r="AC108" i="6"/>
  <c r="AT111" i="6"/>
  <c r="J150" i="6"/>
  <c r="J152" i="6" s="1"/>
  <c r="J153" i="6" s="1"/>
  <c r="G151" i="6"/>
  <c r="G152" i="6" s="1"/>
  <c r="G154" i="6" s="1"/>
  <c r="AR40" i="20"/>
  <c r="AP114" i="6"/>
  <c r="AV81" i="6"/>
  <c r="AV127" i="6" s="1"/>
  <c r="AA16" i="20"/>
  <c r="AK127" i="6"/>
  <c r="E60" i="24" s="1"/>
  <c r="AS36" i="6"/>
  <c r="N200" i="6"/>
  <c r="I200" i="6"/>
  <c r="AC110" i="6"/>
  <c r="Y39" i="6"/>
  <c r="I151" i="6"/>
  <c r="I152" i="6" s="1"/>
  <c r="AS48" i="20"/>
  <c r="U137" i="6"/>
  <c r="AP39" i="6"/>
  <c r="AP32" i="6" s="1"/>
  <c r="AB16" i="20"/>
  <c r="AP28" i="20"/>
  <c r="AT44" i="20"/>
  <c r="H200" i="6"/>
  <c r="H202" i="6" s="1"/>
  <c r="H204" i="6" s="1"/>
  <c r="AB71" i="6"/>
  <c r="AM126" i="6"/>
  <c r="AG9" i="20"/>
  <c r="AB52" i="6"/>
  <c r="AA14" i="6"/>
  <c r="AO126" i="6"/>
  <c r="K151" i="6"/>
  <c r="AB51" i="6"/>
  <c r="AS28" i="20"/>
  <c r="AT127" i="6"/>
  <c r="W60" i="24" s="1"/>
  <c r="AP105" i="6"/>
  <c r="AV5" i="6"/>
  <c r="AK39" i="6"/>
  <c r="AK13" i="6" s="1"/>
  <c r="AC16" i="20"/>
  <c r="U44" i="20"/>
  <c r="AG10" i="20"/>
  <c r="AW36" i="20"/>
  <c r="E61" i="24"/>
  <c r="AW33" i="20"/>
  <c r="AE68" i="6"/>
  <c r="AB74" i="6"/>
  <c r="AO113" i="6"/>
  <c r="AP137" i="6"/>
  <c r="O61" i="24" s="1"/>
  <c r="L200" i="6"/>
  <c r="AD16" i="20"/>
  <c r="AT48" i="20"/>
  <c r="AW23" i="20"/>
  <c r="F9" i="41"/>
  <c r="Q10" i="41"/>
  <c r="I10" i="41"/>
  <c r="BZ54" i="8"/>
  <c r="CD3" i="8"/>
  <c r="J13" i="36"/>
  <c r="AF197" i="1"/>
  <c r="P179" i="1"/>
  <c r="DJ179" i="1" s="1"/>
  <c r="O92" i="1"/>
  <c r="DI92" i="1" s="1"/>
  <c r="N22" i="1"/>
  <c r="BD22" i="1" s="1"/>
  <c r="BR22" i="1" s="1"/>
  <c r="AA64" i="1"/>
  <c r="V196" i="1"/>
  <c r="BL196" i="1" s="1"/>
  <c r="BZ196" i="1" s="1"/>
  <c r="AB216" i="1"/>
  <c r="AC177" i="1"/>
  <c r="CH149" i="1"/>
  <c r="AD96" i="1"/>
  <c r="CI153" i="1"/>
  <c r="CJ204" i="1"/>
  <c r="AA25" i="1"/>
  <c r="CE65" i="1"/>
  <c r="CF191" i="1"/>
  <c r="M107" i="1"/>
  <c r="BC107" i="1" s="1"/>
  <c r="BQ107" i="1" s="1"/>
  <c r="AF27" i="48"/>
  <c r="N107" i="1"/>
  <c r="DH107" i="1" s="1"/>
  <c r="EJ107" i="1" s="1"/>
  <c r="AG27" i="48"/>
  <c r="R80" i="1"/>
  <c r="DL80" i="1" s="1"/>
  <c r="EN80" i="1" s="1"/>
  <c r="AC183" i="1"/>
  <c r="M32" i="1"/>
  <c r="DG32" i="1" s="1"/>
  <c r="I40" i="36" s="1"/>
  <c r="O107" i="1"/>
  <c r="DI107" i="1" s="1"/>
  <c r="EK107" i="1" s="1"/>
  <c r="AH27" i="48"/>
  <c r="M102" i="1"/>
  <c r="BC102" i="1" s="1"/>
  <c r="BQ102" i="1" s="1"/>
  <c r="AF26" i="48"/>
  <c r="P107" i="1"/>
  <c r="DJ107" i="1" s="1"/>
  <c r="EL107" i="1" s="1"/>
  <c r="AI27" i="48"/>
  <c r="EI64" i="1"/>
  <c r="N102" i="1"/>
  <c r="BD102" i="1" s="1"/>
  <c r="BR102" i="1" s="1"/>
  <c r="AG26" i="48"/>
  <c r="Q107" i="1"/>
  <c r="BG107" i="1" s="1"/>
  <c r="BU107" i="1" s="1"/>
  <c r="AJ27" i="48"/>
  <c r="M74" i="1"/>
  <c r="DG74" i="1" s="1"/>
  <c r="EI74" i="1" s="1"/>
  <c r="CS157" i="1"/>
  <c r="CS127" i="1"/>
  <c r="CP205" i="1"/>
  <c r="CE99" i="1"/>
  <c r="K17" i="48"/>
  <c r="L17" i="48" s="1"/>
  <c r="AC102" i="1"/>
  <c r="AH26" i="48"/>
  <c r="R107" i="1"/>
  <c r="DL107" i="1" s="1"/>
  <c r="AK27" i="48"/>
  <c r="P102" i="1"/>
  <c r="BF102" i="1" s="1"/>
  <c r="BT102" i="1" s="1"/>
  <c r="AI26" i="48"/>
  <c r="S107" i="1"/>
  <c r="BI107" i="1" s="1"/>
  <c r="BW107" i="1" s="1"/>
  <c r="AL27" i="48"/>
  <c r="N111" i="1"/>
  <c r="DH111" i="1" s="1"/>
  <c r="AG74" i="48" s="1"/>
  <c r="Q102" i="1"/>
  <c r="DK102" i="1" s="1"/>
  <c r="EM102" i="1" s="1"/>
  <c r="AJ26" i="48"/>
  <c r="CL107" i="1"/>
  <c r="AM27" i="48"/>
  <c r="R102" i="1"/>
  <c r="DL102" i="1" s="1"/>
  <c r="AK26" i="48"/>
  <c r="U107" i="1"/>
  <c r="DO107" i="1" s="1"/>
  <c r="EQ107" i="1" s="1"/>
  <c r="AN27" i="48"/>
  <c r="AC156" i="1"/>
  <c r="CH59" i="1"/>
  <c r="X205" i="1"/>
  <c r="BN205" i="1" s="1"/>
  <c r="CB205" i="1" s="1"/>
  <c r="AA162" i="1"/>
  <c r="S102" i="1"/>
  <c r="DM102" i="1" s="1"/>
  <c r="AL26" i="48"/>
  <c r="AJ107" i="1"/>
  <c r="AO27" i="48"/>
  <c r="J20" i="36"/>
  <c r="AH102" i="1"/>
  <c r="AM26" i="48"/>
  <c r="CO107" i="1"/>
  <c r="AP27" i="48"/>
  <c r="CI169" i="1"/>
  <c r="CG79" i="1"/>
  <c r="AH195" i="1"/>
  <c r="AI102" i="1"/>
  <c r="AN26" i="48"/>
  <c r="X107" i="1"/>
  <c r="DR107" i="1" s="1"/>
  <c r="ET107" i="1" s="1"/>
  <c r="AQ27" i="48"/>
  <c r="V102" i="1"/>
  <c r="BL102" i="1" s="1"/>
  <c r="BZ102" i="1" s="1"/>
  <c r="AO26" i="48"/>
  <c r="CO102" i="1"/>
  <c r="AP26" i="48"/>
  <c r="X102" i="1"/>
  <c r="BN102" i="1" s="1"/>
  <c r="CB102" i="1" s="1"/>
  <c r="AQ26" i="48"/>
  <c r="BI63" i="48"/>
  <c r="BI115" i="48"/>
  <c r="BI69" i="48"/>
  <c r="BI59" i="48"/>
  <c r="BI70" i="48"/>
  <c r="BI66" i="48"/>
  <c r="F27" i="51"/>
  <c r="E26" i="51"/>
  <c r="F25" i="51"/>
  <c r="F26" i="51"/>
  <c r="E25" i="51"/>
  <c r="BI109" i="48"/>
  <c r="BI113" i="48"/>
  <c r="BH102" i="48"/>
  <c r="BH5" i="48"/>
  <c r="M29" i="51"/>
  <c r="X80" i="1"/>
  <c r="DR80" i="1" s="1"/>
  <c r="ET80" i="1" s="1"/>
  <c r="K114" i="48"/>
  <c r="L114" i="48" s="1"/>
  <c r="F16" i="51"/>
  <c r="BI62" i="48"/>
  <c r="BI67" i="48"/>
  <c r="BI56" i="48"/>
  <c r="BI111" i="48"/>
  <c r="BI58" i="48"/>
  <c r="BI61" i="48"/>
  <c r="BI71" i="48"/>
  <c r="BI116" i="48"/>
  <c r="BI65" i="48"/>
  <c r="BI68" i="48"/>
  <c r="J21" i="44"/>
  <c r="L21" i="44"/>
  <c r="D58" i="44"/>
  <c r="I26" i="44"/>
  <c r="N26" i="44"/>
  <c r="D63" i="44"/>
  <c r="D60" i="44"/>
  <c r="J23" i="44"/>
  <c r="L23" i="44"/>
  <c r="N32" i="44"/>
  <c r="K32" i="44"/>
  <c r="D62" i="44"/>
  <c r="G65" i="44"/>
  <c r="K25" i="44"/>
  <c r="M25" i="44"/>
  <c r="I25" i="44"/>
  <c r="L22" i="44"/>
  <c r="L28" i="44"/>
  <c r="N28" i="44"/>
  <c r="M26" i="44"/>
  <c r="L26" i="44"/>
  <c r="L24" i="44"/>
  <c r="L42" i="8"/>
  <c r="BB42" i="8" s="1"/>
  <c r="BP42" i="8" s="1"/>
  <c r="CJ48" i="8"/>
  <c r="CX41" i="8"/>
  <c r="CD60" i="8"/>
  <c r="Q63" i="8"/>
  <c r="DK63" i="8" s="1"/>
  <c r="EM63" i="8" s="1"/>
  <c r="O6" i="8"/>
  <c r="DI6" i="8" s="1"/>
  <c r="EK6" i="8" s="1"/>
  <c r="K5" i="44" s="1"/>
  <c r="G45" i="8"/>
  <c r="DA45" i="8" s="1"/>
  <c r="R48" i="8"/>
  <c r="BH48" i="8" s="1"/>
  <c r="BV48" i="8" s="1"/>
  <c r="AC65" i="8"/>
  <c r="V36" i="8"/>
  <c r="AE58" i="8"/>
  <c r="CD69" i="8"/>
  <c r="CD68" i="8" s="1"/>
  <c r="E47" i="22"/>
  <c r="I47" i="8"/>
  <c r="DC47" i="8" s="1"/>
  <c r="EE47" i="8" s="1"/>
  <c r="L69" i="8"/>
  <c r="DF69" i="8" s="1"/>
  <c r="EH69" i="8" s="1"/>
  <c r="F14" i="62"/>
  <c r="Z60" i="8"/>
  <c r="J62" i="8"/>
  <c r="AZ62" i="8" s="1"/>
  <c r="BN62" i="8" s="1"/>
  <c r="CI63" i="8"/>
  <c r="P46" i="8"/>
  <c r="BF46" i="8" s="1"/>
  <c r="BT46" i="8" s="1"/>
  <c r="CR68" i="8"/>
  <c r="Z68" i="8" s="1"/>
  <c r="V64" i="8"/>
  <c r="AX64" i="8" s="1"/>
  <c r="BL64" i="8" s="1"/>
  <c r="BZ64" i="8"/>
  <c r="G9" i="22"/>
  <c r="J64" i="8"/>
  <c r="DD64" i="8" s="1"/>
  <c r="Y36" i="8"/>
  <c r="CG27" i="8"/>
  <c r="L20" i="62"/>
  <c r="CJ26" i="8"/>
  <c r="O19" i="62"/>
  <c r="AE18" i="8"/>
  <c r="G47" i="8"/>
  <c r="DA47" i="8" s="1"/>
  <c r="EC47" i="8" s="1"/>
  <c r="N23" i="8"/>
  <c r="BD23" i="8" s="1"/>
  <c r="BR23" i="8" s="1"/>
  <c r="I49" i="8"/>
  <c r="DC49" i="8" s="1"/>
  <c r="EE49" i="8" s="1"/>
  <c r="AH51" i="8"/>
  <c r="AH59" i="8"/>
  <c r="G27" i="8"/>
  <c r="DA27" i="8" s="1"/>
  <c r="D20" i="62"/>
  <c r="CD27" i="8"/>
  <c r="I20" i="62"/>
  <c r="CG26" i="8"/>
  <c r="L19" i="62"/>
  <c r="AB23" i="8"/>
  <c r="AF27" i="8"/>
  <c r="CD62" i="8"/>
  <c r="E28" i="22"/>
  <c r="CF60" i="8"/>
  <c r="BY26" i="8"/>
  <c r="D19" i="62"/>
  <c r="L26" i="8"/>
  <c r="DF26" i="8" s="1"/>
  <c r="I19" i="62"/>
  <c r="CL6" i="8"/>
  <c r="J15" i="8"/>
  <c r="AZ15" i="8" s="1"/>
  <c r="BN15" i="8" s="1"/>
  <c r="AD6" i="8"/>
  <c r="CF11" i="8"/>
  <c r="AC8" i="44"/>
  <c r="BZ6" i="8"/>
  <c r="W32" i="8"/>
  <c r="AA10" i="44"/>
  <c r="AD48" i="8"/>
  <c r="W49" i="8"/>
  <c r="CH6" i="8"/>
  <c r="V66" i="8"/>
  <c r="J69" i="8"/>
  <c r="DD69" i="8" s="1"/>
  <c r="DD68" i="8" s="1"/>
  <c r="Q32" i="8"/>
  <c r="BG32" i="8" s="1"/>
  <c r="BU32" i="8" s="1"/>
  <c r="H67" i="8"/>
  <c r="AX67" i="8" s="1"/>
  <c r="BL67" i="8" s="1"/>
  <c r="CB15" i="8"/>
  <c r="J42" i="8"/>
  <c r="DD42" i="8" s="1"/>
  <c r="EF42" i="8" s="1"/>
  <c r="P6" i="8"/>
  <c r="DJ6" i="8" s="1"/>
  <c r="V6" i="8"/>
  <c r="P5" i="28" s="1"/>
  <c r="P13" i="28" s="1"/>
  <c r="CH27" i="8"/>
  <c r="M20" i="62"/>
  <c r="U13" i="8"/>
  <c r="CD13" i="8"/>
  <c r="Z62" i="8"/>
  <c r="CE27" i="8"/>
  <c r="J20" i="62"/>
  <c r="CH26" i="8"/>
  <c r="M19" i="62"/>
  <c r="CJ27" i="8"/>
  <c r="O20" i="62"/>
  <c r="AK29" i="8"/>
  <c r="V67" i="8"/>
  <c r="X64" i="8"/>
  <c r="X15" i="8"/>
  <c r="CP68" i="8"/>
  <c r="CA27" i="8"/>
  <c r="F20" i="62"/>
  <c r="CB27" i="8"/>
  <c r="G20" i="62"/>
  <c r="CE26" i="8"/>
  <c r="E113" i="22"/>
  <c r="J19" i="62"/>
  <c r="AL5" i="8"/>
  <c r="CL65" i="8"/>
  <c r="CA32" i="8"/>
  <c r="N11" i="8"/>
  <c r="DH11" i="8" s="1"/>
  <c r="Z44" i="8"/>
  <c r="T12" i="44"/>
  <c r="AG12" i="44" s="1"/>
  <c r="P38" i="8"/>
  <c r="BF38" i="8" s="1"/>
  <c r="BT38" i="8" s="1"/>
  <c r="Y24" i="8"/>
  <c r="Q65" i="8"/>
  <c r="DK65" i="8" s="1"/>
  <c r="EM65" i="8" s="1"/>
  <c r="AB34" i="8"/>
  <c r="I26" i="8"/>
  <c r="DC26" i="8" s="1"/>
  <c r="EE26" i="8" s="1"/>
  <c r="F19" i="62"/>
  <c r="CB26" i="8"/>
  <c r="G19" i="62"/>
  <c r="X42" i="8"/>
  <c r="V12" i="44"/>
  <c r="CW59" i="8"/>
  <c r="N34" i="8"/>
  <c r="DH34" i="8" s="1"/>
  <c r="EJ34" i="8" s="1"/>
  <c r="W13" i="8"/>
  <c r="AB46" i="8"/>
  <c r="L13" i="8"/>
  <c r="BB13" i="8" s="1"/>
  <c r="BP13" i="8" s="1"/>
  <c r="CH9" i="8"/>
  <c r="V24" i="8"/>
  <c r="CP41" i="8"/>
  <c r="N46" i="8"/>
  <c r="P9" i="8"/>
  <c r="DJ9" i="8" s="1"/>
  <c r="EL9" i="8" s="1"/>
  <c r="L8" i="44" s="1"/>
  <c r="Y12" i="44"/>
  <c r="Q27" i="8"/>
  <c r="BG27" i="8" s="1"/>
  <c r="BU27" i="8" s="1"/>
  <c r="N20" i="62"/>
  <c r="CL67" i="8"/>
  <c r="CL23" i="8"/>
  <c r="Q18" i="8"/>
  <c r="BG18" i="8" s="1"/>
  <c r="BU18" i="8" s="1"/>
  <c r="CL42" i="8"/>
  <c r="CO29" i="8"/>
  <c r="R50" i="8"/>
  <c r="DL50" i="8" s="1"/>
  <c r="EN50" i="8" s="1"/>
  <c r="H38" i="8"/>
  <c r="DB38" i="8" s="1"/>
  <c r="AB60" i="8"/>
  <c r="BD60" i="8" s="1"/>
  <c r="BR60" i="8" s="1"/>
  <c r="AB27" i="8"/>
  <c r="K20" i="62"/>
  <c r="CI26" i="8"/>
  <c r="N19" i="62"/>
  <c r="AD38" i="8"/>
  <c r="Z30" i="8"/>
  <c r="T42" i="28" s="1"/>
  <c r="T49" i="28" s="1"/>
  <c r="T50" i="28" s="1"/>
  <c r="K36" i="8"/>
  <c r="BA36" i="8" s="1"/>
  <c r="BO36" i="8" s="1"/>
  <c r="E97" i="22"/>
  <c r="AF50" i="8"/>
  <c r="X69" i="8"/>
  <c r="BZ27" i="8"/>
  <c r="E20" i="62"/>
  <c r="CC27" i="8"/>
  <c r="H20" i="62"/>
  <c r="CF26" i="8"/>
  <c r="K19" i="62"/>
  <c r="AB11" i="8"/>
  <c r="AE65" i="8"/>
  <c r="AE32" i="8"/>
  <c r="BZ26" i="8"/>
  <c r="E19" i="62"/>
  <c r="CC26" i="8"/>
  <c r="H19" i="62"/>
  <c r="BY47" i="8"/>
  <c r="CH48" i="8"/>
  <c r="G12" i="22"/>
  <c r="AE99" i="1"/>
  <c r="AH127" i="6"/>
  <c r="AH138" i="6"/>
  <c r="AK139" i="6"/>
  <c r="AK126" i="6"/>
  <c r="AK136" i="6"/>
  <c r="AD54" i="6"/>
  <c r="AD69" i="6"/>
  <c r="AD76" i="6"/>
  <c r="AD74" i="6"/>
  <c r="AD51" i="6"/>
  <c r="AD72" i="6"/>
  <c r="AD71" i="6"/>
  <c r="AD57" i="6"/>
  <c r="AD70" i="6"/>
  <c r="AD52" i="6"/>
  <c r="AD73" i="6"/>
  <c r="S146" i="6"/>
  <c r="H152" i="6"/>
  <c r="H154" i="6" s="1"/>
  <c r="AB107" i="6"/>
  <c r="AB110" i="6"/>
  <c r="AB106" i="6"/>
  <c r="AB89" i="6"/>
  <c r="AB109" i="6"/>
  <c r="AB108" i="6"/>
  <c r="AB112" i="6"/>
  <c r="AB111" i="6"/>
  <c r="AB105" i="6"/>
  <c r="AB92" i="6"/>
  <c r="AB95" i="6"/>
  <c r="AB90" i="6"/>
  <c r="X112" i="6"/>
  <c r="X110" i="6"/>
  <c r="X95" i="6"/>
  <c r="X106" i="6"/>
  <c r="X92" i="6"/>
  <c r="X105" i="6"/>
  <c r="X108" i="6"/>
  <c r="X90" i="6"/>
  <c r="X107" i="6"/>
  <c r="X109" i="6"/>
  <c r="X111" i="6"/>
  <c r="L153" i="6"/>
  <c r="L154" i="6"/>
  <c r="AQ30" i="6"/>
  <c r="AQ14" i="6"/>
  <c r="AQ31" i="6"/>
  <c r="AQ13" i="6"/>
  <c r="AQ36" i="6"/>
  <c r="AQ33" i="6"/>
  <c r="AQ19" i="6"/>
  <c r="AQ34" i="6"/>
  <c r="AF30" i="6"/>
  <c r="AF35" i="6"/>
  <c r="AF34" i="6"/>
  <c r="AF38" i="6"/>
  <c r="AF14" i="6"/>
  <c r="AF19" i="6"/>
  <c r="AF32" i="6"/>
  <c r="AF31" i="6"/>
  <c r="AF33" i="6"/>
  <c r="AF36" i="6"/>
  <c r="AF13" i="6"/>
  <c r="Z109" i="6"/>
  <c r="Z106" i="6"/>
  <c r="Z110" i="6"/>
  <c r="Z107" i="6"/>
  <c r="Z95" i="6"/>
  <c r="Z90" i="6"/>
  <c r="Z89" i="6"/>
  <c r="Z105" i="6"/>
  <c r="Z112" i="6"/>
  <c r="Z108" i="6"/>
  <c r="Z111" i="6"/>
  <c r="Z91" i="6"/>
  <c r="AQ71" i="6"/>
  <c r="AQ74" i="6"/>
  <c r="AQ72" i="6"/>
  <c r="AQ51" i="6"/>
  <c r="AQ57" i="6"/>
  <c r="AQ69" i="6"/>
  <c r="AQ52" i="6"/>
  <c r="AQ68" i="6"/>
  <c r="AP107" i="6"/>
  <c r="AP106" i="6"/>
  <c r="AP109" i="6"/>
  <c r="AP89" i="6"/>
  <c r="AP110" i="6"/>
  <c r="AP108" i="6"/>
  <c r="AP90" i="6"/>
  <c r="AP111" i="6"/>
  <c r="AP31" i="6"/>
  <c r="AO33" i="6"/>
  <c r="AO34" i="6"/>
  <c r="AO14" i="6"/>
  <c r="AO38" i="6"/>
  <c r="AO32" i="6"/>
  <c r="AO13" i="6"/>
  <c r="AO30" i="6"/>
  <c r="AO31" i="6"/>
  <c r="AS139" i="6"/>
  <c r="AS126" i="6"/>
  <c r="AS136" i="6"/>
  <c r="V74" i="6"/>
  <c r="AR14" i="6"/>
  <c r="AR33" i="6"/>
  <c r="AR35" i="6"/>
  <c r="AR31" i="6"/>
  <c r="AR36" i="6"/>
  <c r="AR30" i="6"/>
  <c r="AR15" i="6"/>
  <c r="AR13" i="6"/>
  <c r="Y111" i="6"/>
  <c r="Y92" i="6"/>
  <c r="Y112" i="6"/>
  <c r="Y107" i="6"/>
  <c r="Y109" i="6"/>
  <c r="Y108" i="6"/>
  <c r="Y91" i="6"/>
  <c r="Y89" i="6"/>
  <c r="Y110" i="6"/>
  <c r="Y106" i="6"/>
  <c r="Y90" i="6"/>
  <c r="Y105" i="6"/>
  <c r="Y95" i="6"/>
  <c r="S9" i="24"/>
  <c r="S11" i="24" s="1"/>
  <c r="AG5" i="6"/>
  <c r="Z13" i="6"/>
  <c r="AR108" i="6"/>
  <c r="AT34" i="6"/>
  <c r="AF69" i="6"/>
  <c r="AT32" i="6"/>
  <c r="AH97" i="6"/>
  <c r="AA126" i="6"/>
  <c r="AQ136" i="6"/>
  <c r="AN13" i="6"/>
  <c r="Q8" i="24"/>
  <c r="AJ138" i="6"/>
  <c r="Z19" i="6"/>
  <c r="AT33" i="6"/>
  <c r="AF68" i="6"/>
  <c r="V127" i="6"/>
  <c r="AK113" i="6"/>
  <c r="AV21" i="6"/>
  <c r="W105" i="6"/>
  <c r="R200" i="6"/>
  <c r="Z34" i="6"/>
  <c r="AR68" i="6"/>
  <c r="AF73" i="6"/>
  <c r="K9" i="24"/>
  <c r="K11" i="24" s="1"/>
  <c r="AJ53" i="6"/>
  <c r="W90" i="6"/>
  <c r="O152" i="6"/>
  <c r="O153" i="6" s="1"/>
  <c r="AT28" i="20"/>
  <c r="AF72" i="6"/>
  <c r="AU110" i="6"/>
  <c r="W111" i="6"/>
  <c r="AW81" i="6"/>
  <c r="AO77" i="6"/>
  <c r="AO51" i="6" s="1"/>
  <c r="AH21" i="6"/>
  <c r="W108" i="6"/>
  <c r="AH59" i="6"/>
  <c r="AU77" i="6"/>
  <c r="AU51" i="6" s="1"/>
  <c r="AK47" i="20"/>
  <c r="AM39" i="6"/>
  <c r="Z30" i="6"/>
  <c r="AF70" i="6"/>
  <c r="W95" i="6"/>
  <c r="AU40" i="20"/>
  <c r="AW20" i="20"/>
  <c r="AP72" i="6"/>
  <c r="AU91" i="6"/>
  <c r="W110" i="6"/>
  <c r="X28" i="20"/>
  <c r="AC137" i="6"/>
  <c r="Z31" i="6"/>
  <c r="AF71" i="6"/>
  <c r="AS40" i="20"/>
  <c r="W106" i="6"/>
  <c r="AQ139" i="6"/>
  <c r="AV32" i="20"/>
  <c r="X44" i="20"/>
  <c r="X52" i="20" s="1"/>
  <c r="X114" i="6"/>
  <c r="Z36" i="6"/>
  <c r="AB70" i="6"/>
  <c r="AF51" i="6"/>
  <c r="AO127" i="6"/>
  <c r="M60" i="24" s="1"/>
  <c r="AB68" i="6"/>
  <c r="W89" i="6"/>
  <c r="AL139" i="6"/>
  <c r="AU107" i="6"/>
  <c r="AV23" i="20"/>
  <c r="X40" i="20"/>
  <c r="U40" i="20"/>
  <c r="AH8" i="20"/>
  <c r="Z14" i="6"/>
  <c r="AF76" i="6"/>
  <c r="AE92" i="6"/>
  <c r="AU89" i="6"/>
  <c r="W112" i="6"/>
  <c r="AM40" i="20"/>
  <c r="Y48" i="20"/>
  <c r="AL136" i="6"/>
  <c r="X89" i="6"/>
  <c r="AJ72" i="6"/>
  <c r="AN14" i="6"/>
  <c r="AH10" i="20"/>
  <c r="R10" i="20" s="1"/>
  <c r="Z33" i="6"/>
  <c r="AB72" i="6"/>
  <c r="AF74" i="6"/>
  <c r="AU106" i="6"/>
  <c r="AV22" i="20"/>
  <c r="AA69" i="6"/>
  <c r="AH24" i="20"/>
  <c r="AH48" i="20" s="1"/>
  <c r="AH5" i="6"/>
  <c r="AQ40" i="20"/>
  <c r="Y16" i="20"/>
  <c r="AT136" i="6"/>
  <c r="Z32" i="6"/>
  <c r="AV35" i="20"/>
  <c r="AB73" i="6"/>
  <c r="AU109" i="6"/>
  <c r="AT30" i="6"/>
  <c r="AW34" i="20"/>
  <c r="AU136" i="6"/>
  <c r="AH20" i="20"/>
  <c r="AC77" i="6"/>
  <c r="AC68" i="6" s="1"/>
  <c r="W107" i="6"/>
  <c r="AU108" i="6"/>
  <c r="AK114" i="6"/>
  <c r="U47" i="20"/>
  <c r="AM45" i="20"/>
  <c r="AU105" i="6"/>
  <c r="AR90" i="6"/>
  <c r="AT14" i="6"/>
  <c r="AB57" i="6"/>
  <c r="AP51" i="6"/>
  <c r="AH35" i="20"/>
  <c r="AR89" i="6"/>
  <c r="Y28" i="20"/>
  <c r="Y7" i="24"/>
  <c r="AG34" i="20"/>
  <c r="AP71" i="6"/>
  <c r="AK40" i="20"/>
  <c r="AV33" i="20"/>
  <c r="AT36" i="6"/>
  <c r="AG12" i="20"/>
  <c r="AT13" i="6"/>
  <c r="AF52" i="6"/>
  <c r="U113" i="6"/>
  <c r="U89" i="6" s="1"/>
  <c r="AV36" i="20"/>
  <c r="AK48" i="20"/>
  <c r="AP40" i="20"/>
  <c r="AT31" i="6"/>
  <c r="AF139" i="6"/>
  <c r="AD68" i="6"/>
  <c r="AU95" i="6"/>
  <c r="P8" i="41"/>
  <c r="P10" i="41" s="1"/>
  <c r="K10" i="41"/>
  <c r="L10" i="41"/>
  <c r="AD177" i="1"/>
  <c r="EJ66" i="8"/>
  <c r="EJ125" i="1"/>
  <c r="AK200" i="1"/>
  <c r="EK11" i="1"/>
  <c r="DN152" i="1"/>
  <c r="EP152" i="1" s="1"/>
  <c r="BD140" i="1"/>
  <c r="BR140" i="1" s="1"/>
  <c r="AF70" i="48"/>
  <c r="AF165" i="48" s="1"/>
  <c r="AI70" i="48"/>
  <c r="BC138" i="1"/>
  <c r="BQ138" i="1" s="1"/>
  <c r="BM217" i="1"/>
  <c r="CA217" i="1" s="1"/>
  <c r="DH11" i="1"/>
  <c r="EJ11" i="1" s="1"/>
  <c r="BC80" i="1"/>
  <c r="BQ80" i="1" s="1"/>
  <c r="BC86" i="1"/>
  <c r="BQ86" i="1" s="1"/>
  <c r="DH47" i="8"/>
  <c r="EJ47" i="8" s="1"/>
  <c r="BE14" i="1"/>
  <c r="BS14" i="1" s="1"/>
  <c r="BF217" i="1"/>
  <c r="BT217" i="1" s="1"/>
  <c r="BD82" i="1"/>
  <c r="BR82" i="1" s="1"/>
  <c r="BE169" i="1"/>
  <c r="BS169" i="1" s="1"/>
  <c r="BC10" i="1"/>
  <c r="BQ10" i="1" s="1"/>
  <c r="BF87" i="1"/>
  <c r="BT87" i="1" s="1"/>
  <c r="BF21" i="1"/>
  <c r="BT21" i="1" s="1"/>
  <c r="BD206" i="1"/>
  <c r="BR206" i="1" s="1"/>
  <c r="BC184" i="1"/>
  <c r="BQ184" i="1" s="1"/>
  <c r="BC59" i="1"/>
  <c r="BQ59" i="1" s="1"/>
  <c r="DB66" i="8"/>
  <c r="ED66" i="8" s="1"/>
  <c r="BJ153" i="1"/>
  <c r="BX153" i="1" s="1"/>
  <c r="BE194" i="1"/>
  <c r="BS194" i="1" s="1"/>
  <c r="BC214" i="1"/>
  <c r="BQ214" i="1" s="1"/>
  <c r="DA32" i="8"/>
  <c r="EC32" i="8" s="1"/>
  <c r="BC21" i="1"/>
  <c r="BQ21" i="1" s="1"/>
  <c r="BK227" i="1"/>
  <c r="BY227" i="1" s="1"/>
  <c r="BE134" i="1"/>
  <c r="BS134" i="1" s="1"/>
  <c r="EL87" i="1"/>
  <c r="BI189" i="1"/>
  <c r="BW189" i="1" s="1"/>
  <c r="EI25" i="1"/>
  <c r="BK196" i="1"/>
  <c r="BY196" i="1" s="1"/>
  <c r="EL98" i="1"/>
  <c r="BC121" i="1"/>
  <c r="BQ121" i="1" s="1"/>
  <c r="BG25" i="8"/>
  <c r="BU25" i="8" s="1"/>
  <c r="BF73" i="1"/>
  <c r="BT73" i="1" s="1"/>
  <c r="BC186" i="1"/>
  <c r="BQ186" i="1" s="1"/>
  <c r="G92" i="60"/>
  <c r="G110" i="60"/>
  <c r="AA34" i="1"/>
  <c r="BC34" i="1" s="1"/>
  <c r="BQ34" i="1" s="1"/>
  <c r="K93" i="35"/>
  <c r="K80" i="35"/>
  <c r="L86" i="35"/>
  <c r="L129" i="35"/>
  <c r="K92" i="35"/>
  <c r="L78" i="35"/>
  <c r="M78" i="35" s="1"/>
  <c r="L88" i="35"/>
  <c r="K86" i="35"/>
  <c r="K88" i="35"/>
  <c r="L94" i="35"/>
  <c r="K139" i="35"/>
  <c r="K94" i="35"/>
  <c r="K35" i="35"/>
  <c r="L80" i="35"/>
  <c r="K85" i="35"/>
  <c r="M85" i="35" s="1"/>
  <c r="L77" i="35"/>
  <c r="L95" i="35"/>
  <c r="M95" i="35" s="1"/>
  <c r="L79" i="35"/>
  <c r="L90" i="35"/>
  <c r="K30" i="35"/>
  <c r="L93" i="35"/>
  <c r="K81" i="35"/>
  <c r="L81" i="35"/>
  <c r="K79" i="35"/>
  <c r="K90" i="35"/>
  <c r="K84" i="35"/>
  <c r="M84" i="35" s="1"/>
  <c r="K87" i="35"/>
  <c r="M87" i="35" s="1"/>
  <c r="K21" i="35"/>
  <c r="K77" i="35"/>
  <c r="L92" i="35"/>
  <c r="EK194" i="1"/>
  <c r="EL221" i="1"/>
  <c r="EI186" i="1"/>
  <c r="AE150" i="1"/>
  <c r="M42" i="8"/>
  <c r="BC42" i="8" s="1"/>
  <c r="BQ42" i="8" s="1"/>
  <c r="AG16" i="48"/>
  <c r="AK121" i="48"/>
  <c r="P436" i="2"/>
  <c r="Q436" i="2" s="1"/>
  <c r="AG104" i="1"/>
  <c r="EQ99" i="1"/>
  <c r="EN192" i="1"/>
  <c r="EQ196" i="1"/>
  <c r="EQ227" i="1"/>
  <c r="M91" i="35"/>
  <c r="L8" i="35"/>
  <c r="L10" i="35"/>
  <c r="M10" i="35" s="1"/>
  <c r="K7" i="35"/>
  <c r="K8" i="35"/>
  <c r="L9" i="35"/>
  <c r="L7" i="35"/>
  <c r="K9" i="35"/>
  <c r="M117" i="35"/>
  <c r="ER226" i="1"/>
  <c r="CJ141" i="1"/>
  <c r="AI99" i="1"/>
  <c r="DP205" i="1"/>
  <c r="ER205" i="1" s="1"/>
  <c r="AL98" i="1"/>
  <c r="X190" i="1"/>
  <c r="DR190" i="1" s="1"/>
  <c r="ET190" i="1" s="1"/>
  <c r="O23" i="36"/>
  <c r="V99" i="1"/>
  <c r="DP99" i="1" s="1"/>
  <c r="ER99" i="1" s="1"/>
  <c r="AB161" i="1"/>
  <c r="CF55" i="1"/>
  <c r="AF153" i="1"/>
  <c r="CO111" i="1"/>
  <c r="T190" i="1"/>
  <c r="BJ190" i="1" s="1"/>
  <c r="BX190" i="1" s="1"/>
  <c r="CM99" i="1"/>
  <c r="CF186" i="1"/>
  <c r="AJ111" i="1"/>
  <c r="O61" i="1"/>
  <c r="DI61" i="1" s="1"/>
  <c r="AC164" i="1"/>
  <c r="CJ202" i="1"/>
  <c r="O204" i="1"/>
  <c r="BE204" i="1" s="1"/>
  <c r="BS204" i="1" s="1"/>
  <c r="AH156" i="1"/>
  <c r="BK99" i="1"/>
  <c r="BY99" i="1" s="1"/>
  <c r="AC83" i="1"/>
  <c r="CO98" i="1"/>
  <c r="CH45" i="1"/>
  <c r="AD60" i="1"/>
  <c r="P186" i="1"/>
  <c r="BF186" i="1" s="1"/>
  <c r="BT186" i="1" s="1"/>
  <c r="AB210" i="1"/>
  <c r="O84" i="1"/>
  <c r="BE84" i="1" s="1"/>
  <c r="BS84" i="1" s="1"/>
  <c r="CI100" i="1"/>
  <c r="CH209" i="1"/>
  <c r="CT127" i="1"/>
  <c r="I68" i="36"/>
  <c r="I92" i="36" s="1"/>
  <c r="CH12" i="1"/>
  <c r="AC81" i="1"/>
  <c r="CF163" i="1"/>
  <c r="W156" i="1"/>
  <c r="DQ156" i="1" s="1"/>
  <c r="ES156" i="1" s="1"/>
  <c r="O185" i="1"/>
  <c r="DI185" i="1" s="1"/>
  <c r="AA135" i="1"/>
  <c r="CG10" i="1"/>
  <c r="AK152" i="1"/>
  <c r="CI191" i="1"/>
  <c r="W152" i="1"/>
  <c r="DQ152" i="1" s="1"/>
  <c r="ES152" i="1" s="1"/>
  <c r="AK189" i="1"/>
  <c r="R141" i="1"/>
  <c r="DL141" i="1" s="1"/>
  <c r="N56" i="36" s="1"/>
  <c r="O211" i="1"/>
  <c r="DI211" i="1" s="1"/>
  <c r="CG142" i="1"/>
  <c r="W99" i="1"/>
  <c r="DQ99" i="1" s="1"/>
  <c r="ES99" i="1" s="1"/>
  <c r="CG169" i="1"/>
  <c r="N210" i="1"/>
  <c r="BD210" i="1" s="1"/>
  <c r="BR210" i="1" s="1"/>
  <c r="CO201" i="1"/>
  <c r="O142" i="1"/>
  <c r="DI142" i="1" s="1"/>
  <c r="EK142" i="1" s="1"/>
  <c r="AK205" i="1"/>
  <c r="CP189" i="1"/>
  <c r="AP24" i="48"/>
  <c r="AD20" i="1"/>
  <c r="X189" i="1"/>
  <c r="DR189" i="1" s="1"/>
  <c r="ET189" i="1" s="1"/>
  <c r="AH9" i="48"/>
  <c r="S97" i="1"/>
  <c r="BI97" i="1" s="1"/>
  <c r="BW97" i="1" s="1"/>
  <c r="P23" i="36"/>
  <c r="AE191" i="1"/>
  <c r="BG191" i="1" s="1"/>
  <c r="BU191" i="1" s="1"/>
  <c r="AD63" i="1"/>
  <c r="K17" i="36"/>
  <c r="AK111" i="1"/>
  <c r="Q100" i="1"/>
  <c r="DK100" i="1" s="1"/>
  <c r="EM100" i="1" s="1"/>
  <c r="K23" i="36"/>
  <c r="CP98" i="1"/>
  <c r="DL202" i="1"/>
  <c r="EN202" i="1" s="1"/>
  <c r="W189" i="1"/>
  <c r="DQ189" i="1" s="1"/>
  <c r="ES189" i="1" s="1"/>
  <c r="CN140" i="1"/>
  <c r="CJ195" i="1"/>
  <c r="V140" i="1"/>
  <c r="BL140" i="1" s="1"/>
  <c r="BZ140" i="1" s="1"/>
  <c r="CN99" i="1"/>
  <c r="AH190" i="1"/>
  <c r="R226" i="1"/>
  <c r="DL226" i="1" s="1"/>
  <c r="EN226" i="1" s="1"/>
  <c r="CN205" i="1"/>
  <c r="AD100" i="1"/>
  <c r="BF100" i="1" s="1"/>
  <c r="BT100" i="1" s="1"/>
  <c r="CH66" i="1"/>
  <c r="W227" i="1"/>
  <c r="BM227" i="1" s="1"/>
  <c r="CA227" i="1" s="1"/>
  <c r="CS222" i="1"/>
  <c r="P82" i="1"/>
  <c r="BF82" i="1" s="1"/>
  <c r="BT82" i="1" s="1"/>
  <c r="AL169" i="1"/>
  <c r="AC178" i="1"/>
  <c r="AD210" i="1"/>
  <c r="BF210" i="1" s="1"/>
  <c r="BT210" i="1" s="1"/>
  <c r="AB146" i="1"/>
  <c r="BD146" i="1" s="1"/>
  <c r="BR146" i="1" s="1"/>
  <c r="T170" i="1"/>
  <c r="DN170" i="1" s="1"/>
  <c r="EP170" i="1" s="1"/>
  <c r="CN54" i="1"/>
  <c r="N217" i="1"/>
  <c r="DH217" i="1" s="1"/>
  <c r="EJ217" i="1" s="1"/>
  <c r="CE87" i="1"/>
  <c r="CF47" i="1"/>
  <c r="AA67" i="1"/>
  <c r="L19" i="36"/>
  <c r="CF91" i="1"/>
  <c r="K14" i="36"/>
  <c r="AC16" i="1"/>
  <c r="T97" i="1"/>
  <c r="DN97" i="1" s="1"/>
  <c r="EP97" i="1" s="1"/>
  <c r="CN111" i="1"/>
  <c r="CE10" i="1"/>
  <c r="AI140" i="1"/>
  <c r="AA164" i="1"/>
  <c r="AL217" i="1"/>
  <c r="AI21" i="48"/>
  <c r="BF126" i="1"/>
  <c r="BT126" i="1" s="1"/>
  <c r="CE80" i="1"/>
  <c r="CU222" i="1"/>
  <c r="O16" i="1"/>
  <c r="DI16" i="1" s="1"/>
  <c r="EK16" i="1" s="1"/>
  <c r="CE98" i="1"/>
  <c r="CJ147" i="1"/>
  <c r="AD74" i="1"/>
  <c r="M67" i="1"/>
  <c r="DG67" i="1" s="1"/>
  <c r="CF176" i="1"/>
  <c r="CF146" i="1"/>
  <c r="AC131" i="1"/>
  <c r="BE131" i="1" s="1"/>
  <c r="BS131" i="1" s="1"/>
  <c r="P150" i="1"/>
  <c r="BF150" i="1" s="1"/>
  <c r="BT150" i="1" s="1"/>
  <c r="AI167" i="1"/>
  <c r="AD83" i="1"/>
  <c r="CM167" i="1"/>
  <c r="J217" i="35" s="1"/>
  <c r="P187" i="1"/>
  <c r="DJ187" i="1" s="1"/>
  <c r="T202" i="1"/>
  <c r="BJ202" i="1" s="1"/>
  <c r="BX202" i="1" s="1"/>
  <c r="P83" i="1"/>
  <c r="DJ83" i="1" s="1"/>
  <c r="EL83" i="1" s="1"/>
  <c r="CL195" i="1"/>
  <c r="AB203" i="1"/>
  <c r="X201" i="1"/>
  <c r="BN201" i="1" s="1"/>
  <c r="CB201" i="1" s="1"/>
  <c r="AD122" i="1"/>
  <c r="AL190" i="1"/>
  <c r="AG204" i="1"/>
  <c r="AD180" i="1"/>
  <c r="BF180" i="1" s="1"/>
  <c r="BT180" i="1" s="1"/>
  <c r="AJ54" i="1"/>
  <c r="CU207" i="1"/>
  <c r="AB129" i="1"/>
  <c r="Q147" i="1"/>
  <c r="BG147" i="1" s="1"/>
  <c r="BU147" i="1" s="1"/>
  <c r="ER202" i="1"/>
  <c r="CO227" i="1"/>
  <c r="CG131" i="1"/>
  <c r="AC49" i="1"/>
  <c r="BE49" i="1" s="1"/>
  <c r="BS49" i="1" s="1"/>
  <c r="DL147" i="1"/>
  <c r="EN147" i="1" s="1"/>
  <c r="CG208" i="1"/>
  <c r="AC80" i="1"/>
  <c r="CH82" i="1"/>
  <c r="CG54" i="1"/>
  <c r="AD121" i="1"/>
  <c r="BF121" i="1" s="1"/>
  <c r="BT121" i="1" s="1"/>
  <c r="AC30" i="1"/>
  <c r="CH18" i="1"/>
  <c r="N55" i="1"/>
  <c r="BD55" i="1" s="1"/>
  <c r="BR55" i="1" s="1"/>
  <c r="Q54" i="1"/>
  <c r="BG54" i="1" s="1"/>
  <c r="BU54" i="1" s="1"/>
  <c r="CH186" i="1"/>
  <c r="AB192" i="1"/>
  <c r="AB176" i="1"/>
  <c r="BD176" i="1" s="1"/>
  <c r="BR176" i="1" s="1"/>
  <c r="V195" i="1"/>
  <c r="DP195" i="1" s="1"/>
  <c r="ER195" i="1" s="1"/>
  <c r="M190" i="1"/>
  <c r="DG190" i="1" s="1"/>
  <c r="EI190" i="1" s="1"/>
  <c r="BG80" i="1"/>
  <c r="BU80" i="1" s="1"/>
  <c r="BH153" i="1"/>
  <c r="BV153" i="1" s="1"/>
  <c r="O195" i="1"/>
  <c r="DI195" i="1" s="1"/>
  <c r="EK195" i="1" s="1"/>
  <c r="O138" i="1"/>
  <c r="DI138" i="1" s="1"/>
  <c r="EK138" i="1" s="1"/>
  <c r="CJ196" i="1"/>
  <c r="N192" i="1"/>
  <c r="DH192" i="1" s="1"/>
  <c r="EJ192" i="1" s="1"/>
  <c r="P66" i="1"/>
  <c r="DJ66" i="1" s="1"/>
  <c r="EL66" i="1" s="1"/>
  <c r="AA134" i="1"/>
  <c r="AK203" i="1"/>
  <c r="AD134" i="1"/>
  <c r="S200" i="1"/>
  <c r="DM200" i="1" s="1"/>
  <c r="EO200" i="1" s="1"/>
  <c r="BF144" i="1"/>
  <c r="BT144" i="1" s="1"/>
  <c r="CL202" i="1"/>
  <c r="AJ190" i="1"/>
  <c r="O42" i="1"/>
  <c r="DI42" i="1" s="1"/>
  <c r="CE59" i="1"/>
  <c r="AC205" i="1"/>
  <c r="AK177" i="1"/>
  <c r="AC170" i="1"/>
  <c r="AB140" i="1"/>
  <c r="W98" i="1"/>
  <c r="DQ98" i="1" s="1"/>
  <c r="ES98" i="1" s="1"/>
  <c r="CG205" i="1"/>
  <c r="EJ187" i="1"/>
  <c r="AD141" i="1"/>
  <c r="T226" i="1"/>
  <c r="BJ226" i="1" s="1"/>
  <c r="BX226" i="1" s="1"/>
  <c r="X217" i="1"/>
  <c r="BN217" i="1" s="1"/>
  <c r="CB217" i="1" s="1"/>
  <c r="W177" i="1"/>
  <c r="BM177" i="1" s="1"/>
  <c r="CA177" i="1" s="1"/>
  <c r="AK156" i="1"/>
  <c r="CM140" i="1"/>
  <c r="AL201" i="1"/>
  <c r="CH40" i="1"/>
  <c r="P141" i="1"/>
  <c r="DJ141" i="1" s="1"/>
  <c r="L56" i="36" s="1"/>
  <c r="X153" i="1"/>
  <c r="DR153" i="1" s="1"/>
  <c r="ET153" i="1" s="1"/>
  <c r="AL153" i="1"/>
  <c r="CJ153" i="1"/>
  <c r="CI147" i="1"/>
  <c r="CH121" i="1"/>
  <c r="AD140" i="1"/>
  <c r="CH210" i="1"/>
  <c r="AA52" i="1"/>
  <c r="CH160" i="1"/>
  <c r="CT207" i="1"/>
  <c r="AG8" i="48"/>
  <c r="N91" i="1"/>
  <c r="DH91" i="1" s="1"/>
  <c r="EJ91" i="1" s="1"/>
  <c r="CE215" i="1"/>
  <c r="AG162" i="1"/>
  <c r="G157" i="35"/>
  <c r="CK175" i="1"/>
  <c r="G160" i="35"/>
  <c r="CK211" i="1"/>
  <c r="G158" i="35"/>
  <c r="S215" i="1"/>
  <c r="DM215" i="1" s="1"/>
  <c r="G169" i="35"/>
  <c r="AI24" i="48"/>
  <c r="CF129" i="1"/>
  <c r="AB47" i="1"/>
  <c r="CT173" i="1"/>
  <c r="J14" i="36"/>
  <c r="CH200" i="1"/>
  <c r="AA22" i="1"/>
  <c r="CK177" i="1"/>
  <c r="G165" i="35"/>
  <c r="CH180" i="1"/>
  <c r="U187" i="1"/>
  <c r="DO187" i="1" s="1"/>
  <c r="EQ187" i="1" s="1"/>
  <c r="AB217" i="1"/>
  <c r="AD150" i="1"/>
  <c r="CS115" i="1"/>
  <c r="CK141" i="1"/>
  <c r="G167" i="35"/>
  <c r="AG163" i="1"/>
  <c r="G159" i="35"/>
  <c r="CK119" i="1"/>
  <c r="AG161" i="1"/>
  <c r="G155" i="35"/>
  <c r="AG179" i="1"/>
  <c r="G156" i="35"/>
  <c r="AG126" i="1"/>
  <c r="G153" i="35"/>
  <c r="AG224" i="1"/>
  <c r="G162" i="35"/>
  <c r="CR197" i="1"/>
  <c r="P134" i="1"/>
  <c r="BF134" i="1" s="1"/>
  <c r="BT134" i="1" s="1"/>
  <c r="AG7" i="48"/>
  <c r="CR190" i="1"/>
  <c r="AI187" i="1"/>
  <c r="CE126" i="1"/>
  <c r="AF22" i="48"/>
  <c r="CK117" i="1"/>
  <c r="G152" i="35"/>
  <c r="CE46" i="1"/>
  <c r="P95" i="1"/>
  <c r="DJ95" i="1" s="1"/>
  <c r="P32" i="1"/>
  <c r="BF32" i="1" s="1"/>
  <c r="BT32" i="1" s="1"/>
  <c r="AA46" i="1"/>
  <c r="AD97" i="1"/>
  <c r="CE190" i="1"/>
  <c r="CK187" i="1"/>
  <c r="G164" i="35"/>
  <c r="CK216" i="1"/>
  <c r="G166" i="35"/>
  <c r="P18" i="1"/>
  <c r="DJ18" i="1" s="1"/>
  <c r="EL18" i="1" s="1"/>
  <c r="K10" i="36"/>
  <c r="M174" i="1"/>
  <c r="DG174" i="1" s="1"/>
  <c r="AC71" i="1"/>
  <c r="CS5" i="1"/>
  <c r="AI170" i="1"/>
  <c r="N23" i="1"/>
  <c r="DH23" i="1" s="1"/>
  <c r="EJ23" i="1" s="1"/>
  <c r="P97" i="1"/>
  <c r="BF97" i="1" s="1"/>
  <c r="BT97" i="1" s="1"/>
  <c r="AC148" i="1"/>
  <c r="K36" i="35"/>
  <c r="K24" i="35"/>
  <c r="M24" i="35" s="1"/>
  <c r="M114" i="35"/>
  <c r="M108" i="35"/>
  <c r="M105" i="35"/>
  <c r="K32" i="35"/>
  <c r="L27" i="35"/>
  <c r="M27" i="35" s="1"/>
  <c r="K63" i="35"/>
  <c r="M63" i="35" s="1"/>
  <c r="K45" i="35"/>
  <c r="M45" i="35" s="1"/>
  <c r="K50" i="35"/>
  <c r="M50" i="35" s="1"/>
  <c r="K60" i="35"/>
  <c r="M60" i="35" s="1"/>
  <c r="K52" i="35"/>
  <c r="M52" i="35" s="1"/>
  <c r="K51" i="35"/>
  <c r="M51" i="35" s="1"/>
  <c r="K56" i="35"/>
  <c r="M56" i="35" s="1"/>
  <c r="L25" i="35"/>
  <c r="K57" i="35"/>
  <c r="M57" i="35" s="1"/>
  <c r="L30" i="35"/>
  <c r="K33" i="35"/>
  <c r="K49" i="35"/>
  <c r="M49" i="35" s="1"/>
  <c r="K61" i="35"/>
  <c r="M61" i="35" s="1"/>
  <c r="L21" i="35"/>
  <c r="K59" i="35"/>
  <c r="M59" i="35" s="1"/>
  <c r="L28" i="35"/>
  <c r="K67" i="35"/>
  <c r="M67" i="35" s="1"/>
  <c r="L26" i="35"/>
  <c r="K64" i="35"/>
  <c r="M64" i="35" s="1"/>
  <c r="K62" i="35"/>
  <c r="M62" i="35" s="1"/>
  <c r="K29" i="35"/>
  <c r="K54" i="35"/>
  <c r="M54" i="35" s="1"/>
  <c r="L29" i="35"/>
  <c r="K28" i="35"/>
  <c r="L35" i="35"/>
  <c r="L22" i="35"/>
  <c r="L31" i="35"/>
  <c r="K31" i="35"/>
  <c r="K26" i="35"/>
  <c r="K46" i="35"/>
  <c r="M46" i="35" s="1"/>
  <c r="K53" i="35"/>
  <c r="M53" i="35" s="1"/>
  <c r="K66" i="35"/>
  <c r="M66" i="35" s="1"/>
  <c r="L23" i="35"/>
  <c r="K25" i="35"/>
  <c r="L33" i="35"/>
  <c r="K47" i="35"/>
  <c r="K23" i="35"/>
  <c r="L32" i="35"/>
  <c r="L36" i="35"/>
  <c r="L34" i="35"/>
  <c r="M34" i="35" s="1"/>
  <c r="K48" i="35"/>
  <c r="M48" i="35" s="1"/>
  <c r="K65" i="35"/>
  <c r="M65" i="35" s="1"/>
  <c r="K58" i="35"/>
  <c r="M58" i="35" s="1"/>
  <c r="M83" i="35"/>
  <c r="M116" i="35"/>
  <c r="M111" i="35"/>
  <c r="M110" i="35"/>
  <c r="CO54" i="1"/>
  <c r="EI144" i="1"/>
  <c r="CR194" i="1"/>
  <c r="DM153" i="1"/>
  <c r="EO153" i="1" s="1"/>
  <c r="EK178" i="1"/>
  <c r="EK170" i="1"/>
  <c r="EE222" i="1"/>
  <c r="AJ201" i="1"/>
  <c r="V201" i="1"/>
  <c r="DP201" i="1" s="1"/>
  <c r="ER201" i="1" s="1"/>
  <c r="CG170" i="1"/>
  <c r="AD227" i="1"/>
  <c r="AB11" i="1"/>
  <c r="AI156" i="1"/>
  <c r="R195" i="1"/>
  <c r="DL195" i="1" s="1"/>
  <c r="EN195" i="1" s="1"/>
  <c r="AF202" i="1"/>
  <c r="AC212" i="1"/>
  <c r="EI87" i="1"/>
  <c r="T141" i="1"/>
  <c r="DN141" i="1" s="1"/>
  <c r="P56" i="36" s="1"/>
  <c r="P104" i="36" s="1"/>
  <c r="K66" i="48"/>
  <c r="L66" i="48" s="1"/>
  <c r="AH141" i="1"/>
  <c r="K20" i="48"/>
  <c r="L20" i="48" s="1"/>
  <c r="ES217" i="1"/>
  <c r="M109" i="35"/>
  <c r="M112" i="35"/>
  <c r="M118" i="35"/>
  <c r="M115" i="35"/>
  <c r="L69" i="35"/>
  <c r="L119" i="35"/>
  <c r="M107" i="35"/>
  <c r="M55" i="35"/>
  <c r="M82" i="35"/>
  <c r="M106" i="35"/>
  <c r="M89" i="35"/>
  <c r="K119" i="35"/>
  <c r="M113" i="35"/>
  <c r="BI191" i="1"/>
  <c r="BW191" i="1" s="1"/>
  <c r="Z45" i="8"/>
  <c r="CJ8" i="8"/>
  <c r="AG191" i="1"/>
  <c r="X435" i="2"/>
  <c r="L109" i="60" s="1"/>
  <c r="AG225" i="1"/>
  <c r="CH205" i="1"/>
  <c r="S196" i="1"/>
  <c r="DM196" i="1" s="1"/>
  <c r="AF152" i="1"/>
  <c r="Q140" i="1"/>
  <c r="BG140" i="1" s="1"/>
  <c r="BU140" i="1" s="1"/>
  <c r="AL167" i="1"/>
  <c r="AJ24" i="48"/>
  <c r="AD185" i="1"/>
  <c r="CK196" i="1"/>
  <c r="O36" i="1"/>
  <c r="DI36" i="1" s="1"/>
  <c r="EK36" i="1" s="1"/>
  <c r="AF217" i="1"/>
  <c r="A226" i="1"/>
  <c r="A227" i="1" s="1"/>
  <c r="A225" i="1"/>
  <c r="CK98" i="1"/>
  <c r="CN100" i="1"/>
  <c r="AG203" i="1"/>
  <c r="CO226" i="1"/>
  <c r="X433" i="2"/>
  <c r="AC433" i="2" s="1"/>
  <c r="AG219" i="1"/>
  <c r="CM96" i="1"/>
  <c r="AN53" i="1"/>
  <c r="EK76" i="1"/>
  <c r="AD169" i="1"/>
  <c r="X427" i="2"/>
  <c r="AG168" i="1"/>
  <c r="U390" i="2"/>
  <c r="V390" i="2" s="1"/>
  <c r="AG165" i="1"/>
  <c r="AR5" i="1"/>
  <c r="A164" i="1"/>
  <c r="A166" i="1" s="1"/>
  <c r="A168" i="1" s="1"/>
  <c r="A165" i="1"/>
  <c r="CP191" i="1"/>
  <c r="CL100" i="1"/>
  <c r="CJ54" i="1"/>
  <c r="X177" i="1"/>
  <c r="BN177" i="1" s="1"/>
  <c r="CB177" i="1" s="1"/>
  <c r="AJ195" i="1"/>
  <c r="CO195" i="1"/>
  <c r="L24" i="36"/>
  <c r="AB79" i="1"/>
  <c r="X167" i="1"/>
  <c r="BN167" i="1" s="1"/>
  <c r="CB167" i="1" s="1"/>
  <c r="AC59" i="1"/>
  <c r="CR196" i="1"/>
  <c r="R152" i="1"/>
  <c r="DL152" i="1" s="1"/>
  <c r="AK202" i="1"/>
  <c r="V167" i="1"/>
  <c r="BL167" i="1" s="1"/>
  <c r="BZ167" i="1" s="1"/>
  <c r="CK227" i="1"/>
  <c r="AK195" i="1"/>
  <c r="N79" i="1"/>
  <c r="DH79" i="1" s="1"/>
  <c r="EJ79" i="1" s="1"/>
  <c r="R54" i="1"/>
  <c r="BH54" i="1" s="1"/>
  <c r="BV54" i="1" s="1"/>
  <c r="CF203" i="1"/>
  <c r="AL80" i="1"/>
  <c r="AO24" i="48"/>
  <c r="AD211" i="1"/>
  <c r="CH61" i="1"/>
  <c r="AG98" i="1"/>
  <c r="W147" i="1"/>
  <c r="DQ147" i="1" s="1"/>
  <c r="ES147" i="1" s="1"/>
  <c r="V100" i="1"/>
  <c r="BL100" i="1" s="1"/>
  <c r="BZ100" i="1" s="1"/>
  <c r="AF196" i="1"/>
  <c r="U96" i="1"/>
  <c r="DO96" i="1" s="1"/>
  <c r="EQ96" i="1" s="1"/>
  <c r="CH141" i="1"/>
  <c r="CJ111" i="1"/>
  <c r="CJ54" i="8"/>
  <c r="P434" i="2"/>
  <c r="Q434" i="2" s="1"/>
  <c r="AG154" i="1"/>
  <c r="O78" i="36"/>
  <c r="T68" i="36"/>
  <c r="V150" i="1"/>
  <c r="DP150" i="1" s="1"/>
  <c r="ER150" i="1" s="1"/>
  <c r="CH119" i="1"/>
  <c r="CG119" i="1"/>
  <c r="CU115" i="1"/>
  <c r="AC119" i="1"/>
  <c r="AQ161" i="48"/>
  <c r="CH125" i="1"/>
  <c r="M11" i="8"/>
  <c r="DG11" i="8" s="1"/>
  <c r="O111" i="22" s="1"/>
  <c r="G111" i="22" s="1"/>
  <c r="CE30" i="8"/>
  <c r="CE1" i="8" s="1"/>
  <c r="E112" i="22"/>
  <c r="AA9" i="8"/>
  <c r="BC9" i="8" s="1"/>
  <c r="BQ9" i="8" s="1"/>
  <c r="E114" i="22"/>
  <c r="AN115" i="1"/>
  <c r="AN75" i="1"/>
  <c r="AH161" i="48"/>
  <c r="AN35" i="1"/>
  <c r="AN96" i="1"/>
  <c r="AS17" i="48"/>
  <c r="Y17" i="48" s="1"/>
  <c r="Z17" i="48" s="1"/>
  <c r="AL91" i="1"/>
  <c r="EL45" i="1"/>
  <c r="AN24" i="48"/>
  <c r="CM111" i="1"/>
  <c r="AE141" i="1"/>
  <c r="M23" i="36"/>
  <c r="R203" i="1"/>
  <c r="BH203" i="1" s="1"/>
  <c r="BV203" i="1" s="1"/>
  <c r="J8" i="36"/>
  <c r="EI59" i="1"/>
  <c r="AJ108" i="48"/>
  <c r="CM152" i="1"/>
  <c r="CM100" i="1"/>
  <c r="CR54" i="1"/>
  <c r="AG13" i="48"/>
  <c r="CH159" i="1"/>
  <c r="Q141" i="1"/>
  <c r="DK141" i="1" s="1"/>
  <c r="M56" i="36" s="1"/>
  <c r="CM192" i="1"/>
  <c r="AE54" i="1"/>
  <c r="O88" i="1"/>
  <c r="DI88" i="1" s="1"/>
  <c r="EK88" i="1" s="1"/>
  <c r="CH147" i="1"/>
  <c r="AA14" i="1"/>
  <c r="AC66" i="1"/>
  <c r="L17" i="36"/>
  <c r="AN42" i="1"/>
  <c r="AH99" i="1"/>
  <c r="AN222" i="1"/>
  <c r="EI164" i="1"/>
  <c r="AI111" i="48"/>
  <c r="U141" i="1"/>
  <c r="AL99" i="1"/>
  <c r="AI141" i="1"/>
  <c r="AE152" i="1"/>
  <c r="CN226" i="1"/>
  <c r="T100" i="1"/>
  <c r="BJ100" i="1" s="1"/>
  <c r="BX100" i="1" s="1"/>
  <c r="AF227" i="1"/>
  <c r="M132" i="1"/>
  <c r="BC132" i="1" s="1"/>
  <c r="BQ132" i="1" s="1"/>
  <c r="AF203" i="1"/>
  <c r="P15" i="1"/>
  <c r="DJ15" i="1" s="1"/>
  <c r="EL15" i="1" s="1"/>
  <c r="AR114" i="48"/>
  <c r="F97" i="51" s="1"/>
  <c r="X97" i="1"/>
  <c r="DR97" i="1" s="1"/>
  <c r="ET97" i="1" s="1"/>
  <c r="AL97" i="1"/>
  <c r="R169" i="1"/>
  <c r="DL169" i="1" s="1"/>
  <c r="EN169" i="1" s="1"/>
  <c r="AN109" i="48"/>
  <c r="EJ205" i="1"/>
  <c r="AL177" i="1"/>
  <c r="CN167" i="1"/>
  <c r="AI195" i="1"/>
  <c r="BL226" i="1"/>
  <c r="BZ226" i="1" s="1"/>
  <c r="AD209" i="1"/>
  <c r="M196" i="1"/>
  <c r="DG196" i="1" s="1"/>
  <c r="EI196" i="1" s="1"/>
  <c r="P218" i="1"/>
  <c r="DJ218" i="1" s="1"/>
  <c r="EL218" i="1" s="1"/>
  <c r="AA32" i="1"/>
  <c r="AN207" i="1"/>
  <c r="EL73" i="1"/>
  <c r="AN15" i="1"/>
  <c r="AN102" i="1"/>
  <c r="CM226" i="1"/>
  <c r="DK227" i="1"/>
  <c r="EM227" i="1" s="1"/>
  <c r="CM195" i="1"/>
  <c r="CJ169" i="1"/>
  <c r="DO202" i="1"/>
  <c r="EQ202" i="1" s="1"/>
  <c r="ES169" i="1"/>
  <c r="AF188" i="1"/>
  <c r="R23" i="36"/>
  <c r="BK195" i="1"/>
  <c r="BY195" i="1" s="1"/>
  <c r="AL156" i="1"/>
  <c r="CR203" i="1"/>
  <c r="CI152" i="1"/>
  <c r="DL196" i="1"/>
  <c r="EN196" i="1" s="1"/>
  <c r="CR200" i="1"/>
  <c r="X156" i="1"/>
  <c r="DR156" i="1" s="1"/>
  <c r="ET156" i="1" s="1"/>
  <c r="P29" i="1"/>
  <c r="DJ29" i="1" s="1"/>
  <c r="EL29" i="1" s="1"/>
  <c r="AJ202" i="1"/>
  <c r="AB214" i="1"/>
  <c r="BD214" i="1" s="1"/>
  <c r="BR214" i="1" s="1"/>
  <c r="AN173" i="1"/>
  <c r="CU5" i="1"/>
  <c r="AQ24" i="48"/>
  <c r="DR99" i="1"/>
  <c r="ET99" i="1" s="1"/>
  <c r="CU127" i="1"/>
  <c r="U100" i="1"/>
  <c r="BK100" i="1" s="1"/>
  <c r="BY100" i="1" s="1"/>
  <c r="CN202" i="1"/>
  <c r="M51" i="1"/>
  <c r="DG51" i="1" s="1"/>
  <c r="U200" i="1"/>
  <c r="BK200" i="1" s="1"/>
  <c r="BY200" i="1" s="1"/>
  <c r="CE32" i="1"/>
  <c r="N161" i="1"/>
  <c r="DH161" i="1" s="1"/>
  <c r="N181" i="1"/>
  <c r="DH181" i="1" s="1"/>
  <c r="AA51" i="1"/>
  <c r="AN157" i="1"/>
  <c r="S169" i="1"/>
  <c r="BI169" i="1" s="1"/>
  <c r="BW169" i="1" s="1"/>
  <c r="AS114" i="48"/>
  <c r="P16" i="51" s="1"/>
  <c r="A217" i="1"/>
  <c r="A221" i="1"/>
  <c r="A134" i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33" i="1"/>
  <c r="CN194" i="1"/>
  <c r="CK191" i="1"/>
  <c r="M6" i="8"/>
  <c r="CS5" i="8"/>
  <c r="DW5" i="8"/>
  <c r="L6" i="8"/>
  <c r="CR5" i="8"/>
  <c r="BY6" i="8"/>
  <c r="CM5" i="8"/>
  <c r="X5" i="44"/>
  <c r="CQ5" i="8"/>
  <c r="AE5" i="44"/>
  <c r="CX5" i="8"/>
  <c r="J6" i="8"/>
  <c r="CP5" i="8"/>
  <c r="Q6" i="8"/>
  <c r="BG6" i="8" s="1"/>
  <c r="BU6" i="8" s="1"/>
  <c r="CW5" i="8"/>
  <c r="V5" i="44"/>
  <c r="CO5" i="8"/>
  <c r="X444" i="2"/>
  <c r="AC444" i="2" s="1"/>
  <c r="AA21" i="8"/>
  <c r="T21" i="8" s="1"/>
  <c r="DY5" i="8"/>
  <c r="M18" i="62"/>
  <c r="CV5" i="8"/>
  <c r="E18" i="62"/>
  <c r="CN5" i="8"/>
  <c r="DV5" i="8"/>
  <c r="DZ5" i="8"/>
  <c r="CU5" i="8"/>
  <c r="DX5" i="8"/>
  <c r="N6" i="8"/>
  <c r="CT5" i="8"/>
  <c r="O371" i="2"/>
  <c r="Z17" i="8" s="1"/>
  <c r="BB17" i="8" s="1"/>
  <c r="BP17" i="8" s="1"/>
  <c r="N3" i="2"/>
  <c r="AQ121" i="48"/>
  <c r="BY9" i="8"/>
  <c r="AA63" i="8"/>
  <c r="T65" i="36"/>
  <c r="AD57" i="8"/>
  <c r="AL113" i="48"/>
  <c r="L35" i="8"/>
  <c r="DF35" i="8" s="1"/>
  <c r="J13" i="62"/>
  <c r="C29" i="62" s="1"/>
  <c r="AA39" i="8"/>
  <c r="BC39" i="8" s="1"/>
  <c r="BQ39" i="8" s="1"/>
  <c r="AF111" i="48"/>
  <c r="AA7" i="8"/>
  <c r="EL23" i="8"/>
  <c r="L55" i="8"/>
  <c r="DF55" i="8" s="1"/>
  <c r="X55" i="8"/>
  <c r="AZ55" i="8" s="1"/>
  <c r="BN55" i="8" s="1"/>
  <c r="AA23" i="8"/>
  <c r="Z8" i="44"/>
  <c r="AI110" i="48"/>
  <c r="U189" i="1"/>
  <c r="DO189" i="1" s="1"/>
  <c r="EQ189" i="1" s="1"/>
  <c r="ES19" i="1"/>
  <c r="EI214" i="1"/>
  <c r="AM121" i="48"/>
  <c r="EQ180" i="1"/>
  <c r="S65" i="36"/>
  <c r="AI189" i="1"/>
  <c r="AA62" i="8"/>
  <c r="BC62" i="8" s="1"/>
  <c r="BQ62" i="8" s="1"/>
  <c r="R62" i="1"/>
  <c r="BH62" i="1" s="1"/>
  <c r="BV62" i="1" s="1"/>
  <c r="AI215" i="1"/>
  <c r="V50" i="8"/>
  <c r="AX15" i="8"/>
  <c r="BL15" i="8" s="1"/>
  <c r="AC38" i="8"/>
  <c r="BE38" i="8" s="1"/>
  <c r="BS38" i="8" s="1"/>
  <c r="AB11" i="44"/>
  <c r="E63" i="22"/>
  <c r="O12" i="8"/>
  <c r="DI12" i="8" s="1"/>
  <c r="EK12" i="8" s="1"/>
  <c r="K11" i="44" s="1"/>
  <c r="T111" i="1"/>
  <c r="BJ111" i="1" s="1"/>
  <c r="BX111" i="1" s="1"/>
  <c r="CM98" i="1"/>
  <c r="T8" i="44"/>
  <c r="AG8" i="44" s="1"/>
  <c r="H60" i="8"/>
  <c r="DB60" i="8" s="1"/>
  <c r="V15" i="8"/>
  <c r="U9" i="8"/>
  <c r="Y30" i="8"/>
  <c r="S42" i="28" s="1"/>
  <c r="S49" i="28" s="1"/>
  <c r="S50" i="28" s="1"/>
  <c r="CL111" i="1"/>
  <c r="G38" i="8"/>
  <c r="AW38" i="8" s="1"/>
  <c r="BK38" i="8" s="1"/>
  <c r="J9" i="8"/>
  <c r="DD9" i="8" s="1"/>
  <c r="O63" i="22" s="1"/>
  <c r="G63" i="22" s="1"/>
  <c r="EM150" i="1"/>
  <c r="ED15" i="8"/>
  <c r="D14" i="44" s="1"/>
  <c r="EL64" i="1"/>
  <c r="AA16" i="8"/>
  <c r="CD55" i="8"/>
  <c r="U271" i="2"/>
  <c r="V271" i="2" s="1"/>
  <c r="Y9" i="8"/>
  <c r="P271" i="2"/>
  <c r="Q271" i="2" s="1"/>
  <c r="X271" i="2"/>
  <c r="V193" i="1"/>
  <c r="BL193" i="1" s="1"/>
  <c r="BZ193" i="1" s="1"/>
  <c r="AQ107" i="48"/>
  <c r="DQ42" i="8"/>
  <c r="BG150" i="1"/>
  <c r="BU150" i="1" s="1"/>
  <c r="AG106" i="1"/>
  <c r="AB171" i="1"/>
  <c r="X422" i="2"/>
  <c r="X438" i="2"/>
  <c r="EA6" i="1" s="1"/>
  <c r="O63" i="36" s="1"/>
  <c r="AG156" i="1"/>
  <c r="I54" i="8"/>
  <c r="DC54" i="8" s="1"/>
  <c r="X430" i="2"/>
  <c r="EA109" i="1" s="1"/>
  <c r="X414" i="2"/>
  <c r="EA17" i="1" s="1"/>
  <c r="U444" i="2"/>
  <c r="X406" i="2"/>
  <c r="P445" i="2"/>
  <c r="Q445" i="2" s="1"/>
  <c r="U435" i="2"/>
  <c r="Z435" i="2" s="1"/>
  <c r="M109" i="60" s="1"/>
  <c r="P430" i="2"/>
  <c r="Q430" i="2" s="1"/>
  <c r="U434" i="2"/>
  <c r="V434" i="2" s="1"/>
  <c r="X398" i="2"/>
  <c r="P429" i="2"/>
  <c r="Q429" i="2" s="1"/>
  <c r="U425" i="2"/>
  <c r="Z425" i="2" s="1"/>
  <c r="X434" i="2"/>
  <c r="L108" i="60" s="1"/>
  <c r="X390" i="2"/>
  <c r="H163" i="35" s="1"/>
  <c r="AH119" i="48"/>
  <c r="P414" i="2"/>
  <c r="Q414" i="2" s="1"/>
  <c r="U424" i="2"/>
  <c r="V424" i="2" s="1"/>
  <c r="P413" i="2"/>
  <c r="Q413" i="2" s="1"/>
  <c r="AE160" i="1"/>
  <c r="P398" i="2"/>
  <c r="Q398" i="2" s="1"/>
  <c r="X418" i="2"/>
  <c r="T221" i="1"/>
  <c r="DN221" i="1" s="1"/>
  <c r="EP221" i="1" s="1"/>
  <c r="P397" i="2"/>
  <c r="Q397" i="2" s="1"/>
  <c r="U405" i="2"/>
  <c r="Z405" i="2" s="1"/>
  <c r="T215" i="1"/>
  <c r="DN215" i="1" s="1"/>
  <c r="EP215" i="1" s="1"/>
  <c r="U395" i="2"/>
  <c r="X402" i="2"/>
  <c r="EA137" i="1" s="1"/>
  <c r="O79" i="36" s="1"/>
  <c r="V398" i="2"/>
  <c r="Z398" i="2"/>
  <c r="V409" i="2"/>
  <c r="Z409" i="2"/>
  <c r="V401" i="2"/>
  <c r="Z401" i="2"/>
  <c r="EI184" i="1"/>
  <c r="P433" i="2"/>
  <c r="Q433" i="2" s="1"/>
  <c r="P417" i="2"/>
  <c r="Q417" i="2" s="1"/>
  <c r="P401" i="2"/>
  <c r="Q401" i="2" s="1"/>
  <c r="X386" i="2"/>
  <c r="H155" i="35" s="1"/>
  <c r="O155" i="35" s="1"/>
  <c r="U427" i="2"/>
  <c r="U417" i="2"/>
  <c r="U397" i="2"/>
  <c r="P432" i="2"/>
  <c r="Q432" i="2" s="1"/>
  <c r="P416" i="2"/>
  <c r="Q416" i="2" s="1"/>
  <c r="P400" i="2"/>
  <c r="Q400" i="2" s="1"/>
  <c r="U436" i="2"/>
  <c r="U426" i="2"/>
  <c r="U416" i="2"/>
  <c r="U406" i="2"/>
  <c r="U387" i="2"/>
  <c r="P431" i="2"/>
  <c r="Q431" i="2" s="1"/>
  <c r="P415" i="2"/>
  <c r="Q415" i="2" s="1"/>
  <c r="P399" i="2"/>
  <c r="Q399" i="2" s="1"/>
  <c r="U445" i="2"/>
  <c r="U415" i="2"/>
  <c r="U396" i="2"/>
  <c r="U386" i="2"/>
  <c r="X442" i="2"/>
  <c r="X426" i="2"/>
  <c r="H156" i="35" s="1"/>
  <c r="O156" i="35" s="1"/>
  <c r="X410" i="2"/>
  <c r="X394" i="2"/>
  <c r="P444" i="2"/>
  <c r="Q444" i="2" s="1"/>
  <c r="P428" i="2"/>
  <c r="Q428" i="2" s="1"/>
  <c r="P412" i="2"/>
  <c r="Q412" i="2" s="1"/>
  <c r="P396" i="2"/>
  <c r="Q396" i="2" s="1"/>
  <c r="U423" i="2"/>
  <c r="U404" i="2"/>
  <c r="U394" i="2"/>
  <c r="P443" i="2"/>
  <c r="Q443" i="2" s="1"/>
  <c r="P427" i="2"/>
  <c r="Q427" i="2" s="1"/>
  <c r="P411" i="2"/>
  <c r="Q411" i="2" s="1"/>
  <c r="P395" i="2"/>
  <c r="Q395" i="2" s="1"/>
  <c r="U443" i="2"/>
  <c r="U433" i="2"/>
  <c r="U413" i="2"/>
  <c r="P442" i="2"/>
  <c r="Q442" i="2" s="1"/>
  <c r="P410" i="2"/>
  <c r="Q410" i="2" s="1"/>
  <c r="U432" i="2"/>
  <c r="U422" i="2"/>
  <c r="U403" i="2"/>
  <c r="U393" i="2"/>
  <c r="X441" i="2"/>
  <c r="EA25" i="1" s="1"/>
  <c r="AL119" i="48" s="1"/>
  <c r="X437" i="2"/>
  <c r="EA9" i="1" s="1"/>
  <c r="EO9" i="1" s="1"/>
  <c r="X429" i="2"/>
  <c r="H154" i="35" s="1"/>
  <c r="O154" i="35" s="1"/>
  <c r="X425" i="2"/>
  <c r="H165" i="35" s="1"/>
  <c r="O165" i="35" s="1"/>
  <c r="X421" i="2"/>
  <c r="X409" i="2"/>
  <c r="X405" i="2"/>
  <c r="X401" i="2"/>
  <c r="X393" i="2"/>
  <c r="X389" i="2"/>
  <c r="H159" i="35" s="1"/>
  <c r="O159" i="35" s="1"/>
  <c r="EL144" i="1"/>
  <c r="P441" i="2"/>
  <c r="Q441" i="2" s="1"/>
  <c r="P409" i="2"/>
  <c r="Q409" i="2" s="1"/>
  <c r="U431" i="2"/>
  <c r="U412" i="2"/>
  <c r="U402" i="2"/>
  <c r="U392" i="2"/>
  <c r="P440" i="2"/>
  <c r="Q440" i="2" s="1"/>
  <c r="P424" i="2"/>
  <c r="Q424" i="2" s="1"/>
  <c r="P408" i="2"/>
  <c r="Q408" i="2" s="1"/>
  <c r="P392" i="2"/>
  <c r="Q392" i="2" s="1"/>
  <c r="U421" i="2"/>
  <c r="U391" i="2"/>
  <c r="P439" i="2"/>
  <c r="Q439" i="2" s="1"/>
  <c r="P423" i="2"/>
  <c r="Q423" i="2" s="1"/>
  <c r="P407" i="2"/>
  <c r="Q407" i="2" s="1"/>
  <c r="P391" i="2"/>
  <c r="Q391" i="2" s="1"/>
  <c r="U440" i="2"/>
  <c r="U411" i="2"/>
  <c r="P438" i="2"/>
  <c r="Q438" i="2" s="1"/>
  <c r="P390" i="2"/>
  <c r="Q390" i="2" s="1"/>
  <c r="U439" i="2"/>
  <c r="U420" i="2"/>
  <c r="U400" i="2"/>
  <c r="X436" i="2"/>
  <c r="L110" i="60" s="1"/>
  <c r="X428" i="2"/>
  <c r="X420" i="2"/>
  <c r="X408" i="2"/>
  <c r="X404" i="2"/>
  <c r="X388" i="2"/>
  <c r="AJ110" i="48"/>
  <c r="P437" i="2"/>
  <c r="Q437" i="2" s="1"/>
  <c r="P389" i="2"/>
  <c r="Q389" i="2" s="1"/>
  <c r="U399" i="2"/>
  <c r="EJ61" i="1"/>
  <c r="P388" i="2"/>
  <c r="Q388" i="2" s="1"/>
  <c r="U419" i="2"/>
  <c r="CN214" i="1"/>
  <c r="P435" i="2"/>
  <c r="Q435" i="2" s="1"/>
  <c r="P419" i="2"/>
  <c r="Q419" i="2" s="1"/>
  <c r="P403" i="2"/>
  <c r="Q403" i="2" s="1"/>
  <c r="P387" i="2"/>
  <c r="Q387" i="2" s="1"/>
  <c r="U418" i="2"/>
  <c r="U407" i="2"/>
  <c r="T69" i="36"/>
  <c r="EP153" i="1"/>
  <c r="AO113" i="48"/>
  <c r="AL112" i="48"/>
  <c r="AF121" i="48"/>
  <c r="G90" i="60"/>
  <c r="G98" i="60"/>
  <c r="J28" i="44"/>
  <c r="CJ121" i="1"/>
  <c r="EQ172" i="1"/>
  <c r="AH112" i="48"/>
  <c r="CL114" i="1"/>
  <c r="AL108" i="48"/>
  <c r="CL172" i="1"/>
  <c r="DI70" i="8"/>
  <c r="EK70" i="8" s="1"/>
  <c r="DT80" i="1"/>
  <c r="P76" i="36"/>
  <c r="L78" i="36"/>
  <c r="AG172" i="1"/>
  <c r="T206" i="1"/>
  <c r="DN206" i="1" s="1"/>
  <c r="EP206" i="1" s="1"/>
  <c r="AH94" i="1"/>
  <c r="X52" i="8"/>
  <c r="AZ52" i="8" s="1"/>
  <c r="BN52" i="8" s="1"/>
  <c r="Y27" i="8"/>
  <c r="AF147" i="1"/>
  <c r="AK190" i="1"/>
  <c r="V190" i="1"/>
  <c r="BL190" i="1" s="1"/>
  <c r="BZ190" i="1" s="1"/>
  <c r="EN150" i="1"/>
  <c r="AN108" i="48"/>
  <c r="AF108" i="48"/>
  <c r="EL126" i="1"/>
  <c r="AI115" i="48"/>
  <c r="CE54" i="8"/>
  <c r="ED32" i="8"/>
  <c r="AQ164" i="48"/>
  <c r="AH18" i="1"/>
  <c r="V92" i="1"/>
  <c r="DP92" i="1" s="1"/>
  <c r="ER92" i="1" s="1"/>
  <c r="CP6" i="1"/>
  <c r="AH37" i="1"/>
  <c r="EF157" i="1"/>
  <c r="CP111" i="1"/>
  <c r="V152" i="1"/>
  <c r="BL152" i="1" s="1"/>
  <c r="BZ152" i="1" s="1"/>
  <c r="AQ25" i="48"/>
  <c r="EJ211" i="1"/>
  <c r="CR227" i="1"/>
  <c r="Q35" i="8"/>
  <c r="DK35" i="8" s="1"/>
  <c r="EM35" i="8" s="1"/>
  <c r="U69" i="8"/>
  <c r="P61" i="8"/>
  <c r="DJ61" i="8" s="1"/>
  <c r="EL61" i="8" s="1"/>
  <c r="CL153" i="1"/>
  <c r="AL6" i="1"/>
  <c r="AD21" i="1"/>
  <c r="CF82" i="1"/>
  <c r="CE184" i="1"/>
  <c r="U53" i="8"/>
  <c r="R95" i="1"/>
  <c r="BH95" i="1" s="1"/>
  <c r="BV95" i="1" s="1"/>
  <c r="W57" i="8"/>
  <c r="AY57" i="8" s="1"/>
  <c r="BM57" i="8" s="1"/>
  <c r="CI121" i="1"/>
  <c r="J57" i="8"/>
  <c r="DD57" i="8" s="1"/>
  <c r="W191" i="1"/>
  <c r="DQ191" i="1" s="1"/>
  <c r="ES191" i="1" s="1"/>
  <c r="X57" i="8"/>
  <c r="AC18" i="8"/>
  <c r="AB53" i="8"/>
  <c r="BD53" i="8" s="1"/>
  <c r="BR53" i="8" s="1"/>
  <c r="DH53" i="8"/>
  <c r="EJ53" i="8" s="1"/>
  <c r="V10" i="44"/>
  <c r="I14" i="62"/>
  <c r="CL18" i="8"/>
  <c r="AF150" i="1"/>
  <c r="W11" i="8"/>
  <c r="AY11" i="8" s="1"/>
  <c r="BM11" i="8" s="1"/>
  <c r="I48" i="8"/>
  <c r="AY48" i="8" s="1"/>
  <c r="BM48" i="8" s="1"/>
  <c r="X230" i="2"/>
  <c r="DR64" i="8" s="1"/>
  <c r="P192" i="2"/>
  <c r="Q192" i="2" s="1"/>
  <c r="ED222" i="1"/>
  <c r="AO111" i="48"/>
  <c r="AJ109" i="48"/>
  <c r="O76" i="36"/>
  <c r="AB180" i="1"/>
  <c r="X84" i="1"/>
  <c r="BN84" i="1" s="1"/>
  <c r="CB84" i="1" s="1"/>
  <c r="N15" i="36"/>
  <c r="AF62" i="1"/>
  <c r="CO185" i="1"/>
  <c r="AK161" i="1"/>
  <c r="CJ160" i="1"/>
  <c r="AF160" i="1"/>
  <c r="V94" i="1"/>
  <c r="BL94" i="1" s="1"/>
  <c r="BZ94" i="1" s="1"/>
  <c r="R182" i="1"/>
  <c r="BH182" i="1" s="1"/>
  <c r="BV182" i="1" s="1"/>
  <c r="CO161" i="1"/>
  <c r="R164" i="1"/>
  <c r="DL164" i="1" s="1"/>
  <c r="AP113" i="48"/>
  <c r="EB115" i="1"/>
  <c r="ED58" i="8"/>
  <c r="AQ109" i="48"/>
  <c r="DY207" i="1"/>
  <c r="AO161" i="48"/>
  <c r="T75" i="36"/>
  <c r="AF113" i="48"/>
  <c r="EC222" i="1"/>
  <c r="AP115" i="48"/>
  <c r="BC18" i="8"/>
  <c r="BQ18" i="8" s="1"/>
  <c r="CD11" i="8"/>
  <c r="K37" i="8"/>
  <c r="BA37" i="8" s="1"/>
  <c r="BO37" i="8" s="1"/>
  <c r="CA8" i="8"/>
  <c r="I9" i="8"/>
  <c r="DC9" i="8" s="1"/>
  <c r="O46" i="22" s="1"/>
  <c r="G46" i="22" s="1"/>
  <c r="R121" i="1"/>
  <c r="DL121" i="1" s="1"/>
  <c r="EN121" i="1" s="1"/>
  <c r="Y8" i="44"/>
  <c r="CL49" i="8"/>
  <c r="V192" i="1"/>
  <c r="BL192" i="1" s="1"/>
  <c r="BZ192" i="1" s="1"/>
  <c r="V8" i="44"/>
  <c r="E95" i="22"/>
  <c r="Z14" i="8"/>
  <c r="CM141" i="1"/>
  <c r="X140" i="1"/>
  <c r="BN140" i="1" s="1"/>
  <c r="CB140" i="1" s="1"/>
  <c r="AF73" i="1"/>
  <c r="CQ59" i="8"/>
  <c r="Z25" i="8"/>
  <c r="E64" i="22"/>
  <c r="Z11" i="8"/>
  <c r="CJ23" i="8"/>
  <c r="CN192" i="1"/>
  <c r="AG188" i="1"/>
  <c r="AE77" i="1"/>
  <c r="DV51" i="1"/>
  <c r="Q42" i="8"/>
  <c r="BG42" i="8" s="1"/>
  <c r="BU42" i="8" s="1"/>
  <c r="S187" i="1"/>
  <c r="DM187" i="1" s="1"/>
  <c r="CK188" i="1"/>
  <c r="S93" i="1"/>
  <c r="DM93" i="1" s="1"/>
  <c r="EO93" i="1" s="1"/>
  <c r="EL47" i="8"/>
  <c r="N24" i="8"/>
  <c r="DH24" i="8" s="1"/>
  <c r="EJ24" i="8" s="1"/>
  <c r="U168" i="2"/>
  <c r="Z168" i="2" s="1"/>
  <c r="N30" i="8"/>
  <c r="BD30" i="8" s="1"/>
  <c r="BR30" i="8" s="1"/>
  <c r="AF92" i="1"/>
  <c r="CB18" i="8"/>
  <c r="X152" i="1"/>
  <c r="DR152" i="1" s="1"/>
  <c r="ET152" i="1" s="1"/>
  <c r="EL24" i="1"/>
  <c r="AG118" i="48"/>
  <c r="AL159" i="1"/>
  <c r="U55" i="8"/>
  <c r="CF54" i="8"/>
  <c r="EN14" i="8"/>
  <c r="N13" i="44" s="1"/>
  <c r="EI10" i="1"/>
  <c r="W218" i="1"/>
  <c r="DQ218" i="1" s="1"/>
  <c r="ES218" i="1" s="1"/>
  <c r="O53" i="8"/>
  <c r="DI53" i="8" s="1"/>
  <c r="EK53" i="8" s="1"/>
  <c r="AA3" i="2"/>
  <c r="AE33" i="8"/>
  <c r="AB35" i="8"/>
  <c r="AH187" i="1"/>
  <c r="Z18" i="8"/>
  <c r="CD53" i="8"/>
  <c r="AC53" i="1"/>
  <c r="BE53" i="1" s="1"/>
  <c r="BS53" i="1" s="1"/>
  <c r="X141" i="1"/>
  <c r="BN141" i="1" s="1"/>
  <c r="CB141" i="1" s="1"/>
  <c r="AL191" i="1"/>
  <c r="AF66" i="8"/>
  <c r="L3" i="2"/>
  <c r="R191" i="1"/>
  <c r="BH191" i="1" s="1"/>
  <c r="BV191" i="1" s="1"/>
  <c r="EI138" i="1"/>
  <c r="Y52" i="8"/>
  <c r="BA52" i="8" s="1"/>
  <c r="BO52" i="8" s="1"/>
  <c r="DW175" i="1"/>
  <c r="EK175" i="1" s="1"/>
  <c r="AL140" i="1"/>
  <c r="U192" i="1"/>
  <c r="BK192" i="1" s="1"/>
  <c r="BY192" i="1" s="1"/>
  <c r="CK73" i="1"/>
  <c r="AJ152" i="1"/>
  <c r="AK99" i="1"/>
  <c r="AD66" i="8"/>
  <c r="Q217" i="1"/>
  <c r="DK217" i="1" s="1"/>
  <c r="EM217" i="1" s="1"/>
  <c r="U48" i="8"/>
  <c r="I50" i="8"/>
  <c r="DC50" i="8" s="1"/>
  <c r="EE50" i="8" s="1"/>
  <c r="W140" i="1"/>
  <c r="BM140" i="1" s="1"/>
  <c r="CA140" i="1" s="1"/>
  <c r="CI205" i="1"/>
  <c r="AA9" i="1"/>
  <c r="AD24" i="1"/>
  <c r="AB138" i="1"/>
  <c r="CG26" i="1"/>
  <c r="BK63" i="1"/>
  <c r="BY63" i="1" s="1"/>
  <c r="EL191" i="1"/>
  <c r="ER212" i="1"/>
  <c r="T79" i="1"/>
  <c r="BJ79" i="1" s="1"/>
  <c r="BX79" i="1" s="1"/>
  <c r="CI181" i="1"/>
  <c r="AM111" i="48"/>
  <c r="EM70" i="8"/>
  <c r="DV68" i="8"/>
  <c r="AO115" i="48"/>
  <c r="AF55" i="8"/>
  <c r="EJ140" i="1"/>
  <c r="EI18" i="8"/>
  <c r="EI21" i="1"/>
  <c r="I105" i="36"/>
  <c r="DT144" i="1"/>
  <c r="AQ113" i="48"/>
  <c r="G55" i="8"/>
  <c r="DA55" i="8" s="1"/>
  <c r="EC55" i="8" s="1"/>
  <c r="AF51" i="1"/>
  <c r="DM48" i="1"/>
  <c r="EO48" i="1" s="1"/>
  <c r="AG186" i="1"/>
  <c r="K57" i="8"/>
  <c r="BA57" i="8" s="1"/>
  <c r="BO57" i="8" s="1"/>
  <c r="BZ53" i="8"/>
  <c r="T94" i="1"/>
  <c r="BJ94" i="1" s="1"/>
  <c r="BX94" i="1" s="1"/>
  <c r="AJ112" i="48"/>
  <c r="AB11" i="58"/>
  <c r="AA7" i="58"/>
  <c r="J27" i="44"/>
  <c r="J25" i="44"/>
  <c r="AA8" i="58"/>
  <c r="Q7" i="6"/>
  <c r="Q15" i="6" s="1"/>
  <c r="AD11" i="58"/>
  <c r="O13" i="20"/>
  <c r="P84" i="6"/>
  <c r="P121" i="6" s="1"/>
  <c r="G61" i="6"/>
  <c r="G25" i="6"/>
  <c r="Q44" i="6"/>
  <c r="Q52" i="6" s="1"/>
  <c r="G14" i="20"/>
  <c r="F83" i="6"/>
  <c r="F120" i="6" s="1"/>
  <c r="P11" i="6"/>
  <c r="P19" i="6" s="1"/>
  <c r="N66" i="6"/>
  <c r="H61" i="6"/>
  <c r="L12" i="20"/>
  <c r="G104" i="6"/>
  <c r="G135" i="6" s="1"/>
  <c r="F27" i="6"/>
  <c r="F36" i="6" s="1"/>
  <c r="K10" i="6"/>
  <c r="K18" i="6" s="1"/>
  <c r="N15" i="20"/>
  <c r="P50" i="6"/>
  <c r="P58" i="6" s="1"/>
  <c r="H36" i="20"/>
  <c r="AA9" i="58"/>
  <c r="AC10" i="58"/>
  <c r="N47" i="6"/>
  <c r="N55" i="6" s="1"/>
  <c r="P86" i="6"/>
  <c r="P123" i="6" s="1"/>
  <c r="N62" i="6"/>
  <c r="G49" i="6"/>
  <c r="G57" i="6" s="1"/>
  <c r="O101" i="6"/>
  <c r="O109" i="6" s="1"/>
  <c r="Q22" i="6"/>
  <c r="Q31" i="6" s="1"/>
  <c r="L104" i="6"/>
  <c r="L112" i="6" s="1"/>
  <c r="P88" i="6"/>
  <c r="P96" i="6" s="1"/>
  <c r="F64" i="6"/>
  <c r="F73" i="6" s="1"/>
  <c r="M26" i="6"/>
  <c r="M35" i="6" s="1"/>
  <c r="J63" i="6"/>
  <c r="P82" i="6"/>
  <c r="P90" i="6" s="1"/>
  <c r="K24" i="20"/>
  <c r="K48" i="20" s="1"/>
  <c r="K10" i="42" s="1"/>
  <c r="O49" i="6"/>
  <c r="O57" i="6" s="1"/>
  <c r="J61" i="6"/>
  <c r="J70" i="6" s="1"/>
  <c r="Q86" i="6"/>
  <c r="Q123" i="6" s="1"/>
  <c r="P24" i="6"/>
  <c r="P33" i="6" s="1"/>
  <c r="I85" i="6"/>
  <c r="I122" i="6" s="1"/>
  <c r="G66" i="6"/>
  <c r="G76" i="6" s="1"/>
  <c r="J8" i="6"/>
  <c r="J16" i="6" s="1"/>
  <c r="F15" i="20"/>
  <c r="Q8" i="6"/>
  <c r="Q16" i="6" s="1"/>
  <c r="K26" i="20"/>
  <c r="K50" i="20" s="1"/>
  <c r="K12" i="42" s="1"/>
  <c r="O46" i="6"/>
  <c r="O54" i="6" s="1"/>
  <c r="L23" i="6"/>
  <c r="L11" i="20"/>
  <c r="O66" i="6"/>
  <c r="N23" i="6"/>
  <c r="N22" i="6"/>
  <c r="O87" i="6"/>
  <c r="O95" i="6" s="1"/>
  <c r="H28" i="6"/>
  <c r="H38" i="6" s="1"/>
  <c r="P45" i="6"/>
  <c r="P53" i="6" s="1"/>
  <c r="O9" i="20"/>
  <c r="O47" i="6"/>
  <c r="O55" i="6" s="1"/>
  <c r="I11" i="20"/>
  <c r="O6" i="6"/>
  <c r="O14" i="6" s="1"/>
  <c r="Q60" i="6"/>
  <c r="Q69" i="6" s="1"/>
  <c r="Q10" i="6"/>
  <c r="Q18" i="6" s="1"/>
  <c r="O8" i="20"/>
  <c r="N6" i="6"/>
  <c r="K10" i="20"/>
  <c r="K48" i="6"/>
  <c r="K56" i="6" s="1"/>
  <c r="M26" i="20"/>
  <c r="M50" i="20" s="1"/>
  <c r="M12" i="42" s="1"/>
  <c r="F9" i="6"/>
  <c r="F17" i="6" s="1"/>
  <c r="J9" i="20"/>
  <c r="M86" i="6"/>
  <c r="M94" i="6" s="1"/>
  <c r="Q66" i="6"/>
  <c r="M9" i="6"/>
  <c r="M17" i="6" s="1"/>
  <c r="Q64" i="6"/>
  <c r="Q73" i="6" s="1"/>
  <c r="F26" i="6"/>
  <c r="F35" i="6" s="1"/>
  <c r="H24" i="20"/>
  <c r="Q47" i="6"/>
  <c r="Q55" i="6" s="1"/>
  <c r="I25" i="6"/>
  <c r="F7" i="6"/>
  <c r="F15" i="6" s="1"/>
  <c r="M50" i="6"/>
  <c r="M58" i="6" s="1"/>
  <c r="N9" i="6"/>
  <c r="N17" i="6" s="1"/>
  <c r="G44" i="6"/>
  <c r="AC9" i="58"/>
  <c r="AB9" i="58"/>
  <c r="AA11" i="58"/>
  <c r="J84" i="6"/>
  <c r="J121" i="6" s="1"/>
  <c r="K62" i="6"/>
  <c r="Q82" i="6"/>
  <c r="Q119" i="6" s="1"/>
  <c r="K28" i="6"/>
  <c r="Q24" i="6"/>
  <c r="Q33" i="6" s="1"/>
  <c r="G47" i="6"/>
  <c r="F14" i="20"/>
  <c r="K11" i="6"/>
  <c r="K86" i="6"/>
  <c r="K94" i="6" s="1"/>
  <c r="L46" i="6"/>
  <c r="L54" i="6" s="1"/>
  <c r="J29" i="44"/>
  <c r="P47" i="6"/>
  <c r="P55" i="6" s="1"/>
  <c r="H65" i="6"/>
  <c r="J85" i="6"/>
  <c r="J93" i="6" s="1"/>
  <c r="L11" i="6"/>
  <c r="G27" i="6"/>
  <c r="Q87" i="6"/>
  <c r="Q124" i="6" s="1"/>
  <c r="E14" i="20"/>
  <c r="F84" i="6"/>
  <c r="F92" i="6" s="1"/>
  <c r="L20" i="20"/>
  <c r="L44" i="20" s="1"/>
  <c r="L6" i="42" s="1"/>
  <c r="N83" i="6"/>
  <c r="N91" i="6" s="1"/>
  <c r="I47" i="6"/>
  <c r="I55" i="6" s="1"/>
  <c r="L47" i="6"/>
  <c r="L55" i="6" s="1"/>
  <c r="M15" i="20"/>
  <c r="M47" i="6"/>
  <c r="M55" i="6" s="1"/>
  <c r="K7" i="6"/>
  <c r="D14" i="20"/>
  <c r="H12" i="6"/>
  <c r="H20" i="6" s="1"/>
  <c r="P28" i="6"/>
  <c r="D12" i="20"/>
  <c r="G8" i="6"/>
  <c r="G16" i="6" s="1"/>
  <c r="Q104" i="6"/>
  <c r="Q135" i="6" s="1"/>
  <c r="P49" i="6"/>
  <c r="P57" i="6" s="1"/>
  <c r="L25" i="6"/>
  <c r="M87" i="6"/>
  <c r="M124" i="6" s="1"/>
  <c r="L64" i="6"/>
  <c r="L73" i="6" s="1"/>
  <c r="I87" i="6"/>
  <c r="I95" i="6" s="1"/>
  <c r="Q62" i="6"/>
  <c r="Q71" i="6" s="1"/>
  <c r="J6" i="6"/>
  <c r="N24" i="20"/>
  <c r="N48" i="20" s="1"/>
  <c r="N10" i="42" s="1"/>
  <c r="M48" i="6"/>
  <c r="M56" i="6" s="1"/>
  <c r="L27" i="20"/>
  <c r="L51" i="20" s="1"/>
  <c r="L13" i="42" s="1"/>
  <c r="N11" i="6"/>
  <c r="F11" i="20"/>
  <c r="O24" i="20"/>
  <c r="O48" i="20" s="1"/>
  <c r="O10" i="42" s="1"/>
  <c r="N10" i="6"/>
  <c r="N18" i="6" s="1"/>
  <c r="H22" i="6"/>
  <c r="F23" i="6"/>
  <c r="M20" i="20"/>
  <c r="M44" i="20" s="1"/>
  <c r="M6" i="42" s="1"/>
  <c r="M84" i="6"/>
  <c r="M121" i="6" s="1"/>
  <c r="H8" i="6"/>
  <c r="J44" i="6"/>
  <c r="F50" i="6"/>
  <c r="F58" i="6" s="1"/>
  <c r="H13" i="20"/>
  <c r="F86" i="6"/>
  <c r="F123" i="6" s="1"/>
  <c r="P22" i="6"/>
  <c r="P31" i="6" s="1"/>
  <c r="M24" i="20"/>
  <c r="M48" i="20" s="1"/>
  <c r="M10" i="42" s="1"/>
  <c r="H27" i="6"/>
  <c r="G13" i="20"/>
  <c r="O26" i="6"/>
  <c r="O35" i="6" s="1"/>
  <c r="I8" i="6"/>
  <c r="I16" i="6" s="1"/>
  <c r="L61" i="6"/>
  <c r="E11" i="20"/>
  <c r="K84" i="6"/>
  <c r="K121" i="6" s="1"/>
  <c r="I63" i="6"/>
  <c r="Q84" i="6"/>
  <c r="Q92" i="6" s="1"/>
  <c r="I14" i="20"/>
  <c r="G10" i="6"/>
  <c r="G18" i="6" s="1"/>
  <c r="N8" i="20"/>
  <c r="N85" i="6"/>
  <c r="N122" i="6" s="1"/>
  <c r="Q63" i="6"/>
  <c r="Q72" i="6" s="1"/>
  <c r="M22" i="6"/>
  <c r="E15" i="20"/>
  <c r="O11" i="20"/>
  <c r="M82" i="6"/>
  <c r="M119" i="6" s="1"/>
  <c r="I8" i="20"/>
  <c r="M98" i="6"/>
  <c r="O102" i="6"/>
  <c r="O133" i="6" s="1"/>
  <c r="D8" i="20"/>
  <c r="E12" i="20"/>
  <c r="K9" i="6"/>
  <c r="K17" i="6" s="1"/>
  <c r="I102" i="6"/>
  <c r="I110" i="6" s="1"/>
  <c r="N82" i="6"/>
  <c r="N100" i="6"/>
  <c r="I49" i="6"/>
  <c r="I57" i="6" s="1"/>
  <c r="M63" i="6"/>
  <c r="F85" i="6"/>
  <c r="F122" i="6" s="1"/>
  <c r="N26" i="20"/>
  <c r="N50" i="20" s="1"/>
  <c r="N12" i="42" s="1"/>
  <c r="K49" i="6"/>
  <c r="I65" i="6"/>
  <c r="K46" i="6"/>
  <c r="M11" i="20"/>
  <c r="P6" i="6"/>
  <c r="P14" i="6" s="1"/>
  <c r="O60" i="6"/>
  <c r="O69" i="6" s="1"/>
  <c r="O64" i="6"/>
  <c r="O73" i="6" s="1"/>
  <c r="I60" i="6"/>
  <c r="L12" i="6"/>
  <c r="L20" i="6" s="1"/>
  <c r="J10" i="6"/>
  <c r="J18" i="6" s="1"/>
  <c r="M66" i="6"/>
  <c r="D9" i="20"/>
  <c r="J12" i="6"/>
  <c r="J20" i="6" s="1"/>
  <c r="Q103" i="6"/>
  <c r="Q111" i="6" s="1"/>
  <c r="O12" i="20"/>
  <c r="K45" i="6"/>
  <c r="J8" i="20"/>
  <c r="M14" i="20"/>
  <c r="M10" i="20"/>
  <c r="H25" i="6"/>
  <c r="J26" i="44"/>
  <c r="F13" i="20"/>
  <c r="J9" i="6"/>
  <c r="J17" i="6" s="1"/>
  <c r="H85" i="6"/>
  <c r="H93" i="6" s="1"/>
  <c r="P60" i="6"/>
  <c r="P69" i="6" s="1"/>
  <c r="G88" i="6"/>
  <c r="G96" i="6" s="1"/>
  <c r="O27" i="6"/>
  <c r="O36" i="6" s="1"/>
  <c r="F88" i="6"/>
  <c r="F96" i="6" s="1"/>
  <c r="O104" i="6"/>
  <c r="O135" i="6" s="1"/>
  <c r="H86" i="6"/>
  <c r="H123" i="6" s="1"/>
  <c r="N27" i="20"/>
  <c r="N51" i="20" s="1"/>
  <c r="N13" i="42" s="1"/>
  <c r="G45" i="6"/>
  <c r="G53" i="6" s="1"/>
  <c r="L13" i="20"/>
  <c r="L84" i="6"/>
  <c r="L92" i="6" s="1"/>
  <c r="P26" i="6"/>
  <c r="P35" i="6" s="1"/>
  <c r="K14" i="20"/>
  <c r="J102" i="6"/>
  <c r="J110" i="6" s="1"/>
  <c r="M85" i="6"/>
  <c r="M122" i="6" s="1"/>
  <c r="I86" i="6"/>
  <c r="I94" i="6" s="1"/>
  <c r="G62" i="6"/>
  <c r="N86" i="6"/>
  <c r="N94" i="6" s="1"/>
  <c r="H88" i="6"/>
  <c r="H96" i="6" s="1"/>
  <c r="M11" i="6"/>
  <c r="M19" i="6" s="1"/>
  <c r="Q48" i="6"/>
  <c r="Q56" i="6" s="1"/>
  <c r="H44" i="6"/>
  <c r="O82" i="6"/>
  <c r="O119" i="6" s="1"/>
  <c r="P8" i="6"/>
  <c r="P16" i="6" s="1"/>
  <c r="H102" i="6"/>
  <c r="H110" i="6" s="1"/>
  <c r="N7" i="6"/>
  <c r="N15" i="6" s="1"/>
  <c r="O45" i="6"/>
  <c r="O53" i="6" s="1"/>
  <c r="L21" i="20"/>
  <c r="L45" i="20" s="1"/>
  <c r="L7" i="42" s="1"/>
  <c r="K66" i="6"/>
  <c r="L63" i="6"/>
  <c r="AB7" i="58"/>
  <c r="I11" i="6"/>
  <c r="I19" i="6" s="1"/>
  <c r="O50" i="6"/>
  <c r="O58" i="6" s="1"/>
  <c r="H6" i="6"/>
  <c r="Q99" i="6"/>
  <c r="Q130" i="6" s="1"/>
  <c r="Q9" i="6"/>
  <c r="Q17" i="6" s="1"/>
  <c r="F49" i="6"/>
  <c r="F57" i="6" s="1"/>
  <c r="O10" i="6"/>
  <c r="O18" i="6" s="1"/>
  <c r="M23" i="20"/>
  <c r="M47" i="20" s="1"/>
  <c r="M9" i="42" s="1"/>
  <c r="K21" i="20"/>
  <c r="K45" i="20" s="1"/>
  <c r="K7" i="42" s="1"/>
  <c r="N11" i="20"/>
  <c r="F102" i="6"/>
  <c r="F110" i="6" s="1"/>
  <c r="K27" i="20"/>
  <c r="K51" i="20" s="1"/>
  <c r="K13" i="42" s="1"/>
  <c r="Q6" i="6"/>
  <c r="Q14" i="6" s="1"/>
  <c r="Q49" i="6"/>
  <c r="Q57" i="6" s="1"/>
  <c r="M102" i="6"/>
  <c r="M133" i="6" s="1"/>
  <c r="F12" i="6"/>
  <c r="F20" i="6" s="1"/>
  <c r="J26" i="20"/>
  <c r="M10" i="6"/>
  <c r="M18" i="6" s="1"/>
  <c r="O21" i="20"/>
  <c r="O45" i="20" s="1"/>
  <c r="O7" i="42" s="1"/>
  <c r="N46" i="6"/>
  <c r="N54" i="6" s="1"/>
  <c r="O23" i="6"/>
  <c r="O32" i="6" s="1"/>
  <c r="J31" i="44"/>
  <c r="F8" i="6"/>
  <c r="F16" i="6" s="1"/>
  <c r="P9" i="6"/>
  <c r="P17" i="6" s="1"/>
  <c r="N63" i="6"/>
  <c r="P66" i="6"/>
  <c r="O9" i="6"/>
  <c r="O17" i="6" s="1"/>
  <c r="I9" i="20"/>
  <c r="I44" i="6"/>
  <c r="F47" i="6"/>
  <c r="F55" i="6" s="1"/>
  <c r="K11" i="20"/>
  <c r="H9" i="6"/>
  <c r="H17" i="6" s="1"/>
  <c r="K9" i="20"/>
  <c r="M6" i="6"/>
  <c r="I45" i="6"/>
  <c r="I53" i="6" s="1"/>
  <c r="O63" i="6"/>
  <c r="O72" i="6" s="1"/>
  <c r="F24" i="6"/>
  <c r="AC8" i="58"/>
  <c r="AB8" i="58"/>
  <c r="G63" i="6"/>
  <c r="I83" i="6"/>
  <c r="I91" i="6" s="1"/>
  <c r="M27" i="20"/>
  <c r="M51" i="20" s="1"/>
  <c r="M13" i="42" s="1"/>
  <c r="L22" i="6"/>
  <c r="M64" i="6"/>
  <c r="M73" i="6" s="1"/>
  <c r="L8" i="20"/>
  <c r="J30" i="44"/>
  <c r="G83" i="6"/>
  <c r="G91" i="6" s="1"/>
  <c r="AE11" i="58"/>
  <c r="L50" i="6"/>
  <c r="L58" i="6" s="1"/>
  <c r="G48" i="6"/>
  <c r="G56" i="6" s="1"/>
  <c r="J83" i="6"/>
  <c r="J91" i="6" s="1"/>
  <c r="J104" i="6"/>
  <c r="J135" i="6" s="1"/>
  <c r="N48" i="6"/>
  <c r="N56" i="6" s="1"/>
  <c r="G9" i="20"/>
  <c r="O88" i="6"/>
  <c r="O96" i="6" s="1"/>
  <c r="N64" i="6"/>
  <c r="N73" i="6" s="1"/>
  <c r="O85" i="6"/>
  <c r="O93" i="6" s="1"/>
  <c r="I64" i="6"/>
  <c r="I73" i="6" s="1"/>
  <c r="L86" i="6"/>
  <c r="L123" i="6" s="1"/>
  <c r="Q23" i="6"/>
  <c r="Q32" i="6" s="1"/>
  <c r="M100" i="6"/>
  <c r="M131" i="6" s="1"/>
  <c r="G84" i="6"/>
  <c r="G92" i="6" s="1"/>
  <c r="K26" i="6"/>
  <c r="K35" i="6" s="1"/>
  <c r="P27" i="6"/>
  <c r="P36" i="6" s="1"/>
  <c r="Q85" i="6"/>
  <c r="Q122" i="6" s="1"/>
  <c r="F10" i="20"/>
  <c r="F12" i="20"/>
  <c r="I23" i="6"/>
  <c r="O48" i="6"/>
  <c r="O56" i="6" s="1"/>
  <c r="H83" i="6"/>
  <c r="H91" i="6" s="1"/>
  <c r="O20" i="20"/>
  <c r="O44" i="20" s="1"/>
  <c r="O6" i="42" s="1"/>
  <c r="L6" i="6"/>
  <c r="L24" i="20"/>
  <c r="L48" i="20" s="1"/>
  <c r="L10" i="42" s="1"/>
  <c r="M65" i="6"/>
  <c r="J32" i="44"/>
  <c r="J47" i="6"/>
  <c r="J55" i="6" s="1"/>
  <c r="H45" i="6"/>
  <c r="H53" i="6" s="1"/>
  <c r="F11" i="6"/>
  <c r="F19" i="6" s="1"/>
  <c r="K8" i="20"/>
  <c r="N49" i="6"/>
  <c r="P87" i="6"/>
  <c r="P95" i="6" s="1"/>
  <c r="M28" i="6"/>
  <c r="L65" i="6"/>
  <c r="M45" i="6"/>
  <c r="M53" i="6" s="1"/>
  <c r="J66" i="6"/>
  <c r="H10" i="6"/>
  <c r="H18" i="6" s="1"/>
  <c r="K85" i="6"/>
  <c r="K122" i="6" s="1"/>
  <c r="M27" i="6"/>
  <c r="I26" i="20"/>
  <c r="Q46" i="6"/>
  <c r="Q54" i="6" s="1"/>
  <c r="M25" i="20"/>
  <c r="M49" i="20" s="1"/>
  <c r="M11" i="42" s="1"/>
  <c r="K44" i="6"/>
  <c r="Q28" i="6"/>
  <c r="H7" i="6"/>
  <c r="H15" i="6" s="1"/>
  <c r="H66" i="6"/>
  <c r="M46" i="6"/>
  <c r="G8" i="20"/>
  <c r="O11" i="6"/>
  <c r="O19" i="6" s="1"/>
  <c r="D23" i="20"/>
  <c r="G24" i="6"/>
  <c r="F22" i="6"/>
  <c r="J25" i="6"/>
  <c r="I28" i="6"/>
  <c r="Q45" i="6"/>
  <c r="Q53" i="6" s="1"/>
  <c r="G26" i="6"/>
  <c r="G35" i="6" s="1"/>
  <c r="G64" i="6"/>
  <c r="G73" i="6" s="1"/>
  <c r="O22" i="6"/>
  <c r="O31" i="6" s="1"/>
  <c r="D26" i="20"/>
  <c r="N20" i="20"/>
  <c r="N44" i="20" s="1"/>
  <c r="N6" i="42" s="1"/>
  <c r="O12" i="6"/>
  <c r="O20" i="6" s="1"/>
  <c r="L62" i="6"/>
  <c r="Q12" i="6"/>
  <c r="Q20" i="6" s="1"/>
  <c r="H46" i="6"/>
  <c r="AD8" i="58"/>
  <c r="M83" i="6"/>
  <c r="M120" i="6" s="1"/>
  <c r="E10" i="20"/>
  <c r="G46" i="6"/>
  <c r="G54" i="6" s="1"/>
  <c r="L44" i="6"/>
  <c r="I46" i="6"/>
  <c r="I54" i="6" s="1"/>
  <c r="K50" i="6"/>
  <c r="K58" i="6" s="1"/>
  <c r="F6" i="6"/>
  <c r="I27" i="6"/>
  <c r="L45" i="6"/>
  <c r="L53" i="6" s="1"/>
  <c r="I26" i="6"/>
  <c r="I35" i="6" s="1"/>
  <c r="O86" i="6"/>
  <c r="O94" i="6" s="1"/>
  <c r="M9" i="20"/>
  <c r="O7" i="6"/>
  <c r="O15" i="6" s="1"/>
  <c r="F87" i="6"/>
  <c r="F124" i="6" s="1"/>
  <c r="J12" i="20"/>
  <c r="F25" i="6"/>
  <c r="O25" i="20"/>
  <c r="O49" i="20" s="1"/>
  <c r="O11" i="42" s="1"/>
  <c r="J11" i="6"/>
  <c r="J19" i="6" s="1"/>
  <c r="J14" i="20"/>
  <c r="L85" i="6"/>
  <c r="L93" i="6" s="1"/>
  <c r="D10" i="20"/>
  <c r="J87" i="6"/>
  <c r="J124" i="6" s="1"/>
  <c r="I24" i="6"/>
  <c r="K8" i="6"/>
  <c r="F28" i="6"/>
  <c r="H48" i="6"/>
  <c r="H56" i="6" s="1"/>
  <c r="O22" i="20"/>
  <c r="O46" i="20" s="1"/>
  <c r="O8" i="42" s="1"/>
  <c r="N104" i="6"/>
  <c r="N135" i="6" s="1"/>
  <c r="G102" i="6"/>
  <c r="G110" i="6" s="1"/>
  <c r="L26" i="6"/>
  <c r="L35" i="6" s="1"/>
  <c r="M88" i="6"/>
  <c r="M125" i="6" s="1"/>
  <c r="J26" i="6"/>
  <c r="J35" i="6" s="1"/>
  <c r="P85" i="6"/>
  <c r="P93" i="6" s="1"/>
  <c r="L25" i="20"/>
  <c r="L49" i="20" s="1"/>
  <c r="L11" i="42" s="1"/>
  <c r="N61" i="6"/>
  <c r="K61" i="6"/>
  <c r="L10" i="20"/>
  <c r="M12" i="6"/>
  <c r="M20" i="6" s="1"/>
  <c r="P98" i="6"/>
  <c r="P129" i="6" s="1"/>
  <c r="I10" i="6"/>
  <c r="I18" i="6" s="1"/>
  <c r="N98" i="6"/>
  <c r="N129" i="6" s="1"/>
  <c r="AD10" i="58"/>
  <c r="L26" i="20"/>
  <c r="L50" i="20" s="1"/>
  <c r="L12" i="42" s="1"/>
  <c r="F46" i="6"/>
  <c r="F54" i="6" s="1"/>
  <c r="O25" i="6"/>
  <c r="O34" i="6" s="1"/>
  <c r="N12" i="6"/>
  <c r="N20" i="6" s="1"/>
  <c r="D11" i="20"/>
  <c r="J50" i="6"/>
  <c r="J58" i="6" s="1"/>
  <c r="L14" i="20"/>
  <c r="P99" i="6"/>
  <c r="P130" i="6" s="1"/>
  <c r="G87" i="6"/>
  <c r="G95" i="6" s="1"/>
  <c r="H11" i="6"/>
  <c r="Q101" i="6"/>
  <c r="Q132" i="6" s="1"/>
  <c r="I7" i="6"/>
  <c r="I15" i="6" s="1"/>
  <c r="I12" i="20"/>
  <c r="F10" i="6"/>
  <c r="F18" i="6" s="1"/>
  <c r="O65" i="6"/>
  <c r="O74" i="6" s="1"/>
  <c r="P12" i="6"/>
  <c r="P20" i="6" s="1"/>
  <c r="G28" i="6"/>
  <c r="O8" i="6"/>
  <c r="O16" i="6" s="1"/>
  <c r="F66" i="6"/>
  <c r="F76" i="6" s="1"/>
  <c r="D15" i="20"/>
  <c r="P100" i="6"/>
  <c r="P108" i="6" s="1"/>
  <c r="I12" i="6"/>
  <c r="I20" i="6" s="1"/>
  <c r="H26" i="6"/>
  <c r="H35" i="6" s="1"/>
  <c r="H14" i="20"/>
  <c r="N21" i="20"/>
  <c r="N45" i="20" s="1"/>
  <c r="N7" i="42" s="1"/>
  <c r="L83" i="6"/>
  <c r="L120" i="6" s="1"/>
  <c r="Q98" i="6"/>
  <c r="Q129" i="6" s="1"/>
  <c r="N44" i="6"/>
  <c r="I88" i="6"/>
  <c r="I125" i="6" s="1"/>
  <c r="N50" i="6"/>
  <c r="N58" i="6" s="1"/>
  <c r="I15" i="20"/>
  <c r="L7" i="6"/>
  <c r="L15" i="6" s="1"/>
  <c r="G86" i="6"/>
  <c r="G123" i="6" s="1"/>
  <c r="W18" i="1"/>
  <c r="BM18" i="1" s="1"/>
  <c r="CA18" i="1" s="1"/>
  <c r="AH223" i="1"/>
  <c r="EN186" i="1"/>
  <c r="Q66" i="36"/>
  <c r="EN82" i="1"/>
  <c r="ET161" i="1"/>
  <c r="EK63" i="8"/>
  <c r="EM211" i="1"/>
  <c r="U150" i="1"/>
  <c r="BK150" i="1" s="1"/>
  <c r="BY150" i="1" s="1"/>
  <c r="CE18" i="8"/>
  <c r="AC54" i="8"/>
  <c r="BE54" i="8" s="1"/>
  <c r="BS54" i="8" s="1"/>
  <c r="AP118" i="48"/>
  <c r="CP147" i="1"/>
  <c r="ER130" i="1"/>
  <c r="AK18" i="1"/>
  <c r="K53" i="8"/>
  <c r="DE53" i="8" s="1"/>
  <c r="AE95" i="1"/>
  <c r="T64" i="1"/>
  <c r="DN64" i="1" s="1"/>
  <c r="EP64" i="1" s="1"/>
  <c r="CB52" i="8"/>
  <c r="AF54" i="8"/>
  <c r="CO125" i="1"/>
  <c r="AH12" i="1"/>
  <c r="CL64" i="1"/>
  <c r="AK223" i="1"/>
  <c r="X91" i="1"/>
  <c r="BN91" i="1" s="1"/>
  <c r="CB91" i="1" s="1"/>
  <c r="CO119" i="1"/>
  <c r="T56" i="1"/>
  <c r="BJ56" i="1" s="1"/>
  <c r="BX56" i="1" s="1"/>
  <c r="W214" i="1"/>
  <c r="BM214" i="1" s="1"/>
  <c r="CA214" i="1" s="1"/>
  <c r="Q93" i="1"/>
  <c r="BG93" i="1" s="1"/>
  <c r="BU93" i="1" s="1"/>
  <c r="T53" i="1"/>
  <c r="DN53" i="1" s="1"/>
  <c r="EP53" i="1" s="1"/>
  <c r="AH51" i="1"/>
  <c r="CL44" i="1"/>
  <c r="CP84" i="1"/>
  <c r="CL59" i="1"/>
  <c r="W223" i="1"/>
  <c r="BM223" i="1" s="1"/>
  <c r="CA223" i="1" s="1"/>
  <c r="CL166" i="1"/>
  <c r="CK218" i="1"/>
  <c r="AC188" i="1"/>
  <c r="BE188" i="1" s="1"/>
  <c r="BS188" i="1" s="1"/>
  <c r="CL193" i="1"/>
  <c r="T193" i="1"/>
  <c r="DN193" i="1" s="1"/>
  <c r="EP193" i="1" s="1"/>
  <c r="DQ60" i="8"/>
  <c r="EN153" i="1"/>
  <c r="AI133" i="1"/>
  <c r="AL137" i="1"/>
  <c r="AH68" i="1"/>
  <c r="CL12" i="1"/>
  <c r="Y55" i="8"/>
  <c r="CJ99" i="1"/>
  <c r="AF67" i="1"/>
  <c r="K78" i="36"/>
  <c r="AJ94" i="1"/>
  <c r="CK143" i="1"/>
  <c r="S148" i="1"/>
  <c r="BI148" i="1" s="1"/>
  <c r="BW148" i="1" s="1"/>
  <c r="AG145" i="1"/>
  <c r="EM64" i="8"/>
  <c r="DV22" i="8"/>
  <c r="Q54" i="8"/>
  <c r="BG54" i="8" s="1"/>
  <c r="BU54" i="8" s="1"/>
  <c r="AE54" i="8"/>
  <c r="AC52" i="8"/>
  <c r="BE52" i="8" s="1"/>
  <c r="BS52" i="8" s="1"/>
  <c r="CB9" i="8"/>
  <c r="AN107" i="48"/>
  <c r="N14" i="20"/>
  <c r="V214" i="1"/>
  <c r="DP214" i="1" s="1"/>
  <c r="ER214" i="1" s="1"/>
  <c r="R48" i="1"/>
  <c r="DL48" i="1" s="1"/>
  <c r="EN48" i="1" s="1"/>
  <c r="DC222" i="1"/>
  <c r="AF93" i="1"/>
  <c r="V176" i="1"/>
  <c r="DP176" i="1" s="1"/>
  <c r="ER176" i="1" s="1"/>
  <c r="W224" i="1"/>
  <c r="DQ224" i="1" s="1"/>
  <c r="ES224" i="1" s="1"/>
  <c r="AE121" i="1"/>
  <c r="AK224" i="1"/>
  <c r="CJ93" i="1"/>
  <c r="AG210" i="1"/>
  <c r="AL172" i="1"/>
  <c r="V131" i="1"/>
  <c r="BL131" i="1" s="1"/>
  <c r="BZ131" i="1" s="1"/>
  <c r="X134" i="1"/>
  <c r="BN134" i="1" s="1"/>
  <c r="CB134" i="1" s="1"/>
  <c r="S80" i="1"/>
  <c r="DM80" i="1" s="1"/>
  <c r="EO80" i="1" s="1"/>
  <c r="AG80" i="1"/>
  <c r="CD12" i="8"/>
  <c r="Z12" i="8"/>
  <c r="J14" i="8"/>
  <c r="AZ14" i="8" s="1"/>
  <c r="BN14" i="8" s="1"/>
  <c r="X14" i="8"/>
  <c r="CF33" i="8"/>
  <c r="AB33" i="8"/>
  <c r="CI64" i="8"/>
  <c r="AE64" i="8"/>
  <c r="N162" i="1"/>
  <c r="DH162" i="1" s="1"/>
  <c r="AB162" i="1"/>
  <c r="CI30" i="8"/>
  <c r="CW29" i="8"/>
  <c r="AB44" i="8"/>
  <c r="N44" i="8"/>
  <c r="DH44" i="8" s="1"/>
  <c r="EJ44" i="8" s="1"/>
  <c r="L18" i="62"/>
  <c r="CG6" i="8"/>
  <c r="O116" i="1"/>
  <c r="DI116" i="1" s="1"/>
  <c r="EK116" i="1" s="1"/>
  <c r="AC11" i="58"/>
  <c r="N152" i="1"/>
  <c r="DH152" i="1" s="1"/>
  <c r="EJ152" i="1" s="1"/>
  <c r="CF152" i="1"/>
  <c r="N34" i="1"/>
  <c r="DH34" i="1" s="1"/>
  <c r="CF34" i="1"/>
  <c r="J16" i="36"/>
  <c r="AG10" i="48"/>
  <c r="X191" i="2"/>
  <c r="U191" i="2"/>
  <c r="V191" i="2" s="1"/>
  <c r="P51" i="2"/>
  <c r="Q51" i="2" s="1"/>
  <c r="X51" i="2"/>
  <c r="AC51" i="2" s="1"/>
  <c r="AD51" i="2" s="1"/>
  <c r="U35" i="2"/>
  <c r="X35" i="2"/>
  <c r="AD35" i="2" s="1"/>
  <c r="T188" i="1"/>
  <c r="BJ188" i="1" s="1"/>
  <c r="BX188" i="1" s="1"/>
  <c r="CL188" i="1"/>
  <c r="AB134" i="1"/>
  <c r="CF134" i="1"/>
  <c r="N74" i="1"/>
  <c r="DH74" i="1" s="1"/>
  <c r="EJ74" i="1" s="1"/>
  <c r="AB10" i="58"/>
  <c r="M31" i="1"/>
  <c r="DG31" i="1" s="1"/>
  <c r="EI31" i="1" s="1"/>
  <c r="AA10" i="58"/>
  <c r="P18" i="2"/>
  <c r="Q18" i="2" s="1"/>
  <c r="U18" i="2"/>
  <c r="Z18" i="2" s="1"/>
  <c r="BZ58" i="8"/>
  <c r="V58" i="8"/>
  <c r="G94" i="60"/>
  <c r="D35" i="20"/>
  <c r="M12" i="20"/>
  <c r="K65" i="6"/>
  <c r="K74" i="6" s="1"/>
  <c r="N103" i="6"/>
  <c r="N134" i="6" s="1"/>
  <c r="L66" i="6"/>
  <c r="J62" i="6"/>
  <c r="N26" i="6"/>
  <c r="N35" i="6" s="1"/>
  <c r="J65" i="6"/>
  <c r="G15" i="20"/>
  <c r="Q26" i="6"/>
  <c r="Q35" i="6" s="1"/>
  <c r="L24" i="6"/>
  <c r="K12" i="20"/>
  <c r="M99" i="6"/>
  <c r="M130" i="6" s="1"/>
  <c r="E13" i="20"/>
  <c r="F8" i="20"/>
  <c r="CI99" i="1"/>
  <c r="Q99" i="1"/>
  <c r="DK99" i="1" s="1"/>
  <c r="AK188" i="1"/>
  <c r="W188" i="1"/>
  <c r="DQ188" i="1" s="1"/>
  <c r="ES188" i="1" s="1"/>
  <c r="AD9" i="44"/>
  <c r="N17" i="62"/>
  <c r="CC18" i="8"/>
  <c r="K18" i="8"/>
  <c r="BA18" i="8" s="1"/>
  <c r="BO18" i="8" s="1"/>
  <c r="CB36" i="8"/>
  <c r="J36" i="8"/>
  <c r="DD36" i="8" s="1"/>
  <c r="CA43" i="8"/>
  <c r="I43" i="8"/>
  <c r="DC43" i="8" s="1"/>
  <c r="AG121" i="1"/>
  <c r="Q190" i="1"/>
  <c r="BG190" i="1" s="1"/>
  <c r="BU190" i="1" s="1"/>
  <c r="AE190" i="1"/>
  <c r="AE9" i="8"/>
  <c r="AD8" i="44"/>
  <c r="N13" i="62"/>
  <c r="CJ35" i="8"/>
  <c r="R35" i="8"/>
  <c r="BH35" i="8" s="1"/>
  <c r="BV35" i="8" s="1"/>
  <c r="AC48" i="8"/>
  <c r="O48" i="8"/>
  <c r="DI48" i="8" s="1"/>
  <c r="EK48" i="8" s="1"/>
  <c r="X174" i="1"/>
  <c r="BN174" i="1" s="1"/>
  <c r="CB174" i="1" s="1"/>
  <c r="Q50" i="6"/>
  <c r="Q58" i="6" s="1"/>
  <c r="J7" i="6"/>
  <c r="J15" i="6" s="1"/>
  <c r="M44" i="6"/>
  <c r="P7" i="6"/>
  <c r="P15" i="6" s="1"/>
  <c r="H49" i="6"/>
  <c r="J88" i="6"/>
  <c r="J96" i="6" s="1"/>
  <c r="N84" i="6"/>
  <c r="N92" i="6" s="1"/>
  <c r="P10" i="6"/>
  <c r="P18" i="6" s="1"/>
  <c r="H47" i="6"/>
  <c r="H55" i="6" s="1"/>
  <c r="L8" i="6"/>
  <c r="L16" i="6" s="1"/>
  <c r="N45" i="6"/>
  <c r="N53" i="6" s="1"/>
  <c r="G50" i="6"/>
  <c r="G58" i="6" s="1"/>
  <c r="Q88" i="6"/>
  <c r="Q96" i="6" s="1"/>
  <c r="O84" i="6"/>
  <c r="O121" i="6" s="1"/>
  <c r="CE12" i="8"/>
  <c r="Z11" i="44"/>
  <c r="CH25" i="8"/>
  <c r="AD25" i="8"/>
  <c r="U36" i="8"/>
  <c r="G36" i="8"/>
  <c r="DA36" i="8" s="1"/>
  <c r="EC36" i="8" s="1"/>
  <c r="E31" i="22"/>
  <c r="H30" i="8"/>
  <c r="AC47" i="8"/>
  <c r="CG47" i="8"/>
  <c r="CA65" i="8"/>
  <c r="I65" i="8"/>
  <c r="DC65" i="8" s="1"/>
  <c r="DR185" i="1"/>
  <c r="ET185" i="1" s="1"/>
  <c r="N10" i="20"/>
  <c r="D38" i="20"/>
  <c r="I66" i="6"/>
  <c r="E9" i="20"/>
  <c r="N99" i="6"/>
  <c r="K23" i="20"/>
  <c r="K47" i="20" s="1"/>
  <c r="K9" i="42" s="1"/>
  <c r="K22" i="20"/>
  <c r="K46" i="20" s="1"/>
  <c r="K8" i="42" s="1"/>
  <c r="K25" i="20"/>
  <c r="K49" i="20" s="1"/>
  <c r="K11" i="42" s="1"/>
  <c r="M103" i="6"/>
  <c r="M134" i="6" s="1"/>
  <c r="J10" i="20"/>
  <c r="I10" i="20"/>
  <c r="I61" i="6"/>
  <c r="L22" i="20"/>
  <c r="L46" i="20" s="1"/>
  <c r="L8" i="42" s="1"/>
  <c r="P61" i="6"/>
  <c r="P70" i="6" s="1"/>
  <c r="G12" i="20"/>
  <c r="N23" i="20"/>
  <c r="N47" i="20" s="1"/>
  <c r="N9" i="42" s="1"/>
  <c r="Y54" i="8"/>
  <c r="X96" i="1"/>
  <c r="BN96" i="1" s="1"/>
  <c r="CB96" i="1" s="1"/>
  <c r="AL96" i="1"/>
  <c r="AF75" i="1"/>
  <c r="BH75" i="1" s="1"/>
  <c r="BV75" i="1" s="1"/>
  <c r="U25" i="1"/>
  <c r="BK25" i="1" s="1"/>
  <c r="BY25" i="1" s="1"/>
  <c r="X139" i="1"/>
  <c r="DR139" i="1" s="1"/>
  <c r="ET139" i="1" s="1"/>
  <c r="AG87" i="1"/>
  <c r="M23" i="6"/>
  <c r="G23" i="6"/>
  <c r="H104" i="6"/>
  <c r="H112" i="6" s="1"/>
  <c r="I104" i="6"/>
  <c r="I112" i="6" s="1"/>
  <c r="L102" i="6"/>
  <c r="L110" i="6" s="1"/>
  <c r="N22" i="20"/>
  <c r="N46" i="20" s="1"/>
  <c r="N8" i="42" s="1"/>
  <c r="F104" i="6"/>
  <c r="F112" i="6" s="1"/>
  <c r="N60" i="6"/>
  <c r="CJ75" i="1"/>
  <c r="CK48" i="1"/>
  <c r="AG48" i="1"/>
  <c r="CJ186" i="1"/>
  <c r="CM92" i="1"/>
  <c r="AI92" i="1"/>
  <c r="U71" i="1"/>
  <c r="DO71" i="1" s="1"/>
  <c r="AN72" i="48" s="1"/>
  <c r="AN167" i="48" s="1"/>
  <c r="AG160" i="1"/>
  <c r="AI29" i="1"/>
  <c r="AL126" i="1"/>
  <c r="AE75" i="1"/>
  <c r="O100" i="6"/>
  <c r="O108" i="6" s="1"/>
  <c r="M62" i="6"/>
  <c r="J28" i="6"/>
  <c r="J23" i="6"/>
  <c r="J32" i="6" s="1"/>
  <c r="L15" i="20"/>
  <c r="Q102" i="6"/>
  <c r="Q110" i="6" s="1"/>
  <c r="H23" i="6"/>
  <c r="Q27" i="6"/>
  <c r="Q36" i="6" s="1"/>
  <c r="H10" i="20"/>
  <c r="O27" i="20"/>
  <c r="O51" i="20" s="1"/>
  <c r="O13" i="42" s="1"/>
  <c r="P62" i="6"/>
  <c r="P71" i="6" s="1"/>
  <c r="O99" i="6"/>
  <c r="O130" i="6" s="1"/>
  <c r="K104" i="6"/>
  <c r="K135" i="6" s="1"/>
  <c r="Q65" i="6"/>
  <c r="Q74" i="6" s="1"/>
  <c r="N65" i="6"/>
  <c r="M13" i="20"/>
  <c r="J24" i="6"/>
  <c r="K22" i="6"/>
  <c r="AF96" i="1"/>
  <c r="CI138" i="1"/>
  <c r="CM14" i="1"/>
  <c r="CM208" i="1"/>
  <c r="AK176" i="1"/>
  <c r="X159" i="1"/>
  <c r="BN159" i="1" s="1"/>
  <c r="CB159" i="1" s="1"/>
  <c r="T17" i="36"/>
  <c r="M8" i="20"/>
  <c r="N13" i="20"/>
  <c r="J13" i="20"/>
  <c r="H11" i="20"/>
  <c r="H12" i="20"/>
  <c r="P23" i="6"/>
  <c r="P32" i="6" s="1"/>
  <c r="O98" i="6"/>
  <c r="O129" i="6" s="1"/>
  <c r="G11" i="20"/>
  <c r="J27" i="6"/>
  <c r="H9" i="20"/>
  <c r="H8" i="20"/>
  <c r="F9" i="20"/>
  <c r="J11" i="20"/>
  <c r="M25" i="6"/>
  <c r="M101" i="6"/>
  <c r="M132" i="6" s="1"/>
  <c r="M24" i="6"/>
  <c r="L28" i="6"/>
  <c r="P168" i="2"/>
  <c r="Q168" i="2" s="1"/>
  <c r="EK135" i="1"/>
  <c r="Q15" i="8"/>
  <c r="BG15" i="8" s="1"/>
  <c r="BU15" i="8" s="1"/>
  <c r="DR131" i="1"/>
  <c r="ET131" i="1" s="1"/>
  <c r="CP174" i="1"/>
  <c r="DD222" i="1"/>
  <c r="EL49" i="8"/>
  <c r="EJ224" i="1"/>
  <c r="CE150" i="1"/>
  <c r="U52" i="2"/>
  <c r="Z52" i="2" s="1"/>
  <c r="P209" i="2"/>
  <c r="Q209" i="2" s="1"/>
  <c r="X246" i="2"/>
  <c r="DX78" i="1" s="1"/>
  <c r="K40" i="20"/>
  <c r="AH221" i="1"/>
  <c r="O40" i="20"/>
  <c r="M40" i="20"/>
  <c r="AJ193" i="1"/>
  <c r="U44" i="1"/>
  <c r="DO44" i="1" s="1"/>
  <c r="EQ44" i="1" s="1"/>
  <c r="EN176" i="1"/>
  <c r="DR126" i="1"/>
  <c r="ET126" i="1" s="1"/>
  <c r="AE164" i="1"/>
  <c r="CM29" i="1"/>
  <c r="BH150" i="1"/>
  <c r="BV150" i="1" s="1"/>
  <c r="CP223" i="1"/>
  <c r="AL148" i="1"/>
  <c r="CK62" i="1"/>
  <c r="CL21" i="1"/>
  <c r="CN185" i="1"/>
  <c r="R17" i="36"/>
  <c r="Q48" i="1"/>
  <c r="DK48" i="1" s="1"/>
  <c r="EM48" i="1" s="1"/>
  <c r="Q82" i="1"/>
  <c r="BG82" i="1" s="1"/>
  <c r="BU82" i="1" s="1"/>
  <c r="Q164" i="1"/>
  <c r="DK164" i="1" s="1"/>
  <c r="EM164" i="1" s="1"/>
  <c r="AG62" i="1"/>
  <c r="T23" i="1"/>
  <c r="BJ23" i="1" s="1"/>
  <c r="BX23" i="1" s="1"/>
  <c r="BN161" i="1"/>
  <c r="CB161" i="1" s="1"/>
  <c r="AE73" i="1"/>
  <c r="S49" i="1"/>
  <c r="DM49" i="1" s="1"/>
  <c r="Q182" i="1"/>
  <c r="DK182" i="1" s="1"/>
  <c r="EM182" i="1" s="1"/>
  <c r="U23" i="1"/>
  <c r="BK23" i="1" s="1"/>
  <c r="BY23" i="1" s="1"/>
  <c r="U53" i="1"/>
  <c r="DO53" i="1" s="1"/>
  <c r="EQ53" i="1" s="1"/>
  <c r="EM126" i="1"/>
  <c r="CM36" i="1"/>
  <c r="AF115" i="48"/>
  <c r="AK119" i="48"/>
  <c r="AO109" i="48"/>
  <c r="AM108" i="48"/>
  <c r="DT136" i="1"/>
  <c r="AP106" i="48"/>
  <c r="AL111" i="48"/>
  <c r="EC157" i="1"/>
  <c r="EB173" i="1"/>
  <c r="R75" i="36"/>
  <c r="AP108" i="48"/>
  <c r="P77" i="36"/>
  <c r="AO121" i="48"/>
  <c r="CO181" i="1"/>
  <c r="EN221" i="1"/>
  <c r="AQ112" i="48"/>
  <c r="AH108" i="48"/>
  <c r="AJ113" i="48"/>
  <c r="AM109" i="48"/>
  <c r="N78" i="36"/>
  <c r="EB222" i="1"/>
  <c r="L40" i="20"/>
  <c r="ET191" i="1"/>
  <c r="ES100" i="1"/>
  <c r="EQ195" i="1"/>
  <c r="EO149" i="1"/>
  <c r="AP111" i="48"/>
  <c r="DT55" i="1"/>
  <c r="R79" i="36"/>
  <c r="Q117" i="1"/>
  <c r="BG117" i="1" s="1"/>
  <c r="BU117" i="1" s="1"/>
  <c r="AG94" i="1"/>
  <c r="AM113" i="48"/>
  <c r="AN115" i="48"/>
  <c r="AL106" i="48"/>
  <c r="EF222" i="1"/>
  <c r="N40" i="20"/>
  <c r="Q76" i="36"/>
  <c r="AH59" i="1"/>
  <c r="BJ59" i="1" s="1"/>
  <c r="BX59" i="1" s="1"/>
  <c r="AO116" i="48"/>
  <c r="Q68" i="36"/>
  <c r="EO98" i="1"/>
  <c r="AP121" i="48"/>
  <c r="EF27" i="8"/>
  <c r="AP107" i="48"/>
  <c r="J65" i="36"/>
  <c r="EL58" i="8"/>
  <c r="AO118" i="48"/>
  <c r="EN58" i="8"/>
  <c r="EI185" i="1"/>
  <c r="AB76" i="1"/>
  <c r="R210" i="1"/>
  <c r="BH210" i="1" s="1"/>
  <c r="BV210" i="1" s="1"/>
  <c r="AA53" i="8"/>
  <c r="AJ117" i="1"/>
  <c r="AE117" i="1"/>
  <c r="CL18" i="1"/>
  <c r="AD226" i="1"/>
  <c r="Q62" i="1"/>
  <c r="DK62" i="1" s="1"/>
  <c r="EM62" i="1" s="1"/>
  <c r="EK205" i="1"/>
  <c r="EK81" i="1"/>
  <c r="EL33" i="8"/>
  <c r="EJ194" i="1"/>
  <c r="CI134" i="1"/>
  <c r="EL52" i="1"/>
  <c r="DN195" i="1"/>
  <c r="EP195" i="1" s="1"/>
  <c r="BI98" i="1"/>
  <c r="BW98" i="1" s="1"/>
  <c r="DB18" i="8"/>
  <c r="ED18" i="8" s="1"/>
  <c r="BD153" i="1"/>
  <c r="BR153" i="1" s="1"/>
  <c r="BC135" i="1"/>
  <c r="BQ135" i="1" s="1"/>
  <c r="BD194" i="1"/>
  <c r="BR194" i="1" s="1"/>
  <c r="BF52" i="1"/>
  <c r="BT52" i="1" s="1"/>
  <c r="DL96" i="1"/>
  <c r="EN96" i="1" s="1"/>
  <c r="BC134" i="1"/>
  <c r="BQ134" i="1" s="1"/>
  <c r="DG150" i="1"/>
  <c r="EI150" i="1" s="1"/>
  <c r="BD195" i="1"/>
  <c r="BR195" i="1" s="1"/>
  <c r="AK161" i="48"/>
  <c r="DF8" i="8"/>
  <c r="EH8" i="8" s="1"/>
  <c r="H7" i="44" s="1"/>
  <c r="DJ140" i="1"/>
  <c r="EL140" i="1" s="1"/>
  <c r="BH45" i="8"/>
  <c r="BV45" i="8" s="1"/>
  <c r="E16" i="51"/>
  <c r="BF60" i="1"/>
  <c r="BT60" i="1" s="1"/>
  <c r="BE57" i="1"/>
  <c r="BS57" i="1" s="1"/>
  <c r="DG15" i="8"/>
  <c r="EI15" i="8" s="1"/>
  <c r="I14" i="44" s="1"/>
  <c r="EN45" i="8"/>
  <c r="Q78" i="36"/>
  <c r="CM151" i="1"/>
  <c r="AR17" i="48"/>
  <c r="D97" i="51" s="1"/>
  <c r="S143" i="1"/>
  <c r="DM143" i="1" s="1"/>
  <c r="EO143" i="1" s="1"/>
  <c r="T181" i="1"/>
  <c r="BJ181" i="1" s="1"/>
  <c r="BX181" i="1" s="1"/>
  <c r="T76" i="36"/>
  <c r="AD9" i="58"/>
  <c r="AL118" i="48"/>
  <c r="AJ111" i="48"/>
  <c r="AL121" i="48"/>
  <c r="AC7" i="58"/>
  <c r="AL24" i="48"/>
  <c r="M49" i="8"/>
  <c r="CS59" i="8"/>
  <c r="CN29" i="8"/>
  <c r="CT29" i="8"/>
  <c r="J9" i="36"/>
  <c r="CE94" i="1"/>
  <c r="EL183" i="1"/>
  <c r="CT41" i="8"/>
  <c r="CR205" i="1"/>
  <c r="CL35" i="8"/>
  <c r="BZ35" i="8"/>
  <c r="AD204" i="1"/>
  <c r="BF204" i="1" s="1"/>
  <c r="BT204" i="1" s="1"/>
  <c r="AE189" i="1"/>
  <c r="BG189" i="1" s="1"/>
  <c r="BU189" i="1" s="1"/>
  <c r="AF10" i="48"/>
  <c r="AD117" i="1"/>
  <c r="K9" i="36"/>
  <c r="U135" i="1"/>
  <c r="DO135" i="1" s="1"/>
  <c r="EQ135" i="1" s="1"/>
  <c r="CP87" i="1"/>
  <c r="AL186" i="1"/>
  <c r="AN113" i="48"/>
  <c r="U162" i="1"/>
  <c r="DO162" i="1" s="1"/>
  <c r="EQ162" i="1" s="1"/>
  <c r="X164" i="1"/>
  <c r="DR164" i="1" s="1"/>
  <c r="ET164" i="1" s="1"/>
  <c r="H54" i="8"/>
  <c r="X182" i="1"/>
  <c r="DR182" i="1" s="1"/>
  <c r="ET182" i="1" s="1"/>
  <c r="X160" i="1"/>
  <c r="BN160" i="1" s="1"/>
  <c r="CB160" i="1" s="1"/>
  <c r="AD52" i="8"/>
  <c r="AQ106" i="48"/>
  <c r="CH57" i="8"/>
  <c r="CM212" i="1"/>
  <c r="ER83" i="1"/>
  <c r="X48" i="1"/>
  <c r="BN48" i="1" s="1"/>
  <c r="CB48" i="1" s="1"/>
  <c r="CM149" i="1"/>
  <c r="U211" i="1"/>
  <c r="CM211" i="1"/>
  <c r="J227" i="35" s="1"/>
  <c r="EE173" i="1"/>
  <c r="EF207" i="1"/>
  <c r="AM106" i="48"/>
  <c r="AL75" i="58"/>
  <c r="EQ160" i="1"/>
  <c r="CI184" i="1"/>
  <c r="U215" i="1"/>
  <c r="DO215" i="1" s="1"/>
  <c r="EQ215" i="1" s="1"/>
  <c r="AQ108" i="48"/>
  <c r="EE115" i="1"/>
  <c r="AL48" i="1"/>
  <c r="Q186" i="1"/>
  <c r="BG186" i="1" s="1"/>
  <c r="BU186" i="1" s="1"/>
  <c r="U208" i="1"/>
  <c r="DO208" i="1" s="1"/>
  <c r="EQ208" i="1" s="1"/>
  <c r="AL164" i="1"/>
  <c r="AA6" i="44"/>
  <c r="M94" i="1"/>
  <c r="BC94" i="1" s="1"/>
  <c r="BQ94" i="1" s="1"/>
  <c r="CG162" i="1"/>
  <c r="AG24" i="48"/>
  <c r="CR167" i="1"/>
  <c r="CL25" i="8"/>
  <c r="AH7" i="48"/>
  <c r="AG9" i="48"/>
  <c r="X63" i="1"/>
  <c r="BN63" i="1" s="1"/>
  <c r="CB63" i="1" s="1"/>
  <c r="AL23" i="48"/>
  <c r="CN119" i="1"/>
  <c r="CN88" i="1"/>
  <c r="V172" i="1"/>
  <c r="BL172" i="1" s="1"/>
  <c r="BZ172" i="1" s="1"/>
  <c r="H52" i="8"/>
  <c r="DB52" i="8" s="1"/>
  <c r="V223" i="1"/>
  <c r="BL223" i="1" s="1"/>
  <c r="BZ223" i="1" s="1"/>
  <c r="V174" i="1"/>
  <c r="BL174" i="1" s="1"/>
  <c r="BZ174" i="1" s="1"/>
  <c r="U185" i="1"/>
  <c r="BK185" i="1" s="1"/>
  <c r="BY185" i="1" s="1"/>
  <c r="AG66" i="1"/>
  <c r="AF71" i="1"/>
  <c r="AI119" i="1"/>
  <c r="AI117" i="1"/>
  <c r="AF211" i="1"/>
  <c r="X136" i="1"/>
  <c r="BN136" i="1" s="1"/>
  <c r="CB136" i="1" s="1"/>
  <c r="V52" i="8"/>
  <c r="CO92" i="1"/>
  <c r="AH93" i="1"/>
  <c r="V206" i="1"/>
  <c r="DP206" i="1" s="1"/>
  <c r="ER206" i="1" s="1"/>
  <c r="EO84" i="1"/>
  <c r="V218" i="1"/>
  <c r="DP218" i="1" s="1"/>
  <c r="ER218" i="1" s="1"/>
  <c r="U88" i="1"/>
  <c r="DO88" i="1" s="1"/>
  <c r="CI48" i="1"/>
  <c r="CN206" i="1"/>
  <c r="W92" i="1"/>
  <c r="BM92" i="1" s="1"/>
  <c r="CA92" i="1" s="1"/>
  <c r="CI73" i="1"/>
  <c r="AK94" i="1"/>
  <c r="Q160" i="1"/>
  <c r="BG160" i="1" s="1"/>
  <c r="BU160" i="1" s="1"/>
  <c r="CI62" i="1"/>
  <c r="CP136" i="1"/>
  <c r="AD54" i="8"/>
  <c r="CP61" i="1"/>
  <c r="AJ223" i="1"/>
  <c r="AE97" i="1"/>
  <c r="CK39" i="1"/>
  <c r="S68" i="1"/>
  <c r="BI68" i="1" s="1"/>
  <c r="BW68" i="1" s="1"/>
  <c r="AJ159" i="1"/>
  <c r="AE14" i="44"/>
  <c r="AJ119" i="48"/>
  <c r="CK71" i="1"/>
  <c r="V126" i="1"/>
  <c r="BL126" i="1" s="1"/>
  <c r="BZ126" i="1" s="1"/>
  <c r="CO114" i="1"/>
  <c r="H57" i="8"/>
  <c r="AX57" i="8" s="1"/>
  <c r="BL57" i="8" s="1"/>
  <c r="AJ134" i="1"/>
  <c r="CN176" i="1"/>
  <c r="AH140" i="1"/>
  <c r="AF164" i="48"/>
  <c r="V111" i="1"/>
  <c r="DP111" i="1" s="1"/>
  <c r="AO74" i="48" s="1"/>
  <c r="AO169" i="48" s="1"/>
  <c r="X27" i="8"/>
  <c r="CP63" i="1"/>
  <c r="AJ172" i="1"/>
  <c r="CR195" i="1"/>
  <c r="AB7" i="8"/>
  <c r="CH117" i="1"/>
  <c r="CH55" i="1"/>
  <c r="AA159" i="1"/>
  <c r="AF19" i="48"/>
  <c r="AD7" i="58"/>
  <c r="K20" i="36"/>
  <c r="M221" i="1"/>
  <c r="DG221" i="1" s="1"/>
  <c r="EI221" i="1" s="1"/>
  <c r="L13" i="36"/>
  <c r="P80" i="1"/>
  <c r="BF80" i="1" s="1"/>
  <c r="BT80" i="1" s="1"/>
  <c r="N32" i="1"/>
  <c r="BD32" i="1" s="1"/>
  <c r="BR32" i="1" s="1"/>
  <c r="T96" i="1"/>
  <c r="DN96" i="1" s="1"/>
  <c r="EP96" i="1" s="1"/>
  <c r="N8" i="8"/>
  <c r="BD8" i="8" s="1"/>
  <c r="BR8" i="8" s="1"/>
  <c r="W11" i="44"/>
  <c r="X12" i="8"/>
  <c r="CF100" i="1"/>
  <c r="AA73" i="1"/>
  <c r="O202" i="1"/>
  <c r="CG35" i="1"/>
  <c r="CL24" i="8"/>
  <c r="CI195" i="1"/>
  <c r="CR202" i="1"/>
  <c r="CV127" i="1"/>
  <c r="AB32" i="1"/>
  <c r="EM25" i="8"/>
  <c r="I10" i="8"/>
  <c r="AY10" i="8" s="1"/>
  <c r="BM10" i="8" s="1"/>
  <c r="CS29" i="8"/>
  <c r="AB8" i="8"/>
  <c r="CL69" i="8"/>
  <c r="CL68" i="8" s="1"/>
  <c r="W66" i="8"/>
  <c r="AY66" i="8" s="1"/>
  <c r="CA10" i="8"/>
  <c r="O15" i="8"/>
  <c r="DI15" i="8" s="1"/>
  <c r="EK15" i="8" s="1"/>
  <c r="K14" i="44" s="1"/>
  <c r="N43" i="8"/>
  <c r="DH43" i="8" s="1"/>
  <c r="EJ43" i="8" s="1"/>
  <c r="AH63" i="1"/>
  <c r="AD12" i="44"/>
  <c r="H63" i="8"/>
  <c r="DB63" i="8" s="1"/>
  <c r="CH57" i="1"/>
  <c r="CG53" i="1"/>
  <c r="BD70" i="8"/>
  <c r="BR70" i="8" s="1"/>
  <c r="CM201" i="1"/>
  <c r="AI8" i="48"/>
  <c r="CE159" i="1"/>
  <c r="CG114" i="1"/>
  <c r="CS41" i="8"/>
  <c r="G53" i="8"/>
  <c r="P164" i="1"/>
  <c r="BF164" i="1" s="1"/>
  <c r="BT164" i="1" s="1"/>
  <c r="CO80" i="1"/>
  <c r="AB14" i="44"/>
  <c r="Z26" i="8"/>
  <c r="CH35" i="8"/>
  <c r="CI202" i="1"/>
  <c r="CE221" i="1"/>
  <c r="CF76" i="1"/>
  <c r="AA50" i="1"/>
  <c r="BC50" i="1" s="1"/>
  <c r="BQ50" i="1" s="1"/>
  <c r="CE17" i="1"/>
  <c r="CQ41" i="8"/>
  <c r="AE111" i="1"/>
  <c r="CD26" i="8"/>
  <c r="CH204" i="1"/>
  <c r="CE195" i="1"/>
  <c r="P208" i="1"/>
  <c r="DJ208" i="1" s="1"/>
  <c r="L54" i="36" s="1"/>
  <c r="P55" i="1"/>
  <c r="BF55" i="1" s="1"/>
  <c r="BT55" i="1" s="1"/>
  <c r="AA178" i="1"/>
  <c r="N180" i="1"/>
  <c r="DH180" i="1" s="1"/>
  <c r="CF200" i="1"/>
  <c r="CV29" i="8"/>
  <c r="AB31" i="8"/>
  <c r="N160" i="1"/>
  <c r="DH160" i="1" s="1"/>
  <c r="J48" i="36" s="1"/>
  <c r="J96" i="36" s="1"/>
  <c r="CG7" i="1"/>
  <c r="CI226" i="1"/>
  <c r="AC35" i="1"/>
  <c r="DT143" i="1"/>
  <c r="S71" i="36"/>
  <c r="AM116" i="48"/>
  <c r="CL63" i="1"/>
  <c r="AI113" i="48"/>
  <c r="AN112" i="48"/>
  <c r="EM201" i="1"/>
  <c r="CL79" i="1"/>
  <c r="CW222" i="1"/>
  <c r="W145" i="1"/>
  <c r="DQ145" i="1" s="1"/>
  <c r="ES145" i="1" s="1"/>
  <c r="CI182" i="1"/>
  <c r="AE87" i="1"/>
  <c r="CN161" i="1"/>
  <c r="ER64" i="1"/>
  <c r="DT209" i="1"/>
  <c r="AN105" i="48"/>
  <c r="S78" i="36"/>
  <c r="S66" i="36"/>
  <c r="T67" i="36"/>
  <c r="DX68" i="8"/>
  <c r="DT12" i="1"/>
  <c r="AQ115" i="48"/>
  <c r="DT29" i="1"/>
  <c r="AH116" i="48"/>
  <c r="I78" i="36"/>
  <c r="AG161" i="48"/>
  <c r="AN106" i="48"/>
  <c r="EM53" i="8"/>
  <c r="DY51" i="8"/>
  <c r="DY68" i="8"/>
  <c r="AP116" i="48"/>
  <c r="O69" i="36"/>
  <c r="AG109" i="48"/>
  <c r="AH113" i="48"/>
  <c r="S79" i="36"/>
  <c r="DZ68" i="8"/>
  <c r="EM188" i="1"/>
  <c r="EP200" i="1"/>
  <c r="ET203" i="1"/>
  <c r="DT30" i="1"/>
  <c r="AG106" i="48"/>
  <c r="AK106" i="48"/>
  <c r="Q119" i="1"/>
  <c r="DK119" i="1" s="1"/>
  <c r="EM119" i="1" s="1"/>
  <c r="T209" i="1"/>
  <c r="DN209" i="1" s="1"/>
  <c r="EP209" i="1" s="1"/>
  <c r="AE13" i="8"/>
  <c r="G26" i="8"/>
  <c r="M37" i="8"/>
  <c r="BC37" i="8" s="1"/>
  <c r="BQ37" i="8" s="1"/>
  <c r="L20" i="36"/>
  <c r="CH164" i="1"/>
  <c r="CH138" i="1"/>
  <c r="N200" i="1"/>
  <c r="M73" i="1"/>
  <c r="DG73" i="1" s="1"/>
  <c r="CC33" i="8"/>
  <c r="CI62" i="8"/>
  <c r="AA37" i="8"/>
  <c r="N134" i="1"/>
  <c r="DH134" i="1" s="1"/>
  <c r="EJ134" i="1" s="1"/>
  <c r="O7" i="1"/>
  <c r="DI7" i="1" s="1"/>
  <c r="EK7" i="1" s="1"/>
  <c r="CC48" i="8"/>
  <c r="AE62" i="8"/>
  <c r="CF7" i="8"/>
  <c r="CN156" i="1"/>
  <c r="AH217" i="1"/>
  <c r="R24" i="8"/>
  <c r="DL24" i="8" s="1"/>
  <c r="EN24" i="8" s="1"/>
  <c r="R47" i="8"/>
  <c r="BH47" i="8" s="1"/>
  <c r="BV47" i="8" s="1"/>
  <c r="AA31" i="1"/>
  <c r="CJ98" i="1"/>
  <c r="J12" i="8"/>
  <c r="AZ12" i="8" s="1"/>
  <c r="BN12" i="8" s="1"/>
  <c r="U26" i="8"/>
  <c r="O64" i="8"/>
  <c r="BE64" i="8" s="1"/>
  <c r="BS64" i="8" s="1"/>
  <c r="V35" i="8"/>
  <c r="CH45" i="8"/>
  <c r="CH9" i="1"/>
  <c r="AD45" i="8"/>
  <c r="X192" i="1"/>
  <c r="DR192" i="1" s="1"/>
  <c r="ET192" i="1" s="1"/>
  <c r="CE97" i="1"/>
  <c r="AC114" i="1"/>
  <c r="BE114" i="1" s="1"/>
  <c r="BS114" i="1" s="1"/>
  <c r="W10" i="8"/>
  <c r="CL33" i="8"/>
  <c r="AH96" i="1"/>
  <c r="CR22" i="8"/>
  <c r="U44" i="8"/>
  <c r="BY44" i="8"/>
  <c r="AC15" i="8"/>
  <c r="AG167" i="1"/>
  <c r="CE31" i="1"/>
  <c r="AA131" i="1"/>
  <c r="W80" i="1"/>
  <c r="DQ80" i="1" s="1"/>
  <c r="ES80" i="1" s="1"/>
  <c r="AL192" i="1"/>
  <c r="Y33" i="8"/>
  <c r="BA33" i="8" s="1"/>
  <c r="BO33" i="8" s="1"/>
  <c r="AH19" i="48"/>
  <c r="Q226" i="1"/>
  <c r="DK226" i="1" s="1"/>
  <c r="EM226" i="1" s="1"/>
  <c r="N51" i="1"/>
  <c r="DH51" i="1" s="1"/>
  <c r="O136" i="1"/>
  <c r="DI136" i="1" s="1"/>
  <c r="EK136" i="1" s="1"/>
  <c r="CF74" i="1"/>
  <c r="CP29" i="8"/>
  <c r="CL47" i="8"/>
  <c r="CR226" i="1"/>
  <c r="AI201" i="1"/>
  <c r="AB100" i="1"/>
  <c r="CF180" i="1"/>
  <c r="O153" i="1"/>
  <c r="BE153" i="1" s="1"/>
  <c r="BS153" i="1" s="1"/>
  <c r="CF18" i="1"/>
  <c r="CO59" i="8"/>
  <c r="Q111" i="1"/>
  <c r="BG111" i="1" s="1"/>
  <c r="BU111" i="1" s="1"/>
  <c r="CF8" i="8"/>
  <c r="CJ24" i="8"/>
  <c r="CJ92" i="1"/>
  <c r="AG100" i="1"/>
  <c r="Q13" i="8"/>
  <c r="BG13" i="8" s="1"/>
  <c r="BU13" i="8" s="1"/>
  <c r="Y48" i="8"/>
  <c r="S100" i="1"/>
  <c r="BI100" i="1" s="1"/>
  <c r="BW100" i="1" s="1"/>
  <c r="AC202" i="1"/>
  <c r="N76" i="1"/>
  <c r="DH76" i="1" s="1"/>
  <c r="AC136" i="1"/>
  <c r="CM177" i="1"/>
  <c r="J222" i="35" s="1"/>
  <c r="J61" i="8"/>
  <c r="DD61" i="8" s="1"/>
  <c r="EF61" i="8" s="1"/>
  <c r="AI177" i="1"/>
  <c r="I46" i="8"/>
  <c r="DC46" i="8" s="1"/>
  <c r="R39" i="8"/>
  <c r="BH39" i="8" s="1"/>
  <c r="BV39" i="8" s="1"/>
  <c r="CO187" i="1"/>
  <c r="CG182" i="1"/>
  <c r="CE148" i="1"/>
  <c r="CF32" i="1"/>
  <c r="CM205" i="1"/>
  <c r="AC153" i="1"/>
  <c r="CF150" i="1"/>
  <c r="AA50" i="8"/>
  <c r="AE202" i="1"/>
  <c r="AC162" i="1"/>
  <c r="U10" i="8"/>
  <c r="P35" i="8"/>
  <c r="DJ35" i="8" s="1"/>
  <c r="EL35" i="8" s="1"/>
  <c r="T217" i="1"/>
  <c r="DN217" i="1" s="1"/>
  <c r="EP217" i="1" s="1"/>
  <c r="O55" i="8"/>
  <c r="BE55" i="8" s="1"/>
  <c r="BS55" i="8" s="1"/>
  <c r="R98" i="1"/>
  <c r="DL98" i="1" s="1"/>
  <c r="EN98" i="1" s="1"/>
  <c r="X61" i="8"/>
  <c r="T9" i="44"/>
  <c r="AG9" i="44" s="1"/>
  <c r="AC25" i="8"/>
  <c r="CV207" i="1"/>
  <c r="U205" i="1"/>
  <c r="DO205" i="1" s="1"/>
  <c r="EQ205" i="1" s="1"/>
  <c r="CG64" i="8"/>
  <c r="W46" i="8"/>
  <c r="AA69" i="8"/>
  <c r="M195" i="1"/>
  <c r="BC195" i="1" s="1"/>
  <c r="BQ195" i="1" s="1"/>
  <c r="M131" i="1"/>
  <c r="DG131" i="1" s="1"/>
  <c r="M159" i="1"/>
  <c r="DG159" i="1" s="1"/>
  <c r="I50" i="36" s="1"/>
  <c r="I98" i="36" s="1"/>
  <c r="CH37" i="1"/>
  <c r="Q195" i="1"/>
  <c r="DK195" i="1" s="1"/>
  <c r="EM195" i="1" s="1"/>
  <c r="AB150" i="1"/>
  <c r="ET216" i="1"/>
  <c r="CR169" i="1"/>
  <c r="N31" i="8"/>
  <c r="CR177" i="1"/>
  <c r="CJ47" i="8"/>
  <c r="V63" i="8"/>
  <c r="CF43" i="8"/>
  <c r="AJ188" i="1"/>
  <c r="AB51" i="1"/>
  <c r="CJ189" i="1"/>
  <c r="AF189" i="1"/>
  <c r="CN97" i="1"/>
  <c r="V188" i="1"/>
  <c r="BL188" i="1" s="1"/>
  <c r="BZ188" i="1" s="1"/>
  <c r="J15" i="36"/>
  <c r="CL8" i="8"/>
  <c r="P7" i="44" s="1"/>
  <c r="BY10" i="8"/>
  <c r="D17" i="62"/>
  <c r="K16" i="62"/>
  <c r="X39" i="8"/>
  <c r="CR100" i="1"/>
  <c r="CE67" i="8"/>
  <c r="K15" i="62"/>
  <c r="D28" i="62" s="1"/>
  <c r="AD138" i="1"/>
  <c r="AF14" i="48"/>
  <c r="CG78" i="1"/>
  <c r="I14" i="36"/>
  <c r="CK167" i="1"/>
  <c r="AA148" i="1"/>
  <c r="AB18" i="1"/>
  <c r="BD18" i="1" s="1"/>
  <c r="BR18" i="1" s="1"/>
  <c r="I17" i="62"/>
  <c r="Z10" i="8"/>
  <c r="CX22" i="8"/>
  <c r="J39" i="8"/>
  <c r="DD39" i="8" s="1"/>
  <c r="M69" i="8"/>
  <c r="DG69" i="8" s="1"/>
  <c r="M67" i="8"/>
  <c r="BC67" i="8" s="1"/>
  <c r="BQ67" i="8" s="1"/>
  <c r="CH184" i="1"/>
  <c r="K19" i="36"/>
  <c r="AD184" i="1"/>
  <c r="AC78" i="1"/>
  <c r="V156" i="1"/>
  <c r="DP156" i="1" s="1"/>
  <c r="ER156" i="1" s="1"/>
  <c r="CE50" i="1"/>
  <c r="CE178" i="1"/>
  <c r="CL15" i="8"/>
  <c r="P14" i="44" s="1"/>
  <c r="CO41" i="8"/>
  <c r="CL37" i="8"/>
  <c r="CI111" i="1"/>
  <c r="CE50" i="8"/>
  <c r="L10" i="8"/>
  <c r="DF10" i="8" s="1"/>
  <c r="EH10" i="8" s="1"/>
  <c r="H9" i="44" s="1"/>
  <c r="O25" i="8"/>
  <c r="BE25" i="8" s="1"/>
  <c r="BS25" i="8" s="1"/>
  <c r="Y9" i="44"/>
  <c r="V9" i="44"/>
  <c r="CJ39" i="8"/>
  <c r="CH208" i="1"/>
  <c r="CF160" i="1"/>
  <c r="CE69" i="8"/>
  <c r="CE68" i="8" s="1"/>
  <c r="AC182" i="1"/>
  <c r="CJ81" i="1"/>
  <c r="BJ118" i="1"/>
  <c r="BX118" i="1" s="1"/>
  <c r="DL212" i="1"/>
  <c r="EN212" i="1" s="1"/>
  <c r="CJ162" i="1"/>
  <c r="AF221" i="1"/>
  <c r="AG91" i="1"/>
  <c r="CI53" i="8"/>
  <c r="T182" i="1"/>
  <c r="BJ182" i="1" s="1"/>
  <c r="BX182" i="1" s="1"/>
  <c r="AE187" i="1"/>
  <c r="CJ193" i="1"/>
  <c r="BG53" i="8"/>
  <c r="BU53" i="8" s="1"/>
  <c r="R149" i="1"/>
  <c r="BH149" i="1" s="1"/>
  <c r="BV149" i="1" s="1"/>
  <c r="EE207" i="1"/>
  <c r="AK118" i="48"/>
  <c r="CL93" i="1"/>
  <c r="EE127" i="1"/>
  <c r="AF208" i="1"/>
  <c r="AL110" i="48"/>
  <c r="AJ95" i="1"/>
  <c r="CL160" i="1"/>
  <c r="V141" i="1"/>
  <c r="BL141" i="1" s="1"/>
  <c r="BZ141" i="1" s="1"/>
  <c r="V25" i="8"/>
  <c r="CE57" i="8"/>
  <c r="CI162" i="1"/>
  <c r="U138" i="1"/>
  <c r="BK138" i="1" s="1"/>
  <c r="BY138" i="1" s="1"/>
  <c r="AH208" i="1"/>
  <c r="AF81" i="1"/>
  <c r="AH95" i="1"/>
  <c r="T73" i="1"/>
  <c r="BJ73" i="1" s="1"/>
  <c r="BX73" i="1" s="1"/>
  <c r="CF64" i="8"/>
  <c r="AI91" i="1"/>
  <c r="CJ118" i="1"/>
  <c r="CN8" i="1"/>
  <c r="R208" i="1"/>
  <c r="DL208" i="1" s="1"/>
  <c r="EN208" i="1" s="1"/>
  <c r="R178" i="1"/>
  <c r="BH178" i="1" s="1"/>
  <c r="BV178" i="1" s="1"/>
  <c r="AE53" i="8"/>
  <c r="CM160" i="1"/>
  <c r="CP141" i="1"/>
  <c r="AE25" i="8"/>
  <c r="AA57" i="8"/>
  <c r="CJ212" i="1"/>
  <c r="AJ53" i="1"/>
  <c r="V247" i="2"/>
  <c r="DX180" i="1"/>
  <c r="EL180" i="1" s="1"/>
  <c r="W55" i="8"/>
  <c r="CL206" i="1"/>
  <c r="CI144" i="1"/>
  <c r="AA66" i="8"/>
  <c r="BC66" i="8" s="1"/>
  <c r="AB12" i="8"/>
  <c r="N63" i="8"/>
  <c r="BD63" i="8" s="1"/>
  <c r="BR63" i="8" s="1"/>
  <c r="P78" i="36"/>
  <c r="AH182" i="1"/>
  <c r="CN95" i="1"/>
  <c r="ER123" i="1"/>
  <c r="CK133" i="1"/>
  <c r="AI164" i="48"/>
  <c r="DP48" i="8"/>
  <c r="S133" i="1"/>
  <c r="BI133" i="1" s="1"/>
  <c r="BW133" i="1" s="1"/>
  <c r="CL208" i="1"/>
  <c r="W206" i="1"/>
  <c r="BM206" i="1" s="1"/>
  <c r="CA206" i="1" s="1"/>
  <c r="AK182" i="1"/>
  <c r="Q162" i="1"/>
  <c r="CL180" i="1"/>
  <c r="AK68" i="1"/>
  <c r="DG57" i="8"/>
  <c r="EI57" i="8" s="1"/>
  <c r="CK150" i="1"/>
  <c r="R184" i="1"/>
  <c r="DL184" i="1" s="1"/>
  <c r="EN184" i="1" s="1"/>
  <c r="EO218" i="1"/>
  <c r="EI80" i="1"/>
  <c r="CK93" i="1"/>
  <c r="AF149" i="1"/>
  <c r="R142" i="1"/>
  <c r="DL142" i="1" s="1"/>
  <c r="EO174" i="1"/>
  <c r="Q221" i="1"/>
  <c r="DK221" i="1" s="1"/>
  <c r="EM221" i="1" s="1"/>
  <c r="CI158" i="1"/>
  <c r="V16" i="1"/>
  <c r="DP16" i="1" s="1"/>
  <c r="ER16" i="1" s="1"/>
  <c r="V59" i="1"/>
  <c r="BL59" i="1" s="1"/>
  <c r="BZ59" i="1" s="1"/>
  <c r="V14" i="1"/>
  <c r="BL14" i="1" s="1"/>
  <c r="BZ14" i="1" s="1"/>
  <c r="T164" i="1"/>
  <c r="DN164" i="1" s="1"/>
  <c r="EP164" i="1" s="1"/>
  <c r="CX29" i="8"/>
  <c r="CR59" i="8"/>
  <c r="CM59" i="8"/>
  <c r="R200" i="1"/>
  <c r="BH200" i="1" s="1"/>
  <c r="BV200" i="1" s="1"/>
  <c r="I61" i="8"/>
  <c r="DC61" i="8" s="1"/>
  <c r="N27" i="8"/>
  <c r="BD27" i="8" s="1"/>
  <c r="BR27" i="8" s="1"/>
  <c r="AE192" i="1"/>
  <c r="CG214" i="1"/>
  <c r="CG86" i="1"/>
  <c r="V227" i="1"/>
  <c r="DP227" i="1" s="1"/>
  <c r="ER227" i="1" s="1"/>
  <c r="AF60" i="8"/>
  <c r="Q135" i="1"/>
  <c r="DK135" i="1" s="1"/>
  <c r="CD52" i="8"/>
  <c r="CL56" i="8"/>
  <c r="CN91" i="1"/>
  <c r="Q116" i="1"/>
  <c r="DK116" i="1" s="1"/>
  <c r="EM116" i="1" s="1"/>
  <c r="AJ59" i="1"/>
  <c r="AJ14" i="1"/>
  <c r="P15" i="36"/>
  <c r="AE118" i="1"/>
  <c r="DP10" i="1"/>
  <c r="ER10" i="1" s="1"/>
  <c r="CL36" i="8"/>
  <c r="CL32" i="8"/>
  <c r="DF67" i="8"/>
  <c r="EH67" i="8" s="1"/>
  <c r="K10" i="8"/>
  <c r="BA10" i="8" s="1"/>
  <c r="BO10" i="8" s="1"/>
  <c r="R30" i="8"/>
  <c r="BH30" i="8" s="1"/>
  <c r="BV30" i="8" s="1"/>
  <c r="AC12" i="44"/>
  <c r="AG147" i="1"/>
  <c r="AC96" i="1"/>
  <c r="BE96" i="1" s="1"/>
  <c r="BS96" i="1" s="1"/>
  <c r="W23" i="8"/>
  <c r="Q130" i="1"/>
  <c r="DK130" i="1" s="1"/>
  <c r="AE135" i="1"/>
  <c r="AL152" i="1"/>
  <c r="AJ56" i="1"/>
  <c r="CL121" i="1"/>
  <c r="BG215" i="1"/>
  <c r="BU215" i="1" s="1"/>
  <c r="DP19" i="1"/>
  <c r="ER19" i="1" s="1"/>
  <c r="V8" i="1"/>
  <c r="BL8" i="1" s="1"/>
  <c r="BZ8" i="1" s="1"/>
  <c r="CL170" i="1"/>
  <c r="E16" i="62"/>
  <c r="H8" i="8"/>
  <c r="AX8" i="8" s="1"/>
  <c r="BL8" i="8" s="1"/>
  <c r="Y10" i="8"/>
  <c r="AB15" i="8"/>
  <c r="CD67" i="8"/>
  <c r="AC32" i="8"/>
  <c r="AG153" i="1"/>
  <c r="AF8" i="48"/>
  <c r="CS207" i="1"/>
  <c r="AD13" i="1"/>
  <c r="L34" i="8"/>
  <c r="DF34" i="8" s="1"/>
  <c r="I23" i="8"/>
  <c r="AY23" i="8" s="1"/>
  <c r="BM23" i="8" s="1"/>
  <c r="Z67" i="8"/>
  <c r="G31" i="8"/>
  <c r="DA31" i="8" s="1"/>
  <c r="CF40" i="1"/>
  <c r="AO70" i="48"/>
  <c r="CI116" i="1"/>
  <c r="CI178" i="1"/>
  <c r="CN10" i="1"/>
  <c r="V23" i="1"/>
  <c r="BL23" i="1" s="1"/>
  <c r="BZ23" i="1" s="1"/>
  <c r="N50" i="8"/>
  <c r="BD50" i="8" s="1"/>
  <c r="BR50" i="8" s="1"/>
  <c r="CB30" i="8"/>
  <c r="CB1" i="8" s="1"/>
  <c r="CF27" i="8"/>
  <c r="CF223" i="1"/>
  <c r="CF77" i="1"/>
  <c r="AD13" i="8"/>
  <c r="AE10" i="44"/>
  <c r="W36" i="8"/>
  <c r="AJ31" i="1"/>
  <c r="V25" i="1"/>
  <c r="BL25" i="1" s="1"/>
  <c r="BZ25" i="1" s="1"/>
  <c r="V66" i="1"/>
  <c r="DP66" i="1" s="1"/>
  <c r="ER66" i="1" s="1"/>
  <c r="V56" i="1"/>
  <c r="BL56" i="1" s="1"/>
  <c r="BZ56" i="1" s="1"/>
  <c r="AE178" i="1"/>
  <c r="V53" i="1"/>
  <c r="BL53" i="1" s="1"/>
  <c r="BZ53" i="1" s="1"/>
  <c r="AJ10" i="1"/>
  <c r="CO206" i="1"/>
  <c r="BL21" i="1"/>
  <c r="BZ21" i="1" s="1"/>
  <c r="Q208" i="1"/>
  <c r="BG208" i="1" s="1"/>
  <c r="BU208" i="1" s="1"/>
  <c r="CW22" i="8"/>
  <c r="CL191" i="1"/>
  <c r="AD62" i="8"/>
  <c r="AF30" i="8"/>
  <c r="Z42" i="28" s="1"/>
  <c r="Z49" i="28" s="1"/>
  <c r="Z50" i="28" s="1"/>
  <c r="O123" i="1"/>
  <c r="BE123" i="1" s="1"/>
  <c r="BS123" i="1" s="1"/>
  <c r="AB223" i="1"/>
  <c r="V203" i="1"/>
  <c r="DP203" i="1" s="1"/>
  <c r="ER203" i="1" s="1"/>
  <c r="Z7" i="44"/>
  <c r="AB211" i="1"/>
  <c r="AB12" i="1"/>
  <c r="S147" i="1"/>
  <c r="DM147" i="1" s="1"/>
  <c r="EO147" i="1" s="1"/>
  <c r="G63" i="8"/>
  <c r="AW63" i="8" s="1"/>
  <c r="BK63" i="8" s="1"/>
  <c r="CI149" i="1"/>
  <c r="CO14" i="1"/>
  <c r="V68" i="1"/>
  <c r="BL68" i="1" s="1"/>
  <c r="BZ68" i="1" s="1"/>
  <c r="CI221" i="1"/>
  <c r="S95" i="1"/>
  <c r="BI95" i="1" s="1"/>
  <c r="BW95" i="1" s="1"/>
  <c r="DJ66" i="8"/>
  <c r="EL66" i="8" s="1"/>
  <c r="U63" i="8"/>
  <c r="I36" i="8"/>
  <c r="DC36" i="8" s="1"/>
  <c r="L48" i="8"/>
  <c r="DF48" i="8" s="1"/>
  <c r="V44" i="8"/>
  <c r="CK153" i="1"/>
  <c r="CF38" i="8"/>
  <c r="N15" i="8"/>
  <c r="BD15" i="8" s="1"/>
  <c r="BR15" i="8" s="1"/>
  <c r="AE158" i="1"/>
  <c r="ER21" i="1"/>
  <c r="AE116" i="1"/>
  <c r="V49" i="1"/>
  <c r="BL49" i="1" s="1"/>
  <c r="BZ49" i="1" s="1"/>
  <c r="U210" i="1"/>
  <c r="BK210" i="1" s="1"/>
  <c r="BY210" i="1" s="1"/>
  <c r="X30" i="8"/>
  <c r="R42" i="28" s="1"/>
  <c r="R49" i="28" s="1"/>
  <c r="R50" i="28" s="1"/>
  <c r="CP22" i="8"/>
  <c r="T191" i="1"/>
  <c r="DN191" i="1" s="1"/>
  <c r="EP191" i="1" s="1"/>
  <c r="AE45" i="8"/>
  <c r="AC43" i="8"/>
  <c r="CL48" i="1"/>
  <c r="CF15" i="8"/>
  <c r="O14" i="62"/>
  <c r="Q192" i="1"/>
  <c r="BG192" i="1" s="1"/>
  <c r="BU192" i="1" s="1"/>
  <c r="Q36" i="8"/>
  <c r="DK36" i="8" s="1"/>
  <c r="EM36" i="8" s="1"/>
  <c r="CB6" i="8"/>
  <c r="EJ223" i="1"/>
  <c r="T48" i="1"/>
  <c r="BJ48" i="1" s="1"/>
  <c r="BX48" i="1" s="1"/>
  <c r="AE180" i="1"/>
  <c r="BG180" i="1" s="1"/>
  <c r="BU180" i="1" s="1"/>
  <c r="X23" i="8"/>
  <c r="BZ8" i="8"/>
  <c r="U7" i="44"/>
  <c r="AF204" i="1"/>
  <c r="R194" i="1"/>
  <c r="DL194" i="1" s="1"/>
  <c r="EN194" i="1" s="1"/>
  <c r="AA205" i="1"/>
  <c r="P13" i="8"/>
  <c r="BF13" i="8" s="1"/>
  <c r="BT13" i="8" s="1"/>
  <c r="AE26" i="8"/>
  <c r="R6" i="8"/>
  <c r="CJ10" i="8"/>
  <c r="Q149" i="1"/>
  <c r="BG149" i="1" s="1"/>
  <c r="BU149" i="1" s="1"/>
  <c r="AG77" i="1"/>
  <c r="AJ66" i="1"/>
  <c r="CL164" i="1"/>
  <c r="AE130" i="1"/>
  <c r="CJ11" i="8"/>
  <c r="M8" i="8"/>
  <c r="DG8" i="8" s="1"/>
  <c r="EI8" i="8" s="1"/>
  <c r="I7" i="44" s="1"/>
  <c r="CJ194" i="1"/>
  <c r="CH191" i="1"/>
  <c r="AB122" i="1"/>
  <c r="O32" i="8"/>
  <c r="DI32" i="8" s="1"/>
  <c r="EK32" i="8" s="1"/>
  <c r="AF6" i="8"/>
  <c r="W5" i="44"/>
  <c r="AB61" i="1"/>
  <c r="EJ206" i="1"/>
  <c r="V71" i="1"/>
  <c r="DP71" i="1" s="1"/>
  <c r="AO72" i="48" s="1"/>
  <c r="AO167" i="48" s="1"/>
  <c r="O18" i="62"/>
  <c r="BL44" i="1"/>
  <c r="BZ44" i="1" s="1"/>
  <c r="J30" i="8"/>
  <c r="DD30" i="8" s="1"/>
  <c r="O65" i="22" s="1"/>
  <c r="G65" i="22" s="1"/>
  <c r="CJ6" i="8"/>
  <c r="AB187" i="1"/>
  <c r="EL46" i="1"/>
  <c r="AF138" i="1"/>
  <c r="V39" i="1"/>
  <c r="BL39" i="1" s="1"/>
  <c r="BZ39" i="1" s="1"/>
  <c r="CN227" i="1"/>
  <c r="AB141" i="1"/>
  <c r="H17" i="62"/>
  <c r="AJ115" i="48"/>
  <c r="DY115" i="1"/>
  <c r="T70" i="36"/>
  <c r="Q63" i="36"/>
  <c r="EQ55" i="1"/>
  <c r="DT68" i="1"/>
  <c r="CM185" i="1"/>
  <c r="CN16" i="1"/>
  <c r="CN34" i="1"/>
  <c r="AQ105" i="48"/>
  <c r="R67" i="36"/>
  <c r="AI106" i="48"/>
  <c r="AM119" i="48"/>
  <c r="AK113" i="48"/>
  <c r="U31" i="1"/>
  <c r="BK31" i="1" s="1"/>
  <c r="BY31" i="1" s="1"/>
  <c r="AI13" i="1"/>
  <c r="DV29" i="8"/>
  <c r="AL116" i="48"/>
  <c r="DS59" i="8"/>
  <c r="AQ116" i="48"/>
  <c r="R66" i="36"/>
  <c r="DT52" i="1"/>
  <c r="AF106" i="48"/>
  <c r="ED127" i="1"/>
  <c r="DT142" i="1"/>
  <c r="DT148" i="1"/>
  <c r="DT150" i="1"/>
  <c r="Q77" i="36"/>
  <c r="T78" i="36"/>
  <c r="DU207" i="1"/>
  <c r="O24" i="6"/>
  <c r="O33" i="6" s="1"/>
  <c r="G12" i="6"/>
  <c r="G20" i="6" s="1"/>
  <c r="EO189" i="1"/>
  <c r="AE109" i="1"/>
  <c r="CJ144" i="1"/>
  <c r="W53" i="8"/>
  <c r="AY53" i="8" s="1"/>
  <c r="BM53" i="8" s="1"/>
  <c r="S172" i="1"/>
  <c r="BI172" i="1" s="1"/>
  <c r="BW172" i="1" s="1"/>
  <c r="CM48" i="1"/>
  <c r="CR140" i="1"/>
  <c r="AE11" i="8"/>
  <c r="CN217" i="1"/>
  <c r="CG107" i="1"/>
  <c r="K65" i="36"/>
  <c r="AI14" i="1"/>
  <c r="AI36" i="1"/>
  <c r="CM46" i="1"/>
  <c r="BY53" i="8"/>
  <c r="CC54" i="8"/>
  <c r="R215" i="1"/>
  <c r="DL215" i="1" s="1"/>
  <c r="R92" i="1"/>
  <c r="DL92" i="1" s="1"/>
  <c r="AH97" i="1"/>
  <c r="U8" i="44"/>
  <c r="Z8" i="8"/>
  <c r="T63" i="36"/>
  <c r="AA105" i="1"/>
  <c r="AI20" i="1"/>
  <c r="R86" i="1"/>
  <c r="BH86" i="1" s="1"/>
  <c r="BV86" i="1" s="1"/>
  <c r="CO47" i="1"/>
  <c r="U46" i="1"/>
  <c r="DO46" i="1" s="1"/>
  <c r="EQ46" i="1" s="1"/>
  <c r="AH82" i="1"/>
  <c r="R128" i="1"/>
  <c r="DL128" i="1" s="1"/>
  <c r="AL81" i="1"/>
  <c r="AE140" i="1"/>
  <c r="Q56" i="8"/>
  <c r="DK56" i="8" s="1"/>
  <c r="EM56" i="8" s="1"/>
  <c r="AH151" i="1"/>
  <c r="R133" i="1"/>
  <c r="DL133" i="1" s="1"/>
  <c r="AL144" i="1"/>
  <c r="AG218" i="1"/>
  <c r="CO38" i="1"/>
  <c r="AK65" i="1"/>
  <c r="AN110" i="48"/>
  <c r="T92" i="1"/>
  <c r="DN92" i="1" s="1"/>
  <c r="EP92" i="1" s="1"/>
  <c r="CI193" i="1"/>
  <c r="X215" i="1"/>
  <c r="DR215" i="1" s="1"/>
  <c r="ET215" i="1" s="1"/>
  <c r="AE193" i="1"/>
  <c r="CL91" i="1"/>
  <c r="L32" i="8"/>
  <c r="DF32" i="8" s="1"/>
  <c r="EH32" i="8" s="1"/>
  <c r="I34" i="8"/>
  <c r="DC34" i="8" s="1"/>
  <c r="G61" i="8"/>
  <c r="AW61" i="8" s="1"/>
  <c r="BK61" i="8" s="1"/>
  <c r="AH200" i="1"/>
  <c r="AC223" i="1"/>
  <c r="CN22" i="8"/>
  <c r="O223" i="1"/>
  <c r="BE223" i="1" s="1"/>
  <c r="BS223" i="1" s="1"/>
  <c r="AA37" i="1"/>
  <c r="BC37" i="1" s="1"/>
  <c r="BQ37" i="1" s="1"/>
  <c r="Y14" i="44"/>
  <c r="AB25" i="8"/>
  <c r="CL61" i="8"/>
  <c r="CN191" i="1"/>
  <c r="CV222" i="1"/>
  <c r="M203" i="1"/>
  <c r="DG203" i="1" s="1"/>
  <c r="EI203" i="1" s="1"/>
  <c r="AC19" i="1"/>
  <c r="V191" i="1"/>
  <c r="BL191" i="1" s="1"/>
  <c r="BZ191" i="1" s="1"/>
  <c r="CL44" i="8"/>
  <c r="CR29" i="8"/>
  <c r="Q34" i="8"/>
  <c r="CR153" i="1"/>
  <c r="CH189" i="1"/>
  <c r="DT36" i="1"/>
  <c r="AB52" i="8"/>
  <c r="AP23" i="48"/>
  <c r="K117" i="48"/>
  <c r="L117" i="48" s="1"/>
  <c r="K27" i="6"/>
  <c r="K36" i="6" s="1"/>
  <c r="L23" i="20"/>
  <c r="L47" i="20" s="1"/>
  <c r="L9" i="42" s="1"/>
  <c r="L9" i="20"/>
  <c r="I9" i="6"/>
  <c r="I17" i="6" s="1"/>
  <c r="K15" i="20"/>
  <c r="Q100" i="6"/>
  <c r="Q108" i="6" s="1"/>
  <c r="K12" i="6"/>
  <c r="K20" i="6" s="1"/>
  <c r="P65" i="6"/>
  <c r="P74" i="6" s="1"/>
  <c r="M61" i="6"/>
  <c r="I6" i="6"/>
  <c r="L27" i="6"/>
  <c r="J22" i="6"/>
  <c r="G9" i="6"/>
  <c r="P104" i="6"/>
  <c r="P112" i="6" s="1"/>
  <c r="P83" i="6"/>
  <c r="P120" i="6" s="1"/>
  <c r="N8" i="6"/>
  <c r="N16" i="6" s="1"/>
  <c r="H24" i="6"/>
  <c r="Q25" i="6"/>
  <c r="Q34" i="6" s="1"/>
  <c r="G6" i="6"/>
  <c r="P102" i="6"/>
  <c r="P133" i="6" s="1"/>
  <c r="N24" i="6"/>
  <c r="Q61" i="6"/>
  <c r="Q70" i="6" s="1"/>
  <c r="N25" i="6"/>
  <c r="K24" i="6"/>
  <c r="M104" i="6"/>
  <c r="M112" i="6" s="1"/>
  <c r="G7" i="6"/>
  <c r="G15" i="6" s="1"/>
  <c r="N25" i="20"/>
  <c r="N49" i="20" s="1"/>
  <c r="N11" i="42" s="1"/>
  <c r="G10" i="20"/>
  <c r="J48" i="6"/>
  <c r="J56" i="6" s="1"/>
  <c r="O10" i="20"/>
  <c r="G65" i="6"/>
  <c r="J46" i="6"/>
  <c r="J54" i="6" s="1"/>
  <c r="M22" i="20"/>
  <c r="M46" i="20" s="1"/>
  <c r="M8" i="42" s="1"/>
  <c r="M8" i="6"/>
  <c r="H62" i="6"/>
  <c r="O14" i="20"/>
  <c r="I22" i="6"/>
  <c r="M60" i="6"/>
  <c r="P48" i="6"/>
  <c r="P56" i="6" s="1"/>
  <c r="EP38" i="1"/>
  <c r="N87" i="6"/>
  <c r="N124" i="6" s="1"/>
  <c r="G22" i="6"/>
  <c r="K23" i="6"/>
  <c r="P44" i="6"/>
  <c r="P52" i="6" s="1"/>
  <c r="O28" i="6"/>
  <c r="I62" i="6"/>
  <c r="I48" i="6"/>
  <c r="I56" i="6" s="1"/>
  <c r="P63" i="6"/>
  <c r="P72" i="6" s="1"/>
  <c r="L10" i="6"/>
  <c r="L18" i="6" s="1"/>
  <c r="K6" i="6"/>
  <c r="K63" i="6"/>
  <c r="M21" i="20"/>
  <c r="M45" i="20" s="1"/>
  <c r="M7" i="42" s="1"/>
  <c r="O83" i="6"/>
  <c r="O120" i="6" s="1"/>
  <c r="N101" i="6"/>
  <c r="I13" i="20"/>
  <c r="J45" i="6"/>
  <c r="J53" i="6" s="1"/>
  <c r="O23" i="20"/>
  <c r="O47" i="20" s="1"/>
  <c r="O9" i="42" s="1"/>
  <c r="G11" i="6"/>
  <c r="G19" i="6" s="1"/>
  <c r="N102" i="6"/>
  <c r="N110" i="6" s="1"/>
  <c r="L9" i="6"/>
  <c r="L17" i="6" s="1"/>
  <c r="H63" i="6"/>
  <c r="O62" i="6"/>
  <c r="O71" i="6" s="1"/>
  <c r="J60" i="6"/>
  <c r="M7" i="6"/>
  <c r="M15" i="6" s="1"/>
  <c r="O15" i="20"/>
  <c r="H64" i="6"/>
  <c r="H73" i="6" s="1"/>
  <c r="L60" i="6"/>
  <c r="K64" i="6"/>
  <c r="K73" i="6" s="1"/>
  <c r="F48" i="6"/>
  <c r="F56" i="6" s="1"/>
  <c r="N88" i="6"/>
  <c r="N96" i="6" s="1"/>
  <c r="O26" i="20"/>
  <c r="O50" i="20" s="1"/>
  <c r="O12" i="42" s="1"/>
  <c r="J49" i="6"/>
  <c r="J57" i="6" s="1"/>
  <c r="K60" i="6"/>
  <c r="Q83" i="6"/>
  <c r="Q120" i="6" s="1"/>
  <c r="L88" i="6"/>
  <c r="L96" i="6" s="1"/>
  <c r="H15" i="20"/>
  <c r="P64" i="6"/>
  <c r="P73" i="6" s="1"/>
  <c r="AF107" i="48"/>
  <c r="AL78" i="58"/>
  <c r="AM118" i="48"/>
  <c r="CN62" i="1"/>
  <c r="CO68" i="1"/>
  <c r="AH83" i="1"/>
  <c r="F45" i="6"/>
  <c r="F53" i="6" s="1"/>
  <c r="D13" i="20"/>
  <c r="F65" i="6"/>
  <c r="F74" i="6" s="1"/>
  <c r="K13" i="20"/>
  <c r="N9" i="20"/>
  <c r="F103" i="6"/>
  <c r="F111" i="6" s="1"/>
  <c r="P25" i="6"/>
  <c r="Q11" i="6"/>
  <c r="Q19" i="6" s="1"/>
  <c r="K103" i="6"/>
  <c r="K134" i="6" s="1"/>
  <c r="K25" i="6"/>
  <c r="O61" i="6"/>
  <c r="O70" i="6" s="1"/>
  <c r="I50" i="6"/>
  <c r="I58" i="6" s="1"/>
  <c r="N12" i="20"/>
  <c r="J86" i="6"/>
  <c r="J123" i="6" s="1"/>
  <c r="K47" i="6"/>
  <c r="K55" i="6" s="1"/>
  <c r="E8" i="20"/>
  <c r="L48" i="6"/>
  <c r="L56" i="6" s="1"/>
  <c r="O44" i="6"/>
  <c r="O52" i="6" s="1"/>
  <c r="J64" i="6"/>
  <c r="J73" i="6" s="1"/>
  <c r="H50" i="6"/>
  <c r="H58" i="6" s="1"/>
  <c r="K88" i="6"/>
  <c r="K125" i="6" s="1"/>
  <c r="K20" i="20"/>
  <c r="K44" i="20" s="1"/>
  <c r="K6" i="42" s="1"/>
  <c r="P46" i="6"/>
  <c r="P54" i="6" s="1"/>
  <c r="M49" i="6"/>
  <c r="M57" i="6" s="1"/>
  <c r="O103" i="6"/>
  <c r="O134" i="6" s="1"/>
  <c r="P101" i="6"/>
  <c r="P109" i="6" s="1"/>
  <c r="I84" i="6"/>
  <c r="I92" i="6" s="1"/>
  <c r="N27" i="6"/>
  <c r="J15" i="20"/>
  <c r="L49" i="6"/>
  <c r="G60" i="6"/>
  <c r="K102" i="6"/>
  <c r="K110" i="6" s="1"/>
  <c r="J99" i="6"/>
  <c r="J130" i="6" s="1"/>
  <c r="P103" i="6"/>
  <c r="P134" i="6" s="1"/>
  <c r="N28" i="6"/>
  <c r="R118" i="1"/>
  <c r="DL118" i="1" s="1"/>
  <c r="DY59" i="8"/>
  <c r="AI95" i="1"/>
  <c r="AI21" i="1"/>
  <c r="Q81" i="1"/>
  <c r="BG81" i="1" s="1"/>
  <c r="BU81" i="1" s="1"/>
  <c r="DK138" i="1"/>
  <c r="EM138" i="1" s="1"/>
  <c r="U147" i="1"/>
  <c r="DO147" i="1" s="1"/>
  <c r="EQ147" i="1" s="1"/>
  <c r="W193" i="1"/>
  <c r="BM193" i="1" s="1"/>
  <c r="CA193" i="1" s="1"/>
  <c r="CL210" i="1"/>
  <c r="DN122" i="1"/>
  <c r="EP122" i="1" s="1"/>
  <c r="AH211" i="1"/>
  <c r="U21" i="1"/>
  <c r="DO21" i="1" s="1"/>
  <c r="AN70" i="48" s="1"/>
  <c r="AN165" i="48" s="1"/>
  <c r="BI62" i="1"/>
  <c r="BW62" i="1" s="1"/>
  <c r="U206" i="1"/>
  <c r="BK206" i="1" s="1"/>
  <c r="BY206" i="1" s="1"/>
  <c r="AL125" i="1"/>
  <c r="AG22" i="48"/>
  <c r="M108" i="1"/>
  <c r="BC108" i="1" s="1"/>
  <c r="BQ108" i="1" s="1"/>
  <c r="AI206" i="1"/>
  <c r="CK182" i="1"/>
  <c r="AF53" i="8"/>
  <c r="AB57" i="8"/>
  <c r="BD57" i="8" s="1"/>
  <c r="BR57" i="8" s="1"/>
  <c r="AI31" i="1"/>
  <c r="AH122" i="1"/>
  <c r="CI81" i="1"/>
  <c r="AL185" i="1"/>
  <c r="AI25" i="1"/>
  <c r="AI56" i="1"/>
  <c r="AL129" i="1"/>
  <c r="AJ48" i="1"/>
  <c r="CM19" i="1"/>
  <c r="AI53" i="1"/>
  <c r="CM51" i="1"/>
  <c r="CN48" i="1"/>
  <c r="AI23" i="1"/>
  <c r="U56" i="1"/>
  <c r="BK56" i="1" s="1"/>
  <c r="BY56" i="1" s="1"/>
  <c r="DQ87" i="1"/>
  <c r="ES87" i="1" s="1"/>
  <c r="U39" i="1"/>
  <c r="DO39" i="1" s="1"/>
  <c r="EQ39" i="1" s="1"/>
  <c r="DV25" i="1"/>
  <c r="EJ25" i="1" s="1"/>
  <c r="CB55" i="8"/>
  <c r="T175" i="1"/>
  <c r="DN175" i="1" s="1"/>
  <c r="EP175" i="1" s="1"/>
  <c r="CI67" i="1"/>
  <c r="AG73" i="1"/>
  <c r="CN109" i="1"/>
  <c r="AP112" i="48"/>
  <c r="ES70" i="1"/>
  <c r="EM10" i="1"/>
  <c r="EM51" i="1"/>
  <c r="AA126" i="1"/>
  <c r="BC126" i="1" s="1"/>
  <c r="BQ126" i="1" s="1"/>
  <c r="EE70" i="8"/>
  <c r="J24" i="44"/>
  <c r="CA47" i="8"/>
  <c r="CB62" i="8"/>
  <c r="CU59" i="8"/>
  <c r="CC34" i="8"/>
  <c r="AC6" i="8"/>
  <c r="W5" i="28" s="1"/>
  <c r="CL63" i="8"/>
  <c r="K22" i="36"/>
  <c r="AD10" i="1"/>
  <c r="AA196" i="1"/>
  <c r="N135" i="1"/>
  <c r="BD135" i="1" s="1"/>
  <c r="BR135" i="1" s="1"/>
  <c r="CF201" i="1"/>
  <c r="AB9" i="8"/>
  <c r="CM22" i="8"/>
  <c r="AH177" i="1"/>
  <c r="O8" i="1"/>
  <c r="DI8" i="1" s="1"/>
  <c r="EK8" i="1" s="1"/>
  <c r="CN59" i="8"/>
  <c r="CC49" i="8"/>
  <c r="CB13" i="8"/>
  <c r="Q30" i="8"/>
  <c r="BG30" i="8" s="1"/>
  <c r="BU30" i="8" s="1"/>
  <c r="W12" i="44"/>
  <c r="BZ36" i="8"/>
  <c r="CA30" i="8"/>
  <c r="CA1" i="8" s="1"/>
  <c r="AC26" i="8"/>
  <c r="N32" i="8"/>
  <c r="DH32" i="8" s="1"/>
  <c r="EJ32" i="8" s="1"/>
  <c r="N52" i="1"/>
  <c r="BD52" i="1" s="1"/>
  <c r="BR52" i="1" s="1"/>
  <c r="L21" i="36"/>
  <c r="J19" i="36"/>
  <c r="CG36" i="1"/>
  <c r="AL200" i="1"/>
  <c r="AL204" i="1"/>
  <c r="CI98" i="1"/>
  <c r="CO192" i="1"/>
  <c r="P36" i="8"/>
  <c r="BF36" i="8" s="1"/>
  <c r="BT36" i="8" s="1"/>
  <c r="W192" i="1"/>
  <c r="DQ192" i="1" s="1"/>
  <c r="ES192" i="1" s="1"/>
  <c r="AD166" i="1"/>
  <c r="R167" i="1"/>
  <c r="BH167" i="1" s="1"/>
  <c r="BV167" i="1" s="1"/>
  <c r="CA11" i="8"/>
  <c r="CL27" i="8"/>
  <c r="AD139" i="1"/>
  <c r="T177" i="1"/>
  <c r="DN177" i="1" s="1"/>
  <c r="EP177" i="1" s="1"/>
  <c r="AL194" i="1"/>
  <c r="X13" i="8"/>
  <c r="CN187" i="1"/>
  <c r="AD13" i="44"/>
  <c r="X194" i="1"/>
  <c r="BN194" i="1" s="1"/>
  <c r="CB194" i="1" s="1"/>
  <c r="T201" i="1"/>
  <c r="DN201" i="1" s="1"/>
  <c r="EP201" i="1" s="1"/>
  <c r="K6" i="36"/>
  <c r="L11" i="8"/>
  <c r="DF11" i="8" s="1"/>
  <c r="O96" i="22" s="1"/>
  <c r="G96" i="22" s="1"/>
  <c r="AF25" i="8"/>
  <c r="AK97" i="1"/>
  <c r="R57" i="8"/>
  <c r="DL57" i="8" s="1"/>
  <c r="EN57" i="8" s="1"/>
  <c r="L27" i="8"/>
  <c r="DF27" i="8" s="1"/>
  <c r="W30" i="8"/>
  <c r="Q42" i="28" s="1"/>
  <c r="Q49" i="28" s="1"/>
  <c r="Q50" i="28" s="1"/>
  <c r="N9" i="8"/>
  <c r="G11" i="8"/>
  <c r="AW11" i="8" s="1"/>
  <c r="BK11" i="8" s="1"/>
  <c r="L22" i="36"/>
  <c r="J6" i="36"/>
  <c r="R103" i="1"/>
  <c r="DL103" i="1" s="1"/>
  <c r="DV176" i="1"/>
  <c r="DT176" i="1" s="1"/>
  <c r="CM156" i="1"/>
  <c r="J213" i="35" s="1"/>
  <c r="R100" i="1"/>
  <c r="DL100" i="1" s="1"/>
  <c r="EN100" i="1" s="1"/>
  <c r="AC137" i="1"/>
  <c r="BE137" i="1" s="1"/>
  <c r="BS137" i="1" s="1"/>
  <c r="AA158" i="1"/>
  <c r="R52" i="8"/>
  <c r="BH52" i="8" s="1"/>
  <c r="BV52" i="8" s="1"/>
  <c r="J66" i="8"/>
  <c r="AZ66" i="8" s="1"/>
  <c r="R25" i="8"/>
  <c r="BH25" i="8" s="1"/>
  <c r="BV25" i="8" s="1"/>
  <c r="BY11" i="8"/>
  <c r="Y34" i="8"/>
  <c r="BA34" i="8" s="1"/>
  <c r="BO34" i="8" s="1"/>
  <c r="AE98" i="1"/>
  <c r="CH38" i="1"/>
  <c r="V80" i="1"/>
  <c r="BL80" i="1" s="1"/>
  <c r="BZ80" i="1" s="1"/>
  <c r="CG156" i="1"/>
  <c r="AB75" i="1"/>
  <c r="CU22" i="8"/>
  <c r="U11" i="8"/>
  <c r="O65" i="8"/>
  <c r="S96" i="1"/>
  <c r="BI96" i="1" s="1"/>
  <c r="BW96" i="1" s="1"/>
  <c r="CK217" i="1"/>
  <c r="CG203" i="1"/>
  <c r="CG163" i="1"/>
  <c r="AC203" i="1"/>
  <c r="AD205" i="1"/>
  <c r="BF205" i="1" s="1"/>
  <c r="BT205" i="1" s="1"/>
  <c r="CH185" i="1"/>
  <c r="AI188" i="1"/>
  <c r="X204" i="1"/>
  <c r="DR204" i="1" s="1"/>
  <c r="ET204" i="1" s="1"/>
  <c r="M38" i="8"/>
  <c r="DG38" i="8" s="1"/>
  <c r="AC54" i="1"/>
  <c r="AI16" i="48"/>
  <c r="CR189" i="1"/>
  <c r="AH10" i="44"/>
  <c r="AA8" i="44"/>
  <c r="CF32" i="8"/>
  <c r="CF75" i="1"/>
  <c r="V187" i="1"/>
  <c r="BL187" i="1" s="1"/>
  <c r="BZ187" i="1" s="1"/>
  <c r="AH205" i="1"/>
  <c r="AB181" i="1"/>
  <c r="CH65" i="1"/>
  <c r="CF9" i="8"/>
  <c r="CH36" i="8"/>
  <c r="Y49" i="8"/>
  <c r="D14" i="62"/>
  <c r="CV41" i="8"/>
  <c r="CK96" i="1"/>
  <c r="AD59" i="1"/>
  <c r="CF111" i="1"/>
  <c r="J12" i="36"/>
  <c r="P65" i="1"/>
  <c r="BF65" i="1" s="1"/>
  <c r="BT65" i="1" s="1"/>
  <c r="U45" i="8"/>
  <c r="U27" i="8"/>
  <c r="CH10" i="1"/>
  <c r="CQ29" i="8"/>
  <c r="CL30" i="8"/>
  <c r="CL45" i="8"/>
  <c r="S217" i="1"/>
  <c r="BI217" i="1" s="1"/>
  <c r="BW217" i="1" s="1"/>
  <c r="CJ167" i="1"/>
  <c r="X200" i="1"/>
  <c r="DR200" i="1" s="1"/>
  <c r="ET200" i="1" s="1"/>
  <c r="AB52" i="1"/>
  <c r="AB135" i="1"/>
  <c r="AB201" i="1"/>
  <c r="BY27" i="8"/>
  <c r="AE14" i="8"/>
  <c r="AA98" i="1"/>
  <c r="CD42" i="8"/>
  <c r="Q14" i="8"/>
  <c r="DK14" i="8" s="1"/>
  <c r="EM14" i="8" s="1"/>
  <c r="M13" i="44" s="1"/>
  <c r="CG137" i="1"/>
  <c r="CH81" i="1"/>
  <c r="P166" i="1"/>
  <c r="DJ166" i="1" s="1"/>
  <c r="EL166" i="1" s="1"/>
  <c r="AB13" i="1"/>
  <c r="CF13" i="1"/>
  <c r="O26" i="8"/>
  <c r="I30" i="8"/>
  <c r="DC30" i="8" s="1"/>
  <c r="O48" i="22" s="1"/>
  <c r="G48" i="22" s="1"/>
  <c r="O18" i="8"/>
  <c r="BE18" i="8" s="1"/>
  <c r="BS18" i="8" s="1"/>
  <c r="L18" i="36"/>
  <c r="CL201" i="1"/>
  <c r="P81" i="1"/>
  <c r="BF81" i="1" s="1"/>
  <c r="BT81" i="1" s="1"/>
  <c r="CO97" i="1"/>
  <c r="N13" i="1"/>
  <c r="DH13" i="1" s="1"/>
  <c r="AC8" i="1"/>
  <c r="CG183" i="1"/>
  <c r="CN80" i="1"/>
  <c r="U188" i="1"/>
  <c r="BK188" i="1" s="1"/>
  <c r="BY188" i="1" s="1"/>
  <c r="E96" i="22"/>
  <c r="CI189" i="1"/>
  <c r="P139" i="1"/>
  <c r="DJ139" i="1" s="1"/>
  <c r="EL139" i="1" s="1"/>
  <c r="P119" i="1"/>
  <c r="DJ119" i="1" s="1"/>
  <c r="EL119" i="1" s="1"/>
  <c r="L10" i="36"/>
  <c r="CF6" i="1"/>
  <c r="CE158" i="1"/>
  <c r="AC163" i="1"/>
  <c r="BE163" i="1" s="1"/>
  <c r="BS163" i="1" s="1"/>
  <c r="AH92" i="1"/>
  <c r="CP81" i="1"/>
  <c r="CI190" i="1"/>
  <c r="AE56" i="8"/>
  <c r="CG23" i="8"/>
  <c r="Q11" i="8"/>
  <c r="DK11" i="8" s="1"/>
  <c r="EM11" i="8" s="1"/>
  <c r="M10" i="44" s="1"/>
  <c r="T114" i="1"/>
  <c r="DN114" i="1" s="1"/>
  <c r="EP114" i="1" s="1"/>
  <c r="CR99" i="1"/>
  <c r="H33" i="8"/>
  <c r="DB33" i="8" s="1"/>
  <c r="W9" i="44"/>
  <c r="AD35" i="1"/>
  <c r="CE15" i="8"/>
  <c r="CB10" i="8"/>
  <c r="W47" i="1"/>
  <c r="BM47" i="1" s="1"/>
  <c r="CA47" i="1" s="1"/>
  <c r="AG111" i="1"/>
  <c r="CJ37" i="8"/>
  <c r="T189" i="1"/>
  <c r="DN189" i="1" s="1"/>
  <c r="EP189" i="1" s="1"/>
  <c r="W205" i="1"/>
  <c r="BM205" i="1" s="1"/>
  <c r="CA205" i="1" s="1"/>
  <c r="V96" i="1"/>
  <c r="BL96" i="1" s="1"/>
  <c r="BZ96" i="1" s="1"/>
  <c r="G39" i="8"/>
  <c r="DA39" i="8" s="1"/>
  <c r="O14" i="22" s="1"/>
  <c r="G14" i="22" s="1"/>
  <c r="AH98" i="1"/>
  <c r="V150" i="2"/>
  <c r="AM164" i="48"/>
  <c r="M78" i="36"/>
  <c r="S75" i="36"/>
  <c r="P219" i="2"/>
  <c r="Q219" i="2" s="1"/>
  <c r="AD75" i="1"/>
  <c r="BF75" i="1" s="1"/>
  <c r="BT75" i="1" s="1"/>
  <c r="U219" i="2"/>
  <c r="V219" i="2" s="1"/>
  <c r="X219" i="2"/>
  <c r="DX75" i="1" s="1"/>
  <c r="EL75" i="1" s="1"/>
  <c r="X151" i="1"/>
  <c r="DR151" i="1" s="1"/>
  <c r="ET151" i="1" s="1"/>
  <c r="CL25" i="1"/>
  <c r="AL151" i="1"/>
  <c r="AD90" i="1"/>
  <c r="CH90" i="1"/>
  <c r="S142" i="1"/>
  <c r="BI142" i="1" s="1"/>
  <c r="BW142" i="1" s="1"/>
  <c r="AH36" i="1"/>
  <c r="T51" i="1"/>
  <c r="BJ51" i="1" s="1"/>
  <c r="BX51" i="1" s="1"/>
  <c r="CO139" i="1"/>
  <c r="O75" i="36"/>
  <c r="AE82" i="1"/>
  <c r="AH46" i="1"/>
  <c r="S17" i="36"/>
  <c r="DZ29" i="8"/>
  <c r="EO63" i="1"/>
  <c r="AI112" i="48"/>
  <c r="Q69" i="36"/>
  <c r="EJ70" i="8"/>
  <c r="T77" i="36"/>
  <c r="AH44" i="1"/>
  <c r="BJ44" i="1" s="1"/>
  <c r="BX44" i="1" s="1"/>
  <c r="AI202" i="1"/>
  <c r="T99" i="1"/>
  <c r="BJ99" i="1" s="1"/>
  <c r="BX99" i="1" s="1"/>
  <c r="AD200" i="1"/>
  <c r="BF200" i="1" s="1"/>
  <c r="BT200" i="1" s="1"/>
  <c r="AA174" i="1"/>
  <c r="CM202" i="1"/>
  <c r="U226" i="1"/>
  <c r="DO226" i="1" s="1"/>
  <c r="EQ226" i="1" s="1"/>
  <c r="CE144" i="1"/>
  <c r="CG94" i="1"/>
  <c r="O148" i="1"/>
  <c r="BE148" i="1" s="1"/>
  <c r="BS148" i="1" s="1"/>
  <c r="CI227" i="1"/>
  <c r="W166" i="1"/>
  <c r="BM166" i="1" s="1"/>
  <c r="CA166" i="1" s="1"/>
  <c r="CR218" i="1"/>
  <c r="S152" i="1"/>
  <c r="U111" i="1"/>
  <c r="DO111" i="1" s="1"/>
  <c r="V98" i="1"/>
  <c r="DP98" i="1" s="1"/>
  <c r="CK169" i="1"/>
  <c r="AF9" i="48"/>
  <c r="AE197" i="1"/>
  <c r="BG197" i="1" s="1"/>
  <c r="BU197" i="1" s="1"/>
  <c r="CG178" i="1"/>
  <c r="AC221" i="1"/>
  <c r="AE227" i="1"/>
  <c r="BC144" i="1"/>
  <c r="BQ144" i="1" s="1"/>
  <c r="AA87" i="1"/>
  <c r="AJ98" i="1"/>
  <c r="CK140" i="1"/>
  <c r="CG71" i="1"/>
  <c r="CG49" i="1"/>
  <c r="O221" i="1"/>
  <c r="BE221" i="1" s="1"/>
  <c r="BS221" i="1" s="1"/>
  <c r="AA76" i="1"/>
  <c r="CR96" i="1"/>
  <c r="CG11" i="8"/>
  <c r="P31" i="8"/>
  <c r="DJ31" i="8" s="1"/>
  <c r="EL31" i="8" s="1"/>
  <c r="S190" i="1"/>
  <c r="BI190" i="1" s="1"/>
  <c r="BW190" i="1" s="1"/>
  <c r="O71" i="1"/>
  <c r="DI71" i="1" s="1"/>
  <c r="AH72" i="48" s="1"/>
  <c r="CH51" i="1"/>
  <c r="CR97" i="1"/>
  <c r="CR111" i="1"/>
  <c r="AD26" i="8"/>
  <c r="CH74" i="1"/>
  <c r="BE178" i="1"/>
  <c r="BS178" i="1" s="1"/>
  <c r="P51" i="1"/>
  <c r="DJ51" i="1" s="1"/>
  <c r="EL51" i="1" s="1"/>
  <c r="AM24" i="48"/>
  <c r="S140" i="1"/>
  <c r="BI140" i="1" s="1"/>
  <c r="BW140" i="1" s="1"/>
  <c r="CO100" i="1"/>
  <c r="AB68" i="1"/>
  <c r="AK14" i="48"/>
  <c r="BY52" i="8"/>
  <c r="AE196" i="1"/>
  <c r="M227" i="1"/>
  <c r="CF68" i="1"/>
  <c r="AD95" i="1"/>
  <c r="CG195" i="1"/>
  <c r="G37" i="8"/>
  <c r="DA37" i="8" s="1"/>
  <c r="EC37" i="8" s="1"/>
  <c r="U8" i="8"/>
  <c r="T7" i="44"/>
  <c r="AG7" i="44" s="1"/>
  <c r="CG48" i="8"/>
  <c r="CL7" i="8"/>
  <c r="CR217" i="1"/>
  <c r="O30" i="1"/>
  <c r="DI30" i="1" s="1"/>
  <c r="EK30" i="1" s="1"/>
  <c r="CF23" i="1"/>
  <c r="L7" i="36"/>
  <c r="AI12" i="48"/>
  <c r="CH32" i="1"/>
  <c r="W167" i="1"/>
  <c r="BM167" i="1" s="1"/>
  <c r="CA167" i="1" s="1"/>
  <c r="CO167" i="1"/>
  <c r="CN189" i="1"/>
  <c r="AG54" i="1"/>
  <c r="Q203" i="1"/>
  <c r="BG203" i="1" s="1"/>
  <c r="BU203" i="1" s="1"/>
  <c r="AN25" i="48"/>
  <c r="G16" i="62"/>
  <c r="AG190" i="1"/>
  <c r="J22" i="44"/>
  <c r="CH100" i="1"/>
  <c r="M76" i="1"/>
  <c r="BC76" i="1" s="1"/>
  <c r="BQ76" i="1" s="1"/>
  <c r="AK100" i="1"/>
  <c r="CK54" i="1"/>
  <c r="L15" i="36"/>
  <c r="CI203" i="1"/>
  <c r="P160" i="1"/>
  <c r="DJ160" i="1" s="1"/>
  <c r="L48" i="36" s="1"/>
  <c r="L96" i="36" s="1"/>
  <c r="Q196" i="1"/>
  <c r="DK196" i="1" s="1"/>
  <c r="EM196" i="1" s="1"/>
  <c r="CM42" i="1"/>
  <c r="ES210" i="1"/>
  <c r="J51" i="36"/>
  <c r="AI9" i="48"/>
  <c r="ER180" i="1"/>
  <c r="S163" i="1"/>
  <c r="R78" i="36"/>
  <c r="AO105" i="48"/>
  <c r="U57" i="1"/>
  <c r="DO57" i="1" s="1"/>
  <c r="EQ57" i="1" s="1"/>
  <c r="X146" i="1"/>
  <c r="DR146" i="1" s="1"/>
  <c r="ET146" i="1" s="1"/>
  <c r="AF119" i="48"/>
  <c r="CF57" i="8"/>
  <c r="N52" i="8"/>
  <c r="CR87" i="1"/>
  <c r="CL66" i="8"/>
  <c r="N36" i="8"/>
  <c r="K8" i="8"/>
  <c r="DE8" i="8" s="1"/>
  <c r="EG8" i="8" s="1"/>
  <c r="G7" i="44" s="1"/>
  <c r="CN41" i="8"/>
  <c r="CO141" i="1"/>
  <c r="AB62" i="8"/>
  <c r="AC211" i="1"/>
  <c r="CH143" i="1"/>
  <c r="AD123" i="1"/>
  <c r="AD60" i="8"/>
  <c r="E44" i="22"/>
  <c r="AD5" i="44"/>
  <c r="P63" i="1"/>
  <c r="DJ63" i="1" s="1"/>
  <c r="L8" i="36"/>
  <c r="CH123" i="1"/>
  <c r="R53" i="8"/>
  <c r="BH53" i="8" s="1"/>
  <c r="BV53" i="8" s="1"/>
  <c r="CL11" i="8"/>
  <c r="H26" i="8"/>
  <c r="DB26" i="8" s="1"/>
  <c r="BZ42" i="8"/>
  <c r="CC8" i="8"/>
  <c r="U15" i="8"/>
  <c r="CH214" i="1"/>
  <c r="AB48" i="8"/>
  <c r="K13" i="36"/>
  <c r="CG122" i="1"/>
  <c r="CH20" i="1"/>
  <c r="U109" i="1"/>
  <c r="CG171" i="1"/>
  <c r="X44" i="8"/>
  <c r="X196" i="1"/>
  <c r="BN196" i="1" s="1"/>
  <c r="CB196" i="1" s="1"/>
  <c r="CH226" i="1"/>
  <c r="O141" i="1"/>
  <c r="DI141" i="1" s="1"/>
  <c r="K56" i="36" s="1"/>
  <c r="CN121" i="1"/>
  <c r="I15" i="8"/>
  <c r="AY15" i="8" s="1"/>
  <c r="BM15" i="8" s="1"/>
  <c r="CT59" i="8"/>
  <c r="V56" i="8"/>
  <c r="W133" i="1"/>
  <c r="DQ133" i="1" s="1"/>
  <c r="ES133" i="1" s="1"/>
  <c r="BY49" i="8"/>
  <c r="CI156" i="1"/>
  <c r="CN170" i="1"/>
  <c r="BN203" i="1"/>
  <c r="CB203" i="1" s="1"/>
  <c r="N10" i="1"/>
  <c r="DH10" i="1" s="1"/>
  <c r="EJ10" i="1" s="1"/>
  <c r="AI109" i="1"/>
  <c r="O171" i="1"/>
  <c r="DI171" i="1" s="1"/>
  <c r="EK171" i="1" s="1"/>
  <c r="S192" i="1"/>
  <c r="DM192" i="1" s="1"/>
  <c r="EO192" i="1" s="1"/>
  <c r="U49" i="8"/>
  <c r="AA203" i="1"/>
  <c r="CF185" i="1"/>
  <c r="N185" i="1"/>
  <c r="DH185" i="1" s="1"/>
  <c r="EJ185" i="1" s="1"/>
  <c r="CL9" i="8"/>
  <c r="J140" i="22" s="1"/>
  <c r="CL13" i="8"/>
  <c r="P12" i="44" s="1"/>
  <c r="CL34" i="8"/>
  <c r="J13" i="22" s="1"/>
  <c r="CA15" i="8"/>
  <c r="AE6" i="8"/>
  <c r="CV59" i="8"/>
  <c r="CM147" i="1"/>
  <c r="CV157" i="1"/>
  <c r="CT157" i="1"/>
  <c r="M156" i="1"/>
  <c r="DG156" i="1" s="1"/>
  <c r="EI156" i="1" s="1"/>
  <c r="O187" i="1"/>
  <c r="DI187" i="1" s="1"/>
  <c r="CH86" i="1"/>
  <c r="Q156" i="1"/>
  <c r="DK156" i="1" s="1"/>
  <c r="EM156" i="1" s="1"/>
  <c r="CI90" i="1"/>
  <c r="AJ62" i="1"/>
  <c r="W34" i="8"/>
  <c r="CH11" i="8"/>
  <c r="K38" i="8"/>
  <c r="DE38" i="8" s="1"/>
  <c r="EG38" i="8" s="1"/>
  <c r="AD44" i="1"/>
  <c r="BF44" i="1" s="1"/>
  <c r="BT44" i="1" s="1"/>
  <c r="P86" i="1"/>
  <c r="DJ86" i="1" s="1"/>
  <c r="EL86" i="1" s="1"/>
  <c r="AE90" i="1"/>
  <c r="AI52" i="1"/>
  <c r="AI55" i="1"/>
  <c r="CI172" i="1"/>
  <c r="EO135" i="1"/>
  <c r="AS66" i="48"/>
  <c r="Y66" i="48" s="1"/>
  <c r="Z66" i="48" s="1"/>
  <c r="EC49" i="8"/>
  <c r="EL143" i="1"/>
  <c r="EK169" i="1"/>
  <c r="EK83" i="1"/>
  <c r="EJ166" i="1"/>
  <c r="DV51" i="8"/>
  <c r="DO68" i="8"/>
  <c r="R63" i="36"/>
  <c r="AP119" i="48"/>
  <c r="EF18" i="8"/>
  <c r="CL31" i="8"/>
  <c r="EK206" i="1"/>
  <c r="EK82" i="1"/>
  <c r="EK60" i="1"/>
  <c r="I19" i="36"/>
  <c r="EI8" i="1"/>
  <c r="AK112" i="48"/>
  <c r="AE125" i="1"/>
  <c r="Q16" i="36"/>
  <c r="AF114" i="1"/>
  <c r="BH114" i="1" s="1"/>
  <c r="BV114" i="1" s="1"/>
  <c r="AI47" i="1"/>
  <c r="AL162" i="1"/>
  <c r="AG114" i="1"/>
  <c r="BI114" i="1" s="1"/>
  <c r="BW114" i="1" s="1"/>
  <c r="DN67" i="8"/>
  <c r="DT166" i="1"/>
  <c r="Q70" i="36"/>
  <c r="L76" i="36"/>
  <c r="F61" i="6"/>
  <c r="AE137" i="1"/>
  <c r="BG137" i="1" s="1"/>
  <c r="BU137" i="1" s="1"/>
  <c r="AL215" i="1"/>
  <c r="Q145" i="1"/>
  <c r="DK145" i="1" s="1"/>
  <c r="EM145" i="1" s="1"/>
  <c r="CM52" i="1"/>
  <c r="DN18" i="1"/>
  <c r="EP18" i="1" s="1"/>
  <c r="CM55" i="1"/>
  <c r="AH209" i="1"/>
  <c r="CM15" i="1"/>
  <c r="AL146" i="1"/>
  <c r="Q181" i="1"/>
  <c r="BG181" i="1" s="1"/>
  <c r="BU181" i="1" s="1"/>
  <c r="AI35" i="1"/>
  <c r="AE145" i="1"/>
  <c r="CI131" i="1"/>
  <c r="AI57" i="1"/>
  <c r="Q216" i="1"/>
  <c r="BG216" i="1" s="1"/>
  <c r="BU216" i="1" s="1"/>
  <c r="AL221" i="1"/>
  <c r="CM26" i="1"/>
  <c r="BI63" i="1"/>
  <c r="BW63" i="1" s="1"/>
  <c r="EP126" i="1"/>
  <c r="U35" i="1"/>
  <c r="DO35" i="1" s="1"/>
  <c r="EQ35" i="1" s="1"/>
  <c r="AG18" i="1"/>
  <c r="DT46" i="1"/>
  <c r="EN25" i="1"/>
  <c r="T37" i="1"/>
  <c r="BJ37" i="1" s="1"/>
  <c r="BX37" i="1" s="1"/>
  <c r="EC115" i="1"/>
  <c r="AI30" i="1"/>
  <c r="CP180" i="1"/>
  <c r="S79" i="1"/>
  <c r="BI79" i="1" s="1"/>
  <c r="BW79" i="1" s="1"/>
  <c r="W187" i="1"/>
  <c r="DQ187" i="1" s="1"/>
  <c r="ES187" i="1" s="1"/>
  <c r="V97" i="1"/>
  <c r="BL97" i="1" s="1"/>
  <c r="BZ97" i="1" s="1"/>
  <c r="AI45" i="1"/>
  <c r="EM77" i="1"/>
  <c r="EN73" i="1"/>
  <c r="EQ68" i="1"/>
  <c r="AI42" i="1"/>
  <c r="CM9" i="1"/>
  <c r="AI9" i="1"/>
  <c r="CV5" i="1"/>
  <c r="R9" i="8"/>
  <c r="BH9" i="8" s="1"/>
  <c r="BV9" i="8" s="1"/>
  <c r="CJ80" i="1"/>
  <c r="Q43" i="8"/>
  <c r="DK43" i="8" s="1"/>
  <c r="EM43" i="8" s="1"/>
  <c r="P226" i="1"/>
  <c r="DJ226" i="1" s="1"/>
  <c r="AI11" i="48"/>
  <c r="AC141" i="1"/>
  <c r="P20" i="1"/>
  <c r="DJ20" i="1" s="1"/>
  <c r="AI62" i="48" s="1"/>
  <c r="CP203" i="1"/>
  <c r="AH204" i="1"/>
  <c r="CF10" i="1"/>
  <c r="CG19" i="1"/>
  <c r="AD143" i="1"/>
  <c r="CS51" i="8"/>
  <c r="W141" i="1"/>
  <c r="DQ141" i="1" s="1"/>
  <c r="S56" i="36" s="1"/>
  <c r="S104" i="36" s="1"/>
  <c r="AE188" i="1"/>
  <c r="CP227" i="1"/>
  <c r="CF59" i="1"/>
  <c r="CI188" i="1"/>
  <c r="T194" i="1"/>
  <c r="DN194" i="1" s="1"/>
  <c r="EP194" i="1" s="1"/>
  <c r="CF81" i="1"/>
  <c r="W15" i="8"/>
  <c r="CM153" i="1"/>
  <c r="CH172" i="1"/>
  <c r="T204" i="1"/>
  <c r="DN204" i="1" s="1"/>
  <c r="EP204" i="1" s="1"/>
  <c r="N81" i="1"/>
  <c r="DH81" i="1" s="1"/>
  <c r="EJ81" i="1" s="1"/>
  <c r="CF41" i="1"/>
  <c r="AA137" i="1"/>
  <c r="AL51" i="1"/>
  <c r="CN73" i="1"/>
  <c r="CR147" i="1"/>
  <c r="CR188" i="1"/>
  <c r="CL200" i="1"/>
  <c r="P172" i="1"/>
  <c r="BF172" i="1" s="1"/>
  <c r="BT172" i="1" s="1"/>
  <c r="K24" i="36"/>
  <c r="CF209" i="1"/>
  <c r="AA57" i="1"/>
  <c r="BC57" i="1" s="1"/>
  <c r="BQ57" i="1" s="1"/>
  <c r="AK141" i="1"/>
  <c r="R187" i="1"/>
  <c r="DL187" i="1" s="1"/>
  <c r="K26" i="8"/>
  <c r="DE26" i="8" s="1"/>
  <c r="EG26" i="8" s="1"/>
  <c r="CL64" i="8"/>
  <c r="AH194" i="1"/>
  <c r="CH44" i="1"/>
  <c r="O122" i="1"/>
  <c r="BE122" i="1" s="1"/>
  <c r="BS122" i="1" s="1"/>
  <c r="AL196" i="1"/>
  <c r="AB209" i="1"/>
  <c r="CG40" i="1"/>
  <c r="AH91" i="1"/>
  <c r="S212" i="1"/>
  <c r="DM212" i="1" s="1"/>
  <c r="EO212" i="1" s="1"/>
  <c r="AG192" i="1"/>
  <c r="CD46" i="8"/>
  <c r="CF56" i="1"/>
  <c r="CF119" i="1"/>
  <c r="X49" i="1"/>
  <c r="DR49" i="1" s="1"/>
  <c r="ET49" i="1" s="1"/>
  <c r="AG212" i="1"/>
  <c r="CL26" i="8"/>
  <c r="CJ9" i="8"/>
  <c r="AE34" i="8"/>
  <c r="M14" i="62"/>
  <c r="O30" i="8"/>
  <c r="DI30" i="8" s="1"/>
  <c r="EK30" i="8" s="1"/>
  <c r="CL38" i="8"/>
  <c r="CR191" i="1"/>
  <c r="Z32" i="8"/>
  <c r="AL203" i="1"/>
  <c r="V170" i="1"/>
  <c r="BL170" i="1" s="1"/>
  <c r="BZ170" i="1" s="1"/>
  <c r="AC61" i="1"/>
  <c r="CE57" i="1"/>
  <c r="AC40" i="1"/>
  <c r="BE40" i="1" s="1"/>
  <c r="BS40" i="1" s="1"/>
  <c r="CF38" i="1"/>
  <c r="CP39" i="1"/>
  <c r="V121" i="1"/>
  <c r="BL121" i="1" s="1"/>
  <c r="BZ121" i="1" s="1"/>
  <c r="CL46" i="8"/>
  <c r="H56" i="8"/>
  <c r="DB56" i="8" s="1"/>
  <c r="X7" i="44"/>
  <c r="CG83" i="1"/>
  <c r="X227" i="1"/>
  <c r="DR227" i="1" s="1"/>
  <c r="ET227" i="1" s="1"/>
  <c r="AB166" i="1"/>
  <c r="AB38" i="1"/>
  <c r="N98" i="1"/>
  <c r="DH98" i="1" s="1"/>
  <c r="EJ98" i="1" s="1"/>
  <c r="BD38" i="1"/>
  <c r="BR38" i="1" s="1"/>
  <c r="AW49" i="8"/>
  <c r="BK49" i="8" s="1"/>
  <c r="DL81" i="1"/>
  <c r="EN81" i="1" s="1"/>
  <c r="BE11" i="1"/>
  <c r="BS11" i="1" s="1"/>
  <c r="EJ138" i="1"/>
  <c r="AY70" i="8"/>
  <c r="BM70" i="8" s="1"/>
  <c r="BE19" i="1"/>
  <c r="BS19" i="1" s="1"/>
  <c r="BE82" i="1"/>
  <c r="BS82" i="1" s="1"/>
  <c r="BD66" i="8"/>
  <c r="DL54" i="8"/>
  <c r="EN54" i="8" s="1"/>
  <c r="BD138" i="1"/>
  <c r="BR138" i="1" s="1"/>
  <c r="BE206" i="1"/>
  <c r="BS206" i="1" s="1"/>
  <c r="DN208" i="1"/>
  <c r="EP208" i="1" s="1"/>
  <c r="BF11" i="8"/>
  <c r="BT11" i="8" s="1"/>
  <c r="BC8" i="1"/>
  <c r="BQ8" i="1" s="1"/>
  <c r="BC162" i="1"/>
  <c r="BQ162" i="1" s="1"/>
  <c r="BD208" i="1"/>
  <c r="BR208" i="1" s="1"/>
  <c r="DG202" i="1"/>
  <c r="EI202" i="1" s="1"/>
  <c r="DH57" i="8"/>
  <c r="EJ57" i="8" s="1"/>
  <c r="BE83" i="1"/>
  <c r="BS83" i="1" s="1"/>
  <c r="AI161" i="48"/>
  <c r="BG188" i="1"/>
  <c r="BU188" i="1" s="1"/>
  <c r="BG55" i="1"/>
  <c r="BU55" i="1" s="1"/>
  <c r="EL11" i="8"/>
  <c r="L10" i="44" s="1"/>
  <c r="BF143" i="1"/>
  <c r="BT143" i="1" s="1"/>
  <c r="BC36" i="1"/>
  <c r="BQ36" i="1" s="1"/>
  <c r="BD166" i="1"/>
  <c r="BR166" i="1" s="1"/>
  <c r="DN91" i="1"/>
  <c r="EP91" i="1" s="1"/>
  <c r="BI149" i="1"/>
  <c r="BW149" i="1" s="1"/>
  <c r="BD119" i="1"/>
  <c r="BR119" i="1" s="1"/>
  <c r="DM146" i="1"/>
  <c r="EO146" i="1" s="1"/>
  <c r="DR31" i="1"/>
  <c r="ET31" i="1" s="1"/>
  <c r="BD9" i="1"/>
  <c r="BR9" i="1" s="1"/>
  <c r="BE76" i="1"/>
  <c r="BS76" i="1" s="1"/>
  <c r="BJ200" i="1"/>
  <c r="BX200" i="1" s="1"/>
  <c r="EJ38" i="1"/>
  <c r="J58" i="8"/>
  <c r="DD58" i="8" s="1"/>
  <c r="G14" i="8"/>
  <c r="AW14" i="8" s="1"/>
  <c r="BK14" i="8" s="1"/>
  <c r="CJ156" i="1"/>
  <c r="N80" i="1"/>
  <c r="BD80" i="1" s="1"/>
  <c r="BR80" i="1" s="1"/>
  <c r="V153" i="1"/>
  <c r="DP153" i="1" s="1"/>
  <c r="ER153" i="1" s="1"/>
  <c r="AB9" i="1"/>
  <c r="CJ188" i="1"/>
  <c r="AK191" i="1"/>
  <c r="CL50" i="8"/>
  <c r="CL48" i="8"/>
  <c r="AL141" i="1"/>
  <c r="CR204" i="1"/>
  <c r="AF8" i="8"/>
  <c r="CR156" i="1"/>
  <c r="CU173" i="1"/>
  <c r="AH8" i="48"/>
  <c r="J43" i="8"/>
  <c r="DD43" i="8" s="1"/>
  <c r="M136" i="1"/>
  <c r="DG136" i="1" s="1"/>
  <c r="EI136" i="1" s="1"/>
  <c r="CH84" i="1"/>
  <c r="P125" i="1"/>
  <c r="DJ125" i="1" s="1"/>
  <c r="EL125" i="1" s="1"/>
  <c r="CH14" i="1"/>
  <c r="AI200" i="1"/>
  <c r="U204" i="1"/>
  <c r="DO204" i="1" s="1"/>
  <c r="EQ204" i="1" s="1"/>
  <c r="AB204" i="1"/>
  <c r="AA153" i="1"/>
  <c r="AC11" i="1"/>
  <c r="CG13" i="1"/>
  <c r="CR41" i="8"/>
  <c r="O16" i="62"/>
  <c r="AE42" i="8"/>
  <c r="AE67" i="8"/>
  <c r="K25" i="8"/>
  <c r="DE25" i="8" s="1"/>
  <c r="EG25" i="8" s="1"/>
  <c r="U194" i="1"/>
  <c r="BK194" i="1" s="1"/>
  <c r="BY194" i="1" s="1"/>
  <c r="P84" i="1"/>
  <c r="DJ84" i="1" s="1"/>
  <c r="EL84" i="1" s="1"/>
  <c r="P14" i="1"/>
  <c r="BF14" i="1" s="1"/>
  <c r="BT14" i="1" s="1"/>
  <c r="CI177" i="1"/>
  <c r="CM204" i="1"/>
  <c r="AA36" i="1"/>
  <c r="BY56" i="8"/>
  <c r="W14" i="8"/>
  <c r="V13" i="44"/>
  <c r="CN147" i="1"/>
  <c r="AI194" i="1"/>
  <c r="AC39" i="1"/>
  <c r="AE177" i="1"/>
  <c r="CH212" i="1"/>
  <c r="T13" i="44"/>
  <c r="H25" i="8"/>
  <c r="DB25" i="8" s="1"/>
  <c r="L63" i="8"/>
  <c r="DF63" i="8" s="1"/>
  <c r="EH63" i="8" s="1"/>
  <c r="CP59" i="8"/>
  <c r="CL60" i="8"/>
  <c r="CR187" i="1"/>
  <c r="CR170" i="1"/>
  <c r="CK80" i="1"/>
  <c r="CR201" i="1"/>
  <c r="X18" i="8"/>
  <c r="I14" i="8"/>
  <c r="AY14" i="8" s="1"/>
  <c r="BM14" i="8" s="1"/>
  <c r="N12" i="8"/>
  <c r="BD12" i="8" s="1"/>
  <c r="BR12" i="8" s="1"/>
  <c r="AE205" i="1"/>
  <c r="AA77" i="1"/>
  <c r="AC186" i="1"/>
  <c r="BE186" i="1" s="1"/>
  <c r="BS186" i="1" s="1"/>
  <c r="CH188" i="1"/>
  <c r="CE202" i="1"/>
  <c r="EJ9" i="1"/>
  <c r="CG82" i="1"/>
  <c r="AC60" i="1"/>
  <c r="CM41" i="8"/>
  <c r="DL8" i="8"/>
  <c r="EN8" i="8" s="1"/>
  <c r="N7" i="44" s="1"/>
  <c r="AZ18" i="8"/>
  <c r="BN18" i="8" s="1"/>
  <c r="H39" i="8"/>
  <c r="DB39" i="8" s="1"/>
  <c r="AC9" i="44"/>
  <c r="U60" i="8"/>
  <c r="G48" i="8"/>
  <c r="AW48" i="8" s="1"/>
  <c r="BK48" i="8" s="1"/>
  <c r="AK170" i="1"/>
  <c r="AC121" i="1"/>
  <c r="CH62" i="1"/>
  <c r="CG206" i="1"/>
  <c r="CF164" i="1"/>
  <c r="AB37" i="1"/>
  <c r="BD37" i="1" s="1"/>
  <c r="BR37" i="1" s="1"/>
  <c r="CF57" i="1"/>
  <c r="CR80" i="1"/>
  <c r="L14" i="8"/>
  <c r="BB14" i="8" s="1"/>
  <c r="BP14" i="8" s="1"/>
  <c r="E15" i="62"/>
  <c r="P7" i="8"/>
  <c r="DJ7" i="8" s="1"/>
  <c r="EL7" i="8" s="1"/>
  <c r="L6" i="44" s="1"/>
  <c r="U6" i="44"/>
  <c r="AC6" i="44"/>
  <c r="O121" i="1"/>
  <c r="BE121" i="1" s="1"/>
  <c r="BS121" i="1" s="1"/>
  <c r="AC206" i="1"/>
  <c r="AF18" i="48"/>
  <c r="AJ153" i="1"/>
  <c r="CF138" i="1"/>
  <c r="CF9" i="1"/>
  <c r="K16" i="36"/>
  <c r="AK106" i="1"/>
  <c r="CL14" i="8"/>
  <c r="P13" i="44" s="1"/>
  <c r="CR192" i="1"/>
  <c r="AB61" i="8"/>
  <c r="Q23" i="8"/>
  <c r="BG23" i="8" s="1"/>
  <c r="BU23" i="8" s="1"/>
  <c r="Z63" i="8"/>
  <c r="P39" i="8"/>
  <c r="DJ39" i="8" s="1"/>
  <c r="EL39" i="8" s="1"/>
  <c r="AA11" i="44"/>
  <c r="BZ7" i="8"/>
  <c r="CV173" i="1"/>
  <c r="AB24" i="8"/>
  <c r="O140" i="1"/>
  <c r="BE140" i="1" s="1"/>
  <c r="BS140" i="1" s="1"/>
  <c r="AB164" i="1"/>
  <c r="BD164" i="1" s="1"/>
  <c r="BR164" i="1" s="1"/>
  <c r="CG11" i="1"/>
  <c r="AA202" i="1"/>
  <c r="AC13" i="1"/>
  <c r="CI201" i="1"/>
  <c r="AA182" i="1"/>
  <c r="P170" i="1"/>
  <c r="DJ170" i="1" s="1"/>
  <c r="AB184" i="1"/>
  <c r="EE157" i="1"/>
  <c r="DT24" i="1"/>
  <c r="AE52" i="8"/>
  <c r="X54" i="8"/>
  <c r="CI52" i="8"/>
  <c r="CT51" i="8"/>
  <c r="DL163" i="1"/>
  <c r="EN163" i="1" s="1"/>
  <c r="AO112" i="48"/>
  <c r="CI96" i="1"/>
  <c r="T187" i="1"/>
  <c r="DN187" i="1" s="1"/>
  <c r="EP187" i="1" s="1"/>
  <c r="AM105" i="48"/>
  <c r="AN116" i="48"/>
  <c r="DT68" i="8"/>
  <c r="J54" i="8"/>
  <c r="DD54" i="8" s="1"/>
  <c r="AH80" i="1"/>
  <c r="AF209" i="1"/>
  <c r="CP51" i="8"/>
  <c r="CJ209" i="1"/>
  <c r="AC315" i="2"/>
  <c r="CI217" i="1"/>
  <c r="AG74" i="1"/>
  <c r="CJ52" i="8"/>
  <c r="CJ57" i="8"/>
  <c r="DG70" i="8"/>
  <c r="EI70" i="8" s="1"/>
  <c r="AH75" i="58"/>
  <c r="DW41" i="8"/>
  <c r="S67" i="36"/>
  <c r="EP30" i="1"/>
  <c r="DY41" i="8"/>
  <c r="ES65" i="1"/>
  <c r="AL166" i="1"/>
  <c r="X37" i="1"/>
  <c r="BN37" i="1" s="1"/>
  <c r="CB37" i="1" s="1"/>
  <c r="BZ57" i="8"/>
  <c r="X183" i="1"/>
  <c r="DR183" i="1" s="1"/>
  <c r="ET183" i="1" s="1"/>
  <c r="CJ31" i="1"/>
  <c r="CH54" i="8"/>
  <c r="L53" i="8"/>
  <c r="DF53" i="8" s="1"/>
  <c r="AF31" i="1"/>
  <c r="DD173" i="1"/>
  <c r="ER210" i="1"/>
  <c r="DT11" i="1"/>
  <c r="AK118" i="1"/>
  <c r="CL57" i="1"/>
  <c r="T57" i="1"/>
  <c r="DN57" i="1" s="1"/>
  <c r="EP57" i="1" s="1"/>
  <c r="CN221" i="1"/>
  <c r="AK211" i="1"/>
  <c r="Q63" i="1"/>
  <c r="BG63" i="1" s="1"/>
  <c r="BU63" i="1" s="1"/>
  <c r="AK178" i="1"/>
  <c r="Q79" i="1"/>
  <c r="DK79" i="1" s="1"/>
  <c r="EM79" i="1" s="1"/>
  <c r="EG62" i="8"/>
  <c r="AJ212" i="1"/>
  <c r="Q75" i="36"/>
  <c r="AJ144" i="1"/>
  <c r="R132" i="1"/>
  <c r="DL132" i="1" s="1"/>
  <c r="AA55" i="8"/>
  <c r="AF212" i="1"/>
  <c r="AK46" i="1"/>
  <c r="CJ135" i="1"/>
  <c r="T36" i="1"/>
  <c r="DN36" i="1" s="1"/>
  <c r="EP36" i="1" s="1"/>
  <c r="AH71" i="1"/>
  <c r="Q61" i="1"/>
  <c r="DK61" i="1" s="1"/>
  <c r="EM61" i="1" s="1"/>
  <c r="AH56" i="1"/>
  <c r="CJ182" i="1"/>
  <c r="CJ164" i="1"/>
  <c r="AK179" i="1"/>
  <c r="G56" i="8"/>
  <c r="DA56" i="8" s="1"/>
  <c r="EC56" i="8" s="1"/>
  <c r="CQ22" i="8"/>
  <c r="AD10" i="8"/>
  <c r="Y13" i="44"/>
  <c r="BG201" i="1"/>
  <c r="BU201" i="1" s="1"/>
  <c r="W159" i="1"/>
  <c r="DQ159" i="1" s="1"/>
  <c r="ES159" i="1" s="1"/>
  <c r="P67" i="36"/>
  <c r="DZ59" i="8"/>
  <c r="W119" i="1"/>
  <c r="DQ119" i="1" s="1"/>
  <c r="ES119" i="1" s="1"/>
  <c r="AM23" i="48"/>
  <c r="CL55" i="8"/>
  <c r="CI77" i="1"/>
  <c r="W176" i="1"/>
  <c r="BM176" i="1" s="1"/>
  <c r="CA176" i="1" s="1"/>
  <c r="CN212" i="1"/>
  <c r="AF186" i="1"/>
  <c r="AE201" i="1"/>
  <c r="T71" i="1"/>
  <c r="DN71" i="1" s="1"/>
  <c r="EP71" i="1" s="1"/>
  <c r="AK145" i="1"/>
  <c r="Q209" i="1"/>
  <c r="BG209" i="1" s="1"/>
  <c r="BU209" i="1" s="1"/>
  <c r="CI209" i="1"/>
  <c r="AK129" i="1"/>
  <c r="W179" i="1"/>
  <c r="DQ179" i="1" s="1"/>
  <c r="ES179" i="1" s="1"/>
  <c r="T6" i="1"/>
  <c r="CL16" i="1"/>
  <c r="CO143" i="1"/>
  <c r="W185" i="1"/>
  <c r="BM185" i="1" s="1"/>
  <c r="CA185" i="1" s="1"/>
  <c r="Q75" i="1"/>
  <c r="DK75" i="1" s="1"/>
  <c r="EM75" i="1" s="1"/>
  <c r="AK214" i="1"/>
  <c r="CO131" i="1"/>
  <c r="AP12" i="48"/>
  <c r="CK32" i="1"/>
  <c r="AH30" i="1"/>
  <c r="CL70" i="1"/>
  <c r="T32" i="1"/>
  <c r="DN32" i="1" s="1"/>
  <c r="V128" i="1"/>
  <c r="BL128" i="1" s="1"/>
  <c r="BZ128" i="1" s="1"/>
  <c r="AE163" i="1"/>
  <c r="BG163" i="1" s="1"/>
  <c r="BU163" i="1" s="1"/>
  <c r="EI210" i="1"/>
  <c r="DT221" i="1"/>
  <c r="T45" i="1"/>
  <c r="DN45" i="1" s="1"/>
  <c r="EP45" i="1" s="1"/>
  <c r="S47" i="1"/>
  <c r="BI47" i="1" s="1"/>
  <c r="BW47" i="1" s="1"/>
  <c r="AO18" i="48"/>
  <c r="S74" i="1"/>
  <c r="BI74" i="1" s="1"/>
  <c r="BW74" i="1" s="1"/>
  <c r="AJ184" i="1"/>
  <c r="T67" i="1"/>
  <c r="DN67" i="1" s="1"/>
  <c r="EP67" i="1" s="1"/>
  <c r="DQ180" i="1"/>
  <c r="ES180" i="1" s="1"/>
  <c r="AL138" i="1"/>
  <c r="T70" i="1"/>
  <c r="DN70" i="1" s="1"/>
  <c r="EP70" i="1" s="1"/>
  <c r="W86" i="1"/>
  <c r="BM86" i="1" s="1"/>
  <c r="CA86" i="1" s="1"/>
  <c r="EL21" i="1"/>
  <c r="R74" i="1"/>
  <c r="BH74" i="1" s="1"/>
  <c r="BV74" i="1" s="1"/>
  <c r="AE78" i="1"/>
  <c r="AK116" i="1"/>
  <c r="CO211" i="1"/>
  <c r="W158" i="1"/>
  <c r="BM158" i="1" s="1"/>
  <c r="CA158" i="1" s="1"/>
  <c r="CO175" i="1"/>
  <c r="W118" i="1"/>
  <c r="DQ118" i="1" s="1"/>
  <c r="ES118" i="1" s="1"/>
  <c r="CO158" i="1"/>
  <c r="CI61" i="1"/>
  <c r="AK150" i="1"/>
  <c r="T81" i="1"/>
  <c r="BJ81" i="1" s="1"/>
  <c r="BX81" i="1" s="1"/>
  <c r="EP118" i="1"/>
  <c r="AE136" i="1"/>
  <c r="AI118" i="48"/>
  <c r="AI39" i="1"/>
  <c r="CP117" i="1"/>
  <c r="DT56" i="1"/>
  <c r="AK75" i="58"/>
  <c r="EF115" i="1"/>
  <c r="DT218" i="1"/>
  <c r="DV41" i="8"/>
  <c r="R70" i="36"/>
  <c r="T66" i="36"/>
  <c r="S52" i="1"/>
  <c r="DM52" i="1" s="1"/>
  <c r="EO52" i="1" s="1"/>
  <c r="CP83" i="1"/>
  <c r="CO51" i="8"/>
  <c r="CM16" i="1"/>
  <c r="AH17" i="1"/>
  <c r="BK68" i="1"/>
  <c r="BY68" i="1" s="1"/>
  <c r="Q18" i="36"/>
  <c r="U49" i="1"/>
  <c r="BK49" i="1" s="1"/>
  <c r="BY49" i="1" s="1"/>
  <c r="AN18" i="48"/>
  <c r="AH11" i="1"/>
  <c r="X129" i="1"/>
  <c r="DR129" i="1" s="1"/>
  <c r="ET129" i="1" s="1"/>
  <c r="DR176" i="1"/>
  <c r="ET176" i="1" s="1"/>
  <c r="CM41" i="1"/>
  <c r="CL192" i="1"/>
  <c r="DN70" i="8"/>
  <c r="DT15" i="1"/>
  <c r="G52" i="8"/>
  <c r="AW52" i="8" s="1"/>
  <c r="BK52" i="8" s="1"/>
  <c r="DW22" i="8"/>
  <c r="CM51" i="8"/>
  <c r="AG42" i="1"/>
  <c r="CO183" i="1"/>
  <c r="CN132" i="1"/>
  <c r="W74" i="1"/>
  <c r="BM74" i="1" s="1"/>
  <c r="CA74" i="1" s="1"/>
  <c r="AE63" i="1"/>
  <c r="V18" i="8"/>
  <c r="AK209" i="1"/>
  <c r="AK83" i="1"/>
  <c r="CK42" i="1"/>
  <c r="AK183" i="1"/>
  <c r="T179" i="1"/>
  <c r="DN179" i="1" s="1"/>
  <c r="EP179" i="1" s="1"/>
  <c r="DL70" i="8"/>
  <c r="EN70" i="8" s="1"/>
  <c r="CL125" i="1"/>
  <c r="AK79" i="1"/>
  <c r="R14" i="36"/>
  <c r="AJ130" i="1"/>
  <c r="ED157" i="1"/>
  <c r="W163" i="1"/>
  <c r="DQ163" i="1" s="1"/>
  <c r="ES163" i="1" s="1"/>
  <c r="CL98" i="1"/>
  <c r="ES57" i="1"/>
  <c r="EQ74" i="1"/>
  <c r="T218" i="1"/>
  <c r="DN218" i="1" s="1"/>
  <c r="EP218" i="1" s="1"/>
  <c r="T172" i="1"/>
  <c r="BJ172" i="1" s="1"/>
  <c r="BX172" i="1" s="1"/>
  <c r="DU222" i="1"/>
  <c r="W77" i="1"/>
  <c r="BM77" i="1" s="1"/>
  <c r="CA77" i="1" s="1"/>
  <c r="AI94" i="1"/>
  <c r="U114" i="1"/>
  <c r="DO114" i="1" s="1"/>
  <c r="EQ114" i="1" s="1"/>
  <c r="AI167" i="48"/>
  <c r="CO136" i="1"/>
  <c r="AH174" i="1"/>
  <c r="W136" i="1"/>
  <c r="BM136" i="1" s="1"/>
  <c r="CA136" i="1" s="1"/>
  <c r="AH131" i="1"/>
  <c r="BJ131" i="1" s="1"/>
  <c r="BX131" i="1" s="1"/>
  <c r="BY57" i="8"/>
  <c r="CL131" i="1"/>
  <c r="EL22" i="1"/>
  <c r="AJ78" i="1"/>
  <c r="CG54" i="8"/>
  <c r="AH181" i="1"/>
  <c r="AN12" i="48"/>
  <c r="CR92" i="1"/>
  <c r="W209" i="1"/>
  <c r="DQ209" i="1" s="1"/>
  <c r="ES209" i="1" s="1"/>
  <c r="CM94" i="1"/>
  <c r="AH189" i="1"/>
  <c r="AH76" i="58"/>
  <c r="AG16" i="1"/>
  <c r="AJ75" i="58"/>
  <c r="AJ126" i="1"/>
  <c r="CI136" i="1"/>
  <c r="AF210" i="1"/>
  <c r="CI166" i="1"/>
  <c r="S40" i="1"/>
  <c r="BI40" i="1" s="1"/>
  <c r="BW40" i="1" s="1"/>
  <c r="CN146" i="1"/>
  <c r="CK65" i="1"/>
  <c r="Q166" i="1"/>
  <c r="BG166" i="1" s="1"/>
  <c r="BU166" i="1" s="1"/>
  <c r="AJ185" i="1"/>
  <c r="V143" i="1"/>
  <c r="BL143" i="1" s="1"/>
  <c r="BZ143" i="1" s="1"/>
  <c r="AE79" i="1"/>
  <c r="CN116" i="1"/>
  <c r="DY22" i="8"/>
  <c r="S15" i="1"/>
  <c r="BI15" i="1" s="1"/>
  <c r="BW15" i="1" s="1"/>
  <c r="CK52" i="1"/>
  <c r="CN128" i="1"/>
  <c r="CN180" i="1"/>
  <c r="S13" i="1"/>
  <c r="DM13" i="1" s="1"/>
  <c r="O49" i="36" s="1"/>
  <c r="P8" i="36"/>
  <c r="AJ118" i="1"/>
  <c r="X138" i="1"/>
  <c r="BN138" i="1" s="1"/>
  <c r="CB138" i="1" s="1"/>
  <c r="AJ146" i="1"/>
  <c r="V216" i="1"/>
  <c r="BL216" i="1" s="1"/>
  <c r="BZ216" i="1" s="1"/>
  <c r="CA57" i="8"/>
  <c r="AJ11" i="48"/>
  <c r="CN118" i="1"/>
  <c r="CN130" i="1"/>
  <c r="T26" i="1"/>
  <c r="DN26" i="1" s="1"/>
  <c r="EP26" i="1" s="1"/>
  <c r="T17" i="1"/>
  <c r="DN17" i="1" s="1"/>
  <c r="EP17" i="1" s="1"/>
  <c r="AK76" i="58"/>
  <c r="CN216" i="1"/>
  <c r="V88" i="1"/>
  <c r="DP88" i="1" s="1"/>
  <c r="ER88" i="1" s="1"/>
  <c r="AF74" i="1"/>
  <c r="EO62" i="1"/>
  <c r="EO73" i="1"/>
  <c r="X83" i="1"/>
  <c r="DR83" i="1" s="1"/>
  <c r="ET83" i="1" s="1"/>
  <c r="CO150" i="1"/>
  <c r="AJ119" i="1"/>
  <c r="CN117" i="1"/>
  <c r="V221" i="1"/>
  <c r="DP221" i="1" s="1"/>
  <c r="ER221" i="1" s="1"/>
  <c r="CK67" i="1"/>
  <c r="R91" i="1"/>
  <c r="DL91" i="1" s="1"/>
  <c r="DV222" i="1"/>
  <c r="AE18" i="1"/>
  <c r="CK70" i="1"/>
  <c r="AG47" i="1"/>
  <c r="Q6" i="36"/>
  <c r="BY1" i="8"/>
  <c r="S45" i="1"/>
  <c r="DM45" i="1" s="1"/>
  <c r="EO45" i="1" s="1"/>
  <c r="J76" i="36"/>
  <c r="P13" i="36"/>
  <c r="Q76" i="1"/>
  <c r="BG76" i="1" s="1"/>
  <c r="BU76" i="1" s="1"/>
  <c r="P10" i="36"/>
  <c r="CL11" i="1"/>
  <c r="ES161" i="1"/>
  <c r="CL55" i="1"/>
  <c r="T35" i="1"/>
  <c r="BJ35" i="1" s="1"/>
  <c r="BX35" i="1" s="1"/>
  <c r="R69" i="36"/>
  <c r="T50" i="1"/>
  <c r="DN50" i="1" s="1"/>
  <c r="EP50" i="1" s="1"/>
  <c r="W116" i="1"/>
  <c r="DQ116" i="1" s="1"/>
  <c r="ES116" i="1" s="1"/>
  <c r="CO135" i="1"/>
  <c r="S14" i="36"/>
  <c r="AK130" i="1"/>
  <c r="AH40" i="1"/>
  <c r="BJ40" i="1" s="1"/>
  <c r="BX40" i="1" s="1"/>
  <c r="R92" i="36"/>
  <c r="CI24" i="1"/>
  <c r="T60" i="1"/>
  <c r="DN60" i="1" s="1"/>
  <c r="EP60" i="1" s="1"/>
  <c r="CL24" i="1"/>
  <c r="T55" i="1"/>
  <c r="DN55" i="1" s="1"/>
  <c r="EP55" i="1" s="1"/>
  <c r="CL67" i="1"/>
  <c r="CL42" i="1"/>
  <c r="AF37" i="1"/>
  <c r="AH86" i="1"/>
  <c r="AP109" i="48"/>
  <c r="DZ41" i="8"/>
  <c r="AQ111" i="48"/>
  <c r="Q24" i="36"/>
  <c r="CM184" i="1"/>
  <c r="CL159" i="1"/>
  <c r="EP63" i="1"/>
  <c r="CL179" i="1"/>
  <c r="EQ63" i="1"/>
  <c r="ED115" i="1"/>
  <c r="P71" i="36"/>
  <c r="AN119" i="48"/>
  <c r="CJ55" i="1"/>
  <c r="AH159" i="1"/>
  <c r="CI74" i="1"/>
  <c r="Q71" i="1"/>
  <c r="BG71" i="1" s="1"/>
  <c r="BU71" i="1" s="1"/>
  <c r="T148" i="1"/>
  <c r="BJ148" i="1" s="1"/>
  <c r="BX148" i="1" s="1"/>
  <c r="T174" i="1"/>
  <c r="DN174" i="1" s="1"/>
  <c r="EP174" i="1" s="1"/>
  <c r="DL65" i="1"/>
  <c r="EN65" i="1" s="1"/>
  <c r="U144" i="1"/>
  <c r="DO144" i="1" s="1"/>
  <c r="EQ144" i="1" s="1"/>
  <c r="U221" i="1"/>
  <c r="DO221" i="1" s="1"/>
  <c r="EQ221" i="1" s="1"/>
  <c r="P17" i="36"/>
  <c r="AI132" i="1"/>
  <c r="Q74" i="1"/>
  <c r="DK74" i="1" s="1"/>
  <c r="V93" i="1"/>
  <c r="DP93" i="1" s="1"/>
  <c r="ER93" i="1" s="1"/>
  <c r="CM86" i="1"/>
  <c r="EO77" i="1"/>
  <c r="EP121" i="1"/>
  <c r="AH126" i="1"/>
  <c r="DN24" i="8"/>
  <c r="T176" i="1"/>
  <c r="BJ176" i="1" s="1"/>
  <c r="BX176" i="1" s="1"/>
  <c r="CM178" i="1"/>
  <c r="J223" i="35" s="1"/>
  <c r="U212" i="1"/>
  <c r="DO212" i="1" s="1"/>
  <c r="EQ212" i="1" s="1"/>
  <c r="AL87" i="1"/>
  <c r="S91" i="1"/>
  <c r="BI91" i="1" s="1"/>
  <c r="BW91" i="1" s="1"/>
  <c r="CM180" i="1"/>
  <c r="M20" i="36"/>
  <c r="G18" i="8"/>
  <c r="L47" i="8"/>
  <c r="DF47" i="8" s="1"/>
  <c r="EH47" i="8" s="1"/>
  <c r="CG84" i="1"/>
  <c r="CF66" i="1"/>
  <c r="CK194" i="1"/>
  <c r="CH87" i="1"/>
  <c r="AD126" i="1"/>
  <c r="H43" i="8"/>
  <c r="AX43" i="8" s="1"/>
  <c r="BL43" i="8" s="1"/>
  <c r="AB49" i="8"/>
  <c r="V27" i="8"/>
  <c r="P227" i="1"/>
  <c r="DJ227" i="1" s="1"/>
  <c r="W196" i="1"/>
  <c r="DQ196" i="1" s="1"/>
  <c r="ES196" i="1" s="1"/>
  <c r="S194" i="1"/>
  <c r="DM194" i="1" s="1"/>
  <c r="EO194" i="1" s="1"/>
  <c r="AC224" i="1"/>
  <c r="CH126" i="1"/>
  <c r="AA13" i="44"/>
  <c r="N49" i="8"/>
  <c r="L18" i="8"/>
  <c r="DF18" i="8" s="1"/>
  <c r="EH18" i="8" s="1"/>
  <c r="CF11" i="1"/>
  <c r="AD12" i="8"/>
  <c r="CF140" i="1"/>
  <c r="N14" i="8"/>
  <c r="DH14" i="8" s="1"/>
  <c r="EJ14" i="8" s="1"/>
  <c r="J13" i="44" s="1"/>
  <c r="I18" i="8"/>
  <c r="DC18" i="8" s="1"/>
  <c r="Y58" i="8"/>
  <c r="I35" i="8"/>
  <c r="DC35" i="8" s="1"/>
  <c r="CG125" i="1"/>
  <c r="AC62" i="1"/>
  <c r="AD174" i="1"/>
  <c r="AC159" i="1"/>
  <c r="AA10" i="1"/>
  <c r="AB82" i="1"/>
  <c r="W60" i="8"/>
  <c r="CF121" i="1"/>
  <c r="CG224" i="1"/>
  <c r="CH144" i="1"/>
  <c r="EJ82" i="1"/>
  <c r="Z58" i="8"/>
  <c r="AK22" i="1"/>
  <c r="CR141" i="1"/>
  <c r="U31" i="8"/>
  <c r="U50" i="8"/>
  <c r="CM29" i="8"/>
  <c r="L11" i="36"/>
  <c r="CV115" i="1"/>
  <c r="O125" i="1"/>
  <c r="BE125" i="1" s="1"/>
  <c r="BS125" i="1" s="1"/>
  <c r="O62" i="1"/>
  <c r="DI62" i="1" s="1"/>
  <c r="P174" i="1"/>
  <c r="DJ174" i="1" s="1"/>
  <c r="CF60" i="1"/>
  <c r="CH64" i="1"/>
  <c r="AD144" i="1"/>
  <c r="AB37" i="8"/>
  <c r="Y39" i="8"/>
  <c r="CO9" i="1"/>
  <c r="CI119" i="1"/>
  <c r="AJ70" i="1"/>
  <c r="CL43" i="8"/>
  <c r="AE44" i="8"/>
  <c r="Q7" i="8"/>
  <c r="BG7" i="8" s="1"/>
  <c r="BU7" i="8" s="1"/>
  <c r="O42" i="8"/>
  <c r="BE42" i="8" s="1"/>
  <c r="BS42" i="8" s="1"/>
  <c r="H27" i="8"/>
  <c r="DB27" i="8" s="1"/>
  <c r="U18" i="8"/>
  <c r="L12" i="36"/>
  <c r="AD215" i="1"/>
  <c r="CH190" i="1"/>
  <c r="AA208" i="1"/>
  <c r="CF39" i="1"/>
  <c r="CC9" i="8"/>
  <c r="EK19" i="1"/>
  <c r="CL58" i="8"/>
  <c r="CA56" i="8"/>
  <c r="Z33" i="8"/>
  <c r="K27" i="8"/>
  <c r="DE27" i="8" s="1"/>
  <c r="EG27" i="8" s="1"/>
  <c r="AE80" i="1"/>
  <c r="CT22" i="8"/>
  <c r="AI18" i="48"/>
  <c r="P215" i="1"/>
  <c r="P190" i="1"/>
  <c r="BF190" i="1" s="1"/>
  <c r="BT190" i="1" s="1"/>
  <c r="AB167" i="1"/>
  <c r="CE138" i="1"/>
  <c r="CE164" i="1"/>
  <c r="AA138" i="1"/>
  <c r="AI22" i="48"/>
  <c r="V43" i="8"/>
  <c r="AB63" i="8"/>
  <c r="G50" i="8"/>
  <c r="AW50" i="8" s="1"/>
  <c r="BK50" i="8" s="1"/>
  <c r="AC14" i="1"/>
  <c r="AE35" i="8"/>
  <c r="CH21" i="1"/>
  <c r="AD64" i="1"/>
  <c r="I60" i="8"/>
  <c r="DC60" i="8" s="1"/>
  <c r="Q44" i="8"/>
  <c r="BG44" i="8" s="1"/>
  <c r="BU44" i="8" s="1"/>
  <c r="G69" i="8"/>
  <c r="DA69" i="8" s="1"/>
  <c r="EC69" i="8" s="1"/>
  <c r="AK20" i="1"/>
  <c r="K39" i="8"/>
  <c r="DE39" i="8" s="1"/>
  <c r="AI7" i="48"/>
  <c r="W203" i="1"/>
  <c r="DQ203" i="1" s="1"/>
  <c r="ES203" i="1" s="1"/>
  <c r="AC42" i="1"/>
  <c r="AA184" i="1"/>
  <c r="AD45" i="1"/>
  <c r="AB39" i="1"/>
  <c r="BD39" i="1" s="1"/>
  <c r="BR39" i="1" s="1"/>
  <c r="AE7" i="8"/>
  <c r="AA59" i="1"/>
  <c r="CW173" i="1"/>
  <c r="CO55" i="1"/>
  <c r="CU41" i="8"/>
  <c r="CL39" i="8"/>
  <c r="Q187" i="1"/>
  <c r="DK187" i="1" s="1"/>
  <c r="K12" i="36"/>
  <c r="AD87" i="1"/>
  <c r="AA204" i="1"/>
  <c r="CE208" i="1"/>
  <c r="AB60" i="1"/>
  <c r="BD60" i="1" s="1"/>
  <c r="BR60" i="1" s="1"/>
  <c r="N26" i="8"/>
  <c r="J45" i="8"/>
  <c r="DD45" i="8" s="1"/>
  <c r="CH24" i="1"/>
  <c r="S8" i="36"/>
  <c r="AE131" i="1"/>
  <c r="BG131" i="1" s="1"/>
  <c r="BU131" i="1" s="1"/>
  <c r="AH166" i="1"/>
  <c r="AF192" i="1"/>
  <c r="AI191" i="1"/>
  <c r="CL10" i="8"/>
  <c r="E12" i="22" s="1"/>
  <c r="CM68" i="8"/>
  <c r="CL62" i="8"/>
  <c r="CL12" i="8"/>
  <c r="P11" i="44" s="1"/>
  <c r="CI80" i="1"/>
  <c r="CK200" i="1"/>
  <c r="AB66" i="1"/>
  <c r="BD66" i="1" s="1"/>
  <c r="BR66" i="1" s="1"/>
  <c r="AH14" i="48"/>
  <c r="AB206" i="1"/>
  <c r="CF206" i="1"/>
  <c r="P12" i="8"/>
  <c r="BF12" i="8" s="1"/>
  <c r="BT12" i="8" s="1"/>
  <c r="BN191" i="1"/>
  <c r="CB191" i="1" s="1"/>
  <c r="BG70" i="8"/>
  <c r="BU70" i="8" s="1"/>
  <c r="DM188" i="1"/>
  <c r="EO188" i="1" s="1"/>
  <c r="AP13" i="48"/>
  <c r="AF206" i="1"/>
  <c r="CO24" i="1"/>
  <c r="CN67" i="1"/>
  <c r="AI183" i="1"/>
  <c r="DX59" i="8"/>
  <c r="DZ222" i="1"/>
  <c r="AO104" i="48"/>
  <c r="DN14" i="8"/>
  <c r="DN23" i="8"/>
  <c r="DO59" i="8"/>
  <c r="AI75" i="58"/>
  <c r="AG116" i="48"/>
  <c r="CO50" i="1"/>
  <c r="DS34" i="8"/>
  <c r="CP93" i="1"/>
  <c r="AH130" i="1"/>
  <c r="CO186" i="1"/>
  <c r="W9" i="1"/>
  <c r="BM9" i="1" s="1"/>
  <c r="CA9" i="1" s="1"/>
  <c r="DF54" i="8"/>
  <c r="EH54" i="8" s="1"/>
  <c r="W17" i="1"/>
  <c r="DQ17" i="1" s="1"/>
  <c r="ES17" i="1" s="1"/>
  <c r="AH144" i="1"/>
  <c r="DT138" i="1"/>
  <c r="CN19" i="1"/>
  <c r="CN12" i="1"/>
  <c r="X224" i="1"/>
  <c r="BN224" i="1" s="1"/>
  <c r="CB224" i="1" s="1"/>
  <c r="CP179" i="1"/>
  <c r="EP49" i="1"/>
  <c r="S119" i="1"/>
  <c r="CP181" i="1"/>
  <c r="S164" i="1"/>
  <c r="V31" i="1"/>
  <c r="DP31" i="1" s="1"/>
  <c r="ER31" i="1" s="1"/>
  <c r="CK164" i="1"/>
  <c r="AJ21" i="1"/>
  <c r="BK172" i="1"/>
  <c r="BY172" i="1" s="1"/>
  <c r="AE138" i="1"/>
  <c r="X145" i="1"/>
  <c r="BN145" i="1" s="1"/>
  <c r="CB145" i="1" s="1"/>
  <c r="U218" i="1"/>
  <c r="BK218" i="1" s="1"/>
  <c r="BY218" i="1" s="1"/>
  <c r="CN64" i="1"/>
  <c r="DR125" i="1"/>
  <c r="ET125" i="1" s="1"/>
  <c r="CX51" i="8"/>
  <c r="DM182" i="1"/>
  <c r="EO182" i="1" s="1"/>
  <c r="AH146" i="1"/>
  <c r="AJ92" i="1"/>
  <c r="EI79" i="1"/>
  <c r="EM55" i="1"/>
  <c r="AG182" i="1"/>
  <c r="R77" i="1"/>
  <c r="DL77" i="1" s="1"/>
  <c r="EN77" i="1" s="1"/>
  <c r="CP185" i="1"/>
  <c r="T210" i="1"/>
  <c r="DN210" i="1" s="1"/>
  <c r="EP210" i="1" s="1"/>
  <c r="CJ82" i="1"/>
  <c r="S121" i="1"/>
  <c r="DM121" i="1" s="1"/>
  <c r="EO121" i="1" s="1"/>
  <c r="CR73" i="1"/>
  <c r="CL118" i="1"/>
  <c r="AL117" i="1"/>
  <c r="CP210" i="1"/>
  <c r="V12" i="1"/>
  <c r="DP12" i="1" s="1"/>
  <c r="ER12" i="1" s="1"/>
  <c r="Z239" i="2"/>
  <c r="S87" i="1"/>
  <c r="BI87" i="1" s="1"/>
  <c r="BW87" i="1" s="1"/>
  <c r="CN21" i="1"/>
  <c r="H34" i="8"/>
  <c r="DB34" i="8" s="1"/>
  <c r="DR223" i="1"/>
  <c r="ET223" i="1" s="1"/>
  <c r="X148" i="1"/>
  <c r="DR148" i="1" s="1"/>
  <c r="ET148" i="1" s="1"/>
  <c r="CM138" i="1"/>
  <c r="AF82" i="1"/>
  <c r="DR117" i="1"/>
  <c r="ET117" i="1" s="1"/>
  <c r="CK174" i="1"/>
  <c r="DP82" i="1"/>
  <c r="ER82" i="1" s="1"/>
  <c r="DP46" i="1"/>
  <c r="ER46" i="1" s="1"/>
  <c r="AL161" i="1"/>
  <c r="CP176" i="1"/>
  <c r="AJ114" i="1"/>
  <c r="CP125" i="1"/>
  <c r="AN164" i="48"/>
  <c r="W9" i="8"/>
  <c r="X181" i="1"/>
  <c r="BN181" i="1" s="1"/>
  <c r="CB181" i="1" s="1"/>
  <c r="AI66" i="1"/>
  <c r="AK11" i="1"/>
  <c r="DT134" i="1"/>
  <c r="W26" i="1"/>
  <c r="DQ26" i="1" s="1"/>
  <c r="CL54" i="8"/>
  <c r="CO65" i="1"/>
  <c r="CI176" i="1"/>
  <c r="V53" i="8"/>
  <c r="AX53" i="8" s="1"/>
  <c r="BL53" i="8" s="1"/>
  <c r="CO40" i="1"/>
  <c r="DT14" i="1"/>
  <c r="EC127" i="1"/>
  <c r="CR163" i="1"/>
  <c r="BM35" i="1"/>
  <c r="CA35" i="1" s="1"/>
  <c r="CI137" i="1"/>
  <c r="W11" i="1"/>
  <c r="BM11" i="1" s="1"/>
  <c r="CA11" i="1" s="1"/>
  <c r="AG75" i="1"/>
  <c r="ES135" i="1"/>
  <c r="DT73" i="1"/>
  <c r="AI76" i="58"/>
  <c r="ET95" i="1"/>
  <c r="AJ18" i="1"/>
  <c r="S10" i="36"/>
  <c r="R11" i="36"/>
  <c r="AE31" i="1"/>
  <c r="S7" i="36"/>
  <c r="AE7" i="1"/>
  <c r="EB207" i="1"/>
  <c r="M69" i="36"/>
  <c r="DT82" i="1"/>
  <c r="DY29" i="8"/>
  <c r="S176" i="1"/>
  <c r="BI176" i="1" s="1"/>
  <c r="BW176" i="1" s="1"/>
  <c r="AJ79" i="1"/>
  <c r="AK45" i="1"/>
  <c r="CK176" i="1"/>
  <c r="AJ6" i="1"/>
  <c r="AL119" i="1"/>
  <c r="CM116" i="1"/>
  <c r="U175" i="1"/>
  <c r="U122" i="1"/>
  <c r="DO122" i="1" s="1"/>
  <c r="Q57" i="36" s="1"/>
  <c r="Q105" i="36" s="1"/>
  <c r="S57" i="1"/>
  <c r="BI57" i="1" s="1"/>
  <c r="BW57" i="1" s="1"/>
  <c r="CM135" i="1"/>
  <c r="CJ134" i="1"/>
  <c r="DA207" i="1"/>
  <c r="AJ78" i="58"/>
  <c r="CP186" i="1"/>
  <c r="AI158" i="1"/>
  <c r="X93" i="1"/>
  <c r="DR93" i="1" s="1"/>
  <c r="ET93" i="1" s="1"/>
  <c r="U54" i="8"/>
  <c r="CM221" i="1"/>
  <c r="U149" i="1"/>
  <c r="BK149" i="1" s="1"/>
  <c r="BY149" i="1" s="1"/>
  <c r="S150" i="1"/>
  <c r="DM150" i="1" s="1"/>
  <c r="EO150" i="1" s="1"/>
  <c r="U132" i="1"/>
  <c r="DO132" i="1" s="1"/>
  <c r="EQ132" i="1" s="1"/>
  <c r="AI63" i="1"/>
  <c r="AI175" i="1"/>
  <c r="S60" i="1"/>
  <c r="BI60" i="1" s="1"/>
  <c r="BW60" i="1" s="1"/>
  <c r="CK55" i="1"/>
  <c r="S224" i="1"/>
  <c r="DM224" i="1" s="1"/>
  <c r="CR51" i="8"/>
  <c r="AG45" i="1"/>
  <c r="CY222" i="1"/>
  <c r="AD55" i="8"/>
  <c r="AK78" i="58"/>
  <c r="AJ91" i="1"/>
  <c r="AF223" i="1"/>
  <c r="CN6" i="1"/>
  <c r="CM144" i="1"/>
  <c r="U130" i="1"/>
  <c r="AE64" i="1"/>
  <c r="EF5" i="1"/>
  <c r="AL182" i="1"/>
  <c r="Z54" i="8"/>
  <c r="K55" i="8"/>
  <c r="DE55" i="8" s="1"/>
  <c r="CK134" i="1"/>
  <c r="AJ19" i="1"/>
  <c r="AL131" i="1"/>
  <c r="AO119" i="48"/>
  <c r="AK116" i="48"/>
  <c r="BG10" i="1"/>
  <c r="BU10" i="1" s="1"/>
  <c r="BG51" i="1"/>
  <c r="BU51" i="1" s="1"/>
  <c r="CI23" i="1"/>
  <c r="CI46" i="1"/>
  <c r="W146" i="1"/>
  <c r="DQ146" i="1" s="1"/>
  <c r="ES146" i="1" s="1"/>
  <c r="CM32" i="1"/>
  <c r="AK86" i="1"/>
  <c r="CM60" i="1"/>
  <c r="CI64" i="1"/>
  <c r="DC115" i="1"/>
  <c r="AK52" i="1"/>
  <c r="R21" i="36"/>
  <c r="DU42" i="1"/>
  <c r="EI42" i="1" s="1"/>
  <c r="DT132" i="1"/>
  <c r="CM17" i="1"/>
  <c r="Q78" i="1"/>
  <c r="DK78" i="1" s="1"/>
  <c r="CM65" i="1"/>
  <c r="EJ55" i="8"/>
  <c r="CJ131" i="1"/>
  <c r="O12" i="36"/>
  <c r="R214" i="1"/>
  <c r="BH214" i="1" s="1"/>
  <c r="BV214" i="1" s="1"/>
  <c r="W40" i="1"/>
  <c r="BM40" i="1" s="1"/>
  <c r="CA40" i="1" s="1"/>
  <c r="CX207" i="1"/>
  <c r="CH55" i="8"/>
  <c r="Q176" i="1"/>
  <c r="BG176" i="1" s="1"/>
  <c r="BU176" i="1" s="1"/>
  <c r="CJ214" i="1"/>
  <c r="ED5" i="1"/>
  <c r="W32" i="1"/>
  <c r="BM32" i="1" s="1"/>
  <c r="CA32" i="1" s="1"/>
  <c r="AK164" i="48"/>
  <c r="DT38" i="1"/>
  <c r="AK138" i="1"/>
  <c r="EM15" i="1"/>
  <c r="AP10" i="48"/>
  <c r="U158" i="1"/>
  <c r="DO158" i="1" s="1"/>
  <c r="EQ158" i="1" s="1"/>
  <c r="AI128" i="1"/>
  <c r="BK128" i="1" s="1"/>
  <c r="BY128" i="1" s="1"/>
  <c r="AG40" i="1"/>
  <c r="AE91" i="1"/>
  <c r="W60" i="1"/>
  <c r="DQ60" i="1" s="1"/>
  <c r="ES60" i="1" s="1"/>
  <c r="Q7" i="1"/>
  <c r="BG7" i="1" s="1"/>
  <c r="BU7" i="1" s="1"/>
  <c r="CJ145" i="1"/>
  <c r="DM78" i="1"/>
  <c r="EO78" i="1" s="1"/>
  <c r="W45" i="1"/>
  <c r="DQ45" i="1" s="1"/>
  <c r="ES45" i="1" s="1"/>
  <c r="AE175" i="1"/>
  <c r="BG175" i="1" s="1"/>
  <c r="BU175" i="1" s="1"/>
  <c r="DM61" i="1"/>
  <c r="EO61" i="1" s="1"/>
  <c r="DT10" i="1"/>
  <c r="DT81" i="1"/>
  <c r="DW59" i="8"/>
  <c r="AP16" i="48"/>
  <c r="O20" i="36"/>
  <c r="CO26" i="1"/>
  <c r="AB55" i="8"/>
  <c r="BD55" i="8" s="1"/>
  <c r="BR55" i="8" s="1"/>
  <c r="CJ91" i="1"/>
  <c r="S209" i="1"/>
  <c r="BI209" i="1" s="1"/>
  <c r="BW209" i="1" s="1"/>
  <c r="EN172" i="1"/>
  <c r="AJ65" i="1"/>
  <c r="CP57" i="1"/>
  <c r="R76" i="1"/>
  <c r="DL76" i="1" s="1"/>
  <c r="EN76" i="1" s="1"/>
  <c r="AF76" i="1"/>
  <c r="Z71" i="2"/>
  <c r="T20" i="36"/>
  <c r="X221" i="1"/>
  <c r="BN221" i="1" s="1"/>
  <c r="CB221" i="1" s="1"/>
  <c r="CN93" i="1"/>
  <c r="R84" i="1"/>
  <c r="BH84" i="1" s="1"/>
  <c r="BV84" i="1" s="1"/>
  <c r="EP95" i="1"/>
  <c r="W38" i="1"/>
  <c r="BM38" i="1" s="1"/>
  <c r="CA38" i="1" s="1"/>
  <c r="CX127" i="1"/>
  <c r="CN35" i="1"/>
  <c r="AJ67" i="1"/>
  <c r="CF55" i="8"/>
  <c r="AG166" i="1"/>
  <c r="CN150" i="1"/>
  <c r="CN68" i="1"/>
  <c r="BL67" i="1"/>
  <c r="BZ67" i="1" s="1"/>
  <c r="EO66" i="1"/>
  <c r="ER185" i="1"/>
  <c r="CR150" i="1"/>
  <c r="CO32" i="1"/>
  <c r="W24" i="1"/>
  <c r="DQ24" i="1" s="1"/>
  <c r="ES24" i="1" s="1"/>
  <c r="AG83" i="1"/>
  <c r="CO53" i="1"/>
  <c r="S12" i="36"/>
  <c r="AE126" i="1"/>
  <c r="P75" i="36"/>
  <c r="AK57" i="1"/>
  <c r="EP93" i="1"/>
  <c r="DW9" i="1"/>
  <c r="EK9" i="1" s="1"/>
  <c r="CI8" i="1"/>
  <c r="EN59" i="1"/>
  <c r="EC207" i="1"/>
  <c r="CD17" i="8"/>
  <c r="T61" i="1"/>
  <c r="DN61" i="1" s="1"/>
  <c r="EP61" i="1" s="1"/>
  <c r="DL134" i="1"/>
  <c r="EN134" i="1" s="1"/>
  <c r="CP150" i="1"/>
  <c r="AG116" i="1"/>
  <c r="DA157" i="1"/>
  <c r="AG215" i="1"/>
  <c r="AA76" i="58"/>
  <c r="BN95" i="1"/>
  <c r="CB95" i="1" s="1"/>
  <c r="R206" i="1"/>
  <c r="BH206" i="1" s="1"/>
  <c r="BV206" i="1" s="1"/>
  <c r="ES50" i="1"/>
  <c r="AK210" i="1"/>
  <c r="EK23" i="1"/>
  <c r="V166" i="1"/>
  <c r="BL166" i="1" s="1"/>
  <c r="BZ166" i="1" s="1"/>
  <c r="N19" i="36"/>
  <c r="AE34" i="1"/>
  <c r="BG34" i="1" s="1"/>
  <c r="BU34" i="1" s="1"/>
  <c r="S223" i="1"/>
  <c r="BI223" i="1" s="1"/>
  <c r="BW223" i="1" s="1"/>
  <c r="CV51" i="8"/>
  <c r="U139" i="1"/>
  <c r="DO139" i="1" s="1"/>
  <c r="AJ164" i="1"/>
  <c r="R77" i="36"/>
  <c r="DT145" i="1"/>
  <c r="V37" i="1"/>
  <c r="BL37" i="1" s="1"/>
  <c r="BZ37" i="1" s="1"/>
  <c r="CL53" i="8"/>
  <c r="AF134" i="1"/>
  <c r="AG223" i="1"/>
  <c r="DJ55" i="8"/>
  <c r="EL55" i="8" s="1"/>
  <c r="V186" i="1"/>
  <c r="BL186" i="1" s="1"/>
  <c r="BZ186" i="1" s="1"/>
  <c r="U18" i="1"/>
  <c r="BK18" i="1" s="1"/>
  <c r="BY18" i="1" s="1"/>
  <c r="EQ9" i="1"/>
  <c r="CE105" i="1"/>
  <c r="V75" i="1"/>
  <c r="DP75" i="1" s="1"/>
  <c r="ER75" i="1" s="1"/>
  <c r="EM60" i="1"/>
  <c r="ER62" i="1"/>
  <c r="DN37" i="8"/>
  <c r="AG78" i="58"/>
  <c r="AJ76" i="58"/>
  <c r="AL76" i="58"/>
  <c r="AQ18" i="48"/>
  <c r="X206" i="1"/>
  <c r="BN206" i="1" s="1"/>
  <c r="CB206" i="1" s="1"/>
  <c r="O24" i="36"/>
  <c r="AF21" i="1"/>
  <c r="CI59" i="1"/>
  <c r="CK185" i="1"/>
  <c r="DR218" i="1"/>
  <c r="ET218" i="1" s="1"/>
  <c r="DT31" i="1"/>
  <c r="T84" i="1"/>
  <c r="DN84" i="1" s="1"/>
  <c r="EP84" i="1" s="1"/>
  <c r="CK215" i="1"/>
  <c r="DP48" i="1"/>
  <c r="ER48" i="1" s="1"/>
  <c r="EO59" i="1"/>
  <c r="CR186" i="1"/>
  <c r="S179" i="1"/>
  <c r="S175" i="1"/>
  <c r="CP70" i="1"/>
  <c r="Q19" i="1"/>
  <c r="BG19" i="1" s="1"/>
  <c r="BU19" i="1" s="1"/>
  <c r="CK137" i="1"/>
  <c r="CP218" i="1"/>
  <c r="ER161" i="1"/>
  <c r="CK123" i="1"/>
  <c r="BL182" i="1"/>
  <c r="BZ182" i="1" s="1"/>
  <c r="AJ160" i="1"/>
  <c r="CN164" i="1"/>
  <c r="BI158" i="1"/>
  <c r="BW158" i="1" s="1"/>
  <c r="CO210" i="1"/>
  <c r="EI93" i="1"/>
  <c r="S123" i="1"/>
  <c r="DM123" i="1" s="1"/>
  <c r="EO123" i="1" s="1"/>
  <c r="CN182" i="1"/>
  <c r="BM210" i="1"/>
  <c r="CA210" i="1" s="1"/>
  <c r="V39" i="8"/>
  <c r="M11" i="36"/>
  <c r="CI49" i="1"/>
  <c r="AE8" i="1"/>
  <c r="Q49" i="1"/>
  <c r="DK49" i="1" s="1"/>
  <c r="S88" i="1"/>
  <c r="DM88" i="1" s="1"/>
  <c r="EO88" i="1" s="1"/>
  <c r="CK132" i="1"/>
  <c r="S208" i="1"/>
  <c r="DM208" i="1" s="1"/>
  <c r="EO208" i="1" s="1"/>
  <c r="CN37" i="1"/>
  <c r="AL67" i="1"/>
  <c r="Q50" i="1"/>
  <c r="DK50" i="1" s="1"/>
  <c r="EM50" i="1" s="1"/>
  <c r="M54" i="8"/>
  <c r="BC54" i="8" s="1"/>
  <c r="BQ54" i="8" s="1"/>
  <c r="T192" i="1"/>
  <c r="CR144" i="1"/>
  <c r="CK142" i="1"/>
  <c r="S162" i="1"/>
  <c r="DM162" i="1" s="1"/>
  <c r="R15" i="36"/>
  <c r="X172" i="1"/>
  <c r="BN172" i="1" s="1"/>
  <c r="CB172" i="1" s="1"/>
  <c r="CI93" i="1"/>
  <c r="CI150" i="1"/>
  <c r="CI206" i="1"/>
  <c r="AE23" i="1"/>
  <c r="BG23" i="1" s="1"/>
  <c r="BU23" i="1" s="1"/>
  <c r="CK214" i="1"/>
  <c r="CN145" i="1"/>
  <c r="AG68" i="1"/>
  <c r="AJ143" i="1"/>
  <c r="Q87" i="1"/>
  <c r="DK87" i="1" s="1"/>
  <c r="V224" i="1"/>
  <c r="DP224" i="1" s="1"/>
  <c r="ER224" i="1" s="1"/>
  <c r="CK109" i="1"/>
  <c r="AC90" i="1"/>
  <c r="AG109" i="1"/>
  <c r="BI109" i="1" s="1"/>
  <c r="BW109" i="1" s="1"/>
  <c r="AO15" i="48"/>
  <c r="BG60" i="1"/>
  <c r="BU60" i="1" s="1"/>
  <c r="AM18" i="48"/>
  <c r="T20" i="1"/>
  <c r="BJ20" i="1" s="1"/>
  <c r="BX20" i="1" s="1"/>
  <c r="CL20" i="1"/>
  <c r="Q11" i="1"/>
  <c r="DK11" i="1" s="1"/>
  <c r="EM11" i="1" s="1"/>
  <c r="AM110" i="48"/>
  <c r="AG175" i="1"/>
  <c r="CO48" i="1"/>
  <c r="AG158" i="1"/>
  <c r="AH60" i="1"/>
  <c r="X82" i="1"/>
  <c r="BN82" i="1" s="1"/>
  <c r="CB82" i="1" s="1"/>
  <c r="AJ135" i="1"/>
  <c r="CN186" i="1"/>
  <c r="V132" i="1"/>
  <c r="DP132" i="1" s="1"/>
  <c r="ER132" i="1" s="1"/>
  <c r="EP12" i="1"/>
  <c r="AG135" i="1"/>
  <c r="Q57" i="1"/>
  <c r="DK57" i="1" s="1"/>
  <c r="CR215" i="1"/>
  <c r="AH123" i="1"/>
  <c r="CN83" i="1"/>
  <c r="CK128" i="1"/>
  <c r="AK16" i="48"/>
  <c r="S144" i="1"/>
  <c r="BI144" i="1" s="1"/>
  <c r="BW144" i="1" s="1"/>
  <c r="CK35" i="1"/>
  <c r="AH132" i="1"/>
  <c r="CL162" i="1"/>
  <c r="CO182" i="1"/>
  <c r="DS22" i="8"/>
  <c r="AE55" i="1"/>
  <c r="DN128" i="1"/>
  <c r="EP128" i="1" s="1"/>
  <c r="T86" i="1"/>
  <c r="DN86" i="1" s="1"/>
  <c r="EP86" i="1" s="1"/>
  <c r="AH118" i="1"/>
  <c r="CO82" i="1"/>
  <c r="Q95" i="1"/>
  <c r="DK95" i="1" s="1"/>
  <c r="EM95" i="1" s="1"/>
  <c r="EQ128" i="1"/>
  <c r="DW137" i="1"/>
  <c r="EK137" i="1" s="1"/>
  <c r="EM25" i="1"/>
  <c r="BF76" i="1"/>
  <c r="BT76" i="1" s="1"/>
  <c r="CR118" i="1"/>
  <c r="EO46" i="1"/>
  <c r="AL161" i="48"/>
  <c r="V127" i="2"/>
  <c r="DW61" i="1"/>
  <c r="DT61" i="1" s="1"/>
  <c r="O88" i="36"/>
  <c r="P18" i="36"/>
  <c r="U51" i="1"/>
  <c r="DO51" i="1" s="1"/>
  <c r="EQ51" i="1" s="1"/>
  <c r="X52" i="1"/>
  <c r="DR52" i="1" s="1"/>
  <c r="ET52" i="1" s="1"/>
  <c r="U19" i="1"/>
  <c r="DO19" i="1" s="1"/>
  <c r="EQ19" i="1" s="1"/>
  <c r="AI8" i="58"/>
  <c r="CO117" i="1"/>
  <c r="EM8" i="1"/>
  <c r="K129" i="35"/>
  <c r="EJ153" i="1"/>
  <c r="BD75" i="1"/>
  <c r="BR75" i="1" s="1"/>
  <c r="DG119" i="1"/>
  <c r="EI119" i="1" s="1"/>
  <c r="DP125" i="1"/>
  <c r="ER125" i="1" s="1"/>
  <c r="BF10" i="1"/>
  <c r="BT10" i="1" s="1"/>
  <c r="DQ84" i="1"/>
  <c r="ES84" i="1" s="1"/>
  <c r="X272" i="2"/>
  <c r="AE59" i="1"/>
  <c r="BG59" i="1" s="1"/>
  <c r="BU59" i="1" s="1"/>
  <c r="P272" i="2"/>
  <c r="Q272" i="2" s="1"/>
  <c r="U272" i="2"/>
  <c r="V272" i="2" s="1"/>
  <c r="Y7" i="8"/>
  <c r="CJ102" i="1"/>
  <c r="CN103" i="1"/>
  <c r="CL133" i="1"/>
  <c r="S193" i="1"/>
  <c r="BI193" i="1" s="1"/>
  <c r="BW193" i="1" s="1"/>
  <c r="CI102" i="1"/>
  <c r="AJ151" i="1"/>
  <c r="X46" i="1"/>
  <c r="DR46" i="1" s="1"/>
  <c r="ET46" i="1" s="1"/>
  <c r="CJ216" i="1"/>
  <c r="CR148" i="1"/>
  <c r="CM37" i="1"/>
  <c r="N24" i="36"/>
  <c r="AE102" i="1"/>
  <c r="X133" i="1"/>
  <c r="DR133" i="1" s="1"/>
  <c r="ET133" i="1" s="1"/>
  <c r="AK193" i="1"/>
  <c r="AL46" i="1"/>
  <c r="AF216" i="1"/>
  <c r="BH216" i="1" s="1"/>
  <c r="BV216" i="1" s="1"/>
  <c r="AM15" i="48"/>
  <c r="X59" i="1"/>
  <c r="DR59" i="1" s="1"/>
  <c r="ET59" i="1" s="1"/>
  <c r="T83" i="1"/>
  <c r="BJ83" i="1" s="1"/>
  <c r="BX83" i="1" s="1"/>
  <c r="V151" i="1"/>
  <c r="BL151" i="1" s="1"/>
  <c r="BZ151" i="1" s="1"/>
  <c r="P171" i="1"/>
  <c r="DJ171" i="1" s="1"/>
  <c r="EL171" i="1" s="1"/>
  <c r="R174" i="1"/>
  <c r="BH174" i="1" s="1"/>
  <c r="BV174" i="1" s="1"/>
  <c r="DT19" i="1"/>
  <c r="CJ90" i="1"/>
  <c r="CD54" i="8"/>
  <c r="Q21" i="36"/>
  <c r="CL81" i="1"/>
  <c r="CK193" i="1"/>
  <c r="AH107" i="1"/>
  <c r="EC57" i="8"/>
  <c r="ES125" i="1"/>
  <c r="ES131" i="1"/>
  <c r="EQ94" i="1"/>
  <c r="AN161" i="48"/>
  <c r="EO167" i="1"/>
  <c r="T123" i="1"/>
  <c r="DN123" i="1" s="1"/>
  <c r="EP123" i="1" s="1"/>
  <c r="CL122" i="1"/>
  <c r="AH135" i="1"/>
  <c r="T211" i="1"/>
  <c r="R60" i="1"/>
  <c r="BH60" i="1" s="1"/>
  <c r="BV60" i="1" s="1"/>
  <c r="V77" i="1"/>
  <c r="DP77" i="1" s="1"/>
  <c r="ER77" i="1" s="1"/>
  <c r="BL83" i="1"/>
  <c r="BZ83" i="1" s="1"/>
  <c r="CJ60" i="1"/>
  <c r="T116" i="1"/>
  <c r="BJ116" i="1" s="1"/>
  <c r="BX116" i="1" s="1"/>
  <c r="CR83" i="1"/>
  <c r="AJ83" i="1"/>
  <c r="T158" i="1"/>
  <c r="DN158" i="1" s="1"/>
  <c r="EP158" i="1" s="1"/>
  <c r="DX29" i="8"/>
  <c r="R38" i="1"/>
  <c r="BH38" i="1" s="1"/>
  <c r="BV38" i="1" s="1"/>
  <c r="AM161" i="48"/>
  <c r="AM13" i="48"/>
  <c r="R24" i="36"/>
  <c r="Q10" i="36"/>
  <c r="ED35" i="8"/>
  <c r="EL184" i="1"/>
  <c r="EL117" i="1"/>
  <c r="EK182" i="1"/>
  <c r="EK162" i="1"/>
  <c r="EJ150" i="1"/>
  <c r="EI148" i="1"/>
  <c r="V65" i="2"/>
  <c r="CL52" i="1"/>
  <c r="S67" i="1"/>
  <c r="DM67" i="1" s="1"/>
  <c r="EO67" i="1" s="1"/>
  <c r="P9" i="36"/>
  <c r="CL9" i="1"/>
  <c r="T65" i="1"/>
  <c r="DN65" i="1" s="1"/>
  <c r="T22" i="36"/>
  <c r="CN158" i="1"/>
  <c r="P52" i="8"/>
  <c r="BF52" i="8" s="1"/>
  <c r="BT52" i="8" s="1"/>
  <c r="AJ158" i="1"/>
  <c r="X75" i="1"/>
  <c r="DR75" i="1" s="1"/>
  <c r="ET75" i="1" s="1"/>
  <c r="AH77" i="58"/>
  <c r="DX51" i="8"/>
  <c r="AL77" i="1"/>
  <c r="AO12" i="48"/>
  <c r="CL65" i="1"/>
  <c r="EO134" i="1"/>
  <c r="DX41" i="8"/>
  <c r="CL40" i="1"/>
  <c r="CL45" i="1"/>
  <c r="AJ11" i="58"/>
  <c r="DT22" i="1"/>
  <c r="DT79" i="1"/>
  <c r="CP75" i="1"/>
  <c r="ET81" i="1"/>
  <c r="BM125" i="1"/>
  <c r="CA125" i="1" s="1"/>
  <c r="BH73" i="1"/>
  <c r="BV73" i="1" s="1"/>
  <c r="BH160" i="1"/>
  <c r="BV160" i="1" s="1"/>
  <c r="BC178" i="1"/>
  <c r="BQ178" i="1" s="1"/>
  <c r="BE182" i="1"/>
  <c r="BS182" i="1" s="1"/>
  <c r="DL189" i="1"/>
  <c r="EN189" i="1" s="1"/>
  <c r="DA44" i="8"/>
  <c r="EC44" i="8" s="1"/>
  <c r="BM131" i="1"/>
  <c r="CA131" i="1" s="1"/>
  <c r="BK94" i="1"/>
  <c r="BY94" i="1" s="1"/>
  <c r="BC148" i="1"/>
  <c r="BQ148" i="1" s="1"/>
  <c r="DK202" i="1"/>
  <c r="EM202" i="1" s="1"/>
  <c r="DQ126" i="1"/>
  <c r="ES126" i="1" s="1"/>
  <c r="DG50" i="8"/>
  <c r="EI50" i="8" s="1"/>
  <c r="BE162" i="1"/>
  <c r="BS162" i="1" s="1"/>
  <c r="BF184" i="1"/>
  <c r="BT184" i="1" s="1"/>
  <c r="BI167" i="1"/>
  <c r="BW167" i="1" s="1"/>
  <c r="DE48" i="8"/>
  <c r="EG48" i="8" s="1"/>
  <c r="AX35" i="8"/>
  <c r="BL35" i="8" s="1"/>
  <c r="DJ45" i="8"/>
  <c r="EL45" i="8" s="1"/>
  <c r="BD150" i="1"/>
  <c r="BR150" i="1" s="1"/>
  <c r="DO41" i="1"/>
  <c r="EQ41" i="1" s="1"/>
  <c r="BF117" i="1"/>
  <c r="BT117" i="1" s="1"/>
  <c r="EI178" i="1"/>
  <c r="DO201" i="1"/>
  <c r="EQ201" i="1" s="1"/>
  <c r="Q56" i="1"/>
  <c r="DK56" i="1" s="1"/>
  <c r="EM56" i="1" s="1"/>
  <c r="AG129" i="1"/>
  <c r="BI129" i="1" s="1"/>
  <c r="BW129" i="1" s="1"/>
  <c r="AH84" i="1"/>
  <c r="CN183" i="1"/>
  <c r="CI44" i="1"/>
  <c r="X70" i="1"/>
  <c r="BN70" i="1" s="1"/>
  <c r="CB70" i="1" s="1"/>
  <c r="AE39" i="1"/>
  <c r="S159" i="1"/>
  <c r="BI159" i="1" s="1"/>
  <c r="BW159" i="1" s="1"/>
  <c r="DK21" i="1"/>
  <c r="EM21" i="1" s="1"/>
  <c r="AL35" i="1"/>
  <c r="AE56" i="1"/>
  <c r="CK129" i="1"/>
  <c r="AJ76" i="1"/>
  <c r="CI31" i="1"/>
  <c r="Q39" i="1"/>
  <c r="DK39" i="1" s="1"/>
  <c r="CR223" i="1"/>
  <c r="CL126" i="1"/>
  <c r="AG148" i="1"/>
  <c r="R19" i="36"/>
  <c r="X67" i="1"/>
  <c r="DR67" i="1" s="1"/>
  <c r="ET67" i="1" s="1"/>
  <c r="R223" i="1"/>
  <c r="DL223" i="1" s="1"/>
  <c r="EN223" i="1" s="1"/>
  <c r="V74" i="1"/>
  <c r="DP74" i="1" s="1"/>
  <c r="ER74" i="1" s="1"/>
  <c r="BI134" i="1"/>
  <c r="BW134" i="1" s="1"/>
  <c r="ET6" i="1"/>
  <c r="EN66" i="8"/>
  <c r="EI134" i="1"/>
  <c r="BM70" i="1"/>
  <c r="CA70" i="1" s="1"/>
  <c r="AE44" i="1"/>
  <c r="BG44" i="1" s="1"/>
  <c r="BU44" i="1" s="1"/>
  <c r="X50" i="1"/>
  <c r="BN50" i="1" s="1"/>
  <c r="CB50" i="1" s="1"/>
  <c r="N22" i="36"/>
  <c r="CI53" i="1"/>
  <c r="CY115" i="1"/>
  <c r="V76" i="1"/>
  <c r="DP76" i="1" s="1"/>
  <c r="ER76" i="1" s="1"/>
  <c r="AG185" i="1"/>
  <c r="AG137" i="1"/>
  <c r="BI137" i="1" s="1"/>
  <c r="BW137" i="1" s="1"/>
  <c r="EO191" i="1"/>
  <c r="AF161" i="48"/>
  <c r="EL217" i="1"/>
  <c r="EL71" i="1"/>
  <c r="CI36" i="1"/>
  <c r="O19" i="36"/>
  <c r="U166" i="1"/>
  <c r="BK166" i="1" s="1"/>
  <c r="BY166" i="1" s="1"/>
  <c r="AG88" i="1"/>
  <c r="AG134" i="1"/>
  <c r="AF53" i="1"/>
  <c r="AX12" i="8"/>
  <c r="BL12" i="8" s="1"/>
  <c r="CK126" i="1"/>
  <c r="BG25" i="1"/>
  <c r="BU25" i="1" s="1"/>
  <c r="CJ36" i="1"/>
  <c r="U76" i="1"/>
  <c r="DO76" i="1" s="1"/>
  <c r="EQ76" i="1" s="1"/>
  <c r="AE21" i="1"/>
  <c r="R51" i="1"/>
  <c r="BH51" i="1" s="1"/>
  <c r="BV51" i="1" s="1"/>
  <c r="P14" i="36"/>
  <c r="AI76" i="1"/>
  <c r="S181" i="1"/>
  <c r="DM181" i="1" s="1"/>
  <c r="EO181" i="1" s="1"/>
  <c r="CN51" i="8"/>
  <c r="N17" i="36"/>
  <c r="CY207" i="1"/>
  <c r="CM81" i="1"/>
  <c r="DK64" i="1"/>
  <c r="EM64" i="1" s="1"/>
  <c r="EQ176" i="1"/>
  <c r="DW51" i="8"/>
  <c r="AI78" i="58"/>
  <c r="EL60" i="1"/>
  <c r="EL11" i="1"/>
  <c r="EK184" i="1"/>
  <c r="EK164" i="1"/>
  <c r="EK57" i="1"/>
  <c r="W171" i="1"/>
  <c r="BM171" i="1" s="1"/>
  <c r="CA171" i="1" s="1"/>
  <c r="E19" i="51"/>
  <c r="H19" i="51" s="1"/>
  <c r="V224" i="2"/>
  <c r="S126" i="1"/>
  <c r="DM126" i="1" s="1"/>
  <c r="Q29" i="1"/>
  <c r="DK29" i="1" s="1"/>
  <c r="EM29" i="1" s="1"/>
  <c r="CI29" i="1"/>
  <c r="AF103" i="1"/>
  <c r="AH106" i="1"/>
  <c r="AD133" i="1"/>
  <c r="T106" i="1"/>
  <c r="DN106" i="1" s="1"/>
  <c r="EP106" i="1" s="1"/>
  <c r="AJ21" i="48"/>
  <c r="CH133" i="1"/>
  <c r="BN6" i="1"/>
  <c r="CB6" i="1" s="1"/>
  <c r="BJ95" i="1"/>
  <c r="BX95" i="1" s="1"/>
  <c r="BF221" i="1"/>
  <c r="BT221" i="1" s="1"/>
  <c r="DE70" i="8"/>
  <c r="DE68" i="8" s="1"/>
  <c r="DI41" i="1"/>
  <c r="EK41" i="1" s="1"/>
  <c r="BE8" i="8"/>
  <c r="BS8" i="8" s="1"/>
  <c r="DK136" i="1"/>
  <c r="EM136" i="1" s="1"/>
  <c r="DR111" i="1"/>
  <c r="ET111" i="1" s="1"/>
  <c r="BJ197" i="1"/>
  <c r="BX197" i="1" s="1"/>
  <c r="DI177" i="1"/>
  <c r="EK177" i="1" s="1"/>
  <c r="EK208" i="1"/>
  <c r="CK20" i="1"/>
  <c r="S35" i="1"/>
  <c r="DM35" i="1" s="1"/>
  <c r="EO35" i="1" s="1"/>
  <c r="U161" i="1"/>
  <c r="DO161" i="1" s="1"/>
  <c r="EQ161" i="1" s="1"/>
  <c r="CJ107" i="1"/>
  <c r="AZ26" i="8"/>
  <c r="BN26" i="8" s="1"/>
  <c r="S22" i="1"/>
  <c r="DM22" i="1" s="1"/>
  <c r="EO22" i="1" s="1"/>
  <c r="AN8" i="48"/>
  <c r="CK17" i="1"/>
  <c r="AG32" i="1"/>
  <c r="AG17" i="1"/>
  <c r="BI17" i="1" s="1"/>
  <c r="BW17" i="1" s="1"/>
  <c r="CN84" i="1"/>
  <c r="T109" i="1"/>
  <c r="CK15" i="1"/>
  <c r="AJ84" i="1"/>
  <c r="AI161" i="1"/>
  <c r="AL14" i="48"/>
  <c r="Y53" i="8"/>
  <c r="CK24" i="1"/>
  <c r="AI181" i="1"/>
  <c r="X79" i="1"/>
  <c r="DR79" i="1" s="1"/>
  <c r="ET79" i="1" s="1"/>
  <c r="CP103" i="1"/>
  <c r="AG11" i="1"/>
  <c r="AK61" i="1"/>
  <c r="AG9" i="1"/>
  <c r="BI9" i="1" s="1"/>
  <c r="BW9" i="1" s="1"/>
  <c r="DD127" i="1"/>
  <c r="AI148" i="1"/>
  <c r="AG22" i="1"/>
  <c r="ED12" i="8"/>
  <c r="D11" i="44" s="1"/>
  <c r="AL103" i="1"/>
  <c r="CK9" i="1"/>
  <c r="U216" i="1"/>
  <c r="CH102" i="1"/>
  <c r="AH109" i="1"/>
  <c r="AD102" i="1"/>
  <c r="AE10" i="58"/>
  <c r="AG59" i="1"/>
  <c r="U179" i="1"/>
  <c r="DO179" i="1" s="1"/>
  <c r="EQ179" i="1" s="1"/>
  <c r="CP79" i="1"/>
  <c r="U224" i="1"/>
  <c r="BK224" i="1" s="1"/>
  <c r="BY224" i="1" s="1"/>
  <c r="AL183" i="1"/>
  <c r="CM159" i="1"/>
  <c r="CM179" i="1"/>
  <c r="K138" i="35"/>
  <c r="AJ137" i="1"/>
  <c r="Z22" i="2"/>
  <c r="Q19" i="36"/>
  <c r="U214" i="1"/>
  <c r="BK214" i="1" s="1"/>
  <c r="BY214" i="1" s="1"/>
  <c r="Q210" i="1"/>
  <c r="DK210" i="1" s="1"/>
  <c r="EM210" i="1" s="1"/>
  <c r="CM143" i="1"/>
  <c r="AI214" i="1"/>
  <c r="X166" i="1"/>
  <c r="DR166" i="1" s="1"/>
  <c r="ET166" i="1" s="1"/>
  <c r="U159" i="1"/>
  <c r="BK159" i="1" s="1"/>
  <c r="BY159" i="1" s="1"/>
  <c r="CK114" i="1"/>
  <c r="AI80" i="1"/>
  <c r="AG56" i="1"/>
  <c r="S94" i="1"/>
  <c r="DM94" i="1" s="1"/>
  <c r="EO94" i="1" s="1"/>
  <c r="EQ75" i="1"/>
  <c r="AG46" i="1"/>
  <c r="CR64" i="1"/>
  <c r="CP18" i="1"/>
  <c r="U57" i="8"/>
  <c r="U181" i="1"/>
  <c r="BK181" i="1" s="1"/>
  <c r="BY181" i="1" s="1"/>
  <c r="CJ172" i="1"/>
  <c r="DT64" i="1"/>
  <c r="ES83" i="1"/>
  <c r="ET186" i="1"/>
  <c r="CK46" i="1"/>
  <c r="S10" i="1"/>
  <c r="BI10" i="1" s="1"/>
  <c r="BW10" i="1" s="1"/>
  <c r="CO81" i="1"/>
  <c r="CK92" i="1"/>
  <c r="S41" i="1"/>
  <c r="DM41" i="1" s="1"/>
  <c r="AL64" i="48" s="1"/>
  <c r="AG6" i="1"/>
  <c r="BI6" i="1" s="1"/>
  <c r="BW6" i="1" s="1"/>
  <c r="CK41" i="1"/>
  <c r="CR79" i="1"/>
  <c r="O11" i="36"/>
  <c r="DN40" i="8"/>
  <c r="EB40" i="8" s="1"/>
  <c r="AL37" i="1"/>
  <c r="W81" i="1"/>
  <c r="BM81" i="1" s="1"/>
  <c r="CA81" i="1" s="1"/>
  <c r="AI223" i="1"/>
  <c r="CI210" i="1"/>
  <c r="R217" i="1"/>
  <c r="BH217" i="1" s="1"/>
  <c r="BV217" i="1" s="1"/>
  <c r="CD43" i="8"/>
  <c r="AI7" i="58"/>
  <c r="AG39" i="1"/>
  <c r="EB157" i="1"/>
  <c r="AN10" i="48"/>
  <c r="Q20" i="36"/>
  <c r="X163" i="1"/>
  <c r="BN163" i="1" s="1"/>
  <c r="CB163" i="1" s="1"/>
  <c r="DA222" i="1"/>
  <c r="AF172" i="1"/>
  <c r="CE39" i="8"/>
  <c r="AI143" i="1"/>
  <c r="EO214" i="1"/>
  <c r="AL10" i="48"/>
  <c r="AL209" i="1"/>
  <c r="AI174" i="1"/>
  <c r="Q17" i="36"/>
  <c r="EN36" i="1"/>
  <c r="EK144" i="1"/>
  <c r="L92" i="36"/>
  <c r="BK176" i="1"/>
  <c r="BY176" i="1" s="1"/>
  <c r="DI58" i="8"/>
  <c r="EK58" i="8" s="1"/>
  <c r="BE117" i="1"/>
  <c r="BS117" i="1" s="1"/>
  <c r="DE66" i="8"/>
  <c r="EG66" i="8" s="1"/>
  <c r="BE164" i="1"/>
  <c r="BS164" i="1" s="1"/>
  <c r="DO125" i="1"/>
  <c r="EQ125" i="1" s="1"/>
  <c r="BF11" i="1"/>
  <c r="BT11" i="1" s="1"/>
  <c r="BH172" i="1"/>
  <c r="BV172" i="1" s="1"/>
  <c r="BE208" i="1"/>
  <c r="BS208" i="1" s="1"/>
  <c r="BE184" i="1"/>
  <c r="BS184" i="1" s="1"/>
  <c r="BK126" i="1"/>
  <c r="BY126" i="1" s="1"/>
  <c r="DI54" i="8"/>
  <c r="EK54" i="8" s="1"/>
  <c r="K68" i="8"/>
  <c r="AW57" i="8"/>
  <c r="BK57" i="8" s="1"/>
  <c r="BI39" i="1"/>
  <c r="BW39" i="1" s="1"/>
  <c r="DM92" i="1"/>
  <c r="EI125" i="1"/>
  <c r="U16" i="1"/>
  <c r="DO16" i="1" s="1"/>
  <c r="EQ16" i="1" s="1"/>
  <c r="AE83" i="1"/>
  <c r="CM146" i="1"/>
  <c r="I52" i="8"/>
  <c r="DC52" i="8" s="1"/>
  <c r="M53" i="8"/>
  <c r="DG53" i="8" s="1"/>
  <c r="CM8" i="1"/>
  <c r="CM44" i="1"/>
  <c r="CJ48" i="1"/>
  <c r="AG55" i="1"/>
  <c r="AI180" i="1"/>
  <c r="U34" i="1"/>
  <c r="DO34" i="1" s="1"/>
  <c r="EQ34" i="1" s="1"/>
  <c r="AG24" i="1"/>
  <c r="U118" i="1"/>
  <c r="BK118" i="1" s="1"/>
  <c r="BY118" i="1" s="1"/>
  <c r="Q11" i="36"/>
  <c r="AL13" i="48"/>
  <c r="AK125" i="1"/>
  <c r="AM19" i="48"/>
  <c r="AO106" i="48"/>
  <c r="CP109" i="1"/>
  <c r="EF13" i="8"/>
  <c r="F12" i="44" s="1"/>
  <c r="ED36" i="8"/>
  <c r="EL185" i="1"/>
  <c r="EL209" i="1"/>
  <c r="EL59" i="1"/>
  <c r="EL38" i="1"/>
  <c r="EK183" i="1"/>
  <c r="EK79" i="1"/>
  <c r="EI158" i="1"/>
  <c r="CN107" i="1"/>
  <c r="CF106" i="1"/>
  <c r="AN21" i="48"/>
  <c r="Q83" i="1"/>
  <c r="DK83" i="1" s="1"/>
  <c r="AI41" i="1"/>
  <c r="Q9" i="36"/>
  <c r="AI178" i="1"/>
  <c r="EM215" i="1"/>
  <c r="AC108" i="1"/>
  <c r="AI105" i="1"/>
  <c r="CM118" i="1"/>
  <c r="EN130" i="1"/>
  <c r="EO138" i="1"/>
  <c r="V107" i="1"/>
  <c r="BL107" i="1" s="1"/>
  <c r="BZ107" i="1" s="1"/>
  <c r="AL109" i="1"/>
  <c r="DN49" i="8"/>
  <c r="CM105" i="1"/>
  <c r="BF59" i="1"/>
  <c r="BT59" i="1" s="1"/>
  <c r="BI218" i="1"/>
  <c r="BW218" i="1" s="1"/>
  <c r="DE49" i="8"/>
  <c r="BE183" i="1"/>
  <c r="BS183" i="1" s="1"/>
  <c r="DQ137" i="1"/>
  <c r="ES137" i="1" s="1"/>
  <c r="BC158" i="1"/>
  <c r="BQ158" i="1" s="1"/>
  <c r="BL161" i="1"/>
  <c r="BZ161" i="1" s="1"/>
  <c r="DK121" i="1"/>
  <c r="EM121" i="1" s="1"/>
  <c r="BF58" i="8"/>
  <c r="BT58" i="8" s="1"/>
  <c r="BE79" i="1"/>
  <c r="BS79" i="1" s="1"/>
  <c r="BF185" i="1"/>
  <c r="BT185" i="1" s="1"/>
  <c r="AX36" i="8"/>
  <c r="BL36" i="8" s="1"/>
  <c r="DI156" i="1"/>
  <c r="EK156" i="1" s="1"/>
  <c r="AZ13" i="8"/>
  <c r="BN13" i="8" s="1"/>
  <c r="DP117" i="1"/>
  <c r="ER117" i="1" s="1"/>
  <c r="DG98" i="1"/>
  <c r="EI98" i="1" s="1"/>
  <c r="BN74" i="1"/>
  <c r="CB74" i="1" s="1"/>
  <c r="BB60" i="8"/>
  <c r="BP60" i="8" s="1"/>
  <c r="DI54" i="1"/>
  <c r="EK54" i="1" s="1"/>
  <c r="BN81" i="1"/>
  <c r="CB81" i="1" s="1"/>
  <c r="DK98" i="1"/>
  <c r="EM98" i="1" s="1"/>
  <c r="BF38" i="1"/>
  <c r="BT38" i="1" s="1"/>
  <c r="BF209" i="1"/>
  <c r="BT209" i="1" s="1"/>
  <c r="DP119" i="1"/>
  <c r="ER119" i="1" s="1"/>
  <c r="DJ54" i="8"/>
  <c r="EL54" i="8" s="1"/>
  <c r="BE170" i="1"/>
  <c r="BS170" i="1" s="1"/>
  <c r="AL65" i="48"/>
  <c r="BH66" i="8"/>
  <c r="CX222" i="1"/>
  <c r="CO121" i="1"/>
  <c r="EO26" i="1"/>
  <c r="EF70" i="8"/>
  <c r="ER91" i="1"/>
  <c r="EO227" i="1"/>
  <c r="EL94" i="1"/>
  <c r="EJ190" i="1"/>
  <c r="EJ144" i="1"/>
  <c r="EJ87" i="1"/>
  <c r="EJ64" i="1"/>
  <c r="EI224" i="1"/>
  <c r="EI188" i="1"/>
  <c r="EI24" i="1"/>
  <c r="CJ88" i="1"/>
  <c r="R159" i="1"/>
  <c r="BH159" i="1" s="1"/>
  <c r="BV159" i="1" s="1"/>
  <c r="CJ174" i="1"/>
  <c r="U79" i="1"/>
  <c r="DO79" i="1" s="1"/>
  <c r="EQ79" i="1" s="1"/>
  <c r="CM18" i="1"/>
  <c r="AF159" i="1"/>
  <c r="DL181" i="1"/>
  <c r="EN181" i="1" s="1"/>
  <c r="AL95" i="1"/>
  <c r="AK62" i="1"/>
  <c r="CX115" i="1"/>
  <c r="AF185" i="1"/>
  <c r="CJ179" i="1"/>
  <c r="CJ224" i="1"/>
  <c r="R224" i="1"/>
  <c r="DL224" i="1" s="1"/>
  <c r="X150" i="1"/>
  <c r="BN150" i="1" s="1"/>
  <c r="CB150" i="1" s="1"/>
  <c r="ES123" i="1"/>
  <c r="DF23" i="8"/>
  <c r="EH23" i="8" s="1"/>
  <c r="AF88" i="1"/>
  <c r="AL13" i="1"/>
  <c r="X42" i="1"/>
  <c r="BN42" i="1" s="1"/>
  <c r="CB42" i="1" s="1"/>
  <c r="CP13" i="1"/>
  <c r="X35" i="1"/>
  <c r="BN35" i="1" s="1"/>
  <c r="CB35" i="1" s="1"/>
  <c r="CN77" i="1"/>
  <c r="T135" i="1"/>
  <c r="DN135" i="1" s="1"/>
  <c r="EP135" i="1" s="1"/>
  <c r="CL158" i="1"/>
  <c r="AK164" i="1"/>
  <c r="AF176" i="1"/>
  <c r="O139" i="35"/>
  <c r="N12" i="36"/>
  <c r="CL76" i="1"/>
  <c r="U136" i="1"/>
  <c r="DO136" i="1" s="1"/>
  <c r="EQ136" i="1" s="1"/>
  <c r="EN31" i="1"/>
  <c r="AQ119" i="48"/>
  <c r="AL17" i="1"/>
  <c r="CJ45" i="1"/>
  <c r="CM136" i="1"/>
  <c r="X210" i="1"/>
  <c r="DR210" i="1" s="1"/>
  <c r="ET210" i="1" s="1"/>
  <c r="ES129" i="1"/>
  <c r="X15" i="1"/>
  <c r="BN15" i="1" s="1"/>
  <c r="CB15" i="1" s="1"/>
  <c r="T139" i="1"/>
  <c r="DN139" i="1" s="1"/>
  <c r="EP139" i="1" s="1"/>
  <c r="CM63" i="1"/>
  <c r="W164" i="1"/>
  <c r="BM164" i="1" s="1"/>
  <c r="CA164" i="1" s="1"/>
  <c r="X57" i="1"/>
  <c r="DR57" i="1" s="1"/>
  <c r="ET57" i="1" s="1"/>
  <c r="DG9" i="8"/>
  <c r="O114" i="22" s="1"/>
  <c r="G114" i="22" s="1"/>
  <c r="AL52" i="1"/>
  <c r="AQ10" i="48"/>
  <c r="T18" i="36"/>
  <c r="AH116" i="1"/>
  <c r="U183" i="1"/>
  <c r="DO183" i="1" s="1"/>
  <c r="EQ183" i="1" s="1"/>
  <c r="AF179" i="1"/>
  <c r="BH179" i="1" s="1"/>
  <c r="BV179" i="1" s="1"/>
  <c r="R145" i="1"/>
  <c r="DL145" i="1" s="1"/>
  <c r="EN145" i="1" s="1"/>
  <c r="AI209" i="1"/>
  <c r="CL175" i="1"/>
  <c r="BH176" i="1"/>
  <c r="BV176" i="1" s="1"/>
  <c r="AF148" i="1"/>
  <c r="EN144" i="1"/>
  <c r="EJ119" i="1"/>
  <c r="X13" i="1"/>
  <c r="DR13" i="1" s="1"/>
  <c r="ET13" i="1" s="1"/>
  <c r="CZ115" i="1"/>
  <c r="CL128" i="1"/>
  <c r="V255" i="2"/>
  <c r="CI10" i="1"/>
  <c r="AF60" i="48"/>
  <c r="EM12" i="8"/>
  <c r="M11" i="44" s="1"/>
  <c r="BC20" i="1"/>
  <c r="BQ20" i="1" s="1"/>
  <c r="DO140" i="1"/>
  <c r="EQ140" i="1" s="1"/>
  <c r="BC188" i="1"/>
  <c r="BQ188" i="1" s="1"/>
  <c r="BI65" i="1"/>
  <c r="BW65" i="1" s="1"/>
  <c r="BM83" i="1"/>
  <c r="CA83" i="1" s="1"/>
  <c r="DO184" i="1"/>
  <c r="EQ184" i="1" s="1"/>
  <c r="DI118" i="1"/>
  <c r="EK118" i="1" s="1"/>
  <c r="BI227" i="1"/>
  <c r="BW227" i="1" s="1"/>
  <c r="BN87" i="1"/>
  <c r="CB87" i="1" s="1"/>
  <c r="BD87" i="1"/>
  <c r="BR87" i="1" s="1"/>
  <c r="DP118" i="1"/>
  <c r="ER118" i="1" s="1"/>
  <c r="BI55" i="1"/>
  <c r="BW55" i="1" s="1"/>
  <c r="AZ70" i="8"/>
  <c r="BN70" i="8" s="1"/>
  <c r="DM203" i="1"/>
  <c r="EO203" i="1" s="1"/>
  <c r="BD190" i="1"/>
  <c r="BR190" i="1" s="1"/>
  <c r="DO91" i="1"/>
  <c r="EQ91" i="1" s="1"/>
  <c r="DM20" i="1"/>
  <c r="EO20" i="1" s="1"/>
  <c r="DQ195" i="1"/>
  <c r="ES195" i="1" s="1"/>
  <c r="DE23" i="8"/>
  <c r="EG23" i="8" s="1"/>
  <c r="AG70" i="48"/>
  <c r="BN186" i="1"/>
  <c r="CB186" i="1" s="1"/>
  <c r="BE35" i="8"/>
  <c r="BS35" i="8" s="1"/>
  <c r="DR98" i="1"/>
  <c r="ET98" i="1" s="1"/>
  <c r="BC24" i="1"/>
  <c r="BQ24" i="1" s="1"/>
  <c r="DM24" i="1"/>
  <c r="EO24" i="1" s="1"/>
  <c r="BI32" i="1"/>
  <c r="BW32" i="1" s="1"/>
  <c r="BJ30" i="1"/>
  <c r="BX30" i="1" s="1"/>
  <c r="BK180" i="1"/>
  <c r="BY180" i="1" s="1"/>
  <c r="EJ21" i="1"/>
  <c r="J92" i="36"/>
  <c r="EK77" i="1"/>
  <c r="V29" i="1"/>
  <c r="DP29" i="1" s="1"/>
  <c r="ER29" i="1" s="1"/>
  <c r="V41" i="1"/>
  <c r="BL41" i="1" s="1"/>
  <c r="BZ41" i="1" s="1"/>
  <c r="AL139" i="1"/>
  <c r="BL64" i="1"/>
  <c r="BZ64" i="1" s="1"/>
  <c r="EI122" i="1"/>
  <c r="X119" i="1"/>
  <c r="BN119" i="1" s="1"/>
  <c r="CB119" i="1" s="1"/>
  <c r="Q71" i="36"/>
  <c r="EC5" i="1"/>
  <c r="AH78" i="58"/>
  <c r="F62" i="6"/>
  <c r="AG9" i="58"/>
  <c r="EO39" i="1"/>
  <c r="AJ41" i="1"/>
  <c r="AJ49" i="1"/>
  <c r="CP126" i="1"/>
  <c r="X77" i="1"/>
  <c r="BN77" i="1" s="1"/>
  <c r="CB77" i="1" s="1"/>
  <c r="ES51" i="1"/>
  <c r="AG115" i="48"/>
  <c r="DN47" i="1"/>
  <c r="EP47" i="1" s="1"/>
  <c r="S70" i="1"/>
  <c r="BI70" i="1" s="1"/>
  <c r="BW70" i="1" s="1"/>
  <c r="EN52" i="1"/>
  <c r="BD64" i="1"/>
  <c r="BR64" i="1" s="1"/>
  <c r="I41" i="36"/>
  <c r="I89" i="36" s="1"/>
  <c r="BD144" i="1"/>
  <c r="BR144" i="1" s="1"/>
  <c r="BF94" i="1"/>
  <c r="BT94" i="1" s="1"/>
  <c r="BC224" i="1"/>
  <c r="BQ224" i="1" s="1"/>
  <c r="BC63" i="1"/>
  <c r="BQ63" i="1" s="1"/>
  <c r="BE77" i="1"/>
  <c r="BS77" i="1" s="1"/>
  <c r="BJ93" i="1"/>
  <c r="BX93" i="1" s="1"/>
  <c r="EI55" i="1"/>
  <c r="BK30" i="1"/>
  <c r="BY30" i="1" s="1"/>
  <c r="EI20" i="1"/>
  <c r="AX58" i="8"/>
  <c r="BL58" i="8" s="1"/>
  <c r="EK14" i="1"/>
  <c r="DO26" i="1"/>
  <c r="EQ26" i="1" s="1"/>
  <c r="DI200" i="1"/>
  <c r="EK200" i="1" s="1"/>
  <c r="BC125" i="1"/>
  <c r="BQ125" i="1" s="1"/>
  <c r="BD21" i="1"/>
  <c r="BR21" i="1" s="1"/>
  <c r="BC55" i="1"/>
  <c r="BQ55" i="1" s="1"/>
  <c r="EI63" i="1"/>
  <c r="U129" i="1"/>
  <c r="DO129" i="1" s="1"/>
  <c r="EQ129" i="1" s="1"/>
  <c r="AI131" i="1"/>
  <c r="S44" i="1"/>
  <c r="DM44" i="1" s="1"/>
  <c r="S16" i="1"/>
  <c r="BI16" i="1" s="1"/>
  <c r="BW16" i="1" s="1"/>
  <c r="CM119" i="1"/>
  <c r="CK79" i="1"/>
  <c r="W63" i="1"/>
  <c r="BM63" i="1" s="1"/>
  <c r="CA63" i="1" s="1"/>
  <c r="AI126" i="1"/>
  <c r="U171" i="1"/>
  <c r="BK171" i="1" s="1"/>
  <c r="BY171" i="1" s="1"/>
  <c r="AI171" i="1"/>
  <c r="CB53" i="8"/>
  <c r="DQ78" i="1"/>
  <c r="ES78" i="1" s="1"/>
  <c r="DN159" i="1"/>
  <c r="P50" i="36" s="1"/>
  <c r="BJ185" i="1"/>
  <c r="BX185" i="1" s="1"/>
  <c r="DQ183" i="1"/>
  <c r="ES183" i="1" s="1"/>
  <c r="CR37" i="1"/>
  <c r="W76" i="1"/>
  <c r="DQ76" i="1" s="1"/>
  <c r="ES76" i="1" s="1"/>
  <c r="S16" i="36"/>
  <c r="W42" i="1"/>
  <c r="BM42" i="1" s="1"/>
  <c r="CA42" i="1" s="1"/>
  <c r="V81" i="1"/>
  <c r="DP81" i="1" s="1"/>
  <c r="ER81" i="1" s="1"/>
  <c r="X142" i="1"/>
  <c r="DR142" i="1" s="1"/>
  <c r="ET142" i="1" s="1"/>
  <c r="O13" i="36"/>
  <c r="AF68" i="1"/>
  <c r="CL145" i="1"/>
  <c r="T224" i="1"/>
  <c r="BJ224" i="1" s="1"/>
  <c r="BX224" i="1" s="1"/>
  <c r="Q14" i="36"/>
  <c r="AH214" i="1"/>
  <c r="CR131" i="1"/>
  <c r="CK25" i="1"/>
  <c r="R68" i="1"/>
  <c r="BH68" i="1" s="1"/>
  <c r="BV68" i="1" s="1"/>
  <c r="X53" i="8"/>
  <c r="AZ53" i="8" s="1"/>
  <c r="BN53" i="8" s="1"/>
  <c r="CO63" i="1"/>
  <c r="DH54" i="8"/>
  <c r="EJ54" i="8" s="1"/>
  <c r="S25" i="1"/>
  <c r="DM25" i="1" s="1"/>
  <c r="AG34" i="1"/>
  <c r="AL22" i="48"/>
  <c r="V137" i="1"/>
  <c r="BL137" i="1" s="1"/>
  <c r="BZ137" i="1" s="1"/>
  <c r="BD50" i="1"/>
  <c r="BR50" i="1" s="1"/>
  <c r="CK44" i="1"/>
  <c r="AG19" i="1"/>
  <c r="CR134" i="1"/>
  <c r="W79" i="1"/>
  <c r="DQ79" i="1" s="1"/>
  <c r="ES79" i="1" s="1"/>
  <c r="W13" i="1"/>
  <c r="DQ13" i="1" s="1"/>
  <c r="AH185" i="1"/>
  <c r="AH145" i="1"/>
  <c r="AL15" i="48"/>
  <c r="AN111" i="48"/>
  <c r="CL223" i="1"/>
  <c r="AP11" i="48"/>
  <c r="CJ66" i="1"/>
  <c r="O9" i="36"/>
  <c r="CK56" i="1"/>
  <c r="CR185" i="1"/>
  <c r="S19" i="1"/>
  <c r="BI19" i="1" s="1"/>
  <c r="BW19" i="1" s="1"/>
  <c r="CO13" i="1"/>
  <c r="AM10" i="48"/>
  <c r="AK60" i="1"/>
  <c r="CL214" i="1"/>
  <c r="T161" i="1"/>
  <c r="DN161" i="1" s="1"/>
  <c r="EP161" i="1" s="1"/>
  <c r="AH224" i="1"/>
  <c r="U137" i="1"/>
  <c r="BK137" i="1" s="1"/>
  <c r="BY137" i="1" s="1"/>
  <c r="CP175" i="1"/>
  <c r="AE218" i="1"/>
  <c r="T80" i="1"/>
  <c r="L75" i="36"/>
  <c r="Z48" i="2"/>
  <c r="CM126" i="1"/>
  <c r="CL185" i="1"/>
  <c r="S34" i="1"/>
  <c r="AH161" i="1"/>
  <c r="AI125" i="1"/>
  <c r="AI129" i="1"/>
  <c r="CL148" i="1"/>
  <c r="W37" i="1"/>
  <c r="DQ37" i="1" s="1"/>
  <c r="ES37" i="1" s="1"/>
  <c r="CJ84" i="1"/>
  <c r="CJ114" i="1"/>
  <c r="AL164" i="48"/>
  <c r="M13" i="36"/>
  <c r="S76" i="36"/>
  <c r="ES172" i="1"/>
  <c r="DA115" i="1"/>
  <c r="U117" i="1"/>
  <c r="BK117" i="1" s="1"/>
  <c r="BY117" i="1" s="1"/>
  <c r="S23" i="1"/>
  <c r="BI23" i="1" s="1"/>
  <c r="BW23" i="1" s="1"/>
  <c r="AK78" i="1"/>
  <c r="Q22" i="36"/>
  <c r="AI134" i="1"/>
  <c r="AH176" i="1"/>
  <c r="CM125" i="1"/>
  <c r="AE88" i="1"/>
  <c r="DO119" i="1"/>
  <c r="EQ119" i="1" s="1"/>
  <c r="AH216" i="1"/>
  <c r="AJ81" i="1"/>
  <c r="BI18" i="1"/>
  <c r="BW18" i="1" s="1"/>
  <c r="EJ88" i="1"/>
  <c r="EN11" i="1"/>
  <c r="S14" i="1"/>
  <c r="BI14" i="1" s="1"/>
  <c r="BW14" i="1" s="1"/>
  <c r="AK23" i="48"/>
  <c r="CO78" i="1"/>
  <c r="R71" i="1"/>
  <c r="DL71" i="1" s="1"/>
  <c r="EN71" i="1" s="1"/>
  <c r="W20" i="1"/>
  <c r="DQ20" i="1" s="1"/>
  <c r="S41" i="36" s="1"/>
  <c r="AL21" i="48"/>
  <c r="AG23" i="1"/>
  <c r="AK76" i="1"/>
  <c r="CO166" i="1"/>
  <c r="AB54" i="8"/>
  <c r="BD54" i="8" s="1"/>
  <c r="BR54" i="8" s="1"/>
  <c r="BC210" i="1"/>
  <c r="BQ210" i="1" s="1"/>
  <c r="O68" i="8"/>
  <c r="T216" i="1"/>
  <c r="DN216" i="1" s="1"/>
  <c r="EP216" i="1" s="1"/>
  <c r="AG78" i="1"/>
  <c r="CJ94" i="1"/>
  <c r="CK18" i="1"/>
  <c r="CL68" i="1"/>
  <c r="Q218" i="1"/>
  <c r="BG218" i="1" s="1"/>
  <c r="BU218" i="1" s="1"/>
  <c r="EO50" i="1"/>
  <c r="AG8" i="58"/>
  <c r="CK49" i="1"/>
  <c r="W61" i="1"/>
  <c r="BM61" i="1" s="1"/>
  <c r="CA61" i="1" s="1"/>
  <c r="CR145" i="1"/>
  <c r="S20" i="36"/>
  <c r="CR183" i="1"/>
  <c r="V70" i="1"/>
  <c r="DP70" i="1" s="1"/>
  <c r="ER70" i="1" s="1"/>
  <c r="CR159" i="1"/>
  <c r="AC218" i="2"/>
  <c r="AD218" i="2" s="1"/>
  <c r="CO12" i="1"/>
  <c r="T143" i="1"/>
  <c r="BJ143" i="1" s="1"/>
  <c r="BX143" i="1" s="1"/>
  <c r="DN145" i="1"/>
  <c r="EP145" i="1" s="1"/>
  <c r="S37" i="1"/>
  <c r="DM37" i="1" s="1"/>
  <c r="EO37" i="1" s="1"/>
  <c r="R83" i="1"/>
  <c r="DL83" i="1" s="1"/>
  <c r="EN83" i="1" s="1"/>
  <c r="AJ145" i="1"/>
  <c r="AE172" i="1"/>
  <c r="R55" i="8"/>
  <c r="BH55" i="8" s="1"/>
  <c r="BV55" i="8" s="1"/>
  <c r="AK147" i="1"/>
  <c r="Z269" i="2"/>
  <c r="H35" i="20" s="1"/>
  <c r="AE35" i="1"/>
  <c r="EM123" i="1"/>
  <c r="AM112" i="48"/>
  <c r="AE52" i="1"/>
  <c r="CJ158" i="1"/>
  <c r="AF144" i="1"/>
  <c r="AG60" i="1"/>
  <c r="AH138" i="1"/>
  <c r="AF184" i="1"/>
  <c r="AG26" i="1"/>
  <c r="AC221" i="2"/>
  <c r="AD221" i="2" s="1"/>
  <c r="AI122" i="1"/>
  <c r="CZ173" i="1"/>
  <c r="AE17" i="1"/>
  <c r="BG17" i="1" s="1"/>
  <c r="BU17" i="1" s="1"/>
  <c r="AK160" i="1"/>
  <c r="W121" i="1"/>
  <c r="BM121" i="1" s="1"/>
  <c r="CA121" i="1" s="1"/>
  <c r="BC166" i="1"/>
  <c r="BQ166" i="1" s="1"/>
  <c r="AG50" i="1"/>
  <c r="O18" i="36"/>
  <c r="AJ14" i="48"/>
  <c r="AJ19" i="48"/>
  <c r="DV214" i="1"/>
  <c r="EJ214" i="1" s="1"/>
  <c r="R211" i="1"/>
  <c r="DL211" i="1" s="1"/>
  <c r="EN211" i="1" s="1"/>
  <c r="BI26" i="1"/>
  <c r="BW26" i="1" s="1"/>
  <c r="AK75" i="1"/>
  <c r="CM7" i="1"/>
  <c r="CM128" i="1"/>
  <c r="AI130" i="1"/>
  <c r="T144" i="1"/>
  <c r="BJ144" i="1" s="1"/>
  <c r="BX144" i="1" s="1"/>
  <c r="AK73" i="1"/>
  <c r="DQ88" i="1"/>
  <c r="ES88" i="1" s="1"/>
  <c r="AP164" i="48"/>
  <c r="EQ30" i="1"/>
  <c r="M9" i="36"/>
  <c r="CK50" i="1"/>
  <c r="AG38" i="1"/>
  <c r="AG20" i="1"/>
  <c r="CI26" i="1"/>
  <c r="BM138" i="1"/>
  <c r="CA138" i="1" s="1"/>
  <c r="AE32" i="1"/>
  <c r="CO83" i="1"/>
  <c r="CL212" i="1"/>
  <c r="AK134" i="1"/>
  <c r="AZ27" i="8"/>
  <c r="BN27" i="8" s="1"/>
  <c r="S38" i="1"/>
  <c r="BI38" i="1" s="1"/>
  <c r="BW38" i="1" s="1"/>
  <c r="O8" i="36"/>
  <c r="Q24" i="1"/>
  <c r="BG24" i="1" s="1"/>
  <c r="BU24" i="1" s="1"/>
  <c r="DL70" i="1"/>
  <c r="EN70" i="1" s="1"/>
  <c r="X20" i="1"/>
  <c r="DR20" i="1" s="1"/>
  <c r="AQ62" i="48" s="1"/>
  <c r="AQ157" i="48" s="1"/>
  <c r="T7" i="36"/>
  <c r="AG65" i="1"/>
  <c r="CK135" i="1"/>
  <c r="M12" i="36"/>
  <c r="EO32" i="1"/>
  <c r="DM17" i="1"/>
  <c r="T180" i="1"/>
  <c r="CM34" i="1"/>
  <c r="CI30" i="1"/>
  <c r="CO77" i="1"/>
  <c r="CJ150" i="1"/>
  <c r="CL215" i="1"/>
  <c r="CO62" i="1"/>
  <c r="AC156" i="2"/>
  <c r="AD156" i="2" s="1"/>
  <c r="DW17" i="1"/>
  <c r="AC62" i="2"/>
  <c r="AD62" i="2" s="1"/>
  <c r="DV137" i="1"/>
  <c r="DO42" i="1"/>
  <c r="EQ42" i="1" s="1"/>
  <c r="V178" i="1"/>
  <c r="DP178" i="1" s="1"/>
  <c r="ER178" i="1" s="1"/>
  <c r="Z31" i="8"/>
  <c r="AO107" i="48"/>
  <c r="AF13" i="1"/>
  <c r="BH13" i="1" s="1"/>
  <c r="BV13" i="1" s="1"/>
  <c r="U11" i="1"/>
  <c r="BK11" i="1" s="1"/>
  <c r="BY11" i="1" s="1"/>
  <c r="AN16" i="48"/>
  <c r="BH11" i="1"/>
  <c r="BV11" i="1" s="1"/>
  <c r="AN22" i="48"/>
  <c r="AF32" i="1"/>
  <c r="BI59" i="1"/>
  <c r="BW59" i="1" s="1"/>
  <c r="U45" i="1"/>
  <c r="BK45" i="1" s="1"/>
  <c r="BY45" i="1" s="1"/>
  <c r="U40" i="1"/>
  <c r="BK40" i="1" s="1"/>
  <c r="BY40" i="1" s="1"/>
  <c r="AK37" i="1"/>
  <c r="AK16" i="1"/>
  <c r="AK11" i="58"/>
  <c r="EK73" i="1"/>
  <c r="DC207" i="1"/>
  <c r="ES211" i="1"/>
  <c r="DT208" i="1"/>
  <c r="AM8" i="48"/>
  <c r="AF35" i="1"/>
  <c r="AF11" i="1"/>
  <c r="U22" i="1"/>
  <c r="BK22" i="1" s="1"/>
  <c r="BY22" i="1" s="1"/>
  <c r="CO163" i="1"/>
  <c r="CM20" i="1"/>
  <c r="CM91" i="1"/>
  <c r="EO18" i="1"/>
  <c r="AC94" i="1"/>
  <c r="BE94" i="1" s="1"/>
  <c r="BS94" i="1" s="1"/>
  <c r="R35" i="1"/>
  <c r="BH35" i="1" s="1"/>
  <c r="BV35" i="1" s="1"/>
  <c r="CJ11" i="1"/>
  <c r="AI11" i="1"/>
  <c r="U60" i="1"/>
  <c r="BK60" i="1" s="1"/>
  <c r="BY60" i="1" s="1"/>
  <c r="CN215" i="1"/>
  <c r="CK51" i="1"/>
  <c r="CJ32" i="1"/>
  <c r="ER79" i="1"/>
  <c r="ER183" i="1"/>
  <c r="AJ161" i="48"/>
  <c r="DT26" i="1"/>
  <c r="AB193" i="1"/>
  <c r="CR18" i="1"/>
  <c r="V36" i="1"/>
  <c r="DP36" i="1" s="1"/>
  <c r="ER36" i="1" s="1"/>
  <c r="DZ51" i="8"/>
  <c r="R16" i="8"/>
  <c r="DL16" i="8" s="1"/>
  <c r="EN16" i="8" s="1"/>
  <c r="CF193" i="1"/>
  <c r="BL6" i="1"/>
  <c r="BZ6" i="1" s="1"/>
  <c r="AO14" i="48"/>
  <c r="CN40" i="1"/>
  <c r="BE73" i="1"/>
  <c r="BS73" i="1" s="1"/>
  <c r="V34" i="1"/>
  <c r="DP34" i="1" s="1"/>
  <c r="CN23" i="1"/>
  <c r="Z259" i="2"/>
  <c r="AK159" i="1"/>
  <c r="U66" i="1"/>
  <c r="BK66" i="1" s="1"/>
  <c r="BY66" i="1" s="1"/>
  <c r="L139" i="35"/>
  <c r="EP76" i="1"/>
  <c r="AE151" i="1"/>
  <c r="AF139" i="1"/>
  <c r="AF18" i="1"/>
  <c r="BH18" i="1" s="1"/>
  <c r="BV18" i="1" s="1"/>
  <c r="CO148" i="1"/>
  <c r="AI68" i="1"/>
  <c r="AB133" i="1"/>
  <c r="CF133" i="1"/>
  <c r="Q79" i="36"/>
  <c r="BL129" i="1"/>
  <c r="BZ129" i="1" s="1"/>
  <c r="AL44" i="1"/>
  <c r="AW35" i="8"/>
  <c r="BK35" i="8" s="1"/>
  <c r="AL12" i="1"/>
  <c r="X41" i="1"/>
  <c r="BN41" i="1" s="1"/>
  <c r="CB41" i="1" s="1"/>
  <c r="CP59" i="1"/>
  <c r="X25" i="1"/>
  <c r="BN25" i="1" s="1"/>
  <c r="CB25" i="1" s="1"/>
  <c r="V68" i="2"/>
  <c r="X10" i="1"/>
  <c r="BN10" i="1" s="1"/>
  <c r="CB10" i="1" s="1"/>
  <c r="AL39" i="1"/>
  <c r="CP56" i="1"/>
  <c r="AL34" i="1"/>
  <c r="T9" i="36"/>
  <c r="CX173" i="1"/>
  <c r="Q70" i="1"/>
  <c r="DK70" i="1" s="1"/>
  <c r="EM70" i="1" s="1"/>
  <c r="BH52" i="1"/>
  <c r="BV52" i="1" s="1"/>
  <c r="BF7" i="1"/>
  <c r="BT7" i="1" s="1"/>
  <c r="AG144" i="1"/>
  <c r="CG53" i="8"/>
  <c r="AI210" i="1"/>
  <c r="CC52" i="8"/>
  <c r="CM78" i="1"/>
  <c r="AI79" i="1"/>
  <c r="DU53" i="1"/>
  <c r="X53" i="1"/>
  <c r="DR53" i="1" s="1"/>
  <c r="ET53" i="1" s="1"/>
  <c r="EF26" i="8"/>
  <c r="EM80" i="1"/>
  <c r="AK66" i="1"/>
  <c r="DJ16" i="1"/>
  <c r="EL16" i="1" s="1"/>
  <c r="CN75" i="1"/>
  <c r="P24" i="36"/>
  <c r="CL77" i="1"/>
  <c r="CP14" i="1"/>
  <c r="CJ130" i="1"/>
  <c r="R135" i="1"/>
  <c r="DL135" i="1" s="1"/>
  <c r="W71" i="1"/>
  <c r="DQ71" i="1" s="1"/>
  <c r="DQ53" i="8"/>
  <c r="EE53" i="8" s="1"/>
  <c r="AL49" i="1"/>
  <c r="R42" i="1"/>
  <c r="DL42" i="1" s="1"/>
  <c r="EN42" i="1" s="1"/>
  <c r="DH31" i="1"/>
  <c r="EJ31" i="1" s="1"/>
  <c r="DK60" i="8"/>
  <c r="EM60" i="8" s="1"/>
  <c r="BC122" i="1"/>
  <c r="BQ122" i="1" s="1"/>
  <c r="DL55" i="1"/>
  <c r="EN55" i="1" s="1"/>
  <c r="AL29" i="1"/>
  <c r="M18" i="36"/>
  <c r="CR138" i="1"/>
  <c r="CR158" i="1"/>
  <c r="CR121" i="1"/>
  <c r="DN12" i="8"/>
  <c r="EC173" i="1"/>
  <c r="DT212" i="1"/>
  <c r="DT125" i="1"/>
  <c r="DT8" i="1"/>
  <c r="AO108" i="48"/>
  <c r="AN104" i="48"/>
  <c r="S63" i="36"/>
  <c r="CG16" i="8"/>
  <c r="BK62" i="1"/>
  <c r="BY62" i="1" s="1"/>
  <c r="DO62" i="1"/>
  <c r="AN60" i="48" s="1"/>
  <c r="CM121" i="1"/>
  <c r="BK75" i="1"/>
  <c r="BY75" i="1" s="1"/>
  <c r="AJ22" i="48"/>
  <c r="AG111" i="48"/>
  <c r="AE50" i="1"/>
  <c r="AE38" i="1"/>
  <c r="AL19" i="48"/>
  <c r="X71" i="1"/>
  <c r="DR71" i="1" s="1"/>
  <c r="Q26" i="1"/>
  <c r="BG26" i="1" s="1"/>
  <c r="BU26" i="1" s="1"/>
  <c r="S30" i="1"/>
  <c r="BI30" i="1" s="1"/>
  <c r="BW30" i="1" s="1"/>
  <c r="AE13" i="1"/>
  <c r="R158" i="1"/>
  <c r="AJ118" i="48"/>
  <c r="AF142" i="1"/>
  <c r="Q42" i="1"/>
  <c r="DK42" i="1" s="1"/>
  <c r="EM42" i="1" s="1"/>
  <c r="CJ221" i="1"/>
  <c r="N16" i="36"/>
  <c r="BI135" i="1"/>
  <c r="BW135" i="1" s="1"/>
  <c r="AE60" i="1"/>
  <c r="CM73" i="1"/>
  <c r="O14" i="36"/>
  <c r="CR211" i="1"/>
  <c r="R175" i="1"/>
  <c r="DL175" i="1" s="1"/>
  <c r="S128" i="1"/>
  <c r="T138" i="1"/>
  <c r="BH45" i="1"/>
  <c r="BV45" i="1" s="1"/>
  <c r="CI11" i="1"/>
  <c r="BE135" i="1"/>
  <c r="BS135" i="1" s="1"/>
  <c r="CI13" i="1"/>
  <c r="AL12" i="48"/>
  <c r="AG118" i="1"/>
  <c r="AE42" i="1"/>
  <c r="DX131" i="1"/>
  <c r="AI48" i="1"/>
  <c r="AJ182" i="1"/>
  <c r="CK146" i="1"/>
  <c r="M52" i="8"/>
  <c r="CP114" i="1"/>
  <c r="EJ50" i="1"/>
  <c r="U53" i="2"/>
  <c r="Z53" i="2" s="1"/>
  <c r="Q13" i="1"/>
  <c r="DK13" i="1" s="1"/>
  <c r="M49" i="36" s="1"/>
  <c r="S118" i="1"/>
  <c r="DM118" i="1" s="1"/>
  <c r="EO118" i="1" s="1"/>
  <c r="AJ10" i="48"/>
  <c r="P56" i="8"/>
  <c r="Z144" i="2"/>
  <c r="CJ178" i="1"/>
  <c r="CI9" i="1"/>
  <c r="Q32" i="1"/>
  <c r="DK32" i="1" s="1"/>
  <c r="DR94" i="1"/>
  <c r="ET94" i="1" s="1"/>
  <c r="H60" i="6"/>
  <c r="ER61" i="1"/>
  <c r="EP129" i="1"/>
  <c r="EP137" i="1"/>
  <c r="ED173" i="1"/>
  <c r="P70" i="36"/>
  <c r="EQ81" i="1"/>
  <c r="CM75" i="1"/>
  <c r="X92" i="1"/>
  <c r="BN92" i="1" s="1"/>
  <c r="CB92" i="1" s="1"/>
  <c r="P53" i="2"/>
  <c r="Q53" i="2" s="1"/>
  <c r="X53" i="2"/>
  <c r="AC53" i="2" s="1"/>
  <c r="AD53" i="2" s="1"/>
  <c r="AE57" i="1"/>
  <c r="AG132" i="1"/>
  <c r="BH144" i="1"/>
  <c r="BV144" i="1" s="1"/>
  <c r="CR48" i="1"/>
  <c r="AJ16" i="48"/>
  <c r="CR71" i="1"/>
  <c r="CK30" i="1"/>
  <c r="AE9" i="1"/>
  <c r="BG9" i="1" s="1"/>
  <c r="BU9" i="1" s="1"/>
  <c r="AB34" i="1"/>
  <c r="CI32" i="1"/>
  <c r="AC199" i="2"/>
  <c r="AD199" i="2" s="1"/>
  <c r="V160" i="1"/>
  <c r="BL160" i="1" s="1"/>
  <c r="BZ160" i="1" s="1"/>
  <c r="AF50" i="1"/>
  <c r="T132" i="1"/>
  <c r="DN132" i="1" s="1"/>
  <c r="V73" i="1"/>
  <c r="BL73" i="1" s="1"/>
  <c r="BZ73" i="1" s="1"/>
  <c r="DL204" i="1"/>
  <c r="EN204" i="1" s="1"/>
  <c r="CI47" i="1"/>
  <c r="Q12" i="36"/>
  <c r="DK205" i="1"/>
  <c r="EM205" i="1" s="1"/>
  <c r="CR42" i="1"/>
  <c r="N21" i="36"/>
  <c r="AE8" i="58"/>
  <c r="CI55" i="1"/>
  <c r="AP104" i="48"/>
  <c r="AP105" i="48"/>
  <c r="CP71" i="1"/>
  <c r="AK172" i="1"/>
  <c r="AK218" i="1"/>
  <c r="CJ140" i="1"/>
  <c r="AF140" i="1"/>
  <c r="BD88" i="1"/>
  <c r="BR88" i="1" s="1"/>
  <c r="AF175" i="1"/>
  <c r="CJ146" i="1"/>
  <c r="Q52" i="1"/>
  <c r="DK52" i="1" s="1"/>
  <c r="EM52" i="1" s="1"/>
  <c r="DT140" i="1"/>
  <c r="DL27" i="8"/>
  <c r="EN27" i="8" s="1"/>
  <c r="AK21" i="48"/>
  <c r="AF8" i="1"/>
  <c r="CJ12" i="1"/>
  <c r="AH7" i="1"/>
  <c r="S161" i="1"/>
  <c r="R32" i="1"/>
  <c r="DL32" i="1" s="1"/>
  <c r="EN32" i="1" s="1"/>
  <c r="U84" i="1"/>
  <c r="DO84" i="1" s="1"/>
  <c r="EQ84" i="1" s="1"/>
  <c r="CN87" i="1"/>
  <c r="DM51" i="1"/>
  <c r="EO51" i="1" s="1"/>
  <c r="AF17" i="1"/>
  <c r="S221" i="1"/>
  <c r="BI221" i="1" s="1"/>
  <c r="BW221" i="1" s="1"/>
  <c r="AH137" i="1"/>
  <c r="BJ137" i="1" s="1"/>
  <c r="BX137" i="1" s="1"/>
  <c r="R66" i="1"/>
  <c r="BH66" i="1" s="1"/>
  <c r="BV66" i="1" s="1"/>
  <c r="W36" i="1"/>
  <c r="BM36" i="1" s="1"/>
  <c r="CA36" i="1" s="1"/>
  <c r="CN209" i="1"/>
  <c r="CO44" i="1"/>
  <c r="AF23" i="1"/>
  <c r="CL117" i="1"/>
  <c r="R64" i="1"/>
  <c r="BH64" i="1" s="1"/>
  <c r="BV64" i="1" s="1"/>
  <c r="R53" i="1"/>
  <c r="DL53" i="1" s="1"/>
  <c r="CJ21" i="1"/>
  <c r="AF25" i="1"/>
  <c r="CK10" i="1"/>
  <c r="T125" i="1"/>
  <c r="DN125" i="1" s="1"/>
  <c r="EP125" i="1" s="1"/>
  <c r="N13" i="36"/>
  <c r="CL129" i="1"/>
  <c r="CK181" i="1"/>
  <c r="AH129" i="1"/>
  <c r="BJ129" i="1" s="1"/>
  <c r="BX129" i="1" s="1"/>
  <c r="DT122" i="1"/>
  <c r="AG214" i="1"/>
  <c r="V87" i="1"/>
  <c r="BL87" i="1" s="1"/>
  <c r="BZ87" i="1" s="1"/>
  <c r="CL137" i="1"/>
  <c r="EK45" i="8"/>
  <c r="DN149" i="1"/>
  <c r="EP149" i="1" s="1"/>
  <c r="BH14" i="8"/>
  <c r="BV14" i="8" s="1"/>
  <c r="N9" i="36"/>
  <c r="CK6" i="1"/>
  <c r="CJ34" i="1"/>
  <c r="R49" i="1"/>
  <c r="DL49" i="1" s="1"/>
  <c r="R19" i="1"/>
  <c r="BH19" i="1" s="1"/>
  <c r="BV19" i="1" s="1"/>
  <c r="V187" i="2"/>
  <c r="S216" i="1"/>
  <c r="CN82" i="1"/>
  <c r="W34" i="1"/>
  <c r="BM34" i="1" s="1"/>
  <c r="CA34" i="1" s="1"/>
  <c r="AK19" i="48"/>
  <c r="AF56" i="1"/>
  <c r="CI71" i="1"/>
  <c r="AF55" i="1"/>
  <c r="EO75" i="1"/>
  <c r="AK18" i="48"/>
  <c r="CK161" i="1"/>
  <c r="Z116" i="2"/>
  <c r="AF9" i="1"/>
  <c r="U20" i="1"/>
  <c r="DO20" i="1" s="1"/>
  <c r="EQ20" i="1" s="1"/>
  <c r="AI26" i="1"/>
  <c r="AI22" i="1"/>
  <c r="DH68" i="1"/>
  <c r="EJ68" i="1" s="1"/>
  <c r="DH83" i="1"/>
  <c r="EJ83" i="1" s="1"/>
  <c r="Z139" i="2"/>
  <c r="U24" i="1"/>
  <c r="DO24" i="1" s="1"/>
  <c r="EQ24" i="1" s="1"/>
  <c r="CJ42" i="1"/>
  <c r="ER18" i="1"/>
  <c r="EP197" i="1"/>
  <c r="L138" i="35"/>
  <c r="DO15" i="1"/>
  <c r="EQ15" i="1" s="1"/>
  <c r="P116" i="2"/>
  <c r="Q116" i="2" s="1"/>
  <c r="AI10" i="58"/>
  <c r="T7" i="1"/>
  <c r="BJ7" i="1" s="1"/>
  <c r="BX7" i="1" s="1"/>
  <c r="CL130" i="1"/>
  <c r="BK9" i="1"/>
  <c r="BY9" i="1" s="1"/>
  <c r="U50" i="1"/>
  <c r="DO50" i="1" s="1"/>
  <c r="EQ50" i="1" s="1"/>
  <c r="Q13" i="36"/>
  <c r="CK221" i="1"/>
  <c r="V204" i="2"/>
  <c r="CM30" i="1"/>
  <c r="U13" i="1"/>
  <c r="BK13" i="1" s="1"/>
  <c r="BY13" i="1" s="1"/>
  <c r="BF49" i="8"/>
  <c r="BT49" i="8" s="1"/>
  <c r="EP98" i="1"/>
  <c r="EM152" i="1"/>
  <c r="Z343" i="2"/>
  <c r="AH49" i="1"/>
  <c r="BJ49" i="1" s="1"/>
  <c r="BX49" i="1" s="1"/>
  <c r="CI70" i="1"/>
  <c r="BJ12" i="1"/>
  <c r="BX12" i="1" s="1"/>
  <c r="AH128" i="1"/>
  <c r="BJ128" i="1" s="1"/>
  <c r="BX128" i="1" s="1"/>
  <c r="AI224" i="1"/>
  <c r="S36" i="1"/>
  <c r="BI36" i="1" s="1"/>
  <c r="BW36" i="1" s="1"/>
  <c r="AJ131" i="1"/>
  <c r="AI145" i="1"/>
  <c r="CM176" i="1"/>
  <c r="CN139" i="1"/>
  <c r="AL218" i="1"/>
  <c r="EF173" i="1"/>
  <c r="AK137" i="1"/>
  <c r="T25" i="1"/>
  <c r="DN25" i="1" s="1"/>
  <c r="EP25" i="1" s="1"/>
  <c r="AJ125" i="1"/>
  <c r="BK143" i="1"/>
  <c r="BY143" i="1" s="1"/>
  <c r="DH7" i="1"/>
  <c r="EJ7" i="1" s="1"/>
  <c r="L140" i="35"/>
  <c r="DL201" i="1"/>
  <c r="EN201" i="1" s="1"/>
  <c r="CR75" i="1"/>
  <c r="U145" i="1"/>
  <c r="DO145" i="1" s="1"/>
  <c r="AI216" i="1"/>
  <c r="CJ52" i="1"/>
  <c r="S22" i="36"/>
  <c r="CO137" i="1"/>
  <c r="U174" i="1"/>
  <c r="AI176" i="1"/>
  <c r="V139" i="1"/>
  <c r="U148" i="1"/>
  <c r="R218" i="1"/>
  <c r="AA52" i="8"/>
  <c r="EI46" i="1"/>
  <c r="DK26" i="8"/>
  <c r="EM26" i="8" s="1"/>
  <c r="CJ40" i="1"/>
  <c r="AG146" i="1"/>
  <c r="CN125" i="1"/>
  <c r="P63" i="36"/>
  <c r="EJ75" i="1"/>
  <c r="F70" i="8"/>
  <c r="AV70" i="8" s="1"/>
  <c r="BJ70" i="8" s="1"/>
  <c r="EK8" i="8"/>
  <c r="K7" i="44" s="1"/>
  <c r="EL48" i="1"/>
  <c r="EJ86" i="1"/>
  <c r="EI211" i="1"/>
  <c r="EI62" i="1"/>
  <c r="K140" i="35"/>
  <c r="AK13" i="48"/>
  <c r="DI64" i="1"/>
  <c r="EK64" i="1" s="1"/>
  <c r="CL49" i="1"/>
  <c r="DJ138" i="1"/>
  <c r="EL138" i="1" s="1"/>
  <c r="V190" i="2"/>
  <c r="AH10" i="1"/>
  <c r="DI39" i="8"/>
  <c r="EK39" i="8" s="1"/>
  <c r="AJ82" i="1"/>
  <c r="DN130" i="1"/>
  <c r="EP130" i="1" s="1"/>
  <c r="X18" i="1"/>
  <c r="BN18" i="1" s="1"/>
  <c r="CB18" i="1" s="1"/>
  <c r="U223" i="1"/>
  <c r="BK223" i="1" s="1"/>
  <c r="BY223" i="1" s="1"/>
  <c r="ER44" i="1"/>
  <c r="CR14" i="1"/>
  <c r="AP15" i="48"/>
  <c r="AG10" i="58"/>
  <c r="BL183" i="1"/>
  <c r="BZ183" i="1" s="1"/>
  <c r="BG206" i="1"/>
  <c r="BU206" i="1" s="1"/>
  <c r="BF48" i="1"/>
  <c r="BT48" i="1" s="1"/>
  <c r="BC223" i="1"/>
  <c r="BQ223" i="1" s="1"/>
  <c r="DL188" i="1"/>
  <c r="EN188" i="1" s="1"/>
  <c r="BJ126" i="1"/>
  <c r="BX126" i="1" s="1"/>
  <c r="DG12" i="8"/>
  <c r="EI12" i="8" s="1"/>
  <c r="I11" i="44" s="1"/>
  <c r="DJ70" i="8"/>
  <c r="EL70" i="8" s="1"/>
  <c r="BF47" i="8"/>
  <c r="BT47" i="8" s="1"/>
  <c r="DK153" i="1"/>
  <c r="EM153" i="1" s="1"/>
  <c r="BF70" i="8"/>
  <c r="BT70" i="8" s="1"/>
  <c r="AX32" i="8"/>
  <c r="BL32" i="8" s="1"/>
  <c r="EL159" i="1"/>
  <c r="BG114" i="1"/>
  <c r="BU114" i="1" s="1"/>
  <c r="DP54" i="1"/>
  <c r="ER54" i="1" s="1"/>
  <c r="L98" i="36"/>
  <c r="BI174" i="1"/>
  <c r="BW174" i="1" s="1"/>
  <c r="BG64" i="8"/>
  <c r="BU64" i="8" s="1"/>
  <c r="F71" i="8"/>
  <c r="AV71" i="8" s="1"/>
  <c r="BJ71" i="8" s="1"/>
  <c r="DN119" i="1"/>
  <c r="EP119" i="1" s="1"/>
  <c r="DN131" i="1"/>
  <c r="EP131" i="1" s="1"/>
  <c r="DP147" i="1"/>
  <c r="ER147" i="1" s="1"/>
  <c r="EI223" i="1"/>
  <c r="BF159" i="1"/>
  <c r="BT159" i="1" s="1"/>
  <c r="DP163" i="1"/>
  <c r="ER163" i="1" s="1"/>
  <c r="BK81" i="1"/>
  <c r="BY81" i="1" s="1"/>
  <c r="BD86" i="1"/>
  <c r="BR86" i="1" s="1"/>
  <c r="BH36" i="1"/>
  <c r="BV36" i="1" s="1"/>
  <c r="BI214" i="1"/>
  <c r="BW214" i="1" s="1"/>
  <c r="BC62" i="1"/>
  <c r="BQ62" i="1" s="1"/>
  <c r="BC211" i="1"/>
  <c r="BQ211" i="1" s="1"/>
  <c r="BL130" i="1"/>
  <c r="BZ130" i="1" s="1"/>
  <c r="DH33" i="8"/>
  <c r="EJ33" i="8" s="1"/>
  <c r="AK14" i="1"/>
  <c r="CR16" i="1"/>
  <c r="S13" i="36"/>
  <c r="AE122" i="1"/>
  <c r="BI75" i="1"/>
  <c r="BW75" i="1" s="1"/>
  <c r="CK77" i="1"/>
  <c r="Z173" i="2"/>
  <c r="CI132" i="1"/>
  <c r="CI122" i="1"/>
  <c r="CO8" i="1"/>
  <c r="AK23" i="1"/>
  <c r="DX22" i="8"/>
  <c r="BM8" i="1"/>
  <c r="CA8" i="1" s="1"/>
  <c r="CO21" i="1"/>
  <c r="X143" i="1"/>
  <c r="BN143" i="1" s="1"/>
  <c r="CB143" i="1" s="1"/>
  <c r="AP21" i="48"/>
  <c r="BG123" i="1"/>
  <c r="BU123" i="1" s="1"/>
  <c r="CP216" i="1"/>
  <c r="CP214" i="1"/>
  <c r="X214" i="1"/>
  <c r="Q86" i="1"/>
  <c r="BG86" i="1" s="1"/>
  <c r="BU86" i="1" s="1"/>
  <c r="AK41" i="1"/>
  <c r="O108" i="1"/>
  <c r="BE108" i="1" s="1"/>
  <c r="BS108" i="1" s="1"/>
  <c r="AL176" i="1"/>
  <c r="AE123" i="1"/>
  <c r="S83" i="1"/>
  <c r="W23" i="1"/>
  <c r="S82" i="1"/>
  <c r="CR10" i="1"/>
  <c r="CR25" i="1"/>
  <c r="CO25" i="1"/>
  <c r="AL223" i="1"/>
  <c r="AK10" i="1"/>
  <c r="CN114" i="1"/>
  <c r="CM172" i="1"/>
  <c r="CM218" i="1"/>
  <c r="X158" i="1"/>
  <c r="CK75" i="1"/>
  <c r="AK8" i="1"/>
  <c r="X208" i="1"/>
  <c r="BN208" i="1" s="1"/>
  <c r="CB208" i="1" s="1"/>
  <c r="CK160" i="1"/>
  <c r="CK37" i="1"/>
  <c r="EQ126" i="1"/>
  <c r="EP185" i="1"/>
  <c r="N106" i="1"/>
  <c r="BD106" i="1" s="1"/>
  <c r="BR106" i="1" s="1"/>
  <c r="AK64" i="1"/>
  <c r="DV66" i="1"/>
  <c r="CP145" i="1"/>
  <c r="CP161" i="1"/>
  <c r="AK59" i="1"/>
  <c r="S160" i="1"/>
  <c r="BI160" i="1" s="1"/>
  <c r="BW160" i="1" s="1"/>
  <c r="CR23" i="1"/>
  <c r="EM178" i="1"/>
  <c r="EH62" i="8"/>
  <c r="EK119" i="1"/>
  <c r="W25" i="1"/>
  <c r="DQ25" i="1" s="1"/>
  <c r="ES25" i="1" s="1"/>
  <c r="BM19" i="1"/>
  <c r="CA19" i="1" s="1"/>
  <c r="CP224" i="1"/>
  <c r="Z91" i="2"/>
  <c r="Z115" i="2"/>
  <c r="AK6" i="1"/>
  <c r="BM65" i="1"/>
  <c r="CA65" i="1" s="1"/>
  <c r="EN45" i="1"/>
  <c r="W29" i="1"/>
  <c r="BM29" i="1" s="1"/>
  <c r="CA29" i="1" s="1"/>
  <c r="Q118" i="1"/>
  <c r="DK118" i="1" s="1"/>
  <c r="EM118" i="1" s="1"/>
  <c r="AJ71" i="1"/>
  <c r="AE128" i="1"/>
  <c r="BG128" i="1" s="1"/>
  <c r="BU128" i="1" s="1"/>
  <c r="CI128" i="1"/>
  <c r="AI172" i="1"/>
  <c r="CF53" i="8"/>
  <c r="DM183" i="1"/>
  <c r="EO183" i="1" s="1"/>
  <c r="AG209" i="1"/>
  <c r="DA25" i="8"/>
  <c r="EC25" i="8" s="1"/>
  <c r="AO23" i="48"/>
  <c r="CR172" i="1"/>
  <c r="CP149" i="1"/>
  <c r="W53" i="1"/>
  <c r="DP68" i="8"/>
  <c r="DJ25" i="8"/>
  <c r="EL25" i="8" s="1"/>
  <c r="DG39" i="8"/>
  <c r="AK29" i="1"/>
  <c r="AP22" i="48"/>
  <c r="S18" i="36"/>
  <c r="CR182" i="1"/>
  <c r="W22" i="1"/>
  <c r="BM22" i="1" s="1"/>
  <c r="CA22" i="1" s="1"/>
  <c r="BN216" i="1"/>
  <c r="CB216" i="1" s="1"/>
  <c r="AO110" i="48"/>
  <c r="Q122" i="1"/>
  <c r="DK122" i="1" s="1"/>
  <c r="EM122" i="1" s="1"/>
  <c r="AL143" i="1"/>
  <c r="X179" i="1"/>
  <c r="DR179" i="1" s="1"/>
  <c r="ET179" i="1" s="1"/>
  <c r="Q132" i="1"/>
  <c r="BG132" i="1" s="1"/>
  <c r="BU132" i="1" s="1"/>
  <c r="W64" i="1"/>
  <c r="DQ64" i="1" s="1"/>
  <c r="ES64" i="1" s="1"/>
  <c r="CO46" i="1"/>
  <c r="CR68" i="1"/>
  <c r="AJ12" i="48"/>
  <c r="AE9" i="58"/>
  <c r="CR36" i="1"/>
  <c r="W52" i="1"/>
  <c r="DQ52" i="1" s="1"/>
  <c r="ES52" i="1" s="1"/>
  <c r="CO15" i="1"/>
  <c r="R138" i="1"/>
  <c r="DL138" i="1" s="1"/>
  <c r="EN138" i="1" s="1"/>
  <c r="S186" i="1"/>
  <c r="DM186" i="1" s="1"/>
  <c r="EO186" i="1" s="1"/>
  <c r="W10" i="1"/>
  <c r="BM10" i="1" s="1"/>
  <c r="CA10" i="1" s="1"/>
  <c r="CK61" i="1"/>
  <c r="DQ15" i="1"/>
  <c r="ES15" i="1" s="1"/>
  <c r="CI123" i="1"/>
  <c r="AG61" i="1"/>
  <c r="BH58" i="8"/>
  <c r="BV58" i="8" s="1"/>
  <c r="W31" i="1"/>
  <c r="S139" i="1"/>
  <c r="BI139" i="1" s="1"/>
  <c r="BW139" i="1" s="1"/>
  <c r="AE86" i="1"/>
  <c r="CK136" i="1"/>
  <c r="AG63" i="1"/>
  <c r="S69" i="36"/>
  <c r="CE101" i="1"/>
  <c r="AH164" i="48"/>
  <c r="DJ65" i="8"/>
  <c r="EL65" i="8" s="1"/>
  <c r="EK117" i="1"/>
  <c r="EI36" i="1"/>
  <c r="AR66" i="48"/>
  <c r="BD205" i="1"/>
  <c r="BR205" i="1" s="1"/>
  <c r="BJ98" i="1"/>
  <c r="BX98" i="1" s="1"/>
  <c r="DH147" i="1"/>
  <c r="EJ147" i="1" s="1"/>
  <c r="DG35" i="1"/>
  <c r="EI35" i="1" s="1"/>
  <c r="DC32" i="8"/>
  <c r="EE32" i="8" s="1"/>
  <c r="EI135" i="1"/>
  <c r="DH209" i="1"/>
  <c r="EJ209" i="1" s="1"/>
  <c r="DK158" i="1"/>
  <c r="EM158" i="1" s="1"/>
  <c r="DH60" i="8"/>
  <c r="EJ60" i="8" s="1"/>
  <c r="AP161" i="48"/>
  <c r="DJ12" i="1"/>
  <c r="EL12" i="1" s="1"/>
  <c r="BE81" i="1"/>
  <c r="BS81" i="1" s="1"/>
  <c r="DJ48" i="8"/>
  <c r="EL48" i="8" s="1"/>
  <c r="BG178" i="1"/>
  <c r="BU178" i="1" s="1"/>
  <c r="BG152" i="1"/>
  <c r="BU152" i="1" s="1"/>
  <c r="DI47" i="8"/>
  <c r="EK47" i="8" s="1"/>
  <c r="DK144" i="1"/>
  <c r="EM144" i="1" s="1"/>
  <c r="BI138" i="1"/>
  <c r="BW138" i="1" s="1"/>
  <c r="DH203" i="1"/>
  <c r="EJ203" i="1" s="1"/>
  <c r="BE119" i="1"/>
  <c r="BS119" i="1" s="1"/>
  <c r="BE205" i="1"/>
  <c r="BS205" i="1" s="1"/>
  <c r="BC79" i="1"/>
  <c r="BQ79" i="1" s="1"/>
  <c r="BG211" i="1"/>
  <c r="BU211" i="1" s="1"/>
  <c r="DR12" i="1"/>
  <c r="ET12" i="1" s="1"/>
  <c r="BJ121" i="1"/>
  <c r="BX121" i="1" s="1"/>
  <c r="DK184" i="1"/>
  <c r="EM184" i="1" s="1"/>
  <c r="DQ66" i="1"/>
  <c r="ES66" i="1" s="1"/>
  <c r="BH130" i="1"/>
  <c r="BV130" i="1" s="1"/>
  <c r="BB62" i="8"/>
  <c r="BP62" i="8" s="1"/>
  <c r="BC25" i="1"/>
  <c r="BQ25" i="1" s="1"/>
  <c r="EK35" i="8"/>
  <c r="AF130" i="1"/>
  <c r="CI180" i="1"/>
  <c r="AF128" i="1"/>
  <c r="AQ9" i="48"/>
  <c r="AR117" i="48"/>
  <c r="F100" i="51" s="1"/>
  <c r="AC152" i="2"/>
  <c r="AD152" i="2" s="1"/>
  <c r="T11" i="36"/>
  <c r="X29" i="1"/>
  <c r="DR29" i="1" s="1"/>
  <c r="CP25" i="1"/>
  <c r="DN82" i="1"/>
  <c r="EP82" i="1" s="1"/>
  <c r="AE211" i="1"/>
  <c r="CI175" i="1"/>
  <c r="CI208" i="1"/>
  <c r="CJ132" i="1"/>
  <c r="P12" i="36"/>
  <c r="AH62" i="1"/>
  <c r="AF6" i="1"/>
  <c r="AE142" i="1"/>
  <c r="AF11" i="58"/>
  <c r="T62" i="1"/>
  <c r="DO33" i="8"/>
  <c r="X148" i="2"/>
  <c r="AC148" i="2" s="1"/>
  <c r="AD148" i="2" s="1"/>
  <c r="BA62" i="8"/>
  <c r="BO62" i="8" s="1"/>
  <c r="X51" i="1"/>
  <c r="DR51" i="1" s="1"/>
  <c r="ET51" i="1" s="1"/>
  <c r="AK12" i="48"/>
  <c r="X44" i="1"/>
  <c r="DR44" i="1" s="1"/>
  <c r="ET44" i="1" s="1"/>
  <c r="DI145" i="1"/>
  <c r="EK145" i="1" s="1"/>
  <c r="DI63" i="1"/>
  <c r="EK63" i="1" s="1"/>
  <c r="CN218" i="1"/>
  <c r="Y57" i="8"/>
  <c r="AF49" i="1"/>
  <c r="CL82" i="1"/>
  <c r="AF116" i="1"/>
  <c r="CR114" i="1"/>
  <c r="AG138" i="1"/>
  <c r="R123" i="1"/>
  <c r="X14" i="1"/>
  <c r="AC161" i="2"/>
  <c r="AD161" i="2" s="1"/>
  <c r="V334" i="2"/>
  <c r="CP12" i="1"/>
  <c r="DV179" i="1"/>
  <c r="AF10" i="58"/>
  <c r="CR82" i="1"/>
  <c r="CR128" i="1"/>
  <c r="DK212" i="1"/>
  <c r="EM212" i="1" s="1"/>
  <c r="BL61" i="1"/>
  <c r="BZ61" i="1" s="1"/>
  <c r="CW157" i="1"/>
  <c r="AL10" i="1"/>
  <c r="CI211" i="1"/>
  <c r="X21" i="1"/>
  <c r="DR21" i="1" s="1"/>
  <c r="ET21" i="1" s="1"/>
  <c r="U200" i="2"/>
  <c r="Z200" i="2" s="1"/>
  <c r="DI29" i="1"/>
  <c r="EK29" i="1" s="1"/>
  <c r="R122" i="1"/>
  <c r="CO71" i="1"/>
  <c r="AH186" i="1"/>
  <c r="AE184" i="1"/>
  <c r="CI146" i="1"/>
  <c r="CO94" i="1"/>
  <c r="BM50" i="1"/>
  <c r="CA50" i="1" s="1"/>
  <c r="CY127" i="1"/>
  <c r="CP41" i="1"/>
  <c r="CR212" i="1"/>
  <c r="CR142" i="1"/>
  <c r="AL56" i="1"/>
  <c r="AF86" i="1"/>
  <c r="AI84" i="1"/>
  <c r="AE71" i="1"/>
  <c r="CP53" i="1"/>
  <c r="CO66" i="1"/>
  <c r="AH121" i="1"/>
  <c r="T186" i="1"/>
  <c r="W114" i="1"/>
  <c r="EC35" i="8"/>
  <c r="AH87" i="1"/>
  <c r="T77" i="1"/>
  <c r="T75" i="1"/>
  <c r="CK138" i="1"/>
  <c r="AE144" i="1"/>
  <c r="CL73" i="1"/>
  <c r="ET132" i="1"/>
  <c r="CJ122" i="1"/>
  <c r="Q142" i="1"/>
  <c r="Q146" i="1"/>
  <c r="DK146" i="1" s="1"/>
  <c r="EM146" i="1" s="1"/>
  <c r="X116" i="2"/>
  <c r="AC116" i="2" s="1"/>
  <c r="AD116" i="2" s="1"/>
  <c r="DK9" i="8"/>
  <c r="EM9" i="8" s="1"/>
  <c r="M8" i="44" s="1"/>
  <c r="AJ61" i="1"/>
  <c r="S117" i="1"/>
  <c r="AJ63" i="1"/>
  <c r="U183" i="2"/>
  <c r="Z183" i="2" s="1"/>
  <c r="Z9" i="2"/>
  <c r="CJ161" i="1"/>
  <c r="BF22" i="1"/>
  <c r="BT22" i="1" s="1"/>
  <c r="U78" i="1"/>
  <c r="DO78" i="1" s="1"/>
  <c r="EQ78" i="1" s="1"/>
  <c r="BH59" i="1"/>
  <c r="BV59" i="1" s="1"/>
  <c r="ET87" i="1"/>
  <c r="BM51" i="1"/>
  <c r="CA51" i="1" s="1"/>
  <c r="CJ39" i="1"/>
  <c r="CI34" i="1"/>
  <c r="CJ143" i="1"/>
  <c r="T88" i="1"/>
  <c r="BJ88" i="1" s="1"/>
  <c r="BX88" i="1" s="1"/>
  <c r="CW5" i="1"/>
  <c r="CR65" i="1"/>
  <c r="AP19" i="48"/>
  <c r="CR117" i="1"/>
  <c r="CR181" i="1"/>
  <c r="AM11" i="48"/>
  <c r="DT184" i="1"/>
  <c r="AI77" i="58"/>
  <c r="F60" i="6"/>
  <c r="F82" i="6"/>
  <c r="F119" i="6" s="1"/>
  <c r="EE5" i="1"/>
  <c r="T71" i="36"/>
  <c r="DZ22" i="8"/>
  <c r="EI86" i="1"/>
  <c r="CP26" i="1"/>
  <c r="Q223" i="1"/>
  <c r="DK223" i="1" s="1"/>
  <c r="EM223" i="1" s="1"/>
  <c r="X47" i="1"/>
  <c r="DR47" i="1" s="1"/>
  <c r="ET47" i="1" s="1"/>
  <c r="BL210" i="1"/>
  <c r="BZ210" i="1" s="1"/>
  <c r="DR17" i="1"/>
  <c r="ET17" i="1" s="1"/>
  <c r="T10" i="36"/>
  <c r="CR88" i="1"/>
  <c r="R129" i="1"/>
  <c r="DL129" i="1" s="1"/>
  <c r="X200" i="2"/>
  <c r="DX49" i="1" s="1"/>
  <c r="CR32" i="1"/>
  <c r="K69" i="48"/>
  <c r="L69" i="48" s="1"/>
  <c r="CO67" i="1"/>
  <c r="CR214" i="1"/>
  <c r="ET32" i="1"/>
  <c r="AF129" i="1"/>
  <c r="BK32" i="1"/>
  <c r="BY32" i="1" s="1"/>
  <c r="BJ38" i="1"/>
  <c r="BX38" i="1" s="1"/>
  <c r="CP20" i="1"/>
  <c r="CI223" i="1"/>
  <c r="T183" i="1"/>
  <c r="AD34" i="1"/>
  <c r="BF34" i="1" s="1"/>
  <c r="BT34" i="1" s="1"/>
  <c r="AD49" i="1"/>
  <c r="O129" i="35"/>
  <c r="W67" i="1"/>
  <c r="DQ67" i="1" s="1"/>
  <c r="ES67" i="1" s="1"/>
  <c r="DI69" i="8"/>
  <c r="EK69" i="8" s="1"/>
  <c r="V167" i="2"/>
  <c r="Z167" i="2"/>
  <c r="T9" i="1"/>
  <c r="AH7" i="58"/>
  <c r="J7" i="58" s="1"/>
  <c r="CL13" i="1"/>
  <c r="AH13" i="1"/>
  <c r="T13" i="1"/>
  <c r="CL15" i="1"/>
  <c r="T15" i="1"/>
  <c r="DN15" i="1" s="1"/>
  <c r="EP15" i="1" s="1"/>
  <c r="T22" i="1"/>
  <c r="CL22" i="1"/>
  <c r="T24" i="1"/>
  <c r="AM22" i="48"/>
  <c r="AM14" i="48"/>
  <c r="CL26" i="1"/>
  <c r="P7" i="36"/>
  <c r="AH32" i="1"/>
  <c r="AH38" i="1"/>
  <c r="CL38" i="1"/>
  <c r="CP42" i="1"/>
  <c r="BF37" i="8"/>
  <c r="BT37" i="8" s="1"/>
  <c r="DJ37" i="8"/>
  <c r="EL37" i="8" s="1"/>
  <c r="BK74" i="1"/>
  <c r="BY74" i="1" s="1"/>
  <c r="DG27" i="8"/>
  <c r="AC37" i="1"/>
  <c r="BE37" i="1" s="1"/>
  <c r="BS37" i="1" s="1"/>
  <c r="CP15" i="1"/>
  <c r="AF131" i="1"/>
  <c r="BH131" i="1" s="1"/>
  <c r="BV131" i="1" s="1"/>
  <c r="AL32" i="1"/>
  <c r="CP11" i="1"/>
  <c r="AL11" i="1"/>
  <c r="X24" i="1"/>
  <c r="DR24" i="1" s="1"/>
  <c r="ET24" i="1" s="1"/>
  <c r="AL24" i="1"/>
  <c r="X55" i="1"/>
  <c r="AQ16" i="48"/>
  <c r="AL60" i="1"/>
  <c r="CP60" i="1"/>
  <c r="CP65" i="1"/>
  <c r="X65" i="1"/>
  <c r="BN65" i="1" s="1"/>
  <c r="CB65" i="1" s="1"/>
  <c r="AI74" i="1"/>
  <c r="CM74" i="1"/>
  <c r="T78" i="1"/>
  <c r="DN78" i="1" s="1"/>
  <c r="AH78" i="1"/>
  <c r="AG84" i="1"/>
  <c r="CK84" i="1"/>
  <c r="AF117" i="1"/>
  <c r="BH117" i="1" s="1"/>
  <c r="BV117" i="1" s="1"/>
  <c r="CJ117" i="1"/>
  <c r="R119" i="1"/>
  <c r="CJ119" i="1"/>
  <c r="CR119" i="1"/>
  <c r="CJ126" i="1"/>
  <c r="CR126" i="1"/>
  <c r="R137" i="1"/>
  <c r="DL137" i="1" s="1"/>
  <c r="CJ137" i="1"/>
  <c r="Q143" i="1"/>
  <c r="DK143" i="1" s="1"/>
  <c r="EM143" i="1" s="1"/>
  <c r="CI143" i="1"/>
  <c r="AE148" i="1"/>
  <c r="CI148" i="1"/>
  <c r="Q159" i="1"/>
  <c r="CI159" i="1"/>
  <c r="AE159" i="1"/>
  <c r="CI161" i="1"/>
  <c r="CR161" i="1"/>
  <c r="Q161" i="1"/>
  <c r="DK161" i="1" s="1"/>
  <c r="Q174" i="1"/>
  <c r="DK174" i="1" s="1"/>
  <c r="AE174" i="1"/>
  <c r="AE179" i="1"/>
  <c r="Q179" i="1"/>
  <c r="AE185" i="1"/>
  <c r="CI185" i="1"/>
  <c r="Q224" i="1"/>
  <c r="DK224" i="1" s="1"/>
  <c r="CR224" i="1"/>
  <c r="CI224" i="1"/>
  <c r="AE214" i="1"/>
  <c r="Q214" i="1"/>
  <c r="CI216" i="1"/>
  <c r="CR216" i="1"/>
  <c r="AH163" i="1"/>
  <c r="P20" i="36"/>
  <c r="T163" i="1"/>
  <c r="CZ157" i="1"/>
  <c r="AH136" i="1"/>
  <c r="P19" i="36"/>
  <c r="T136" i="1"/>
  <c r="P21" i="36"/>
  <c r="CZ207" i="1"/>
  <c r="P69" i="36"/>
  <c r="AM104" i="48"/>
  <c r="R71" i="36"/>
  <c r="K54" i="8"/>
  <c r="DE54" i="8" s="1"/>
  <c r="CQ51" i="8"/>
  <c r="AC55" i="8"/>
  <c r="CU51" i="8"/>
  <c r="AK93" i="1"/>
  <c r="CR93" i="1"/>
  <c r="W95" i="1"/>
  <c r="CO95" i="1"/>
  <c r="DQ150" i="1"/>
  <c r="ES150" i="1" s="1"/>
  <c r="BM150" i="1"/>
  <c r="CA150" i="1" s="1"/>
  <c r="S206" i="1"/>
  <c r="AG206" i="1"/>
  <c r="CK206" i="1"/>
  <c r="S81" i="1"/>
  <c r="AG81" i="1"/>
  <c r="Q67" i="36"/>
  <c r="R76" i="36"/>
  <c r="AH47" i="1"/>
  <c r="AJ122" i="1"/>
  <c r="CN86" i="1"/>
  <c r="CL47" i="1"/>
  <c r="AH42" i="1"/>
  <c r="EB5" i="1"/>
  <c r="ES138" i="1"/>
  <c r="CI133" i="1"/>
  <c r="AG151" i="1"/>
  <c r="EL26" i="8"/>
  <c r="AL82" i="1"/>
  <c r="AF16" i="8"/>
  <c r="AE133" i="1"/>
  <c r="CR77" i="1"/>
  <c r="V135" i="1"/>
  <c r="V116" i="1"/>
  <c r="BL116" i="1" s="1"/>
  <c r="BZ116" i="1" s="1"/>
  <c r="AH147" i="1"/>
  <c r="ET130" i="1"/>
  <c r="W54" i="8"/>
  <c r="AJ108" i="1"/>
  <c r="S151" i="1"/>
  <c r="BI151" i="1" s="1"/>
  <c r="BW151" i="1" s="1"/>
  <c r="ER122" i="1"/>
  <c r="DB115" i="1"/>
  <c r="CM162" i="1"/>
  <c r="J215" i="35" s="1"/>
  <c r="CN122" i="1"/>
  <c r="DN32" i="8"/>
  <c r="ER182" i="1"/>
  <c r="EN14" i="1"/>
  <c r="EM206" i="1"/>
  <c r="AL109" i="48"/>
  <c r="AI142" i="1"/>
  <c r="CL50" i="1"/>
  <c r="AL18" i="48"/>
  <c r="AL7" i="48"/>
  <c r="CH193" i="1"/>
  <c r="X9" i="8"/>
  <c r="AI184" i="1"/>
  <c r="T52" i="1"/>
  <c r="V86" i="1"/>
  <c r="DL63" i="8"/>
  <c r="EN63" i="8" s="1"/>
  <c r="BH63" i="8"/>
  <c r="BV63" i="8" s="1"/>
  <c r="H81" i="36"/>
  <c r="G81" i="36" s="1"/>
  <c r="DZ105" i="1"/>
  <c r="DT105" i="1" s="1"/>
  <c r="L93" i="60"/>
  <c r="I93" i="60" s="1"/>
  <c r="V379" i="2"/>
  <c r="Z379" i="2"/>
  <c r="BD100" i="1"/>
  <c r="BR100" i="1" s="1"/>
  <c r="DH100" i="1"/>
  <c r="EJ100" i="1" s="1"/>
  <c r="BD201" i="1"/>
  <c r="BR201" i="1" s="1"/>
  <c r="DH201" i="1"/>
  <c r="EJ201" i="1" s="1"/>
  <c r="AC244" i="2"/>
  <c r="AD244" i="2" s="1"/>
  <c r="DX100" i="1"/>
  <c r="DT100" i="1" s="1"/>
  <c r="DP60" i="8"/>
  <c r="AC80" i="2"/>
  <c r="AD80" i="2" s="1"/>
  <c r="V27" i="2"/>
  <c r="Z27" i="2"/>
  <c r="D36" i="20" s="1"/>
  <c r="AC198" i="2"/>
  <c r="AD198" i="2" s="1"/>
  <c r="DR34" i="8"/>
  <c r="DX129" i="1"/>
  <c r="EL129" i="1" s="1"/>
  <c r="AG5" i="44"/>
  <c r="DB46" i="8"/>
  <c r="O10" i="36"/>
  <c r="AF7" i="58"/>
  <c r="CK14" i="1"/>
  <c r="R21" i="1"/>
  <c r="BH21" i="1" s="1"/>
  <c r="BV21" i="1" s="1"/>
  <c r="BD145" i="1"/>
  <c r="BR145" i="1" s="1"/>
  <c r="AG21" i="1"/>
  <c r="T134" i="1"/>
  <c r="CK159" i="1"/>
  <c r="CY173" i="1"/>
  <c r="DM185" i="1"/>
  <c r="EO185" i="1" s="1"/>
  <c r="DB157" i="1"/>
  <c r="CJ44" i="1"/>
  <c r="Z141" i="2"/>
  <c r="AG216" i="1"/>
  <c r="CO138" i="1"/>
  <c r="AH162" i="1"/>
  <c r="CN78" i="1"/>
  <c r="U86" i="1"/>
  <c r="CI68" i="1"/>
  <c r="EK52" i="8"/>
  <c r="AJ15" i="48"/>
  <c r="CK21" i="1"/>
  <c r="DT223" i="1"/>
  <c r="R56" i="1"/>
  <c r="BH56" i="1" s="1"/>
  <c r="BV56" i="1" s="1"/>
  <c r="CY157" i="1"/>
  <c r="Z67" i="2"/>
  <c r="AP9" i="48"/>
  <c r="N18" i="36"/>
  <c r="AH142" i="1"/>
  <c r="AF16" i="1"/>
  <c r="O7" i="36"/>
  <c r="AJ136" i="1"/>
  <c r="AI81" i="1"/>
  <c r="AE206" i="1"/>
  <c r="U16" i="8"/>
  <c r="CN163" i="1"/>
  <c r="Q66" i="1"/>
  <c r="AH106" i="48"/>
  <c r="AJ163" i="1"/>
  <c r="BH14" i="1"/>
  <c r="BV14" i="1" s="1"/>
  <c r="AF36" i="1"/>
  <c r="CE106" i="1"/>
  <c r="AG7" i="58"/>
  <c r="AF44" i="1"/>
  <c r="R29" i="1"/>
  <c r="AF10" i="1"/>
  <c r="AE66" i="1"/>
  <c r="O6" i="36"/>
  <c r="BE63" i="8"/>
  <c r="BS63" i="8" s="1"/>
  <c r="R8" i="1"/>
  <c r="BH8" i="1" s="1"/>
  <c r="BV8" i="1" s="1"/>
  <c r="R12" i="1"/>
  <c r="DL12" i="1" s="1"/>
  <c r="EN12" i="1" s="1"/>
  <c r="DP78" i="1"/>
  <c r="ER78" i="1" s="1"/>
  <c r="CR56" i="1"/>
  <c r="AK10" i="58"/>
  <c r="DL16" i="1"/>
  <c r="EN16" i="1" s="1"/>
  <c r="CR166" i="1"/>
  <c r="CK179" i="1"/>
  <c r="S145" i="1"/>
  <c r="DM145" i="1" s="1"/>
  <c r="EO145" i="1" s="1"/>
  <c r="AL16" i="48"/>
  <c r="AG57" i="1"/>
  <c r="BL79" i="1"/>
  <c r="BZ79" i="1" s="1"/>
  <c r="CJ64" i="1"/>
  <c r="U116" i="1"/>
  <c r="BK116" i="1" s="1"/>
  <c r="BY116" i="1" s="1"/>
  <c r="CJ14" i="1"/>
  <c r="CR66" i="1"/>
  <c r="AK15" i="48"/>
  <c r="CJ59" i="1"/>
  <c r="CR81" i="1"/>
  <c r="AI123" i="1"/>
  <c r="R6" i="1"/>
  <c r="W82" i="1"/>
  <c r="DQ82" i="1" s="1"/>
  <c r="ES82" i="1" s="1"/>
  <c r="AH184" i="1"/>
  <c r="AE92" i="1"/>
  <c r="AK10" i="48"/>
  <c r="CN138" i="1"/>
  <c r="V138" i="1"/>
  <c r="Q30" i="1"/>
  <c r="BG30" i="1" s="1"/>
  <c r="BU30" i="1" s="1"/>
  <c r="CI94" i="1"/>
  <c r="W109" i="1"/>
  <c r="BM109" i="1" s="1"/>
  <c r="CA109" i="1" s="1"/>
  <c r="DM21" i="1"/>
  <c r="EO21" i="1" s="1"/>
  <c r="AF59" i="1"/>
  <c r="U7" i="1"/>
  <c r="AJ166" i="1"/>
  <c r="BL18" i="1"/>
  <c r="BZ18" i="1" s="1"/>
  <c r="AF41" i="1"/>
  <c r="AE94" i="1"/>
  <c r="BG94" i="1" s="1"/>
  <c r="BU94" i="1" s="1"/>
  <c r="EK34" i="8"/>
  <c r="AJ147" i="1"/>
  <c r="DL44" i="1"/>
  <c r="EN44" i="1" s="1"/>
  <c r="DT35" i="8"/>
  <c r="CR53" i="1"/>
  <c r="CR39" i="1"/>
  <c r="CK224" i="1"/>
  <c r="AG174" i="1"/>
  <c r="BL209" i="1"/>
  <c r="BZ209" i="1" s="1"/>
  <c r="CN61" i="1"/>
  <c r="T142" i="1"/>
  <c r="BJ142" i="1" s="1"/>
  <c r="BX142" i="1" s="1"/>
  <c r="U123" i="1"/>
  <c r="T212" i="1"/>
  <c r="CJ25" i="1"/>
  <c r="R23" i="1"/>
  <c r="DL23" i="1" s="1"/>
  <c r="EN23" i="1" s="1"/>
  <c r="AJ183" i="1"/>
  <c r="S15" i="36"/>
  <c r="AE114" i="1"/>
  <c r="AG187" i="1"/>
  <c r="CJ19" i="1"/>
  <c r="BH25" i="1"/>
  <c r="BV25" i="1" s="1"/>
  <c r="R41" i="1"/>
  <c r="BH41" i="1" s="1"/>
  <c r="BV41" i="1" s="1"/>
  <c r="Q92" i="1"/>
  <c r="CA53" i="8"/>
  <c r="AF70" i="1"/>
  <c r="CI114" i="1"/>
  <c r="AF29" i="1"/>
  <c r="DT7" i="1"/>
  <c r="CZ127" i="1"/>
  <c r="EQ143" i="1"/>
  <c r="N6" i="36"/>
  <c r="AF14" i="1"/>
  <c r="CJ16" i="1"/>
  <c r="AD206" i="1"/>
  <c r="AX10" i="8"/>
  <c r="BL10" i="8" s="1"/>
  <c r="DB10" i="8"/>
  <c r="ED10" i="8" s="1"/>
  <c r="D9" i="44" s="1"/>
  <c r="DJ30" i="1"/>
  <c r="EL30" i="1" s="1"/>
  <c r="BF30" i="1"/>
  <c r="BT30" i="1" s="1"/>
  <c r="BG15" i="1"/>
  <c r="BU15" i="1" s="1"/>
  <c r="V332" i="2"/>
  <c r="AC168" i="2"/>
  <c r="AD168" i="2" s="1"/>
  <c r="DW53" i="1"/>
  <c r="EK53" i="1" s="1"/>
  <c r="BE35" i="1"/>
  <c r="BS35" i="1" s="1"/>
  <c r="DI35" i="1"/>
  <c r="EK35" i="1" s="1"/>
  <c r="BN26" i="1"/>
  <c r="CB26" i="1" s="1"/>
  <c r="DR26" i="1"/>
  <c r="ET26" i="1" s="1"/>
  <c r="CI19" i="1"/>
  <c r="AE51" i="1"/>
  <c r="N108" i="1"/>
  <c r="BD108" i="1" s="1"/>
  <c r="BR108" i="1" s="1"/>
  <c r="M106" i="1"/>
  <c r="BC106" i="1" s="1"/>
  <c r="BQ106" i="1" s="1"/>
  <c r="EB127" i="1"/>
  <c r="AI107" i="1"/>
  <c r="DU17" i="1"/>
  <c r="EI17" i="1" s="1"/>
  <c r="DQ139" i="1"/>
  <c r="ES139" i="1" s="1"/>
  <c r="CM166" i="1"/>
  <c r="R143" i="1"/>
  <c r="CK125" i="1"/>
  <c r="AF181" i="1"/>
  <c r="Q91" i="1"/>
  <c r="AJ179" i="1"/>
  <c r="S131" i="1"/>
  <c r="CN148" i="1"/>
  <c r="X137" i="1"/>
  <c r="DR137" i="1" s="1"/>
  <c r="ET137" i="1" s="1"/>
  <c r="BL185" i="1"/>
  <c r="BZ185" i="1" s="1"/>
  <c r="AJ161" i="1"/>
  <c r="EK56" i="1"/>
  <c r="DN68" i="1"/>
  <c r="EP68" i="1" s="1"/>
  <c r="CI41" i="1"/>
  <c r="Q41" i="1"/>
  <c r="CM139" i="1"/>
  <c r="CJ176" i="1"/>
  <c r="R10" i="36"/>
  <c r="AJ10" i="58"/>
  <c r="AK11" i="48"/>
  <c r="P66" i="36"/>
  <c r="DW29" i="8"/>
  <c r="P79" i="36"/>
  <c r="DW68" i="8"/>
  <c r="AK109" i="1"/>
  <c r="Z17" i="2"/>
  <c r="CM163" i="1"/>
  <c r="J216" i="35" s="1"/>
  <c r="CO129" i="1"/>
  <c r="O22" i="36"/>
  <c r="S125" i="1"/>
  <c r="AG131" i="1"/>
  <c r="V179" i="1"/>
  <c r="CP95" i="1"/>
  <c r="AG102" i="1"/>
  <c r="CR176" i="1"/>
  <c r="U37" i="1"/>
  <c r="U209" i="1"/>
  <c r="AL21" i="1"/>
  <c r="AK126" i="1"/>
  <c r="CJ181" i="1"/>
  <c r="CP31" i="1"/>
  <c r="AJ181" i="1"/>
  <c r="V181" i="1"/>
  <c r="CF108" i="1"/>
  <c r="DZ34" i="1"/>
  <c r="EN34" i="1" s="1"/>
  <c r="DJ123" i="1"/>
  <c r="EL123" i="1" s="1"/>
  <c r="AE10" i="1"/>
  <c r="U61" i="1"/>
  <c r="AL31" i="1"/>
  <c r="AK88" i="1"/>
  <c r="CN174" i="1"/>
  <c r="DB222" i="1"/>
  <c r="CL105" i="1"/>
  <c r="CM49" i="1"/>
  <c r="V155" i="2"/>
  <c r="Z290" i="2"/>
  <c r="BG8" i="1"/>
  <c r="BU8" i="1" s="1"/>
  <c r="CI17" i="1"/>
  <c r="AE186" i="1"/>
  <c r="AF161" i="1"/>
  <c r="BH161" i="1" s="1"/>
  <c r="BV161" i="1" s="1"/>
  <c r="DR56" i="1"/>
  <c r="ET56" i="1" s="1"/>
  <c r="AF83" i="1"/>
  <c r="V159" i="1"/>
  <c r="DP159" i="1" s="1"/>
  <c r="V148" i="1"/>
  <c r="CO134" i="1"/>
  <c r="CK102" i="1"/>
  <c r="CN74" i="1"/>
  <c r="AK139" i="1"/>
  <c r="DQ134" i="1"/>
  <c r="ES134" i="1" s="1"/>
  <c r="CN224" i="1"/>
  <c r="X88" i="1"/>
  <c r="BN88" i="1" s="1"/>
  <c r="CB88" i="1" s="1"/>
  <c r="EG50" i="8"/>
  <c r="AH105" i="1"/>
  <c r="BL123" i="1"/>
  <c r="BZ123" i="1" s="1"/>
  <c r="AG7" i="1"/>
  <c r="CK7" i="1"/>
  <c r="CI15" i="1"/>
  <c r="AE15" i="1"/>
  <c r="AJ7" i="48"/>
  <c r="Q20" i="1"/>
  <c r="AE20" i="1"/>
  <c r="AE22" i="1"/>
  <c r="Q22" i="1"/>
  <c r="BG22" i="1" s="1"/>
  <c r="BU22" i="1" s="1"/>
  <c r="CI22" i="1"/>
  <c r="CI38" i="1"/>
  <c r="Q38" i="1"/>
  <c r="Q40" i="1"/>
  <c r="DK40" i="1" s="1"/>
  <c r="CI40" i="1"/>
  <c r="CI45" i="1"/>
  <c r="Q45" i="1"/>
  <c r="DK47" i="1"/>
  <c r="EM47" i="1" s="1"/>
  <c r="BG47" i="1"/>
  <c r="BU47" i="1" s="1"/>
  <c r="Q65" i="1"/>
  <c r="CI65" i="1"/>
  <c r="AL66" i="1"/>
  <c r="AQ15" i="48"/>
  <c r="X66" i="1"/>
  <c r="BN66" i="1" s="1"/>
  <c r="CB66" i="1" s="1"/>
  <c r="AI77" i="1"/>
  <c r="U77" i="1"/>
  <c r="BK77" i="1" s="1"/>
  <c r="BY77" i="1" s="1"/>
  <c r="AN15" i="48"/>
  <c r="AI82" i="1"/>
  <c r="U82" i="1"/>
  <c r="U83" i="1"/>
  <c r="CM83" i="1"/>
  <c r="S122" i="1"/>
  <c r="AG122" i="1"/>
  <c r="AG130" i="1"/>
  <c r="S130" i="1"/>
  <c r="DM132" i="1"/>
  <c r="EO132" i="1" s="1"/>
  <c r="BI132" i="1"/>
  <c r="BW132" i="1" s="1"/>
  <c r="DL146" i="1"/>
  <c r="EN146" i="1" s="1"/>
  <c r="BH146" i="1"/>
  <c r="BV146" i="1" s="1"/>
  <c r="AF162" i="1"/>
  <c r="CR162" i="1"/>
  <c r="R180" i="1"/>
  <c r="DL180" i="1" s="1"/>
  <c r="CJ180" i="1"/>
  <c r="AI160" i="1"/>
  <c r="Q15" i="36"/>
  <c r="CR160" i="1"/>
  <c r="U164" i="1"/>
  <c r="AI164" i="1"/>
  <c r="CM164" i="1"/>
  <c r="AI121" i="1"/>
  <c r="U121" i="1"/>
  <c r="U186" i="1"/>
  <c r="CM186" i="1"/>
  <c r="AI186" i="1"/>
  <c r="AI62" i="1"/>
  <c r="CM62" i="1"/>
  <c r="AN11" i="48"/>
  <c r="CM87" i="1"/>
  <c r="U87" i="1"/>
  <c r="AI87" i="1"/>
  <c r="CM182" i="1"/>
  <c r="U182" i="1"/>
  <c r="BK182" i="1" s="1"/>
  <c r="BY182" i="1" s="1"/>
  <c r="AI182" i="1"/>
  <c r="AJ210" i="1"/>
  <c r="CR210" i="1"/>
  <c r="CN210" i="1"/>
  <c r="DA70" i="8"/>
  <c r="AW70" i="8"/>
  <c r="BK70" i="8" s="1"/>
  <c r="CH53" i="8"/>
  <c r="P53" i="8"/>
  <c r="V55" i="8"/>
  <c r="BZ55" i="8"/>
  <c r="L57" i="8"/>
  <c r="DF57" i="8" s="1"/>
  <c r="Z57" i="8"/>
  <c r="BF40" i="8"/>
  <c r="BT40" i="8" s="1"/>
  <c r="F40" i="8"/>
  <c r="AV40" i="8" s="1"/>
  <c r="BJ40" i="8" s="1"/>
  <c r="Z279" i="2"/>
  <c r="AF146" i="1"/>
  <c r="AF180" i="1"/>
  <c r="CI60" i="1"/>
  <c r="CP68" i="1"/>
  <c r="U73" i="1"/>
  <c r="AE47" i="1"/>
  <c r="AL71" i="1"/>
  <c r="Z251" i="2"/>
  <c r="V251" i="2"/>
  <c r="W7" i="1"/>
  <c r="CO7" i="1"/>
  <c r="BL62" i="1"/>
  <c r="BZ62" i="1" s="1"/>
  <c r="BM97" i="1"/>
  <c r="CA97" i="1" s="1"/>
  <c r="DQ97" i="1"/>
  <c r="ES97" i="1" s="1"/>
  <c r="BD15" i="1"/>
  <c r="BR15" i="1" s="1"/>
  <c r="DH15" i="1"/>
  <c r="EJ15" i="1" s="1"/>
  <c r="DO53" i="8"/>
  <c r="DQ61" i="8"/>
  <c r="R40" i="1"/>
  <c r="BM172" i="1"/>
  <c r="CA172" i="1" s="1"/>
  <c r="V215" i="1"/>
  <c r="H17" i="8"/>
  <c r="AX17" i="8" s="1"/>
  <c r="BL17" i="8" s="1"/>
  <c r="CF101" i="1"/>
  <c r="Y3" i="2"/>
  <c r="AL77" i="58"/>
  <c r="DN8" i="8"/>
  <c r="AQ8" i="48"/>
  <c r="CR11" i="1"/>
  <c r="CR13" i="1"/>
  <c r="AJ9" i="58"/>
  <c r="CR24" i="1"/>
  <c r="CR50" i="1"/>
  <c r="CR52" i="1"/>
  <c r="AN19" i="48"/>
  <c r="AK22" i="48"/>
  <c r="CR78" i="1"/>
  <c r="AJ9" i="48"/>
  <c r="AL10" i="58"/>
  <c r="CR149" i="1"/>
  <c r="AM107" i="48"/>
  <c r="ED207" i="1"/>
  <c r="F44" i="6"/>
  <c r="S77" i="36"/>
  <c r="CL52" i="8"/>
  <c r="DA173" i="1"/>
  <c r="CR94" i="1"/>
  <c r="AF52" i="1"/>
  <c r="R9" i="1"/>
  <c r="DL9" i="1" s="1"/>
  <c r="AE37" i="1"/>
  <c r="BG37" i="1" s="1"/>
  <c r="BU37" i="1" s="1"/>
  <c r="AF65" i="1"/>
  <c r="R116" i="1"/>
  <c r="CL75" i="1"/>
  <c r="CJ123" i="1"/>
  <c r="AE129" i="1"/>
  <c r="DN166" i="1"/>
  <c r="EP166" i="1" s="1"/>
  <c r="S76" i="1"/>
  <c r="DM76" i="1" s="1"/>
  <c r="T160" i="1"/>
  <c r="CO96" i="1"/>
  <c r="T87" i="1"/>
  <c r="CK63" i="1"/>
  <c r="AG99" i="1"/>
  <c r="CR152" i="1"/>
  <c r="CO217" i="1"/>
  <c r="K24" i="8"/>
  <c r="DE24" i="8" s="1"/>
  <c r="EG24" i="8" s="1"/>
  <c r="AO164" i="48"/>
  <c r="CG139" i="1"/>
  <c r="AB163" i="1"/>
  <c r="CO172" i="1"/>
  <c r="AH11" i="58"/>
  <c r="AL94" i="1"/>
  <c r="X114" i="1"/>
  <c r="DS55" i="8"/>
  <c r="V54" i="2"/>
  <c r="CI76" i="1"/>
  <c r="AL92" i="1"/>
  <c r="Z24" i="2"/>
  <c r="CM40" i="1"/>
  <c r="AS117" i="48"/>
  <c r="P19" i="51" s="1"/>
  <c r="AG164" i="48"/>
  <c r="ER6" i="1"/>
  <c r="AI24" i="1"/>
  <c r="AF45" i="1"/>
  <c r="U65" i="1"/>
  <c r="R47" i="1"/>
  <c r="AI15" i="1"/>
  <c r="CK78" i="1"/>
  <c r="EJ145" i="1"/>
  <c r="DP40" i="1"/>
  <c r="ER40" i="1" s="1"/>
  <c r="BL40" i="1"/>
  <c r="BZ40" i="1" s="1"/>
  <c r="BI73" i="1"/>
  <c r="BW73" i="1" s="1"/>
  <c r="V22" i="1"/>
  <c r="DP22" i="1" s="1"/>
  <c r="ER22" i="1" s="1"/>
  <c r="T79" i="36"/>
  <c r="AF78" i="1"/>
  <c r="AK146" i="1"/>
  <c r="CR91" i="1"/>
  <c r="DF70" i="8"/>
  <c r="EH70" i="8" s="1"/>
  <c r="DJ30" i="8"/>
  <c r="EL30" i="8" s="1"/>
  <c r="BF30" i="8"/>
  <c r="BT30" i="8" s="1"/>
  <c r="AO22" i="48"/>
  <c r="AJ7" i="58"/>
  <c r="CR116" i="1"/>
  <c r="DC157" i="1"/>
  <c r="W142" i="1"/>
  <c r="DQ142" i="1" s="1"/>
  <c r="ES142" i="1" s="1"/>
  <c r="DW187" i="1"/>
  <c r="AC129" i="2"/>
  <c r="AD129" i="2" s="1"/>
  <c r="DZ135" i="1"/>
  <c r="AO9" i="48"/>
  <c r="AK9" i="58"/>
  <c r="R61" i="1"/>
  <c r="W144" i="1"/>
  <c r="AF183" i="1"/>
  <c r="AF163" i="1"/>
  <c r="V65" i="1"/>
  <c r="DP65" i="1" s="1"/>
  <c r="ER65" i="1" s="1"/>
  <c r="V32" i="1"/>
  <c r="BL32" i="1" s="1"/>
  <c r="BZ32" i="1" s="1"/>
  <c r="AJ22" i="1"/>
  <c r="DQ212" i="1"/>
  <c r="ES212" i="1" s="1"/>
  <c r="AL86" i="1"/>
  <c r="CR221" i="1"/>
  <c r="R139" i="1"/>
  <c r="DL139" i="1" s="1"/>
  <c r="EN139" i="1" s="1"/>
  <c r="V82" i="2"/>
  <c r="CO180" i="1"/>
  <c r="CN60" i="1"/>
  <c r="CR60" i="1"/>
  <c r="CJ78" i="1"/>
  <c r="R78" i="1"/>
  <c r="DL78" i="1" s="1"/>
  <c r="EN78" i="1" s="1"/>
  <c r="AL118" i="1"/>
  <c r="X118" i="1"/>
  <c r="DR118" i="1" s="1"/>
  <c r="CP122" i="1"/>
  <c r="X122" i="1"/>
  <c r="DR122" i="1" s="1"/>
  <c r="T57" i="36" s="1"/>
  <c r="T105" i="36" s="1"/>
  <c r="X123" i="1"/>
  <c r="AL123" i="1"/>
  <c r="CP123" i="1"/>
  <c r="CP135" i="1"/>
  <c r="X135" i="1"/>
  <c r="W149" i="1"/>
  <c r="BM149" i="1" s="1"/>
  <c r="CA149" i="1" s="1"/>
  <c r="CO149" i="1"/>
  <c r="BM175" i="1"/>
  <c r="CA175" i="1" s="1"/>
  <c r="DQ175" i="1"/>
  <c r="ES175" i="1" s="1"/>
  <c r="CO178" i="1"/>
  <c r="CR178" i="1"/>
  <c r="AK184" i="1"/>
  <c r="CO184" i="1"/>
  <c r="W208" i="1"/>
  <c r="BM208" i="1" s="1"/>
  <c r="CA208" i="1" s="1"/>
  <c r="S21" i="36"/>
  <c r="W215" i="1"/>
  <c r="CO215" i="1"/>
  <c r="AP18" i="48"/>
  <c r="BM221" i="1"/>
  <c r="CA221" i="1" s="1"/>
  <c r="DQ221" i="1"/>
  <c r="ES221" i="1" s="1"/>
  <c r="CJ136" i="1"/>
  <c r="AF136" i="1"/>
  <c r="R136" i="1"/>
  <c r="R63" i="1"/>
  <c r="DL63" i="1" s="1"/>
  <c r="CJ63" i="1"/>
  <c r="AF79" i="1"/>
  <c r="CJ79" i="1"/>
  <c r="CE55" i="8"/>
  <c r="M55" i="8"/>
  <c r="BC55" i="8" s="1"/>
  <c r="BQ55" i="8" s="1"/>
  <c r="CI57" i="8"/>
  <c r="Q57" i="8"/>
  <c r="CL57" i="8"/>
  <c r="AI150" i="1"/>
  <c r="DA127" i="1"/>
  <c r="CR7" i="1"/>
  <c r="CP118" i="1"/>
  <c r="CO212" i="1"/>
  <c r="CJ37" i="1"/>
  <c r="CR9" i="1"/>
  <c r="Z381" i="2"/>
  <c r="R7" i="36"/>
  <c r="AK175" i="1"/>
  <c r="CR208" i="1"/>
  <c r="V50" i="1"/>
  <c r="BL50" i="1" s="1"/>
  <c r="BZ50" i="1" s="1"/>
  <c r="EF127" i="1"/>
  <c r="N20" i="36"/>
  <c r="P74" i="36"/>
  <c r="V35" i="1"/>
  <c r="CO221" i="1"/>
  <c r="CP7" i="1"/>
  <c r="U93" i="1"/>
  <c r="BN195" i="1"/>
  <c r="CB195" i="1" s="1"/>
  <c r="DR195" i="1"/>
  <c r="ET195" i="1" s="1"/>
  <c r="R9" i="36"/>
  <c r="AQ12" i="48"/>
  <c r="AC178" i="2"/>
  <c r="AD178" i="2" s="1"/>
  <c r="AJ32" i="1"/>
  <c r="AK162" i="1"/>
  <c r="CN50" i="1"/>
  <c r="AK7" i="58"/>
  <c r="CR15" i="1"/>
  <c r="CW51" i="8"/>
  <c r="AJ26" i="1"/>
  <c r="AK149" i="1"/>
  <c r="CX157" i="1"/>
  <c r="AJ50" i="1"/>
  <c r="AL9" i="58"/>
  <c r="CN15" i="1"/>
  <c r="U95" i="1"/>
  <c r="AK144" i="1"/>
  <c r="CR57" i="1"/>
  <c r="CO142" i="1"/>
  <c r="BK8" i="1"/>
  <c r="BY8" i="1" s="1"/>
  <c r="DO8" i="1"/>
  <c r="EQ8" i="1" s="1"/>
  <c r="U12" i="1"/>
  <c r="DO12" i="1" s="1"/>
  <c r="EQ12" i="1" s="1"/>
  <c r="CM12" i="1"/>
  <c r="Z57" i="2"/>
  <c r="R13" i="36"/>
  <c r="BF26" i="8"/>
  <c r="BT26" i="8" s="1"/>
  <c r="AQ104" i="48"/>
  <c r="AO8" i="48"/>
  <c r="DQ162" i="1"/>
  <c r="ES162" i="1" s="1"/>
  <c r="V60" i="1"/>
  <c r="BL60" i="1" s="1"/>
  <c r="BZ60" i="1" s="1"/>
  <c r="AF61" i="1"/>
  <c r="AK221" i="1"/>
  <c r="AI93" i="1"/>
  <c r="CO208" i="1"/>
  <c r="BM211" i="1"/>
  <c r="CA211" i="1" s="1"/>
  <c r="AO21" i="48"/>
  <c r="AJ25" i="1"/>
  <c r="AK181" i="1"/>
  <c r="DQ143" i="1"/>
  <c r="ES143" i="1" s="1"/>
  <c r="ES35" i="1"/>
  <c r="AB101" i="1"/>
  <c r="CO174" i="1"/>
  <c r="AQ22" i="48"/>
  <c r="DN13" i="8"/>
  <c r="DN71" i="8"/>
  <c r="EB71" i="8" s="1"/>
  <c r="AJ39" i="1"/>
  <c r="CN46" i="1"/>
  <c r="AK216" i="1"/>
  <c r="BH82" i="1"/>
  <c r="BV82" i="1" s="1"/>
  <c r="AK143" i="1"/>
  <c r="CO88" i="1"/>
  <c r="CO126" i="1"/>
  <c r="BM129" i="1"/>
  <c r="CA129" i="1" s="1"/>
  <c r="CR12" i="1"/>
  <c r="EO56" i="1"/>
  <c r="ET74" i="1"/>
  <c r="CM102" i="1"/>
  <c r="CN105" i="1"/>
  <c r="AJ36" i="1"/>
  <c r="BM161" i="1"/>
  <c r="CA161" i="1" s="1"/>
  <c r="W148" i="1"/>
  <c r="AI71" i="1"/>
  <c r="U92" i="1"/>
  <c r="CM71" i="1"/>
  <c r="AJ44" i="1"/>
  <c r="AK9" i="48"/>
  <c r="AJ64" i="1"/>
  <c r="CP99" i="1"/>
  <c r="EO65" i="1"/>
  <c r="X58" i="8"/>
  <c r="CN29" i="1"/>
  <c r="AJ46" i="1"/>
  <c r="R87" i="1"/>
  <c r="W216" i="1"/>
  <c r="AK174" i="1"/>
  <c r="DQ181" i="1"/>
  <c r="ES181" i="1" s="1"/>
  <c r="AH218" i="1"/>
  <c r="AF110" i="48"/>
  <c r="AF157" i="48" s="1"/>
  <c r="AM115" i="48"/>
  <c r="F63" i="6"/>
  <c r="S70" i="36"/>
  <c r="V105" i="1"/>
  <c r="BL105" i="1" s="1"/>
  <c r="BZ105" i="1" s="1"/>
  <c r="P185" i="2"/>
  <c r="Q185" i="2" s="1"/>
  <c r="U185" i="2"/>
  <c r="Z185" i="2" s="1"/>
  <c r="X185" i="2"/>
  <c r="AC185" i="2" s="1"/>
  <c r="AD185" i="2" s="1"/>
  <c r="DG56" i="8"/>
  <c r="EL76" i="1"/>
  <c r="DQ178" i="1"/>
  <c r="ES178" i="1" s="1"/>
  <c r="DP55" i="1"/>
  <c r="ER55" i="1" s="1"/>
  <c r="BH79" i="1"/>
  <c r="BV79" i="1" s="1"/>
  <c r="DL79" i="1"/>
  <c r="EN79" i="1" s="1"/>
  <c r="BN22" i="1"/>
  <c r="CB22" i="1" s="1"/>
  <c r="DR22" i="1"/>
  <c r="ET22" i="1" s="1"/>
  <c r="BL103" i="1"/>
  <c r="BZ103" i="1" s="1"/>
  <c r="AK101" i="1"/>
  <c r="DV59" i="8"/>
  <c r="DN50" i="8"/>
  <c r="DT47" i="1"/>
  <c r="AR69" i="48"/>
  <c r="AB102" i="1"/>
  <c r="CO101" i="1"/>
  <c r="W106" i="1"/>
  <c r="BM106" i="1" s="1"/>
  <c r="CA106" i="1" s="1"/>
  <c r="Q109" i="1"/>
  <c r="DK109" i="1" s="1"/>
  <c r="EM109" i="1" s="1"/>
  <c r="AJ103" i="1"/>
  <c r="DG215" i="1"/>
  <c r="EI215" i="1" s="1"/>
  <c r="Z104" i="2"/>
  <c r="AI75" i="1"/>
  <c r="BI56" i="1"/>
  <c r="BW56" i="1" s="1"/>
  <c r="AI11" i="58"/>
  <c r="CK76" i="1"/>
  <c r="CF102" i="1"/>
  <c r="V159" i="2"/>
  <c r="AG31" i="1"/>
  <c r="AG36" i="1"/>
  <c r="CZ222" i="1"/>
  <c r="CK26" i="1"/>
  <c r="X68" i="1"/>
  <c r="AG53" i="1"/>
  <c r="BI53" i="1" s="1"/>
  <c r="BW53" i="1" s="1"/>
  <c r="W75" i="1"/>
  <c r="DG61" i="1"/>
  <c r="EI61" i="1" s="1"/>
  <c r="R22" i="36"/>
  <c r="CI20" i="1"/>
  <c r="CJ70" i="1"/>
  <c r="BF71" i="1"/>
  <c r="BT71" i="1" s="1"/>
  <c r="DX175" i="1"/>
  <c r="EL175" i="1" s="1"/>
  <c r="U134" i="1"/>
  <c r="AC107" i="1"/>
  <c r="P184" i="2"/>
  <c r="Q184" i="2" s="1"/>
  <c r="U184" i="2"/>
  <c r="V184" i="2" s="1"/>
  <c r="BK36" i="1"/>
  <c r="BY36" i="1" s="1"/>
  <c r="DO36" i="1"/>
  <c r="EQ36" i="1" s="1"/>
  <c r="AJ164" i="48"/>
  <c r="W122" i="1"/>
  <c r="CR122" i="1"/>
  <c r="CO123" i="1"/>
  <c r="AK123" i="1"/>
  <c r="W128" i="1"/>
  <c r="CO128" i="1"/>
  <c r="W130" i="1"/>
  <c r="CR130" i="1"/>
  <c r="CO132" i="1"/>
  <c r="S19" i="36"/>
  <c r="AK135" i="1"/>
  <c r="CR135" i="1"/>
  <c r="AE139" i="1"/>
  <c r="CI139" i="1"/>
  <c r="M22" i="36"/>
  <c r="V142" i="1"/>
  <c r="DB127" i="1"/>
  <c r="DP158" i="1"/>
  <c r="ER158" i="1" s="1"/>
  <c r="BL158" i="1"/>
  <c r="BZ158" i="1" s="1"/>
  <c r="V149" i="1"/>
  <c r="CN149" i="1"/>
  <c r="AJ162" i="1"/>
  <c r="CN162" i="1"/>
  <c r="V162" i="1"/>
  <c r="R20" i="36"/>
  <c r="V175" i="1"/>
  <c r="AJ175" i="1"/>
  <c r="DB173" i="1"/>
  <c r="AJ180" i="1"/>
  <c r="CR180" i="1"/>
  <c r="V184" i="1"/>
  <c r="CR184" i="1"/>
  <c r="DB207" i="1"/>
  <c r="V208" i="1"/>
  <c r="CN211" i="1"/>
  <c r="V211" i="1"/>
  <c r="T15" i="36"/>
  <c r="DD157" i="1"/>
  <c r="AL160" i="1"/>
  <c r="X121" i="1"/>
  <c r="AL121" i="1"/>
  <c r="X62" i="1"/>
  <c r="DR62" i="1" s="1"/>
  <c r="ET62" i="1" s="1"/>
  <c r="AL8" i="58"/>
  <c r="AL62" i="1"/>
  <c r="AQ11" i="48"/>
  <c r="CR62" i="1"/>
  <c r="AL73" i="1"/>
  <c r="X73" i="1"/>
  <c r="AJ77" i="58"/>
  <c r="DT48" i="1"/>
  <c r="DL26" i="8"/>
  <c r="EN26" i="8" s="1"/>
  <c r="BH26" i="8"/>
  <c r="BV26" i="8" s="1"/>
  <c r="Z95" i="2"/>
  <c r="V95" i="2"/>
  <c r="Z25" i="2"/>
  <c r="V25" i="2"/>
  <c r="EI162" i="1"/>
  <c r="I77" i="36"/>
  <c r="X7" i="1"/>
  <c r="T6" i="36"/>
  <c r="AL7" i="58"/>
  <c r="CN9" i="1"/>
  <c r="AJ9" i="1"/>
  <c r="V11" i="1"/>
  <c r="CN11" i="1"/>
  <c r="V13" i="1"/>
  <c r="AJ8" i="58"/>
  <c r="CN13" i="1"/>
  <c r="R16" i="36"/>
  <c r="AO10" i="48"/>
  <c r="AJ13" i="1"/>
  <c r="V15" i="1"/>
  <c r="DP15" i="1" s="1"/>
  <c r="ER15" i="1" s="1"/>
  <c r="AO7" i="48"/>
  <c r="AJ15" i="1"/>
  <c r="CN17" i="1"/>
  <c r="V17" i="1"/>
  <c r="AJ20" i="1"/>
  <c r="R8" i="36"/>
  <c r="CN20" i="1"/>
  <c r="AO13" i="48"/>
  <c r="V20" i="1"/>
  <c r="CN24" i="1"/>
  <c r="AJ24" i="1"/>
  <c r="V26" i="1"/>
  <c r="CR26" i="1"/>
  <c r="CN30" i="1"/>
  <c r="AO19" i="48"/>
  <c r="V30" i="1"/>
  <c r="AJ30" i="1"/>
  <c r="AJ38" i="1"/>
  <c r="CN38" i="1"/>
  <c r="R18" i="36"/>
  <c r="AJ40" i="1"/>
  <c r="CR40" i="1"/>
  <c r="AJ42" i="1"/>
  <c r="V42" i="1"/>
  <c r="DP42" i="1" s="1"/>
  <c r="ER42" i="1" s="1"/>
  <c r="AJ45" i="1"/>
  <c r="CN45" i="1"/>
  <c r="AJ47" i="1"/>
  <c r="V47" i="1"/>
  <c r="CN52" i="1"/>
  <c r="AJ52" i="1"/>
  <c r="V52" i="1"/>
  <c r="AJ55" i="1"/>
  <c r="CN55" i="1"/>
  <c r="CR55" i="1"/>
  <c r="AI67" i="1"/>
  <c r="CM67" i="1"/>
  <c r="U70" i="1"/>
  <c r="CM70" i="1"/>
  <c r="T74" i="1"/>
  <c r="AH74" i="1"/>
  <c r="AM9" i="48"/>
  <c r="CL74" i="1"/>
  <c r="Q84" i="1"/>
  <c r="DK84" i="1" s="1"/>
  <c r="AE84" i="1"/>
  <c r="CP86" i="1"/>
  <c r="CR86" i="1"/>
  <c r="CP116" i="1"/>
  <c r="X116" i="1"/>
  <c r="DD115" i="1"/>
  <c r="AL11" i="58"/>
  <c r="AJ208" i="1"/>
  <c r="DF36" i="8"/>
  <c r="X184" i="2"/>
  <c r="DX53" i="1" s="1"/>
  <c r="DC127" i="1"/>
  <c r="Q139" i="1"/>
  <c r="DH156" i="1"/>
  <c r="EJ156" i="1" s="1"/>
  <c r="BD156" i="1"/>
  <c r="BR156" i="1" s="1"/>
  <c r="AD53" i="1"/>
  <c r="V60" i="2"/>
  <c r="CR132" i="1"/>
  <c r="Z300" i="2"/>
  <c r="AK122" i="1"/>
  <c r="U67" i="1"/>
  <c r="CO122" i="1"/>
  <c r="V57" i="1"/>
  <c r="BL212" i="1"/>
  <c r="BZ212" i="1" s="1"/>
  <c r="BA50" i="8"/>
  <c r="BO50" i="8" s="1"/>
  <c r="CR123" i="1"/>
  <c r="CN142" i="1"/>
  <c r="DG30" i="8"/>
  <c r="BK160" i="1"/>
  <c r="BY160" i="1" s="1"/>
  <c r="BL180" i="1"/>
  <c r="BZ180" i="1" s="1"/>
  <c r="AP8" i="48"/>
  <c r="V144" i="1"/>
  <c r="BL144" i="1" s="1"/>
  <c r="BZ144" i="1" s="1"/>
  <c r="AO16" i="48"/>
  <c r="AJ57" i="1"/>
  <c r="DN11" i="1"/>
  <c r="EP11" i="1" s="1"/>
  <c r="AJ178" i="1"/>
  <c r="BF23" i="8"/>
  <c r="BT23" i="8" s="1"/>
  <c r="DW96" i="1"/>
  <c r="DT96" i="1" s="1"/>
  <c r="G54" i="8"/>
  <c r="DA54" i="8" s="1"/>
  <c r="CG57" i="8"/>
  <c r="DC173" i="1"/>
  <c r="CK95" i="1"/>
  <c r="CR98" i="1"/>
  <c r="DO106" i="1"/>
  <c r="EQ106" i="1" s="1"/>
  <c r="AH103" i="1"/>
  <c r="AS20" i="48"/>
  <c r="N19" i="51" s="1"/>
  <c r="AB16" i="8"/>
  <c r="AG103" i="1"/>
  <c r="AI106" i="1"/>
  <c r="CJ151" i="1"/>
  <c r="AK77" i="58"/>
  <c r="CR67" i="1"/>
  <c r="AF119" i="1"/>
  <c r="CM106" i="1"/>
  <c r="EN38" i="8"/>
  <c r="CG52" i="8"/>
  <c r="N16" i="8"/>
  <c r="DH16" i="8" s="1"/>
  <c r="EJ16" i="8" s="1"/>
  <c r="CR95" i="1"/>
  <c r="AC133" i="1"/>
  <c r="AF151" i="1"/>
  <c r="EL7" i="1"/>
  <c r="BZ17" i="8"/>
  <c r="S103" i="1"/>
  <c r="BI103" i="1" s="1"/>
  <c r="BW103" i="1" s="1"/>
  <c r="O57" i="8"/>
  <c r="Q36" i="1"/>
  <c r="Q12" i="1"/>
  <c r="BL91" i="1"/>
  <c r="BZ91" i="1" s="1"/>
  <c r="BI50" i="1"/>
  <c r="BW50" i="1" s="1"/>
  <c r="AC171" i="2"/>
  <c r="AD171" i="2" s="1"/>
  <c r="DW186" i="1"/>
  <c r="Q6" i="1"/>
  <c r="CI6" i="1"/>
  <c r="AE7" i="58"/>
  <c r="M6" i="36"/>
  <c r="CP9" i="1"/>
  <c r="AL9" i="1"/>
  <c r="AL20" i="1"/>
  <c r="AQ13" i="48"/>
  <c r="AL22" i="1"/>
  <c r="CP22" i="1"/>
  <c r="AL26" i="1"/>
  <c r="AQ14" i="48"/>
  <c r="CP38" i="1"/>
  <c r="CR38" i="1"/>
  <c r="CP40" i="1"/>
  <c r="X40" i="1"/>
  <c r="DR40" i="1" s="1"/>
  <c r="ET40" i="1" s="1"/>
  <c r="DN205" i="1"/>
  <c r="EP205" i="1" s="1"/>
  <c r="DH17" i="1"/>
  <c r="AC50" i="2"/>
  <c r="AD50" i="2" s="1"/>
  <c r="DM86" i="1"/>
  <c r="DU130" i="1"/>
  <c r="AD21" i="2"/>
  <c r="BH22" i="1"/>
  <c r="BV22" i="1" s="1"/>
  <c r="DL22" i="1"/>
  <c r="EN22" i="1" s="1"/>
  <c r="Z162" i="2"/>
  <c r="P183" i="2"/>
  <c r="Q183" i="2" s="1"/>
  <c r="X6" i="8"/>
  <c r="R5" i="28" s="1"/>
  <c r="R13" i="28" s="1"/>
  <c r="DJ216" i="1"/>
  <c r="BF216" i="1"/>
  <c r="BT216" i="1" s="1"/>
  <c r="DN29" i="1"/>
  <c r="EP29" i="1" s="1"/>
  <c r="BJ29" i="1"/>
  <c r="BX29" i="1" s="1"/>
  <c r="DN44" i="1"/>
  <c r="EP44" i="1" s="1"/>
  <c r="X175" i="1"/>
  <c r="CP142" i="1"/>
  <c r="X212" i="1"/>
  <c r="CP184" i="1"/>
  <c r="CI126" i="1"/>
  <c r="CJ163" i="1"/>
  <c r="X60" i="1"/>
  <c r="CR70" i="1"/>
  <c r="X149" i="1"/>
  <c r="R166" i="1"/>
  <c r="CY5" i="1"/>
  <c r="CR19" i="1"/>
  <c r="CM101" i="1"/>
  <c r="AK70" i="1"/>
  <c r="O16" i="8"/>
  <c r="DI16" i="8" s="1"/>
  <c r="EK16" i="8" s="1"/>
  <c r="CI183" i="1"/>
  <c r="CR63" i="1"/>
  <c r="R12" i="36"/>
  <c r="CR206" i="1"/>
  <c r="AL11" i="48"/>
  <c r="X180" i="1"/>
  <c r="AH61" i="1"/>
  <c r="AN9" i="48"/>
  <c r="AH76" i="1"/>
  <c r="CR139" i="1"/>
  <c r="Q183" i="1"/>
  <c r="AF26" i="1"/>
  <c r="T21" i="36"/>
  <c r="AF166" i="1"/>
  <c r="X162" i="1"/>
  <c r="DR162" i="1" s="1"/>
  <c r="ET162" i="1" s="1"/>
  <c r="CE38" i="8"/>
  <c r="CR45" i="1"/>
  <c r="CR61" i="1"/>
  <c r="M21" i="36"/>
  <c r="Z302" i="2"/>
  <c r="CI37" i="1"/>
  <c r="AL50" i="1"/>
  <c r="CW115" i="1"/>
  <c r="CR136" i="1"/>
  <c r="CJ65" i="1"/>
  <c r="AL212" i="1"/>
  <c r="AL208" i="1"/>
  <c r="Q125" i="1"/>
  <c r="CO70" i="1"/>
  <c r="AM7" i="48"/>
  <c r="CR129" i="1"/>
  <c r="Q18" i="1"/>
  <c r="AF38" i="1"/>
  <c r="AK215" i="1"/>
  <c r="AG139" i="1"/>
  <c r="CP45" i="1"/>
  <c r="DQ44" i="1"/>
  <c r="ES44" i="1" s="1"/>
  <c r="BM44" i="1"/>
  <c r="CA44" i="1" s="1"/>
  <c r="BD224" i="1"/>
  <c r="BR224" i="1" s="1"/>
  <c r="DI15" i="1"/>
  <c r="EK15" i="1" s="1"/>
  <c r="BE15" i="1"/>
  <c r="BS15" i="1" s="1"/>
  <c r="BC99" i="1"/>
  <c r="BQ99" i="1" s="1"/>
  <c r="DG99" i="1"/>
  <c r="EI99" i="1" s="1"/>
  <c r="DC27" i="8"/>
  <c r="DR86" i="1"/>
  <c r="ET86" i="1" s="1"/>
  <c r="DP9" i="1"/>
  <c r="ER9" i="1" s="1"/>
  <c r="AC6" i="1"/>
  <c r="Z225" i="2"/>
  <c r="U148" i="2"/>
  <c r="DL24" i="1"/>
  <c r="EN24" i="1" s="1"/>
  <c r="DR11" i="1"/>
  <c r="ET11" i="1" s="1"/>
  <c r="DL15" i="1"/>
  <c r="EN15" i="1" s="1"/>
  <c r="BH15" i="1"/>
  <c r="BV15" i="1" s="1"/>
  <c r="U132" i="2"/>
  <c r="Z132" i="2" s="1"/>
  <c r="Z321" i="2"/>
  <c r="V321" i="2"/>
  <c r="AC190" i="1"/>
  <c r="BM135" i="1"/>
  <c r="CA135" i="1" s="1"/>
  <c r="V69" i="2"/>
  <c r="V369" i="2"/>
  <c r="W52" i="8"/>
  <c r="W6" i="8"/>
  <c r="Q5" i="28" s="1"/>
  <c r="Q12" i="28" s="1"/>
  <c r="X132" i="2"/>
  <c r="AL193" i="1"/>
  <c r="DM53" i="1"/>
  <c r="CL119" i="1"/>
  <c r="P16" i="8"/>
  <c r="BF16" i="8" s="1"/>
  <c r="BT16" i="8" s="1"/>
  <c r="AR20" i="48"/>
  <c r="D100" i="51" s="1"/>
  <c r="DG11" i="1"/>
  <c r="EI11" i="1" s="1"/>
  <c r="CL134" i="1"/>
  <c r="AC98" i="2"/>
  <c r="AD98" i="2" s="1"/>
  <c r="AG29" i="1"/>
  <c r="Z308" i="2"/>
  <c r="CO57" i="1"/>
  <c r="EL74" i="1"/>
  <c r="CZ5" i="1"/>
  <c r="P22" i="36"/>
  <c r="AK15" i="1"/>
  <c r="CK53" i="1"/>
  <c r="BM57" i="1"/>
  <c r="CA57" i="1" s="1"/>
  <c r="ET106" i="1"/>
  <c r="S31" i="1"/>
  <c r="BI31" i="1" s="1"/>
  <c r="BW31" i="1" s="1"/>
  <c r="CK59" i="1"/>
  <c r="CK64" i="1"/>
  <c r="W55" i="1"/>
  <c r="Q88" i="1"/>
  <c r="AG82" i="1"/>
  <c r="I76" i="36"/>
  <c r="AF141" i="1"/>
  <c r="BC46" i="1"/>
  <c r="BQ46" i="1" s="1"/>
  <c r="DW92" i="1"/>
  <c r="S29" i="1"/>
  <c r="DY87" i="1"/>
  <c r="AI88" i="1"/>
  <c r="AG51" i="1"/>
  <c r="CL183" i="1"/>
  <c r="CO56" i="1"/>
  <c r="W59" i="1"/>
  <c r="CO34" i="1"/>
  <c r="AK36" i="1"/>
  <c r="AK42" i="1"/>
  <c r="DQ12" i="1"/>
  <c r="ES12" i="1" s="1"/>
  <c r="AH119" i="1"/>
  <c r="CR209" i="1"/>
  <c r="P299" i="2"/>
  <c r="Q299" i="2" s="1"/>
  <c r="X299" i="2"/>
  <c r="U299" i="2"/>
  <c r="CM6" i="1"/>
  <c r="U6" i="1"/>
  <c r="AI6" i="1"/>
  <c r="AI10" i="1"/>
  <c r="CM10" i="1"/>
  <c r="U10" i="1"/>
  <c r="AH19" i="1"/>
  <c r="T19" i="1"/>
  <c r="AH8" i="58"/>
  <c r="T21" i="1"/>
  <c r="P11" i="36"/>
  <c r="CR21" i="1"/>
  <c r="AM21" i="48"/>
  <c r="AH29" i="1"/>
  <c r="CR29" i="1"/>
  <c r="T31" i="1"/>
  <c r="DN31" i="1" s="1"/>
  <c r="EP31" i="1" s="1"/>
  <c r="CL31" i="1"/>
  <c r="T34" i="1"/>
  <c r="CL34" i="1"/>
  <c r="AH34" i="1"/>
  <c r="CL39" i="1"/>
  <c r="T39" i="1"/>
  <c r="T41" i="1"/>
  <c r="AH41" i="1"/>
  <c r="AC160" i="2"/>
  <c r="AD160" i="2" s="1"/>
  <c r="DW172" i="1"/>
  <c r="Z51" i="2"/>
  <c r="V51" i="2"/>
  <c r="DI78" i="1"/>
  <c r="EK78" i="1" s="1"/>
  <c r="BE78" i="1"/>
  <c r="BS78" i="1" s="1"/>
  <c r="DI21" i="1"/>
  <c r="DW188" i="1"/>
  <c r="DT188" i="1" s="1"/>
  <c r="AC130" i="2"/>
  <c r="AD130" i="2" s="1"/>
  <c r="Q48" i="36"/>
  <c r="Q96" i="36" s="1"/>
  <c r="DK14" i="1"/>
  <c r="EM14" i="1" s="1"/>
  <c r="DI129" i="1"/>
  <c r="BI77" i="1"/>
  <c r="BW77" i="1" s="1"/>
  <c r="DD55" i="8"/>
  <c r="DQ14" i="1"/>
  <c r="ES14" i="1" s="1"/>
  <c r="AC61" i="2"/>
  <c r="AD61" i="2" s="1"/>
  <c r="X193" i="1"/>
  <c r="DR193" i="1" s="1"/>
  <c r="ET193" i="1" s="1"/>
  <c r="AJ8" i="48"/>
  <c r="CR51" i="1"/>
  <c r="CP32" i="1"/>
  <c r="AJ18" i="48"/>
  <c r="CR34" i="1"/>
  <c r="AH143" i="1"/>
  <c r="AF63" i="1"/>
  <c r="CM137" i="1"/>
  <c r="CR143" i="1"/>
  <c r="N10" i="36"/>
  <c r="S166" i="1"/>
  <c r="CP158" i="1"/>
  <c r="X211" i="1"/>
  <c r="CO6" i="1"/>
  <c r="W48" i="1"/>
  <c r="AK91" i="1"/>
  <c r="W117" i="1"/>
  <c r="DL93" i="1"/>
  <c r="EN93" i="1" s="1"/>
  <c r="DB70" i="8"/>
  <c r="CP206" i="1"/>
  <c r="T46" i="1"/>
  <c r="DB5" i="1"/>
  <c r="CR179" i="1"/>
  <c r="CI21" i="1"/>
  <c r="AL61" i="1"/>
  <c r="CR47" i="1"/>
  <c r="AI61" i="1"/>
  <c r="BE23" i="1"/>
  <c r="BS23" i="1" s="1"/>
  <c r="AE25" i="1"/>
  <c r="CI25" i="1"/>
  <c r="AL178" i="1"/>
  <c r="X144" i="1"/>
  <c r="BJ76" i="1"/>
  <c r="BX76" i="1" s="1"/>
  <c r="X184" i="1"/>
  <c r="AL47" i="1"/>
  <c r="I55" i="8"/>
  <c r="DC55" i="8" s="1"/>
  <c r="CK163" i="1"/>
  <c r="O101" i="1"/>
  <c r="BE101" i="1" s="1"/>
  <c r="BS101" i="1" s="1"/>
  <c r="AK107" i="1"/>
  <c r="CE151" i="1"/>
  <c r="AK105" i="1"/>
  <c r="CL90" i="1"/>
  <c r="Q17" i="8"/>
  <c r="BG17" i="8" s="1"/>
  <c r="BU17" i="8" s="1"/>
  <c r="W107" i="1"/>
  <c r="DQ107" i="1" s="1"/>
  <c r="ES107" i="1" s="1"/>
  <c r="CH108" i="1"/>
  <c r="EH60" i="8"/>
  <c r="W105" i="1"/>
  <c r="DQ105" i="1" s="1"/>
  <c r="ES105" i="1" s="1"/>
  <c r="CI171" i="1"/>
  <c r="AE171" i="1"/>
  <c r="BI66" i="1"/>
  <c r="BW66" i="1" s="1"/>
  <c r="U131" i="1"/>
  <c r="N14" i="36"/>
  <c r="X45" i="1"/>
  <c r="AK180" i="1"/>
  <c r="T12" i="36"/>
  <c r="CI51" i="1"/>
  <c r="X178" i="1"/>
  <c r="AK87" i="1"/>
  <c r="BG126" i="1"/>
  <c r="BU126" i="1" s="1"/>
  <c r="R183" i="1"/>
  <c r="AK212" i="1"/>
  <c r="W91" i="1"/>
  <c r="AS69" i="48"/>
  <c r="Y69" i="48" s="1"/>
  <c r="Z69" i="48" s="1"/>
  <c r="AD108" i="1"/>
  <c r="T90" i="1"/>
  <c r="AM12" i="48"/>
  <c r="T13" i="36"/>
  <c r="T88" i="36"/>
  <c r="AK84" i="1"/>
  <c r="CR174" i="1"/>
  <c r="Q148" i="1"/>
  <c r="W184" i="1"/>
  <c r="DL88" i="1"/>
  <c r="EN88" i="1" s="1"/>
  <c r="CJ18" i="1"/>
  <c r="DQ182" i="1"/>
  <c r="ES182" i="1" s="1"/>
  <c r="AE17" i="8"/>
  <c r="CO84" i="1"/>
  <c r="CI12" i="1"/>
  <c r="O17" i="36"/>
  <c r="Z56" i="8"/>
  <c r="R105" i="36"/>
  <c r="AL60" i="48"/>
  <c r="BF108" i="1"/>
  <c r="BT108" i="1" s="1"/>
  <c r="CK66" i="1"/>
  <c r="CL53" i="1"/>
  <c r="S71" i="1"/>
  <c r="BN32" i="1"/>
  <c r="CB32" i="1" s="1"/>
  <c r="AL76" i="1"/>
  <c r="V49" i="2"/>
  <c r="M19" i="36"/>
  <c r="CR31" i="1"/>
  <c r="CR175" i="1"/>
  <c r="DW40" i="1"/>
  <c r="EK40" i="1" s="1"/>
  <c r="X38" i="1"/>
  <c r="DN59" i="1"/>
  <c r="EP59" i="1" s="1"/>
  <c r="AE53" i="1"/>
  <c r="BG53" i="1" s="1"/>
  <c r="BU53" i="1" s="1"/>
  <c r="CI163" i="1"/>
  <c r="Q134" i="1"/>
  <c r="W73" i="1"/>
  <c r="CO87" i="1"/>
  <c r="DV63" i="1"/>
  <c r="AA151" i="1"/>
  <c r="ER67" i="1"/>
  <c r="DO29" i="1"/>
  <c r="EQ29" i="1" s="1"/>
  <c r="BK29" i="1"/>
  <c r="BY29" i="1" s="1"/>
  <c r="BI46" i="1"/>
  <c r="BW46" i="1" s="1"/>
  <c r="EL10" i="1"/>
  <c r="BI84" i="1"/>
  <c r="BW84" i="1" s="1"/>
  <c r="BG77" i="1"/>
  <c r="BU77" i="1" s="1"/>
  <c r="DX57" i="1"/>
  <c r="EL57" i="1" s="1"/>
  <c r="AC211" i="2"/>
  <c r="AD211" i="2" s="1"/>
  <c r="Z226" i="2"/>
  <c r="BH31" i="1"/>
  <c r="BV31" i="1" s="1"/>
  <c r="DQ68" i="1"/>
  <c r="ES68" i="1" s="1"/>
  <c r="BL24" i="1"/>
  <c r="BZ24" i="1" s="1"/>
  <c r="DL75" i="1"/>
  <c r="J50" i="36"/>
  <c r="DI147" i="1"/>
  <c r="BG172" i="1"/>
  <c r="BU172" i="1" s="1"/>
  <c r="DK172" i="1"/>
  <c r="EM172" i="1" s="1"/>
  <c r="DK62" i="8"/>
  <c r="EM62" i="8" s="1"/>
  <c r="BG62" i="8"/>
  <c r="BU62" i="8" s="1"/>
  <c r="DJ203" i="1"/>
  <c r="AC58" i="2"/>
  <c r="AD58" i="2" s="1"/>
  <c r="BL164" i="1"/>
  <c r="BZ164" i="1" s="1"/>
  <c r="DP164" i="1"/>
  <c r="ER164" i="1" s="1"/>
  <c r="CG102" i="1"/>
  <c r="Z153" i="2"/>
  <c r="AH23" i="1"/>
  <c r="AL65" i="1"/>
  <c r="CJ109" i="1"/>
  <c r="CP101" i="1"/>
  <c r="CR84" i="1"/>
  <c r="AL101" i="1"/>
  <c r="CO103" i="1"/>
  <c r="M90" i="1"/>
  <c r="CH107" i="1"/>
  <c r="AD107" i="1"/>
  <c r="CR30" i="1"/>
  <c r="BL204" i="1"/>
  <c r="BZ204" i="1" s="1"/>
  <c r="CR6" i="1"/>
  <c r="AC121" i="2"/>
  <c r="AD121" i="2" s="1"/>
  <c r="T16" i="1"/>
  <c r="U146" i="1"/>
  <c r="Z228" i="2"/>
  <c r="CL14" i="1"/>
  <c r="V8" i="2"/>
  <c r="W56" i="1"/>
  <c r="X128" i="1"/>
  <c r="R94" i="1"/>
  <c r="CP128" i="1"/>
  <c r="AL9" i="48"/>
  <c r="AF39" i="1"/>
  <c r="BH39" i="1" s="1"/>
  <c r="BV39" i="1" s="1"/>
  <c r="V99" i="2"/>
  <c r="V242" i="2"/>
  <c r="R50" i="1"/>
  <c r="BH221" i="1"/>
  <c r="BV221" i="1" s="1"/>
  <c r="CJ77" i="1"/>
  <c r="AL134" i="1"/>
  <c r="M8" i="36"/>
  <c r="V51" i="1"/>
  <c r="CP88" i="1"/>
  <c r="R46" i="1"/>
  <c r="CL78" i="1"/>
  <c r="S210" i="1"/>
  <c r="DL37" i="1"/>
  <c r="EN37" i="1" s="1"/>
  <c r="CR49" i="1"/>
  <c r="DI31" i="1"/>
  <c r="EK31" i="1" s="1"/>
  <c r="BH186" i="1"/>
  <c r="BV186" i="1" s="1"/>
  <c r="AF47" i="1"/>
  <c r="AF46" i="1"/>
  <c r="T184" i="1"/>
  <c r="AG92" i="1"/>
  <c r="BI92" i="1" s="1"/>
  <c r="BW92" i="1" s="1"/>
  <c r="ER209" i="1"/>
  <c r="Z16" i="2"/>
  <c r="DS39" i="8"/>
  <c r="T14" i="1"/>
  <c r="BN106" i="1"/>
  <c r="CB106" i="1" s="1"/>
  <c r="CP106" i="1"/>
  <c r="EO158" i="1"/>
  <c r="AL106" i="1"/>
  <c r="O102" i="1"/>
  <c r="BE102" i="1" s="1"/>
  <c r="BS102" i="1" s="1"/>
  <c r="EO55" i="1"/>
  <c r="DX128" i="1"/>
  <c r="DR23" i="1"/>
  <c r="ET23" i="1" s="1"/>
  <c r="BN23" i="1"/>
  <c r="CB23" i="1" s="1"/>
  <c r="BG52" i="8"/>
  <c r="BU52" i="8" s="1"/>
  <c r="DM7" i="1"/>
  <c r="EO7" i="1" s="1"/>
  <c r="BI7" i="1"/>
  <c r="BW7" i="1" s="1"/>
  <c r="Z181" i="2"/>
  <c r="V181" i="2"/>
  <c r="DR9" i="1"/>
  <c r="ET9" i="1" s="1"/>
  <c r="AL74" i="1"/>
  <c r="CP74" i="1"/>
  <c r="CR74" i="1"/>
  <c r="X76" i="1"/>
  <c r="CR76" i="1"/>
  <c r="X78" i="1"/>
  <c r="AQ19" i="48"/>
  <c r="AL78" i="1"/>
  <c r="CI35" i="1"/>
  <c r="Q35" i="1"/>
  <c r="X36" i="1"/>
  <c r="AL36" i="1"/>
  <c r="W39" i="1"/>
  <c r="DC5" i="1"/>
  <c r="AP7" i="48"/>
  <c r="AK39" i="1"/>
  <c r="AK44" i="1"/>
  <c r="CR44" i="1"/>
  <c r="W49" i="1"/>
  <c r="AK49" i="1"/>
  <c r="CO51" i="1"/>
  <c r="AK51" i="1"/>
  <c r="U59" i="1"/>
  <c r="AI59" i="1"/>
  <c r="CR59" i="1"/>
  <c r="U64" i="1"/>
  <c r="AI64" i="1"/>
  <c r="AI9" i="58"/>
  <c r="AN7" i="48"/>
  <c r="CM64" i="1"/>
  <c r="T66" i="1"/>
  <c r="AH10" i="58"/>
  <c r="AH66" i="1"/>
  <c r="AF15" i="1"/>
  <c r="CJ15" i="1"/>
  <c r="AK7" i="48"/>
  <c r="AF9" i="58"/>
  <c r="R17" i="1"/>
  <c r="DL17" i="1" s="1"/>
  <c r="CR17" i="1"/>
  <c r="R20" i="1"/>
  <c r="DL20" i="1" s="1"/>
  <c r="N8" i="36"/>
  <c r="AF20" i="1"/>
  <c r="CJ22" i="1"/>
  <c r="AF22" i="1"/>
  <c r="AF24" i="1"/>
  <c r="AF8" i="58"/>
  <c r="CJ24" i="1"/>
  <c r="BM94" i="1"/>
  <c r="CA94" i="1" s="1"/>
  <c r="DQ94" i="1"/>
  <c r="ES94" i="1" s="1"/>
  <c r="BC23" i="1"/>
  <c r="BQ23" i="1" s="1"/>
  <c r="DG23" i="1"/>
  <c r="EI23" i="1" s="1"/>
  <c r="AJ7" i="1"/>
  <c r="V7" i="1"/>
  <c r="O16" i="36"/>
  <c r="CK13" i="1"/>
  <c r="DH130" i="1"/>
  <c r="BD47" i="1"/>
  <c r="BR47" i="1" s="1"/>
  <c r="DH47" i="1"/>
  <c r="EJ47" i="1" s="1"/>
  <c r="BG31" i="1"/>
  <c r="BU31" i="1" s="1"/>
  <c r="DK31" i="1"/>
  <c r="EM31" i="1" s="1"/>
  <c r="N48" i="36"/>
  <c r="N96" i="36" s="1"/>
  <c r="EN160" i="1"/>
  <c r="CH101" i="1"/>
  <c r="AK102" i="1"/>
  <c r="R125" i="1"/>
  <c r="DL125" i="1" s="1"/>
  <c r="CP130" i="1"/>
  <c r="CO74" i="1"/>
  <c r="AL135" i="1"/>
  <c r="AL107" i="1"/>
  <c r="AE108" i="1"/>
  <c r="T117" i="1"/>
  <c r="CI55" i="8"/>
  <c r="AE55" i="8"/>
  <c r="O21" i="36"/>
  <c r="O103" i="1"/>
  <c r="DI103" i="1" s="1"/>
  <c r="EK103" i="1" s="1"/>
  <c r="AD101" i="1"/>
  <c r="CR20" i="1"/>
  <c r="AC103" i="1"/>
  <c r="AG208" i="1"/>
  <c r="AG119" i="1"/>
  <c r="AO11" i="48"/>
  <c r="DW98" i="1"/>
  <c r="AL130" i="1"/>
  <c r="CL150" i="1"/>
  <c r="CL95" i="1"/>
  <c r="T150" i="1"/>
  <c r="S64" i="1"/>
  <c r="BN132" i="1"/>
  <c r="CB132" i="1" s="1"/>
  <c r="AL16" i="1"/>
  <c r="AL122" i="1"/>
  <c r="CP107" i="1"/>
  <c r="ET103" i="1"/>
  <c r="AG184" i="1"/>
  <c r="D19" i="51"/>
  <c r="AL132" i="1"/>
  <c r="S178" i="1"/>
  <c r="AF126" i="1"/>
  <c r="S211" i="1"/>
  <c r="S184" i="1"/>
  <c r="V295" i="2"/>
  <c r="CN18" i="1"/>
  <c r="Q68" i="1"/>
  <c r="AG149" i="1"/>
  <c r="AL19" i="1"/>
  <c r="DQ56" i="8"/>
  <c r="EE56" i="8" s="1"/>
  <c r="X19" i="1"/>
  <c r="CR125" i="1"/>
  <c r="CP132" i="1"/>
  <c r="DP63" i="1"/>
  <c r="AO60" i="48" s="1"/>
  <c r="CK158" i="1"/>
  <c r="CK162" i="1"/>
  <c r="AF125" i="1"/>
  <c r="BH38" i="8"/>
  <c r="BV38" i="8" s="1"/>
  <c r="AE215" i="1"/>
  <c r="CN63" i="1"/>
  <c r="U47" i="1"/>
  <c r="R10" i="1"/>
  <c r="AE212" i="1"/>
  <c r="DK55" i="8"/>
  <c r="EM55" i="8" s="1"/>
  <c r="T24" i="36"/>
  <c r="CM90" i="1"/>
  <c r="U90" i="1"/>
  <c r="BK90" i="1" s="1"/>
  <c r="BY90" i="1" s="1"/>
  <c r="M14" i="36"/>
  <c r="CK178" i="1"/>
  <c r="T19" i="36"/>
  <c r="CI212" i="1"/>
  <c r="AJ209" i="1"/>
  <c r="V136" i="1"/>
  <c r="BN130" i="1"/>
  <c r="CB130" i="1" s="1"/>
  <c r="ES8" i="1"/>
  <c r="Q108" i="1"/>
  <c r="DL49" i="8"/>
  <c r="EN49" i="8" s="1"/>
  <c r="CW127" i="1"/>
  <c r="Q129" i="1"/>
  <c r="CW207" i="1"/>
  <c r="AL163" i="1"/>
  <c r="CK149" i="1"/>
  <c r="DD207" i="1"/>
  <c r="CI215" i="1"/>
  <c r="Z44" i="2"/>
  <c r="CM50" i="1"/>
  <c r="T146" i="1"/>
  <c r="R67" i="1"/>
  <c r="X30" i="1"/>
  <c r="ER129" i="1"/>
  <c r="CM68" i="1"/>
  <c r="Q103" i="1"/>
  <c r="BG103" i="1" s="1"/>
  <c r="BU103" i="1" s="1"/>
  <c r="DR61" i="1"/>
  <c r="ET61" i="1" s="1"/>
  <c r="CR146" i="1"/>
  <c r="X16" i="1"/>
  <c r="CN79" i="1"/>
  <c r="AL216" i="1"/>
  <c r="AH88" i="1"/>
  <c r="CP30" i="1"/>
  <c r="U142" i="1"/>
  <c r="AK31" i="1"/>
  <c r="BH162" i="1"/>
  <c r="BV162" i="1" s="1"/>
  <c r="U382" i="2"/>
  <c r="Z6" i="8"/>
  <c r="BL146" i="1"/>
  <c r="BZ146" i="1" s="1"/>
  <c r="DP146" i="1"/>
  <c r="CL35" i="1"/>
  <c r="CR35" i="1"/>
  <c r="AH9" i="58"/>
  <c r="DG66" i="8"/>
  <c r="Q7" i="36"/>
  <c r="AI32" i="1"/>
  <c r="Z19" i="2"/>
  <c r="V19" i="2"/>
  <c r="AK8" i="58"/>
  <c r="AP14" i="48"/>
  <c r="AK30" i="1"/>
  <c r="W30" i="1"/>
  <c r="CP17" i="1"/>
  <c r="AQ7" i="48"/>
  <c r="CK8" i="1"/>
  <c r="AG8" i="1"/>
  <c r="S12" i="1"/>
  <c r="BI12" i="1" s="1"/>
  <c r="BW12" i="1" s="1"/>
  <c r="CK12" i="1"/>
  <c r="CI14" i="1"/>
  <c r="AE14" i="1"/>
  <c r="AE16" i="1"/>
  <c r="Q16" i="1"/>
  <c r="M10" i="36"/>
  <c r="DI66" i="1"/>
  <c r="BE66" i="1"/>
  <c r="BS66" i="1" s="1"/>
  <c r="DK177" i="1"/>
  <c r="EM177" i="1" s="1"/>
  <c r="BG177" i="1"/>
  <c r="BU177" i="1" s="1"/>
  <c r="AH6" i="1"/>
  <c r="P6" i="36"/>
  <c r="DI203" i="1"/>
  <c r="EK203" i="1" s="1"/>
  <c r="BE203" i="1"/>
  <c r="BS203" i="1" s="1"/>
  <c r="BM123" i="1"/>
  <c r="CA123" i="1" s="1"/>
  <c r="DI38" i="8"/>
  <c r="EK38" i="8" s="1"/>
  <c r="DP145" i="1"/>
  <c r="ER145" i="1" s="1"/>
  <c r="BL145" i="1"/>
  <c r="BZ145" i="1" s="1"/>
  <c r="BM6" i="1"/>
  <c r="CA6" i="1" s="1"/>
  <c r="DQ6" i="1"/>
  <c r="AD41" i="2"/>
  <c r="DU175" i="1"/>
  <c r="BM174" i="1"/>
  <c r="CA174" i="1" s="1"/>
  <c r="DQ174" i="1"/>
  <c r="ES174" i="1" s="1"/>
  <c r="AF34" i="1"/>
  <c r="BH34" i="1" s="1"/>
  <c r="BV34" i="1" s="1"/>
  <c r="CI101" i="1"/>
  <c r="CE16" i="8"/>
  <c r="AD103" i="1"/>
  <c r="EJ133" i="1"/>
  <c r="EM73" i="1"/>
  <c r="R101" i="1"/>
  <c r="DV164" i="1"/>
  <c r="DO52" i="1"/>
  <c r="EQ52" i="1" s="1"/>
  <c r="CN47" i="1"/>
  <c r="Q8" i="36"/>
  <c r="W16" i="1"/>
  <c r="DN214" i="1"/>
  <c r="EP214" i="1" s="1"/>
  <c r="CK108" i="1"/>
  <c r="R108" i="1"/>
  <c r="CK106" i="1"/>
  <c r="EE17" i="8"/>
  <c r="ER101" i="1"/>
  <c r="CP102" i="1"/>
  <c r="S106" i="1"/>
  <c r="DM106" i="1" s="1"/>
  <c r="CJ171" i="1"/>
  <c r="CI103" i="1"/>
  <c r="DQ170" i="1"/>
  <c r="ES170" i="1" s="1"/>
  <c r="CR22" i="1"/>
  <c r="AE101" i="1"/>
  <c r="DW211" i="1"/>
  <c r="BE56" i="1"/>
  <c r="BS56" i="1" s="1"/>
  <c r="U17" i="1"/>
  <c r="AK12" i="1"/>
  <c r="M16" i="8"/>
  <c r="DG16" i="8" s="1"/>
  <c r="ER103" i="1"/>
  <c r="S108" i="1"/>
  <c r="CL29" i="1"/>
  <c r="CN44" i="1"/>
  <c r="R106" i="1"/>
  <c r="EI121" i="1"/>
  <c r="BF74" i="1"/>
  <c r="BT74" i="1" s="1"/>
  <c r="DA5" i="1"/>
  <c r="V45" i="1"/>
  <c r="Q67" i="1"/>
  <c r="W186" i="1"/>
  <c r="R126" i="1"/>
  <c r="AK131" i="1"/>
  <c r="DP95" i="1"/>
  <c r="ER95" i="1" s="1"/>
  <c r="AK132" i="1"/>
  <c r="AC183" i="2"/>
  <c r="AD183" i="2" s="1"/>
  <c r="Z220" i="2"/>
  <c r="V220" i="2"/>
  <c r="Z351" i="2"/>
  <c r="V351" i="2"/>
  <c r="BJ223" i="1"/>
  <c r="BX223" i="1" s="1"/>
  <c r="DN223" i="1"/>
  <c r="DI224" i="1"/>
  <c r="BK48" i="1"/>
  <c r="BY48" i="1" s="1"/>
  <c r="DO48" i="1"/>
  <c r="EQ48" i="1" s="1"/>
  <c r="DP54" i="8"/>
  <c r="AC78" i="2"/>
  <c r="AD78" i="2" s="1"/>
  <c r="DV174" i="1"/>
  <c r="DJ39" i="1"/>
  <c r="BF39" i="1"/>
  <c r="BT39" i="1" s="1"/>
  <c r="DK193" i="1"/>
  <c r="EM193" i="1" s="1"/>
  <c r="BG193" i="1"/>
  <c r="BU193" i="1" s="1"/>
  <c r="BM46" i="1"/>
  <c r="CA46" i="1" s="1"/>
  <c r="DQ46" i="1"/>
  <c r="ES46" i="1" s="1"/>
  <c r="BM62" i="1"/>
  <c r="CA62" i="1" s="1"/>
  <c r="DQ62" i="1"/>
  <c r="ES62" i="1" s="1"/>
  <c r="DI191" i="1"/>
  <c r="DH129" i="1"/>
  <c r="DI80" i="1"/>
  <c r="BE80" i="1"/>
  <c r="BS80" i="1" s="1"/>
  <c r="DH45" i="1"/>
  <c r="BD45" i="1"/>
  <c r="BR45" i="1" s="1"/>
  <c r="X369" i="2"/>
  <c r="AC369" i="2" s="1"/>
  <c r="Z65" i="8"/>
  <c r="P369" i="2"/>
  <c r="Q369" i="2" s="1"/>
  <c r="DJ77" i="1"/>
  <c r="BF77" i="1"/>
  <c r="BT77" i="1" s="1"/>
  <c r="BF32" i="8"/>
  <c r="BT32" i="8" s="1"/>
  <c r="DJ32" i="8"/>
  <c r="EL32" i="8" s="1"/>
  <c r="AQ21" i="48"/>
  <c r="EJ195" i="1"/>
  <c r="AE16" i="8"/>
  <c r="CM103" i="1"/>
  <c r="S171" i="1"/>
  <c r="EN151" i="1"/>
  <c r="DZ116" i="1"/>
  <c r="DT116" i="1" s="1"/>
  <c r="Q16" i="8"/>
  <c r="BG16" i="8" s="1"/>
  <c r="BU16" i="8" s="1"/>
  <c r="W21" i="1"/>
  <c r="CA17" i="8"/>
  <c r="AA102" i="1"/>
  <c r="AL8" i="48"/>
  <c r="Q46" i="1"/>
  <c r="AI8" i="1"/>
  <c r="CR41" i="1"/>
  <c r="CL30" i="1"/>
  <c r="V134" i="1"/>
  <c r="CR46" i="1"/>
  <c r="CR137" i="1"/>
  <c r="DI46" i="1"/>
  <c r="EK46" i="1" s="1"/>
  <c r="CL139" i="1"/>
  <c r="AG117" i="1"/>
  <c r="U163" i="1"/>
  <c r="CR164" i="1"/>
  <c r="BL122" i="1"/>
  <c r="BZ122" i="1" s="1"/>
  <c r="AH178" i="1"/>
  <c r="Z52" i="8"/>
  <c r="BB52" i="8" s="1"/>
  <c r="BP52" i="8" s="1"/>
  <c r="AE161" i="1"/>
  <c r="CO19" i="1"/>
  <c r="AL211" i="1"/>
  <c r="W17" i="8"/>
  <c r="CN101" i="1"/>
  <c r="AB105" i="1"/>
  <c r="R6" i="36"/>
  <c r="AN14" i="48"/>
  <c r="CO49" i="1"/>
  <c r="Z154" i="2"/>
  <c r="X34" i="1"/>
  <c r="V38" i="1"/>
  <c r="R148" i="1"/>
  <c r="W93" i="1"/>
  <c r="T10" i="1"/>
  <c r="BG73" i="1"/>
  <c r="BU73" i="1" s="1"/>
  <c r="CJ218" i="1"/>
  <c r="BD109" i="1"/>
  <c r="BR109" i="1" s="1"/>
  <c r="AB109" i="1"/>
  <c r="AA133" i="1"/>
  <c r="AF215" i="1"/>
  <c r="AY17" i="8"/>
  <c r="BM17" i="8" s="1"/>
  <c r="AK90" i="1"/>
  <c r="CJ13" i="1"/>
  <c r="AK17" i="1"/>
  <c r="BK55" i="1"/>
  <c r="BY55" i="1" s="1"/>
  <c r="R185" i="1"/>
  <c r="S180" i="1"/>
  <c r="AJ51" i="1"/>
  <c r="CO162" i="1"/>
  <c r="CK180" i="1"/>
  <c r="AI114" i="1"/>
  <c r="AA41" i="1"/>
  <c r="AA107" i="1"/>
  <c r="W90" i="1"/>
  <c r="DQ90" i="1" s="1"/>
  <c r="ES90" i="1" s="1"/>
  <c r="CR8" i="1"/>
  <c r="DD5" i="1"/>
  <c r="T14" i="36"/>
  <c r="M15" i="36"/>
  <c r="CJ87" i="1"/>
  <c r="T178" i="1"/>
  <c r="CP131" i="1"/>
  <c r="W160" i="1"/>
  <c r="AK21" i="1"/>
  <c r="AD53" i="8"/>
  <c r="BD105" i="1"/>
  <c r="BR105" i="1" s="1"/>
  <c r="CF105" i="1"/>
  <c r="AJ106" i="1"/>
  <c r="AK19" i="1"/>
  <c r="EJ208" i="1"/>
  <c r="AI103" i="1"/>
  <c r="CK171" i="1"/>
  <c r="CE102" i="1"/>
  <c r="CN106" i="1"/>
  <c r="BM132" i="1"/>
  <c r="CA132" i="1" s="1"/>
  <c r="DQ132" i="1"/>
  <c r="BI42" i="1"/>
  <c r="BW42" i="1" s="1"/>
  <c r="DM42" i="1"/>
  <c r="CK86" i="1"/>
  <c r="AG86" i="1"/>
  <c r="BI86" i="1" s="1"/>
  <c r="BW86" i="1" s="1"/>
  <c r="AG11" i="58"/>
  <c r="S116" i="1"/>
  <c r="BD117" i="1"/>
  <c r="BR117" i="1" s="1"/>
  <c r="R26" i="1"/>
  <c r="CJ26" i="1"/>
  <c r="AJ129" i="1"/>
  <c r="CN129" i="1"/>
  <c r="DM105" i="1"/>
  <c r="EO105" i="1" s="1"/>
  <c r="BI105" i="1"/>
  <c r="BW105" i="1" s="1"/>
  <c r="CJ30" i="1"/>
  <c r="R30" i="1"/>
  <c r="AF30" i="1"/>
  <c r="CP64" i="1"/>
  <c r="X64" i="1"/>
  <c r="R57" i="1"/>
  <c r="CJ57" i="1"/>
  <c r="AK50" i="1"/>
  <c r="S9" i="36"/>
  <c r="CN123" i="1"/>
  <c r="AJ123" i="1"/>
  <c r="X8" i="1"/>
  <c r="CP8" i="1"/>
  <c r="CP55" i="1"/>
  <c r="AL55" i="1"/>
  <c r="CL149" i="1"/>
  <c r="AH149" i="1"/>
  <c r="W41" i="1"/>
  <c r="CO41" i="1"/>
  <c r="S6" i="36"/>
  <c r="CO35" i="1"/>
  <c r="AK35" i="1"/>
  <c r="AI38" i="1"/>
  <c r="U38" i="1"/>
  <c r="CM38" i="1"/>
  <c r="DJ26" i="1"/>
  <c r="EL26" i="1" s="1"/>
  <c r="BF26" i="1"/>
  <c r="BT26" i="1" s="1"/>
  <c r="H55" i="8"/>
  <c r="DB55" i="8" s="1"/>
  <c r="AD17" i="8"/>
  <c r="AG105" i="1"/>
  <c r="U151" i="1"/>
  <c r="CJ73" i="1"/>
  <c r="CP94" i="1"/>
  <c r="AG183" i="1"/>
  <c r="CK105" i="1"/>
  <c r="CO133" i="1"/>
  <c r="P17" i="8"/>
  <c r="BF17" i="8" s="1"/>
  <c r="BT17" i="8" s="1"/>
  <c r="CR109" i="1"/>
  <c r="DC16" i="8"/>
  <c r="EE16" i="8" s="1"/>
  <c r="EJ109" i="1"/>
  <c r="X209" i="1"/>
  <c r="AG136" i="1"/>
  <c r="CI107" i="1"/>
  <c r="AB17" i="8"/>
  <c r="AE107" i="1"/>
  <c r="DH101" i="1"/>
  <c r="CG133" i="1"/>
  <c r="AG211" i="1"/>
  <c r="CK183" i="1"/>
  <c r="EN162" i="1"/>
  <c r="DL209" i="1"/>
  <c r="Q40" i="36"/>
  <c r="Q88" i="36" s="1"/>
  <c r="EQ32" i="1"/>
  <c r="DP84" i="1"/>
  <c r="ER84" i="1" s="1"/>
  <c r="DM136" i="1"/>
  <c r="BI136" i="1"/>
  <c r="BW136" i="1" s="1"/>
  <c r="BL114" i="1"/>
  <c r="BZ114" i="1" s="1"/>
  <c r="DP114" i="1"/>
  <c r="S11" i="1"/>
  <c r="DN42" i="1"/>
  <c r="BJ42" i="1"/>
  <c r="BX42" i="1" s="1"/>
  <c r="Z137" i="2"/>
  <c r="V137" i="2"/>
  <c r="Z289" i="2"/>
  <c r="T8" i="1"/>
  <c r="AH8" i="1"/>
  <c r="CL8" i="1"/>
  <c r="AF7" i="1"/>
  <c r="R7" i="1"/>
  <c r="CX5" i="1"/>
  <c r="AK8" i="48"/>
  <c r="AL23" i="1"/>
  <c r="CP23" i="1"/>
  <c r="DK133" i="1"/>
  <c r="EM133" i="1" s="1"/>
  <c r="BG133" i="1"/>
  <c r="BU133" i="1" s="1"/>
  <c r="DK90" i="1"/>
  <c r="EM90" i="1" s="1"/>
  <c r="BG90" i="1"/>
  <c r="BU90" i="1" s="1"/>
  <c r="DR101" i="1"/>
  <c r="BN101" i="1"/>
  <c r="CB101" i="1" s="1"/>
  <c r="CL102" i="1"/>
  <c r="ES108" i="1"/>
  <c r="AF17" i="8"/>
  <c r="CH16" i="8"/>
  <c r="AC101" i="1"/>
  <c r="CR102" i="1"/>
  <c r="CG151" i="1"/>
  <c r="T107" i="1"/>
  <c r="DN107" i="1" s="1"/>
  <c r="EP107" i="1" s="1"/>
  <c r="AB107" i="1"/>
  <c r="CR106" i="1"/>
  <c r="AG90" i="1"/>
  <c r="T108" i="1"/>
  <c r="DN108" i="1" s="1"/>
  <c r="EP108" i="1" s="1"/>
  <c r="EJ105" i="1"/>
  <c r="EL90" i="1"/>
  <c r="AH108" i="1"/>
  <c r="AM16" i="48"/>
  <c r="CR193" i="1"/>
  <c r="CJ105" i="1"/>
  <c r="CF107" i="1"/>
  <c r="S90" i="1"/>
  <c r="DM90" i="1" s="1"/>
  <c r="EO90" i="1" s="1"/>
  <c r="AD193" i="1"/>
  <c r="L16" i="8"/>
  <c r="CR151" i="1"/>
  <c r="BD169" i="1"/>
  <c r="BR169" i="1" s="1"/>
  <c r="DH169" i="1"/>
  <c r="N49" i="36"/>
  <c r="Z358" i="2"/>
  <c r="V358" i="2"/>
  <c r="DN40" i="1"/>
  <c r="BK14" i="1"/>
  <c r="BY14" i="1" s="1"/>
  <c r="DO14" i="1"/>
  <c r="ER24" i="1"/>
  <c r="DM129" i="1"/>
  <c r="DJ57" i="8"/>
  <c r="DR39" i="1"/>
  <c r="BN39" i="1"/>
  <c r="CB39" i="1" s="1"/>
  <c r="H137" i="35"/>
  <c r="DZ126" i="1"/>
  <c r="K99" i="6"/>
  <c r="EK134" i="1"/>
  <c r="DM6" i="1"/>
  <c r="DM8" i="1"/>
  <c r="BI8" i="1"/>
  <c r="BW8" i="1" s="1"/>
  <c r="BG185" i="1"/>
  <c r="BU185" i="1" s="1"/>
  <c r="DK185" i="1"/>
  <c r="BJ63" i="1"/>
  <c r="BX63" i="1" s="1"/>
  <c r="DL17" i="8"/>
  <c r="BH17" i="8"/>
  <c r="BV17" i="8" s="1"/>
  <c r="DJ101" i="1"/>
  <c r="BF101" i="1"/>
  <c r="BT101" i="1" s="1"/>
  <c r="DK101" i="1"/>
  <c r="BG101" i="1"/>
  <c r="BU101" i="1" s="1"/>
  <c r="BD103" i="1"/>
  <c r="BR103" i="1" s="1"/>
  <c r="DH103" i="1"/>
  <c r="EJ103" i="1" s="1"/>
  <c r="BJ105" i="1"/>
  <c r="BX105" i="1" s="1"/>
  <c r="DN105" i="1"/>
  <c r="EP105" i="1" s="1"/>
  <c r="DJ109" i="1"/>
  <c r="EL109" i="1" s="1"/>
  <c r="BF109" i="1"/>
  <c r="BT109" i="1" s="1"/>
  <c r="DO133" i="1"/>
  <c r="BK133" i="1"/>
  <c r="BY133" i="1" s="1"/>
  <c r="DR108" i="1"/>
  <c r="BN108" i="1"/>
  <c r="CB108" i="1" s="1"/>
  <c r="DO101" i="1"/>
  <c r="BK101" i="1"/>
  <c r="BY101" i="1" s="1"/>
  <c r="BM101" i="1"/>
  <c r="CA101" i="1" s="1"/>
  <c r="DQ101" i="1"/>
  <c r="BG106" i="1"/>
  <c r="BU106" i="1" s="1"/>
  <c r="DK106" i="1"/>
  <c r="EM106" i="1" s="1"/>
  <c r="DG105" i="1"/>
  <c r="EI105" i="1" s="1"/>
  <c r="BC105" i="1"/>
  <c r="BQ105" i="1" s="1"/>
  <c r="BJ171" i="1"/>
  <c r="BX171" i="1" s="1"/>
  <c r="DN171" i="1"/>
  <c r="EP171" i="1" s="1"/>
  <c r="BD17" i="8"/>
  <c r="BR17" i="8" s="1"/>
  <c r="DH17" i="8"/>
  <c r="BM103" i="1"/>
  <c r="CA103" i="1" s="1"/>
  <c r="DQ103" i="1"/>
  <c r="ES103" i="1" s="1"/>
  <c r="DK105" i="1"/>
  <c r="EM105" i="1" s="1"/>
  <c r="BG105" i="1"/>
  <c r="BU105" i="1" s="1"/>
  <c r="BD193" i="1"/>
  <c r="BR193" i="1" s="1"/>
  <c r="DH193" i="1"/>
  <c r="DR171" i="1"/>
  <c r="BN171" i="1"/>
  <c r="CB171" i="1" s="1"/>
  <c r="CE17" i="8"/>
  <c r="AD105" i="1"/>
  <c r="CP105" i="1"/>
  <c r="BM108" i="1"/>
  <c r="CA108" i="1" s="1"/>
  <c r="AC106" i="1"/>
  <c r="CO108" i="1"/>
  <c r="AA171" i="1"/>
  <c r="CK101" i="1"/>
  <c r="O105" i="1"/>
  <c r="CG106" i="1"/>
  <c r="M109" i="1"/>
  <c r="CF151" i="1"/>
  <c r="CO151" i="1"/>
  <c r="CN90" i="1"/>
  <c r="CL17" i="8"/>
  <c r="W102" i="1"/>
  <c r="CF103" i="1"/>
  <c r="BL101" i="1"/>
  <c r="BZ101" i="1" s="1"/>
  <c r="AJ101" i="1"/>
  <c r="AB90" i="1"/>
  <c r="U102" i="1"/>
  <c r="X105" i="1"/>
  <c r="V108" i="1"/>
  <c r="CM133" i="1"/>
  <c r="CB16" i="8"/>
  <c r="AB103" i="1"/>
  <c r="M103" i="1"/>
  <c r="CR90" i="1"/>
  <c r="BZ16" i="8"/>
  <c r="P105" i="1"/>
  <c r="P106" i="1"/>
  <c r="N90" i="1"/>
  <c r="CP171" i="1"/>
  <c r="X16" i="8"/>
  <c r="AI101" i="1"/>
  <c r="X90" i="1"/>
  <c r="CR133" i="1"/>
  <c r="CP90" i="1"/>
  <c r="M133" i="1"/>
  <c r="CN133" i="1"/>
  <c r="CI106" i="1"/>
  <c r="P151" i="1"/>
  <c r="O193" i="1"/>
  <c r="M17" i="8"/>
  <c r="O106" i="1"/>
  <c r="T103" i="1"/>
  <c r="O109" i="1"/>
  <c r="S101" i="1"/>
  <c r="AE106" i="1"/>
  <c r="CE107" i="1"/>
  <c r="AB151" i="1"/>
  <c r="V90" i="1"/>
  <c r="BD133" i="1"/>
  <c r="BR133" i="1" s="1"/>
  <c r="AK171" i="1"/>
  <c r="U193" i="1"/>
  <c r="CF17" i="8"/>
  <c r="CA16" i="8"/>
  <c r="CR101" i="1"/>
  <c r="CE109" i="1"/>
  <c r="W151" i="1"/>
  <c r="V171" i="1"/>
  <c r="AC193" i="1"/>
  <c r="AI193" i="1"/>
  <c r="CC17" i="8"/>
  <c r="H16" i="8"/>
  <c r="CI105" i="1"/>
  <c r="T102" i="1"/>
  <c r="AI108" i="1"/>
  <c r="AK103" i="1"/>
  <c r="AD151" i="1"/>
  <c r="N151" i="1"/>
  <c r="BD151" i="1" s="1"/>
  <c r="BR151" i="1" s="1"/>
  <c r="J17" i="8"/>
  <c r="V109" i="1"/>
  <c r="AE105" i="1"/>
  <c r="CF109" i="1"/>
  <c r="AG107" i="1"/>
  <c r="CR105" i="1"/>
  <c r="V133" i="1"/>
  <c r="AD171" i="1"/>
  <c r="CJ17" i="8"/>
  <c r="CG17" i="8"/>
  <c r="O17" i="8"/>
  <c r="CR108" i="1"/>
  <c r="CR107" i="1"/>
  <c r="AD106" i="1"/>
  <c r="T151" i="1"/>
  <c r="CI151" i="1"/>
  <c r="BF90" i="1"/>
  <c r="BT90" i="1" s="1"/>
  <c r="CG90" i="1"/>
  <c r="M171" i="1"/>
  <c r="AJ171" i="1"/>
  <c r="M193" i="1"/>
  <c r="EL108" i="1"/>
  <c r="Y17" i="8"/>
  <c r="G16" i="8"/>
  <c r="AH101" i="1"/>
  <c r="CM107" i="1"/>
  <c r="AC105" i="1"/>
  <c r="CL171" i="1"/>
  <c r="CR171" i="1"/>
  <c r="AA193" i="1"/>
  <c r="AH171" i="1"/>
  <c r="W16" i="8"/>
  <c r="CH109" i="1"/>
  <c r="T101" i="1"/>
  <c r="CK107" i="1"/>
  <c r="DI90" i="1"/>
  <c r="EK90" i="1" s="1"/>
  <c r="AL171" i="1"/>
  <c r="U17" i="8"/>
  <c r="CR103" i="1"/>
  <c r="CP108" i="1"/>
  <c r="AD109" i="1"/>
  <c r="AC109" i="1"/>
  <c r="AA109" i="1"/>
  <c r="X17" i="8"/>
  <c r="AL108" i="1"/>
  <c r="CN102" i="1"/>
  <c r="BN103" i="1"/>
  <c r="CB103" i="1" s="1"/>
  <c r="CM108" i="1"/>
  <c r="CH103" i="1"/>
  <c r="AK108" i="1"/>
  <c r="BH151" i="1"/>
  <c r="BV151" i="1" s="1"/>
  <c r="AL102" i="1"/>
  <c r="T133" i="1"/>
  <c r="AL133" i="1"/>
  <c r="CF171" i="1"/>
  <c r="G17" i="8"/>
  <c r="AJ102" i="1"/>
  <c r="CE103" i="1"/>
  <c r="CE108" i="1"/>
  <c r="P27" i="51"/>
  <c r="S27" i="51" s="1"/>
  <c r="G9" i="41"/>
  <c r="J10" i="41"/>
  <c r="E10" i="41"/>
  <c r="M9" i="41"/>
  <c r="H10" i="41"/>
  <c r="EM52" i="8"/>
  <c r="DM109" i="1"/>
  <c r="DO108" i="1"/>
  <c r="DK171" i="1"/>
  <c r="BG171" i="1"/>
  <c r="BU171" i="1" s="1"/>
  <c r="CL16" i="8"/>
  <c r="BA17" i="8"/>
  <c r="BO17" i="8" s="1"/>
  <c r="DE17" i="8"/>
  <c r="EG17" i="8" s="1"/>
  <c r="BF133" i="1"/>
  <c r="BT133" i="1" s="1"/>
  <c r="DJ133" i="1"/>
  <c r="DO105" i="1"/>
  <c r="EQ105" i="1" s="1"/>
  <c r="BK105" i="1"/>
  <c r="BY105" i="1" s="1"/>
  <c r="BL106" i="1"/>
  <c r="BZ106" i="1" s="1"/>
  <c r="DP106" i="1"/>
  <c r="AZ16" i="8"/>
  <c r="BN16" i="8" s="1"/>
  <c r="DD16" i="8"/>
  <c r="BK103" i="1"/>
  <c r="BY103" i="1" s="1"/>
  <c r="DO103" i="1"/>
  <c r="BD171" i="1"/>
  <c r="BR171" i="1" s="1"/>
  <c r="DH171" i="1"/>
  <c r="K16" i="8"/>
  <c r="Y16" i="8"/>
  <c r="DR109" i="1"/>
  <c r="BN109" i="1"/>
  <c r="CB109" i="1" s="1"/>
  <c r="BG151" i="1"/>
  <c r="BU151" i="1" s="1"/>
  <c r="DK151" i="1"/>
  <c r="DJ193" i="1"/>
  <c r="BF193" i="1"/>
  <c r="BT193" i="1" s="1"/>
  <c r="DJ103" i="1"/>
  <c r="BF103" i="1"/>
  <c r="BT103" i="1" s="1"/>
  <c r="BC151" i="1"/>
  <c r="BQ151" i="1" s="1"/>
  <c r="DG151" i="1"/>
  <c r="M101" i="1"/>
  <c r="Y75" i="48"/>
  <c r="Z75" i="48" s="1"/>
  <c r="BI159" i="48"/>
  <c r="BD112" i="58"/>
  <c r="BD110" i="58"/>
  <c r="BK177" i="1" l="1"/>
  <c r="BY177" i="1" s="1"/>
  <c r="BK156" i="1"/>
  <c r="BY156" i="1" s="1"/>
  <c r="BK178" i="1"/>
  <c r="BY178" i="1" s="1"/>
  <c r="L218" i="35"/>
  <c r="BK169" i="1"/>
  <c r="BY169" i="1" s="1"/>
  <c r="W13" i="28"/>
  <c r="W12" i="28"/>
  <c r="BK167" i="1"/>
  <c r="BY167" i="1" s="1"/>
  <c r="BK211" i="1"/>
  <c r="BY211" i="1" s="1"/>
  <c r="K208" i="35"/>
  <c r="L208" i="35"/>
  <c r="L215" i="35"/>
  <c r="K215" i="35"/>
  <c r="L230" i="35"/>
  <c r="K230" i="35"/>
  <c r="L229" i="35"/>
  <c r="K229" i="35"/>
  <c r="K217" i="35"/>
  <c r="L217" i="35"/>
  <c r="L227" i="35"/>
  <c r="K227" i="35"/>
  <c r="K214" i="35"/>
  <c r="L214" i="35"/>
  <c r="L223" i="35"/>
  <c r="K223" i="35"/>
  <c r="L222" i="35"/>
  <c r="K222" i="35"/>
  <c r="K221" i="35"/>
  <c r="L221" i="35"/>
  <c r="K213" i="35"/>
  <c r="L213" i="35"/>
  <c r="L224" i="35"/>
  <c r="K224" i="35"/>
  <c r="L216" i="35"/>
  <c r="K216" i="35"/>
  <c r="K219" i="35"/>
  <c r="L219" i="35"/>
  <c r="L220" i="35"/>
  <c r="K220" i="35"/>
  <c r="G232" i="35"/>
  <c r="J197" i="35"/>
  <c r="L197" i="35" s="1"/>
  <c r="M225" i="35"/>
  <c r="J199" i="35"/>
  <c r="L199" i="35" s="1"/>
  <c r="J181" i="35"/>
  <c r="L181" i="35" s="1"/>
  <c r="M209" i="35"/>
  <c r="J186" i="35"/>
  <c r="L186" i="35" s="1"/>
  <c r="M186" i="35" s="1"/>
  <c r="J183" i="35"/>
  <c r="L183" i="35" s="1"/>
  <c r="M211" i="35"/>
  <c r="J191" i="35"/>
  <c r="L191" i="35" s="1"/>
  <c r="J189" i="35"/>
  <c r="L189" i="35" s="1"/>
  <c r="J182" i="35"/>
  <c r="L182" i="35" s="1"/>
  <c r="M210" i="35"/>
  <c r="J184" i="35"/>
  <c r="L184" i="35" s="1"/>
  <c r="M212" i="35"/>
  <c r="J194" i="35"/>
  <c r="L194" i="35" s="1"/>
  <c r="J190" i="35"/>
  <c r="L190" i="35" s="1"/>
  <c r="M218" i="35"/>
  <c r="J200" i="35"/>
  <c r="L200" i="35" s="1"/>
  <c r="J195" i="35"/>
  <c r="L195" i="35" s="1"/>
  <c r="J192" i="35"/>
  <c r="L192" i="35" s="1"/>
  <c r="J193" i="35"/>
  <c r="L193" i="35" s="1"/>
  <c r="J185" i="35"/>
  <c r="L185" i="35" s="1"/>
  <c r="J142" i="22"/>
  <c r="A181" i="1"/>
  <c r="A182" i="1" s="1"/>
  <c r="J141" i="22"/>
  <c r="E143" i="22"/>
  <c r="P130" i="22"/>
  <c r="J125" i="22"/>
  <c r="J138" i="22"/>
  <c r="P143" i="22"/>
  <c r="J126" i="22"/>
  <c r="J139" i="22"/>
  <c r="C37" i="42"/>
  <c r="BI177" i="1"/>
  <c r="BW177" i="1" s="1"/>
  <c r="L132" i="35"/>
  <c r="DV146" i="1"/>
  <c r="EJ146" i="1" s="1"/>
  <c r="K132" i="35"/>
  <c r="J21" i="6"/>
  <c r="J146" i="6" s="1"/>
  <c r="V6" i="2"/>
  <c r="BE65" i="8"/>
  <c r="BS65" i="8" s="1"/>
  <c r="I21" i="6"/>
  <c r="I146" i="6" s="1"/>
  <c r="K21" i="6"/>
  <c r="I12" i="41" s="1"/>
  <c r="R67" i="6"/>
  <c r="S67" i="6" s="1"/>
  <c r="R29" i="6"/>
  <c r="S29" i="6" s="1"/>
  <c r="AL53" i="6"/>
  <c r="H21" i="6"/>
  <c r="H8" i="24" s="1"/>
  <c r="AL68" i="6"/>
  <c r="AL71" i="6"/>
  <c r="AL51" i="6"/>
  <c r="I202" i="6"/>
  <c r="I204" i="6" s="1"/>
  <c r="L21" i="6"/>
  <c r="J12" i="41" s="1"/>
  <c r="M21" i="6"/>
  <c r="M146" i="6" s="1"/>
  <c r="AD7" i="24"/>
  <c r="AL74" i="6"/>
  <c r="AL52" i="6"/>
  <c r="AL54" i="6"/>
  <c r="AL69" i="6"/>
  <c r="N21" i="6"/>
  <c r="T8" i="24" s="1"/>
  <c r="AL76" i="6"/>
  <c r="U11" i="24"/>
  <c r="AD14" i="6"/>
  <c r="AV137" i="6"/>
  <c r="AD32" i="6"/>
  <c r="AD34" i="6"/>
  <c r="O76" i="6"/>
  <c r="O75" i="6"/>
  <c r="AD36" i="6"/>
  <c r="AD13" i="6"/>
  <c r="AD19" i="6"/>
  <c r="H76" i="6"/>
  <c r="H75" i="6"/>
  <c r="AD35" i="6"/>
  <c r="Q76" i="6"/>
  <c r="Q75" i="6"/>
  <c r="K76" i="6"/>
  <c r="K75" i="6"/>
  <c r="AD33" i="6"/>
  <c r="J76" i="6"/>
  <c r="J75" i="6"/>
  <c r="AD16" i="6"/>
  <c r="AP139" i="6"/>
  <c r="N76" i="6"/>
  <c r="N75" i="6"/>
  <c r="AD31" i="6"/>
  <c r="AD30" i="6"/>
  <c r="AG113" i="6"/>
  <c r="AG89" i="6" s="1"/>
  <c r="AJ30" i="6"/>
  <c r="M76" i="6"/>
  <c r="M75" i="6"/>
  <c r="L76" i="6"/>
  <c r="L75" i="6"/>
  <c r="P76" i="6"/>
  <c r="P75" i="6"/>
  <c r="AB139" i="6"/>
  <c r="I76" i="6"/>
  <c r="I75" i="6"/>
  <c r="AG137" i="6"/>
  <c r="AF52" i="20"/>
  <c r="AP126" i="6"/>
  <c r="AP136" i="6"/>
  <c r="AK76" i="6"/>
  <c r="AT51" i="6"/>
  <c r="AT52" i="20"/>
  <c r="AB35" i="6"/>
  <c r="AC31" i="6"/>
  <c r="P38" i="6"/>
  <c r="P37" i="6"/>
  <c r="AB31" i="6"/>
  <c r="AT73" i="6"/>
  <c r="AB52" i="20"/>
  <c r="AT69" i="6"/>
  <c r="G202" i="6"/>
  <c r="AG138" i="6"/>
  <c r="AG136" i="6" s="1"/>
  <c r="AC19" i="6"/>
  <c r="G38" i="6"/>
  <c r="G37" i="6"/>
  <c r="Q38" i="6"/>
  <c r="Q37" i="6"/>
  <c r="N38" i="6"/>
  <c r="N37" i="6"/>
  <c r="AG46" i="20"/>
  <c r="F38" i="6"/>
  <c r="F37" i="6"/>
  <c r="AT74" i="6"/>
  <c r="I38" i="6"/>
  <c r="I37" i="6"/>
  <c r="Q202" i="6"/>
  <c r="Q204" i="6" s="1"/>
  <c r="AC36" i="6"/>
  <c r="AC15" i="6"/>
  <c r="AC35" i="6"/>
  <c r="L38" i="6"/>
  <c r="L37" i="6"/>
  <c r="K38" i="6"/>
  <c r="K37" i="6"/>
  <c r="AT68" i="6"/>
  <c r="K202" i="6"/>
  <c r="AC32" i="6"/>
  <c r="AC126" i="6"/>
  <c r="H37" i="6"/>
  <c r="AC34" i="6"/>
  <c r="Y52" i="20"/>
  <c r="AT71" i="6"/>
  <c r="AC33" i="6"/>
  <c r="O38" i="6"/>
  <c r="O37" i="6"/>
  <c r="J38" i="6"/>
  <c r="J37" i="6"/>
  <c r="AC30" i="6"/>
  <c r="AH46" i="20"/>
  <c r="AC14" i="6"/>
  <c r="M38" i="6"/>
  <c r="M37" i="6"/>
  <c r="AC38" i="6"/>
  <c r="AU52" i="20"/>
  <c r="V73" i="6"/>
  <c r="V57" i="6"/>
  <c r="V69" i="6"/>
  <c r="AR52" i="20"/>
  <c r="V68" i="6"/>
  <c r="AW137" i="6"/>
  <c r="AA61" i="24" s="1"/>
  <c r="AV69" i="6"/>
  <c r="AL52" i="20"/>
  <c r="V71" i="6"/>
  <c r="AF126" i="6"/>
  <c r="V54" i="6"/>
  <c r="V72" i="6"/>
  <c r="V52" i="6"/>
  <c r="AS73" i="6"/>
  <c r="AS68" i="6"/>
  <c r="AS70" i="6"/>
  <c r="AS74" i="6"/>
  <c r="AS52" i="6"/>
  <c r="AS72" i="6"/>
  <c r="AS69" i="6"/>
  <c r="AS53" i="6"/>
  <c r="AS71" i="6"/>
  <c r="AS51" i="6"/>
  <c r="AE108" i="6"/>
  <c r="AW138" i="6"/>
  <c r="AW136" i="6" s="1"/>
  <c r="AE105" i="6"/>
  <c r="AE107" i="6"/>
  <c r="AA52" i="20"/>
  <c r="AV48" i="20"/>
  <c r="AE111" i="6"/>
  <c r="AE110" i="6"/>
  <c r="AD52" i="20"/>
  <c r="V108" i="6"/>
  <c r="V110" i="6"/>
  <c r="AE52" i="20"/>
  <c r="AE89" i="6"/>
  <c r="AV44" i="20"/>
  <c r="AV72" i="6"/>
  <c r="M10" i="24"/>
  <c r="U68" i="6"/>
  <c r="AS111" i="6"/>
  <c r="AV52" i="6"/>
  <c r="AS91" i="6"/>
  <c r="Z52" i="20"/>
  <c r="AK71" i="6"/>
  <c r="AV70" i="6"/>
  <c r="AK68" i="6"/>
  <c r="AV73" i="6"/>
  <c r="AK52" i="6"/>
  <c r="U52" i="20"/>
  <c r="U72" i="6"/>
  <c r="AK51" i="6"/>
  <c r="AK73" i="6"/>
  <c r="M154" i="6"/>
  <c r="U73" i="6"/>
  <c r="AV45" i="20"/>
  <c r="U71" i="6"/>
  <c r="AJ76" i="6"/>
  <c r="AB14" i="6"/>
  <c r="P152" i="6"/>
  <c r="P154" i="6" s="1"/>
  <c r="U74" i="6"/>
  <c r="AJ52" i="6"/>
  <c r="AB13" i="6"/>
  <c r="AV53" i="6"/>
  <c r="U57" i="6"/>
  <c r="AB32" i="6"/>
  <c r="AV51" i="6"/>
  <c r="AG47" i="20"/>
  <c r="U70" i="6"/>
  <c r="I11" i="24"/>
  <c r="AV46" i="20"/>
  <c r="AB16" i="6"/>
  <c r="AV71" i="6"/>
  <c r="AV68" i="6"/>
  <c r="U139" i="6"/>
  <c r="AJ68" i="6"/>
  <c r="W126" i="6"/>
  <c r="AJ71" i="6"/>
  <c r="AB19" i="6"/>
  <c r="AV76" i="6"/>
  <c r="U51" i="6"/>
  <c r="AS109" i="6"/>
  <c r="AB30" i="6"/>
  <c r="AP35" i="6"/>
  <c r="AV57" i="6"/>
  <c r="AJ69" i="6"/>
  <c r="AH44" i="20"/>
  <c r="U52" i="6"/>
  <c r="AS90" i="6"/>
  <c r="AP36" i="6"/>
  <c r="AV54" i="6"/>
  <c r="AS110" i="6"/>
  <c r="AJ14" i="6"/>
  <c r="AJ34" i="6"/>
  <c r="AJ15" i="6"/>
  <c r="AJ38" i="6"/>
  <c r="AJ31" i="6"/>
  <c r="AJ35" i="6"/>
  <c r="AJ51" i="6"/>
  <c r="AB34" i="6"/>
  <c r="AP13" i="6"/>
  <c r="AJ13" i="6"/>
  <c r="AB36" i="6"/>
  <c r="AG45" i="20"/>
  <c r="AG127" i="6"/>
  <c r="AA92" i="6"/>
  <c r="AH45" i="20"/>
  <c r="AH47" i="20"/>
  <c r="L202" i="6"/>
  <c r="L203" i="6" s="1"/>
  <c r="AA111" i="6"/>
  <c r="AG40" i="20"/>
  <c r="AH40" i="20" s="1"/>
  <c r="AA105" i="6"/>
  <c r="AA89" i="6"/>
  <c r="AA110" i="6"/>
  <c r="AB38" i="6"/>
  <c r="AA95" i="6"/>
  <c r="AA108" i="6"/>
  <c r="AA106" i="6"/>
  <c r="AA109" i="6"/>
  <c r="V139" i="6"/>
  <c r="AC52" i="20"/>
  <c r="AA107" i="6"/>
  <c r="AA90" i="6"/>
  <c r="V126" i="6"/>
  <c r="AQ52" i="20"/>
  <c r="O10" i="24"/>
  <c r="J154" i="6"/>
  <c r="BK174" i="1"/>
  <c r="BY174" i="1" s="1"/>
  <c r="BE60" i="8"/>
  <c r="BS60" i="8" s="1"/>
  <c r="BE26" i="8"/>
  <c r="BS26" i="8" s="1"/>
  <c r="BE31" i="8"/>
  <c r="BS31" i="8" s="1"/>
  <c r="M30" i="35"/>
  <c r="BK141" i="1"/>
  <c r="BY141" i="1" s="1"/>
  <c r="BK175" i="1"/>
  <c r="BY175" i="1" s="1"/>
  <c r="BK130" i="1"/>
  <c r="BY130" i="1" s="1"/>
  <c r="BK170" i="1"/>
  <c r="BY170" i="1" s="1"/>
  <c r="BK216" i="1"/>
  <c r="BY216" i="1" s="1"/>
  <c r="BK109" i="1"/>
  <c r="BY109" i="1" s="1"/>
  <c r="BE43" i="8"/>
  <c r="BS43" i="8" s="1"/>
  <c r="M80" i="35"/>
  <c r="DZ101" i="1"/>
  <c r="AK111" i="48" s="1"/>
  <c r="AC316" i="2"/>
  <c r="DY84" i="1"/>
  <c r="DT84" i="1" s="1"/>
  <c r="AC292" i="2"/>
  <c r="DU16" i="1"/>
  <c r="DT16" i="1" s="1"/>
  <c r="AC28" i="2"/>
  <c r="DT16" i="8"/>
  <c r="AC349" i="2"/>
  <c r="DZ92" i="1"/>
  <c r="EN92" i="1" s="1"/>
  <c r="AC350" i="2"/>
  <c r="EA92" i="1"/>
  <c r="EO92" i="1" s="1"/>
  <c r="AC416" i="2"/>
  <c r="DY23" i="1"/>
  <c r="EM23" i="1" s="1"/>
  <c r="AC271" i="2"/>
  <c r="DZ102" i="1"/>
  <c r="DT102" i="1" s="1"/>
  <c r="AC334" i="2"/>
  <c r="AD46" i="2"/>
  <c r="AC46" i="2"/>
  <c r="H167" i="35"/>
  <c r="O167" i="35" s="1"/>
  <c r="AC415" i="2"/>
  <c r="L97" i="60"/>
  <c r="I97" i="60" s="1"/>
  <c r="AC375" i="2"/>
  <c r="DZ75" i="1"/>
  <c r="N69" i="36" s="1"/>
  <c r="AC319" i="2"/>
  <c r="DT38" i="8"/>
  <c r="EH38" i="8" s="1"/>
  <c r="H158" i="35"/>
  <c r="O158" i="35" s="1"/>
  <c r="AC405" i="2"/>
  <c r="H169" i="35"/>
  <c r="O169" i="35" s="1"/>
  <c r="AC443" i="2"/>
  <c r="H166" i="35"/>
  <c r="O166" i="35" s="1"/>
  <c r="AC442" i="2"/>
  <c r="DW147" i="1"/>
  <c r="DT147" i="1" s="1"/>
  <c r="J21" i="62"/>
  <c r="C31" i="62" s="1"/>
  <c r="DZ156" i="1"/>
  <c r="EN156" i="1" s="1"/>
  <c r="DP38" i="8"/>
  <c r="ED38" i="8" s="1"/>
  <c r="Z365" i="2"/>
  <c r="BD38" i="8"/>
  <c r="BR38" i="8" s="1"/>
  <c r="I27" i="20"/>
  <c r="BJ180" i="1"/>
  <c r="BX180" i="1" s="1"/>
  <c r="U3" i="8"/>
  <c r="G21" i="62"/>
  <c r="V170" i="2"/>
  <c r="T52" i="8"/>
  <c r="T58" i="8"/>
  <c r="BD7" i="8"/>
  <c r="BR7" i="8" s="1"/>
  <c r="T27" i="8"/>
  <c r="T48" i="8"/>
  <c r="T65" i="8"/>
  <c r="M21" i="62"/>
  <c r="T45" i="8"/>
  <c r="O21" i="62"/>
  <c r="T7" i="8"/>
  <c r="T23" i="8"/>
  <c r="T16" i="8"/>
  <c r="T67" i="8"/>
  <c r="T56" i="8"/>
  <c r="T47" i="8"/>
  <c r="H21" i="62"/>
  <c r="E28" i="62"/>
  <c r="F21" i="62"/>
  <c r="O42" i="28"/>
  <c r="O49" i="28" s="1"/>
  <c r="O50" i="28" s="1"/>
  <c r="T30" i="8"/>
  <c r="T26" i="8"/>
  <c r="T60" i="8"/>
  <c r="T8" i="8"/>
  <c r="AW10" i="8"/>
  <c r="BK10" i="8" s="1"/>
  <c r="T10" i="8"/>
  <c r="T66" i="8"/>
  <c r="L21" i="62"/>
  <c r="T50" i="8"/>
  <c r="E21" i="62"/>
  <c r="T31" i="8"/>
  <c r="T63" i="8"/>
  <c r="T35" i="8"/>
  <c r="T62" i="8"/>
  <c r="T11" i="8"/>
  <c r="N21" i="62"/>
  <c r="T33" i="8"/>
  <c r="T15" i="8"/>
  <c r="T64" i="8"/>
  <c r="T49" i="8"/>
  <c r="T25" i="8"/>
  <c r="T61" i="8"/>
  <c r="T34" i="8"/>
  <c r="T18" i="8"/>
  <c r="T6" i="8"/>
  <c r="T12" i="8"/>
  <c r="T44" i="8"/>
  <c r="T55" i="8"/>
  <c r="I21" i="62"/>
  <c r="T46" i="8"/>
  <c r="T38" i="8"/>
  <c r="E30" i="62"/>
  <c r="T13" i="8"/>
  <c r="K21" i="62"/>
  <c r="D31" i="62" s="1"/>
  <c r="T42" i="8"/>
  <c r="T24" i="8"/>
  <c r="T39" i="8"/>
  <c r="T69" i="8"/>
  <c r="T68" i="8" s="1"/>
  <c r="T57" i="8"/>
  <c r="T54" i="8"/>
  <c r="T36" i="8"/>
  <c r="T53" i="8"/>
  <c r="D21" i="62"/>
  <c r="T37" i="8"/>
  <c r="T43" i="8"/>
  <c r="T32" i="8"/>
  <c r="T17" i="8"/>
  <c r="AW9" i="8"/>
  <c r="BK9" i="8" s="1"/>
  <c r="T9" i="8"/>
  <c r="T14" i="8"/>
  <c r="E29" i="62"/>
  <c r="V5" i="28"/>
  <c r="V13" i="28" s="1"/>
  <c r="AB3" i="8"/>
  <c r="E65" i="44"/>
  <c r="I65" i="44" s="1"/>
  <c r="H65" i="44"/>
  <c r="E64" i="44"/>
  <c r="I64" i="44" s="1"/>
  <c r="F64" i="44"/>
  <c r="H64" i="44" s="1"/>
  <c r="F11" i="51"/>
  <c r="BD26" i="8"/>
  <c r="BR26" i="8" s="1"/>
  <c r="BI153" i="48"/>
  <c r="BI161" i="48"/>
  <c r="BI165" i="48"/>
  <c r="BI157" i="48"/>
  <c r="BI164" i="48"/>
  <c r="BI166" i="48"/>
  <c r="K204" i="6"/>
  <c r="K203" i="6"/>
  <c r="W51" i="6"/>
  <c r="F204" i="6"/>
  <c r="AG16" i="20"/>
  <c r="W71" i="6"/>
  <c r="F203" i="6"/>
  <c r="AE90" i="6"/>
  <c r="AE106" i="6"/>
  <c r="AE109" i="6"/>
  <c r="AL108" i="6"/>
  <c r="AL89" i="6"/>
  <c r="AL106" i="6"/>
  <c r="AL111" i="6"/>
  <c r="AL112" i="6"/>
  <c r="AL91" i="6"/>
  <c r="AL90" i="6"/>
  <c r="AL92" i="6"/>
  <c r="R150" i="6"/>
  <c r="Y71" i="6"/>
  <c r="AS105" i="6"/>
  <c r="AS89" i="6"/>
  <c r="AS107" i="6"/>
  <c r="Y74" i="6"/>
  <c r="AP14" i="6"/>
  <c r="W139" i="6"/>
  <c r="Y51" i="6"/>
  <c r="AP30" i="6"/>
  <c r="Y69" i="6"/>
  <c r="W52" i="20"/>
  <c r="F202" i="6"/>
  <c r="AO52" i="20"/>
  <c r="AL105" i="6"/>
  <c r="AW39" i="6"/>
  <c r="AW30" i="6" s="1"/>
  <c r="Y54" i="6"/>
  <c r="Y57" i="6"/>
  <c r="W72" i="6"/>
  <c r="P202" i="6"/>
  <c r="AT72" i="6"/>
  <c r="AP52" i="20"/>
  <c r="W76" i="6"/>
  <c r="AT139" i="6"/>
  <c r="AE38" i="6"/>
  <c r="AE35" i="6"/>
  <c r="AE31" i="6"/>
  <c r="AE19" i="6"/>
  <c r="AE30" i="6"/>
  <c r="AE33" i="6"/>
  <c r="AE14" i="6"/>
  <c r="AE34" i="6"/>
  <c r="AE16" i="6"/>
  <c r="AE36" i="6"/>
  <c r="AE32" i="6"/>
  <c r="W57" i="6"/>
  <c r="AT52" i="6"/>
  <c r="W68" i="6"/>
  <c r="G10" i="24"/>
  <c r="V52" i="20"/>
  <c r="W52" i="6"/>
  <c r="F153" i="6"/>
  <c r="W69" i="6"/>
  <c r="AE112" i="6"/>
  <c r="W73" i="6"/>
  <c r="AP33" i="6"/>
  <c r="BI151" i="48"/>
  <c r="BI154" i="48"/>
  <c r="BJ162" i="1"/>
  <c r="BX162" i="1" s="1"/>
  <c r="BI141" i="1"/>
  <c r="BW141" i="1" s="1"/>
  <c r="BF211" i="1"/>
  <c r="BT211" i="1" s="1"/>
  <c r="E130" i="22"/>
  <c r="J47" i="22"/>
  <c r="J128" i="22"/>
  <c r="H130" i="22"/>
  <c r="EJ7" i="8"/>
  <c r="J6" i="44" s="1"/>
  <c r="O126" i="22"/>
  <c r="EJ11" i="8"/>
  <c r="J10" i="44" s="1"/>
  <c r="O128" i="22"/>
  <c r="J113" i="22"/>
  <c r="J129" i="22"/>
  <c r="J9" i="22"/>
  <c r="J127" i="22"/>
  <c r="D24" i="51"/>
  <c r="F18" i="51"/>
  <c r="F23" i="51"/>
  <c r="F13" i="51"/>
  <c r="F8" i="51"/>
  <c r="F20" i="51"/>
  <c r="K27" i="48"/>
  <c r="L27" i="48" s="1"/>
  <c r="F14" i="51"/>
  <c r="K26" i="48"/>
  <c r="L26" i="48" s="1"/>
  <c r="F15" i="51"/>
  <c r="F10" i="51"/>
  <c r="D23" i="51"/>
  <c r="F21" i="51"/>
  <c r="DR46" i="8"/>
  <c r="EF46" i="8" s="1"/>
  <c r="K190" i="35"/>
  <c r="K199" i="35"/>
  <c r="K193" i="35"/>
  <c r="K197" i="35"/>
  <c r="K195" i="35"/>
  <c r="K189" i="35"/>
  <c r="K191" i="35"/>
  <c r="K184" i="35"/>
  <c r="K194" i="35"/>
  <c r="K182" i="35"/>
  <c r="K181" i="35"/>
  <c r="K200" i="35"/>
  <c r="K185" i="35"/>
  <c r="K192" i="35"/>
  <c r="K183" i="35"/>
  <c r="M77" i="35"/>
  <c r="M86" i="35"/>
  <c r="M8" i="35"/>
  <c r="L97" i="35"/>
  <c r="M94" i="35"/>
  <c r="J159" i="35"/>
  <c r="L159" i="35" s="1"/>
  <c r="J152" i="35"/>
  <c r="L152" i="35" s="1"/>
  <c r="J151" i="35"/>
  <c r="G202" i="35"/>
  <c r="J156" i="35"/>
  <c r="L156" i="35" s="1"/>
  <c r="M187" i="35"/>
  <c r="J155" i="35"/>
  <c r="L155" i="35" s="1"/>
  <c r="J157" i="35"/>
  <c r="L157" i="35" s="1"/>
  <c r="J167" i="35"/>
  <c r="J154" i="35"/>
  <c r="L154" i="35" s="1"/>
  <c r="M188" i="35"/>
  <c r="J166" i="35"/>
  <c r="J158" i="35"/>
  <c r="J164" i="35"/>
  <c r="J160" i="35"/>
  <c r="L160" i="35" s="1"/>
  <c r="J165" i="35"/>
  <c r="L165" i="35" s="1"/>
  <c r="J153" i="35"/>
  <c r="L153" i="35" s="1"/>
  <c r="M180" i="35"/>
  <c r="J169" i="35"/>
  <c r="M196" i="35"/>
  <c r="M93" i="35"/>
  <c r="M92" i="35"/>
  <c r="DG77" i="1"/>
  <c r="EI77" i="1" s="1"/>
  <c r="AY31" i="8"/>
  <c r="BM31" i="8" s="1"/>
  <c r="DP169" i="1"/>
  <c r="ER169" i="1" s="1"/>
  <c r="Z361" i="2"/>
  <c r="M94" i="60" s="1"/>
  <c r="Z262" i="2"/>
  <c r="BD217" i="1"/>
  <c r="BR217" i="1" s="1"/>
  <c r="EL196" i="1"/>
  <c r="DL65" i="8"/>
  <c r="EN65" i="8" s="1"/>
  <c r="Z297" i="2"/>
  <c r="V177" i="2"/>
  <c r="AC60" i="2"/>
  <c r="AD60" i="2" s="1"/>
  <c r="AC96" i="2"/>
  <c r="AD96" i="2" s="1"/>
  <c r="AZ33" i="8"/>
  <c r="BN33" i="8" s="1"/>
  <c r="V37" i="2"/>
  <c r="DD50" i="8"/>
  <c r="EF50" i="8" s="1"/>
  <c r="Z330" i="2"/>
  <c r="V149" i="2"/>
  <c r="DI22" i="1"/>
  <c r="EK22" i="1" s="1"/>
  <c r="BH177" i="1"/>
  <c r="BV177" i="1" s="1"/>
  <c r="Z336" i="2"/>
  <c r="I37" i="20" s="1"/>
  <c r="BE195" i="1"/>
  <c r="BS195" i="1" s="1"/>
  <c r="DV6" i="1"/>
  <c r="J63" i="36" s="1"/>
  <c r="DY13" i="1"/>
  <c r="M73" i="36" s="1"/>
  <c r="M97" i="36" s="1"/>
  <c r="V143" i="2"/>
  <c r="BF214" i="1"/>
  <c r="BT214" i="1" s="1"/>
  <c r="BF194" i="1"/>
  <c r="BT194" i="1" s="1"/>
  <c r="EE45" i="8"/>
  <c r="AC170" i="2"/>
  <c r="AD170" i="2" s="1"/>
  <c r="DU90" i="1"/>
  <c r="DT90" i="1" s="1"/>
  <c r="BE48" i="1"/>
  <c r="BS48" i="1" s="1"/>
  <c r="V254" i="2"/>
  <c r="DZ103" i="1"/>
  <c r="DT103" i="1" s="1"/>
  <c r="BD215" i="1"/>
  <c r="BR215" i="1" s="1"/>
  <c r="BE50" i="1"/>
  <c r="BS50" i="1" s="1"/>
  <c r="DI31" i="8"/>
  <c r="DI29" i="8" s="1"/>
  <c r="EK29" i="8" s="1"/>
  <c r="DG102" i="1"/>
  <c r="EI102" i="1" s="1"/>
  <c r="V217" i="2"/>
  <c r="EL128" i="1"/>
  <c r="BZ59" i="8"/>
  <c r="BF158" i="1"/>
  <c r="BT158" i="1" s="1"/>
  <c r="DL15" i="8"/>
  <c r="EN15" i="8" s="1"/>
  <c r="N14" i="44" s="1"/>
  <c r="L92" i="60"/>
  <c r="I92" i="60" s="1"/>
  <c r="Z203" i="2"/>
  <c r="Z374" i="2"/>
  <c r="DX44" i="1"/>
  <c r="EL44" i="1" s="1"/>
  <c r="DA12" i="8"/>
  <c r="EC12" i="8" s="1"/>
  <c r="C11" i="44" s="1"/>
  <c r="V79" i="2"/>
  <c r="V370" i="2"/>
  <c r="DO170" i="1"/>
  <c r="EQ170" i="1" s="1"/>
  <c r="AC176" i="2"/>
  <c r="AD176" i="2" s="1"/>
  <c r="V311" i="2"/>
  <c r="BD13" i="8"/>
  <c r="BR13" i="8" s="1"/>
  <c r="V322" i="2"/>
  <c r="DI50" i="8"/>
  <c r="EK50" i="8" s="1"/>
  <c r="BD56" i="8"/>
  <c r="BR56" i="8" s="1"/>
  <c r="DM195" i="1"/>
  <c r="EO195" i="1" s="1"/>
  <c r="AC73" i="2"/>
  <c r="AD73" i="2" s="1"/>
  <c r="V128" i="2"/>
  <c r="DU50" i="1"/>
  <c r="EI50" i="1" s="1"/>
  <c r="Z134" i="2"/>
  <c r="DJ135" i="1"/>
  <c r="EL135" i="1" s="1"/>
  <c r="AC228" i="2"/>
  <c r="AD228" i="2" s="1"/>
  <c r="AY44" i="8"/>
  <c r="BM44" i="8" s="1"/>
  <c r="BC64" i="8"/>
  <c r="BQ64" i="8" s="1"/>
  <c r="AY45" i="8"/>
  <c r="BM45" i="8" s="1"/>
  <c r="V142" i="2"/>
  <c r="V130" i="2"/>
  <c r="DJ47" i="1"/>
  <c r="EL47" i="1" s="1"/>
  <c r="V213" i="2"/>
  <c r="BE143" i="1"/>
  <c r="BS143" i="1" s="1"/>
  <c r="DV159" i="1"/>
  <c r="EJ159" i="1" s="1"/>
  <c r="BE49" i="8"/>
  <c r="BS49" i="8" s="1"/>
  <c r="CA3" i="8"/>
  <c r="DU6" i="1"/>
  <c r="AA75" i="58" s="1"/>
  <c r="BG204" i="1"/>
  <c r="BU204" i="1" s="1"/>
  <c r="BC43" i="8"/>
  <c r="BQ43" i="8" s="1"/>
  <c r="AZ34" i="8"/>
  <c r="BN34" i="8" s="1"/>
  <c r="DI60" i="8"/>
  <c r="EK60" i="8" s="1"/>
  <c r="EL203" i="1"/>
  <c r="V206" i="2"/>
  <c r="AZ31" i="8"/>
  <c r="BN31" i="8" s="1"/>
  <c r="DJ186" i="1"/>
  <c r="EL186" i="1" s="1"/>
  <c r="Z352" i="2"/>
  <c r="AC225" i="2"/>
  <c r="AD225" i="2" s="1"/>
  <c r="DE47" i="8"/>
  <c r="EG47" i="8" s="1"/>
  <c r="Z123" i="2"/>
  <c r="DL12" i="8"/>
  <c r="EN12" i="8" s="1"/>
  <c r="N11" i="44" s="1"/>
  <c r="V83" i="2"/>
  <c r="AX14" i="8"/>
  <c r="BL14" i="8" s="1"/>
  <c r="Z283" i="2"/>
  <c r="DO15" i="8"/>
  <c r="EC15" i="8" s="1"/>
  <c r="C14" i="44" s="1"/>
  <c r="Z211" i="2"/>
  <c r="Z88" i="2"/>
  <c r="AZ67" i="8"/>
  <c r="BN67" i="8" s="1"/>
  <c r="DG31" i="8"/>
  <c r="EI31" i="8" s="1"/>
  <c r="BD178" i="1"/>
  <c r="BR178" i="1" s="1"/>
  <c r="BI196" i="1"/>
  <c r="BW196" i="1" s="1"/>
  <c r="DP64" i="8"/>
  <c r="DN64" i="8" s="1"/>
  <c r="BF136" i="1"/>
  <c r="BT136" i="1" s="1"/>
  <c r="V326" i="2"/>
  <c r="BF188" i="1"/>
  <c r="BT188" i="1" s="1"/>
  <c r="BG31" i="8"/>
  <c r="BU31" i="8" s="1"/>
  <c r="BC22" i="1"/>
  <c r="BQ22" i="1" s="1"/>
  <c r="DR202" i="1"/>
  <c r="ET202" i="1" s="1"/>
  <c r="AY8" i="8"/>
  <c r="BM8" i="8" s="1"/>
  <c r="BJ53" i="1"/>
  <c r="BX53" i="1" s="1"/>
  <c r="Z310" i="2"/>
  <c r="Z378" i="2"/>
  <c r="DV139" i="1"/>
  <c r="EJ139" i="1" s="1"/>
  <c r="BE6" i="1"/>
  <c r="BS6" i="1" s="1"/>
  <c r="DH172" i="1"/>
  <c r="EJ172" i="1" s="1"/>
  <c r="EK160" i="1"/>
  <c r="N90" i="60"/>
  <c r="AZ7" i="8"/>
  <c r="BN7" i="8" s="1"/>
  <c r="Z273" i="2"/>
  <c r="H38" i="20" s="1"/>
  <c r="H50" i="20" s="1"/>
  <c r="H12" i="42" s="1"/>
  <c r="DC64" i="8"/>
  <c r="EE64" i="8" s="1"/>
  <c r="BF8" i="8"/>
  <c r="BT8" i="8" s="1"/>
  <c r="H133" i="35"/>
  <c r="O133" i="35" s="1"/>
  <c r="DA66" i="8"/>
  <c r="EC66" i="8" s="1"/>
  <c r="Z347" i="2"/>
  <c r="EG11" i="8"/>
  <c r="G10" i="44" s="1"/>
  <c r="V258" i="2"/>
  <c r="I99" i="6"/>
  <c r="I130" i="6" s="1"/>
  <c r="Z64" i="2"/>
  <c r="DC25" i="8"/>
  <c r="EE25" i="8" s="1"/>
  <c r="EK211" i="1"/>
  <c r="G24" i="20"/>
  <c r="K89" i="36"/>
  <c r="BF223" i="1"/>
  <c r="BT223" i="1" s="1"/>
  <c r="DV39" i="1"/>
  <c r="J75" i="36" s="1"/>
  <c r="J99" i="36" s="1"/>
  <c r="BC66" i="1"/>
  <c r="BQ66" i="1" s="1"/>
  <c r="DR197" i="1"/>
  <c r="ET197" i="1" s="1"/>
  <c r="DI7" i="8"/>
  <c r="EK7" i="8" s="1"/>
  <c r="K6" i="44" s="1"/>
  <c r="DI218" i="1"/>
  <c r="EK218" i="1" s="1"/>
  <c r="Z105" i="2"/>
  <c r="BI102" i="1"/>
  <c r="BW102" i="1" s="1"/>
  <c r="AC108" i="2"/>
  <c r="AD108" i="2" s="1"/>
  <c r="DK45" i="8"/>
  <c r="EM45" i="8" s="1"/>
  <c r="DW71" i="1"/>
  <c r="AH120" i="48" s="1"/>
  <c r="Z227" i="2"/>
  <c r="DT45" i="8"/>
  <c r="EH45" i="8" s="1"/>
  <c r="DX121" i="1"/>
  <c r="EL121" i="1" s="1"/>
  <c r="DX205" i="1"/>
  <c r="EL205" i="1" s="1"/>
  <c r="BA32" i="8"/>
  <c r="BO32" i="8" s="1"/>
  <c r="EI38" i="1"/>
  <c r="BE160" i="1"/>
  <c r="BS160" i="1" s="1"/>
  <c r="AC192" i="2"/>
  <c r="AD192" i="2" s="1"/>
  <c r="Z124" i="2"/>
  <c r="F38" i="20" s="1"/>
  <c r="F50" i="20" s="1"/>
  <c r="F12" i="42" s="1"/>
  <c r="AC103" i="2"/>
  <c r="AD103" i="2" s="1"/>
  <c r="BD97" i="1"/>
  <c r="BR97" i="1" s="1"/>
  <c r="DZ193" i="1"/>
  <c r="DT193" i="1" s="1"/>
  <c r="BA13" i="8"/>
  <c r="BO13" i="8" s="1"/>
  <c r="Z376" i="2"/>
  <c r="M98" i="60" s="1"/>
  <c r="N98" i="60" s="1"/>
  <c r="V28" i="2"/>
  <c r="BG39" i="8"/>
  <c r="BU39" i="8" s="1"/>
  <c r="DR25" i="8"/>
  <c r="DR22" i="8" s="1"/>
  <c r="BB33" i="8"/>
  <c r="BP33" i="8" s="1"/>
  <c r="EE18" i="8"/>
  <c r="BC38" i="1"/>
  <c r="BQ38" i="1" s="1"/>
  <c r="BF50" i="8"/>
  <c r="BT50" i="8" s="1"/>
  <c r="AC196" i="2"/>
  <c r="AD196" i="2" s="1"/>
  <c r="EH57" i="8"/>
  <c r="V385" i="2"/>
  <c r="V100" i="2"/>
  <c r="DV17" i="1"/>
  <c r="EJ17" i="1" s="1"/>
  <c r="DX179" i="1"/>
  <c r="EL179" i="1" s="1"/>
  <c r="DX202" i="1"/>
  <c r="DT202" i="1" s="1"/>
  <c r="DW146" i="1"/>
  <c r="EK146" i="1" s="1"/>
  <c r="M66" i="36"/>
  <c r="Z306" i="2"/>
  <c r="DR60" i="8"/>
  <c r="EF60" i="8" s="1"/>
  <c r="DP11" i="8"/>
  <c r="P32" i="22" s="1"/>
  <c r="H32" i="22" s="1"/>
  <c r="BF197" i="1"/>
  <c r="BT197" i="1" s="1"/>
  <c r="DR53" i="8"/>
  <c r="EF53" i="8" s="1"/>
  <c r="BB58" i="8"/>
  <c r="BP58" i="8" s="1"/>
  <c r="V76" i="2"/>
  <c r="BE56" i="8"/>
  <c r="BS56" i="8" s="1"/>
  <c r="AX9" i="8"/>
  <c r="BL9" i="8" s="1"/>
  <c r="V250" i="2"/>
  <c r="H130" i="35"/>
  <c r="O130" i="35" s="1"/>
  <c r="BC200" i="1"/>
  <c r="BQ200" i="1" s="1"/>
  <c r="BC45" i="8"/>
  <c r="BQ45" i="8" s="1"/>
  <c r="EL99" i="1"/>
  <c r="Z40" i="2"/>
  <c r="DI180" i="1"/>
  <c r="EK180" i="1" s="1"/>
  <c r="DP189" i="1"/>
  <c r="ER189" i="1" s="1"/>
  <c r="DW51" i="1"/>
  <c r="EK51" i="1" s="1"/>
  <c r="DR54" i="8"/>
  <c r="EF54" i="8" s="1"/>
  <c r="Z113" i="2"/>
  <c r="BD61" i="8"/>
  <c r="BR61" i="8" s="1"/>
  <c r="DF50" i="8"/>
  <c r="EH50" i="8" s="1"/>
  <c r="DW95" i="1"/>
  <c r="AH109" i="48" s="1"/>
  <c r="V315" i="2"/>
  <c r="DK8" i="8"/>
  <c r="EM8" i="8" s="1"/>
  <c r="M7" i="44" s="1"/>
  <c r="BF149" i="1"/>
  <c r="BT149" i="1" s="1"/>
  <c r="AX37" i="8"/>
  <c r="BL37" i="8" s="1"/>
  <c r="EN49" i="1"/>
  <c r="BA35" i="8"/>
  <c r="BO35" i="8" s="1"/>
  <c r="BE20" i="1"/>
  <c r="BS20" i="1" s="1"/>
  <c r="BA63" i="8"/>
  <c r="BO63" i="8" s="1"/>
  <c r="DV60" i="1"/>
  <c r="EJ60" i="1" s="1"/>
  <c r="Z245" i="2"/>
  <c r="Z256" i="2"/>
  <c r="DJ148" i="1"/>
  <c r="EL148" i="1" s="1"/>
  <c r="DI47" i="1"/>
  <c r="EK47" i="1" s="1"/>
  <c r="BD12" i="1"/>
  <c r="BR12" i="1" s="1"/>
  <c r="BG66" i="8"/>
  <c r="BB49" i="8"/>
  <c r="BP49" i="8" s="1"/>
  <c r="BF27" i="8"/>
  <c r="BT27" i="8" s="1"/>
  <c r="BG58" i="8"/>
  <c r="BU58" i="8" s="1"/>
  <c r="DX187" i="1"/>
  <c r="EL187" i="1" s="1"/>
  <c r="BD189" i="1"/>
  <c r="BR189" i="1" s="1"/>
  <c r="BC75" i="1"/>
  <c r="BQ75" i="1" s="1"/>
  <c r="BF131" i="1"/>
  <c r="BT131" i="1" s="1"/>
  <c r="AY62" i="8"/>
  <c r="BM62" i="8" s="1"/>
  <c r="AH62" i="48"/>
  <c r="AH157" i="48" s="1"/>
  <c r="EK20" i="1"/>
  <c r="DW49" i="1"/>
  <c r="EK49" i="1" s="1"/>
  <c r="DV62" i="1"/>
  <c r="DT62" i="1" s="1"/>
  <c r="BD196" i="1"/>
  <c r="BR196" i="1" s="1"/>
  <c r="K100" i="6"/>
  <c r="K131" i="6" s="1"/>
  <c r="AC235" i="2"/>
  <c r="AD235" i="2" s="1"/>
  <c r="DV76" i="1"/>
  <c r="DT76" i="1" s="1"/>
  <c r="AF107" i="1"/>
  <c r="AF5" i="1" s="1"/>
  <c r="DW149" i="1"/>
  <c r="EK149" i="1" s="1"/>
  <c r="V161" i="2"/>
  <c r="N75" i="36"/>
  <c r="DW44" i="1"/>
  <c r="EK44" i="1" s="1"/>
  <c r="DE60" i="8"/>
  <c r="EG60" i="8" s="1"/>
  <c r="BD131" i="1"/>
  <c r="BR131" i="1" s="1"/>
  <c r="BF9" i="8"/>
  <c r="BT9" i="8" s="1"/>
  <c r="DV182" i="1"/>
  <c r="EJ182" i="1" s="1"/>
  <c r="DE36" i="8"/>
  <c r="EG36" i="8" s="1"/>
  <c r="V377" i="2"/>
  <c r="V277" i="2"/>
  <c r="V169" i="2"/>
  <c r="Z264" i="2"/>
  <c r="Z108" i="2"/>
  <c r="AC188" i="2"/>
  <c r="AD188" i="2" s="1"/>
  <c r="DU37" i="1"/>
  <c r="EI37" i="1" s="1"/>
  <c r="DG201" i="1"/>
  <c r="EI201" i="1" s="1"/>
  <c r="BC197" i="1"/>
  <c r="BQ197" i="1" s="1"/>
  <c r="DQ57" i="8"/>
  <c r="EE57" i="8" s="1"/>
  <c r="V353" i="2"/>
  <c r="BF6" i="8"/>
  <c r="BT6" i="8" s="1"/>
  <c r="V133" i="2"/>
  <c r="DG52" i="1"/>
  <c r="I42" i="36" s="1"/>
  <c r="DI181" i="1"/>
  <c r="EK181" i="1" s="1"/>
  <c r="V380" i="2"/>
  <c r="DO98" i="1"/>
  <c r="EQ98" i="1" s="1"/>
  <c r="DA67" i="8"/>
  <c r="EC67" i="8" s="1"/>
  <c r="AZ63" i="8"/>
  <c r="BN63" i="8" s="1"/>
  <c r="V354" i="2"/>
  <c r="V61" i="2"/>
  <c r="V164" i="2"/>
  <c r="DZ9" i="1"/>
  <c r="N67" i="36" s="1"/>
  <c r="BF24" i="8"/>
  <c r="BT24" i="8" s="1"/>
  <c r="AX61" i="8"/>
  <c r="BL61" i="8" s="1"/>
  <c r="DZ131" i="1"/>
  <c r="EN131" i="1" s="1"/>
  <c r="DM170" i="1"/>
  <c r="EO170" i="1" s="1"/>
  <c r="V342" i="2"/>
  <c r="DU18" i="1"/>
  <c r="EI18" i="1" s="1"/>
  <c r="DL54" i="1"/>
  <c r="EN54" i="1" s="1"/>
  <c r="DY163" i="1"/>
  <c r="EM163" i="1" s="1"/>
  <c r="DU114" i="1"/>
  <c r="DT114" i="1" s="1"/>
  <c r="F101" i="6"/>
  <c r="F132" i="6" s="1"/>
  <c r="DO54" i="8"/>
  <c r="DO51" i="8" s="1"/>
  <c r="BN156" i="1"/>
  <c r="CB156" i="1" s="1"/>
  <c r="BF8" i="1"/>
  <c r="BT8" i="1" s="1"/>
  <c r="DQ52" i="8"/>
  <c r="EE52" i="8" s="1"/>
  <c r="DW179" i="1"/>
  <c r="EK179" i="1" s="1"/>
  <c r="DP27" i="8"/>
  <c r="ED27" i="8" s="1"/>
  <c r="DK50" i="8"/>
  <c r="EM50" i="8" s="1"/>
  <c r="Z97" i="2"/>
  <c r="DU160" i="1"/>
  <c r="EI160" i="1" s="1"/>
  <c r="BM200" i="1"/>
  <c r="CA200" i="1" s="1"/>
  <c r="AD42" i="2"/>
  <c r="BF141" i="1"/>
  <c r="BT141" i="1" s="1"/>
  <c r="DX13" i="1"/>
  <c r="L73" i="36" s="1"/>
  <c r="L97" i="36" s="1"/>
  <c r="V140" i="2"/>
  <c r="DJ142" i="1"/>
  <c r="EL142" i="1" s="1"/>
  <c r="AY69" i="8"/>
  <c r="BM69" i="8" s="1"/>
  <c r="DR44" i="8"/>
  <c r="EF44" i="8" s="1"/>
  <c r="DG70" i="1"/>
  <c r="EI70" i="1" s="1"/>
  <c r="DV37" i="1"/>
  <c r="EJ37" i="1" s="1"/>
  <c r="DU39" i="1"/>
  <c r="I75" i="36" s="1"/>
  <c r="Z325" i="2"/>
  <c r="Z344" i="2"/>
  <c r="Z301" i="2"/>
  <c r="BF206" i="1"/>
  <c r="BT206" i="1" s="1"/>
  <c r="V109" i="2"/>
  <c r="K54" i="36"/>
  <c r="K102" i="36" s="1"/>
  <c r="DI52" i="1"/>
  <c r="EK52" i="1" s="1"/>
  <c r="DN203" i="1"/>
  <c r="EP203" i="1" s="1"/>
  <c r="DZ171" i="1"/>
  <c r="EN171" i="1" s="1"/>
  <c r="DL190" i="1"/>
  <c r="EN190" i="1" s="1"/>
  <c r="DQ11" i="8"/>
  <c r="EE11" i="8" s="1"/>
  <c r="E10" i="44" s="1"/>
  <c r="EL195" i="1"/>
  <c r="DW42" i="1"/>
  <c r="K69" i="36" s="1"/>
  <c r="V318" i="2"/>
  <c r="Z368" i="2"/>
  <c r="M95" i="60" s="1"/>
  <c r="N95" i="60" s="1"/>
  <c r="BE167" i="1"/>
  <c r="BS167" i="1" s="1"/>
  <c r="AC204" i="2"/>
  <c r="AD204" i="2" s="1"/>
  <c r="DH70" i="1"/>
  <c r="EJ70" i="1" s="1"/>
  <c r="AZ24" i="8"/>
  <c r="BN24" i="8" s="1"/>
  <c r="DZ141" i="1"/>
  <c r="N80" i="36" s="1"/>
  <c r="N104" i="36" s="1"/>
  <c r="DF25" i="8"/>
  <c r="EH25" i="8" s="1"/>
  <c r="DH69" i="8"/>
  <c r="EJ69" i="8" s="1"/>
  <c r="BJ196" i="1"/>
  <c r="BX196" i="1" s="1"/>
  <c r="AC20" i="2"/>
  <c r="D22" i="20"/>
  <c r="DP196" i="1"/>
  <c r="ER196" i="1" s="1"/>
  <c r="DQ39" i="8"/>
  <c r="EE39" i="8" s="1"/>
  <c r="I21" i="20"/>
  <c r="BK88" i="1"/>
  <c r="BY88" i="1" s="1"/>
  <c r="DX137" i="1"/>
  <c r="EL137" i="1" s="1"/>
  <c r="DU172" i="1"/>
  <c r="EI172" i="1" s="1"/>
  <c r="L91" i="60"/>
  <c r="I91" i="60" s="1"/>
  <c r="V58" i="2"/>
  <c r="Z233" i="2"/>
  <c r="DQ197" i="1"/>
  <c r="ES197" i="1" s="1"/>
  <c r="V180" i="2"/>
  <c r="DL61" i="8"/>
  <c r="EN61" i="8" s="1"/>
  <c r="H135" i="35"/>
  <c r="O135" i="35" s="1"/>
  <c r="DT39" i="8"/>
  <c r="EH39" i="8" s="1"/>
  <c r="V267" i="2"/>
  <c r="V333" i="2"/>
  <c r="DR169" i="1"/>
  <c r="ET169" i="1" s="1"/>
  <c r="EL131" i="1"/>
  <c r="V160" i="2"/>
  <c r="BD56" i="1"/>
  <c r="BR56" i="1" s="1"/>
  <c r="DC69" i="8"/>
  <c r="DC68" i="8" s="1"/>
  <c r="P22" i="8"/>
  <c r="BF22" i="8" s="1"/>
  <c r="BT22" i="8" s="1"/>
  <c r="DM197" i="1"/>
  <c r="EO197" i="1" s="1"/>
  <c r="DD34" i="8"/>
  <c r="EF34" i="8" s="1"/>
  <c r="Z12" i="2"/>
  <c r="Z223" i="2"/>
  <c r="G36" i="20" s="1"/>
  <c r="V147" i="2"/>
  <c r="BD35" i="8"/>
  <c r="BR35" i="8" s="1"/>
  <c r="L89" i="60"/>
  <c r="I89" i="60" s="1"/>
  <c r="DR30" i="8"/>
  <c r="EF30" i="8" s="1"/>
  <c r="BF83" i="1"/>
  <c r="BT83" i="1" s="1"/>
  <c r="Z176" i="2"/>
  <c r="AY67" i="8"/>
  <c r="BM67" i="8" s="1"/>
  <c r="L141" i="35"/>
  <c r="M141" i="35" s="1"/>
  <c r="Z294" i="2"/>
  <c r="BC130" i="1"/>
  <c r="BQ130" i="1" s="1"/>
  <c r="BK197" i="1"/>
  <c r="BY197" i="1" s="1"/>
  <c r="Z178" i="2"/>
  <c r="DO190" i="1"/>
  <c r="EQ190" i="1" s="1"/>
  <c r="BE10" i="1"/>
  <c r="BS10" i="1" s="1"/>
  <c r="N68" i="8"/>
  <c r="BD68" i="8" s="1"/>
  <c r="BR68" i="8" s="1"/>
  <c r="DW21" i="1"/>
  <c r="DT21" i="1" s="1"/>
  <c r="V236" i="2"/>
  <c r="DO45" i="8"/>
  <c r="DO41" i="8" s="1"/>
  <c r="AD37" i="2"/>
  <c r="V62" i="2"/>
  <c r="DJ31" i="1"/>
  <c r="EL31" i="1" s="1"/>
  <c r="BH42" i="8"/>
  <c r="BV42" i="8" s="1"/>
  <c r="DU45" i="1"/>
  <c r="EI45" i="1" s="1"/>
  <c r="V317" i="2"/>
  <c r="BC10" i="8"/>
  <c r="BQ10" i="8" s="1"/>
  <c r="CM222" i="1"/>
  <c r="AC241" i="2"/>
  <c r="AD241" i="2" s="1"/>
  <c r="AF68" i="8"/>
  <c r="DY9" i="1"/>
  <c r="M67" i="36" s="1"/>
  <c r="DS52" i="8"/>
  <c r="EG52" i="8" s="1"/>
  <c r="Z349" i="2"/>
  <c r="M92" i="60" s="1"/>
  <c r="AK107" i="48"/>
  <c r="Z280" i="2"/>
  <c r="R68" i="8"/>
  <c r="BH68" i="8" s="1"/>
  <c r="BV68" i="8" s="1"/>
  <c r="Z229" i="2"/>
  <c r="EN13" i="1"/>
  <c r="BH69" i="8"/>
  <c r="BV69" i="8" s="1"/>
  <c r="DH102" i="1"/>
  <c r="EJ102" i="1" s="1"/>
  <c r="DH197" i="1"/>
  <c r="EJ197" i="1" s="1"/>
  <c r="BN164" i="1"/>
  <c r="CB164" i="1" s="1"/>
  <c r="BF145" i="1"/>
  <c r="BT145" i="1" s="1"/>
  <c r="DI24" i="8"/>
  <c r="EK24" i="8" s="1"/>
  <c r="L47" i="36"/>
  <c r="BA45" i="8"/>
  <c r="BO45" i="8" s="1"/>
  <c r="A122" i="1"/>
  <c r="A125" i="1" s="1"/>
  <c r="A123" i="1" s="1"/>
  <c r="A126" i="1" s="1"/>
  <c r="A124" i="1"/>
  <c r="BE217" i="1"/>
  <c r="BS217" i="1" s="1"/>
  <c r="AD28" i="2"/>
  <c r="BF118" i="1"/>
  <c r="BT118" i="1" s="1"/>
  <c r="AC247" i="2"/>
  <c r="AD247" i="2" s="1"/>
  <c r="BC147" i="1"/>
  <c r="BQ147" i="1" s="1"/>
  <c r="V66" i="2"/>
  <c r="AY24" i="8"/>
  <c r="BM24" i="8" s="1"/>
  <c r="DG167" i="1"/>
  <c r="EI167" i="1" s="1"/>
  <c r="AZ38" i="8"/>
  <c r="BN38" i="8" s="1"/>
  <c r="DJ79" i="1"/>
  <c r="EL79" i="1" s="1"/>
  <c r="BE38" i="1"/>
  <c r="BS38" i="1" s="1"/>
  <c r="V199" i="2"/>
  <c r="DQ226" i="1"/>
  <c r="ES226" i="1" s="1"/>
  <c r="Z94" i="2"/>
  <c r="V367" i="2"/>
  <c r="BJ140" i="1"/>
  <c r="BX140" i="1" s="1"/>
  <c r="DW141" i="1"/>
  <c r="K80" i="36" s="1"/>
  <c r="K104" i="36" s="1"/>
  <c r="EJ41" i="1"/>
  <c r="Z36" i="2"/>
  <c r="DY170" i="1"/>
  <c r="EM170" i="1" s="1"/>
  <c r="BC140" i="1"/>
  <c r="BQ140" i="1" s="1"/>
  <c r="DH149" i="1"/>
  <c r="EJ149" i="1" s="1"/>
  <c r="DW192" i="1"/>
  <c r="DT192" i="1" s="1"/>
  <c r="BI164" i="1"/>
  <c r="BW164" i="1" s="1"/>
  <c r="AZ35" i="8"/>
  <c r="BN35" i="8" s="1"/>
  <c r="BC71" i="1"/>
  <c r="BQ71" i="1" s="1"/>
  <c r="V188" i="2"/>
  <c r="BA64" i="8"/>
  <c r="BO64" i="8" s="1"/>
  <c r="DW174" i="1"/>
  <c r="EK174" i="1" s="1"/>
  <c r="AC163" i="2"/>
  <c r="AD163" i="2" s="1"/>
  <c r="DL36" i="8"/>
  <c r="EN36" i="8" s="1"/>
  <c r="EN17" i="1"/>
  <c r="Z284" i="2"/>
  <c r="H87" i="6"/>
  <c r="H124" i="6" s="1"/>
  <c r="BD30" i="1"/>
  <c r="BR30" i="1" s="1"/>
  <c r="AC173" i="2"/>
  <c r="AD173" i="2" s="1"/>
  <c r="DL34" i="8"/>
  <c r="EN34" i="8" s="1"/>
  <c r="BC177" i="1"/>
  <c r="BQ177" i="1" s="1"/>
  <c r="EI175" i="1"/>
  <c r="DJ176" i="1"/>
  <c r="EL176" i="1" s="1"/>
  <c r="DG191" i="1"/>
  <c r="EI191" i="1" s="1"/>
  <c r="DG13" i="1"/>
  <c r="EI13" i="1" s="1"/>
  <c r="DQ65" i="8"/>
  <c r="EE65" i="8" s="1"/>
  <c r="AC106" i="2"/>
  <c r="AD106" i="2" s="1"/>
  <c r="AW15" i="8"/>
  <c r="BK15" i="8" s="1"/>
  <c r="BG182" i="1"/>
  <c r="BU182" i="1" s="1"/>
  <c r="DV128" i="1"/>
  <c r="EJ128" i="1" s="1"/>
  <c r="BC58" i="8"/>
  <c r="BQ58" i="8" s="1"/>
  <c r="DT7" i="8"/>
  <c r="P94" i="22" s="1"/>
  <c r="H94" i="22" s="1"/>
  <c r="Z78" i="2"/>
  <c r="V348" i="2"/>
  <c r="EH36" i="8"/>
  <c r="AC135" i="2"/>
  <c r="AD135" i="2" s="1"/>
  <c r="DR54" i="1"/>
  <c r="ET54" i="1" s="1"/>
  <c r="BE68" i="1"/>
  <c r="BS68" i="1" s="1"/>
  <c r="AX49" i="8"/>
  <c r="BL49" i="8" s="1"/>
  <c r="BA65" i="8"/>
  <c r="BO65" i="8" s="1"/>
  <c r="V175" i="2"/>
  <c r="DH10" i="8"/>
  <c r="EJ10" i="8" s="1"/>
  <c r="J9" i="44" s="1"/>
  <c r="DL13" i="8"/>
  <c r="EN13" i="8" s="1"/>
  <c r="N12" i="44" s="1"/>
  <c r="BM194" i="1"/>
  <c r="CA194" i="1" s="1"/>
  <c r="Z291" i="2"/>
  <c r="BA61" i="8"/>
  <c r="BO61" i="8" s="1"/>
  <c r="DZ108" i="1"/>
  <c r="DT108" i="1" s="1"/>
  <c r="DH121" i="1"/>
  <c r="EJ121" i="1" s="1"/>
  <c r="V281" i="2"/>
  <c r="Z38" i="2"/>
  <c r="BB12" i="8"/>
  <c r="BP12" i="8" s="1"/>
  <c r="BC141" i="1"/>
  <c r="BQ141" i="1" s="1"/>
  <c r="BE192" i="1"/>
  <c r="BS192" i="1" s="1"/>
  <c r="A33" i="1"/>
  <c r="A34" i="1"/>
  <c r="A35" i="1" s="1"/>
  <c r="A36" i="1" s="1"/>
  <c r="A37" i="1" s="1"/>
  <c r="A38" i="1" s="1"/>
  <c r="A39" i="1" s="1"/>
  <c r="A40" i="1" s="1"/>
  <c r="A41" i="1" s="1"/>
  <c r="A42" i="1" s="1"/>
  <c r="A43" i="1" s="1"/>
  <c r="DQ153" i="1"/>
  <c r="ES153" i="1" s="1"/>
  <c r="BC78" i="1"/>
  <c r="BQ78" i="1" s="1"/>
  <c r="A27" i="1"/>
  <c r="BF49" i="1"/>
  <c r="BT49" i="1" s="1"/>
  <c r="EL49" i="1"/>
  <c r="BH205" i="1"/>
  <c r="BV205" i="1" s="1"/>
  <c r="EM57" i="1"/>
  <c r="DH59" i="1"/>
  <c r="EJ59" i="1" s="1"/>
  <c r="E24" i="20"/>
  <c r="E48" i="20" s="1"/>
  <c r="E10" i="42" s="1"/>
  <c r="AZ11" i="8"/>
  <c r="BN11" i="8" s="1"/>
  <c r="AY33" i="8"/>
  <c r="BM33" i="8" s="1"/>
  <c r="E83" i="22"/>
  <c r="AI11" i="44"/>
  <c r="BD42" i="8"/>
  <c r="BR42" i="8" s="1"/>
  <c r="BC175" i="1"/>
  <c r="BQ175" i="1" s="1"/>
  <c r="DG83" i="1"/>
  <c r="EI83" i="1" s="1"/>
  <c r="AW55" i="8"/>
  <c r="BK55" i="8" s="1"/>
  <c r="DX200" i="1"/>
  <c r="EL200" i="1" s="1"/>
  <c r="BN153" i="1"/>
  <c r="CB153" i="1" s="1"/>
  <c r="DW129" i="1"/>
  <c r="EK129" i="1" s="1"/>
  <c r="BE75" i="1"/>
  <c r="BS75" i="1" s="1"/>
  <c r="BD139" i="1"/>
  <c r="BR139" i="1" s="1"/>
  <c r="BE179" i="1"/>
  <c r="BS179" i="1" s="1"/>
  <c r="BC116" i="1"/>
  <c r="BQ116" i="1" s="1"/>
  <c r="Z232" i="2"/>
  <c r="Z296" i="2"/>
  <c r="BG65" i="8"/>
  <c r="BU65" i="8" s="1"/>
  <c r="BG170" i="1"/>
  <c r="BU170" i="1" s="1"/>
  <c r="EJ20" i="1"/>
  <c r="Z20" i="2"/>
  <c r="DW224" i="1"/>
  <c r="DW222" i="1" s="1"/>
  <c r="DK107" i="1"/>
  <c r="AE45" i="58" s="1"/>
  <c r="BF132" i="1"/>
  <c r="BT132" i="1" s="1"/>
  <c r="V207" i="2"/>
  <c r="DG107" i="1"/>
  <c r="EI107" i="1" s="1"/>
  <c r="V72" i="2"/>
  <c r="BA14" i="8"/>
  <c r="BO14" i="8" s="1"/>
  <c r="DK37" i="8"/>
  <c r="EM37" i="8" s="1"/>
  <c r="DC48" i="8"/>
  <c r="EE48" i="8" s="1"/>
  <c r="DA24" i="8"/>
  <c r="EC24" i="8" s="1"/>
  <c r="DL182" i="1"/>
  <c r="EN182" i="1" s="1"/>
  <c r="DN188" i="1"/>
  <c r="EP188" i="1" s="1"/>
  <c r="DQ69" i="8"/>
  <c r="DQ68" i="8" s="1"/>
  <c r="AC122" i="2"/>
  <c r="AD122" i="2" s="1"/>
  <c r="DQ111" i="1"/>
  <c r="AP74" i="48" s="1"/>
  <c r="AP169" i="48" s="1"/>
  <c r="F25" i="20"/>
  <c r="DP197" i="1"/>
  <c r="ER197" i="1" s="1"/>
  <c r="V363" i="2"/>
  <c r="J8" i="22"/>
  <c r="J109" i="22"/>
  <c r="D9" i="52"/>
  <c r="DU40" i="1"/>
  <c r="EI40" i="1" s="1"/>
  <c r="K98" i="6"/>
  <c r="K129" i="6" s="1"/>
  <c r="Z313" i="2"/>
  <c r="CL222" i="1"/>
  <c r="DH227" i="1"/>
  <c r="EJ227" i="1" s="1"/>
  <c r="AC231" i="2"/>
  <c r="AD231" i="2" s="1"/>
  <c r="DX9" i="1"/>
  <c r="EL9" i="1" s="1"/>
  <c r="DR58" i="8"/>
  <c r="DN58" i="8" s="1"/>
  <c r="V266" i="2"/>
  <c r="D27" i="20"/>
  <c r="DL111" i="1"/>
  <c r="EN111" i="1" s="1"/>
  <c r="DR69" i="8"/>
  <c r="EF69" i="8" s="1"/>
  <c r="AC131" i="2"/>
  <c r="AD131" i="2" s="1"/>
  <c r="J69" i="36"/>
  <c r="DH54" i="1"/>
  <c r="EJ54" i="1" s="1"/>
  <c r="DZ197" i="1"/>
  <c r="DT197" i="1" s="1"/>
  <c r="V55" i="2"/>
  <c r="DT53" i="8"/>
  <c r="DT51" i="8" s="1"/>
  <c r="O141" i="35"/>
  <c r="DW151" i="1"/>
  <c r="DT151" i="1" s="1"/>
  <c r="AH11" i="44"/>
  <c r="AG11" i="44"/>
  <c r="D11" i="52"/>
  <c r="BE55" i="1"/>
  <c r="BS55" i="1" s="1"/>
  <c r="DI18" i="1"/>
  <c r="EK18" i="1" s="1"/>
  <c r="BD63" i="1"/>
  <c r="BR63" i="1" s="1"/>
  <c r="AW62" i="8"/>
  <c r="BK62" i="8" s="1"/>
  <c r="V138" i="2"/>
  <c r="V125" i="2"/>
  <c r="EI53" i="1"/>
  <c r="DN54" i="1"/>
  <c r="EP54" i="1" s="1"/>
  <c r="BM152" i="1"/>
  <c r="CA152" i="1" s="1"/>
  <c r="L94" i="60"/>
  <c r="I94" i="60" s="1"/>
  <c r="DZ106" i="1"/>
  <c r="DT106" i="1" s="1"/>
  <c r="EN180" i="1"/>
  <c r="DT6" i="8"/>
  <c r="P93" i="22" s="1"/>
  <c r="H93" i="22" s="1"/>
  <c r="DA13" i="8"/>
  <c r="EC13" i="8" s="1"/>
  <c r="C12" i="44" s="1"/>
  <c r="DM97" i="1"/>
  <c r="EO97" i="1" s="1"/>
  <c r="BD65" i="1"/>
  <c r="BR65" i="1" s="1"/>
  <c r="Z384" i="2"/>
  <c r="DO150" i="1"/>
  <c r="EQ150" i="1" s="1"/>
  <c r="BE91" i="1"/>
  <c r="BS91" i="1" s="1"/>
  <c r="Z110" i="2"/>
  <c r="EN175" i="1"/>
  <c r="H84" i="6"/>
  <c r="H121" i="6" s="1"/>
  <c r="AC57" i="2"/>
  <c r="AD57" i="2" s="1"/>
  <c r="AC137" i="2"/>
  <c r="AD137" i="2" s="1"/>
  <c r="BD170" i="1"/>
  <c r="BR170" i="1" s="1"/>
  <c r="DP193" i="1"/>
  <c r="ER193" i="1" s="1"/>
  <c r="BF40" i="1"/>
  <c r="BT40" i="1" s="1"/>
  <c r="BH142" i="1"/>
  <c r="BV142" i="1" s="1"/>
  <c r="CC59" i="8"/>
  <c r="D7" i="52"/>
  <c r="BE36" i="8"/>
  <c r="BS36" i="8" s="1"/>
  <c r="J28" i="22"/>
  <c r="DF13" i="8"/>
  <c r="EH13" i="8" s="1"/>
  <c r="H12" i="44" s="1"/>
  <c r="AZ42" i="8"/>
  <c r="BN42" i="8" s="1"/>
  <c r="J44" i="22"/>
  <c r="BD25" i="8"/>
  <c r="BR25" i="8" s="1"/>
  <c r="J93" i="22"/>
  <c r="DC13" i="8"/>
  <c r="EE13" i="8" s="1"/>
  <c r="E12" i="44" s="1"/>
  <c r="BD18" i="8"/>
  <c r="BR18" i="8" s="1"/>
  <c r="AY49" i="8"/>
  <c r="BM49" i="8" s="1"/>
  <c r="J61" i="22"/>
  <c r="BF63" i="8"/>
  <c r="BT63" i="8" s="1"/>
  <c r="J77" i="22"/>
  <c r="DJ38" i="8"/>
  <c r="EL38" i="8" s="1"/>
  <c r="DI61" i="8"/>
  <c r="EK61" i="8" s="1"/>
  <c r="BA58" i="8"/>
  <c r="BO58" i="8" s="1"/>
  <c r="DJ62" i="8"/>
  <c r="EL62" i="8" s="1"/>
  <c r="BD65" i="8"/>
  <c r="BR65" i="8" s="1"/>
  <c r="DA46" i="8"/>
  <c r="EC46" i="8" s="1"/>
  <c r="K59" i="8"/>
  <c r="BA59" i="8" s="1"/>
  <c r="BO59" i="8" s="1"/>
  <c r="AY37" i="8"/>
  <c r="BM37" i="8" s="1"/>
  <c r="CH3" i="8"/>
  <c r="E60" i="44"/>
  <c r="D71" i="44" s="1"/>
  <c r="DD23" i="8"/>
  <c r="EF23" i="8" s="1"/>
  <c r="E8" i="22"/>
  <c r="BG24" i="8"/>
  <c r="BU24" i="8" s="1"/>
  <c r="AY63" i="8"/>
  <c r="BM63" i="8" s="1"/>
  <c r="DG42" i="8"/>
  <c r="EI42" i="8" s="1"/>
  <c r="BF18" i="8"/>
  <c r="BT18" i="8" s="1"/>
  <c r="BG46" i="8"/>
  <c r="BU46" i="8" s="1"/>
  <c r="BE11" i="8"/>
  <c r="BS11" i="8" s="1"/>
  <c r="DJ43" i="8"/>
  <c r="EL43" i="8" s="1"/>
  <c r="DL43" i="8"/>
  <c r="EN43" i="8" s="1"/>
  <c r="CA22" i="8"/>
  <c r="AC49" i="2"/>
  <c r="AD49" i="2" s="1"/>
  <c r="DA60" i="8"/>
  <c r="EC60" i="8" s="1"/>
  <c r="V208" i="2"/>
  <c r="DS54" i="8"/>
  <c r="EG54" i="8" s="1"/>
  <c r="BD41" i="1"/>
  <c r="BR41" i="1" s="1"/>
  <c r="EM174" i="1"/>
  <c r="BC34" i="8"/>
  <c r="BQ34" i="8" s="1"/>
  <c r="EN63" i="1"/>
  <c r="BM189" i="1"/>
  <c r="CA189" i="1" s="1"/>
  <c r="DO39" i="8"/>
  <c r="P14" i="22" s="1"/>
  <c r="H14" i="22" s="1"/>
  <c r="I14" i="22" s="1"/>
  <c r="BM156" i="1"/>
  <c r="CA156" i="1" s="1"/>
  <c r="EM130" i="1"/>
  <c r="AX23" i="8"/>
  <c r="BL23" i="8" s="1"/>
  <c r="BB61" i="8"/>
  <c r="BP61" i="8" s="1"/>
  <c r="AZ65" i="8"/>
  <c r="BN65" i="8" s="1"/>
  <c r="V81" i="2"/>
  <c r="BX34" i="8"/>
  <c r="DU141" i="1"/>
  <c r="I80" i="36" s="1"/>
  <c r="I104" i="36" s="1"/>
  <c r="BH97" i="1"/>
  <c r="BV97" i="1" s="1"/>
  <c r="DP190" i="1"/>
  <c r="ER190" i="1" s="1"/>
  <c r="AX65" i="8"/>
  <c r="BL65" i="8" s="1"/>
  <c r="BC48" i="8"/>
  <c r="BQ48" i="8" s="1"/>
  <c r="BC205" i="1"/>
  <c r="BQ205" i="1" s="1"/>
  <c r="EE31" i="8"/>
  <c r="DQ54" i="1"/>
  <c r="ES54" i="1" s="1"/>
  <c r="BC91" i="1"/>
  <c r="BQ91" i="1" s="1"/>
  <c r="AA222" i="1"/>
  <c r="EH55" i="8"/>
  <c r="M79" i="36"/>
  <c r="BD64" i="8"/>
  <c r="BR64" i="8" s="1"/>
  <c r="J66" i="36"/>
  <c r="AR161" i="48"/>
  <c r="EN91" i="1"/>
  <c r="CI41" i="8"/>
  <c r="DQ9" i="8"/>
  <c r="P46" i="22" s="1"/>
  <c r="H46" i="22" s="1"/>
  <c r="BB35" i="8"/>
  <c r="BP35" i="8" s="1"/>
  <c r="EH34" i="8"/>
  <c r="BH57" i="1"/>
  <c r="BV57" i="1" s="1"/>
  <c r="BF201" i="1"/>
  <c r="BT201" i="1" s="1"/>
  <c r="EJ111" i="1"/>
  <c r="AG169" i="48"/>
  <c r="DT9" i="8"/>
  <c r="P95" i="22" s="1"/>
  <c r="BC176" i="1"/>
  <c r="BQ176" i="1" s="1"/>
  <c r="DW87" i="1"/>
  <c r="EK87" i="1" s="1"/>
  <c r="BD73" i="1"/>
  <c r="BR73" i="1" s="1"/>
  <c r="F24" i="20"/>
  <c r="F48" i="20" s="1"/>
  <c r="F10" i="42" s="1"/>
  <c r="DH48" i="1"/>
  <c r="EJ48" i="1" s="1"/>
  <c r="DV158" i="1"/>
  <c r="EJ158" i="1" s="1"/>
  <c r="AC172" i="2"/>
  <c r="AD172" i="2" s="1"/>
  <c r="BE46" i="8"/>
  <c r="BS46" i="8" s="1"/>
  <c r="F99" i="6"/>
  <c r="F130" i="6" s="1"/>
  <c r="DQ27" i="8"/>
  <c r="DQ22" i="8" s="1"/>
  <c r="AC77" i="2"/>
  <c r="AD77" i="2" s="1"/>
  <c r="DV183" i="1"/>
  <c r="DT183" i="1" s="1"/>
  <c r="AC56" i="2"/>
  <c r="AD56" i="2" s="1"/>
  <c r="BH33" i="8"/>
  <c r="BV33" i="8" s="1"/>
  <c r="BC14" i="1"/>
  <c r="BQ14" i="1" s="1"/>
  <c r="Z89" i="2"/>
  <c r="DW126" i="1"/>
  <c r="EK126" i="1" s="1"/>
  <c r="BF6" i="1"/>
  <c r="BT6" i="1" s="1"/>
  <c r="DG19" i="1"/>
  <c r="EI19" i="1" s="1"/>
  <c r="V117" i="2"/>
  <c r="O134" i="35"/>
  <c r="AD27" i="2"/>
  <c r="H99" i="6"/>
  <c r="H130" i="6" s="1"/>
  <c r="EK217" i="1"/>
  <c r="DI27" i="8"/>
  <c r="EK27" i="8" s="1"/>
  <c r="V10" i="2"/>
  <c r="L134" i="35"/>
  <c r="M134" i="35" s="1"/>
  <c r="K47" i="36"/>
  <c r="DJ32" i="1"/>
  <c r="EL32" i="1" s="1"/>
  <c r="DQ227" i="1"/>
  <c r="ES227" i="1" s="1"/>
  <c r="DB42" i="8"/>
  <c r="ED42" i="8" s="1"/>
  <c r="AX45" i="8"/>
  <c r="BL45" i="8" s="1"/>
  <c r="BH80" i="1"/>
  <c r="BV80" i="1" s="1"/>
  <c r="BC169" i="1"/>
  <c r="BQ169" i="1" s="1"/>
  <c r="BF54" i="1"/>
  <c r="BT54" i="1" s="1"/>
  <c r="DP217" i="1"/>
  <c r="ER217" i="1" s="1"/>
  <c r="DD37" i="8"/>
  <c r="EF37" i="8" s="1"/>
  <c r="DR147" i="1"/>
  <c r="ET147" i="1" s="1"/>
  <c r="DO27" i="8"/>
  <c r="DO22" i="8" s="1"/>
  <c r="BG38" i="8"/>
  <c r="BU38" i="8" s="1"/>
  <c r="DE37" i="8"/>
  <c r="DU137" i="1"/>
  <c r="EI137" i="1" s="1"/>
  <c r="Z215" i="2"/>
  <c r="BE13" i="1"/>
  <c r="BS13" i="1" s="1"/>
  <c r="V13" i="2"/>
  <c r="BF42" i="8"/>
  <c r="BT42" i="8" s="1"/>
  <c r="BF122" i="1"/>
  <c r="BT122" i="1" s="1"/>
  <c r="DM201" i="1"/>
  <c r="EO201" i="1" s="1"/>
  <c r="DU126" i="1"/>
  <c r="EI126" i="1" s="1"/>
  <c r="DJ15" i="8"/>
  <c r="EL15" i="8" s="1"/>
  <c r="L14" i="44" s="1"/>
  <c r="DG183" i="1"/>
  <c r="EI183" i="1" s="1"/>
  <c r="AC201" i="2"/>
  <c r="AD201" i="2" s="1"/>
  <c r="BF67" i="8"/>
  <c r="BT67" i="8" s="1"/>
  <c r="BC180" i="1"/>
  <c r="BQ180" i="1" s="1"/>
  <c r="BD177" i="1"/>
  <c r="BR177" i="1" s="1"/>
  <c r="EL122" i="1"/>
  <c r="BG217" i="1"/>
  <c r="BU217" i="1" s="1"/>
  <c r="N97" i="36"/>
  <c r="BF23" i="1"/>
  <c r="BT23" i="1" s="1"/>
  <c r="BC226" i="1"/>
  <c r="BQ226" i="1" s="1"/>
  <c r="V90" i="2"/>
  <c r="DE57" i="8"/>
  <c r="EG57" i="8" s="1"/>
  <c r="DG29" i="1"/>
  <c r="BC218" i="1"/>
  <c r="BQ218" i="1" s="1"/>
  <c r="DU34" i="1"/>
  <c r="EI34" i="1" s="1"/>
  <c r="J103" i="6"/>
  <c r="J134" i="6" s="1"/>
  <c r="DY224" i="1"/>
  <c r="EM224" i="1" s="1"/>
  <c r="DO153" i="1"/>
  <c r="EQ153" i="1" s="1"/>
  <c r="Z274" i="2"/>
  <c r="Z362" i="2"/>
  <c r="AZ60" i="8"/>
  <c r="BN60" i="8" s="1"/>
  <c r="CF3" i="8"/>
  <c r="V235" i="2"/>
  <c r="Z23" i="2"/>
  <c r="Z102" i="2"/>
  <c r="BC97" i="1"/>
  <c r="BQ97" i="1" s="1"/>
  <c r="Z209" i="2"/>
  <c r="G37" i="20" s="1"/>
  <c r="BE23" i="8"/>
  <c r="BS23" i="8" s="1"/>
  <c r="DQ30" i="8"/>
  <c r="P48" i="22" s="1"/>
  <c r="DU44" i="1"/>
  <c r="EI44" i="1" s="1"/>
  <c r="BE32" i="1"/>
  <c r="BS32" i="1" s="1"/>
  <c r="AC64" i="2"/>
  <c r="AD64" i="2" s="1"/>
  <c r="AF65" i="48"/>
  <c r="AF160" i="48" s="1"/>
  <c r="BM96" i="1"/>
  <c r="CA96" i="1" s="1"/>
  <c r="V364" i="2"/>
  <c r="BD99" i="1"/>
  <c r="BR99" i="1" s="1"/>
  <c r="BF116" i="1"/>
  <c r="BT116" i="1" s="1"/>
  <c r="DL32" i="8"/>
  <c r="EN32" i="8" s="1"/>
  <c r="DW139" i="1"/>
  <c r="EK139" i="1" s="1"/>
  <c r="BF44" i="8"/>
  <c r="BT44" i="8" s="1"/>
  <c r="M222" i="1"/>
  <c r="BC222" i="1" s="1"/>
  <c r="BQ222" i="1" s="1"/>
  <c r="F37" i="20"/>
  <c r="BC53" i="1"/>
  <c r="BQ53" i="1" s="1"/>
  <c r="BI226" i="1"/>
  <c r="BW226" i="1" s="1"/>
  <c r="CB22" i="8"/>
  <c r="BC160" i="1"/>
  <c r="BQ160" i="1" s="1"/>
  <c r="H25" i="20"/>
  <c r="BE26" i="1"/>
  <c r="BS26" i="1" s="1"/>
  <c r="BF178" i="1"/>
  <c r="BT178" i="1" s="1"/>
  <c r="DG117" i="1"/>
  <c r="EI117" i="1" s="1"/>
  <c r="G85" i="6"/>
  <c r="G122" i="6" s="1"/>
  <c r="EK128" i="1"/>
  <c r="DN226" i="1"/>
  <c r="EP226" i="1" s="1"/>
  <c r="BM190" i="1"/>
  <c r="CA190" i="1" s="1"/>
  <c r="AC222" i="2"/>
  <c r="AD222" i="2" s="1"/>
  <c r="DP194" i="1"/>
  <c r="ER194" i="1" s="1"/>
  <c r="BF13" i="1"/>
  <c r="BT13" i="1" s="1"/>
  <c r="EN137" i="1"/>
  <c r="DJ181" i="1"/>
  <c r="EL181" i="1" s="1"/>
  <c r="Z243" i="2"/>
  <c r="AW65" i="8"/>
  <c r="BK65" i="8" s="1"/>
  <c r="Z73" i="2"/>
  <c r="DO54" i="1"/>
  <c r="EQ54" i="1" s="1"/>
  <c r="F27" i="20"/>
  <c r="J100" i="6"/>
  <c r="J131" i="6" s="1"/>
  <c r="DJ19" i="1"/>
  <c r="AI59" i="48" s="1"/>
  <c r="BB30" i="8"/>
  <c r="BP30" i="8" s="1"/>
  <c r="AZ8" i="8"/>
  <c r="BN8" i="8" s="1"/>
  <c r="DW13" i="1"/>
  <c r="K73" i="36" s="1"/>
  <c r="K97" i="36" s="1"/>
  <c r="DR177" i="1"/>
  <c r="ET177" i="1" s="1"/>
  <c r="BE9" i="8"/>
  <c r="BS9" i="8" s="1"/>
  <c r="EF57" i="8"/>
  <c r="V75" i="2"/>
  <c r="DS30" i="8"/>
  <c r="P80" i="22" s="1"/>
  <c r="CO222" i="1"/>
  <c r="DV141" i="1"/>
  <c r="J80" i="36" s="1"/>
  <c r="J104" i="36" s="1"/>
  <c r="DD48" i="8"/>
  <c r="EF48" i="8" s="1"/>
  <c r="DV94" i="1"/>
  <c r="EJ94" i="1" s="1"/>
  <c r="DR188" i="1"/>
  <c r="ET188" i="1" s="1"/>
  <c r="BC152" i="1"/>
  <c r="BQ152" i="1" s="1"/>
  <c r="DS44" i="8"/>
  <c r="EG44" i="8" s="1"/>
  <c r="AW42" i="8"/>
  <c r="BK42" i="8" s="1"/>
  <c r="AC66" i="2"/>
  <c r="AD66" i="2" s="1"/>
  <c r="CG222" i="1"/>
  <c r="DW39" i="1"/>
  <c r="K75" i="36" s="1"/>
  <c r="EJ179" i="1"/>
  <c r="H23" i="20"/>
  <c r="H47" i="20" s="1"/>
  <c r="H9" i="42" s="1"/>
  <c r="DG146" i="1"/>
  <c r="EI146" i="1" s="1"/>
  <c r="G26" i="20"/>
  <c r="G50" i="20" s="1"/>
  <c r="G12" i="42" s="1"/>
  <c r="DV77" i="1"/>
  <c r="DT77" i="1" s="1"/>
  <c r="DN227" i="1"/>
  <c r="EP227" i="1" s="1"/>
  <c r="BG61" i="8"/>
  <c r="BU61" i="8" s="1"/>
  <c r="AC234" i="2"/>
  <c r="AD234" i="2" s="1"/>
  <c r="Z268" i="2"/>
  <c r="DD10" i="8"/>
  <c r="EF10" i="8" s="1"/>
  <c r="F9" i="44" s="1"/>
  <c r="AC289" i="2"/>
  <c r="DU51" i="1"/>
  <c r="EI51" i="1" s="1"/>
  <c r="AZ49" i="8"/>
  <c r="BN49" i="8" s="1"/>
  <c r="Z146" i="2"/>
  <c r="EG69" i="8"/>
  <c r="DI226" i="1"/>
  <c r="EK226" i="1" s="1"/>
  <c r="BN170" i="1"/>
  <c r="CB170" i="1" s="1"/>
  <c r="DU67" i="1"/>
  <c r="AF116" i="48" s="1"/>
  <c r="BH102" i="1"/>
  <c r="BV102" i="1" s="1"/>
  <c r="DL10" i="8"/>
  <c r="EN10" i="8" s="1"/>
  <c r="N9" i="44" s="1"/>
  <c r="DH188" i="1"/>
  <c r="EJ188" i="1" s="1"/>
  <c r="V41" i="2"/>
  <c r="DF15" i="8"/>
  <c r="EH15" i="8" s="1"/>
  <c r="H14" i="44" s="1"/>
  <c r="DX63" i="1"/>
  <c r="DT63" i="1" s="1"/>
  <c r="DP34" i="8"/>
  <c r="ED34" i="8" s="1"/>
  <c r="DO152" i="1"/>
  <c r="EQ152" i="1" s="1"/>
  <c r="U1" i="8"/>
  <c r="DY78" i="1"/>
  <c r="AJ116" i="48" s="1"/>
  <c r="AC71" i="2"/>
  <c r="AD71" i="2" s="1"/>
  <c r="BE216" i="1"/>
  <c r="BS216" i="1" s="1"/>
  <c r="AY39" i="8"/>
  <c r="BM39" i="8" s="1"/>
  <c r="DR11" i="8"/>
  <c r="P64" i="22" s="1"/>
  <c r="H64" i="22" s="1"/>
  <c r="BC88" i="1"/>
  <c r="BQ88" i="1" s="1"/>
  <c r="Z360" i="2"/>
  <c r="M93" i="60" s="1"/>
  <c r="N93" i="60" s="1"/>
  <c r="BH60" i="8"/>
  <c r="BV60" i="8" s="1"/>
  <c r="DP9" i="8"/>
  <c r="P30" i="22" s="1"/>
  <c r="G82" i="6"/>
  <c r="G119" i="6" s="1"/>
  <c r="AC224" i="2"/>
  <c r="AD224" i="2" s="1"/>
  <c r="BI99" i="1"/>
  <c r="BW99" i="1" s="1"/>
  <c r="AW30" i="8"/>
  <c r="BK30" i="8" s="1"/>
  <c r="BE132" i="1"/>
  <c r="BS132" i="1" s="1"/>
  <c r="Z179" i="2"/>
  <c r="EM49" i="1"/>
  <c r="AC68" i="8"/>
  <c r="BE68" i="8" s="1"/>
  <c r="BS68" i="8" s="1"/>
  <c r="DO23" i="1"/>
  <c r="EQ23" i="1" s="1"/>
  <c r="BM224" i="1"/>
  <c r="CA224" i="1" s="1"/>
  <c r="P59" i="8"/>
  <c r="BF59" i="8" s="1"/>
  <c r="BT59" i="8" s="1"/>
  <c r="Z136" i="2"/>
  <c r="BI128" i="1"/>
  <c r="BW128" i="1" s="1"/>
  <c r="BD216" i="1"/>
  <c r="BR216" i="1" s="1"/>
  <c r="DX6" i="1"/>
  <c r="L63" i="36" s="1"/>
  <c r="DI84" i="1"/>
  <c r="EK84" i="1" s="1"/>
  <c r="DQ18" i="1"/>
  <c r="ES18" i="1" s="1"/>
  <c r="BC100" i="1"/>
  <c r="BQ100" i="1" s="1"/>
  <c r="DL99" i="1"/>
  <c r="EN99" i="1" s="1"/>
  <c r="DN190" i="1"/>
  <c r="EP190" i="1" s="1"/>
  <c r="BH170" i="1"/>
  <c r="BV170" i="1" s="1"/>
  <c r="K51" i="36"/>
  <c r="I25" i="20"/>
  <c r="G99" i="6"/>
  <c r="G130" i="6" s="1"/>
  <c r="AX31" i="8"/>
  <c r="BL31" i="8" s="1"/>
  <c r="Z129" i="2"/>
  <c r="V135" i="2"/>
  <c r="AC69" i="2"/>
  <c r="AD69" i="2" s="1"/>
  <c r="BC44" i="8"/>
  <c r="BQ44" i="8" s="1"/>
  <c r="EC42" i="8"/>
  <c r="BD19" i="1"/>
  <c r="BR19" i="1" s="1"/>
  <c r="DO10" i="8"/>
  <c r="P12" i="22" s="1"/>
  <c r="H12" i="22" s="1"/>
  <c r="I12" i="22" s="1"/>
  <c r="DG68" i="1"/>
  <c r="EI68" i="1" s="1"/>
  <c r="DW163" i="1"/>
  <c r="EK163" i="1" s="1"/>
  <c r="V335" i="2"/>
  <c r="BE33" i="8"/>
  <c r="BS33" i="8" s="1"/>
  <c r="BA15" i="8"/>
  <c r="BO15" i="8" s="1"/>
  <c r="Z265" i="2"/>
  <c r="V270" i="2"/>
  <c r="DK67" i="8"/>
  <c r="EM67" i="8" s="1"/>
  <c r="BE93" i="1"/>
  <c r="BS93" i="1" s="1"/>
  <c r="DR38" i="8"/>
  <c r="EF38" i="8" s="1"/>
  <c r="I22" i="20"/>
  <c r="Z331" i="2"/>
  <c r="BC35" i="8"/>
  <c r="BQ35" i="8" s="1"/>
  <c r="BG96" i="1"/>
  <c r="BU96" i="1" s="1"/>
  <c r="Z131" i="2"/>
  <c r="K101" i="6"/>
  <c r="K132" i="6" s="1"/>
  <c r="BE36" i="1"/>
  <c r="BS36" i="1" s="1"/>
  <c r="DH49" i="1"/>
  <c r="EJ49" i="1" s="1"/>
  <c r="V305" i="2"/>
  <c r="DF24" i="8"/>
  <c r="EH24" i="8" s="1"/>
  <c r="BF36" i="1"/>
  <c r="BT36" i="1" s="1"/>
  <c r="AX54" i="8"/>
  <c r="BL54" i="8" s="1"/>
  <c r="DH67" i="8"/>
  <c r="EJ67" i="8" s="1"/>
  <c r="DJ14" i="8"/>
  <c r="EL14" i="8" s="1"/>
  <c r="L13" i="44" s="1"/>
  <c r="V216" i="2"/>
  <c r="DI166" i="1"/>
  <c r="EK166" i="1" s="1"/>
  <c r="AG60" i="48"/>
  <c r="V263" i="2"/>
  <c r="AZ47" i="8"/>
  <c r="BN47" i="8" s="1"/>
  <c r="DS53" i="8"/>
  <c r="EG53" i="8" s="1"/>
  <c r="H136" i="35"/>
  <c r="L136" i="35" s="1"/>
  <c r="BK96" i="1"/>
  <c r="BY96" i="1" s="1"/>
  <c r="BG162" i="1"/>
  <c r="BU162" i="1" s="1"/>
  <c r="DX146" i="1"/>
  <c r="EL146" i="1" s="1"/>
  <c r="CF41" i="8"/>
  <c r="DI59" i="1"/>
  <c r="EK59" i="1" s="1"/>
  <c r="BB56" i="8"/>
  <c r="BP56" i="8" s="1"/>
  <c r="EM187" i="1"/>
  <c r="BE39" i="1"/>
  <c r="BS39" i="1" s="1"/>
  <c r="AW7" i="8"/>
  <c r="BK7" i="8" s="1"/>
  <c r="M104" i="36"/>
  <c r="DJ64" i="8"/>
  <c r="EL64" i="8" s="1"/>
  <c r="DR100" i="1"/>
  <c r="ET100" i="1" s="1"/>
  <c r="BC7" i="8"/>
  <c r="BQ7" i="8" s="1"/>
  <c r="BF177" i="1"/>
  <c r="BT177" i="1" s="1"/>
  <c r="BJ156" i="1"/>
  <c r="BX156" i="1" s="1"/>
  <c r="EH26" i="8"/>
  <c r="AH13" i="44"/>
  <c r="EN187" i="1"/>
  <c r="DP56" i="8"/>
  <c r="ED56" i="8" s="1"/>
  <c r="EK215" i="1"/>
  <c r="EL25" i="1"/>
  <c r="H27" i="20"/>
  <c r="BK191" i="1"/>
  <c r="BY191" i="1" s="1"/>
  <c r="DS33" i="8"/>
  <c r="EG33" i="8" s="1"/>
  <c r="BD142" i="1"/>
  <c r="BR142" i="1" s="1"/>
  <c r="DQ214" i="1"/>
  <c r="ES214" i="1" s="1"/>
  <c r="BB64" i="8"/>
  <c r="BP64" i="8" s="1"/>
  <c r="Z87" i="2"/>
  <c r="BX45" i="8"/>
  <c r="BH121" i="1"/>
  <c r="BV121" i="1" s="1"/>
  <c r="AY54" i="8"/>
  <c r="BM54" i="8" s="1"/>
  <c r="DH37" i="8"/>
  <c r="EJ37" i="8" s="1"/>
  <c r="DR56" i="8"/>
  <c r="EF56" i="8" s="1"/>
  <c r="EN133" i="1"/>
  <c r="DT135" i="1"/>
  <c r="Z346" i="2"/>
  <c r="BC23" i="8"/>
  <c r="BQ23" i="8" s="1"/>
  <c r="BF88" i="1"/>
  <c r="BT88" i="1" s="1"/>
  <c r="AW6" i="8"/>
  <c r="BK6" i="8" s="1"/>
  <c r="DT169" i="1"/>
  <c r="EL169" i="1"/>
  <c r="BH50" i="8"/>
  <c r="BV50" i="8" s="1"/>
  <c r="DQ35" i="8"/>
  <c r="EE35" i="8" s="1"/>
  <c r="DP31" i="8"/>
  <c r="ED31" i="8" s="1"/>
  <c r="BG97" i="1"/>
  <c r="BU97" i="1" s="1"/>
  <c r="Z328" i="2"/>
  <c r="BL177" i="1"/>
  <c r="BZ177" i="1" s="1"/>
  <c r="DL95" i="1"/>
  <c r="EN95" i="1" s="1"/>
  <c r="AC67" i="2"/>
  <c r="AD67" i="2" s="1"/>
  <c r="Z298" i="2"/>
  <c r="BE130" i="1"/>
  <c r="BS130" i="1" s="1"/>
  <c r="F23" i="20"/>
  <c r="DO9" i="8"/>
  <c r="P9" i="22" s="1"/>
  <c r="V304" i="2"/>
  <c r="EM83" i="1"/>
  <c r="DU32" i="1"/>
  <c r="I64" i="36" s="1"/>
  <c r="H64" i="36" s="1"/>
  <c r="G8" i="53" s="1"/>
  <c r="BI156" i="1"/>
  <c r="BW156" i="1" s="1"/>
  <c r="BC189" i="1"/>
  <c r="BQ189" i="1" s="1"/>
  <c r="Z85" i="2"/>
  <c r="Z271" i="2"/>
  <c r="AL222" i="1"/>
  <c r="DH55" i="1"/>
  <c r="EJ55" i="1" s="1"/>
  <c r="BC47" i="1"/>
  <c r="BQ47" i="1" s="1"/>
  <c r="DV180" i="1"/>
  <c r="EJ180" i="1" s="1"/>
  <c r="DJ61" i="1"/>
  <c r="EL61" i="1" s="1"/>
  <c r="DJ182" i="1"/>
  <c r="EL182" i="1" s="1"/>
  <c r="CE115" i="1"/>
  <c r="BC12" i="1"/>
  <c r="BQ12" i="1" s="1"/>
  <c r="BE95" i="1"/>
  <c r="BS95" i="1" s="1"/>
  <c r="DQ7" i="8"/>
  <c r="EE7" i="8" s="1"/>
  <c r="E6" i="44" s="1"/>
  <c r="BN226" i="1"/>
  <c r="CB226" i="1" s="1"/>
  <c r="DQ201" i="1"/>
  <c r="ES201" i="1" s="1"/>
  <c r="Z114" i="2"/>
  <c r="DN79" i="1"/>
  <c r="EP79" i="1" s="1"/>
  <c r="DP200" i="1"/>
  <c r="ER200" i="1" s="1"/>
  <c r="BL150" i="1"/>
  <c r="BZ150" i="1" s="1"/>
  <c r="AC282" i="2"/>
  <c r="BD45" i="8"/>
  <c r="BR45" i="8" s="1"/>
  <c r="CD29" i="8"/>
  <c r="CH222" i="1"/>
  <c r="BF18" i="1"/>
  <c r="BT18" i="1" s="1"/>
  <c r="E39" i="20"/>
  <c r="DJ93" i="1"/>
  <c r="EL93" i="1" s="1"/>
  <c r="AC182" i="2"/>
  <c r="AD182" i="2" s="1"/>
  <c r="BF29" i="1"/>
  <c r="BT29" i="1" s="1"/>
  <c r="DP55" i="8"/>
  <c r="ED55" i="8" s="1"/>
  <c r="BN97" i="1"/>
  <c r="CB97" i="1" s="1"/>
  <c r="BC170" i="1"/>
  <c r="BQ170" i="1" s="1"/>
  <c r="BN107" i="1"/>
  <c r="CB107" i="1" s="1"/>
  <c r="BD34" i="8"/>
  <c r="BR34" i="8" s="1"/>
  <c r="DH226" i="1"/>
  <c r="EJ226" i="1" s="1"/>
  <c r="DQ33" i="8"/>
  <c r="EE33" i="8" s="1"/>
  <c r="BH64" i="8"/>
  <c r="BV64" i="8" s="1"/>
  <c r="V193" i="2"/>
  <c r="DW133" i="1"/>
  <c r="EK133" i="1" s="1"/>
  <c r="BE215" i="1"/>
  <c r="BS215" i="1" s="1"/>
  <c r="CI22" i="8"/>
  <c r="EF31" i="8"/>
  <c r="I47" i="36"/>
  <c r="V231" i="2"/>
  <c r="BD58" i="8"/>
  <c r="BR58" i="8" s="1"/>
  <c r="BD141" i="1"/>
  <c r="BR141" i="1" s="1"/>
  <c r="DP7" i="8"/>
  <c r="P29" i="22" s="1"/>
  <c r="BA11" i="8"/>
  <c r="BO11" i="8" s="1"/>
  <c r="BB7" i="8"/>
  <c r="BP7" i="8" s="1"/>
  <c r="DP44" i="8"/>
  <c r="ED44" i="8" s="1"/>
  <c r="BC143" i="1"/>
  <c r="BQ143" i="1" s="1"/>
  <c r="DH167" i="1"/>
  <c r="EJ167" i="1" s="1"/>
  <c r="BF61" i="8"/>
  <c r="BT61" i="8" s="1"/>
  <c r="DR201" i="1"/>
  <c r="ET201" i="1" s="1"/>
  <c r="BE138" i="1"/>
  <c r="BS138" i="1" s="1"/>
  <c r="BC46" i="8"/>
  <c r="BQ46" i="8" s="1"/>
  <c r="DU129" i="1"/>
  <c r="EI129" i="1" s="1"/>
  <c r="J55" i="36"/>
  <c r="BF78" i="1"/>
  <c r="BT78" i="1" s="1"/>
  <c r="BN152" i="1"/>
  <c r="CB152" i="1" s="1"/>
  <c r="BC32" i="8"/>
  <c r="BQ32" i="8" s="1"/>
  <c r="BF146" i="1"/>
  <c r="BT146" i="1" s="1"/>
  <c r="BE74" i="1"/>
  <c r="BS74" i="1" s="1"/>
  <c r="BE86" i="1"/>
  <c r="BS86" i="1" s="1"/>
  <c r="EJ137" i="1"/>
  <c r="BD62" i="8"/>
  <c r="BR62" i="8" s="1"/>
  <c r="DG25" i="8"/>
  <c r="EI25" i="8" s="1"/>
  <c r="Z234" i="2"/>
  <c r="DS7" i="8"/>
  <c r="EG7" i="8" s="1"/>
  <c r="G6" i="44" s="1"/>
  <c r="BA42" i="8"/>
  <c r="BO42" i="8" s="1"/>
  <c r="AC290" i="2"/>
  <c r="BD35" i="1"/>
  <c r="BR35" i="1" s="1"/>
  <c r="Z257" i="2"/>
  <c r="BD111" i="1"/>
  <c r="BR111" i="1" s="1"/>
  <c r="BD137" i="1"/>
  <c r="BR137" i="1" s="1"/>
  <c r="I43" i="36"/>
  <c r="BC137" i="1"/>
  <c r="BQ137" i="1" s="1"/>
  <c r="BE209" i="1"/>
  <c r="BS209" i="1" s="1"/>
  <c r="BE210" i="1"/>
  <c r="BS210" i="1" s="1"/>
  <c r="CI3" i="8"/>
  <c r="E25" i="20"/>
  <c r="BB39" i="8"/>
  <c r="BP39" i="8" s="1"/>
  <c r="DQ54" i="8"/>
  <c r="DP30" i="8"/>
  <c r="P31" i="22" s="1"/>
  <c r="H31" i="22" s="1"/>
  <c r="E27" i="20"/>
  <c r="BF153" i="1"/>
  <c r="BT153" i="1" s="1"/>
  <c r="V68" i="8"/>
  <c r="CE222" i="1"/>
  <c r="AB68" i="8"/>
  <c r="BK107" i="1"/>
  <c r="BY107" i="1" s="1"/>
  <c r="DG14" i="8"/>
  <c r="EI14" i="8" s="1"/>
  <c r="I13" i="44" s="1"/>
  <c r="DR217" i="1"/>
  <c r="ET217" i="1" s="1"/>
  <c r="AJ14" i="44"/>
  <c r="DI43" i="8"/>
  <c r="EK43" i="8" s="1"/>
  <c r="BH62" i="8"/>
  <c r="BV62" i="8" s="1"/>
  <c r="BE45" i="1"/>
  <c r="BS45" i="1" s="1"/>
  <c r="BC9" i="1"/>
  <c r="BQ9" i="1" s="1"/>
  <c r="EG43" i="8"/>
  <c r="G25" i="20"/>
  <c r="DK140" i="1"/>
  <c r="EM140" i="1" s="1"/>
  <c r="BH67" i="8"/>
  <c r="BV67" i="8" s="1"/>
  <c r="AK14" i="44"/>
  <c r="DU131" i="1"/>
  <c r="EI131" i="1" s="1"/>
  <c r="DJ91" i="1"/>
  <c r="EL91" i="1" s="1"/>
  <c r="Z282" i="2"/>
  <c r="EI9" i="1"/>
  <c r="BX24" i="8"/>
  <c r="V210" i="2"/>
  <c r="AH14" i="44"/>
  <c r="DQ66" i="8"/>
  <c r="EE66" i="8" s="1"/>
  <c r="AY12" i="8"/>
  <c r="BM12" i="8" s="1"/>
  <c r="ED48" i="8"/>
  <c r="Z107" i="2"/>
  <c r="DI62" i="8"/>
  <c r="EK62" i="8" s="1"/>
  <c r="BH18" i="8"/>
  <c r="BV18" i="8" s="1"/>
  <c r="DW216" i="1"/>
  <c r="EK216" i="1" s="1"/>
  <c r="BE65" i="1"/>
  <c r="BS65" i="1" s="1"/>
  <c r="BD24" i="1"/>
  <c r="BR24" i="1" s="1"/>
  <c r="CJ222" i="1"/>
  <c r="AA22" i="8"/>
  <c r="DN147" i="1"/>
  <c r="EP147" i="1" s="1"/>
  <c r="BL214" i="1"/>
  <c r="BZ214" i="1" s="1"/>
  <c r="DS15" i="8"/>
  <c r="EG15" i="8" s="1"/>
  <c r="G14" i="44" s="1"/>
  <c r="DK54" i="1"/>
  <c r="EM54" i="1" s="1"/>
  <c r="Z293" i="2"/>
  <c r="DA7" i="8"/>
  <c r="O10" i="22" s="1"/>
  <c r="G10" i="22" s="1"/>
  <c r="AW8" i="8"/>
  <c r="BK8" i="8" s="1"/>
  <c r="AI14" i="44"/>
  <c r="BE44" i="8"/>
  <c r="BS44" i="8" s="1"/>
  <c r="BD204" i="1"/>
  <c r="BR204" i="1" s="1"/>
  <c r="BE172" i="1"/>
  <c r="BS172" i="1" s="1"/>
  <c r="Y68" i="8"/>
  <c r="BA68" i="8" s="1"/>
  <c r="BO68" i="8" s="1"/>
  <c r="H126" i="35"/>
  <c r="K126" i="35" s="1"/>
  <c r="BE98" i="1"/>
  <c r="BS98" i="1" s="1"/>
  <c r="BF152" i="1"/>
  <c r="BT152" i="1" s="1"/>
  <c r="L68" i="8"/>
  <c r="BB68" i="8" s="1"/>
  <c r="BP68" i="8" s="1"/>
  <c r="K83" i="6"/>
  <c r="K120" i="6" s="1"/>
  <c r="AG71" i="48"/>
  <c r="BC6" i="8"/>
  <c r="BQ6" i="8" s="1"/>
  <c r="BF56" i="1"/>
  <c r="BT56" i="1" s="1"/>
  <c r="BI205" i="1"/>
  <c r="BW205" i="1" s="1"/>
  <c r="BB69" i="8"/>
  <c r="BP69" i="8" s="1"/>
  <c r="DZ118" i="1"/>
  <c r="DT118" i="1" s="1"/>
  <c r="BE12" i="8"/>
  <c r="BS12" i="8" s="1"/>
  <c r="AN14" i="44"/>
  <c r="I24" i="20"/>
  <c r="DT27" i="8"/>
  <c r="EH27" i="8" s="1"/>
  <c r="BC187" i="1"/>
  <c r="BQ187" i="1" s="1"/>
  <c r="BF70" i="1"/>
  <c r="BT70" i="1" s="1"/>
  <c r="BX37" i="8"/>
  <c r="AS25" i="48"/>
  <c r="Y25" i="48" s="1"/>
  <c r="J101" i="6"/>
  <c r="J132" i="6" s="1"/>
  <c r="BC16" i="1"/>
  <c r="BQ16" i="1" s="1"/>
  <c r="AI5" i="44"/>
  <c r="EH33" i="8"/>
  <c r="E21" i="20"/>
  <c r="CG29" i="8"/>
  <c r="CJ59" i="8"/>
  <c r="BF202" i="1"/>
  <c r="BT202" i="1" s="1"/>
  <c r="EN152" i="1"/>
  <c r="CD197" i="1"/>
  <c r="CI5" i="8"/>
  <c r="DP102" i="1"/>
  <c r="ER102" i="1" s="1"/>
  <c r="BC204" i="1"/>
  <c r="BQ204" i="1" s="1"/>
  <c r="I101" i="6"/>
  <c r="I132" i="6" s="1"/>
  <c r="AX13" i="8"/>
  <c r="BL13" i="8" s="1"/>
  <c r="Z261" i="2"/>
  <c r="V63" i="2"/>
  <c r="DJ67" i="1"/>
  <c r="EL67" i="1" s="1"/>
  <c r="V197" i="2"/>
  <c r="AJ222" i="1"/>
  <c r="BC123" i="1"/>
  <c r="BQ123" i="1" s="1"/>
  <c r="O5" i="28"/>
  <c r="O15" i="28" s="1"/>
  <c r="DK69" i="8"/>
  <c r="DK68" i="8" s="1"/>
  <c r="EM68" i="8" s="1"/>
  <c r="BB9" i="8"/>
  <c r="BP9" i="8" s="1"/>
  <c r="BC142" i="1"/>
  <c r="BQ142" i="1" s="1"/>
  <c r="I39" i="36"/>
  <c r="DT152" i="1"/>
  <c r="AZ32" i="8"/>
  <c r="BN32" i="8" s="1"/>
  <c r="BB31" i="8"/>
  <c r="BP31" i="8" s="1"/>
  <c r="Z285" i="2"/>
  <c r="K41" i="8"/>
  <c r="BD24" i="8"/>
  <c r="BR24" i="8" s="1"/>
  <c r="Z43" i="2"/>
  <c r="BA9" i="8"/>
  <c r="BO9" i="8" s="1"/>
  <c r="BG69" i="8"/>
  <c r="BU69" i="8" s="1"/>
  <c r="DK10" i="8"/>
  <c r="EM10" i="8" s="1"/>
  <c r="M9" i="44" s="1"/>
  <c r="DH116" i="1"/>
  <c r="EJ116" i="1" s="1"/>
  <c r="H22" i="20"/>
  <c r="DR39" i="8"/>
  <c r="EF39" i="8" s="1"/>
  <c r="DU41" i="1"/>
  <c r="DT41" i="1" s="1"/>
  <c r="BI202" i="1"/>
  <c r="BW202" i="1" s="1"/>
  <c r="G100" i="6"/>
  <c r="G131" i="6" s="1"/>
  <c r="J98" i="6"/>
  <c r="J129" i="6" s="1"/>
  <c r="DV130" i="1"/>
  <c r="BD218" i="1"/>
  <c r="BR218" i="1" s="1"/>
  <c r="BX60" i="8"/>
  <c r="Z202" i="2"/>
  <c r="DX141" i="1"/>
  <c r="L80" i="36" s="1"/>
  <c r="L104" i="36" s="1"/>
  <c r="BC217" i="1"/>
  <c r="BQ217" i="1" s="1"/>
  <c r="DO192" i="1"/>
  <c r="EQ192" i="1" s="1"/>
  <c r="AZ56" i="8"/>
  <c r="BN56" i="8" s="1"/>
  <c r="DP33" i="8"/>
  <c r="ED33" i="8" s="1"/>
  <c r="AX30" i="8"/>
  <c r="BL30" i="8" s="1"/>
  <c r="BC54" i="1"/>
  <c r="BQ54" i="1" s="1"/>
  <c r="BB45" i="8"/>
  <c r="BP45" i="8" s="1"/>
  <c r="BC15" i="1"/>
  <c r="BQ15" i="1" s="1"/>
  <c r="AC193" i="2"/>
  <c r="AD193" i="2" s="1"/>
  <c r="Z218" i="2"/>
  <c r="N222" i="1"/>
  <c r="BD222" i="1" s="1"/>
  <c r="BR222" i="1" s="1"/>
  <c r="V21" i="2"/>
  <c r="DX194" i="1"/>
  <c r="DT194" i="1" s="1"/>
  <c r="DJ35" i="1"/>
  <c r="EL35" i="1" s="1"/>
  <c r="BD16" i="1"/>
  <c r="BR16" i="1" s="1"/>
  <c r="BC7" i="1"/>
  <c r="BQ7" i="1" s="1"/>
  <c r="Z30" i="2"/>
  <c r="AX50" i="8"/>
  <c r="BL50" i="8" s="1"/>
  <c r="EM40" i="1"/>
  <c r="BD96" i="1"/>
  <c r="BR96" i="1" s="1"/>
  <c r="Z92" i="2"/>
  <c r="DL31" i="8"/>
  <c r="EN31" i="8" s="1"/>
  <c r="V111" i="2"/>
  <c r="BE6" i="8"/>
  <c r="BS6" i="8" s="1"/>
  <c r="V145" i="2"/>
  <c r="BG33" i="8"/>
  <c r="BU33" i="8" s="1"/>
  <c r="BD123" i="1"/>
  <c r="BR123" i="1" s="1"/>
  <c r="BA12" i="8"/>
  <c r="BO12" i="8" s="1"/>
  <c r="BA44" i="8"/>
  <c r="BO44" i="8" s="1"/>
  <c r="V253" i="2"/>
  <c r="BF196" i="1"/>
  <c r="BT196" i="1" s="1"/>
  <c r="DH30" i="8"/>
  <c r="EJ30" i="8" s="1"/>
  <c r="BF187" i="1"/>
  <c r="BT187" i="1" s="1"/>
  <c r="K45" i="36"/>
  <c r="BC45" i="1"/>
  <c r="BQ45" i="1" s="1"/>
  <c r="BX23" i="8"/>
  <c r="EJ44" i="1"/>
  <c r="BC84" i="1"/>
  <c r="BQ84" i="1" s="1"/>
  <c r="O3" i="2"/>
  <c r="P3" i="2" s="1"/>
  <c r="BC60" i="1"/>
  <c r="BQ60" i="1" s="1"/>
  <c r="BE66" i="8"/>
  <c r="CB59" i="8"/>
  <c r="EL130" i="1"/>
  <c r="DH132" i="1"/>
  <c r="EJ132" i="1" s="1"/>
  <c r="DK147" i="1"/>
  <c r="EM147" i="1" s="1"/>
  <c r="BE152" i="1"/>
  <c r="BS152" i="1" s="1"/>
  <c r="M22" i="8"/>
  <c r="DO7" i="8"/>
  <c r="P10" i="22" s="1"/>
  <c r="H10" i="22" s="1"/>
  <c r="BF96" i="1"/>
  <c r="BT96" i="1" s="1"/>
  <c r="BD92" i="1"/>
  <c r="BR92" i="1" s="1"/>
  <c r="BF99" i="1"/>
  <c r="BT99" i="1" s="1"/>
  <c r="V174" i="2"/>
  <c r="Z292" i="2"/>
  <c r="DG111" i="1"/>
  <c r="EI111" i="1" s="1"/>
  <c r="DJ114" i="1"/>
  <c r="EL114" i="1" s="1"/>
  <c r="DI14" i="8"/>
  <c r="EK14" i="8" s="1"/>
  <c r="K13" i="44" s="1"/>
  <c r="BC161" i="1"/>
  <c r="BQ161" i="1" s="1"/>
  <c r="AX47" i="8"/>
  <c r="BL47" i="8" s="1"/>
  <c r="BZ41" i="8"/>
  <c r="Z45" i="2"/>
  <c r="DG24" i="8"/>
  <c r="EI24" i="8" s="1"/>
  <c r="AX24" i="8"/>
  <c r="BL24" i="8" s="1"/>
  <c r="Z171" i="2"/>
  <c r="V151" i="2"/>
  <c r="Z158" i="2"/>
  <c r="F39" i="20" s="1"/>
  <c r="BF130" i="1"/>
  <c r="BT130" i="1" s="1"/>
  <c r="BF137" i="1"/>
  <c r="BT137" i="1" s="1"/>
  <c r="BF92" i="1"/>
  <c r="BT92" i="1" s="1"/>
  <c r="EM39" i="1"/>
  <c r="EM74" i="1"/>
  <c r="V1" i="8"/>
  <c r="AA207" i="1"/>
  <c r="V3" i="8"/>
  <c r="BA6" i="8"/>
  <c r="BO6" i="8" s="1"/>
  <c r="AX7" i="8"/>
  <c r="BL7" i="8" s="1"/>
  <c r="Y3" i="8"/>
  <c r="AB222" i="1"/>
  <c r="L142" i="35"/>
  <c r="N66" i="36"/>
  <c r="K142" i="35"/>
  <c r="DW130" i="1"/>
  <c r="EK130" i="1" s="1"/>
  <c r="AZ64" i="8"/>
  <c r="BN64" i="8" s="1"/>
  <c r="BD44" i="1"/>
  <c r="BR44" i="1" s="1"/>
  <c r="BY29" i="8"/>
  <c r="EL167" i="1"/>
  <c r="K106" i="48"/>
  <c r="BD39" i="8"/>
  <c r="BR39" i="8" s="1"/>
  <c r="G23" i="20"/>
  <c r="AD68" i="8"/>
  <c r="AX6" i="8"/>
  <c r="BL6" i="8" s="1"/>
  <c r="DP14" i="1"/>
  <c r="ER14" i="1" s="1"/>
  <c r="Y59" i="8"/>
  <c r="AX11" i="8"/>
  <c r="BL11" i="8" s="1"/>
  <c r="DI24" i="1"/>
  <c r="EK24" i="1" s="1"/>
  <c r="BE67" i="8"/>
  <c r="BS67" i="8" s="1"/>
  <c r="BL99" i="1"/>
  <c r="BZ99" i="1" s="1"/>
  <c r="BD143" i="1"/>
  <c r="BR143" i="1" s="1"/>
  <c r="DB6" i="8"/>
  <c r="O28" i="22" s="1"/>
  <c r="G28" i="22" s="1"/>
  <c r="BD20" i="1"/>
  <c r="BR20" i="1" s="1"/>
  <c r="L197" i="1"/>
  <c r="BF189" i="1"/>
  <c r="BT189" i="1" s="1"/>
  <c r="BD14" i="1"/>
  <c r="BR14" i="1" s="1"/>
  <c r="BE128" i="1"/>
  <c r="BS128" i="1" s="1"/>
  <c r="BD179" i="1"/>
  <c r="BR179" i="1" s="1"/>
  <c r="BC60" i="8"/>
  <c r="BQ60" i="8" s="1"/>
  <c r="AX48" i="8"/>
  <c r="BL48" i="8" s="1"/>
  <c r="J41" i="36"/>
  <c r="J89" i="36" s="1"/>
  <c r="DI227" i="1"/>
  <c r="EK227" i="1" s="1"/>
  <c r="AW64" i="8"/>
  <c r="BK64" i="8" s="1"/>
  <c r="BE37" i="8"/>
  <c r="BS37" i="8" s="1"/>
  <c r="DL191" i="1"/>
  <c r="EN191" i="1" s="1"/>
  <c r="DR187" i="1"/>
  <c r="ET187" i="1" s="1"/>
  <c r="BK80" i="1"/>
  <c r="BY80" i="1" s="1"/>
  <c r="DK54" i="8"/>
  <c r="EM54" i="8" s="1"/>
  <c r="DF42" i="8"/>
  <c r="EH42" i="8" s="1"/>
  <c r="BA43" i="8"/>
  <c r="BO43" i="8" s="1"/>
  <c r="DI212" i="1"/>
  <c r="EK212" i="1" s="1"/>
  <c r="DK93" i="1"/>
  <c r="EM93" i="1" s="1"/>
  <c r="DQ177" i="1"/>
  <c r="ES177" i="1" s="1"/>
  <c r="BC181" i="1"/>
  <c r="BQ181" i="1" s="1"/>
  <c r="DL11" i="8"/>
  <c r="EN11" i="8" s="1"/>
  <c r="N10" i="44" s="1"/>
  <c r="DH8" i="1"/>
  <c r="EJ8" i="1" s="1"/>
  <c r="BH44" i="8"/>
  <c r="BV44" i="8" s="1"/>
  <c r="BC65" i="1"/>
  <c r="BQ65" i="1" s="1"/>
  <c r="DH22" i="1"/>
  <c r="EJ22" i="1" s="1"/>
  <c r="H68" i="8"/>
  <c r="AX68" i="8" s="1"/>
  <c r="BL68" i="8" s="1"/>
  <c r="DD15" i="8"/>
  <c r="EF15" i="8" s="1"/>
  <c r="F14" i="44" s="1"/>
  <c r="L45" i="36"/>
  <c r="EJ122" i="1"/>
  <c r="DJ10" i="8"/>
  <c r="EL10" i="8" s="1"/>
  <c r="L9" i="44" s="1"/>
  <c r="BC196" i="1"/>
  <c r="BQ196" i="1" s="1"/>
  <c r="DH39" i="8"/>
  <c r="EJ39" i="8" s="1"/>
  <c r="AW58" i="8"/>
  <c r="BK58" i="8" s="1"/>
  <c r="BA30" i="8"/>
  <c r="BO30" i="8" s="1"/>
  <c r="BG49" i="8"/>
  <c r="BU49" i="8" s="1"/>
  <c r="BX31" i="8"/>
  <c r="AX69" i="8"/>
  <c r="BL69" i="8" s="1"/>
  <c r="R59" i="8"/>
  <c r="BH59" i="8" s="1"/>
  <c r="BV59" i="8" s="1"/>
  <c r="DJ68" i="1"/>
  <c r="EL68" i="1" s="1"/>
  <c r="DJ69" i="8"/>
  <c r="EL69" i="8" s="1"/>
  <c r="BC96" i="1"/>
  <c r="BQ96" i="1" s="1"/>
  <c r="EL174" i="1"/>
  <c r="DI67" i="1"/>
  <c r="EK67" i="1" s="1"/>
  <c r="DJ134" i="1"/>
  <c r="EL134" i="1" s="1"/>
  <c r="EM99" i="1"/>
  <c r="BF42" i="1"/>
  <c r="BT42" i="1" s="1"/>
  <c r="BN80" i="1"/>
  <c r="CB80" i="1" s="1"/>
  <c r="P68" i="8"/>
  <c r="BF68" i="8" s="1"/>
  <c r="BT68" i="8" s="1"/>
  <c r="BI204" i="1"/>
  <c r="BW204" i="1" s="1"/>
  <c r="EL111" i="1"/>
  <c r="BE197" i="1"/>
  <c r="BS197" i="1" s="1"/>
  <c r="AX60" i="8"/>
  <c r="BL60" i="8" s="1"/>
  <c r="BC51" i="1"/>
  <c r="BQ51" i="1" s="1"/>
  <c r="ED60" i="8"/>
  <c r="DF44" i="8"/>
  <c r="EH44" i="8" s="1"/>
  <c r="CE41" i="8"/>
  <c r="BC216" i="1"/>
  <c r="BQ216" i="1" s="1"/>
  <c r="J22" i="8"/>
  <c r="BM99" i="1"/>
  <c r="CA99" i="1" s="1"/>
  <c r="BX44" i="8"/>
  <c r="AZ25" i="8"/>
  <c r="BN25" i="8" s="1"/>
  <c r="M139" i="35"/>
  <c r="BF111" i="1"/>
  <c r="BT111" i="1" s="1"/>
  <c r="CE51" i="8"/>
  <c r="BX63" i="8"/>
  <c r="CH59" i="8"/>
  <c r="BX61" i="8"/>
  <c r="AW34" i="8"/>
  <c r="BK34" i="8" s="1"/>
  <c r="CI29" i="8"/>
  <c r="BD29" i="1"/>
  <c r="BR29" i="1" s="1"/>
  <c r="DO217" i="1"/>
  <c r="EQ217" i="1" s="1"/>
  <c r="DO25" i="1"/>
  <c r="EQ25" i="1" s="1"/>
  <c r="AG61" i="48"/>
  <c r="AG156" i="48" s="1"/>
  <c r="M71" i="36"/>
  <c r="BH197" i="1"/>
  <c r="BV197" i="1" s="1"/>
  <c r="N115" i="1"/>
  <c r="BF107" i="1"/>
  <c r="BT107" i="1" s="1"/>
  <c r="DR174" i="1"/>
  <c r="ET174" i="1" s="1"/>
  <c r="EK189" i="1"/>
  <c r="BE111" i="1"/>
  <c r="BS111" i="1" s="1"/>
  <c r="M115" i="1"/>
  <c r="BC30" i="1"/>
  <c r="BQ30" i="1" s="1"/>
  <c r="BC206" i="1"/>
  <c r="BQ206" i="1" s="1"/>
  <c r="BD191" i="1"/>
  <c r="BR191" i="1" s="1"/>
  <c r="BD118" i="1"/>
  <c r="BR118" i="1" s="1"/>
  <c r="BF192" i="1"/>
  <c r="BT192" i="1" s="1"/>
  <c r="DR205" i="1"/>
  <c r="ET205" i="1" s="1"/>
  <c r="BD161" i="1"/>
  <c r="BR161" i="1" s="1"/>
  <c r="EO106" i="1"/>
  <c r="BE189" i="1"/>
  <c r="BS189" i="1" s="1"/>
  <c r="BD79" i="1"/>
  <c r="BR79" i="1" s="1"/>
  <c r="L127" i="35"/>
  <c r="M127" i="35" s="1"/>
  <c r="BG167" i="1"/>
  <c r="BU167" i="1" s="1"/>
  <c r="BC118" i="1"/>
  <c r="BQ118" i="1" s="1"/>
  <c r="Q107" i="6"/>
  <c r="H125" i="6"/>
  <c r="DT20" i="1"/>
  <c r="G103" i="6"/>
  <c r="G134" i="6" s="1"/>
  <c r="AW23" i="8"/>
  <c r="BK23" i="8" s="1"/>
  <c r="AY58" i="8"/>
  <c r="BM58" i="8" s="1"/>
  <c r="BF167" i="1"/>
  <c r="BT167" i="1" s="1"/>
  <c r="O127" i="35"/>
  <c r="AY38" i="8"/>
  <c r="BM38" i="8" s="1"/>
  <c r="BC63" i="8"/>
  <c r="BQ63" i="8" s="1"/>
  <c r="BH7" i="8"/>
  <c r="BV7" i="8" s="1"/>
  <c r="DX153" i="1"/>
  <c r="F62" i="8"/>
  <c r="I103" i="6"/>
  <c r="I134" i="6" s="1"/>
  <c r="Z201" i="2"/>
  <c r="I82" i="6"/>
  <c r="I119" i="6" s="1"/>
  <c r="BH123" i="1"/>
  <c r="BV123" i="1" s="1"/>
  <c r="N65" i="36"/>
  <c r="H65" i="36" s="1"/>
  <c r="AX62" i="8"/>
  <c r="BL62" i="8" s="1"/>
  <c r="BY59" i="8"/>
  <c r="DI25" i="1"/>
  <c r="EK25" i="1" s="1"/>
  <c r="DH48" i="8"/>
  <c r="EJ48" i="8" s="1"/>
  <c r="DD62" i="8"/>
  <c r="EF62" i="8" s="1"/>
  <c r="BX46" i="8"/>
  <c r="DT97" i="1"/>
  <c r="G21" i="20"/>
  <c r="DS9" i="8"/>
  <c r="EG9" i="8" s="1"/>
  <c r="G8" i="44" s="1"/>
  <c r="AC243" i="2"/>
  <c r="AD243" i="2" s="1"/>
  <c r="D25" i="20"/>
  <c r="L99" i="60"/>
  <c r="I99" i="60" s="1"/>
  <c r="Z163" i="2"/>
  <c r="I100" i="6"/>
  <c r="I131" i="6" s="1"/>
  <c r="BC163" i="1"/>
  <c r="BQ163" i="1" s="1"/>
  <c r="V7" i="2"/>
  <c r="V156" i="2"/>
  <c r="DF37" i="8"/>
  <c r="EH37" i="8" s="1"/>
  <c r="BM218" i="1"/>
  <c r="CA218" i="1" s="1"/>
  <c r="DO30" i="8"/>
  <c r="EC30" i="8" s="1"/>
  <c r="DU128" i="1"/>
  <c r="EI128" i="1" s="1"/>
  <c r="EC33" i="8"/>
  <c r="EN53" i="1"/>
  <c r="DL227" i="1"/>
  <c r="EN227" i="1" s="1"/>
  <c r="DS31" i="8"/>
  <c r="EG31" i="8" s="1"/>
  <c r="DE56" i="8"/>
  <c r="EG56" i="8" s="1"/>
  <c r="DR7" i="8"/>
  <c r="P62" i="22" s="1"/>
  <c r="BC149" i="1"/>
  <c r="BQ149" i="1" s="1"/>
  <c r="DG182" i="1"/>
  <c r="EI182" i="1" s="1"/>
  <c r="V195" i="2"/>
  <c r="AX44" i="8"/>
  <c r="BL44" i="8" s="1"/>
  <c r="DQ38" i="8"/>
  <c r="EE38" i="8" s="1"/>
  <c r="E23" i="20"/>
  <c r="Z320" i="2"/>
  <c r="D21" i="20"/>
  <c r="F21" i="20"/>
  <c r="BG47" i="8"/>
  <c r="BU47" i="8" s="1"/>
  <c r="Z314" i="2"/>
  <c r="BC145" i="1"/>
  <c r="BQ145" i="1" s="1"/>
  <c r="BG48" i="8"/>
  <c r="BU48" i="8" s="1"/>
  <c r="BD36" i="8"/>
  <c r="BR36" i="8" s="1"/>
  <c r="EE42" i="8"/>
  <c r="E22" i="20"/>
  <c r="BG99" i="1"/>
  <c r="BU99" i="1" s="1"/>
  <c r="BF53" i="1"/>
  <c r="BT53" i="1" s="1"/>
  <c r="BD26" i="1"/>
  <c r="BR26" i="1" s="1"/>
  <c r="BM98" i="1"/>
  <c r="CA98" i="1" s="1"/>
  <c r="AC110" i="2"/>
  <c r="AD110" i="2" s="1"/>
  <c r="DJ60" i="8"/>
  <c r="EL60" i="8" s="1"/>
  <c r="Z278" i="2"/>
  <c r="BF212" i="1"/>
  <c r="BT212" i="1" s="1"/>
  <c r="BE214" i="1"/>
  <c r="BS214" i="1" s="1"/>
  <c r="Z307" i="2"/>
  <c r="EN20" i="1"/>
  <c r="V11" i="2"/>
  <c r="C40" i="42"/>
  <c r="H21" i="20"/>
  <c r="DH210" i="1"/>
  <c r="EJ210" i="1" s="1"/>
  <c r="AY42" i="8"/>
  <c r="BM42" i="8" s="1"/>
  <c r="DP65" i="8"/>
  <c r="ED65" i="8" s="1"/>
  <c r="BD202" i="1"/>
  <c r="BR202" i="1" s="1"/>
  <c r="DJ62" i="1"/>
  <c r="EL62" i="1" s="1"/>
  <c r="AY7" i="8"/>
  <c r="BM7" i="8" s="1"/>
  <c r="DT11" i="8"/>
  <c r="EH11" i="8" s="1"/>
  <c r="H10" i="44" s="1"/>
  <c r="H100" i="6"/>
  <c r="H131" i="6" s="1"/>
  <c r="DI176" i="1"/>
  <c r="EK176" i="1" s="1"/>
  <c r="Z106" i="2"/>
  <c r="BF41" i="1"/>
  <c r="BT41" i="1" s="1"/>
  <c r="BF50" i="1"/>
  <c r="BT50" i="1" s="1"/>
  <c r="CB41" i="8"/>
  <c r="BX14" i="8"/>
  <c r="DR52" i="8"/>
  <c r="EF52" i="8" s="1"/>
  <c r="EK65" i="1"/>
  <c r="DQ202" i="1"/>
  <c r="ES202" i="1" s="1"/>
  <c r="EE34" i="8"/>
  <c r="DO31" i="8"/>
  <c r="EC31" i="8" s="1"/>
  <c r="CG207" i="1"/>
  <c r="AH73" i="48"/>
  <c r="Q59" i="8"/>
  <c r="BG59" i="8" s="1"/>
  <c r="BU59" i="8" s="1"/>
  <c r="N207" i="1"/>
  <c r="F100" i="6"/>
  <c r="F131" i="6" s="1"/>
  <c r="G27" i="20"/>
  <c r="BG63" i="8"/>
  <c r="BU63" i="8" s="1"/>
  <c r="P41" i="8"/>
  <c r="BF41" i="8" s="1"/>
  <c r="BT41" i="8" s="1"/>
  <c r="BC179" i="1"/>
  <c r="BQ179" i="1" s="1"/>
  <c r="BL92" i="1"/>
  <c r="BZ92" i="1" s="1"/>
  <c r="DN202" i="1"/>
  <c r="EP202" i="1" s="1"/>
  <c r="BI179" i="1"/>
  <c r="BW179" i="1" s="1"/>
  <c r="BX58" i="8"/>
  <c r="BD148" i="1"/>
  <c r="BR148" i="1" s="1"/>
  <c r="DG13" i="8"/>
  <c r="EI13" i="8" s="1"/>
  <c r="I12" i="44" s="1"/>
  <c r="BE100" i="1"/>
  <c r="BS100" i="1" s="1"/>
  <c r="DG44" i="8"/>
  <c r="DP53" i="8"/>
  <c r="ED53" i="8" s="1"/>
  <c r="EM32" i="1"/>
  <c r="BG194" i="1"/>
  <c r="BU194" i="1" s="1"/>
  <c r="AC54" i="2"/>
  <c r="AD54" i="2" s="1"/>
  <c r="V212" i="2"/>
  <c r="DH221" i="1"/>
  <c r="EJ221" i="1" s="1"/>
  <c r="BC30" i="8"/>
  <c r="BQ30" i="8" s="1"/>
  <c r="BC190" i="1"/>
  <c r="BQ190" i="1" s="1"/>
  <c r="BI111" i="1"/>
  <c r="BW111" i="1" s="1"/>
  <c r="DV18" i="1"/>
  <c r="EJ18" i="1" s="1"/>
  <c r="AA1" i="8"/>
  <c r="BD46" i="1"/>
  <c r="BR46" i="1" s="1"/>
  <c r="DO97" i="1"/>
  <c r="EQ97" i="1" s="1"/>
  <c r="DJ102" i="1"/>
  <c r="EL102" i="1" s="1"/>
  <c r="EJ131" i="1"/>
  <c r="BD94" i="1"/>
  <c r="BR94" i="1" s="1"/>
  <c r="M96" i="6"/>
  <c r="DP63" i="8"/>
  <c r="DN63" i="8" s="1"/>
  <c r="CG59" i="8"/>
  <c r="DU95" i="1"/>
  <c r="F16" i="20"/>
  <c r="AM10" i="44"/>
  <c r="AH12" i="44"/>
  <c r="BD71" i="1"/>
  <c r="BR71" i="1" s="1"/>
  <c r="DH71" i="1"/>
  <c r="DX177" i="1"/>
  <c r="EL177" i="1" s="1"/>
  <c r="AC217" i="2"/>
  <c r="AD217" i="2" s="1"/>
  <c r="DX170" i="1"/>
  <c r="EL170" i="1" s="1"/>
  <c r="DR43" i="8"/>
  <c r="EF43" i="8" s="1"/>
  <c r="AC226" i="2"/>
  <c r="AD226" i="2" s="1"/>
  <c r="Z196" i="2"/>
  <c r="V196" i="2"/>
  <c r="DT48" i="8"/>
  <c r="EH48" i="8" s="1"/>
  <c r="DZ164" i="1"/>
  <c r="V238" i="2"/>
  <c r="Z238" i="2"/>
  <c r="DV65" i="1"/>
  <c r="V198" i="2"/>
  <c r="Z198" i="2"/>
  <c r="V241" i="2"/>
  <c r="Z241" i="2"/>
  <c r="BE126" i="1"/>
  <c r="BS126" i="1" s="1"/>
  <c r="AC232" i="2"/>
  <c r="AD232" i="2" s="1"/>
  <c r="DX227" i="1"/>
  <c r="EL95" i="1"/>
  <c r="Z329" i="2"/>
  <c r="V329" i="2"/>
  <c r="V275" i="2"/>
  <c r="Z275" i="2"/>
  <c r="Z15" i="2"/>
  <c r="V15" i="2"/>
  <c r="V345" i="2"/>
  <c r="Z345" i="2"/>
  <c r="DG26" i="1"/>
  <c r="EI26" i="1" s="1"/>
  <c r="BC26" i="1"/>
  <c r="BQ26" i="1" s="1"/>
  <c r="DZ128" i="1"/>
  <c r="EN128" i="1" s="1"/>
  <c r="DT30" i="8"/>
  <c r="V59" i="2"/>
  <c r="Z59" i="2"/>
  <c r="BD95" i="1"/>
  <c r="BR95" i="1" s="1"/>
  <c r="BF128" i="1"/>
  <c r="BT128" i="1" s="1"/>
  <c r="DR45" i="8"/>
  <c r="EF45" i="8" s="1"/>
  <c r="AC181" i="2"/>
  <c r="AD181" i="2" s="1"/>
  <c r="DX161" i="1"/>
  <c r="DL23" i="8"/>
  <c r="EN23" i="8" s="1"/>
  <c r="DG139" i="1"/>
  <c r="BC139" i="1"/>
  <c r="BQ139" i="1" s="1"/>
  <c r="DG61" i="8"/>
  <c r="EI61" i="8" s="1"/>
  <c r="BC61" i="8"/>
  <c r="BQ61" i="8" s="1"/>
  <c r="DU49" i="1"/>
  <c r="EI49" i="1" s="1"/>
  <c r="Z240" i="2"/>
  <c r="V240" i="2"/>
  <c r="Z383" i="2"/>
  <c r="V383" i="2"/>
  <c r="V324" i="2"/>
  <c r="Z324" i="2"/>
  <c r="F98" i="6"/>
  <c r="F129" i="6" s="1"/>
  <c r="BH152" i="1"/>
  <c r="BV152" i="1" s="1"/>
  <c r="Z221" i="2"/>
  <c r="V221" i="2"/>
  <c r="V77" i="2"/>
  <c r="Z77" i="2"/>
  <c r="Z356" i="2"/>
  <c r="V356" i="2"/>
  <c r="BD84" i="1"/>
  <c r="BR84" i="1" s="1"/>
  <c r="DH84" i="1"/>
  <c r="EJ84" i="1" s="1"/>
  <c r="Z323" i="2"/>
  <c r="V323" i="2"/>
  <c r="V168" i="2"/>
  <c r="BE10" i="8"/>
  <c r="BS10" i="8" s="1"/>
  <c r="DI10" i="8"/>
  <c r="EK10" i="8" s="1"/>
  <c r="K9" i="44" s="1"/>
  <c r="AC236" i="2"/>
  <c r="AD236" i="2" s="1"/>
  <c r="DX54" i="1"/>
  <c r="L66" i="36" s="1"/>
  <c r="DH36" i="1"/>
  <c r="EJ36" i="1" s="1"/>
  <c r="BD36" i="1"/>
  <c r="BR36" i="1" s="1"/>
  <c r="V375" i="2"/>
  <c r="Z375" i="2"/>
  <c r="M97" i="60" s="1"/>
  <c r="V31" i="2"/>
  <c r="Z31" i="2"/>
  <c r="BJ211" i="1"/>
  <c r="BX211" i="1" s="1"/>
  <c r="Z47" i="2"/>
  <c r="V47" i="2"/>
  <c r="Z276" i="2"/>
  <c r="V276" i="2"/>
  <c r="AC150" i="2"/>
  <c r="AD150" i="2" s="1"/>
  <c r="DW70" i="1"/>
  <c r="DJ163" i="1"/>
  <c r="EL163" i="1" s="1"/>
  <c r="BF163" i="1"/>
  <c r="BT163" i="1" s="1"/>
  <c r="Z84" i="2"/>
  <c r="DJ46" i="8"/>
  <c r="EL46" i="8" s="1"/>
  <c r="DO203" i="1"/>
  <c r="EQ203" i="1" s="1"/>
  <c r="AC87" i="2"/>
  <c r="AD87" i="2" s="1"/>
  <c r="DV178" i="1"/>
  <c r="BC192" i="1"/>
  <c r="BQ192" i="1" s="1"/>
  <c r="DG192" i="1"/>
  <c r="EI192" i="1" s="1"/>
  <c r="BD62" i="1"/>
  <c r="BR62" i="1" s="1"/>
  <c r="DI12" i="1"/>
  <c r="EK12" i="1" s="1"/>
  <c r="BE12" i="1"/>
  <c r="BS12" i="1" s="1"/>
  <c r="V50" i="2"/>
  <c r="Z50" i="2"/>
  <c r="DJ150" i="1"/>
  <c r="EL150" i="1" s="1"/>
  <c r="CF222" i="1"/>
  <c r="V286" i="2"/>
  <c r="Z286" i="2"/>
  <c r="BF218" i="1"/>
  <c r="BT218" i="1" s="1"/>
  <c r="BC67" i="1"/>
  <c r="BQ67" i="1" s="1"/>
  <c r="BE185" i="1"/>
  <c r="BS185" i="1" s="1"/>
  <c r="AL11" i="44"/>
  <c r="AC48" i="2"/>
  <c r="AD48" i="2" s="1"/>
  <c r="DP45" i="8"/>
  <c r="ED45" i="8" s="1"/>
  <c r="Z288" i="2"/>
  <c r="V288" i="2"/>
  <c r="BH164" i="1"/>
  <c r="BV164" i="1" s="1"/>
  <c r="DG208" i="1"/>
  <c r="DG207" i="1" s="1"/>
  <c r="EI207" i="1" s="1"/>
  <c r="BC208" i="1"/>
  <c r="BQ208" i="1" s="1"/>
  <c r="V98" i="2"/>
  <c r="Z98" i="2"/>
  <c r="Z260" i="2"/>
  <c r="V260" i="2"/>
  <c r="DI13" i="8"/>
  <c r="EK13" i="8" s="1"/>
  <c r="K12" i="44" s="1"/>
  <c r="BE13" i="8"/>
  <c r="BS13" i="8" s="1"/>
  <c r="V248" i="2"/>
  <c r="Z248" i="2"/>
  <c r="E38" i="20" s="1"/>
  <c r="E50" i="20" s="1"/>
  <c r="E12" i="42" s="1"/>
  <c r="DO200" i="1"/>
  <c r="EQ200" i="1" s="1"/>
  <c r="DQ46" i="8"/>
  <c r="DQ41" i="8" s="1"/>
  <c r="V205" i="2"/>
  <c r="Z205" i="2"/>
  <c r="Z169" i="1"/>
  <c r="Z156" i="1"/>
  <c r="I81" i="22"/>
  <c r="K24" i="48"/>
  <c r="Z29" i="2"/>
  <c r="V29" i="2"/>
  <c r="Z93" i="2"/>
  <c r="V93" i="2"/>
  <c r="DB67" i="8"/>
  <c r="ED67" i="8" s="1"/>
  <c r="Z194" i="2"/>
  <c r="V194" i="2"/>
  <c r="BE17" i="1"/>
  <c r="BS17" i="1" s="1"/>
  <c r="DG48" i="1"/>
  <c r="EI48" i="1" s="1"/>
  <c r="BC48" i="1"/>
  <c r="BQ48" i="1" s="1"/>
  <c r="Z152" i="2"/>
  <c r="V152" i="2"/>
  <c r="Z112" i="2"/>
  <c r="V112" i="2"/>
  <c r="BH226" i="1"/>
  <c r="BV226" i="1" s="1"/>
  <c r="DI159" i="1"/>
  <c r="BE159" i="1"/>
  <c r="BS159" i="1" s="1"/>
  <c r="DA43" i="8"/>
  <c r="EC43" i="8" s="1"/>
  <c r="AW43" i="8"/>
  <c r="BK43" i="8" s="1"/>
  <c r="CE59" i="8"/>
  <c r="DY161" i="1"/>
  <c r="EM161" i="1" s="1"/>
  <c r="DS45" i="8"/>
  <c r="EG45" i="8" s="1"/>
  <c r="AC190" i="2"/>
  <c r="AD190" i="2" s="1"/>
  <c r="V33" i="2"/>
  <c r="Z33" i="2"/>
  <c r="DI158" i="1"/>
  <c r="EK158" i="1" s="1"/>
  <c r="BE158" i="1"/>
  <c r="BS158" i="1" s="1"/>
  <c r="V303" i="2"/>
  <c r="Z303" i="2"/>
  <c r="DK42" i="8"/>
  <c r="EM42" i="8" s="1"/>
  <c r="AC95" i="2"/>
  <c r="AD95" i="2" s="1"/>
  <c r="DV13" i="1"/>
  <c r="J73" i="36" s="1"/>
  <c r="Z26" i="2"/>
  <c r="V26" i="2"/>
  <c r="DW131" i="1"/>
  <c r="EK131" i="1" s="1"/>
  <c r="AC177" i="2"/>
  <c r="AD177" i="2" s="1"/>
  <c r="AH6" i="44"/>
  <c r="CF207" i="1"/>
  <c r="BX65" i="8"/>
  <c r="DI196" i="1"/>
  <c r="EK196" i="1" s="1"/>
  <c r="BE196" i="1"/>
  <c r="BS196" i="1" s="1"/>
  <c r="G22" i="20"/>
  <c r="AC133" i="2"/>
  <c r="AD133" i="2" s="1"/>
  <c r="DW191" i="1"/>
  <c r="DT191" i="1" s="1"/>
  <c r="Z42" i="2"/>
  <c r="V42" i="2"/>
  <c r="V80" i="2"/>
  <c r="Z80" i="2"/>
  <c r="V287" i="2"/>
  <c r="Z287" i="2"/>
  <c r="AC76" i="2"/>
  <c r="AD76" i="2" s="1"/>
  <c r="DV123" i="1"/>
  <c r="DT123" i="1" s="1"/>
  <c r="DP26" i="8"/>
  <c r="ED26" i="8" s="1"/>
  <c r="V157" i="2"/>
  <c r="Z157" i="2"/>
  <c r="V182" i="2"/>
  <c r="Z182" i="2"/>
  <c r="V119" i="2"/>
  <c r="Z119" i="2"/>
  <c r="AC72" i="2"/>
  <c r="AD72" i="2" s="1"/>
  <c r="DV92" i="1"/>
  <c r="EJ92" i="1" s="1"/>
  <c r="AC136" i="2"/>
  <c r="AD136" i="2" s="1"/>
  <c r="DW99" i="1"/>
  <c r="EK99" i="1" s="1"/>
  <c r="BM204" i="1"/>
  <c r="CA204" i="1" s="1"/>
  <c r="AC104" i="2"/>
  <c r="AD104" i="2" s="1"/>
  <c r="DV93" i="1"/>
  <c r="DR84" i="1"/>
  <c r="ET84" i="1" s="1"/>
  <c r="V214" i="2"/>
  <c r="Z214" i="2"/>
  <c r="G39" i="20" s="1"/>
  <c r="DT43" i="8"/>
  <c r="EH43" i="8" s="1"/>
  <c r="DZ170" i="1"/>
  <c r="EN170" i="1" s="1"/>
  <c r="H128" i="35"/>
  <c r="EK17" i="1"/>
  <c r="Z120" i="2"/>
  <c r="V120" i="2"/>
  <c r="V103" i="2"/>
  <c r="Z103" i="2"/>
  <c r="Z172" i="2"/>
  <c r="V172" i="2"/>
  <c r="DO34" i="8"/>
  <c r="P13" i="22" s="1"/>
  <c r="H13" i="22" s="1"/>
  <c r="DJ97" i="1"/>
  <c r="EL97" i="1" s="1"/>
  <c r="BH141" i="1"/>
  <c r="BV141" i="1" s="1"/>
  <c r="BD9" i="8"/>
  <c r="BR9" i="8" s="1"/>
  <c r="BF169" i="1"/>
  <c r="BT169" i="1" s="1"/>
  <c r="BH169" i="1"/>
  <c r="BV169" i="1" s="1"/>
  <c r="BE16" i="1"/>
  <c r="BS16" i="1" s="1"/>
  <c r="Z222" i="2"/>
  <c r="V222" i="2"/>
  <c r="BJ215" i="1"/>
  <c r="BX215" i="1" s="1"/>
  <c r="BJ13" i="1"/>
  <c r="BX13" i="1" s="1"/>
  <c r="BC212" i="1"/>
  <c r="BQ212" i="1" s="1"/>
  <c r="DI150" i="1"/>
  <c r="EK150" i="1" s="1"/>
  <c r="Z5" i="2"/>
  <c r="V5" i="2"/>
  <c r="BD46" i="8"/>
  <c r="BR46" i="8" s="1"/>
  <c r="Z14" i="2"/>
  <c r="V14" i="2"/>
  <c r="DG92" i="1"/>
  <c r="EI92" i="1" s="1"/>
  <c r="BC92" i="1"/>
  <c r="BQ92" i="1" s="1"/>
  <c r="BJ109" i="1"/>
  <c r="BX109" i="1" s="1"/>
  <c r="AC84" i="2"/>
  <c r="AD84" i="2" s="1"/>
  <c r="DP62" i="8"/>
  <c r="DK27" i="8"/>
  <c r="EM27" i="8" s="1"/>
  <c r="Z96" i="2"/>
  <c r="V96" i="2"/>
  <c r="BC82" i="1"/>
  <c r="BQ82" i="1" s="1"/>
  <c r="DG82" i="1"/>
  <c r="EI82" i="1" s="1"/>
  <c r="V121" i="2"/>
  <c r="Z121" i="2"/>
  <c r="BF224" i="1"/>
  <c r="BT224" i="1" s="1"/>
  <c r="Z252" i="2"/>
  <c r="E37" i="20" s="1"/>
  <c r="V252" i="2"/>
  <c r="BJ141" i="1"/>
  <c r="BX141" i="1" s="1"/>
  <c r="DJ34" i="8"/>
  <c r="EL34" i="8" s="1"/>
  <c r="BF34" i="8"/>
  <c r="BT34" i="8" s="1"/>
  <c r="BD212" i="1"/>
  <c r="BR212" i="1" s="1"/>
  <c r="Z244" i="2"/>
  <c r="V244" i="2"/>
  <c r="DP167" i="1"/>
  <c r="ER167" i="1" s="1"/>
  <c r="BC36" i="8"/>
  <c r="BQ36" i="8" s="1"/>
  <c r="DG36" i="8"/>
  <c r="EI36" i="8" s="1"/>
  <c r="Z74" i="2"/>
  <c r="V74" i="2"/>
  <c r="V237" i="2"/>
  <c r="Z237" i="2"/>
  <c r="DN169" i="1"/>
  <c r="EP169" i="1" s="1"/>
  <c r="BJ169" i="1"/>
  <c r="BX169" i="1" s="1"/>
  <c r="BH56" i="8"/>
  <c r="BV56" i="8" s="1"/>
  <c r="DL56" i="8"/>
  <c r="EN56" i="8" s="1"/>
  <c r="M90" i="35"/>
  <c r="BD31" i="8"/>
  <c r="BR31" i="8" s="1"/>
  <c r="M9" i="35"/>
  <c r="M79" i="35"/>
  <c r="M88" i="35"/>
  <c r="BJ103" i="1"/>
  <c r="BX103" i="1" s="1"/>
  <c r="DH46" i="8"/>
  <c r="EJ46" i="8" s="1"/>
  <c r="BJ6" i="1"/>
  <c r="BX6" i="1" s="1"/>
  <c r="BD52" i="8"/>
  <c r="BR52" i="8" s="1"/>
  <c r="K97" i="35"/>
  <c r="M97" i="35" s="1"/>
  <c r="Z195" i="1"/>
  <c r="AX38" i="8"/>
  <c r="BL38" i="8" s="1"/>
  <c r="BN189" i="1"/>
  <c r="CB189" i="1" s="1"/>
  <c r="BJ170" i="1"/>
  <c r="BX170" i="1" s="1"/>
  <c r="AY47" i="8"/>
  <c r="BM47" i="8" s="1"/>
  <c r="EJ161" i="1"/>
  <c r="CD196" i="1"/>
  <c r="BC73" i="1"/>
  <c r="BQ73" i="1" s="1"/>
  <c r="BI93" i="1"/>
  <c r="BW93" i="1" s="1"/>
  <c r="BD78" i="1"/>
  <c r="BR78" i="1" s="1"/>
  <c r="DN100" i="1"/>
  <c r="EP100" i="1" s="1"/>
  <c r="BJ164" i="1"/>
  <c r="BX164" i="1" s="1"/>
  <c r="BJ206" i="1"/>
  <c r="BX206" i="1" s="1"/>
  <c r="BE107" i="1"/>
  <c r="BS107" i="1" s="1"/>
  <c r="BH195" i="1"/>
  <c r="BV195" i="1" s="1"/>
  <c r="DR140" i="1"/>
  <c r="ET140" i="1" s="1"/>
  <c r="BG169" i="1"/>
  <c r="BU169" i="1" s="1"/>
  <c r="F64" i="8"/>
  <c r="BI161" i="1"/>
  <c r="BW161" i="1" s="1"/>
  <c r="BC32" i="1"/>
  <c r="BQ32" i="1" s="1"/>
  <c r="BD11" i="8"/>
  <c r="BR11" i="8" s="1"/>
  <c r="BJ97" i="1"/>
  <c r="BX97" i="1" s="1"/>
  <c r="DL48" i="8"/>
  <c r="EN48" i="8" s="1"/>
  <c r="BF66" i="1"/>
  <c r="BT66" i="1" s="1"/>
  <c r="DR167" i="1"/>
  <c r="ET167" i="1" s="1"/>
  <c r="BG102" i="1"/>
  <c r="BU102" i="1" s="1"/>
  <c r="DL62" i="1"/>
  <c r="AK60" i="48" s="1"/>
  <c r="DQ140" i="1"/>
  <c r="ES140" i="1" s="1"/>
  <c r="BD107" i="1"/>
  <c r="BR107" i="1" s="1"/>
  <c r="DO141" i="1"/>
  <c r="Q56" i="36" s="1"/>
  <c r="Q104" i="36" s="1"/>
  <c r="BC56" i="1"/>
  <c r="BQ56" i="1" s="1"/>
  <c r="BF179" i="1"/>
  <c r="BT179" i="1" s="1"/>
  <c r="DP192" i="1"/>
  <c r="ER192" i="1" s="1"/>
  <c r="DK15" i="8"/>
  <c r="EM15" i="8" s="1"/>
  <c r="M14" i="44" s="1"/>
  <c r="BL201" i="1"/>
  <c r="BZ201" i="1" s="1"/>
  <c r="DJ80" i="1"/>
  <c r="EL80" i="1" s="1"/>
  <c r="DP187" i="1"/>
  <c r="ER187" i="1" s="1"/>
  <c r="BE142" i="1"/>
  <c r="BS142" i="1" s="1"/>
  <c r="DP100" i="1"/>
  <c r="ER100" i="1" s="1"/>
  <c r="BC6" i="1"/>
  <c r="BQ6" i="1" s="1"/>
  <c r="BC74" i="1"/>
  <c r="BQ74" i="1" s="1"/>
  <c r="BD114" i="1"/>
  <c r="BR114" i="1" s="1"/>
  <c r="EM141" i="1"/>
  <c r="BJ167" i="1"/>
  <c r="BX167" i="1" s="1"/>
  <c r="DJ82" i="1"/>
  <c r="EL82" i="1" s="1"/>
  <c r="BE92" i="1"/>
  <c r="BS92" i="1" s="1"/>
  <c r="K121" i="48"/>
  <c r="BB55" i="8"/>
  <c r="BP55" i="8" s="1"/>
  <c r="BG141" i="1"/>
  <c r="BU141" i="1" s="1"/>
  <c r="BG200" i="1"/>
  <c r="BU200" i="1" s="1"/>
  <c r="BJ221" i="1"/>
  <c r="BX221" i="1" s="1"/>
  <c r="AZ36" i="8"/>
  <c r="BN36" i="8" s="1"/>
  <c r="EK92" i="1"/>
  <c r="DI204" i="1"/>
  <c r="EK204" i="1" s="1"/>
  <c r="DR102" i="1"/>
  <c r="ET102" i="1" s="1"/>
  <c r="L169" i="1"/>
  <c r="BD136" i="1"/>
  <c r="BR136" i="1" s="1"/>
  <c r="CC22" i="8"/>
  <c r="V442" i="2"/>
  <c r="DK32" i="8"/>
  <c r="EM32" i="8" s="1"/>
  <c r="EL206" i="1"/>
  <c r="BN190" i="1"/>
  <c r="CB190" i="1" s="1"/>
  <c r="AB115" i="1"/>
  <c r="CL5" i="8"/>
  <c r="E50" i="22"/>
  <c r="K154" i="35"/>
  <c r="O163" i="35"/>
  <c r="K163" i="35"/>
  <c r="L163" i="35"/>
  <c r="K159" i="35"/>
  <c r="K160" i="35"/>
  <c r="K157" i="35"/>
  <c r="K153" i="35"/>
  <c r="K165" i="35"/>
  <c r="K156" i="35"/>
  <c r="K155" i="35"/>
  <c r="K152" i="35"/>
  <c r="M129" i="35"/>
  <c r="G16" i="51"/>
  <c r="DK117" i="1"/>
  <c r="EM117" i="1" s="1"/>
  <c r="DN42" i="8"/>
  <c r="CD152" i="1"/>
  <c r="BG164" i="1"/>
  <c r="BU164" i="1" s="1"/>
  <c r="BM191" i="1"/>
  <c r="CA191" i="1" s="1"/>
  <c r="BI200" i="1"/>
  <c r="BW200" i="1" s="1"/>
  <c r="AI10" i="44"/>
  <c r="AK10" i="44"/>
  <c r="AJ10" i="44"/>
  <c r="Z410" i="2"/>
  <c r="BG35" i="8"/>
  <c r="BU35" i="8" s="1"/>
  <c r="AI165" i="48"/>
  <c r="Z219" i="2"/>
  <c r="DJ55" i="1"/>
  <c r="EL55" i="1" s="1"/>
  <c r="CJ41" i="8"/>
  <c r="BB26" i="8"/>
  <c r="BP26" i="8" s="1"/>
  <c r="Z441" i="2"/>
  <c r="Z72" i="1"/>
  <c r="BB72" i="1" s="1"/>
  <c r="BP72" i="1" s="1"/>
  <c r="EA215" i="1"/>
  <c r="EO215" i="1" s="1"/>
  <c r="DU65" i="8"/>
  <c r="EI65" i="8" s="1"/>
  <c r="BC11" i="8"/>
  <c r="BQ11" i="8" s="1"/>
  <c r="Z428" i="2"/>
  <c r="EL226" i="1"/>
  <c r="G22" i="8"/>
  <c r="AY26" i="8"/>
  <c r="BM26" i="8" s="1"/>
  <c r="DM107" i="1"/>
  <c r="EO107" i="1" s="1"/>
  <c r="EO86" i="1"/>
  <c r="Z389" i="2"/>
  <c r="Z437" i="2"/>
  <c r="Z438" i="2"/>
  <c r="EA117" i="1"/>
  <c r="DT117" i="1" s="1"/>
  <c r="CD59" i="8"/>
  <c r="M41" i="8"/>
  <c r="DU26" i="8"/>
  <c r="P5" i="44"/>
  <c r="BF95" i="1"/>
  <c r="BT95" i="1" s="1"/>
  <c r="H151" i="35"/>
  <c r="EA119" i="1"/>
  <c r="DT119" i="1" s="1"/>
  <c r="X68" i="8"/>
  <c r="DU11" i="8"/>
  <c r="EI11" i="8" s="1"/>
  <c r="I10" i="44" s="1"/>
  <c r="Z408" i="2"/>
  <c r="EA175" i="1"/>
  <c r="DT175" i="1" s="1"/>
  <c r="Z430" i="2"/>
  <c r="U13" i="28"/>
  <c r="AD29" i="8"/>
  <c r="DP23" i="1"/>
  <c r="ER23" i="1" s="1"/>
  <c r="EA162" i="1"/>
  <c r="DT162" i="1" s="1"/>
  <c r="DU39" i="8"/>
  <c r="AF29" i="8"/>
  <c r="Z388" i="2"/>
  <c r="EA141" i="1"/>
  <c r="O80" i="36" s="1"/>
  <c r="BZ3" i="8"/>
  <c r="DM15" i="1"/>
  <c r="EO15" i="1" s="1"/>
  <c r="DK162" i="1"/>
  <c r="EM162" i="1" s="1"/>
  <c r="Q15" i="62"/>
  <c r="DL86" i="1"/>
  <c r="EN86" i="1" s="1"/>
  <c r="EF64" i="8"/>
  <c r="EA126" i="1"/>
  <c r="DU27" i="8"/>
  <c r="EI27" i="8" s="1"/>
  <c r="J24" i="20"/>
  <c r="E10" i="52" s="1"/>
  <c r="B10" i="52" s="1"/>
  <c r="L99" i="6"/>
  <c r="L130" i="6" s="1"/>
  <c r="DU44" i="8"/>
  <c r="Z429" i="2"/>
  <c r="EA34" i="1"/>
  <c r="O70" i="36" s="1"/>
  <c r="CF59" i="8"/>
  <c r="EA111" i="1"/>
  <c r="AG76" i="58" s="1"/>
  <c r="V414" i="2"/>
  <c r="I153" i="6"/>
  <c r="I154" i="6"/>
  <c r="G204" i="6"/>
  <c r="G203" i="6"/>
  <c r="O204" i="6"/>
  <c r="O203" i="6"/>
  <c r="X38" i="6"/>
  <c r="X13" i="6"/>
  <c r="X35" i="6"/>
  <c r="X31" i="6"/>
  <c r="X19" i="6"/>
  <c r="X32" i="6"/>
  <c r="X33" i="6"/>
  <c r="X14" i="6"/>
  <c r="X16" i="6"/>
  <c r="X34" i="6"/>
  <c r="X36" i="6"/>
  <c r="AD105" i="6"/>
  <c r="AD92" i="6"/>
  <c r="AD90" i="6"/>
  <c r="AD110" i="6"/>
  <c r="AD112" i="6"/>
  <c r="AD111" i="6"/>
  <c r="AD108" i="6"/>
  <c r="AD107" i="6"/>
  <c r="AD95" i="6"/>
  <c r="AD109" i="6"/>
  <c r="AD106" i="6"/>
  <c r="AM52" i="20"/>
  <c r="AS52" i="20"/>
  <c r="Y52" i="6"/>
  <c r="W70" i="6"/>
  <c r="AK14" i="6"/>
  <c r="AP34" i="6"/>
  <c r="Q203" i="6"/>
  <c r="AK34" i="6"/>
  <c r="AV113" i="6"/>
  <c r="AV91" i="6" s="1"/>
  <c r="J202" i="6"/>
  <c r="J204" i="6" s="1"/>
  <c r="AK32" i="6"/>
  <c r="R151" i="6"/>
  <c r="R152" i="6" s="1"/>
  <c r="R154" i="6" s="1"/>
  <c r="AN109" i="6"/>
  <c r="AN106" i="6"/>
  <c r="AN107" i="6"/>
  <c r="AN108" i="6"/>
  <c r="AN89" i="6"/>
  <c r="AN90" i="6"/>
  <c r="AN112" i="6"/>
  <c r="U36" i="6"/>
  <c r="U35" i="6"/>
  <c r="U13" i="6"/>
  <c r="U14" i="6"/>
  <c r="U34" i="6"/>
  <c r="U32" i="6"/>
  <c r="U19" i="6"/>
  <c r="U33" i="6"/>
  <c r="U31" i="6"/>
  <c r="Y76" i="6"/>
  <c r="AK30" i="6"/>
  <c r="AD139" i="6"/>
  <c r="V31" i="6"/>
  <c r="V33" i="6"/>
  <c r="V14" i="6"/>
  <c r="V35" i="6"/>
  <c r="V34" i="6"/>
  <c r="V36" i="6"/>
  <c r="V19" i="6"/>
  <c r="V16" i="6"/>
  <c r="V13" i="6"/>
  <c r="AD126" i="6"/>
  <c r="AK38" i="6"/>
  <c r="AG77" i="6"/>
  <c r="AK33" i="6"/>
  <c r="AO107" i="6"/>
  <c r="AO109" i="6"/>
  <c r="AO105" i="6"/>
  <c r="AO112" i="6"/>
  <c r="AO106" i="6"/>
  <c r="AO89" i="6"/>
  <c r="AO108" i="6"/>
  <c r="AO90" i="6"/>
  <c r="X126" i="6"/>
  <c r="X139" i="6"/>
  <c r="Q153" i="6"/>
  <c r="H203" i="6"/>
  <c r="Y139" i="6"/>
  <c r="AK31" i="6"/>
  <c r="AW68" i="6"/>
  <c r="AN105" i="6"/>
  <c r="P153" i="6"/>
  <c r="AK35" i="6"/>
  <c r="Y35" i="6"/>
  <c r="Y36" i="6"/>
  <c r="Y34" i="6"/>
  <c r="Y19" i="6"/>
  <c r="Y15" i="6"/>
  <c r="Y14" i="6"/>
  <c r="Y32" i="6"/>
  <c r="Y31" i="6"/>
  <c r="Y16" i="6"/>
  <c r="Y38" i="6"/>
  <c r="Y33" i="6"/>
  <c r="Y30" i="6"/>
  <c r="X30" i="6"/>
  <c r="C9" i="24"/>
  <c r="C10" i="24" s="1"/>
  <c r="Y70" i="6"/>
  <c r="K152" i="6"/>
  <c r="E11" i="24"/>
  <c r="Y72" i="6"/>
  <c r="Y13" i="6"/>
  <c r="W36" i="6"/>
  <c r="W33" i="6"/>
  <c r="W14" i="6"/>
  <c r="W35" i="6"/>
  <c r="W31" i="6"/>
  <c r="W32" i="6"/>
  <c r="W34" i="6"/>
  <c r="W19" i="6"/>
  <c r="W30" i="6"/>
  <c r="W38" i="6"/>
  <c r="AV138" i="6"/>
  <c r="AV136" i="6" s="1"/>
  <c r="N202" i="6"/>
  <c r="N204" i="6" s="1"/>
  <c r="AN70" i="6"/>
  <c r="AN76" i="6"/>
  <c r="AN69" i="6"/>
  <c r="AN52" i="6"/>
  <c r="AN68" i="6"/>
  <c r="AN72" i="6"/>
  <c r="AN71" i="6"/>
  <c r="AF110" i="6"/>
  <c r="AF105" i="6"/>
  <c r="AF107" i="6"/>
  <c r="AF109" i="6"/>
  <c r="AF112" i="6"/>
  <c r="AF90" i="6"/>
  <c r="AF95" i="6"/>
  <c r="AF111" i="6"/>
  <c r="AF108" i="6"/>
  <c r="AF106" i="6"/>
  <c r="Y53" i="6"/>
  <c r="AL16" i="6"/>
  <c r="AL35" i="6"/>
  <c r="AL13" i="6"/>
  <c r="AL38" i="6"/>
  <c r="AL36" i="6"/>
  <c r="AL15" i="6"/>
  <c r="AL33" i="6"/>
  <c r="AL14" i="6"/>
  <c r="AL31" i="6"/>
  <c r="Y68" i="6"/>
  <c r="AN51" i="6"/>
  <c r="M204" i="6"/>
  <c r="V30" i="6"/>
  <c r="AE139" i="6"/>
  <c r="AE136" i="6"/>
  <c r="AU15" i="6"/>
  <c r="AU35" i="6"/>
  <c r="AU31" i="6"/>
  <c r="AU13" i="6"/>
  <c r="AU19" i="6"/>
  <c r="AU33" i="6"/>
  <c r="AU14" i="6"/>
  <c r="AU36" i="6"/>
  <c r="AU32" i="6"/>
  <c r="AU34" i="6"/>
  <c r="W13" i="6"/>
  <c r="AG48" i="20"/>
  <c r="AD89" i="6"/>
  <c r="U30" i="6"/>
  <c r="BK187" i="1"/>
  <c r="BY187" i="1" s="1"/>
  <c r="BD192" i="1"/>
  <c r="BR192" i="1" s="1"/>
  <c r="BG100" i="1"/>
  <c r="BU100" i="1" s="1"/>
  <c r="BX13" i="8"/>
  <c r="AW45" i="8"/>
  <c r="BK45" i="8" s="1"/>
  <c r="DK186" i="1"/>
  <c r="EM186" i="1" s="1"/>
  <c r="BI49" i="1"/>
  <c r="BW49" i="1" s="1"/>
  <c r="Z41" i="8"/>
  <c r="BX50" i="8"/>
  <c r="BL218" i="1"/>
  <c r="BZ218" i="1" s="1"/>
  <c r="E116" i="22"/>
  <c r="AF41" i="8"/>
  <c r="CE22" i="8"/>
  <c r="D25" i="51"/>
  <c r="O112" i="22"/>
  <c r="G112" i="22" s="1"/>
  <c r="CF22" i="8"/>
  <c r="BX33" i="8"/>
  <c r="Z1" i="8"/>
  <c r="G26" i="51"/>
  <c r="AA3" i="8"/>
  <c r="BI158" i="48"/>
  <c r="D26" i="51"/>
  <c r="G25" i="51"/>
  <c r="AR26" i="48"/>
  <c r="AS26" i="48"/>
  <c r="AR27" i="48"/>
  <c r="AS27" i="48"/>
  <c r="BI162" i="48"/>
  <c r="BI156" i="48"/>
  <c r="BI160" i="48"/>
  <c r="H25" i="51"/>
  <c r="B25" i="51"/>
  <c r="H26" i="51"/>
  <c r="B26" i="51"/>
  <c r="AS24" i="48"/>
  <c r="Y24" i="48" s="1"/>
  <c r="K110" i="48"/>
  <c r="F12" i="51"/>
  <c r="BE88" i="1"/>
  <c r="BS88" i="1" s="1"/>
  <c r="BD23" i="1"/>
  <c r="BR23" i="1" s="1"/>
  <c r="BI163" i="48"/>
  <c r="AG222" i="1"/>
  <c r="B16" i="51"/>
  <c r="H16" i="51"/>
  <c r="G63" i="44"/>
  <c r="F63" i="44"/>
  <c r="C63" i="44" s="1"/>
  <c r="E63" i="44"/>
  <c r="I63" i="44" s="1"/>
  <c r="AI12" i="44"/>
  <c r="F62" i="44"/>
  <c r="C62" i="44" s="1"/>
  <c r="G62" i="44"/>
  <c r="E62" i="44"/>
  <c r="I62" i="44" s="1"/>
  <c r="AO10" i="44"/>
  <c r="AM12" i="44"/>
  <c r="AC59" i="8"/>
  <c r="Q19" i="62"/>
  <c r="R41" i="8"/>
  <c r="BH41" i="8" s="1"/>
  <c r="BV41" i="8" s="1"/>
  <c r="AQ10" i="44"/>
  <c r="BX26" i="8"/>
  <c r="AN10" i="44"/>
  <c r="Q18" i="62"/>
  <c r="BZ22" i="8"/>
  <c r="CG22" i="8"/>
  <c r="Q16" i="62"/>
  <c r="AP10" i="44"/>
  <c r="Q13" i="62"/>
  <c r="E34" i="22"/>
  <c r="AY43" i="8"/>
  <c r="BM43" i="8" s="1"/>
  <c r="AZ69" i="8"/>
  <c r="BN69" i="8" s="1"/>
  <c r="DB30" i="8"/>
  <c r="O31" i="22" s="1"/>
  <c r="G31" i="22" s="1"/>
  <c r="AJ12" i="44"/>
  <c r="Q20" i="62"/>
  <c r="DB8" i="8"/>
  <c r="ED8" i="8" s="1"/>
  <c r="D7" i="44" s="1"/>
  <c r="Q17" i="62"/>
  <c r="J29" i="8"/>
  <c r="BX32" i="8"/>
  <c r="AO12" i="44"/>
  <c r="X41" i="8"/>
  <c r="CH22" i="8"/>
  <c r="DA38" i="8"/>
  <c r="EC38" i="8" s="1"/>
  <c r="BY22" i="8"/>
  <c r="AN12" i="44"/>
  <c r="DG49" i="8"/>
  <c r="EI49" i="8" s="1"/>
  <c r="J68" i="8"/>
  <c r="BC49" i="8"/>
  <c r="BQ49" i="8" s="1"/>
  <c r="AW47" i="8"/>
  <c r="BK47" i="8" s="1"/>
  <c r="DK18" i="8"/>
  <c r="EM18" i="8" s="1"/>
  <c r="DH23" i="8"/>
  <c r="EJ23" i="8" s="1"/>
  <c r="J96" i="22"/>
  <c r="Q14" i="62"/>
  <c r="Y22" i="8"/>
  <c r="BE53" i="8"/>
  <c r="BS53" i="8" s="1"/>
  <c r="DN56" i="1"/>
  <c r="EP56" i="1" s="1"/>
  <c r="CB29" i="8"/>
  <c r="BD91" i="1"/>
  <c r="BR91" i="1" s="1"/>
  <c r="DM169" i="1"/>
  <c r="EO169" i="1" s="1"/>
  <c r="BK39" i="1"/>
  <c r="BY39" i="1" s="1"/>
  <c r="Z99" i="1"/>
  <c r="AC230" i="2"/>
  <c r="AD230" i="2" s="1"/>
  <c r="DX210" i="1"/>
  <c r="DT210" i="1" s="1"/>
  <c r="BK189" i="1"/>
  <c r="BY189" i="1" s="1"/>
  <c r="BF15" i="1"/>
  <c r="BT15" i="1" s="1"/>
  <c r="BE211" i="1"/>
  <c r="BS211" i="1" s="1"/>
  <c r="DR141" i="1"/>
  <c r="ET141" i="1" s="1"/>
  <c r="AW54" i="6"/>
  <c r="H153" i="6"/>
  <c r="AH137" i="6"/>
  <c r="AH113" i="6"/>
  <c r="AH105" i="6" s="1"/>
  <c r="AW72" i="6"/>
  <c r="AW71" i="6"/>
  <c r="AW69" i="6"/>
  <c r="AW70" i="6"/>
  <c r="AW73" i="6"/>
  <c r="AW53" i="6"/>
  <c r="AW52" i="6"/>
  <c r="AW57" i="6"/>
  <c r="S195" i="6" s="1"/>
  <c r="AW74" i="6"/>
  <c r="S196" i="6" s="1"/>
  <c r="AW76" i="6"/>
  <c r="AM32" i="6"/>
  <c r="AM31" i="6"/>
  <c r="AM14" i="6"/>
  <c r="AM33" i="6"/>
  <c r="AM35" i="6"/>
  <c r="AM13" i="6"/>
  <c r="AM34" i="6"/>
  <c r="AM38" i="6"/>
  <c r="AM15" i="6"/>
  <c r="G153" i="6"/>
  <c r="AK105" i="6"/>
  <c r="AK106" i="6"/>
  <c r="AK110" i="6"/>
  <c r="AK90" i="6"/>
  <c r="AK107" i="6"/>
  <c r="AK112" i="6"/>
  <c r="AK109" i="6"/>
  <c r="AK108" i="6"/>
  <c r="O154" i="6"/>
  <c r="U110" i="6"/>
  <c r="U111" i="6"/>
  <c r="U95" i="6"/>
  <c r="U109" i="6"/>
  <c r="U108" i="6"/>
  <c r="U105" i="6"/>
  <c r="U107" i="6"/>
  <c r="U106" i="6"/>
  <c r="U90" i="6"/>
  <c r="AU74" i="6"/>
  <c r="AU53" i="6"/>
  <c r="AU69" i="6"/>
  <c r="AU72" i="6"/>
  <c r="AU57" i="6"/>
  <c r="AU68" i="6"/>
  <c r="AU52" i="6"/>
  <c r="AU70" i="6"/>
  <c r="AU139" i="6"/>
  <c r="AU73" i="6"/>
  <c r="AU71" i="6"/>
  <c r="AV28" i="20"/>
  <c r="AW28" i="20" s="1"/>
  <c r="AK89" i="6"/>
  <c r="AV47" i="20"/>
  <c r="R8" i="20"/>
  <c r="R16" i="20" s="1"/>
  <c r="AH16" i="20"/>
  <c r="AG28" i="20"/>
  <c r="AH28" i="20" s="1"/>
  <c r="AH77" i="6"/>
  <c r="AH68" i="6" s="1"/>
  <c r="AV39" i="6"/>
  <c r="AA8" i="24"/>
  <c r="AO76" i="6"/>
  <c r="AO69" i="6"/>
  <c r="AO139" i="6"/>
  <c r="AO70" i="6"/>
  <c r="AO52" i="6"/>
  <c r="AO68" i="6"/>
  <c r="AO72" i="6"/>
  <c r="AO71" i="6"/>
  <c r="AW113" i="6"/>
  <c r="AW89" i="6" s="1"/>
  <c r="AW127" i="6"/>
  <c r="AA60" i="24" s="1"/>
  <c r="AJ136" i="6"/>
  <c r="AJ139" i="6"/>
  <c r="AJ126" i="6"/>
  <c r="AG39" i="6"/>
  <c r="AG13" i="6" s="1"/>
  <c r="AW32" i="6"/>
  <c r="AW20" i="6"/>
  <c r="AW35" i="6"/>
  <c r="AW38" i="6"/>
  <c r="AW16" i="6"/>
  <c r="AW19" i="6"/>
  <c r="AW14" i="6"/>
  <c r="AW15" i="6"/>
  <c r="AW17" i="6"/>
  <c r="AW36" i="6"/>
  <c r="AW33" i="6"/>
  <c r="AW34" i="6"/>
  <c r="AW18" i="6"/>
  <c r="AK52" i="20"/>
  <c r="Q9" i="24"/>
  <c r="Q10" i="24" s="1"/>
  <c r="AD9" i="24"/>
  <c r="AD10" i="24" s="1"/>
  <c r="AH136" i="6"/>
  <c r="AC72" i="6"/>
  <c r="AC53" i="6"/>
  <c r="AC139" i="6"/>
  <c r="AC69" i="6"/>
  <c r="AC71" i="6"/>
  <c r="AC57" i="6"/>
  <c r="AC73" i="6"/>
  <c r="AC76" i="6"/>
  <c r="AC74" i="6"/>
  <c r="AC52" i="6"/>
  <c r="AC70" i="6"/>
  <c r="AC51" i="6"/>
  <c r="S147" i="6"/>
  <c r="S149" i="6" s="1"/>
  <c r="K10" i="24"/>
  <c r="I203" i="6"/>
  <c r="AA7" i="24"/>
  <c r="AH39" i="6"/>
  <c r="AG107" i="6"/>
  <c r="AG110" i="6"/>
  <c r="AG90" i="6"/>
  <c r="AG92" i="6"/>
  <c r="AG111" i="6"/>
  <c r="AG112" i="6"/>
  <c r="AG105" i="6"/>
  <c r="AG95" i="6"/>
  <c r="AG108" i="6"/>
  <c r="AG109" i="6"/>
  <c r="AG91" i="6"/>
  <c r="AG106" i="6"/>
  <c r="AW31" i="6"/>
  <c r="AW13" i="6"/>
  <c r="AM30" i="6"/>
  <c r="S10" i="24"/>
  <c r="AH126" i="6"/>
  <c r="Y9" i="24"/>
  <c r="Y11" i="24" s="1"/>
  <c r="R202" i="6"/>
  <c r="R204" i="6" s="1"/>
  <c r="AV40" i="20"/>
  <c r="P9" i="41"/>
  <c r="BX18" i="8"/>
  <c r="DK81" i="1"/>
  <c r="EM81" i="1" s="1"/>
  <c r="F61" i="8"/>
  <c r="DM68" i="1"/>
  <c r="EO68" i="1" s="1"/>
  <c r="DM148" i="1"/>
  <c r="EO148" i="1" s="1"/>
  <c r="AD5" i="8"/>
  <c r="BE61" i="1"/>
  <c r="BS61" i="1" s="1"/>
  <c r="DH52" i="8"/>
  <c r="EJ52" i="8" s="1"/>
  <c r="DA52" i="8"/>
  <c r="EC52" i="8" s="1"/>
  <c r="Y1" i="8"/>
  <c r="BH24" i="8"/>
  <c r="BV24" i="8" s="1"/>
  <c r="BK44" i="1"/>
  <c r="BY44" i="1" s="1"/>
  <c r="BM147" i="1"/>
  <c r="CA147" i="1" s="1"/>
  <c r="F67" i="8"/>
  <c r="BE42" i="1"/>
  <c r="BS42" i="1" s="1"/>
  <c r="DP152" i="1"/>
  <c r="ER152" i="1" s="1"/>
  <c r="DN111" i="1"/>
  <c r="AM74" i="48" s="1"/>
  <c r="AM169" i="48" s="1"/>
  <c r="EH35" i="8"/>
  <c r="J9" i="58"/>
  <c r="DU62" i="8"/>
  <c r="EI62" i="8" s="1"/>
  <c r="L107" i="60"/>
  <c r="I107" i="60" s="1"/>
  <c r="I109" i="60"/>
  <c r="N109" i="60"/>
  <c r="D22" i="51"/>
  <c r="I110" i="60"/>
  <c r="I108" i="60"/>
  <c r="AZ9" i="8"/>
  <c r="BN9" i="8" s="1"/>
  <c r="AC115" i="1"/>
  <c r="BC174" i="1"/>
  <c r="BQ174" i="1" s="1"/>
  <c r="EI174" i="1"/>
  <c r="M81" i="35"/>
  <c r="M35" i="35"/>
  <c r="M21" i="35"/>
  <c r="CD99" i="1"/>
  <c r="CA41" i="8"/>
  <c r="L87" i="6"/>
  <c r="L124" i="6" s="1"/>
  <c r="K21" i="48"/>
  <c r="L21" i="48" s="1"/>
  <c r="DG108" i="1"/>
  <c r="EI108" i="1" s="1"/>
  <c r="BF7" i="8"/>
  <c r="BT7" i="8" s="1"/>
  <c r="D14" i="51"/>
  <c r="CT3" i="1"/>
  <c r="BX25" i="8"/>
  <c r="Z170" i="1"/>
  <c r="D12" i="52"/>
  <c r="H23" i="36"/>
  <c r="E54" i="53" s="1"/>
  <c r="D21" i="51"/>
  <c r="EA225" i="1"/>
  <c r="DT225" i="1" s="1"/>
  <c r="EH225" i="1" s="1"/>
  <c r="H161" i="35"/>
  <c r="EA187" i="1"/>
  <c r="H164" i="35"/>
  <c r="O164" i="35" s="1"/>
  <c r="DU16" i="8"/>
  <c r="EA104" i="1"/>
  <c r="EA154" i="1"/>
  <c r="DT154" i="1" s="1"/>
  <c r="EH154" i="1" s="1"/>
  <c r="H168" i="35"/>
  <c r="EA168" i="1"/>
  <c r="DT168" i="1" s="1"/>
  <c r="EH168" i="1" s="1"/>
  <c r="H171" i="35"/>
  <c r="L171" i="35" s="1"/>
  <c r="EA224" i="1"/>
  <c r="H162" i="35"/>
  <c r="O162" i="35" s="1"/>
  <c r="EA219" i="1"/>
  <c r="DT219" i="1" s="1"/>
  <c r="EH219" i="1" s="1"/>
  <c r="H170" i="35"/>
  <c r="Z104" i="1"/>
  <c r="BB104" i="1" s="1"/>
  <c r="BP104" i="1" s="1"/>
  <c r="BI104" i="1"/>
  <c r="BW104" i="1" s="1"/>
  <c r="L14" i="35"/>
  <c r="M36" i="35"/>
  <c r="M7" i="35"/>
  <c r="K14" i="35"/>
  <c r="M25" i="35"/>
  <c r="M29" i="35"/>
  <c r="M28" i="35"/>
  <c r="M32" i="35"/>
  <c r="K38" i="35"/>
  <c r="M26" i="35"/>
  <c r="L38" i="35"/>
  <c r="K69" i="35"/>
  <c r="M69" i="35" s="1"/>
  <c r="M33" i="35"/>
  <c r="M23" i="35"/>
  <c r="M47" i="35"/>
  <c r="L100" i="1"/>
  <c r="DO100" i="1"/>
  <c r="EQ100" i="1" s="1"/>
  <c r="DL203" i="1"/>
  <c r="EN203" i="1" s="1"/>
  <c r="EQ71" i="1"/>
  <c r="BK71" i="1"/>
  <c r="BY71" i="1" s="1"/>
  <c r="BD152" i="1"/>
  <c r="BR152" i="1" s="1"/>
  <c r="BL195" i="1"/>
  <c r="BZ195" i="1" s="1"/>
  <c r="L54" i="1"/>
  <c r="DP140" i="1"/>
  <c r="ER140" i="1" s="1"/>
  <c r="CD54" i="1"/>
  <c r="K119" i="48"/>
  <c r="EJ51" i="1"/>
  <c r="AD222" i="1"/>
  <c r="L202" i="1"/>
  <c r="BI163" i="1"/>
  <c r="BW163" i="1" s="1"/>
  <c r="ER71" i="1"/>
  <c r="DK82" i="1"/>
  <c r="EM82" i="1" s="1"/>
  <c r="BJ209" i="1"/>
  <c r="BX209" i="1" s="1"/>
  <c r="N47" i="36"/>
  <c r="L97" i="1"/>
  <c r="DR160" i="1"/>
  <c r="T48" i="36" s="1"/>
  <c r="T96" i="36" s="1"/>
  <c r="O157" i="1"/>
  <c r="CS228" i="1"/>
  <c r="D9" i="51"/>
  <c r="CD169" i="1"/>
  <c r="K108" i="48"/>
  <c r="K113" i="48"/>
  <c r="L113" i="48" s="1"/>
  <c r="BD181" i="1"/>
  <c r="BR181" i="1" s="1"/>
  <c r="A172" i="1"/>
  <c r="A167" i="1"/>
  <c r="A169" i="1" s="1"/>
  <c r="A170" i="1" s="1"/>
  <c r="A171" i="1" s="1"/>
  <c r="K118" i="48"/>
  <c r="L118" i="48" s="1"/>
  <c r="CK222" i="1"/>
  <c r="J162" i="35"/>
  <c r="D17" i="51"/>
  <c r="J10" i="58"/>
  <c r="CU3" i="1"/>
  <c r="AS13" i="48"/>
  <c r="Y13" i="48" s="1"/>
  <c r="BI215" i="1"/>
  <c r="BW215" i="1" s="1"/>
  <c r="G172" i="35"/>
  <c r="M22" i="35"/>
  <c r="M31" i="35"/>
  <c r="D15" i="51"/>
  <c r="K11" i="48"/>
  <c r="K19" i="48"/>
  <c r="L19" i="48" s="1"/>
  <c r="K164" i="48"/>
  <c r="L164" i="48" s="1"/>
  <c r="D13" i="51"/>
  <c r="K161" i="48"/>
  <c r="L161" i="48" s="1"/>
  <c r="Y114" i="48"/>
  <c r="Z114" i="48" s="1"/>
  <c r="N16" i="51"/>
  <c r="M119" i="35"/>
  <c r="DG132" i="1"/>
  <c r="EI132" i="1" s="1"/>
  <c r="DL52" i="8"/>
  <c r="EN52" i="8" s="1"/>
  <c r="AI58" i="48"/>
  <c r="AI153" i="48" s="1"/>
  <c r="AM5" i="44"/>
  <c r="Z217" i="1"/>
  <c r="Z390" i="2"/>
  <c r="BI225" i="1"/>
  <c r="BW225" i="1" s="1"/>
  <c r="Z225" i="1"/>
  <c r="BB225" i="1" s="1"/>
  <c r="BP225" i="1" s="1"/>
  <c r="BI219" i="1"/>
  <c r="BW219" i="1" s="1"/>
  <c r="Z219" i="1"/>
  <c r="BB219" i="1" s="1"/>
  <c r="BP219" i="1" s="1"/>
  <c r="DU43" i="8"/>
  <c r="EA165" i="1"/>
  <c r="Z165" i="1"/>
  <c r="BB165" i="1" s="1"/>
  <c r="BP165" i="1" s="1"/>
  <c r="BI165" i="1"/>
  <c r="BW165" i="1" s="1"/>
  <c r="Z168" i="1"/>
  <c r="BB168" i="1" s="1"/>
  <c r="BP168" i="1" s="1"/>
  <c r="BI168" i="1"/>
  <c r="BW168" i="1" s="1"/>
  <c r="AL160" i="48"/>
  <c r="AL159" i="48"/>
  <c r="AG165" i="48"/>
  <c r="BI154" i="1"/>
  <c r="BW154" i="1" s="1"/>
  <c r="Z154" i="1"/>
  <c r="BB154" i="1" s="1"/>
  <c r="BP154" i="1" s="1"/>
  <c r="AF155" i="48"/>
  <c r="E11" i="52"/>
  <c r="B11" i="52" s="1"/>
  <c r="AF22" i="8"/>
  <c r="P371" i="2"/>
  <c r="Q371" i="2" s="1"/>
  <c r="X371" i="2"/>
  <c r="X3" i="2" s="1"/>
  <c r="X2" i="2" s="1"/>
  <c r="U371" i="2"/>
  <c r="Z371" i="2" s="1"/>
  <c r="M96" i="60" s="1"/>
  <c r="BI119" i="1"/>
  <c r="BW119" i="1" s="1"/>
  <c r="AL155" i="48"/>
  <c r="J53" i="36"/>
  <c r="L103" i="6"/>
  <c r="D10" i="52"/>
  <c r="J45" i="22"/>
  <c r="J110" i="22"/>
  <c r="J97" i="22"/>
  <c r="J112" i="22"/>
  <c r="J95" i="22"/>
  <c r="J114" i="22"/>
  <c r="DU21" i="8"/>
  <c r="DN21" i="8" s="1"/>
  <c r="EB21" i="8" s="1"/>
  <c r="EA72" i="1"/>
  <c r="J81" i="22"/>
  <c r="J111" i="22"/>
  <c r="BG116" i="1"/>
  <c r="BU116" i="1" s="1"/>
  <c r="CN222" i="1"/>
  <c r="AF222" i="1"/>
  <c r="Z227" i="1"/>
  <c r="AD207" i="1"/>
  <c r="AN5" i="1"/>
  <c r="AN155" i="48"/>
  <c r="A150" i="1"/>
  <c r="A152" i="1" s="1"/>
  <c r="A151" i="1"/>
  <c r="CA5" i="8"/>
  <c r="CE5" i="8"/>
  <c r="CD5" i="8"/>
  <c r="CC5" i="8"/>
  <c r="CH5" i="8"/>
  <c r="H5" i="8"/>
  <c r="O8" i="22"/>
  <c r="G8" i="22" s="1"/>
  <c r="P5" i="8"/>
  <c r="BF5" i="8" s="1"/>
  <c r="BT5" i="8" s="1"/>
  <c r="BH6" i="8"/>
  <c r="BV6" i="8" s="1"/>
  <c r="R5" i="8"/>
  <c r="BH5" i="8" s="1"/>
  <c r="BV5" i="8" s="1"/>
  <c r="O5" i="8"/>
  <c r="BC21" i="8"/>
  <c r="BQ21" i="8" s="1"/>
  <c r="AV21" i="8"/>
  <c r="BJ21" i="8" s="1"/>
  <c r="BY5" i="8"/>
  <c r="I5" i="8"/>
  <c r="O44" i="22"/>
  <c r="G44" i="22" s="1"/>
  <c r="CG3" i="8"/>
  <c r="CG5" i="8"/>
  <c r="DK6" i="8"/>
  <c r="Q5" i="8"/>
  <c r="BG5" i="8" s="1"/>
  <c r="BU5" i="8" s="1"/>
  <c r="DF6" i="8"/>
  <c r="L5" i="8"/>
  <c r="CF5" i="8"/>
  <c r="CJ3" i="8"/>
  <c r="CJ5" i="8"/>
  <c r="DH6" i="8"/>
  <c r="N5" i="8"/>
  <c r="BD6" i="8"/>
  <c r="BR6" i="8" s="1"/>
  <c r="K5" i="8"/>
  <c r="O77" i="22"/>
  <c r="G77" i="22" s="1"/>
  <c r="CB3" i="8"/>
  <c r="CB5" i="8"/>
  <c r="DD6" i="8"/>
  <c r="J5" i="8"/>
  <c r="BZ5" i="8"/>
  <c r="DG6" i="8"/>
  <c r="O109" i="22" s="1"/>
  <c r="G109" i="22" s="1"/>
  <c r="M5" i="8"/>
  <c r="G5" i="8"/>
  <c r="BY3" i="8"/>
  <c r="AR10" i="44"/>
  <c r="AL10" i="44"/>
  <c r="E67" i="22"/>
  <c r="AQ14" i="44"/>
  <c r="C44" i="42"/>
  <c r="D6" i="52"/>
  <c r="C43" i="42"/>
  <c r="C39" i="42"/>
  <c r="C38" i="42"/>
  <c r="DC23" i="8"/>
  <c r="EE23" i="8" s="1"/>
  <c r="BM187" i="1"/>
  <c r="CA187" i="1" s="1"/>
  <c r="S89" i="36"/>
  <c r="AA5" i="8"/>
  <c r="AW53" i="8"/>
  <c r="BK53" i="8" s="1"/>
  <c r="AL105" i="48"/>
  <c r="F7" i="51" s="1"/>
  <c r="EO25" i="1"/>
  <c r="EO49" i="1"/>
  <c r="AI116" i="48"/>
  <c r="V5" i="8"/>
  <c r="O67" i="36"/>
  <c r="AE222" i="1"/>
  <c r="EO17" i="1"/>
  <c r="ED39" i="8"/>
  <c r="EO44" i="1"/>
  <c r="Z152" i="1"/>
  <c r="AI157" i="48"/>
  <c r="Z226" i="1"/>
  <c r="AZ57" i="8"/>
  <c r="BN57" i="8" s="1"/>
  <c r="AK222" i="1"/>
  <c r="BG135" i="1"/>
  <c r="BU135" i="1" s="1"/>
  <c r="L133" i="6"/>
  <c r="O124" i="6"/>
  <c r="EO13" i="1"/>
  <c r="O97" i="36"/>
  <c r="AL107" i="48"/>
  <c r="M123" i="6"/>
  <c r="M118" i="6" s="1"/>
  <c r="AC29" i="8"/>
  <c r="L98" i="6"/>
  <c r="L129" i="6" s="1"/>
  <c r="BI187" i="1"/>
  <c r="BW187" i="1" s="1"/>
  <c r="BJ64" i="1"/>
  <c r="BX64" i="1" s="1"/>
  <c r="DP46" i="8"/>
  <c r="BK215" i="1"/>
  <c r="BY215" i="1" s="1"/>
  <c r="AF59" i="8"/>
  <c r="CS3" i="8"/>
  <c r="DG227" i="1"/>
  <c r="EI227" i="1" s="1"/>
  <c r="J27" i="20"/>
  <c r="H133" i="6"/>
  <c r="N119" i="6"/>
  <c r="I124" i="6"/>
  <c r="O132" i="6"/>
  <c r="P94" i="6"/>
  <c r="J120" i="6"/>
  <c r="F94" i="6"/>
  <c r="L102" i="36"/>
  <c r="AZ43" i="8"/>
  <c r="BN43" i="8" s="1"/>
  <c r="AC246" i="2"/>
  <c r="AD246" i="2" s="1"/>
  <c r="J22" i="20"/>
  <c r="E8" i="52" s="1"/>
  <c r="B8" i="52" s="1"/>
  <c r="J25" i="20"/>
  <c r="L101" i="6"/>
  <c r="L132" i="6" s="1"/>
  <c r="BB48" i="8"/>
  <c r="BP48" i="8" s="1"/>
  <c r="AY61" i="8"/>
  <c r="BM61" i="8" s="1"/>
  <c r="AR25" i="48"/>
  <c r="D105" i="51" s="1"/>
  <c r="BK57" i="1"/>
  <c r="BY57" i="1" s="1"/>
  <c r="V435" i="2"/>
  <c r="Q121" i="6"/>
  <c r="I123" i="6"/>
  <c r="O123" i="6"/>
  <c r="BF63" i="1"/>
  <c r="BT63" i="1" s="1"/>
  <c r="K123" i="6"/>
  <c r="EO137" i="1"/>
  <c r="CA59" i="8"/>
  <c r="L100" i="6"/>
  <c r="L131" i="6" s="1"/>
  <c r="L82" i="6"/>
  <c r="L119" i="6" s="1"/>
  <c r="P107" i="6"/>
  <c r="F93" i="6"/>
  <c r="H94" i="6"/>
  <c r="J21" i="20"/>
  <c r="L94" i="6"/>
  <c r="Z424" i="2"/>
  <c r="DU69" i="8"/>
  <c r="DU68" i="8" s="1"/>
  <c r="M93" i="6"/>
  <c r="Q95" i="6"/>
  <c r="J92" i="6"/>
  <c r="M110" i="6"/>
  <c r="P92" i="6"/>
  <c r="Q109" i="6"/>
  <c r="Q106" i="6"/>
  <c r="F5" i="6"/>
  <c r="D7" i="24" s="1"/>
  <c r="Q90" i="6"/>
  <c r="F121" i="6"/>
  <c r="M95" i="6"/>
  <c r="J23" i="20"/>
  <c r="V405" i="2"/>
  <c r="V425" i="2"/>
  <c r="K112" i="6"/>
  <c r="L91" i="6"/>
  <c r="O110" i="6"/>
  <c r="I59" i="6"/>
  <c r="BC69" i="8"/>
  <c r="BQ69" i="8" s="1"/>
  <c r="DU30" i="8"/>
  <c r="P125" i="6"/>
  <c r="M81" i="6"/>
  <c r="M114" i="6" s="1"/>
  <c r="O125" i="6"/>
  <c r="R66" i="6"/>
  <c r="G112" i="6"/>
  <c r="F133" i="6"/>
  <c r="O106" i="6"/>
  <c r="N5" i="6"/>
  <c r="T7" i="24" s="1"/>
  <c r="M91" i="6"/>
  <c r="BI175" i="1"/>
  <c r="BW175" i="1" s="1"/>
  <c r="J20" i="20"/>
  <c r="E6" i="52" s="1"/>
  <c r="B6" i="52" s="1"/>
  <c r="Z434" i="2"/>
  <c r="M108" i="60" s="1"/>
  <c r="N108" i="60" s="1"/>
  <c r="Z444" i="2"/>
  <c r="V444" i="2"/>
  <c r="DU6" i="8"/>
  <c r="P109" i="22" s="1"/>
  <c r="H109" i="22" s="1"/>
  <c r="Z395" i="2"/>
  <c r="V395" i="2"/>
  <c r="V400" i="2"/>
  <c r="Z400" i="2"/>
  <c r="EA156" i="1"/>
  <c r="DU38" i="8"/>
  <c r="EI38" i="8" s="1"/>
  <c r="V394" i="2"/>
  <c r="Z394" i="2"/>
  <c r="AI8" i="44"/>
  <c r="V420" i="2"/>
  <c r="Z420" i="2"/>
  <c r="Z404" i="2"/>
  <c r="V404" i="2"/>
  <c r="Z445" i="2"/>
  <c r="V445" i="2"/>
  <c r="V397" i="2"/>
  <c r="Z397" i="2"/>
  <c r="DU53" i="8"/>
  <c r="V439" i="2"/>
  <c r="Z439" i="2"/>
  <c r="V392" i="2"/>
  <c r="Z392" i="2"/>
  <c r="V423" i="2"/>
  <c r="Z423" i="2"/>
  <c r="V417" i="2"/>
  <c r="Z417" i="2"/>
  <c r="Z419" i="2"/>
  <c r="V419" i="2"/>
  <c r="V402" i="2"/>
  <c r="Z402" i="2"/>
  <c r="V393" i="2"/>
  <c r="Z393" i="2"/>
  <c r="V427" i="2"/>
  <c r="Z427" i="2"/>
  <c r="Z412" i="2"/>
  <c r="V412" i="2"/>
  <c r="Z403" i="2"/>
  <c r="J38" i="20" s="1"/>
  <c r="J50" i="20" s="1"/>
  <c r="J12" i="42" s="1"/>
  <c r="V403" i="2"/>
  <c r="DU45" i="8"/>
  <c r="EA161" i="1"/>
  <c r="Z411" i="2"/>
  <c r="V411" i="2"/>
  <c r="V431" i="2"/>
  <c r="Z431" i="2"/>
  <c r="V422" i="2"/>
  <c r="Z422" i="2"/>
  <c r="V399" i="2"/>
  <c r="Z399" i="2"/>
  <c r="V440" i="2"/>
  <c r="Z440" i="2"/>
  <c r="V432" i="2"/>
  <c r="Z432" i="2"/>
  <c r="DU9" i="8"/>
  <c r="EA53" i="1"/>
  <c r="DT53" i="1" s="1"/>
  <c r="EA129" i="1"/>
  <c r="EO129" i="1" s="1"/>
  <c r="DU34" i="8"/>
  <c r="EI34" i="8" s="1"/>
  <c r="Z387" i="2"/>
  <c r="V387" i="2"/>
  <c r="DU46" i="8"/>
  <c r="EI46" i="8" s="1"/>
  <c r="EA163" i="1"/>
  <c r="Z413" i="2"/>
  <c r="V413" i="2"/>
  <c r="EA179" i="1"/>
  <c r="DU52" i="8"/>
  <c r="Z406" i="2"/>
  <c r="V406" i="2"/>
  <c r="DU48" i="8"/>
  <c r="EI48" i="8" s="1"/>
  <c r="EA164" i="1"/>
  <c r="Z433" i="2"/>
  <c r="M107" i="60" s="1"/>
  <c r="V433" i="2"/>
  <c r="EA216" i="1"/>
  <c r="DU66" i="8"/>
  <c r="V416" i="2"/>
  <c r="Z416" i="2"/>
  <c r="DU7" i="8"/>
  <c r="V407" i="2"/>
  <c r="Z407" i="2"/>
  <c r="Z443" i="2"/>
  <c r="V443" i="2"/>
  <c r="V386" i="2"/>
  <c r="Z386" i="2"/>
  <c r="V426" i="2"/>
  <c r="Z426" i="2"/>
  <c r="DU33" i="8"/>
  <c r="EA130" i="1"/>
  <c r="V391" i="2"/>
  <c r="Z391" i="2"/>
  <c r="DU60" i="8"/>
  <c r="EA211" i="1"/>
  <c r="DT211" i="1" s="1"/>
  <c r="Z396" i="2"/>
  <c r="V396" i="2"/>
  <c r="Z436" i="2"/>
  <c r="M110" i="60" s="1"/>
  <c r="N110" i="60" s="1"/>
  <c r="V436" i="2"/>
  <c r="V418" i="2"/>
  <c r="Z418" i="2"/>
  <c r="V421" i="2"/>
  <c r="Z421" i="2"/>
  <c r="V415" i="2"/>
  <c r="Z415" i="2"/>
  <c r="DU56" i="8"/>
  <c r="EI56" i="8" s="1"/>
  <c r="EA177" i="1"/>
  <c r="BC52" i="8"/>
  <c r="BQ52" i="8" s="1"/>
  <c r="BI34" i="1"/>
  <c r="BW34" i="1" s="1"/>
  <c r="H48" i="20"/>
  <c r="H10" i="42" s="1"/>
  <c r="Q112" i="6"/>
  <c r="P119" i="6"/>
  <c r="J112" i="6"/>
  <c r="I135" i="6"/>
  <c r="AI9" i="44"/>
  <c r="AH9" i="44"/>
  <c r="AC5" i="58"/>
  <c r="H5" i="6"/>
  <c r="H145" i="6" s="1"/>
  <c r="L125" i="6"/>
  <c r="Q94" i="6"/>
  <c r="Q43" i="6"/>
  <c r="N130" i="6"/>
  <c r="I133" i="6"/>
  <c r="I96" i="6"/>
  <c r="G125" i="6"/>
  <c r="N123" i="6"/>
  <c r="AR12" i="44"/>
  <c r="AK8" i="44"/>
  <c r="F91" i="6"/>
  <c r="AN8" i="44"/>
  <c r="O107" i="6"/>
  <c r="AR8" i="44"/>
  <c r="I93" i="6"/>
  <c r="AQ12" i="44"/>
  <c r="P106" i="6"/>
  <c r="I121" i="6"/>
  <c r="G94" i="6"/>
  <c r="BF227" i="1"/>
  <c r="BT227" i="1" s="1"/>
  <c r="BH208" i="1"/>
  <c r="BV208" i="1" s="1"/>
  <c r="O112" i="6"/>
  <c r="DJ172" i="1"/>
  <c r="EL172" i="1" s="1"/>
  <c r="DE10" i="8"/>
  <c r="EG10" i="8" s="1"/>
  <c r="G9" i="44" s="1"/>
  <c r="AW39" i="8"/>
  <c r="BK39" i="8" s="1"/>
  <c r="DD14" i="8"/>
  <c r="EF14" i="8" s="1"/>
  <c r="F13" i="44" s="1"/>
  <c r="K43" i="6"/>
  <c r="G120" i="6"/>
  <c r="DN94" i="1"/>
  <c r="EP94" i="1" s="1"/>
  <c r="DO185" i="1"/>
  <c r="EQ185" i="1" s="1"/>
  <c r="DN37" i="1"/>
  <c r="EP37" i="1" s="1"/>
  <c r="BG62" i="1"/>
  <c r="BU62" i="1" s="1"/>
  <c r="EL208" i="1"/>
  <c r="EL78" i="1"/>
  <c r="CD205" i="1"/>
  <c r="BK111" i="1"/>
  <c r="BY111" i="1" s="1"/>
  <c r="DE18" i="8"/>
  <c r="EG18" i="8" s="1"/>
  <c r="DR91" i="1"/>
  <c r="ET91" i="1" s="1"/>
  <c r="AG13" i="44"/>
  <c r="L190" i="1"/>
  <c r="E61" i="44"/>
  <c r="D74" i="44" s="1"/>
  <c r="N120" i="6"/>
  <c r="DP94" i="1"/>
  <c r="ER94" i="1" s="1"/>
  <c r="AD22" i="8"/>
  <c r="E99" i="22"/>
  <c r="Q134" i="6"/>
  <c r="O90" i="6"/>
  <c r="BJ193" i="1"/>
  <c r="BX193" i="1" s="1"/>
  <c r="J125" i="6"/>
  <c r="DA50" i="8"/>
  <c r="EC50" i="8" s="1"/>
  <c r="AP8" i="44"/>
  <c r="Z191" i="2"/>
  <c r="H120" i="6"/>
  <c r="F95" i="6"/>
  <c r="AY9" i="8"/>
  <c r="BM9" i="8" s="1"/>
  <c r="BL206" i="1"/>
  <c r="BZ206" i="1" s="1"/>
  <c r="BH194" i="1"/>
  <c r="BV194" i="1" s="1"/>
  <c r="J32" i="22"/>
  <c r="AX26" i="8"/>
  <c r="BL26" i="8" s="1"/>
  <c r="N59" i="8"/>
  <c r="BF39" i="8"/>
  <c r="BT39" i="8" s="1"/>
  <c r="DR136" i="1"/>
  <c r="ET136" i="1" s="1"/>
  <c r="G133" i="6"/>
  <c r="DH63" i="8"/>
  <c r="EJ63" i="8" s="1"/>
  <c r="DQ223" i="1"/>
  <c r="ES223" i="1" s="1"/>
  <c r="CH41" i="8"/>
  <c r="G101" i="6"/>
  <c r="G132" i="6" s="1"/>
  <c r="BX12" i="8"/>
  <c r="G43" i="6"/>
  <c r="J95" i="6"/>
  <c r="G124" i="6"/>
  <c r="D50" i="20"/>
  <c r="D12" i="42" s="1"/>
  <c r="DP96" i="1"/>
  <c r="ER96" i="1" s="1"/>
  <c r="BJ191" i="1"/>
  <c r="BX191" i="1" s="1"/>
  <c r="AX33" i="8"/>
  <c r="BL33" i="8" s="1"/>
  <c r="J133" i="6"/>
  <c r="DO6" i="8"/>
  <c r="DP49" i="1"/>
  <c r="ER49" i="1" s="1"/>
  <c r="H122" i="6"/>
  <c r="AD157" i="1"/>
  <c r="J30" i="22"/>
  <c r="F25" i="8"/>
  <c r="DI148" i="1"/>
  <c r="EK148" i="1" s="1"/>
  <c r="N157" i="1"/>
  <c r="D20" i="20"/>
  <c r="BG226" i="1"/>
  <c r="BU226" i="1" s="1"/>
  <c r="BH184" i="1"/>
  <c r="BV184" i="1" s="1"/>
  <c r="BB34" i="8"/>
  <c r="BP34" i="8" s="1"/>
  <c r="DU57" i="1"/>
  <c r="EI57" i="1" s="1"/>
  <c r="AY50" i="8"/>
  <c r="BM50" i="8" s="1"/>
  <c r="CG157" i="1"/>
  <c r="G121" i="6"/>
  <c r="AN11" i="58"/>
  <c r="BG119" i="1"/>
  <c r="BU119" i="1" s="1"/>
  <c r="AX25" i="8"/>
  <c r="BL25" i="8" s="1"/>
  <c r="BL98" i="1"/>
  <c r="BZ98" i="1" s="1"/>
  <c r="L153" i="1"/>
  <c r="L135" i="6"/>
  <c r="V18" i="2"/>
  <c r="BA53" i="8"/>
  <c r="BO53" i="8" s="1"/>
  <c r="DI153" i="1"/>
  <c r="EK153" i="1" s="1"/>
  <c r="F31" i="8"/>
  <c r="DK181" i="1"/>
  <c r="EM181" i="1" s="1"/>
  <c r="CG41" i="8"/>
  <c r="BE171" i="1"/>
  <c r="BS171" i="1" s="1"/>
  <c r="AH222" i="1"/>
  <c r="P14" i="20"/>
  <c r="N11" i="52" s="1"/>
  <c r="BH48" i="1"/>
  <c r="BV48" i="1" s="1"/>
  <c r="BD74" i="1"/>
  <c r="BR74" i="1" s="1"/>
  <c r="AG5" i="48"/>
  <c r="D47" i="20"/>
  <c r="D9" i="42" s="1"/>
  <c r="Z197" i="1"/>
  <c r="L122" i="6"/>
  <c r="O122" i="6"/>
  <c r="L121" i="6"/>
  <c r="I120" i="6"/>
  <c r="EE60" i="8"/>
  <c r="M129" i="6"/>
  <c r="J122" i="6"/>
  <c r="P122" i="6"/>
  <c r="AB5" i="58"/>
  <c r="BF119" i="1"/>
  <c r="BT119" i="1" s="1"/>
  <c r="DP59" i="1"/>
  <c r="ER59" i="1" s="1"/>
  <c r="M97" i="6"/>
  <c r="AA5" i="58"/>
  <c r="N112" i="6"/>
  <c r="C41" i="42"/>
  <c r="R47" i="6"/>
  <c r="S47" i="6" s="1"/>
  <c r="O131" i="6"/>
  <c r="H16" i="20"/>
  <c r="P11" i="20"/>
  <c r="N9" i="52" s="1"/>
  <c r="F21" i="6"/>
  <c r="F196" i="6" s="1"/>
  <c r="Q59" i="6"/>
  <c r="P81" i="6"/>
  <c r="P114" i="6" s="1"/>
  <c r="M43" i="6"/>
  <c r="O28" i="20"/>
  <c r="O52" i="20" s="1"/>
  <c r="N131" i="6"/>
  <c r="P8" i="20"/>
  <c r="N37" i="42" s="1"/>
  <c r="O5" i="6"/>
  <c r="M11" i="41" s="1"/>
  <c r="N43" i="6"/>
  <c r="F125" i="6"/>
  <c r="D13" i="52"/>
  <c r="Q93" i="6"/>
  <c r="N93" i="6"/>
  <c r="P124" i="6"/>
  <c r="K93" i="6"/>
  <c r="D16" i="20"/>
  <c r="J5" i="6"/>
  <c r="L7" i="24" s="1"/>
  <c r="E16" i="20"/>
  <c r="R26" i="6"/>
  <c r="S26" i="6" s="1"/>
  <c r="S35" i="6" s="1"/>
  <c r="N59" i="6"/>
  <c r="P131" i="6"/>
  <c r="L16" i="20"/>
  <c r="O16" i="20"/>
  <c r="G5" i="6"/>
  <c r="E11" i="41" s="1"/>
  <c r="R10" i="6"/>
  <c r="S10" i="6" s="1"/>
  <c r="R8" i="6"/>
  <c r="S8" i="6" s="1"/>
  <c r="L5" i="6"/>
  <c r="L145" i="6" s="1"/>
  <c r="M59" i="6"/>
  <c r="O81" i="6"/>
  <c r="O114" i="6" s="1"/>
  <c r="AY65" i="8"/>
  <c r="BM65" i="8" s="1"/>
  <c r="L177" i="1"/>
  <c r="DP131" i="1"/>
  <c r="ER131" i="1" s="1"/>
  <c r="BE15" i="8"/>
  <c r="BS15" i="8" s="1"/>
  <c r="BI80" i="1"/>
  <c r="BW80" i="1" s="1"/>
  <c r="BE48" i="8"/>
  <c r="BS48" i="8" s="1"/>
  <c r="O92" i="6"/>
  <c r="DM100" i="1"/>
  <c r="EO100" i="1" s="1"/>
  <c r="DI25" i="8"/>
  <c r="EK25" i="8" s="1"/>
  <c r="DR159" i="1"/>
  <c r="ET159" i="1" s="1"/>
  <c r="BN133" i="1"/>
  <c r="CB133" i="1" s="1"/>
  <c r="DP126" i="1"/>
  <c r="ER126" i="1" s="1"/>
  <c r="CG115" i="1"/>
  <c r="O97" i="6"/>
  <c r="AW36" i="8"/>
  <c r="BK36" i="8" s="1"/>
  <c r="N121" i="6"/>
  <c r="BK135" i="1"/>
  <c r="BY135" i="1" s="1"/>
  <c r="CD111" i="1"/>
  <c r="DR96" i="1"/>
  <c r="ET96" i="1" s="1"/>
  <c r="BX7" i="8"/>
  <c r="CJ22" i="8"/>
  <c r="AX34" i="8"/>
  <c r="BL34" i="8" s="1"/>
  <c r="BN192" i="1"/>
  <c r="CB192" i="1" s="1"/>
  <c r="BI212" i="1"/>
  <c r="BW212" i="1" s="1"/>
  <c r="P135" i="6"/>
  <c r="Q125" i="6"/>
  <c r="BD44" i="8"/>
  <c r="BR44" i="8" s="1"/>
  <c r="DN73" i="1"/>
  <c r="EP73" i="1" s="1"/>
  <c r="BF31" i="8"/>
  <c r="BT31" i="8" s="1"/>
  <c r="V52" i="2"/>
  <c r="Q133" i="6"/>
  <c r="DR134" i="1"/>
  <c r="ET134" i="1" s="1"/>
  <c r="L59" i="6"/>
  <c r="DO109" i="1"/>
  <c r="EQ109" i="1" s="1"/>
  <c r="BM188" i="1"/>
  <c r="CA188" i="1" s="1"/>
  <c r="DL35" i="8"/>
  <c r="EN35" i="8" s="1"/>
  <c r="CC41" i="8"/>
  <c r="L205" i="1"/>
  <c r="DR63" i="1"/>
  <c r="ET63" i="1" s="1"/>
  <c r="H135" i="6"/>
  <c r="BN139" i="1"/>
  <c r="CB139" i="1" s="1"/>
  <c r="D8" i="52"/>
  <c r="BE116" i="1"/>
  <c r="BS116" i="1" s="1"/>
  <c r="AD78" i="58"/>
  <c r="BE7" i="1"/>
  <c r="BS7" i="1" s="1"/>
  <c r="W222" i="1"/>
  <c r="BM222" i="1" s="1"/>
  <c r="CA222" i="1" s="1"/>
  <c r="BX67" i="8"/>
  <c r="BB11" i="8"/>
  <c r="BP11" i="8" s="1"/>
  <c r="AJ13" i="44"/>
  <c r="DH80" i="1"/>
  <c r="EJ80" i="1" s="1"/>
  <c r="AM72" i="48"/>
  <c r="AM167" i="48" s="1"/>
  <c r="BL176" i="1"/>
  <c r="BZ176" i="1" s="1"/>
  <c r="M16" i="20"/>
  <c r="F33" i="8"/>
  <c r="DN182" i="1"/>
  <c r="EP182" i="1" s="1"/>
  <c r="BM192" i="1"/>
  <c r="CA192" i="1" s="1"/>
  <c r="BM145" i="1"/>
  <c r="CA145" i="1" s="1"/>
  <c r="L152" i="1"/>
  <c r="BI52" i="1"/>
  <c r="BW52" i="1" s="1"/>
  <c r="DN23" i="1"/>
  <c r="EP23" i="1" s="1"/>
  <c r="CS3" i="1"/>
  <c r="J64" i="22"/>
  <c r="BD34" i="1"/>
  <c r="BR34" i="1" s="1"/>
  <c r="EJ162" i="1"/>
  <c r="BG49" i="1"/>
  <c r="BU49" i="1" s="1"/>
  <c r="I16" i="20"/>
  <c r="DK176" i="1"/>
  <c r="EM176" i="1" s="1"/>
  <c r="DK216" i="1"/>
  <c r="EM216" i="1" s="1"/>
  <c r="K112" i="48"/>
  <c r="L112" i="48" s="1"/>
  <c r="DK190" i="1"/>
  <c r="EM190" i="1" s="1"/>
  <c r="P12" i="20"/>
  <c r="N10" i="52" s="1"/>
  <c r="DB54" i="8"/>
  <c r="ED54" i="8" s="1"/>
  <c r="BC31" i="1"/>
  <c r="BQ31" i="1" s="1"/>
  <c r="P13" i="20"/>
  <c r="N12" i="52" s="1"/>
  <c r="P5" i="6"/>
  <c r="X7" i="24" s="1"/>
  <c r="BK21" i="1"/>
  <c r="BY21" i="1" s="1"/>
  <c r="AJ9" i="44"/>
  <c r="DL84" i="1"/>
  <c r="EN84" i="1" s="1"/>
  <c r="BJ57" i="1"/>
  <c r="BX57" i="1" s="1"/>
  <c r="BJ96" i="1"/>
  <c r="BX96" i="1" s="1"/>
  <c r="AJ11" i="44"/>
  <c r="Z35" i="2"/>
  <c r="V35" i="2"/>
  <c r="BD13" i="1"/>
  <c r="BR13" i="1" s="1"/>
  <c r="AC191" i="2"/>
  <c r="AD191" i="2" s="1"/>
  <c r="DX204" i="1"/>
  <c r="P21" i="6"/>
  <c r="P146" i="6" s="1"/>
  <c r="G16" i="20"/>
  <c r="CI59" i="8"/>
  <c r="DO31" i="1"/>
  <c r="EQ31" i="1" s="1"/>
  <c r="O222" i="1"/>
  <c r="BL156" i="1"/>
  <c r="BZ156" i="1" s="1"/>
  <c r="BD162" i="1"/>
  <c r="BR162" i="1" s="1"/>
  <c r="CD201" i="1"/>
  <c r="AP12" i="44"/>
  <c r="DR55" i="8"/>
  <c r="DV163" i="1"/>
  <c r="EJ163" i="1" s="1"/>
  <c r="AO5" i="44"/>
  <c r="AW26" i="8"/>
  <c r="BK26" i="8" s="1"/>
  <c r="CX72" i="8"/>
  <c r="N97" i="6"/>
  <c r="CD204" i="1"/>
  <c r="BE136" i="1"/>
  <c r="BS136" i="1" s="1"/>
  <c r="DA26" i="8"/>
  <c r="EC26" i="8" s="1"/>
  <c r="F135" i="6"/>
  <c r="Z54" i="1"/>
  <c r="BK226" i="1"/>
  <c r="BY226" i="1" s="1"/>
  <c r="Z22" i="8"/>
  <c r="AL12" i="44"/>
  <c r="F6" i="8"/>
  <c r="EE61" i="8"/>
  <c r="AM14" i="44"/>
  <c r="J16" i="20"/>
  <c r="M28" i="20"/>
  <c r="M52" i="20" s="1"/>
  <c r="P111" i="6"/>
  <c r="R86" i="6"/>
  <c r="R94" i="6" s="1"/>
  <c r="P132" i="6"/>
  <c r="N125" i="6"/>
  <c r="BF226" i="1"/>
  <c r="BT226" i="1" s="1"/>
  <c r="R88" i="6"/>
  <c r="S88" i="6" s="1"/>
  <c r="S96" i="6" s="1"/>
  <c r="W41" i="8"/>
  <c r="Q97" i="6"/>
  <c r="Z190" i="1"/>
  <c r="Z111" i="1"/>
  <c r="BM119" i="1"/>
  <c r="CA119" i="1" s="1"/>
  <c r="F50" i="8"/>
  <c r="AV50" i="8" s="1"/>
  <c r="BJ50" i="8" s="1"/>
  <c r="AF51" i="8"/>
  <c r="BG48" i="1"/>
  <c r="BU48" i="1" s="1"/>
  <c r="BK212" i="1"/>
  <c r="BY212" i="1" s="1"/>
  <c r="DQ158" i="1"/>
  <c r="ES158" i="1" s="1"/>
  <c r="DN181" i="1"/>
  <c r="EP181" i="1" s="1"/>
  <c r="BB10" i="8"/>
  <c r="BP10" i="8" s="1"/>
  <c r="CD22" i="8"/>
  <c r="EI159" i="1"/>
  <c r="BC159" i="1"/>
  <c r="BQ159" i="1" s="1"/>
  <c r="CD200" i="1"/>
  <c r="K59" i="6"/>
  <c r="R22" i="6"/>
  <c r="S22" i="6" s="1"/>
  <c r="R6" i="6"/>
  <c r="S6" i="6" s="1"/>
  <c r="R24" i="6"/>
  <c r="S24" i="6" s="1"/>
  <c r="DQ9" i="1"/>
  <c r="ES9" i="1" s="1"/>
  <c r="DD51" i="8"/>
  <c r="O59" i="8"/>
  <c r="W22" i="8"/>
  <c r="CX3" i="8"/>
  <c r="K96" i="6"/>
  <c r="DL53" i="8"/>
  <c r="EN53" i="8" s="1"/>
  <c r="Z96" i="1"/>
  <c r="G59" i="6"/>
  <c r="F66" i="8"/>
  <c r="DR194" i="1"/>
  <c r="ET194" i="1" s="1"/>
  <c r="AJ8" i="44"/>
  <c r="AO8" i="44"/>
  <c r="G21" i="6"/>
  <c r="E12" i="41" s="1"/>
  <c r="DT25" i="1"/>
  <c r="J49" i="36"/>
  <c r="AQ8" i="44"/>
  <c r="DP39" i="1"/>
  <c r="ER39" i="1" s="1"/>
  <c r="BJ92" i="1"/>
  <c r="BX92" i="1" s="1"/>
  <c r="AH8" i="44"/>
  <c r="CD170" i="1"/>
  <c r="DM142" i="1"/>
  <c r="EO142" i="1" s="1"/>
  <c r="P91" i="6"/>
  <c r="DI55" i="8"/>
  <c r="EK55" i="8" s="1"/>
  <c r="AO165" i="48"/>
  <c r="P54" i="36"/>
  <c r="P102" i="36" s="1"/>
  <c r="CS72" i="8"/>
  <c r="E117" i="22" s="1"/>
  <c r="F111" i="22" s="1"/>
  <c r="M68" i="8"/>
  <c r="DP128" i="1"/>
  <c r="ER128" i="1" s="1"/>
  <c r="BN183" i="1"/>
  <c r="CB183" i="1" s="1"/>
  <c r="DA61" i="8"/>
  <c r="EC61" i="8" s="1"/>
  <c r="AY46" i="8"/>
  <c r="BM46" i="8" s="1"/>
  <c r="AZ61" i="8"/>
  <c r="BN61" i="8" s="1"/>
  <c r="BC156" i="1"/>
  <c r="BQ156" i="1" s="1"/>
  <c r="BH98" i="1"/>
  <c r="BV98" i="1" s="1"/>
  <c r="R27" i="6"/>
  <c r="S27" i="6" s="1"/>
  <c r="K28" i="20"/>
  <c r="K52" i="20" s="1"/>
  <c r="N133" i="6"/>
  <c r="N28" i="20"/>
  <c r="N52" i="20" s="1"/>
  <c r="O111" i="6"/>
  <c r="R25" i="6"/>
  <c r="S25" i="6" s="1"/>
  <c r="N132" i="6"/>
  <c r="P59" i="6"/>
  <c r="H43" i="6"/>
  <c r="K133" i="6"/>
  <c r="Q91" i="6"/>
  <c r="P10" i="20"/>
  <c r="Q10" i="20" s="1"/>
  <c r="R23" i="6"/>
  <c r="S23" i="6" s="1"/>
  <c r="R28" i="6"/>
  <c r="F134" i="6"/>
  <c r="P34" i="6"/>
  <c r="O43" i="6"/>
  <c r="O21" i="6"/>
  <c r="M12" i="41" s="1"/>
  <c r="K5" i="6"/>
  <c r="N7" i="24" s="1"/>
  <c r="R45" i="6"/>
  <c r="S45" i="6" s="1"/>
  <c r="Q131" i="6"/>
  <c r="N81" i="6"/>
  <c r="N114" i="6" s="1"/>
  <c r="R46" i="6"/>
  <c r="S46" i="6" s="1"/>
  <c r="Q81" i="6"/>
  <c r="Q114" i="6" s="1"/>
  <c r="R48" i="6"/>
  <c r="S48" i="6" s="1"/>
  <c r="S56" i="6" s="1"/>
  <c r="R12" i="6"/>
  <c r="S12" i="6" s="1"/>
  <c r="R65" i="6"/>
  <c r="S65" i="6" s="1"/>
  <c r="EK61" i="1"/>
  <c r="AB41" i="8"/>
  <c r="AA41" i="8"/>
  <c r="BM116" i="1"/>
  <c r="CA116" i="1" s="1"/>
  <c r="DQ47" i="1"/>
  <c r="ES47" i="1" s="1"/>
  <c r="BD76" i="1"/>
  <c r="BR76" i="1" s="1"/>
  <c r="BN146" i="1"/>
  <c r="CB146" i="1" s="1"/>
  <c r="Z187" i="1"/>
  <c r="AE22" i="8"/>
  <c r="AA29" i="8"/>
  <c r="BJ50" i="1"/>
  <c r="BX50" i="1" s="1"/>
  <c r="L41" i="8"/>
  <c r="DL47" i="8"/>
  <c r="EN47" i="8" s="1"/>
  <c r="DP53" i="1"/>
  <c r="ER53" i="1" s="1"/>
  <c r="BK208" i="1"/>
  <c r="BY208" i="1" s="1"/>
  <c r="DH32" i="1"/>
  <c r="J40" i="36" s="1"/>
  <c r="J88" i="36" s="1"/>
  <c r="AM11" i="44"/>
  <c r="I22" i="8"/>
  <c r="BJ177" i="1"/>
  <c r="BX177" i="1" s="1"/>
  <c r="DP172" i="1"/>
  <c r="ER172" i="1" s="1"/>
  <c r="BJ189" i="1"/>
  <c r="BX189" i="1" s="1"/>
  <c r="AK11" i="44"/>
  <c r="BK53" i="1"/>
  <c r="BY53" i="1" s="1"/>
  <c r="DL6" i="8"/>
  <c r="BI13" i="1"/>
  <c r="BW13" i="1" s="1"/>
  <c r="DQ92" i="1"/>
  <c r="ES92" i="1" s="1"/>
  <c r="DA53" i="8"/>
  <c r="BN215" i="1"/>
  <c r="CB215" i="1" s="1"/>
  <c r="AR14" i="44"/>
  <c r="DG37" i="8"/>
  <c r="EI37" i="8" s="1"/>
  <c r="BI143" i="1"/>
  <c r="BW143" i="1" s="1"/>
  <c r="BM26" i="1"/>
  <c r="CA26" i="1" s="1"/>
  <c r="BN182" i="1"/>
  <c r="CB182" i="1" s="1"/>
  <c r="BK162" i="1"/>
  <c r="BY162" i="1" s="1"/>
  <c r="BG195" i="1"/>
  <c r="BU195" i="1" s="1"/>
  <c r="J43" i="36"/>
  <c r="DP174" i="1"/>
  <c r="ER174" i="1" s="1"/>
  <c r="DH52" i="1"/>
  <c r="EJ52" i="1" s="1"/>
  <c r="DG94" i="1"/>
  <c r="EI94" i="1" s="1"/>
  <c r="I4" i="36"/>
  <c r="AC207" i="1"/>
  <c r="AD5" i="58"/>
  <c r="CD195" i="1"/>
  <c r="CF157" i="1"/>
  <c r="DK149" i="1"/>
  <c r="EM149" i="1" s="1"/>
  <c r="DO211" i="1"/>
  <c r="EQ211" i="1" s="1"/>
  <c r="AX52" i="8"/>
  <c r="BL52" i="8" s="1"/>
  <c r="BD81" i="1"/>
  <c r="BR81" i="1" s="1"/>
  <c r="BM133" i="1"/>
  <c r="CA133" i="1" s="1"/>
  <c r="E13" i="22"/>
  <c r="DA14" i="8"/>
  <c r="EC14" i="8" s="1"/>
  <c r="C13" i="44" s="1"/>
  <c r="DP188" i="1"/>
  <c r="ER188" i="1" s="1"/>
  <c r="BH57" i="8"/>
  <c r="BV57" i="8" s="1"/>
  <c r="DM133" i="1"/>
  <c r="EO133" i="1" s="1"/>
  <c r="CD226" i="1"/>
  <c r="BJ175" i="1"/>
  <c r="BX175" i="1" s="1"/>
  <c r="F37" i="8"/>
  <c r="AV37" i="8" s="1"/>
  <c r="BJ37" i="8" s="1"/>
  <c r="DP223" i="1"/>
  <c r="ER223" i="1" s="1"/>
  <c r="BL227" i="1"/>
  <c r="BZ227" i="1" s="1"/>
  <c r="DQ176" i="1"/>
  <c r="ES176" i="1" s="1"/>
  <c r="DR70" i="1"/>
  <c r="ET70" i="1" s="1"/>
  <c r="BH223" i="1"/>
  <c r="BV223" i="1" s="1"/>
  <c r="DP141" i="1"/>
  <c r="R56" i="36" s="1"/>
  <c r="R104" i="36" s="1"/>
  <c r="BM80" i="1"/>
  <c r="CA80" i="1" s="1"/>
  <c r="BN151" i="1"/>
  <c r="CB151" i="1" s="1"/>
  <c r="DN51" i="1"/>
  <c r="EP51" i="1" s="1"/>
  <c r="CD147" i="1"/>
  <c r="EQ21" i="1"/>
  <c r="BL16" i="1"/>
  <c r="BZ16" i="1" s="1"/>
  <c r="DK160" i="1"/>
  <c r="EM160" i="1" s="1"/>
  <c r="BC131" i="1"/>
  <c r="BQ131" i="1" s="1"/>
  <c r="Z97" i="1"/>
  <c r="L141" i="1"/>
  <c r="BD180" i="1"/>
  <c r="BR180" i="1" s="1"/>
  <c r="DO206" i="1"/>
  <c r="EQ206" i="1" s="1"/>
  <c r="DO210" i="1"/>
  <c r="EQ210" i="1" s="1"/>
  <c r="DJ164" i="1"/>
  <c r="EL164" i="1" s="1"/>
  <c r="EJ176" i="1"/>
  <c r="DP68" i="1"/>
  <c r="ER68" i="1" s="1"/>
  <c r="BH187" i="1"/>
  <c r="BV187" i="1" s="1"/>
  <c r="F36" i="8"/>
  <c r="E9" i="22"/>
  <c r="H59" i="8"/>
  <c r="BD134" i="1"/>
  <c r="BR134" i="1" s="1"/>
  <c r="DL39" i="8"/>
  <c r="EN39" i="8" s="1"/>
  <c r="DH31" i="8"/>
  <c r="EJ31" i="8" s="1"/>
  <c r="J43" i="6"/>
  <c r="R44" i="6"/>
  <c r="S44" i="6" s="1"/>
  <c r="DO56" i="1"/>
  <c r="EQ56" i="1" s="1"/>
  <c r="I41" i="8"/>
  <c r="DM95" i="1"/>
  <c r="EO95" i="1" s="1"/>
  <c r="J11" i="22"/>
  <c r="AD41" i="8"/>
  <c r="R49" i="6"/>
  <c r="S49" i="6" s="1"/>
  <c r="Z153" i="1"/>
  <c r="H78" i="36"/>
  <c r="G78" i="36" s="1"/>
  <c r="X29" i="8"/>
  <c r="M207" i="1"/>
  <c r="BC207" i="1" s="1"/>
  <c r="BQ207" i="1" s="1"/>
  <c r="DL210" i="1"/>
  <c r="EN210" i="1" s="1"/>
  <c r="N51" i="8"/>
  <c r="L29" i="8"/>
  <c r="M135" i="6"/>
  <c r="DJ36" i="8"/>
  <c r="EL36" i="8" s="1"/>
  <c r="BB32" i="8"/>
  <c r="BP32" i="8" s="1"/>
  <c r="AP102" i="48"/>
  <c r="AQ7" i="44"/>
  <c r="CD153" i="1"/>
  <c r="J4" i="36"/>
  <c r="DK111" i="1"/>
  <c r="EM111" i="1" s="1"/>
  <c r="DC15" i="8"/>
  <c r="EE15" i="8" s="1"/>
  <c r="E14" i="44" s="1"/>
  <c r="P57" i="36"/>
  <c r="P105" i="36" s="1"/>
  <c r="J10" i="22"/>
  <c r="E10" i="22"/>
  <c r="AC219" i="2"/>
  <c r="AD219" i="2" s="1"/>
  <c r="BX9" i="8"/>
  <c r="DL38" i="1"/>
  <c r="EN38" i="1" s="1"/>
  <c r="J94" i="6"/>
  <c r="AN11" i="44"/>
  <c r="L43" i="6"/>
  <c r="J78" i="22"/>
  <c r="BH128" i="1"/>
  <c r="BV128" i="1" s="1"/>
  <c r="DH8" i="8"/>
  <c r="EJ8" i="8" s="1"/>
  <c r="J7" i="44" s="1"/>
  <c r="C23" i="44" s="1"/>
  <c r="D23" i="44" s="1"/>
  <c r="I29" i="8"/>
  <c r="AR7" i="44"/>
  <c r="BM179" i="1"/>
  <c r="CA179" i="1" s="1"/>
  <c r="BX6" i="8"/>
  <c r="P110" i="6"/>
  <c r="J29" i="22"/>
  <c r="C42" i="42"/>
  <c r="BM159" i="1"/>
  <c r="CA159" i="1" s="1"/>
  <c r="DK71" i="1"/>
  <c r="EM71" i="1" s="1"/>
  <c r="BM163" i="1"/>
  <c r="CA163" i="1" s="1"/>
  <c r="DG195" i="1"/>
  <c r="EI195" i="1" s="1"/>
  <c r="CR3" i="8"/>
  <c r="CF115" i="1"/>
  <c r="P9" i="20"/>
  <c r="Q9" i="20" s="1"/>
  <c r="BX30" i="8"/>
  <c r="L28" i="20"/>
  <c r="L52" i="20" s="1"/>
  <c r="S50" i="36"/>
  <c r="S98" i="36" s="1"/>
  <c r="DM163" i="1"/>
  <c r="DN148" i="1"/>
  <c r="EP148" i="1" s="1"/>
  <c r="H41" i="8"/>
  <c r="DG76" i="1"/>
  <c r="EI76" i="1" s="1"/>
  <c r="F15" i="8"/>
  <c r="R9" i="6"/>
  <c r="S9" i="6" s="1"/>
  <c r="AA68" i="8"/>
  <c r="BI121" i="1"/>
  <c r="BW121" i="1" s="1"/>
  <c r="DP56" i="1"/>
  <c r="ER56" i="1" s="1"/>
  <c r="DM193" i="1"/>
  <c r="EO193" i="1" s="1"/>
  <c r="DP8" i="1"/>
  <c r="ER8" i="1" s="1"/>
  <c r="M173" i="1"/>
  <c r="I43" i="6"/>
  <c r="O29" i="8"/>
  <c r="DR145" i="1"/>
  <c r="ET145" i="1" s="1"/>
  <c r="DQ166" i="1"/>
  <c r="ES166" i="1" s="1"/>
  <c r="J107" i="6"/>
  <c r="R62" i="6"/>
  <c r="S62" i="6" s="1"/>
  <c r="CA29" i="8"/>
  <c r="R102" i="6"/>
  <c r="R110" i="6" s="1"/>
  <c r="R50" i="6"/>
  <c r="R58" i="6" s="1"/>
  <c r="I5" i="6"/>
  <c r="J7" i="24" s="1"/>
  <c r="DH15" i="8"/>
  <c r="EJ15" i="8" s="1"/>
  <c r="J14" i="44" s="1"/>
  <c r="C30" i="44" s="1"/>
  <c r="D30" i="44" s="1"/>
  <c r="BL71" i="1"/>
  <c r="BZ71" i="1" s="1"/>
  <c r="L69" i="36"/>
  <c r="DH106" i="1"/>
  <c r="EJ106" i="1" s="1"/>
  <c r="R64" i="6"/>
  <c r="R73" i="6" s="1"/>
  <c r="AB207" i="1"/>
  <c r="BX64" i="8"/>
  <c r="AK73" i="58"/>
  <c r="ER111" i="1"/>
  <c r="Z205" i="1"/>
  <c r="BX62" i="8"/>
  <c r="K111" i="6"/>
  <c r="CD141" i="1"/>
  <c r="BX47" i="8"/>
  <c r="CE207" i="1"/>
  <c r="CD156" i="1"/>
  <c r="D48" i="20"/>
  <c r="D10" i="42" s="1"/>
  <c r="BX54" i="8"/>
  <c r="BM45" i="1"/>
  <c r="CA45" i="1" s="1"/>
  <c r="EJ160" i="1"/>
  <c r="AC22" i="8"/>
  <c r="K4" i="36"/>
  <c r="K16" i="20"/>
  <c r="BX35" i="8"/>
  <c r="CH115" i="1"/>
  <c r="AD115" i="1"/>
  <c r="AO9" i="44"/>
  <c r="AP14" i="44"/>
  <c r="X59" i="8"/>
  <c r="P157" i="1"/>
  <c r="F23" i="8"/>
  <c r="AV23" i="8" s="1"/>
  <c r="BJ23" i="8" s="1"/>
  <c r="BG196" i="1"/>
  <c r="BU196" i="1" s="1"/>
  <c r="W59" i="8"/>
  <c r="CE127" i="1"/>
  <c r="AH67" i="48"/>
  <c r="BE62" i="1"/>
  <c r="BS62" i="1" s="1"/>
  <c r="N16" i="20"/>
  <c r="BG130" i="1"/>
  <c r="BU130" i="1" s="1"/>
  <c r="L201" i="1"/>
  <c r="BG43" i="8"/>
  <c r="BU43" i="8" s="1"/>
  <c r="BE187" i="1"/>
  <c r="BS187" i="1" s="1"/>
  <c r="O16" i="51"/>
  <c r="R16" i="51" s="1"/>
  <c r="CW72" i="8"/>
  <c r="BJ201" i="1"/>
  <c r="BX201" i="1" s="1"/>
  <c r="Q22" i="8"/>
  <c r="BG22" i="8" s="1"/>
  <c r="BU22" i="8" s="1"/>
  <c r="AE41" i="8"/>
  <c r="Z196" i="1"/>
  <c r="DJ65" i="1"/>
  <c r="EL65" i="1" s="1"/>
  <c r="AZ44" i="8"/>
  <c r="BN44" i="8" s="1"/>
  <c r="DQ185" i="1"/>
  <c r="ES185" i="1" s="1"/>
  <c r="BE8" i="1"/>
  <c r="BS8" i="1" s="1"/>
  <c r="U41" i="8"/>
  <c r="CD98" i="1"/>
  <c r="BF170" i="1"/>
  <c r="BT170" i="1" s="1"/>
  <c r="R104" i="6"/>
  <c r="R112" i="6" s="1"/>
  <c r="Z150" i="1"/>
  <c r="DL178" i="1"/>
  <c r="EN178" i="1" s="1"/>
  <c r="AM8" i="44"/>
  <c r="DH135" i="1"/>
  <c r="EJ135" i="1" s="1"/>
  <c r="BC8" i="8"/>
  <c r="BQ8" i="8" s="1"/>
  <c r="BH118" i="1"/>
  <c r="BV118" i="1" s="1"/>
  <c r="DB57" i="8"/>
  <c r="ED57" i="8" s="1"/>
  <c r="BF160" i="1"/>
  <c r="BT160" i="1" s="1"/>
  <c r="BE30" i="8"/>
  <c r="BS30" i="8" s="1"/>
  <c r="BY41" i="8"/>
  <c r="AR24" i="48"/>
  <c r="D104" i="51" s="1"/>
  <c r="Y41" i="8"/>
  <c r="Z188" i="1"/>
  <c r="AO13" i="44"/>
  <c r="BZ29" i="8"/>
  <c r="P97" i="6"/>
  <c r="O51" i="8"/>
  <c r="L96" i="1"/>
  <c r="BJ217" i="1"/>
  <c r="BX217" i="1" s="1"/>
  <c r="F46" i="8"/>
  <c r="R29" i="8"/>
  <c r="BH29" i="8" s="1"/>
  <c r="BV29" i="8" s="1"/>
  <c r="L99" i="1"/>
  <c r="DK208" i="1"/>
  <c r="EM208" i="1" s="1"/>
  <c r="AP9" i="44"/>
  <c r="CL22" i="8"/>
  <c r="CC29" i="8"/>
  <c r="BX56" i="8"/>
  <c r="CD188" i="1"/>
  <c r="CO3" i="8"/>
  <c r="BX8" i="8"/>
  <c r="Z98" i="1"/>
  <c r="Z203" i="1"/>
  <c r="CH207" i="1"/>
  <c r="V59" i="8"/>
  <c r="AA59" i="8"/>
  <c r="AL8" i="44"/>
  <c r="BJ55" i="1"/>
  <c r="BX55" i="1" s="1"/>
  <c r="P43" i="6"/>
  <c r="AE59" i="8"/>
  <c r="BM141" i="1"/>
  <c r="CA141" i="1" s="1"/>
  <c r="Q44" i="36"/>
  <c r="Q92" i="36" s="1"/>
  <c r="BF208" i="1"/>
  <c r="BT208" i="1" s="1"/>
  <c r="DQ167" i="1"/>
  <c r="ES167" i="1" s="1"/>
  <c r="AN9" i="44"/>
  <c r="F9" i="8"/>
  <c r="R7" i="6"/>
  <c r="S7" i="6" s="1"/>
  <c r="R11" i="6"/>
  <c r="S11" i="6" s="1"/>
  <c r="L172" i="1"/>
  <c r="L98" i="1"/>
  <c r="BN52" i="1"/>
  <c r="CB52" i="1" s="1"/>
  <c r="DQ40" i="1"/>
  <c r="ES40" i="1" s="1"/>
  <c r="BD10" i="1"/>
  <c r="BR10" i="1" s="1"/>
  <c r="AI13" i="44"/>
  <c r="F7" i="8"/>
  <c r="DQ206" i="1"/>
  <c r="ES206" i="1" s="1"/>
  <c r="CD160" i="1"/>
  <c r="BG79" i="1"/>
  <c r="BU79" i="1" s="1"/>
  <c r="DI64" i="8"/>
  <c r="EK64" i="8" s="1"/>
  <c r="CE157" i="1"/>
  <c r="CD177" i="1"/>
  <c r="AZ39" i="8"/>
  <c r="BN39" i="8" s="1"/>
  <c r="DJ14" i="1"/>
  <c r="EL14" i="1" s="1"/>
  <c r="DK166" i="1"/>
  <c r="EM166" i="1" s="1"/>
  <c r="BJ194" i="1"/>
  <c r="BX194" i="1" s="1"/>
  <c r="BI45" i="1"/>
  <c r="BW45" i="1" s="1"/>
  <c r="BG156" i="1"/>
  <c r="BU156" i="1" s="1"/>
  <c r="BE32" i="8"/>
  <c r="BS32" i="8" s="1"/>
  <c r="P173" i="1"/>
  <c r="BJ67" i="1"/>
  <c r="BX67" i="1" s="1"/>
  <c r="M59" i="8"/>
  <c r="AY34" i="8"/>
  <c r="BM34" i="8" s="1"/>
  <c r="DF14" i="8"/>
  <c r="EH14" i="8" s="1"/>
  <c r="H13" i="44" s="1"/>
  <c r="DQ38" i="1"/>
  <c r="ES38" i="1" s="1"/>
  <c r="L188" i="1"/>
  <c r="DP216" i="1"/>
  <c r="ER216" i="1" s="1"/>
  <c r="DG67" i="8"/>
  <c r="EI67" i="8" s="1"/>
  <c r="BJ17" i="1"/>
  <c r="BX17" i="1" s="1"/>
  <c r="BN200" i="1"/>
  <c r="CB200" i="1" s="1"/>
  <c r="DO49" i="1"/>
  <c r="EQ49" i="1" s="1"/>
  <c r="E59" i="44"/>
  <c r="D72" i="44" s="1"/>
  <c r="AL9" i="44"/>
  <c r="CJ29" i="8"/>
  <c r="BD160" i="1"/>
  <c r="BR160" i="1" s="1"/>
  <c r="BK46" i="1"/>
  <c r="BY46" i="1" s="1"/>
  <c r="BJ84" i="1"/>
  <c r="BX84" i="1" s="1"/>
  <c r="F8" i="8"/>
  <c r="AV8" i="8" s="1"/>
  <c r="BJ8" i="8" s="1"/>
  <c r="AM9" i="44"/>
  <c r="J48" i="22"/>
  <c r="J63" i="22"/>
  <c r="EE36" i="8"/>
  <c r="AL5" i="44"/>
  <c r="AK9" i="44"/>
  <c r="BK205" i="1"/>
  <c r="BY205" i="1" s="1"/>
  <c r="Q21" i="6"/>
  <c r="O12" i="41" s="1"/>
  <c r="F13" i="8"/>
  <c r="DR48" i="1"/>
  <c r="ET48" i="1" s="1"/>
  <c r="DK203" i="1"/>
  <c r="EM203" i="1" s="1"/>
  <c r="BF166" i="1"/>
  <c r="BT166" i="1" s="1"/>
  <c r="P10" i="44"/>
  <c r="BX49" i="8"/>
  <c r="BC221" i="1"/>
  <c r="BQ221" i="1" s="1"/>
  <c r="AR5" i="44"/>
  <c r="Q5" i="6"/>
  <c r="Q145" i="6" s="1"/>
  <c r="BL153" i="1"/>
  <c r="BZ153" i="1" s="1"/>
  <c r="DN81" i="1"/>
  <c r="EP81" i="1" s="1"/>
  <c r="W1" i="8"/>
  <c r="Z140" i="1"/>
  <c r="CD100" i="1"/>
  <c r="L111" i="1"/>
  <c r="AW31" i="8"/>
  <c r="BK31" i="8" s="1"/>
  <c r="P8" i="44"/>
  <c r="J46" i="22"/>
  <c r="E58" i="44"/>
  <c r="D73" i="44" s="1"/>
  <c r="M5" i="6"/>
  <c r="R7" i="24" s="1"/>
  <c r="DO149" i="1"/>
  <c r="EQ149" i="1" s="1"/>
  <c r="AJ5" i="44"/>
  <c r="J94" i="22"/>
  <c r="E11" i="22"/>
  <c r="P6" i="44"/>
  <c r="P15" i="20"/>
  <c r="Q15" i="20" s="1"/>
  <c r="CD191" i="1"/>
  <c r="AM7" i="44"/>
  <c r="P115" i="1"/>
  <c r="Z100" i="1"/>
  <c r="X22" i="8"/>
  <c r="W29" i="8"/>
  <c r="DN6" i="1"/>
  <c r="EP6" i="1" s="1"/>
  <c r="BJ36" i="1"/>
  <c r="BX36" i="1" s="1"/>
  <c r="L189" i="1"/>
  <c r="AQ5" i="44"/>
  <c r="BL66" i="1"/>
  <c r="BZ66" i="1" s="1"/>
  <c r="BF139" i="1"/>
  <c r="BT139" i="1" s="1"/>
  <c r="J80" i="22"/>
  <c r="F49" i="8"/>
  <c r="AV49" i="8" s="1"/>
  <c r="BJ49" i="8" s="1"/>
  <c r="DC10" i="8"/>
  <c r="EE10" i="8" s="1"/>
  <c r="E9" i="44" s="1"/>
  <c r="O91" i="6"/>
  <c r="AZ30" i="8"/>
  <c r="BN30" i="8" s="1"/>
  <c r="DH9" i="8"/>
  <c r="O140" i="22" s="1"/>
  <c r="CD92" i="1"/>
  <c r="CD96" i="1"/>
  <c r="DO138" i="1"/>
  <c r="EQ138" i="1" s="1"/>
  <c r="AK5" i="44"/>
  <c r="EE3" i="1"/>
  <c r="DL200" i="1"/>
  <c r="EN200" i="1" s="1"/>
  <c r="BG36" i="8"/>
  <c r="BU36" i="8" s="1"/>
  <c r="AY36" i="8"/>
  <c r="BM36" i="8" s="1"/>
  <c r="F10" i="8"/>
  <c r="L147" i="1"/>
  <c r="AP5" i="44"/>
  <c r="AN5" i="44"/>
  <c r="H59" i="6"/>
  <c r="DI223" i="1"/>
  <c r="EK223" i="1" s="1"/>
  <c r="BX43" i="8"/>
  <c r="CD187" i="1"/>
  <c r="BD98" i="1"/>
  <c r="BR98" i="1" s="1"/>
  <c r="AX63" i="8"/>
  <c r="BL63" i="8" s="1"/>
  <c r="BX27" i="8"/>
  <c r="BL111" i="1"/>
  <c r="BZ111" i="1" s="1"/>
  <c r="AE29" i="8"/>
  <c r="J79" i="22"/>
  <c r="DL68" i="8"/>
  <c r="EN68" i="8" s="1"/>
  <c r="BN129" i="1"/>
  <c r="CB129" i="1" s="1"/>
  <c r="DI123" i="1"/>
  <c r="EK123" i="1" s="1"/>
  <c r="J31" i="22"/>
  <c r="CC51" i="8"/>
  <c r="CH29" i="8"/>
  <c r="AC5" i="8"/>
  <c r="BA39" i="8"/>
  <c r="BO39" i="8" s="1"/>
  <c r="CD194" i="1"/>
  <c r="CJ51" i="8"/>
  <c r="CT72" i="8"/>
  <c r="Z191" i="1"/>
  <c r="CB51" i="8"/>
  <c r="R61" i="6"/>
  <c r="S61" i="6" s="1"/>
  <c r="J59" i="6"/>
  <c r="X1" i="8"/>
  <c r="DH50" i="8"/>
  <c r="EJ50" i="8" s="1"/>
  <c r="DM190" i="1"/>
  <c r="EO190" i="1" s="1"/>
  <c r="Z177" i="1"/>
  <c r="BX48" i="8"/>
  <c r="O59" i="6"/>
  <c r="BJ132" i="1"/>
  <c r="BX132" i="1" s="1"/>
  <c r="BN49" i="1"/>
  <c r="CB49" i="1" s="1"/>
  <c r="AQ9" i="44"/>
  <c r="Q29" i="8"/>
  <c r="BG29" i="8" s="1"/>
  <c r="BU29" i="8" s="1"/>
  <c r="BA8" i="8"/>
  <c r="BO8" i="8" s="1"/>
  <c r="DQ193" i="1"/>
  <c r="ES193" i="1" s="1"/>
  <c r="BG145" i="1"/>
  <c r="BU145" i="1" s="1"/>
  <c r="BX36" i="8"/>
  <c r="K16" i="48"/>
  <c r="L16" i="48" s="1"/>
  <c r="AD59" i="8"/>
  <c r="Z12" i="1"/>
  <c r="AR9" i="44"/>
  <c r="O22" i="8"/>
  <c r="BL76" i="1"/>
  <c r="BZ76" i="1" s="1"/>
  <c r="L167" i="1"/>
  <c r="T41" i="36"/>
  <c r="T89" i="36" s="1"/>
  <c r="V41" i="8"/>
  <c r="DI121" i="1"/>
  <c r="EK121" i="1" s="1"/>
  <c r="V183" i="2"/>
  <c r="DK30" i="8"/>
  <c r="EM30" i="8" s="1"/>
  <c r="L42" i="36"/>
  <c r="DI26" i="8"/>
  <c r="EK26" i="8" s="1"/>
  <c r="K29" i="8"/>
  <c r="CD16" i="1"/>
  <c r="DD66" i="8"/>
  <c r="EF66" i="8" s="1"/>
  <c r="DL167" i="1"/>
  <c r="EN167" i="1" s="1"/>
  <c r="Z221" i="1"/>
  <c r="J59" i="8"/>
  <c r="BN166" i="1"/>
  <c r="CB166" i="1" s="1"/>
  <c r="DB43" i="8"/>
  <c r="ED43" i="8" s="1"/>
  <c r="BI126" i="1"/>
  <c r="BW126" i="1" s="1"/>
  <c r="DQ63" i="1"/>
  <c r="ES63" i="1" s="1"/>
  <c r="BJ187" i="1"/>
  <c r="BX187" i="1" s="1"/>
  <c r="F30" i="8"/>
  <c r="BH76" i="1"/>
  <c r="BV76" i="1" s="1"/>
  <c r="BH92" i="1"/>
  <c r="BV92" i="1" s="1"/>
  <c r="BI147" i="1"/>
  <c r="BW147" i="1" s="1"/>
  <c r="L80" i="1"/>
  <c r="BB80" i="1" s="1"/>
  <c r="BP80" i="1" s="1"/>
  <c r="CF29" i="8"/>
  <c r="BL75" i="1"/>
  <c r="BZ75" i="1" s="1"/>
  <c r="DP80" i="1"/>
  <c r="ER80" i="1" s="1"/>
  <c r="DR224" i="1"/>
  <c r="DR222" i="1" s="1"/>
  <c r="ET222" i="1" s="1"/>
  <c r="BN227" i="1"/>
  <c r="CB227" i="1" s="1"/>
  <c r="Z48" i="1"/>
  <c r="CD97" i="1"/>
  <c r="DQ205" i="1"/>
  <c r="ES205" i="1" s="1"/>
  <c r="CH157" i="1"/>
  <c r="CV72" i="8"/>
  <c r="AS161" i="48"/>
  <c r="Y161" i="48" s="1"/>
  <c r="Z161" i="48" s="1"/>
  <c r="BD51" i="1"/>
  <c r="BR51" i="1" s="1"/>
  <c r="EL160" i="1"/>
  <c r="T49" i="36"/>
  <c r="T97" i="36" s="1"/>
  <c r="CP222" i="1"/>
  <c r="DN99" i="1"/>
  <c r="EP99" i="1" s="1"/>
  <c r="CD51" i="8"/>
  <c r="Z189" i="1"/>
  <c r="Z200" i="1"/>
  <c r="BL12" i="1"/>
  <c r="BZ12" i="1" s="1"/>
  <c r="DO194" i="1"/>
  <c r="EQ194" i="1" s="1"/>
  <c r="V22" i="8"/>
  <c r="BI25" i="1"/>
  <c r="BW25" i="1" s="1"/>
  <c r="BJ123" i="1"/>
  <c r="BX123" i="1" s="1"/>
  <c r="F58" i="8"/>
  <c r="Y29" i="8"/>
  <c r="AO7" i="44"/>
  <c r="CO72" i="8"/>
  <c r="E51" i="22" s="1"/>
  <c r="F47" i="22" s="1"/>
  <c r="BY51" i="8"/>
  <c r="BB27" i="8"/>
  <c r="BP27" i="8" s="1"/>
  <c r="DP25" i="1"/>
  <c r="ER25" i="1" s="1"/>
  <c r="BI162" i="1"/>
  <c r="BW162" i="1" s="1"/>
  <c r="BJ70" i="1"/>
  <c r="BX70" i="1" s="1"/>
  <c r="L22" i="8"/>
  <c r="DK192" i="1"/>
  <c r="EM192" i="1" s="1"/>
  <c r="Z192" i="1"/>
  <c r="Z202" i="1"/>
  <c r="BL88" i="1"/>
  <c r="BZ88" i="1" s="1"/>
  <c r="P207" i="1"/>
  <c r="CE173" i="1"/>
  <c r="DP191" i="1"/>
  <c r="ER191" i="1" s="1"/>
  <c r="L191" i="1"/>
  <c r="DJ81" i="1"/>
  <c r="EL81" i="1" s="1"/>
  <c r="Z201" i="1"/>
  <c r="Z167" i="1"/>
  <c r="L41" i="36"/>
  <c r="L89" i="36" s="1"/>
  <c r="AM6" i="44"/>
  <c r="CD167" i="1"/>
  <c r="AP11" i="44"/>
  <c r="AI6" i="44"/>
  <c r="U29" i="8"/>
  <c r="CD203" i="1"/>
  <c r="AR11" i="44"/>
  <c r="AQ11" i="44"/>
  <c r="BK132" i="1"/>
  <c r="BY132" i="1" s="1"/>
  <c r="DQ74" i="1"/>
  <c r="ES74" i="1" s="1"/>
  <c r="DK23" i="8"/>
  <c r="EM23" i="8" s="1"/>
  <c r="CD144" i="1"/>
  <c r="BX11" i="8"/>
  <c r="AP7" i="44"/>
  <c r="BX15" i="8"/>
  <c r="BX10" i="8"/>
  <c r="CF173" i="1"/>
  <c r="BI208" i="1"/>
  <c r="BW208" i="1" s="1"/>
  <c r="AQ102" i="48"/>
  <c r="CD189" i="1"/>
  <c r="X222" i="1"/>
  <c r="BN222" i="1" s="1"/>
  <c r="CB222" i="1" s="1"/>
  <c r="AC41" i="8"/>
  <c r="BJ174" i="1"/>
  <c r="BX174" i="1" s="1"/>
  <c r="L226" i="1"/>
  <c r="BA27" i="8"/>
  <c r="BO27" i="8" s="1"/>
  <c r="AL7" i="44"/>
  <c r="AK12" i="44"/>
  <c r="AQ6" i="44"/>
  <c r="AK7" i="44"/>
  <c r="DL149" i="1"/>
  <c r="EN149" i="1" s="1"/>
  <c r="R22" i="8"/>
  <c r="BH22" i="8" s="1"/>
  <c r="BV22" i="8" s="1"/>
  <c r="AJ7" i="44"/>
  <c r="AK6" i="44"/>
  <c r="AO14" i="44"/>
  <c r="BL203" i="1"/>
  <c r="BZ203" i="1" s="1"/>
  <c r="DM217" i="1"/>
  <c r="EO217" i="1" s="1"/>
  <c r="AO6" i="44"/>
  <c r="BK147" i="1"/>
  <c r="BY147" i="1" s="1"/>
  <c r="K23" i="48"/>
  <c r="AN6" i="44"/>
  <c r="AJ6" i="44"/>
  <c r="AH7" i="44"/>
  <c r="AI7" i="44"/>
  <c r="BA26" i="8"/>
  <c r="BO26" i="8" s="1"/>
  <c r="BF20" i="1"/>
  <c r="BT20" i="1" s="1"/>
  <c r="CV3" i="8"/>
  <c r="AL14" i="44"/>
  <c r="AL6" i="44"/>
  <c r="DH27" i="8"/>
  <c r="EJ27" i="8" s="1"/>
  <c r="DP121" i="1"/>
  <c r="ER121" i="1" s="1"/>
  <c r="DK13" i="8"/>
  <c r="EM13" i="8" s="1"/>
  <c r="M12" i="44" s="1"/>
  <c r="BX69" i="8"/>
  <c r="BX68" i="8" s="1"/>
  <c r="CD217" i="1"/>
  <c r="AO11" i="44"/>
  <c r="CT3" i="8"/>
  <c r="DL25" i="8"/>
  <c r="EN25" i="8" s="1"/>
  <c r="AH5" i="48"/>
  <c r="CG173" i="1"/>
  <c r="BX42" i="8"/>
  <c r="F34" i="8"/>
  <c r="BG50" i="1"/>
  <c r="BU50" i="1" s="1"/>
  <c r="BM146" i="1"/>
  <c r="CA146" i="1" s="1"/>
  <c r="DL9" i="8"/>
  <c r="EN9" i="8" s="1"/>
  <c r="N8" i="44" s="1"/>
  <c r="AA115" i="1"/>
  <c r="L227" i="1"/>
  <c r="BG34" i="8"/>
  <c r="BU34" i="8" s="1"/>
  <c r="DP170" i="1"/>
  <c r="ER170" i="1" s="1"/>
  <c r="DR196" i="1"/>
  <c r="ET196" i="1" s="1"/>
  <c r="L170" i="1"/>
  <c r="DK34" i="8"/>
  <c r="EM34" i="8" s="1"/>
  <c r="F65" i="8"/>
  <c r="BG11" i="8"/>
  <c r="BU11" i="8" s="1"/>
  <c r="EK187" i="1"/>
  <c r="BE71" i="1"/>
  <c r="BS71" i="1" s="1"/>
  <c r="DM47" i="1"/>
  <c r="EO47" i="1" s="1"/>
  <c r="AZ54" i="8"/>
  <c r="BN54" i="8" s="1"/>
  <c r="BA25" i="8"/>
  <c r="BO25" i="8" s="1"/>
  <c r="BI192" i="1"/>
  <c r="BW192" i="1" s="1"/>
  <c r="DI65" i="8"/>
  <c r="EK65" i="8" s="1"/>
  <c r="U59" i="8"/>
  <c r="DI42" i="8"/>
  <c r="EK42" i="8" s="1"/>
  <c r="BC227" i="1"/>
  <c r="BQ227" i="1" s="1"/>
  <c r="CD202" i="1"/>
  <c r="U22" i="8"/>
  <c r="BN59" i="1"/>
  <c r="CB59" i="1" s="1"/>
  <c r="L156" i="1"/>
  <c r="DJ13" i="8"/>
  <c r="EL13" i="8" s="1"/>
  <c r="L12" i="44" s="1"/>
  <c r="AD127" i="1"/>
  <c r="Z134" i="1"/>
  <c r="CR72" i="8"/>
  <c r="E100" i="22" s="1"/>
  <c r="F94" i="22" s="1"/>
  <c r="L185" i="1"/>
  <c r="BM196" i="1"/>
  <c r="CA196" i="1" s="1"/>
  <c r="BH100" i="1"/>
  <c r="BV100" i="1" s="1"/>
  <c r="DM79" i="1"/>
  <c r="EO79" i="1" s="1"/>
  <c r="CQ72" i="8"/>
  <c r="E84" i="22" s="1"/>
  <c r="F81" i="22" s="1"/>
  <c r="Z18" i="1"/>
  <c r="Z67" i="1"/>
  <c r="AY60" i="8"/>
  <c r="BM60" i="8" s="1"/>
  <c r="AZ58" i="8"/>
  <c r="BN58" i="8" s="1"/>
  <c r="Z95" i="1"/>
  <c r="BX39" i="8"/>
  <c r="CD192" i="1"/>
  <c r="L59" i="8"/>
  <c r="BE141" i="1"/>
  <c r="BS141" i="1" s="1"/>
  <c r="AC222" i="1"/>
  <c r="BF84" i="1"/>
  <c r="BT84" i="1" s="1"/>
  <c r="Z29" i="8"/>
  <c r="BM118" i="1"/>
  <c r="CA118" i="1" s="1"/>
  <c r="F60" i="8"/>
  <c r="L196" i="1"/>
  <c r="J51" i="8"/>
  <c r="DM96" i="1"/>
  <c r="EO96" i="1" s="1"/>
  <c r="BK144" i="1"/>
  <c r="BY144" i="1" s="1"/>
  <c r="BG14" i="8"/>
  <c r="BU14" i="8" s="1"/>
  <c r="BB63" i="8"/>
  <c r="BP63" i="8" s="1"/>
  <c r="DN20" i="1"/>
  <c r="AM62" i="48" s="1"/>
  <c r="AM157" i="48" s="1"/>
  <c r="O41" i="8"/>
  <c r="DO188" i="1"/>
  <c r="EQ188" i="1" s="1"/>
  <c r="BC136" i="1"/>
  <c r="BQ136" i="1" s="1"/>
  <c r="BJ114" i="1"/>
  <c r="BX114" i="1" s="1"/>
  <c r="DF59" i="8"/>
  <c r="CN3" i="8"/>
  <c r="L200" i="1"/>
  <c r="AW27" i="8"/>
  <c r="BK27" i="8" s="1"/>
  <c r="BJ65" i="1"/>
  <c r="BX65" i="1" s="1"/>
  <c r="BH132" i="1"/>
  <c r="BV132" i="1" s="1"/>
  <c r="BK139" i="1"/>
  <c r="BY139" i="1" s="1"/>
  <c r="BD200" i="1"/>
  <c r="BR200" i="1" s="1"/>
  <c r="BC38" i="8"/>
  <c r="BQ38" i="8" s="1"/>
  <c r="BK19" i="1"/>
  <c r="BY19" i="1" s="1"/>
  <c r="N29" i="8"/>
  <c r="N22" i="8"/>
  <c r="DL30" i="8"/>
  <c r="EN30" i="8" s="1"/>
  <c r="DN48" i="1"/>
  <c r="EP48" i="1" s="1"/>
  <c r="AX56" i="8"/>
  <c r="BL56" i="8" s="1"/>
  <c r="G59" i="8"/>
  <c r="AW59" i="8" s="1"/>
  <c r="BK59" i="8" s="1"/>
  <c r="F11" i="8"/>
  <c r="N173" i="1"/>
  <c r="DH200" i="1"/>
  <c r="EJ200" i="1" s="1"/>
  <c r="BE202" i="1"/>
  <c r="BS202" i="1" s="1"/>
  <c r="AW56" i="8"/>
  <c r="BK56" i="8" s="1"/>
  <c r="DA11" i="8"/>
  <c r="EC11" i="8" s="1"/>
  <c r="C10" i="44" s="1"/>
  <c r="G41" i="8"/>
  <c r="P29" i="8"/>
  <c r="BF29" i="8" s="1"/>
  <c r="BT29" i="8" s="1"/>
  <c r="F38" i="8"/>
  <c r="DI202" i="1"/>
  <c r="EK202" i="1" s="1"/>
  <c r="L203" i="1"/>
  <c r="L140" i="1"/>
  <c r="BB140" i="1" s="1"/>
  <c r="BP140" i="1" s="1"/>
  <c r="F43" i="8"/>
  <c r="Q51" i="8"/>
  <c r="BG51" i="8" s="1"/>
  <c r="BU51" i="8" s="1"/>
  <c r="F35" i="8"/>
  <c r="DI122" i="1"/>
  <c r="EK122" i="1" s="1"/>
  <c r="BD43" i="8"/>
  <c r="BR43" i="8" s="1"/>
  <c r="BG221" i="1"/>
  <c r="BU221" i="1" s="1"/>
  <c r="BF35" i="8"/>
  <c r="BT35" i="8" s="1"/>
  <c r="AY30" i="8"/>
  <c r="BM30" i="8" s="1"/>
  <c r="DM172" i="1"/>
  <c r="EO172" i="1" s="1"/>
  <c r="M29" i="8"/>
  <c r="DI221" i="1"/>
  <c r="EK221" i="1" s="1"/>
  <c r="BF86" i="1"/>
  <c r="BT86" i="1" s="1"/>
  <c r="O127" i="1"/>
  <c r="DQ86" i="1"/>
  <c r="ES86" i="1" s="1"/>
  <c r="BH77" i="1"/>
  <c r="BV77" i="1" s="1"/>
  <c r="F26" i="8"/>
  <c r="BB53" i="8"/>
  <c r="BP53" i="8" s="1"/>
  <c r="DA63" i="8"/>
  <c r="EC63" i="8" s="1"/>
  <c r="DM140" i="1"/>
  <c r="EO140" i="1" s="1"/>
  <c r="F32" i="8"/>
  <c r="AV32" i="8" s="1"/>
  <c r="BJ32" i="8" s="1"/>
  <c r="F63" i="8"/>
  <c r="BE30" i="1"/>
  <c r="BS30" i="1" s="1"/>
  <c r="BI152" i="1"/>
  <c r="BW152" i="1" s="1"/>
  <c r="DH26" i="8"/>
  <c r="DC14" i="8"/>
  <c r="EE14" i="8" s="1"/>
  <c r="E13" i="44" s="1"/>
  <c r="DM152" i="1"/>
  <c r="EO152" i="1" s="1"/>
  <c r="DD12" i="8"/>
  <c r="EF12" i="8" s="1"/>
  <c r="F11" i="44" s="1"/>
  <c r="BN204" i="1"/>
  <c r="CB204" i="1" s="1"/>
  <c r="BK35" i="1"/>
  <c r="BY35" i="1" s="1"/>
  <c r="BG56" i="8"/>
  <c r="BU56" i="8" s="1"/>
  <c r="L195" i="1"/>
  <c r="BD32" i="8"/>
  <c r="BR32" i="8" s="1"/>
  <c r="F45" i="8"/>
  <c r="F48" i="8"/>
  <c r="BJ71" i="1"/>
  <c r="BX71" i="1" s="1"/>
  <c r="O207" i="1"/>
  <c r="BC203" i="1"/>
  <c r="BQ203" i="1" s="1"/>
  <c r="AN102" i="48"/>
  <c r="L4" i="36"/>
  <c r="AJ70" i="48"/>
  <c r="AJ165" i="48" s="1"/>
  <c r="BJ106" i="1"/>
  <c r="BX106" i="1" s="1"/>
  <c r="BA55" i="8"/>
  <c r="BO55" i="8" s="1"/>
  <c r="DM87" i="1"/>
  <c r="EO87" i="1" s="1"/>
  <c r="G98" i="6"/>
  <c r="G129" i="6" s="1"/>
  <c r="CD48" i="1"/>
  <c r="CD227" i="1"/>
  <c r="DP6" i="8"/>
  <c r="DM179" i="1"/>
  <c r="BI224" i="1"/>
  <c r="BW224" i="1" s="1"/>
  <c r="DV34" i="1"/>
  <c r="EJ34" i="1" s="1"/>
  <c r="DP166" i="1"/>
  <c r="ER166" i="1" s="1"/>
  <c r="E20" i="20"/>
  <c r="DP151" i="1"/>
  <c r="DN109" i="1"/>
  <c r="EP109" i="1" s="1"/>
  <c r="L14" i="1"/>
  <c r="BB14" i="1" s="1"/>
  <c r="BP14" i="1" s="1"/>
  <c r="BB18" i="8"/>
  <c r="BP18" i="8" s="1"/>
  <c r="DQ81" i="1"/>
  <c r="ES81" i="1" s="1"/>
  <c r="BF51" i="1"/>
  <c r="BT51" i="1" s="1"/>
  <c r="BB47" i="8"/>
  <c r="BP47" i="8" s="1"/>
  <c r="CD36" i="1"/>
  <c r="AG157" i="1"/>
  <c r="U51" i="8"/>
  <c r="Z194" i="1"/>
  <c r="DQ11" i="1"/>
  <c r="ES11" i="1" s="1"/>
  <c r="BM60" i="1"/>
  <c r="CA60" i="1" s="1"/>
  <c r="F47" i="8"/>
  <c r="BL221" i="1"/>
  <c r="BZ221" i="1" s="1"/>
  <c r="BK114" i="1"/>
  <c r="BY114" i="1" s="1"/>
  <c r="BA38" i="8"/>
  <c r="BO38" i="8" s="1"/>
  <c r="DM10" i="1"/>
  <c r="EO10" i="1" s="1"/>
  <c r="CD41" i="8"/>
  <c r="BG39" i="1"/>
  <c r="BU39" i="1" s="1"/>
  <c r="BK145" i="1"/>
  <c r="BY145" i="1" s="1"/>
  <c r="F12" i="8"/>
  <c r="DW6" i="1"/>
  <c r="AA51" i="8"/>
  <c r="DQ171" i="1"/>
  <c r="ES171" i="1" s="1"/>
  <c r="DH12" i="8"/>
  <c r="EJ12" i="8" s="1"/>
  <c r="J11" i="44" s="1"/>
  <c r="C27" i="44" s="1"/>
  <c r="H82" i="6"/>
  <c r="DY3" i="8"/>
  <c r="DQ32" i="1"/>
  <c r="ES32" i="1" s="1"/>
  <c r="K116" i="48"/>
  <c r="L116" i="48" s="1"/>
  <c r="BN51" i="1"/>
  <c r="CB51" i="1" s="1"/>
  <c r="AB51" i="8"/>
  <c r="Z77" i="1"/>
  <c r="J62" i="22"/>
  <c r="Z80" i="1"/>
  <c r="DM30" i="1"/>
  <c r="EO30" i="1" s="1"/>
  <c r="ET20" i="1"/>
  <c r="AY18" i="8"/>
  <c r="BM18" i="8" s="1"/>
  <c r="AL73" i="58"/>
  <c r="J65" i="22"/>
  <c r="BJ60" i="1"/>
  <c r="BX60" i="1" s="1"/>
  <c r="L192" i="1"/>
  <c r="EL92" i="1"/>
  <c r="CD214" i="1"/>
  <c r="ES141" i="1"/>
  <c r="K14" i="48"/>
  <c r="AK13" i="44"/>
  <c r="AF5" i="48"/>
  <c r="CD190" i="1"/>
  <c r="Z204" i="1"/>
  <c r="BH103" i="1"/>
  <c r="BV103" i="1" s="1"/>
  <c r="EL20" i="1"/>
  <c r="DF51" i="8"/>
  <c r="BN20" i="1"/>
  <c r="CB20" i="1" s="1"/>
  <c r="Z40" i="1"/>
  <c r="DG54" i="8"/>
  <c r="EI54" i="8" s="1"/>
  <c r="AN7" i="44"/>
  <c r="AP59" i="48"/>
  <c r="AP154" i="48" s="1"/>
  <c r="DN176" i="1"/>
  <c r="EP176" i="1" s="1"/>
  <c r="Z117" i="1"/>
  <c r="BH133" i="1"/>
  <c r="BV133" i="1" s="1"/>
  <c r="AR6" i="44"/>
  <c r="AS14" i="48"/>
  <c r="Y14" i="48" s="1"/>
  <c r="DI18" i="8"/>
  <c r="EK18" i="8" s="1"/>
  <c r="CD136" i="1"/>
  <c r="CH127" i="1"/>
  <c r="DV207" i="1"/>
  <c r="AB29" i="8"/>
  <c r="F18" i="8"/>
  <c r="CL41" i="8"/>
  <c r="DA48" i="8"/>
  <c r="EC48" i="8" s="1"/>
  <c r="DH49" i="8"/>
  <c r="EJ49" i="8" s="1"/>
  <c r="BM209" i="1"/>
  <c r="CA209" i="1" s="1"/>
  <c r="BL31" i="1"/>
  <c r="BZ31" i="1" s="1"/>
  <c r="Z164" i="1"/>
  <c r="EJ99" i="1"/>
  <c r="BD49" i="8"/>
  <c r="BR49" i="8" s="1"/>
  <c r="AP6" i="44"/>
  <c r="CA51" i="8"/>
  <c r="CD182" i="1"/>
  <c r="BF171" i="1"/>
  <c r="BT171" i="1" s="1"/>
  <c r="BJ204" i="1"/>
  <c r="BX204" i="1" s="1"/>
  <c r="N41" i="8"/>
  <c r="F39" i="8"/>
  <c r="BJ179" i="1"/>
  <c r="BX179" i="1" s="1"/>
  <c r="DK26" i="1"/>
  <c r="EM26" i="1" s="1"/>
  <c r="AJ73" i="58"/>
  <c r="H29" i="8"/>
  <c r="AX39" i="8"/>
  <c r="BL39" i="8" s="1"/>
  <c r="BK204" i="1"/>
  <c r="BY204" i="1" s="1"/>
  <c r="BL93" i="1"/>
  <c r="BZ93" i="1" s="1"/>
  <c r="CH51" i="8"/>
  <c r="CD80" i="1"/>
  <c r="DA18" i="8"/>
  <c r="EC18" i="8" s="1"/>
  <c r="AW18" i="8"/>
  <c r="BK18" i="8" s="1"/>
  <c r="DM175" i="1"/>
  <c r="M44" i="36"/>
  <c r="M92" i="36" s="1"/>
  <c r="Z91" i="1"/>
  <c r="ED3" i="1"/>
  <c r="L204" i="1"/>
  <c r="CP3" i="8"/>
  <c r="DR172" i="1"/>
  <c r="ET172" i="1" s="1"/>
  <c r="AS16" i="48"/>
  <c r="N15" i="51" s="1"/>
  <c r="L81" i="1"/>
  <c r="BB81" i="1" s="1"/>
  <c r="BP81" i="1" s="1"/>
  <c r="CD140" i="1"/>
  <c r="DQ10" i="1"/>
  <c r="ES10" i="1" s="1"/>
  <c r="Z185" i="1"/>
  <c r="CI115" i="1"/>
  <c r="DJ190" i="1"/>
  <c r="EL190" i="1" s="1"/>
  <c r="DT214" i="1"/>
  <c r="AD44" i="58"/>
  <c r="AD112" i="58" s="1"/>
  <c r="BJ161" i="1"/>
  <c r="BX161" i="1" s="1"/>
  <c r="BJ61" i="1"/>
  <c r="BX61" i="1" s="1"/>
  <c r="CH173" i="1"/>
  <c r="AN8" i="58"/>
  <c r="V8" i="58" s="1"/>
  <c r="BH91" i="1"/>
  <c r="BV91" i="1" s="1"/>
  <c r="F56" i="8"/>
  <c r="DI140" i="1"/>
  <c r="EK140" i="1" s="1"/>
  <c r="V29" i="8"/>
  <c r="DP186" i="1"/>
  <c r="ER186" i="1" s="1"/>
  <c r="BM76" i="1"/>
  <c r="CA76" i="1" s="1"/>
  <c r="AD45" i="58"/>
  <c r="CN173" i="1"/>
  <c r="BJ139" i="1"/>
  <c r="BX139" i="1" s="1"/>
  <c r="BG57" i="1"/>
  <c r="BU57" i="1" s="1"/>
  <c r="AB59" i="8"/>
  <c r="CD178" i="1"/>
  <c r="DM57" i="1"/>
  <c r="EO57" i="1" s="1"/>
  <c r="CF127" i="1"/>
  <c r="AS23" i="48"/>
  <c r="N22" i="51" s="1"/>
  <c r="F59" i="6"/>
  <c r="F81" i="6"/>
  <c r="F114" i="6" s="1"/>
  <c r="BF125" i="1"/>
  <c r="BT125" i="1" s="1"/>
  <c r="BL36" i="1"/>
  <c r="BZ36" i="1" s="1"/>
  <c r="BK221" i="1"/>
  <c r="BY221" i="1" s="1"/>
  <c r="BD185" i="1"/>
  <c r="BR185" i="1" s="1"/>
  <c r="G29" i="8"/>
  <c r="AW37" i="8"/>
  <c r="BK37" i="8" s="1"/>
  <c r="BK158" i="1"/>
  <c r="BY158" i="1" s="1"/>
  <c r="DZ3" i="8"/>
  <c r="Z73" i="1"/>
  <c r="DP97" i="1"/>
  <c r="ER97" i="1" s="1"/>
  <c r="DH36" i="8"/>
  <c r="EJ36" i="8" s="1"/>
  <c r="CL59" i="8"/>
  <c r="K18" i="48"/>
  <c r="DR150" i="1"/>
  <c r="ET150" i="1" s="1"/>
  <c r="CM207" i="1"/>
  <c r="AN10" i="58"/>
  <c r="V10" i="58" s="1"/>
  <c r="AS10" i="48"/>
  <c r="N9" i="51" s="1"/>
  <c r="Z68" i="1"/>
  <c r="CL29" i="8"/>
  <c r="DR82" i="1"/>
  <c r="ET82" i="1" s="1"/>
  <c r="BL34" i="1"/>
  <c r="BZ34" i="1" s="1"/>
  <c r="BJ125" i="1"/>
  <c r="BX125" i="1" s="1"/>
  <c r="DM23" i="1"/>
  <c r="EO23" i="1" s="1"/>
  <c r="BI186" i="1"/>
  <c r="BW186" i="1" s="1"/>
  <c r="BI35" i="1"/>
  <c r="BW35" i="1" s="1"/>
  <c r="BL77" i="1"/>
  <c r="BZ77" i="1" s="1"/>
  <c r="AH73" i="58"/>
  <c r="EC3" i="1"/>
  <c r="AB173" i="1"/>
  <c r="BH53" i="1"/>
  <c r="BV53" i="1" s="1"/>
  <c r="BL70" i="1"/>
  <c r="BZ70" i="1" s="1"/>
  <c r="CD47" i="1"/>
  <c r="AZ45" i="8"/>
  <c r="BN45" i="8" s="1"/>
  <c r="DK209" i="1"/>
  <c r="EM209" i="1" s="1"/>
  <c r="BN148" i="1"/>
  <c r="CB148" i="1" s="1"/>
  <c r="DN35" i="1"/>
  <c r="EP35" i="1" s="1"/>
  <c r="BM17" i="1"/>
  <c r="CA17" i="1" s="1"/>
  <c r="L176" i="1"/>
  <c r="DM176" i="1"/>
  <c r="EO176" i="1" s="1"/>
  <c r="BG87" i="1"/>
  <c r="BU87" i="1" s="1"/>
  <c r="K52" i="36"/>
  <c r="DG68" i="8"/>
  <c r="BJ26" i="1"/>
  <c r="BX26" i="1" s="1"/>
  <c r="J41" i="8"/>
  <c r="DQ136" i="1"/>
  <c r="ES136" i="1" s="1"/>
  <c r="BJ32" i="1"/>
  <c r="BX32" i="1" s="1"/>
  <c r="DM151" i="1"/>
  <c r="EO151" i="1" s="1"/>
  <c r="AK157" i="1"/>
  <c r="AH157" i="1"/>
  <c r="CD82" i="1"/>
  <c r="BG29" i="1"/>
  <c r="BU29" i="1" s="1"/>
  <c r="AL13" i="44"/>
  <c r="CD118" i="1"/>
  <c r="CV3" i="1"/>
  <c r="AB22" i="8"/>
  <c r="BF174" i="1"/>
  <c r="BT174" i="1" s="1"/>
  <c r="BJ45" i="1"/>
  <c r="BX45" i="1" s="1"/>
  <c r="BG78" i="1"/>
  <c r="BU78" i="1" s="1"/>
  <c r="CD181" i="1"/>
  <c r="CD75" i="1"/>
  <c r="DK7" i="8"/>
  <c r="EM7" i="8" s="1"/>
  <c r="M6" i="44" s="1"/>
  <c r="P222" i="1"/>
  <c r="BI150" i="1"/>
  <c r="BW150" i="1" s="1"/>
  <c r="CD93" i="1"/>
  <c r="CD146" i="1"/>
  <c r="CM3" i="8"/>
  <c r="AI5" i="48"/>
  <c r="Z159" i="1"/>
  <c r="BJ218" i="1"/>
  <c r="BX218" i="1" s="1"/>
  <c r="CK207" i="1"/>
  <c r="O115" i="1"/>
  <c r="CL157" i="1"/>
  <c r="AJ61" i="48"/>
  <c r="AJ156" i="48" s="1"/>
  <c r="E14" i="22"/>
  <c r="BH137" i="1"/>
  <c r="BV137" i="1" s="1"/>
  <c r="CD150" i="1"/>
  <c r="BG61" i="1"/>
  <c r="BU61" i="1" s="1"/>
  <c r="AY52" i="8"/>
  <c r="BM52" i="8" s="1"/>
  <c r="DN88" i="1"/>
  <c r="EP88" i="1" s="1"/>
  <c r="L217" i="1"/>
  <c r="BG42" i="1"/>
  <c r="BU42" i="1" s="1"/>
  <c r="BA7" i="8"/>
  <c r="BO7" i="8" s="1"/>
  <c r="BK161" i="1"/>
  <c r="BY161" i="1" s="1"/>
  <c r="AW69" i="8"/>
  <c r="BK69" i="8" s="1"/>
  <c r="BI194" i="1"/>
  <c r="BW194" i="1" s="1"/>
  <c r="J14" i="22"/>
  <c r="H22" i="8"/>
  <c r="CP72" i="8"/>
  <c r="E68" i="22" s="1"/>
  <c r="F62" i="22" s="1"/>
  <c r="DM119" i="1"/>
  <c r="DL217" i="1"/>
  <c r="EN217" i="1" s="1"/>
  <c r="BF215" i="1"/>
  <c r="BT215" i="1" s="1"/>
  <c r="Z114" i="1"/>
  <c r="AS21" i="48"/>
  <c r="Y21" i="48" s="1"/>
  <c r="CD73" i="1"/>
  <c r="CN72" i="8"/>
  <c r="E35" i="22" s="1"/>
  <c r="F31" i="22" s="1"/>
  <c r="Z14" i="1"/>
  <c r="DO166" i="1"/>
  <c r="EQ166" i="1" s="1"/>
  <c r="AS19" i="48"/>
  <c r="Y19" i="48" s="1"/>
  <c r="CD116" i="1"/>
  <c r="DK63" i="1"/>
  <c r="EM63" i="1" s="1"/>
  <c r="DM91" i="1"/>
  <c r="EO91" i="1" s="1"/>
  <c r="BE224" i="1"/>
  <c r="BS224" i="1" s="1"/>
  <c r="D20" i="51"/>
  <c r="M40" i="36"/>
  <c r="M88" i="36" s="1"/>
  <c r="DI108" i="1"/>
  <c r="EK108" i="1" s="1"/>
  <c r="DR138" i="1"/>
  <c r="ET138" i="1" s="1"/>
  <c r="H17" i="36"/>
  <c r="E57" i="53" s="1"/>
  <c r="F44" i="8"/>
  <c r="DK76" i="1"/>
  <c r="EM76" i="1" s="1"/>
  <c r="CM72" i="8"/>
  <c r="BL81" i="1"/>
  <c r="BZ81" i="1" s="1"/>
  <c r="CD81" i="1"/>
  <c r="L79" i="1"/>
  <c r="BB79" i="1" s="1"/>
  <c r="BP79" i="1" s="1"/>
  <c r="DP37" i="1"/>
  <c r="ER37" i="1" s="1"/>
  <c r="BG56" i="1"/>
  <c r="BU56" i="1" s="1"/>
  <c r="AC157" i="1"/>
  <c r="CR222" i="1"/>
  <c r="EG34" i="8"/>
  <c r="EQ122" i="1"/>
  <c r="BM79" i="1"/>
  <c r="CA79" i="1" s="1"/>
  <c r="DR37" i="1"/>
  <c r="ET37" i="1" s="1"/>
  <c r="BK79" i="1"/>
  <c r="BY79" i="1" s="1"/>
  <c r="U68" i="8"/>
  <c r="DM74" i="1"/>
  <c r="EO74" i="1" s="1"/>
  <c r="P9" i="44"/>
  <c r="J12" i="22"/>
  <c r="DK44" i="8"/>
  <c r="EJ181" i="1"/>
  <c r="CD10" i="1"/>
  <c r="L187" i="1"/>
  <c r="DJ215" i="1"/>
  <c r="EL215" i="1" s="1"/>
  <c r="L74" i="1"/>
  <c r="BZ51" i="8"/>
  <c r="CD62" i="1"/>
  <c r="BH145" i="1"/>
  <c r="BV145" i="1" s="1"/>
  <c r="K10" i="48"/>
  <c r="L194" i="1"/>
  <c r="DR15" i="1"/>
  <c r="ET15" i="1" s="1"/>
  <c r="BK122" i="1"/>
  <c r="BY122" i="1" s="1"/>
  <c r="V51" i="8"/>
  <c r="DQ77" i="1"/>
  <c r="ES77" i="1" s="1"/>
  <c r="F69" i="8"/>
  <c r="F68" i="8" s="1"/>
  <c r="DN172" i="1"/>
  <c r="EP172" i="1" s="1"/>
  <c r="AO155" i="48"/>
  <c r="F42" i="8"/>
  <c r="DI125" i="1"/>
  <c r="EK125" i="1" s="1"/>
  <c r="I59" i="8"/>
  <c r="CD166" i="1"/>
  <c r="AX27" i="8"/>
  <c r="BL27" i="8" s="1"/>
  <c r="BG75" i="1"/>
  <c r="BU75" i="1" s="1"/>
  <c r="Z272" i="2"/>
  <c r="BN83" i="1"/>
  <c r="CB83" i="1" s="1"/>
  <c r="CL173" i="1"/>
  <c r="F27" i="8"/>
  <c r="BG70" i="1"/>
  <c r="BU70" i="1" s="1"/>
  <c r="DM40" i="1"/>
  <c r="EO40" i="1" s="1"/>
  <c r="BG187" i="1"/>
  <c r="BU187" i="1" s="1"/>
  <c r="Q41" i="8"/>
  <c r="BG41" i="8" s="1"/>
  <c r="BU41" i="8" s="1"/>
  <c r="CU72" i="8"/>
  <c r="G68" i="8"/>
  <c r="AW68" i="8" s="1"/>
  <c r="BK68" i="8" s="1"/>
  <c r="CD209" i="1"/>
  <c r="Z141" i="1"/>
  <c r="CD91" i="1"/>
  <c r="DN192" i="1"/>
  <c r="EP192" i="1" s="1"/>
  <c r="BJ192" i="1"/>
  <c r="BX192" i="1" s="1"/>
  <c r="CD52" i="1"/>
  <c r="DJ12" i="8"/>
  <c r="EL12" i="8" s="1"/>
  <c r="L11" i="44" s="1"/>
  <c r="BD14" i="8"/>
  <c r="BR14" i="8" s="1"/>
  <c r="Z148" i="1"/>
  <c r="AQ13" i="44"/>
  <c r="CX3" i="1"/>
  <c r="DM223" i="1"/>
  <c r="EO223" i="1" s="1"/>
  <c r="F14" i="8"/>
  <c r="AV14" i="8" s="1"/>
  <c r="BJ14" i="8" s="1"/>
  <c r="BI123" i="1"/>
  <c r="BW123" i="1" s="1"/>
  <c r="DJ56" i="8"/>
  <c r="EL56" i="8" s="1"/>
  <c r="S222" i="1"/>
  <c r="DL74" i="1"/>
  <c r="EN74" i="1" s="1"/>
  <c r="CD41" i="1"/>
  <c r="BM24" i="1"/>
  <c r="CA24" i="1" s="1"/>
  <c r="BG11" i="1"/>
  <c r="BU11" i="1" s="1"/>
  <c r="BG95" i="1"/>
  <c r="BU95" i="1" s="1"/>
  <c r="AN13" i="44"/>
  <c r="AM13" i="44"/>
  <c r="Z138" i="1"/>
  <c r="DN83" i="1"/>
  <c r="EP83" i="1" s="1"/>
  <c r="DL214" i="1"/>
  <c r="EN214" i="1" s="1"/>
  <c r="EN105" i="1"/>
  <c r="BI22" i="1"/>
  <c r="BW22" i="1" s="1"/>
  <c r="CD32" i="1"/>
  <c r="ES13" i="1"/>
  <c r="S49" i="36"/>
  <c r="S97" i="36" s="1"/>
  <c r="M138" i="35"/>
  <c r="BJ86" i="1"/>
  <c r="BX86" i="1" s="1"/>
  <c r="AR23" i="48"/>
  <c r="D103" i="51" s="1"/>
  <c r="CD94" i="1"/>
  <c r="CD135" i="1"/>
  <c r="CD186" i="1"/>
  <c r="DO214" i="1"/>
  <c r="EQ214" i="1" s="1"/>
  <c r="CD179" i="1"/>
  <c r="DK7" i="1"/>
  <c r="EM7" i="1" s="1"/>
  <c r="DL174" i="1"/>
  <c r="EN174" i="1" s="1"/>
  <c r="BN93" i="1"/>
  <c r="CB93" i="1" s="1"/>
  <c r="AI73" i="58"/>
  <c r="DK19" i="1"/>
  <c r="EM19" i="1" s="1"/>
  <c r="CD215" i="1"/>
  <c r="M140" i="35"/>
  <c r="K67" i="36"/>
  <c r="DM164" i="1"/>
  <c r="AR13" i="44"/>
  <c r="DR221" i="1"/>
  <c r="ET221" i="1" s="1"/>
  <c r="BG74" i="1"/>
  <c r="BU74" i="1" s="1"/>
  <c r="BM13" i="1"/>
  <c r="CA13" i="1" s="1"/>
  <c r="DM60" i="1"/>
  <c r="EO60" i="1" s="1"/>
  <c r="DL123" i="1"/>
  <c r="EN123" i="1" s="1"/>
  <c r="Z182" i="1"/>
  <c r="AP13" i="44"/>
  <c r="F43" i="6"/>
  <c r="DN116" i="1"/>
  <c r="EP116" i="1" s="1"/>
  <c r="Z13" i="1"/>
  <c r="V53" i="2"/>
  <c r="DR181" i="1"/>
  <c r="ET181" i="1" s="1"/>
  <c r="CD175" i="1"/>
  <c r="DP143" i="1"/>
  <c r="ER143" i="1" s="1"/>
  <c r="EG55" i="8"/>
  <c r="BM203" i="1"/>
  <c r="CA203" i="1" s="1"/>
  <c r="AS9" i="48"/>
  <c r="N8" i="51" s="1"/>
  <c r="H9" i="36"/>
  <c r="E10" i="53" s="1"/>
  <c r="Z17" i="1"/>
  <c r="Z210" i="1"/>
  <c r="DR41" i="1"/>
  <c r="ET41" i="1" s="1"/>
  <c r="Z118" i="1"/>
  <c r="DO218" i="1"/>
  <c r="EQ218" i="1" s="1"/>
  <c r="AY35" i="8"/>
  <c r="BM35" i="8" s="1"/>
  <c r="BF56" i="8"/>
  <c r="BT56" i="8" s="1"/>
  <c r="AP62" i="48"/>
  <c r="AP157" i="48" s="1"/>
  <c r="CD176" i="1"/>
  <c r="K46" i="36"/>
  <c r="Z144" i="1"/>
  <c r="DO18" i="1"/>
  <c r="EQ18" i="1" s="1"/>
  <c r="EQ62" i="1"/>
  <c r="DP41" i="1"/>
  <c r="ER41" i="1" s="1"/>
  <c r="DO137" i="1"/>
  <c r="EQ137" i="1" s="1"/>
  <c r="B19" i="51"/>
  <c r="L182" i="1"/>
  <c r="G19" i="51"/>
  <c r="AQ74" i="48"/>
  <c r="AQ169" i="48" s="1"/>
  <c r="DN211" i="1"/>
  <c r="EP211" i="1" s="1"/>
  <c r="BK136" i="1"/>
  <c r="BY136" i="1" s="1"/>
  <c r="DO130" i="1"/>
  <c r="EQ130" i="1" s="1"/>
  <c r="DM209" i="1"/>
  <c r="EO209" i="1" s="1"/>
  <c r="L206" i="1"/>
  <c r="DO118" i="1"/>
  <c r="EQ118" i="1" s="1"/>
  <c r="BJ210" i="1"/>
  <c r="BX210" i="1" s="1"/>
  <c r="T222" i="1"/>
  <c r="BJ222" i="1" s="1"/>
  <c r="BX222" i="1" s="1"/>
  <c r="BI67" i="1"/>
  <c r="BW67" i="1" s="1"/>
  <c r="DN224" i="1"/>
  <c r="EP224" i="1" s="1"/>
  <c r="EM87" i="1"/>
  <c r="CK115" i="1"/>
  <c r="DM19" i="1"/>
  <c r="EO19" i="1" s="1"/>
  <c r="BK51" i="1"/>
  <c r="BY51" i="1" s="1"/>
  <c r="DR206" i="1"/>
  <c r="ET206" i="1" s="1"/>
  <c r="CD83" i="1"/>
  <c r="CD148" i="1"/>
  <c r="BN118" i="1"/>
  <c r="CB118" i="1" s="1"/>
  <c r="BI88" i="1"/>
  <c r="BW88" i="1" s="1"/>
  <c r="L18" i="1"/>
  <c r="DO175" i="1"/>
  <c r="EQ175" i="1" s="1"/>
  <c r="BN75" i="1"/>
  <c r="CB75" i="1" s="1"/>
  <c r="EF3" i="1"/>
  <c r="AI115" i="1"/>
  <c r="CD185" i="1"/>
  <c r="CD211" i="1"/>
  <c r="Z137" i="1"/>
  <c r="AH115" i="1"/>
  <c r="DR10" i="1"/>
  <c r="ET10" i="1" s="1"/>
  <c r="N70" i="36"/>
  <c r="AR164" i="48"/>
  <c r="CD44" i="1"/>
  <c r="AS11" i="48"/>
  <c r="N10" i="51" s="1"/>
  <c r="CD121" i="1"/>
  <c r="DH108" i="1"/>
  <c r="EJ108" i="1" s="1"/>
  <c r="BH175" i="1"/>
  <c r="BV175" i="1" s="1"/>
  <c r="AD173" i="1"/>
  <c r="Z35" i="1"/>
  <c r="DR163" i="1"/>
  <c r="ET163" i="1" s="1"/>
  <c r="Z45" i="1"/>
  <c r="Z176" i="1"/>
  <c r="CD129" i="1"/>
  <c r="EL211" i="1"/>
  <c r="BL224" i="1"/>
  <c r="BZ224" i="1" s="1"/>
  <c r="DQ149" i="1"/>
  <c r="ES149" i="1" s="1"/>
  <c r="BK76" i="1"/>
  <c r="BY76" i="1" s="1"/>
  <c r="DM144" i="1"/>
  <c r="EO144" i="1" s="1"/>
  <c r="D18" i="51"/>
  <c r="CD11" i="1"/>
  <c r="V222" i="1"/>
  <c r="BL222" i="1" s="1"/>
  <c r="BZ222" i="1" s="1"/>
  <c r="CF51" i="8"/>
  <c r="R63" i="6"/>
  <c r="S63" i="6" s="1"/>
  <c r="Z223" i="1"/>
  <c r="Z116" i="1"/>
  <c r="AR110" i="48"/>
  <c r="F93" i="51" s="1"/>
  <c r="AS110" i="48"/>
  <c r="Y110" i="48" s="1"/>
  <c r="R60" i="6"/>
  <c r="S60" i="6" s="1"/>
  <c r="CD42" i="1"/>
  <c r="AY68" i="8"/>
  <c r="BM68" i="8" s="1"/>
  <c r="CD134" i="1"/>
  <c r="F53" i="8"/>
  <c r="CD117" i="1"/>
  <c r="DX37" i="1"/>
  <c r="L70" i="36" s="1"/>
  <c r="L56" i="1"/>
  <c r="BB56" i="1" s="1"/>
  <c r="BP56" i="1" s="1"/>
  <c r="AS12" i="48"/>
  <c r="Y12" i="48" s="1"/>
  <c r="DR6" i="8"/>
  <c r="AS22" i="48"/>
  <c r="N21" i="51" s="1"/>
  <c r="CL51" i="8"/>
  <c r="AR21" i="48"/>
  <c r="D101" i="51" s="1"/>
  <c r="Z214" i="1"/>
  <c r="DL159" i="1"/>
  <c r="N50" i="36" s="1"/>
  <c r="N98" i="36" s="1"/>
  <c r="DL206" i="1"/>
  <c r="EN206" i="1" s="1"/>
  <c r="BL132" i="1"/>
  <c r="BZ132" i="1" s="1"/>
  <c r="CD68" i="1"/>
  <c r="BI37" i="1"/>
  <c r="BW37" i="1" s="1"/>
  <c r="BK183" i="1"/>
  <c r="BY183" i="1" s="1"/>
  <c r="DM70" i="1"/>
  <c r="EO70" i="1" s="1"/>
  <c r="Z158" i="1"/>
  <c r="CD61" i="1"/>
  <c r="CL207" i="1"/>
  <c r="Z56" i="1"/>
  <c r="Z83" i="1"/>
  <c r="DV3" i="8"/>
  <c r="DX3" i="8"/>
  <c r="E33" i="20"/>
  <c r="Z130" i="1"/>
  <c r="Z57" i="1"/>
  <c r="Z183" i="1"/>
  <c r="Z26" i="1"/>
  <c r="CD29" i="1"/>
  <c r="Z186" i="1"/>
  <c r="CI51" i="8"/>
  <c r="Z166" i="1"/>
  <c r="BN210" i="1"/>
  <c r="CB210" i="1" s="1"/>
  <c r="BJ158" i="1"/>
  <c r="BX158" i="1" s="1"/>
  <c r="BN46" i="1"/>
  <c r="CB46" i="1" s="1"/>
  <c r="BL74" i="1"/>
  <c r="BZ74" i="1" s="1"/>
  <c r="DO60" i="1"/>
  <c r="EQ60" i="1" s="1"/>
  <c r="L163" i="1"/>
  <c r="I46" i="36"/>
  <c r="DL66" i="1"/>
  <c r="EN66" i="1" s="1"/>
  <c r="DM159" i="1"/>
  <c r="EO159" i="1" s="1"/>
  <c r="CD223" i="1"/>
  <c r="T61" i="36"/>
  <c r="Z60" i="1"/>
  <c r="AR10" i="48"/>
  <c r="D90" i="51" s="1"/>
  <c r="CD210" i="1"/>
  <c r="Z94" i="1"/>
  <c r="D11" i="51"/>
  <c r="DJ52" i="8"/>
  <c r="EL52" i="8" s="1"/>
  <c r="CU3" i="8"/>
  <c r="Z224" i="1"/>
  <c r="BC53" i="8"/>
  <c r="BQ53" i="8" s="1"/>
  <c r="DQ208" i="1"/>
  <c r="ES208" i="1" s="1"/>
  <c r="CK127" i="1"/>
  <c r="U222" i="1"/>
  <c r="Z87" i="1"/>
  <c r="BI181" i="1"/>
  <c r="BW181" i="1" s="1"/>
  <c r="AI222" i="1"/>
  <c r="DN61" i="8"/>
  <c r="Z24" i="1"/>
  <c r="Z66" i="1"/>
  <c r="DO224" i="1"/>
  <c r="EQ224" i="1" s="1"/>
  <c r="K12" i="48"/>
  <c r="CD84" i="1"/>
  <c r="L70" i="1"/>
  <c r="AI207" i="1"/>
  <c r="Z23" i="1"/>
  <c r="AJ127" i="1"/>
  <c r="CD66" i="1"/>
  <c r="CD67" i="1"/>
  <c r="BG83" i="1"/>
  <c r="BU83" i="1" s="1"/>
  <c r="N76" i="36"/>
  <c r="DO159" i="1"/>
  <c r="Q50" i="36" s="1"/>
  <c r="Q98" i="36" s="1"/>
  <c r="AF5" i="8"/>
  <c r="Z46" i="1"/>
  <c r="M70" i="36"/>
  <c r="Z218" i="1"/>
  <c r="L37" i="1"/>
  <c r="P51" i="8"/>
  <c r="BF51" i="8" s="1"/>
  <c r="BT51" i="8" s="1"/>
  <c r="ED52" i="8"/>
  <c r="CD114" i="1"/>
  <c r="F22" i="20"/>
  <c r="DW190" i="1"/>
  <c r="EK190" i="1" s="1"/>
  <c r="AI173" i="1"/>
  <c r="DR50" i="1"/>
  <c r="ET50" i="1" s="1"/>
  <c r="Z32" i="1"/>
  <c r="DM161" i="1"/>
  <c r="Q61" i="36"/>
  <c r="L55" i="36"/>
  <c r="DQ42" i="1"/>
  <c r="ES42" i="1" s="1"/>
  <c r="CD59" i="1"/>
  <c r="DN13" i="1"/>
  <c r="EP13" i="1" s="1"/>
  <c r="BH71" i="1"/>
  <c r="BV71" i="1" s="1"/>
  <c r="L118" i="1"/>
  <c r="L223" i="1"/>
  <c r="BB223" i="1" s="1"/>
  <c r="BP223" i="1" s="1"/>
  <c r="DP105" i="1"/>
  <c r="ER105" i="1" s="1"/>
  <c r="BK16" i="1"/>
  <c r="BY16" i="1" s="1"/>
  <c r="DI68" i="8"/>
  <c r="EK68" i="8" s="1"/>
  <c r="BG223" i="1"/>
  <c r="BU223" i="1" s="1"/>
  <c r="M57" i="36"/>
  <c r="M105" i="36" s="1"/>
  <c r="BN13" i="1"/>
  <c r="CB13" i="1" s="1"/>
  <c r="AK72" i="48"/>
  <c r="DL60" i="1"/>
  <c r="EN60" i="1" s="1"/>
  <c r="DP107" i="1"/>
  <c r="ER107" i="1" s="1"/>
  <c r="BG13" i="1"/>
  <c r="BU13" i="1" s="1"/>
  <c r="L181" i="1"/>
  <c r="Z25" i="1"/>
  <c r="BX57" i="8"/>
  <c r="CD24" i="1"/>
  <c r="Z160" i="1"/>
  <c r="DR208" i="1"/>
  <c r="ET208" i="1" s="1"/>
  <c r="BG109" i="1"/>
  <c r="BU109" i="1" s="1"/>
  <c r="Z50" i="1"/>
  <c r="DY59" i="1"/>
  <c r="AC272" i="2"/>
  <c r="V200" i="2"/>
  <c r="AE115" i="1"/>
  <c r="CW3" i="8"/>
  <c r="DM139" i="1"/>
  <c r="EO139" i="1" s="1"/>
  <c r="BK84" i="1"/>
  <c r="BY84" i="1" s="1"/>
  <c r="EO41" i="1"/>
  <c r="BI41" i="1"/>
  <c r="BW41" i="1" s="1"/>
  <c r="EG49" i="8"/>
  <c r="DO216" i="1"/>
  <c r="EQ216" i="1" s="1"/>
  <c r="U207" i="1"/>
  <c r="BM52" i="1"/>
  <c r="CA52" i="1" s="1"/>
  <c r="BN67" i="1"/>
  <c r="CB67" i="1" s="1"/>
  <c r="BI94" i="1"/>
  <c r="BW94" i="1" s="1"/>
  <c r="CD212" i="1"/>
  <c r="S12" i="28"/>
  <c r="AI127" i="1"/>
  <c r="EN135" i="1"/>
  <c r="BI118" i="1"/>
  <c r="BW118" i="1" s="1"/>
  <c r="DQ36" i="1"/>
  <c r="ES36" i="1" s="1"/>
  <c r="BH9" i="1"/>
  <c r="BV9" i="1" s="1"/>
  <c r="DM34" i="1"/>
  <c r="DR88" i="1"/>
  <c r="ET88" i="1" s="1"/>
  <c r="DO181" i="1"/>
  <c r="EQ181" i="1" s="1"/>
  <c r="DQ121" i="1"/>
  <c r="ES121" i="1" s="1"/>
  <c r="L44" i="1"/>
  <c r="BJ135" i="1"/>
  <c r="BX135" i="1" s="1"/>
  <c r="CZ58" i="8"/>
  <c r="BI44" i="1"/>
  <c r="BW44" i="1" s="1"/>
  <c r="L218" i="1"/>
  <c r="BB218" i="1" s="1"/>
  <c r="BP218" i="1" s="1"/>
  <c r="DK218" i="1"/>
  <c r="EM218" i="1" s="1"/>
  <c r="DG106" i="1"/>
  <c r="EI106" i="1" s="1"/>
  <c r="BN71" i="1"/>
  <c r="CB71" i="1" s="1"/>
  <c r="DL51" i="1"/>
  <c r="EN51" i="1" s="1"/>
  <c r="L71" i="1"/>
  <c r="BH135" i="1"/>
  <c r="BV135" i="1" s="1"/>
  <c r="DM16" i="1"/>
  <c r="EO16" i="1" s="1"/>
  <c r="DP137" i="1"/>
  <c r="ER137" i="1" s="1"/>
  <c r="ET122" i="1"/>
  <c r="K51" i="8"/>
  <c r="BK179" i="1"/>
  <c r="BY179" i="1" s="1"/>
  <c r="DN144" i="1"/>
  <c r="EP144" i="1" s="1"/>
  <c r="R222" i="1"/>
  <c r="BH222" i="1" s="1"/>
  <c r="BV222" i="1" s="1"/>
  <c r="O41" i="36"/>
  <c r="O89" i="36" s="1"/>
  <c r="EN224" i="1"/>
  <c r="DC29" i="8"/>
  <c r="AL62" i="48"/>
  <c r="AL157" i="48" s="1"/>
  <c r="BH224" i="1"/>
  <c r="BV224" i="1" s="1"/>
  <c r="BJ78" i="1"/>
  <c r="BX78" i="1" s="1"/>
  <c r="AH61" i="48"/>
  <c r="Y117" i="48"/>
  <c r="Z117" i="48" s="1"/>
  <c r="BM37" i="1"/>
  <c r="CA37" i="1" s="1"/>
  <c r="CD46" i="1"/>
  <c r="CM115" i="1"/>
  <c r="Z145" i="1"/>
  <c r="CD145" i="1"/>
  <c r="BH16" i="8"/>
  <c r="BV16" i="8" s="1"/>
  <c r="DL218" i="1"/>
  <c r="EN218" i="1" s="1"/>
  <c r="BH218" i="1"/>
  <c r="BV218" i="1" s="1"/>
  <c r="L174" i="1"/>
  <c r="EG70" i="8"/>
  <c r="EG68" i="8"/>
  <c r="DN7" i="1"/>
  <c r="EP7" i="1" s="1"/>
  <c r="BN79" i="1"/>
  <c r="CB79" i="1" s="1"/>
  <c r="T207" i="1"/>
  <c r="AK5" i="58"/>
  <c r="AH207" i="1"/>
  <c r="DO117" i="1"/>
  <c r="EQ117" i="1" s="1"/>
  <c r="BK129" i="1"/>
  <c r="BY129" i="1" s="1"/>
  <c r="Z37" i="1"/>
  <c r="CD77" i="1"/>
  <c r="DM14" i="1"/>
  <c r="EO14" i="1" s="1"/>
  <c r="EP159" i="1"/>
  <c r="BN57" i="1"/>
  <c r="CB57" i="1" s="1"/>
  <c r="L129" i="1"/>
  <c r="Z44" i="1"/>
  <c r="H11" i="36"/>
  <c r="G11" i="36" s="1"/>
  <c r="P98" i="36"/>
  <c r="Q207" i="1"/>
  <c r="BG207" i="1" s="1"/>
  <c r="BU207" i="1" s="1"/>
  <c r="L210" i="1"/>
  <c r="L77" i="1"/>
  <c r="DL56" i="1"/>
  <c r="EN56" i="1" s="1"/>
  <c r="CG51" i="8"/>
  <c r="Z55" i="1"/>
  <c r="Z216" i="1"/>
  <c r="Z64" i="1"/>
  <c r="AY6" i="8"/>
  <c r="BM6" i="8" s="1"/>
  <c r="DR35" i="1"/>
  <c r="ET35" i="1" s="1"/>
  <c r="Z75" i="1"/>
  <c r="CD20" i="1"/>
  <c r="BK50" i="1"/>
  <c r="BY50" i="1" s="1"/>
  <c r="BL29" i="1"/>
  <c r="BZ29" i="1" s="1"/>
  <c r="BG210" i="1"/>
  <c r="BU210" i="1" s="1"/>
  <c r="L224" i="1"/>
  <c r="L143" i="1"/>
  <c r="BB143" i="1" s="1"/>
  <c r="BP143" i="1" s="1"/>
  <c r="BG143" i="1"/>
  <c r="BU143" i="1" s="1"/>
  <c r="DN143" i="1"/>
  <c r="EP143" i="1" s="1"/>
  <c r="DR119" i="1"/>
  <c r="ET119" i="1" s="1"/>
  <c r="DR65" i="1"/>
  <c r="ET65" i="1" s="1"/>
  <c r="L119" i="1"/>
  <c r="DP73" i="1"/>
  <c r="ER73" i="1" s="1"/>
  <c r="R207" i="1"/>
  <c r="BL159" i="1"/>
  <c r="BZ159" i="1" s="1"/>
  <c r="DM38" i="1"/>
  <c r="EO38" i="1" s="1"/>
  <c r="BH211" i="1"/>
  <c r="BV211" i="1" s="1"/>
  <c r="BJ216" i="1"/>
  <c r="BX216" i="1" s="1"/>
  <c r="R51" i="8"/>
  <c r="BH51" i="8" s="1"/>
  <c r="BV51" i="8" s="1"/>
  <c r="L164" i="1"/>
  <c r="DQ164" i="1"/>
  <c r="ES164" i="1" s="1"/>
  <c r="L43" i="36"/>
  <c r="DR42" i="1"/>
  <c r="ET42" i="1" s="1"/>
  <c r="L53" i="1"/>
  <c r="BK34" i="1"/>
  <c r="BY34" i="1" s="1"/>
  <c r="L13" i="1"/>
  <c r="DR77" i="1"/>
  <c r="ET77" i="1" s="1"/>
  <c r="DO11" i="1"/>
  <c r="EQ11" i="1" s="1"/>
  <c r="AO65" i="48"/>
  <c r="AO160" i="48" s="1"/>
  <c r="DO116" i="1"/>
  <c r="EQ116" i="1" s="1"/>
  <c r="BH78" i="1"/>
  <c r="BV78" i="1" s="1"/>
  <c r="DL8" i="1"/>
  <c r="EN8" i="1" s="1"/>
  <c r="L86" i="1"/>
  <c r="L159" i="1"/>
  <c r="CD31" i="1"/>
  <c r="DM128" i="1"/>
  <c r="EO128" i="1" s="1"/>
  <c r="BG32" i="1"/>
  <c r="BU32" i="1" s="1"/>
  <c r="CD63" i="1"/>
  <c r="DK24" i="1"/>
  <c r="EM24" i="1" s="1"/>
  <c r="DN142" i="1"/>
  <c r="EP142" i="1" s="1"/>
  <c r="Y51" i="8"/>
  <c r="CI173" i="1"/>
  <c r="CD125" i="1"/>
  <c r="DQ109" i="1"/>
  <c r="ES109" i="1" s="1"/>
  <c r="CD139" i="1"/>
  <c r="CQ3" i="8"/>
  <c r="CD130" i="1"/>
  <c r="Z11" i="1"/>
  <c r="CD37" i="1"/>
  <c r="AR22" i="48"/>
  <c r="D102" i="51" s="1"/>
  <c r="BM64" i="1"/>
  <c r="CA64" i="1" s="1"/>
  <c r="DK86" i="1"/>
  <c r="EM86" i="1" s="1"/>
  <c r="L214" i="1"/>
  <c r="DO171" i="1"/>
  <c r="EQ171" i="1" s="1"/>
  <c r="DP160" i="1"/>
  <c r="DM103" i="1"/>
  <c r="EO103" i="1" s="1"/>
  <c r="L51" i="8"/>
  <c r="DF156" i="1"/>
  <c r="N40" i="36"/>
  <c r="N88" i="36" s="1"/>
  <c r="DL35" i="1"/>
  <c r="EN35" i="1" s="1"/>
  <c r="Q222" i="1"/>
  <c r="BH83" i="1"/>
  <c r="BV83" i="1" s="1"/>
  <c r="Z41" i="1"/>
  <c r="Z128" i="1"/>
  <c r="T157" i="1"/>
  <c r="Z6" i="1"/>
  <c r="DN36" i="8"/>
  <c r="Z172" i="1"/>
  <c r="BN142" i="1"/>
  <c r="CB142" i="1" s="1"/>
  <c r="L136" i="1"/>
  <c r="BB136" i="1" s="1"/>
  <c r="BP136" i="1" s="1"/>
  <c r="L161" i="1"/>
  <c r="Z78" i="1"/>
  <c r="Q157" i="1"/>
  <c r="L24" i="1"/>
  <c r="BB24" i="1" s="1"/>
  <c r="BP24" i="1" s="1"/>
  <c r="CD19" i="1"/>
  <c r="BN24" i="1"/>
  <c r="CB24" i="1" s="1"/>
  <c r="DL68" i="1"/>
  <c r="EN68" i="1" s="1"/>
  <c r="AC173" i="1"/>
  <c r="Z49" i="1"/>
  <c r="DL19" i="1"/>
  <c r="EN19" i="1" s="1"/>
  <c r="T44" i="36"/>
  <c r="T92" i="36" s="1"/>
  <c r="DL55" i="8"/>
  <c r="EN55" i="8" s="1"/>
  <c r="L68" i="1"/>
  <c r="BB68" i="1" s="1"/>
  <c r="BP68" i="1" s="1"/>
  <c r="DN160" i="1"/>
  <c r="P48" i="36" s="1"/>
  <c r="P96" i="36" s="1"/>
  <c r="DQ61" i="1"/>
  <c r="ES61" i="1" s="1"/>
  <c r="F52" i="8"/>
  <c r="DQ29" i="1"/>
  <c r="ES29" i="1" s="1"/>
  <c r="L32" i="1"/>
  <c r="L216" i="1"/>
  <c r="DG52" i="8"/>
  <c r="DB17" i="8"/>
  <c r="ED17" i="8" s="1"/>
  <c r="Z22" i="1"/>
  <c r="Z9" i="1"/>
  <c r="Z146" i="1"/>
  <c r="EB3" i="1"/>
  <c r="Z42" i="1"/>
  <c r="D10" i="51"/>
  <c r="L135" i="1"/>
  <c r="BJ160" i="1"/>
  <c r="BX160" i="1" s="1"/>
  <c r="DO174" i="1"/>
  <c r="EQ174" i="1" s="1"/>
  <c r="DR143" i="1"/>
  <c r="ET143" i="1" s="1"/>
  <c r="DP50" i="1"/>
  <c r="ER50" i="1" s="1"/>
  <c r="EP141" i="1"/>
  <c r="P47" i="36"/>
  <c r="P95" i="36" s="1"/>
  <c r="BL22" i="1"/>
  <c r="BZ22" i="1" s="1"/>
  <c r="BH12" i="1"/>
  <c r="BV12" i="1" s="1"/>
  <c r="BN53" i="1"/>
  <c r="CB53" i="1" s="1"/>
  <c r="BM20" i="1"/>
  <c r="CA20" i="1" s="1"/>
  <c r="BM71" i="1"/>
  <c r="CA71" i="1" s="1"/>
  <c r="ES20" i="1"/>
  <c r="L52" i="1"/>
  <c r="BB52" i="1" s="1"/>
  <c r="BP52" i="1" s="1"/>
  <c r="DM160" i="1"/>
  <c r="DR92" i="1"/>
  <c r="ET92" i="1" s="1"/>
  <c r="CD9" i="1"/>
  <c r="Z81" i="1"/>
  <c r="Z71" i="1"/>
  <c r="AB5" i="8"/>
  <c r="EJ126" i="1"/>
  <c r="AE51" i="8"/>
  <c r="CD119" i="1"/>
  <c r="AJ207" i="1"/>
  <c r="EL201" i="1"/>
  <c r="Z59" i="1"/>
  <c r="DK222" i="1"/>
  <c r="AC200" i="2"/>
  <c r="AD200" i="2" s="1"/>
  <c r="CD138" i="1"/>
  <c r="BK24" i="1"/>
  <c r="BY24" i="1" s="1"/>
  <c r="W5" i="8"/>
  <c r="CY3" i="1"/>
  <c r="Z62" i="1"/>
  <c r="CR207" i="1"/>
  <c r="Z175" i="1"/>
  <c r="CD76" i="1"/>
  <c r="AZ6" i="8"/>
  <c r="BN6" i="8" s="1"/>
  <c r="BJ80" i="1"/>
  <c r="BX80" i="1" s="1"/>
  <c r="DN80" i="1"/>
  <c r="EP80" i="1" s="1"/>
  <c r="Z184" i="2"/>
  <c r="P61" i="36"/>
  <c r="L158" i="1"/>
  <c r="AF173" i="1"/>
  <c r="Z135" i="1"/>
  <c r="DO66" i="1"/>
  <c r="EQ66" i="1" s="1"/>
  <c r="W3" i="8"/>
  <c r="L75" i="1"/>
  <c r="Z10" i="1"/>
  <c r="H20" i="36"/>
  <c r="G20" i="36" s="1"/>
  <c r="L22" i="1"/>
  <c r="BB22" i="1" s="1"/>
  <c r="BP22" i="1" s="1"/>
  <c r="CD25" i="1"/>
  <c r="BH158" i="1"/>
  <c r="BV158" i="1" s="1"/>
  <c r="AE173" i="1"/>
  <c r="CJ115" i="1"/>
  <c r="CD161" i="1"/>
  <c r="CD39" i="1"/>
  <c r="BN193" i="1"/>
  <c r="CB193" i="1" s="1"/>
  <c r="CD17" i="1"/>
  <c r="AN62" i="48"/>
  <c r="AN157" i="48" s="1"/>
  <c r="DO13" i="1"/>
  <c r="DL158" i="1"/>
  <c r="EN158" i="1" s="1"/>
  <c r="CD23" i="1"/>
  <c r="H10" i="36"/>
  <c r="E11" i="53" s="1"/>
  <c r="AL157" i="1"/>
  <c r="L132" i="1"/>
  <c r="BB132" i="1" s="1"/>
  <c r="BP132" i="1" s="1"/>
  <c r="CD26" i="1"/>
  <c r="BK20" i="1"/>
  <c r="BY20" i="1" s="1"/>
  <c r="H18" i="36"/>
  <c r="E16" i="53" s="1"/>
  <c r="CD71" i="1"/>
  <c r="Z79" i="1"/>
  <c r="CD21" i="1"/>
  <c r="DR25" i="1"/>
  <c r="ET25" i="1" s="1"/>
  <c r="L145" i="1"/>
  <c r="BB145" i="1" s="1"/>
  <c r="BP145" i="1" s="1"/>
  <c r="N45" i="36"/>
  <c r="Z206" i="1"/>
  <c r="BH49" i="1"/>
  <c r="BV49" i="1" s="1"/>
  <c r="Q41" i="36"/>
  <c r="Q89" i="36" s="1"/>
  <c r="DN180" i="1"/>
  <c r="EP180" i="1" s="1"/>
  <c r="S127" i="1"/>
  <c r="Z86" i="1"/>
  <c r="DK132" i="1"/>
  <c r="EM132" i="1" s="1"/>
  <c r="BI145" i="1"/>
  <c r="BW145" i="1" s="1"/>
  <c r="DJ22" i="8"/>
  <c r="EL22" i="8" s="1"/>
  <c r="BL178" i="1"/>
  <c r="BZ178" i="1" s="1"/>
  <c r="ED47" i="8"/>
  <c r="EI130" i="1"/>
  <c r="BH42" i="1"/>
  <c r="BV42" i="1" s="1"/>
  <c r="AM10" i="58"/>
  <c r="L7" i="57" s="1"/>
  <c r="L138" i="1"/>
  <c r="BB138" i="1" s="1"/>
  <c r="BP138" i="1" s="1"/>
  <c r="AO102" i="48"/>
  <c r="R157" i="1"/>
  <c r="Z121" i="1"/>
  <c r="CD208" i="1"/>
  <c r="Z63" i="1"/>
  <c r="CD172" i="1"/>
  <c r="DN138" i="1"/>
  <c r="EP138" i="1" s="1"/>
  <c r="BJ138" i="1"/>
  <c r="BX138" i="1" s="1"/>
  <c r="DR9" i="8"/>
  <c r="H13" i="36"/>
  <c r="G13" i="36" s="1"/>
  <c r="DW37" i="1"/>
  <c r="EK37" i="1" s="1"/>
  <c r="BJ25" i="1"/>
  <c r="BX25" i="1" s="1"/>
  <c r="EK75" i="1"/>
  <c r="Z36" i="1"/>
  <c r="BG52" i="1"/>
  <c r="BU52" i="1" s="1"/>
  <c r="Z92" i="1"/>
  <c r="BN47" i="1"/>
  <c r="CB47" i="1" s="1"/>
  <c r="DO45" i="1"/>
  <c r="Z184" i="1"/>
  <c r="AH111" i="48"/>
  <c r="L166" i="1"/>
  <c r="BB166" i="1" s="1"/>
  <c r="BP166" i="1" s="1"/>
  <c r="CD56" i="1"/>
  <c r="Z179" i="1"/>
  <c r="Z38" i="1"/>
  <c r="DQ6" i="8"/>
  <c r="CD15" i="1"/>
  <c r="DO22" i="1"/>
  <c r="EQ22" i="1" s="1"/>
  <c r="CD221" i="1"/>
  <c r="EK188" i="1"/>
  <c r="F20" i="20"/>
  <c r="H98" i="6"/>
  <c r="H129" i="6" s="1"/>
  <c r="CD126" i="1"/>
  <c r="L221" i="1"/>
  <c r="BB221" i="1" s="1"/>
  <c r="BP221" i="1" s="1"/>
  <c r="AM102" i="48"/>
  <c r="Z142" i="1"/>
  <c r="BN29" i="1"/>
  <c r="CB29" i="1" s="1"/>
  <c r="DO40" i="1"/>
  <c r="EQ40" i="1" s="1"/>
  <c r="R61" i="36"/>
  <c r="EK96" i="1"/>
  <c r="H24" i="36"/>
  <c r="G24" i="36" s="1"/>
  <c r="G33" i="36" s="1"/>
  <c r="G20" i="20"/>
  <c r="L180" i="1"/>
  <c r="H16" i="36"/>
  <c r="E15" i="53" s="1"/>
  <c r="CD132" i="1"/>
  <c r="Z212" i="1"/>
  <c r="BH138" i="1"/>
  <c r="BV138" i="1" s="1"/>
  <c r="L83" i="1"/>
  <c r="U115" i="1"/>
  <c r="DM36" i="1"/>
  <c r="EO36" i="1" s="1"/>
  <c r="EL53" i="1"/>
  <c r="CD86" i="1"/>
  <c r="G51" i="8"/>
  <c r="CJ157" i="1"/>
  <c r="CD128" i="1"/>
  <c r="DM221" i="1"/>
  <c r="EO221" i="1" s="1"/>
  <c r="S61" i="36"/>
  <c r="I98" i="6"/>
  <c r="I129" i="6" s="1"/>
  <c r="L25" i="1"/>
  <c r="Z174" i="1"/>
  <c r="Z208" i="1"/>
  <c r="BM67" i="1"/>
  <c r="CA67" i="1" s="1"/>
  <c r="AR19" i="48"/>
  <c r="D99" i="51" s="1"/>
  <c r="AK115" i="1"/>
  <c r="CM173" i="1"/>
  <c r="AL115" i="1"/>
  <c r="BH23" i="1"/>
  <c r="BV23" i="1" s="1"/>
  <c r="CD65" i="1"/>
  <c r="L23" i="1"/>
  <c r="Z126" i="1"/>
  <c r="BG122" i="1"/>
  <c r="BU122" i="1" s="1"/>
  <c r="CR115" i="1"/>
  <c r="AE127" i="1"/>
  <c r="CD60" i="1"/>
  <c r="AF157" i="1"/>
  <c r="DW3" i="8"/>
  <c r="Z70" i="1"/>
  <c r="H22" i="36"/>
  <c r="G22" i="36" s="1"/>
  <c r="CD193" i="1"/>
  <c r="AC51" i="8"/>
  <c r="CD159" i="1"/>
  <c r="F57" i="8"/>
  <c r="H15" i="36"/>
  <c r="G15" i="36" s="1"/>
  <c r="Q115" i="1"/>
  <c r="BG115" i="1" s="1"/>
  <c r="BU115" i="1" s="1"/>
  <c r="CD49" i="1"/>
  <c r="CD74" i="1"/>
  <c r="BM82" i="1"/>
  <c r="CA82" i="1" s="1"/>
  <c r="CD57" i="1"/>
  <c r="Z82" i="1"/>
  <c r="L137" i="1"/>
  <c r="AK207" i="1"/>
  <c r="Z74" i="1"/>
  <c r="CJ127" i="1"/>
  <c r="AL173" i="1"/>
  <c r="DP87" i="1"/>
  <c r="ER87" i="1" s="1"/>
  <c r="CD38" i="1"/>
  <c r="AN7" i="58"/>
  <c r="V7" i="58" s="1"/>
  <c r="CD206" i="1"/>
  <c r="AM5" i="48"/>
  <c r="BE103" i="1"/>
  <c r="BS103" i="1" s="1"/>
  <c r="L63" i="1"/>
  <c r="V132" i="2"/>
  <c r="Z162" i="1"/>
  <c r="AI157" i="1"/>
  <c r="AI121" i="48"/>
  <c r="CD137" i="1"/>
  <c r="BH32" i="1"/>
  <c r="BV32" i="1" s="1"/>
  <c r="BH63" i="1"/>
  <c r="BV63" i="1" s="1"/>
  <c r="CD50" i="1"/>
  <c r="BL15" i="1"/>
  <c r="BZ15" i="1" s="1"/>
  <c r="L82" i="1"/>
  <c r="BB82" i="1" s="1"/>
  <c r="BP82" i="1" s="1"/>
  <c r="AR12" i="48"/>
  <c r="D92" i="51" s="1"/>
  <c r="Z122" i="1"/>
  <c r="CD216" i="1"/>
  <c r="CD88" i="1"/>
  <c r="CD7" i="1"/>
  <c r="CJ173" i="1"/>
  <c r="AR15" i="48"/>
  <c r="D95" i="51" s="1"/>
  <c r="DQ34" i="1"/>
  <c r="ES34" i="1" s="1"/>
  <c r="AL5" i="58"/>
  <c r="Z52" i="1"/>
  <c r="AQ72" i="48"/>
  <c r="AQ167" i="48" s="1"/>
  <c r="ET71" i="1"/>
  <c r="CP207" i="1"/>
  <c r="X51" i="8"/>
  <c r="L121" i="1"/>
  <c r="CD143" i="1"/>
  <c r="EK185" i="1"/>
  <c r="Z21" i="1"/>
  <c r="Z163" i="1"/>
  <c r="CN157" i="1"/>
  <c r="Z181" i="1"/>
  <c r="CD180" i="1"/>
  <c r="CP115" i="1"/>
  <c r="Z147" i="1"/>
  <c r="CD22" i="1"/>
  <c r="CD78" i="1"/>
  <c r="AM7" i="58"/>
  <c r="L8" i="57" s="1"/>
  <c r="Z131" i="1"/>
  <c r="Z143" i="1"/>
  <c r="CM157" i="1"/>
  <c r="DL64" i="1"/>
  <c r="EN64" i="1" s="1"/>
  <c r="BJ15" i="1"/>
  <c r="BX15" i="1" s="1"/>
  <c r="H7" i="36"/>
  <c r="E8" i="53" s="1"/>
  <c r="CD79" i="1"/>
  <c r="AS15" i="48"/>
  <c r="AJ157" i="1"/>
  <c r="P4" i="36"/>
  <c r="L15" i="1"/>
  <c r="BB15" i="1" s="1"/>
  <c r="BP15" i="1" s="1"/>
  <c r="BI216" i="1"/>
  <c r="BW216" i="1" s="1"/>
  <c r="DM216" i="1"/>
  <c r="AA127" i="1"/>
  <c r="K15" i="48"/>
  <c r="L15" i="48" s="1"/>
  <c r="CD70" i="1"/>
  <c r="CD53" i="1"/>
  <c r="L149" i="1"/>
  <c r="L215" i="1"/>
  <c r="AN5" i="48"/>
  <c r="BX55" i="8"/>
  <c r="V185" i="2"/>
  <c r="DO223" i="1"/>
  <c r="EQ223" i="1" s="1"/>
  <c r="DR18" i="1"/>
  <c r="ET18" i="1" s="1"/>
  <c r="D12" i="51"/>
  <c r="K13" i="48"/>
  <c r="BK148" i="1"/>
  <c r="BY148" i="1" s="1"/>
  <c r="DO148" i="1"/>
  <c r="EQ148" i="1" s="1"/>
  <c r="BL139" i="1"/>
  <c r="BZ139" i="1" s="1"/>
  <c r="DP139" i="1"/>
  <c r="ER139" i="1" s="1"/>
  <c r="AR11" i="48"/>
  <c r="D91" i="51" s="1"/>
  <c r="DY127" i="1"/>
  <c r="AC184" i="2"/>
  <c r="AD184" i="2" s="1"/>
  <c r="CO115" i="1"/>
  <c r="CM127" i="1"/>
  <c r="Z39" i="1"/>
  <c r="Z15" i="1"/>
  <c r="BG118" i="1"/>
  <c r="BU118" i="1" s="1"/>
  <c r="BL65" i="1"/>
  <c r="BZ65" i="1" s="1"/>
  <c r="DQ22" i="1"/>
  <c r="ES22" i="1" s="1"/>
  <c r="BK12" i="1"/>
  <c r="BY12" i="1" s="1"/>
  <c r="ER63" i="1"/>
  <c r="V207" i="1"/>
  <c r="BL207" i="1" s="1"/>
  <c r="BZ207" i="1" s="1"/>
  <c r="L95" i="1"/>
  <c r="BN179" i="1"/>
  <c r="CB179" i="1" s="1"/>
  <c r="BI76" i="1"/>
  <c r="BW76" i="1" s="1"/>
  <c r="L92" i="1"/>
  <c r="L123" i="1"/>
  <c r="DI102" i="1"/>
  <c r="AC44" i="58" s="1"/>
  <c r="AC112" i="58" s="1"/>
  <c r="DL21" i="1"/>
  <c r="BN137" i="1"/>
  <c r="CB137" i="1" s="1"/>
  <c r="BN158" i="1"/>
  <c r="CB158" i="1" s="1"/>
  <c r="DR158" i="1"/>
  <c r="ET158" i="1" s="1"/>
  <c r="H101" i="6"/>
  <c r="H132" i="6" s="1"/>
  <c r="CD174" i="1"/>
  <c r="BI82" i="1"/>
  <c r="BW82" i="1" s="1"/>
  <c r="DM82" i="1"/>
  <c r="EO82" i="1" s="1"/>
  <c r="DC3" i="1"/>
  <c r="AR7" i="48"/>
  <c r="D87" i="51" s="1"/>
  <c r="AI5" i="58"/>
  <c r="BM23" i="1"/>
  <c r="CA23" i="1" s="1"/>
  <c r="DQ23" i="1"/>
  <c r="ES23" i="1" s="1"/>
  <c r="L29" i="1"/>
  <c r="BB29" i="1" s="1"/>
  <c r="BP29" i="1" s="1"/>
  <c r="BM25" i="1"/>
  <c r="CA25" i="1" s="1"/>
  <c r="BI83" i="1"/>
  <c r="BW83" i="1" s="1"/>
  <c r="DM83" i="1"/>
  <c r="EO83" i="1" s="1"/>
  <c r="EF36" i="8"/>
  <c r="CP173" i="1"/>
  <c r="V173" i="1"/>
  <c r="BL173" i="1" s="1"/>
  <c r="BZ173" i="1" s="1"/>
  <c r="DQ31" i="1"/>
  <c r="ES31" i="1" s="1"/>
  <c r="BM31" i="1"/>
  <c r="CA31" i="1" s="1"/>
  <c r="CD164" i="1"/>
  <c r="DT189" i="1"/>
  <c r="AR9" i="48"/>
  <c r="D89" i="51" s="1"/>
  <c r="CD14" i="1"/>
  <c r="L122" i="1"/>
  <c r="BB122" i="1" s="1"/>
  <c r="BP122" i="1" s="1"/>
  <c r="CD224" i="1"/>
  <c r="EL100" i="1"/>
  <c r="DK30" i="1"/>
  <c r="EM30" i="1" s="1"/>
  <c r="CD95" i="1"/>
  <c r="Z61" i="1"/>
  <c r="P15" i="28"/>
  <c r="L65" i="1"/>
  <c r="BM53" i="1"/>
  <c r="CA53" i="1" s="1"/>
  <c r="DQ53" i="1"/>
  <c r="ES53" i="1" s="1"/>
  <c r="CD122" i="1"/>
  <c r="DT66" i="1"/>
  <c r="EJ66" i="1"/>
  <c r="H8" i="36"/>
  <c r="E9" i="53" s="1"/>
  <c r="AC132" i="2"/>
  <c r="AD132" i="2" s="1"/>
  <c r="W207" i="1"/>
  <c r="BM207" i="1" s="1"/>
  <c r="CA207" i="1" s="1"/>
  <c r="DR214" i="1"/>
  <c r="ET214" i="1" s="1"/>
  <c r="BN214" i="1"/>
  <c r="CB214" i="1" s="1"/>
  <c r="EO76" i="1"/>
  <c r="AL71" i="48"/>
  <c r="AL166" i="48" s="1"/>
  <c r="V115" i="1"/>
  <c r="BL115" i="1" s="1"/>
  <c r="BZ115" i="1" s="1"/>
  <c r="AI57" i="48"/>
  <c r="BH125" i="1"/>
  <c r="BV125" i="1" s="1"/>
  <c r="Q173" i="1"/>
  <c r="BL208" i="1"/>
  <c r="BZ208" i="1" s="1"/>
  <c r="L208" i="1"/>
  <c r="BB208" i="1" s="1"/>
  <c r="BP208" i="1" s="1"/>
  <c r="CZ70" i="8"/>
  <c r="EB70" i="8" s="1"/>
  <c r="L55" i="1"/>
  <c r="BB55" i="1" s="1"/>
  <c r="BP55" i="1" s="1"/>
  <c r="AS164" i="48"/>
  <c r="Y164" i="48" s="1"/>
  <c r="Z164" i="48" s="1"/>
  <c r="L209" i="1"/>
  <c r="BB209" i="1" s="1"/>
  <c r="BP209" i="1" s="1"/>
  <c r="L179" i="1"/>
  <c r="BK82" i="1"/>
  <c r="BY82" i="1" s="1"/>
  <c r="L39" i="1"/>
  <c r="EN129" i="1"/>
  <c r="DP116" i="1"/>
  <c r="BG146" i="1"/>
  <c r="BU146" i="1" s="1"/>
  <c r="DF68" i="8"/>
  <c r="EH68" i="8" s="1"/>
  <c r="L142" i="1"/>
  <c r="BB142" i="1" s="1"/>
  <c r="BP142" i="1" s="1"/>
  <c r="DO82" i="1"/>
  <c r="EQ82" i="1" s="1"/>
  <c r="DM31" i="1"/>
  <c r="EO31" i="1" s="1"/>
  <c r="BN62" i="1"/>
  <c r="CB62" i="1" s="1"/>
  <c r="BM105" i="1"/>
  <c r="CA105" i="1" s="1"/>
  <c r="BH129" i="1"/>
  <c r="BV129" i="1" s="1"/>
  <c r="DP60" i="1"/>
  <c r="ER60" i="1" s="1"/>
  <c r="O19" i="51"/>
  <c r="L84" i="1"/>
  <c r="J54" i="36"/>
  <c r="J102" i="36" s="1"/>
  <c r="L62" i="1"/>
  <c r="DP208" i="1"/>
  <c r="ER208" i="1" s="1"/>
  <c r="L87" i="1"/>
  <c r="DO77" i="1"/>
  <c r="BL42" i="1"/>
  <c r="BZ42" i="1" s="1"/>
  <c r="BD16" i="8"/>
  <c r="BR16" i="8" s="1"/>
  <c r="BN162" i="1"/>
  <c r="CB162" i="1" s="1"/>
  <c r="O42" i="36"/>
  <c r="DK22" i="1"/>
  <c r="EM22" i="1" s="1"/>
  <c r="L31" i="1"/>
  <c r="BB31" i="1" s="1"/>
  <c r="BP31" i="1" s="1"/>
  <c r="DP32" i="1"/>
  <c r="W173" i="1"/>
  <c r="BM173" i="1" s="1"/>
  <c r="CA173" i="1" s="1"/>
  <c r="X157" i="1"/>
  <c r="BN157" i="1" s="1"/>
  <c r="CB157" i="1" s="1"/>
  <c r="L139" i="1"/>
  <c r="DQ106" i="1"/>
  <c r="ES106" i="1" s="1"/>
  <c r="N55" i="36"/>
  <c r="N103" i="36" s="1"/>
  <c r="L42" i="1"/>
  <c r="DF44" i="1"/>
  <c r="AQ70" i="48"/>
  <c r="AQ165" i="48" s="1"/>
  <c r="BN21" i="1"/>
  <c r="CB21" i="1" s="1"/>
  <c r="EE58" i="8"/>
  <c r="BK78" i="1"/>
  <c r="BY78" i="1" s="1"/>
  <c r="BN44" i="1"/>
  <c r="CB44" i="1" s="1"/>
  <c r="L9" i="1"/>
  <c r="F54" i="8"/>
  <c r="L6" i="1"/>
  <c r="L162" i="1"/>
  <c r="L144" i="1"/>
  <c r="BB144" i="1" s="1"/>
  <c r="BP144" i="1" s="1"/>
  <c r="DG55" i="8"/>
  <c r="EI55" i="8" s="1"/>
  <c r="M51" i="8"/>
  <c r="DR66" i="1"/>
  <c r="BJ62" i="1"/>
  <c r="BX62" i="1" s="1"/>
  <c r="DN62" i="1"/>
  <c r="CD87" i="1"/>
  <c r="CZ3" i="1"/>
  <c r="BX53" i="8"/>
  <c r="BG142" i="1"/>
  <c r="BU142" i="1" s="1"/>
  <c r="DK142" i="1"/>
  <c r="EM142" i="1" s="1"/>
  <c r="L40" i="1"/>
  <c r="BE16" i="8"/>
  <c r="BS16" i="8" s="1"/>
  <c r="DQ114" i="1"/>
  <c r="ES114" i="1" s="1"/>
  <c r="BM114" i="1"/>
  <c r="CA114" i="1" s="1"/>
  <c r="AE157" i="1"/>
  <c r="EE55" i="8"/>
  <c r="DL41" i="1"/>
  <c r="DN186" i="1"/>
  <c r="EP186" i="1" s="1"/>
  <c r="BJ186" i="1"/>
  <c r="BX186" i="1" s="1"/>
  <c r="AJ5" i="48"/>
  <c r="Z178" i="1"/>
  <c r="BX52" i="8"/>
  <c r="BC16" i="8"/>
  <c r="BQ16" i="8" s="1"/>
  <c r="CD55" i="1"/>
  <c r="BH122" i="1"/>
  <c r="BV122" i="1" s="1"/>
  <c r="DL122" i="1"/>
  <c r="BN14" i="1"/>
  <c r="CB14" i="1" s="1"/>
  <c r="DR14" i="1"/>
  <c r="ET14" i="1" s="1"/>
  <c r="DN75" i="1"/>
  <c r="EP75" i="1" s="1"/>
  <c r="BJ75" i="1"/>
  <c r="BX75" i="1" s="1"/>
  <c r="BN40" i="1"/>
  <c r="CB40" i="1" s="1"/>
  <c r="BJ77" i="1"/>
  <c r="BX77" i="1" s="1"/>
  <c r="DN77" i="1"/>
  <c r="EP77" i="1" s="1"/>
  <c r="Y20" i="48"/>
  <c r="Z20" i="48" s="1"/>
  <c r="V157" i="1"/>
  <c r="BL157" i="1" s="1"/>
  <c r="BZ157" i="1" s="1"/>
  <c r="BG224" i="1"/>
  <c r="BU224" i="1" s="1"/>
  <c r="CD184" i="1"/>
  <c r="CR173" i="1"/>
  <c r="BM107" i="1"/>
  <c r="CA107" i="1" s="1"/>
  <c r="O44" i="36"/>
  <c r="O92" i="36" s="1"/>
  <c r="Z47" i="1"/>
  <c r="CD51" i="1"/>
  <c r="K43" i="36"/>
  <c r="BA54" i="8"/>
  <c r="BO54" i="8" s="1"/>
  <c r="BK95" i="1"/>
  <c r="BY95" i="1" s="1"/>
  <c r="BH139" i="1"/>
  <c r="BV139" i="1" s="1"/>
  <c r="DO182" i="1"/>
  <c r="EQ182" i="1" s="1"/>
  <c r="DO95" i="1"/>
  <c r="EQ95" i="1" s="1"/>
  <c r="AR18" i="48"/>
  <c r="D98" i="51" s="1"/>
  <c r="J82" i="6"/>
  <c r="J81" i="6" s="1"/>
  <c r="J114" i="6" s="1"/>
  <c r="I67" i="36"/>
  <c r="AS18" i="48"/>
  <c r="H20" i="20"/>
  <c r="BG174" i="1"/>
  <c r="BU174" i="1" s="1"/>
  <c r="Z209" i="1"/>
  <c r="CI207" i="1"/>
  <c r="P12" i="28"/>
  <c r="Z93" i="1"/>
  <c r="AK71" i="48"/>
  <c r="AK166" i="48" s="1"/>
  <c r="DJ16" i="8"/>
  <c r="EL16" i="8" s="1"/>
  <c r="DP144" i="1"/>
  <c r="ER144" i="1" s="1"/>
  <c r="AR13" i="48"/>
  <c r="D93" i="51" s="1"/>
  <c r="BI117" i="1"/>
  <c r="BW117" i="1" s="1"/>
  <c r="DM117" i="1"/>
  <c r="Z88" i="1"/>
  <c r="AJ173" i="1"/>
  <c r="K22" i="48"/>
  <c r="CD45" i="1"/>
  <c r="BN55" i="1"/>
  <c r="CB55" i="1" s="1"/>
  <c r="DR55" i="1"/>
  <c r="DN9" i="1"/>
  <c r="EP9" i="1" s="1"/>
  <c r="BJ9" i="1"/>
  <c r="BX9" i="1" s="1"/>
  <c r="CD64" i="1"/>
  <c r="BM142" i="1"/>
  <c r="CA142" i="1" s="1"/>
  <c r="DP135" i="1"/>
  <c r="ER135" i="1" s="1"/>
  <c r="BL135" i="1"/>
  <c r="BZ135" i="1" s="1"/>
  <c r="DQ95" i="1"/>
  <c r="ES95" i="1" s="1"/>
  <c r="BM95" i="1"/>
  <c r="CA95" i="1" s="1"/>
  <c r="DN163" i="1"/>
  <c r="EP163" i="1" s="1"/>
  <c r="BJ163" i="1"/>
  <c r="BX163" i="1" s="1"/>
  <c r="DL119" i="1"/>
  <c r="BH119" i="1"/>
  <c r="BV119" i="1" s="1"/>
  <c r="DP86" i="1"/>
  <c r="ER86" i="1" s="1"/>
  <c r="BL86" i="1"/>
  <c r="BZ86" i="1" s="1"/>
  <c r="BJ52" i="1"/>
  <c r="BX52" i="1" s="1"/>
  <c r="DN52" i="1"/>
  <c r="EP52" i="1" s="1"/>
  <c r="CD40" i="1"/>
  <c r="AG68" i="48"/>
  <c r="AG163" i="48" s="1"/>
  <c r="AF127" i="1"/>
  <c r="CO173" i="1"/>
  <c r="AJ5" i="58"/>
  <c r="BG214" i="1"/>
  <c r="BU214" i="1" s="1"/>
  <c r="DK214" i="1"/>
  <c r="BG159" i="1"/>
  <c r="BU159" i="1" s="1"/>
  <c r="DK159" i="1"/>
  <c r="BJ24" i="1"/>
  <c r="BX24" i="1" s="1"/>
  <c r="DN24" i="1"/>
  <c r="AL70" i="48"/>
  <c r="AL165" i="48" s="1"/>
  <c r="AE207" i="1"/>
  <c r="X173" i="1"/>
  <c r="BN173" i="1" s="1"/>
  <c r="CB173" i="1" s="1"/>
  <c r="BJ22" i="1"/>
  <c r="BX22" i="1" s="1"/>
  <c r="DN22" i="1"/>
  <c r="AG59" i="48"/>
  <c r="H12" i="36"/>
  <c r="E13" i="53" s="1"/>
  <c r="DN183" i="1"/>
  <c r="EP183" i="1" s="1"/>
  <c r="BJ183" i="1"/>
  <c r="BX183" i="1" s="1"/>
  <c r="DM81" i="1"/>
  <c r="BI81" i="1"/>
  <c r="BW81" i="1" s="1"/>
  <c r="CI222" i="1"/>
  <c r="DB3" i="1"/>
  <c r="DM206" i="1"/>
  <c r="EO206" i="1" s="1"/>
  <c r="BI206" i="1"/>
  <c r="BW206" i="1" s="1"/>
  <c r="BJ136" i="1"/>
  <c r="BX136" i="1" s="1"/>
  <c r="DN136" i="1"/>
  <c r="EP136" i="1" s="1"/>
  <c r="DK179" i="1"/>
  <c r="EM179" i="1" s="1"/>
  <c r="BG179" i="1"/>
  <c r="BU179" i="1" s="1"/>
  <c r="DK92" i="1"/>
  <c r="EM92" i="1" s="1"/>
  <c r="BG92" i="1"/>
  <c r="BU92" i="1" s="1"/>
  <c r="BK86" i="1"/>
  <c r="BY86" i="1" s="1"/>
  <c r="DO86" i="1"/>
  <c r="EQ86" i="1" s="1"/>
  <c r="CL115" i="1"/>
  <c r="R12" i="28"/>
  <c r="CD13" i="1"/>
  <c r="EL88" i="1"/>
  <c r="BJ31" i="1"/>
  <c r="BX31" i="1" s="1"/>
  <c r="CD123" i="1"/>
  <c r="AM68" i="48"/>
  <c r="AM163" i="48" s="1"/>
  <c r="L71" i="36"/>
  <c r="DA3" i="1"/>
  <c r="Z31" i="1"/>
  <c r="AH74" i="48"/>
  <c r="AH169" i="48" s="1"/>
  <c r="EK111" i="1"/>
  <c r="H21" i="36"/>
  <c r="G21" i="36" s="1"/>
  <c r="G32" i="36" s="1"/>
  <c r="DL6" i="1"/>
  <c r="EN6" i="1" s="1"/>
  <c r="BH6" i="1"/>
  <c r="BV6" i="1" s="1"/>
  <c r="Z215" i="1"/>
  <c r="DP138" i="1"/>
  <c r="BL138" i="1"/>
  <c r="BZ138" i="1" s="1"/>
  <c r="BG66" i="1"/>
  <c r="BU66" i="1" s="1"/>
  <c r="DK66" i="1"/>
  <c r="EM66" i="1" s="1"/>
  <c r="CK157" i="1"/>
  <c r="Z65" i="1"/>
  <c r="CD142" i="1"/>
  <c r="BH180" i="1"/>
  <c r="BV180" i="1" s="1"/>
  <c r="AF67" i="48"/>
  <c r="AF162" i="48" s="1"/>
  <c r="BH29" i="1"/>
  <c r="BV29" i="1" s="1"/>
  <c r="DL29" i="1"/>
  <c r="EN29" i="1" s="1"/>
  <c r="X3" i="8"/>
  <c r="AE5" i="8"/>
  <c r="AE5" i="58"/>
  <c r="CN207" i="1"/>
  <c r="DK139" i="1"/>
  <c r="BM90" i="1"/>
  <c r="CA90" i="1" s="1"/>
  <c r="DK17" i="8"/>
  <c r="EM17" i="8" s="1"/>
  <c r="R4" i="36"/>
  <c r="DN212" i="1"/>
  <c r="EP212" i="1" s="1"/>
  <c r="BJ212" i="1"/>
  <c r="BX212" i="1" s="1"/>
  <c r="BH17" i="1"/>
  <c r="BV17" i="1" s="1"/>
  <c r="AM8" i="58"/>
  <c r="L6" i="57" s="1"/>
  <c r="Z20" i="1"/>
  <c r="DO123" i="1"/>
  <c r="EQ123" i="1" s="1"/>
  <c r="BK123" i="1"/>
  <c r="BY123" i="1" s="1"/>
  <c r="BK7" i="1"/>
  <c r="BY7" i="1" s="1"/>
  <c r="DO7" i="1"/>
  <c r="EQ7" i="1" s="1"/>
  <c r="Z84" i="1"/>
  <c r="DN134" i="1"/>
  <c r="EP134" i="1" s="1"/>
  <c r="BJ134" i="1"/>
  <c r="BX134" i="1" s="1"/>
  <c r="BN122" i="1"/>
  <c r="CB122" i="1" s="1"/>
  <c r="L26" i="1"/>
  <c r="BK61" i="1"/>
  <c r="BY61" i="1" s="1"/>
  <c r="DO61" i="1"/>
  <c r="EQ61" i="1" s="1"/>
  <c r="AP72" i="48"/>
  <c r="AP167" i="48" s="1"/>
  <c r="ES71" i="1"/>
  <c r="I50" i="20"/>
  <c r="I12" i="42" s="1"/>
  <c r="BL179" i="1"/>
  <c r="BZ179" i="1" s="1"/>
  <c r="DP179" i="1"/>
  <c r="ER179" i="1" s="1"/>
  <c r="BK209" i="1"/>
  <c r="BY209" i="1" s="1"/>
  <c r="DO209" i="1"/>
  <c r="BE190" i="1"/>
  <c r="BS190" i="1" s="1"/>
  <c r="BB57" i="8"/>
  <c r="BP57" i="8" s="1"/>
  <c r="BI125" i="1"/>
  <c r="BW125" i="1" s="1"/>
  <c r="DM125" i="1"/>
  <c r="EO125" i="1" s="1"/>
  <c r="DO37" i="1"/>
  <c r="BK37" i="1"/>
  <c r="BY37" i="1" s="1"/>
  <c r="Z76" i="1"/>
  <c r="T127" i="1"/>
  <c r="DM131" i="1"/>
  <c r="EO131" i="1" s="1"/>
  <c r="BI131" i="1"/>
  <c r="BW131" i="1" s="1"/>
  <c r="Z7" i="1"/>
  <c r="BL148" i="1"/>
  <c r="BZ148" i="1" s="1"/>
  <c r="DP148" i="1"/>
  <c r="ER148" i="1" s="1"/>
  <c r="BL181" i="1"/>
  <c r="BZ181" i="1" s="1"/>
  <c r="DP181" i="1"/>
  <c r="DK91" i="1"/>
  <c r="EM91" i="1" s="1"/>
  <c r="BG91" i="1"/>
  <c r="BU91" i="1" s="1"/>
  <c r="DK41" i="1"/>
  <c r="BG41" i="1"/>
  <c r="BU41" i="1" s="1"/>
  <c r="BH143" i="1"/>
  <c r="BV143" i="1" s="1"/>
  <c r="DL143" i="1"/>
  <c r="Z139" i="1"/>
  <c r="BK65" i="1"/>
  <c r="BY65" i="1" s="1"/>
  <c r="DO65" i="1"/>
  <c r="DO164" i="1"/>
  <c r="EQ164" i="1" s="1"/>
  <c r="BK164" i="1"/>
  <c r="BY164" i="1" s="1"/>
  <c r="DO83" i="1"/>
  <c r="BK83" i="1"/>
  <c r="BY83" i="1" s="1"/>
  <c r="DN87" i="1"/>
  <c r="EP87" i="1" s="1"/>
  <c r="BJ87" i="1"/>
  <c r="BX87" i="1" s="1"/>
  <c r="BM7" i="1"/>
  <c r="CA7" i="1" s="1"/>
  <c r="DQ7" i="1"/>
  <c r="ES7" i="1" s="1"/>
  <c r="DK38" i="1"/>
  <c r="BG38" i="1"/>
  <c r="BU38" i="1" s="1"/>
  <c r="CD12" i="1"/>
  <c r="DO73" i="1"/>
  <c r="BK73" i="1"/>
  <c r="BY73" i="1" s="1"/>
  <c r="BK87" i="1"/>
  <c r="BY87" i="1" s="1"/>
  <c r="DO87" i="1"/>
  <c r="EQ87" i="1" s="1"/>
  <c r="Z180" i="1"/>
  <c r="BD163" i="1"/>
  <c r="BR163" i="1" s="1"/>
  <c r="AB157" i="1"/>
  <c r="DP215" i="1"/>
  <c r="ER215" i="1" s="1"/>
  <c r="BL215" i="1"/>
  <c r="BZ215" i="1" s="1"/>
  <c r="CN115" i="1"/>
  <c r="DK20" i="1"/>
  <c r="BG20" i="1"/>
  <c r="BU20" i="1" s="1"/>
  <c r="DJ53" i="8"/>
  <c r="BF53" i="8"/>
  <c r="BT53" i="8" s="1"/>
  <c r="DR114" i="1"/>
  <c r="ET114" i="1" s="1"/>
  <c r="BN114" i="1"/>
  <c r="CB114" i="1" s="1"/>
  <c r="L114" i="1"/>
  <c r="BA24" i="8"/>
  <c r="BO24" i="8" s="1"/>
  <c r="K22" i="8"/>
  <c r="BA22" i="8" s="1"/>
  <c r="BO22" i="8" s="1"/>
  <c r="L125" i="1"/>
  <c r="BB125" i="1" s="1"/>
  <c r="BP125" i="1" s="1"/>
  <c r="N4" i="36"/>
  <c r="BH40" i="1"/>
  <c r="BV40" i="1" s="1"/>
  <c r="DL40" i="1"/>
  <c r="DO186" i="1"/>
  <c r="EQ186" i="1" s="1"/>
  <c r="BK186" i="1"/>
  <c r="BY186" i="1" s="1"/>
  <c r="BG65" i="1"/>
  <c r="BU65" i="1" s="1"/>
  <c r="DK65" i="1"/>
  <c r="F24" i="8"/>
  <c r="AV24" i="8" s="1"/>
  <c r="BJ24" i="8" s="1"/>
  <c r="CO207" i="1"/>
  <c r="BH116" i="1"/>
  <c r="BV116" i="1" s="1"/>
  <c r="DL116" i="1"/>
  <c r="EN116" i="1" s="1"/>
  <c r="DA68" i="8"/>
  <c r="EC68" i="8" s="1"/>
  <c r="EC70" i="8"/>
  <c r="BK121" i="1"/>
  <c r="BY121" i="1" s="1"/>
  <c r="DO121" i="1"/>
  <c r="EQ121" i="1" s="1"/>
  <c r="DM130" i="1"/>
  <c r="BI130" i="1"/>
  <c r="BW130" i="1" s="1"/>
  <c r="AK127" i="1"/>
  <c r="CI157" i="1"/>
  <c r="BG40" i="1"/>
  <c r="BU40" i="1" s="1"/>
  <c r="DK68" i="1"/>
  <c r="EM68" i="1" s="1"/>
  <c r="BG45" i="1"/>
  <c r="BU45" i="1" s="1"/>
  <c r="DK45" i="1"/>
  <c r="BG68" i="1"/>
  <c r="BU68" i="1" s="1"/>
  <c r="DL87" i="1"/>
  <c r="BH47" i="1"/>
  <c r="BV47" i="1" s="1"/>
  <c r="DL47" i="1"/>
  <c r="EN47" i="1" s="1"/>
  <c r="BI122" i="1"/>
  <c r="BW122" i="1" s="1"/>
  <c r="DM122" i="1"/>
  <c r="AL74" i="48"/>
  <c r="BL35" i="1"/>
  <c r="BZ35" i="1" s="1"/>
  <c r="DP35" i="1"/>
  <c r="ER35" i="1" s="1"/>
  <c r="BN135" i="1"/>
  <c r="CB135" i="1" s="1"/>
  <c r="DR135" i="1"/>
  <c r="ET135" i="1" s="1"/>
  <c r="CD163" i="1"/>
  <c r="BC41" i="1"/>
  <c r="BQ41" i="1" s="1"/>
  <c r="DK57" i="8"/>
  <c r="EM57" i="8" s="1"/>
  <c r="BG57" i="8"/>
  <c r="BU57" i="8" s="1"/>
  <c r="DR123" i="1"/>
  <c r="ET123" i="1" s="1"/>
  <c r="BN123" i="1"/>
  <c r="CB123" i="1" s="1"/>
  <c r="BM215" i="1"/>
  <c r="CA215" i="1" s="1"/>
  <c r="DQ215" i="1"/>
  <c r="D8" i="51"/>
  <c r="K9" i="48"/>
  <c r="AW54" i="8"/>
  <c r="BK54" i="8" s="1"/>
  <c r="BG139" i="1"/>
  <c r="BU139" i="1" s="1"/>
  <c r="DI101" i="1"/>
  <c r="AH63" i="48" s="1"/>
  <c r="BK93" i="1"/>
  <c r="BY93" i="1" s="1"/>
  <c r="DO93" i="1"/>
  <c r="AP5" i="48"/>
  <c r="Z19" i="1"/>
  <c r="BK92" i="1"/>
  <c r="BY92" i="1" s="1"/>
  <c r="DO92" i="1"/>
  <c r="CD35" i="1"/>
  <c r="Z119" i="1"/>
  <c r="BH87" i="1"/>
  <c r="BV87" i="1" s="1"/>
  <c r="BM216" i="1"/>
  <c r="CA216" i="1" s="1"/>
  <c r="DQ216" i="1"/>
  <c r="DL136" i="1"/>
  <c r="EN136" i="1" s="1"/>
  <c r="BH136" i="1"/>
  <c r="BV136" i="1" s="1"/>
  <c r="BM144" i="1"/>
  <c r="CA144" i="1" s="1"/>
  <c r="DQ144" i="1"/>
  <c r="ES144" i="1" s="1"/>
  <c r="DQ148" i="1"/>
  <c r="ES148" i="1" s="1"/>
  <c r="BM148" i="1"/>
  <c r="CA148" i="1" s="1"/>
  <c r="BH61" i="1"/>
  <c r="BV61" i="1" s="1"/>
  <c r="DL61" i="1"/>
  <c r="EN61" i="1" s="1"/>
  <c r="L61" i="1"/>
  <c r="AH5" i="58"/>
  <c r="BK134" i="1"/>
  <c r="BY134" i="1" s="1"/>
  <c r="DO134" i="1"/>
  <c r="EQ134" i="1" s="1"/>
  <c r="BG84" i="1"/>
  <c r="BU84" i="1" s="1"/>
  <c r="BJ108" i="1"/>
  <c r="BX108" i="1" s="1"/>
  <c r="L108" i="1"/>
  <c r="CD106" i="1"/>
  <c r="DE22" i="8"/>
  <c r="EG22" i="8" s="1"/>
  <c r="Z51" i="8"/>
  <c r="Z132" i="1"/>
  <c r="O13" i="22"/>
  <c r="BM75" i="1"/>
  <c r="CA75" i="1" s="1"/>
  <c r="DQ75" i="1"/>
  <c r="BH126" i="1"/>
  <c r="BV126" i="1" s="1"/>
  <c r="BN68" i="1"/>
  <c r="CB68" i="1" s="1"/>
  <c r="DR68" i="1"/>
  <c r="ET68" i="1" s="1"/>
  <c r="DP52" i="1"/>
  <c r="ER52" i="1" s="1"/>
  <c r="BL52" i="1"/>
  <c r="BZ52" i="1" s="1"/>
  <c r="DQ130" i="1"/>
  <c r="ES130" i="1" s="1"/>
  <c r="BM130" i="1"/>
  <c r="CA130" i="1" s="1"/>
  <c r="DQ128" i="1"/>
  <c r="BM128" i="1"/>
  <c r="CA128" i="1" s="1"/>
  <c r="DK12" i="1"/>
  <c r="EM12" i="1" s="1"/>
  <c r="BG12" i="1"/>
  <c r="BU12" i="1" s="1"/>
  <c r="BE133" i="1"/>
  <c r="BS133" i="1" s="1"/>
  <c r="AC127" i="1"/>
  <c r="DP47" i="1"/>
  <c r="ER47" i="1" s="1"/>
  <c r="BL47" i="1"/>
  <c r="BZ47" i="1" s="1"/>
  <c r="BL26" i="1"/>
  <c r="BZ26" i="1" s="1"/>
  <c r="DP26" i="1"/>
  <c r="ER26" i="1" s="1"/>
  <c r="DP211" i="1"/>
  <c r="BL211" i="1"/>
  <c r="BZ211" i="1" s="1"/>
  <c r="DP149" i="1"/>
  <c r="ER149" i="1" s="1"/>
  <c r="BL149" i="1"/>
  <c r="BZ149" i="1" s="1"/>
  <c r="DK36" i="1"/>
  <c r="EM36" i="1" s="1"/>
  <c r="BG36" i="1"/>
  <c r="BU36" i="1" s="1"/>
  <c r="BE57" i="8"/>
  <c r="BS57" i="8" s="1"/>
  <c r="DI57" i="8"/>
  <c r="BL57" i="1"/>
  <c r="BZ57" i="1" s="1"/>
  <c r="DP57" i="1"/>
  <c r="ER57" i="1" s="1"/>
  <c r="BL13" i="1"/>
  <c r="BZ13" i="1" s="1"/>
  <c r="DP13" i="1"/>
  <c r="BL20" i="1"/>
  <c r="BZ20" i="1" s="1"/>
  <c r="DP20" i="1"/>
  <c r="BM122" i="1"/>
  <c r="CA122" i="1" s="1"/>
  <c r="DQ122" i="1"/>
  <c r="DP11" i="1"/>
  <c r="ER11" i="1" s="1"/>
  <c r="BL11" i="1"/>
  <c r="BZ11" i="1" s="1"/>
  <c r="BN73" i="1"/>
  <c r="CB73" i="1" s="1"/>
  <c r="DR73" i="1"/>
  <c r="DP142" i="1"/>
  <c r="ER142" i="1" s="1"/>
  <c r="BL142" i="1"/>
  <c r="BZ142" i="1" s="1"/>
  <c r="DN74" i="1"/>
  <c r="BJ74" i="1"/>
  <c r="BX74" i="1" s="1"/>
  <c r="DP184" i="1"/>
  <c r="ER184" i="1" s="1"/>
  <c r="BL184" i="1"/>
  <c r="BZ184" i="1" s="1"/>
  <c r="L107" i="1"/>
  <c r="CR157" i="1"/>
  <c r="AR14" i="48"/>
  <c r="D94" i="51" s="1"/>
  <c r="H14" i="36"/>
  <c r="G14" i="36" s="1"/>
  <c r="DO70" i="1"/>
  <c r="BK70" i="1"/>
  <c r="BY70" i="1" s="1"/>
  <c r="BL17" i="1"/>
  <c r="BZ17" i="1" s="1"/>
  <c r="DP17" i="1"/>
  <c r="CD102" i="1"/>
  <c r="Q4" i="36"/>
  <c r="Z30" i="1"/>
  <c r="DT201" i="1"/>
  <c r="CD18" i="1"/>
  <c r="L130" i="1"/>
  <c r="DR7" i="1"/>
  <c r="ET7" i="1" s="1"/>
  <c r="BN7" i="1"/>
  <c r="CB7" i="1" s="1"/>
  <c r="DP175" i="1"/>
  <c r="ER175" i="1" s="1"/>
  <c r="BL175" i="1"/>
  <c r="BZ175" i="1" s="1"/>
  <c r="O4" i="36"/>
  <c r="AL5" i="48"/>
  <c r="DO67" i="1"/>
  <c r="EQ67" i="1" s="1"/>
  <c r="BK67" i="1"/>
  <c r="BY67" i="1" s="1"/>
  <c r="DR116" i="1"/>
  <c r="ET116" i="1" s="1"/>
  <c r="BN116" i="1"/>
  <c r="CB116" i="1" s="1"/>
  <c r="X115" i="1"/>
  <c r="BN115" i="1" s="1"/>
  <c r="CB115" i="1" s="1"/>
  <c r="BL30" i="1"/>
  <c r="BZ30" i="1" s="1"/>
  <c r="DP30" i="1"/>
  <c r="BN121" i="1"/>
  <c r="CB121" i="1" s="1"/>
  <c r="DR121" i="1"/>
  <c r="ET121" i="1" s="1"/>
  <c r="BL162" i="1"/>
  <c r="BZ162" i="1" s="1"/>
  <c r="DP162" i="1"/>
  <c r="U127" i="1"/>
  <c r="Z53" i="1"/>
  <c r="BI106" i="1"/>
  <c r="BW106" i="1" s="1"/>
  <c r="Z29" i="1"/>
  <c r="DM12" i="1"/>
  <c r="EO12" i="1" s="1"/>
  <c r="DC51" i="8"/>
  <c r="Q13" i="28"/>
  <c r="BN60" i="1"/>
  <c r="CB60" i="1" s="1"/>
  <c r="DR60" i="1"/>
  <c r="ET60" i="1" s="1"/>
  <c r="L60" i="1"/>
  <c r="EL216" i="1"/>
  <c r="DK6" i="1"/>
  <c r="BG6" i="1"/>
  <c r="BU6" i="1" s="1"/>
  <c r="L8" i="1"/>
  <c r="BB8" i="1" s="1"/>
  <c r="BP8" i="1" s="1"/>
  <c r="DK183" i="1"/>
  <c r="EM183" i="1" s="1"/>
  <c r="BG183" i="1"/>
  <c r="BU183" i="1" s="1"/>
  <c r="DT186" i="1"/>
  <c r="EK186" i="1"/>
  <c r="Q127" i="1"/>
  <c r="BN212" i="1"/>
  <c r="CB212" i="1" s="1"/>
  <c r="DR212" i="1"/>
  <c r="BG125" i="1"/>
  <c r="BU125" i="1" s="1"/>
  <c r="DK125" i="1"/>
  <c r="BX38" i="8"/>
  <c r="CE29" i="8"/>
  <c r="L212" i="1"/>
  <c r="BB212" i="1" s="1"/>
  <c r="BP212" i="1" s="1"/>
  <c r="DS6" i="8"/>
  <c r="DK18" i="1"/>
  <c r="EM18" i="1" s="1"/>
  <c r="BG18" i="1"/>
  <c r="BU18" i="1" s="1"/>
  <c r="BN175" i="1"/>
  <c r="CB175" i="1" s="1"/>
  <c r="L175" i="1"/>
  <c r="DR175" i="1"/>
  <c r="DR180" i="1"/>
  <c r="ET180" i="1" s="1"/>
  <c r="BN180" i="1"/>
  <c r="CB180" i="1" s="1"/>
  <c r="DL166" i="1"/>
  <c r="BH166" i="1"/>
  <c r="BV166" i="1" s="1"/>
  <c r="S4" i="36"/>
  <c r="DR149" i="1"/>
  <c r="ET149" i="1" s="1"/>
  <c r="BN149" i="1"/>
  <c r="CB149" i="1" s="1"/>
  <c r="Q5" i="1"/>
  <c r="W51" i="8"/>
  <c r="DK88" i="1"/>
  <c r="EM88" i="1" s="1"/>
  <c r="L88" i="1"/>
  <c r="BG88" i="1"/>
  <c r="BU88" i="1" s="1"/>
  <c r="AO5" i="48"/>
  <c r="CD34" i="1"/>
  <c r="DQ59" i="1"/>
  <c r="ES59" i="1" s="1"/>
  <c r="BM59" i="1"/>
  <c r="CA59" i="1" s="1"/>
  <c r="DQ55" i="1"/>
  <c r="BM55" i="1"/>
  <c r="CA55" i="1" s="1"/>
  <c r="Z8" i="1"/>
  <c r="Z148" i="2"/>
  <c r="V148" i="2"/>
  <c r="CD158" i="1"/>
  <c r="AM9" i="58"/>
  <c r="L9" i="57" s="1"/>
  <c r="CD162" i="1"/>
  <c r="CD6" i="1"/>
  <c r="L184" i="1"/>
  <c r="BB184" i="1" s="1"/>
  <c r="BP184" i="1" s="1"/>
  <c r="DM29" i="1"/>
  <c r="EO29" i="1" s="1"/>
  <c r="BI29" i="1"/>
  <c r="BW29" i="1" s="1"/>
  <c r="EL223" i="1"/>
  <c r="DJ222" i="1"/>
  <c r="DO90" i="1"/>
  <c r="EQ90" i="1" s="1"/>
  <c r="CP157" i="1"/>
  <c r="AL207" i="1"/>
  <c r="L134" i="1"/>
  <c r="BB134" i="1" s="1"/>
  <c r="BP134" i="1" s="1"/>
  <c r="AK173" i="1"/>
  <c r="R115" i="1"/>
  <c r="AN9" i="58"/>
  <c r="V9" i="58" s="1"/>
  <c r="H19" i="36"/>
  <c r="L38" i="1"/>
  <c r="BB38" i="1" s="1"/>
  <c r="BP38" i="1" s="1"/>
  <c r="I51" i="8"/>
  <c r="DR38" i="1"/>
  <c r="ET38" i="1" s="1"/>
  <c r="BN38" i="1"/>
  <c r="CB38" i="1" s="1"/>
  <c r="DQ184" i="1"/>
  <c r="ES184" i="1" s="1"/>
  <c r="BM184" i="1"/>
  <c r="CA184" i="1" s="1"/>
  <c r="DO10" i="1"/>
  <c r="EQ10" i="1" s="1"/>
  <c r="BK10" i="1"/>
  <c r="BY10" i="1" s="1"/>
  <c r="DQ91" i="1"/>
  <c r="L91" i="1"/>
  <c r="BM91" i="1"/>
  <c r="CA91" i="1" s="1"/>
  <c r="EK62" i="1"/>
  <c r="AH60" i="48"/>
  <c r="R5" i="1"/>
  <c r="L12" i="1"/>
  <c r="BB12" i="1" s="1"/>
  <c r="BP12" i="1" s="1"/>
  <c r="Z16" i="1"/>
  <c r="L20" i="1"/>
  <c r="DN34" i="1"/>
  <c r="EP34" i="1" s="1"/>
  <c r="BJ34" i="1"/>
  <c r="BX34" i="1" s="1"/>
  <c r="V299" i="2"/>
  <c r="Z299" i="2"/>
  <c r="DK148" i="1"/>
  <c r="EM148" i="1" s="1"/>
  <c r="BG148" i="1"/>
  <c r="BU148" i="1" s="1"/>
  <c r="DL183" i="1"/>
  <c r="L183" i="1"/>
  <c r="BH183" i="1"/>
  <c r="BV183" i="1" s="1"/>
  <c r="ED70" i="8"/>
  <c r="DB68" i="8"/>
  <c r="ED68" i="8" s="1"/>
  <c r="K44" i="36"/>
  <c r="AH70" i="48"/>
  <c r="DO6" i="1"/>
  <c r="BK6" i="1"/>
  <c r="BY6" i="1" s="1"/>
  <c r="BM117" i="1"/>
  <c r="CA117" i="1" s="1"/>
  <c r="DQ117" i="1"/>
  <c r="W115" i="1"/>
  <c r="BM115" i="1" s="1"/>
  <c r="CA115" i="1" s="1"/>
  <c r="EL8" i="1"/>
  <c r="L39" i="36"/>
  <c r="EJ63" i="1"/>
  <c r="DR178" i="1"/>
  <c r="BN178" i="1"/>
  <c r="CB178" i="1" s="1"/>
  <c r="BM48" i="1"/>
  <c r="CA48" i="1" s="1"/>
  <c r="DQ48" i="1"/>
  <c r="L48" i="1"/>
  <c r="BB48" i="1" s="1"/>
  <c r="BP48" i="1" s="1"/>
  <c r="AN74" i="48"/>
  <c r="AN169" i="48" s="1"/>
  <c r="EQ111" i="1"/>
  <c r="BM73" i="1"/>
  <c r="CA73" i="1" s="1"/>
  <c r="L73" i="1"/>
  <c r="BB73" i="1" s="1"/>
  <c r="BP73" i="1" s="1"/>
  <c r="DQ73" i="1"/>
  <c r="DK134" i="1"/>
  <c r="EM134" i="1" s="1"/>
  <c r="BG134" i="1"/>
  <c r="BU134" i="1" s="1"/>
  <c r="BJ21" i="1"/>
  <c r="BX21" i="1" s="1"/>
  <c r="DN21" i="1"/>
  <c r="CW3" i="1"/>
  <c r="DM71" i="1"/>
  <c r="BI71" i="1"/>
  <c r="BW71" i="1" s="1"/>
  <c r="BJ90" i="1"/>
  <c r="BX90" i="1" s="1"/>
  <c r="DN90" i="1"/>
  <c r="EP90" i="1" s="1"/>
  <c r="DR45" i="1"/>
  <c r="BN45" i="1"/>
  <c r="CB45" i="1" s="1"/>
  <c r="DR211" i="1"/>
  <c r="ET211" i="1" s="1"/>
  <c r="BN211" i="1"/>
  <c r="CB211" i="1" s="1"/>
  <c r="DR184" i="1"/>
  <c r="ET184" i="1" s="1"/>
  <c r="BN184" i="1"/>
  <c r="CB184" i="1" s="1"/>
  <c r="BJ19" i="1"/>
  <c r="BX19" i="1" s="1"/>
  <c r="DN19" i="1"/>
  <c r="DO131" i="1"/>
  <c r="BK131" i="1"/>
  <c r="BY131" i="1" s="1"/>
  <c r="L131" i="1"/>
  <c r="BJ41" i="1"/>
  <c r="BX41" i="1" s="1"/>
  <c r="DN41" i="1"/>
  <c r="EP41" i="1" s="1"/>
  <c r="AG5" i="1"/>
  <c r="W5" i="1"/>
  <c r="BM5" i="1" s="1"/>
  <c r="CA5" i="1" s="1"/>
  <c r="F55" i="8"/>
  <c r="DR144" i="1"/>
  <c r="BN144" i="1"/>
  <c r="CB144" i="1" s="1"/>
  <c r="DN46" i="1"/>
  <c r="EP46" i="1" s="1"/>
  <c r="BJ46" i="1"/>
  <c r="BX46" i="1" s="1"/>
  <c r="BJ39" i="1"/>
  <c r="BX39" i="1" s="1"/>
  <c r="DN39" i="1"/>
  <c r="AY55" i="8"/>
  <c r="BM55" i="8" s="1"/>
  <c r="BI166" i="1"/>
  <c r="BW166" i="1" s="1"/>
  <c r="DM166" i="1"/>
  <c r="BL51" i="1"/>
  <c r="BZ51" i="1" s="1"/>
  <c r="DP51" i="1"/>
  <c r="L51" i="1"/>
  <c r="T4" i="36"/>
  <c r="BH94" i="1"/>
  <c r="BV94" i="1" s="1"/>
  <c r="DL94" i="1"/>
  <c r="EN94" i="1" s="1"/>
  <c r="L94" i="1"/>
  <c r="CJ5" i="1"/>
  <c r="AK5" i="48"/>
  <c r="DN14" i="1"/>
  <c r="EP14" i="1" s="1"/>
  <c r="BJ14" i="1"/>
  <c r="BX14" i="1" s="1"/>
  <c r="BN128" i="1"/>
  <c r="CB128" i="1" s="1"/>
  <c r="L128" i="1"/>
  <c r="DR128" i="1"/>
  <c r="X127" i="1"/>
  <c r="BN127" i="1" s="1"/>
  <c r="CB127" i="1" s="1"/>
  <c r="EK32" i="1"/>
  <c r="K40" i="36"/>
  <c r="K88" i="36" s="1"/>
  <c r="CO5" i="1"/>
  <c r="EG39" i="8"/>
  <c r="BM56" i="1"/>
  <c r="CA56" i="1" s="1"/>
  <c r="DQ56" i="1"/>
  <c r="M4" i="36"/>
  <c r="BJ107" i="1"/>
  <c r="BX107" i="1" s="1"/>
  <c r="DG90" i="1"/>
  <c r="BC90" i="1"/>
  <c r="BQ90" i="1" s="1"/>
  <c r="CN127" i="1"/>
  <c r="BH50" i="1"/>
  <c r="BV50" i="1" s="1"/>
  <c r="L50" i="1"/>
  <c r="DL50" i="1"/>
  <c r="BK146" i="1"/>
  <c r="BY146" i="1" s="1"/>
  <c r="DO146" i="1"/>
  <c r="EQ146" i="1" s="1"/>
  <c r="DD3" i="1"/>
  <c r="L10" i="1"/>
  <c r="BB10" i="1" s="1"/>
  <c r="BP10" i="1" s="1"/>
  <c r="DM210" i="1"/>
  <c r="BI210" i="1"/>
  <c r="BW210" i="1" s="1"/>
  <c r="BJ16" i="1"/>
  <c r="BX16" i="1" s="1"/>
  <c r="DN16" i="1"/>
  <c r="EP16" i="1" s="1"/>
  <c r="DN184" i="1"/>
  <c r="EP184" i="1" s="1"/>
  <c r="BJ184" i="1"/>
  <c r="BX184" i="1" s="1"/>
  <c r="DL46" i="1"/>
  <c r="EN46" i="1" s="1"/>
  <c r="BH46" i="1"/>
  <c r="BV46" i="1" s="1"/>
  <c r="DO47" i="1"/>
  <c r="EQ47" i="1" s="1"/>
  <c r="BK47" i="1"/>
  <c r="BY47" i="1" s="1"/>
  <c r="DM211" i="1"/>
  <c r="L211" i="1"/>
  <c r="BI211" i="1"/>
  <c r="BW211" i="1" s="1"/>
  <c r="DP136" i="1"/>
  <c r="ER136" i="1" s="1"/>
  <c r="BL136" i="1"/>
  <c r="BZ136" i="1" s="1"/>
  <c r="DR78" i="1"/>
  <c r="ET78" i="1" s="1"/>
  <c r="BN78" i="1"/>
  <c r="CB78" i="1" s="1"/>
  <c r="L78" i="1"/>
  <c r="H6" i="36"/>
  <c r="AQ5" i="48"/>
  <c r="BM49" i="1"/>
  <c r="CA49" i="1" s="1"/>
  <c r="DQ49" i="1"/>
  <c r="L49" i="1"/>
  <c r="DL10" i="1"/>
  <c r="BH10" i="1"/>
  <c r="BV10" i="1" s="1"/>
  <c r="Z51" i="1"/>
  <c r="DN103" i="1"/>
  <c r="EP103" i="1" s="1"/>
  <c r="CD101" i="1"/>
  <c r="DP7" i="1"/>
  <c r="ER7" i="1" s="1"/>
  <c r="BL7" i="1"/>
  <c r="BZ7" i="1" s="1"/>
  <c r="J8" i="58"/>
  <c r="AF5" i="58"/>
  <c r="DR76" i="1"/>
  <c r="BN76" i="1"/>
  <c r="CB76" i="1" s="1"/>
  <c r="U5" i="1"/>
  <c r="Z129" i="1"/>
  <c r="CD8" i="1"/>
  <c r="CD149" i="1"/>
  <c r="CD30" i="1"/>
  <c r="BI178" i="1"/>
  <c r="BW178" i="1" s="1"/>
  <c r="DM178" i="1"/>
  <c r="EO178" i="1" s="1"/>
  <c r="L76" i="1"/>
  <c r="L47" i="1"/>
  <c r="BB47" i="1" s="1"/>
  <c r="BP47" i="1" s="1"/>
  <c r="DR19" i="1"/>
  <c r="L19" i="1"/>
  <c r="BB19" i="1" s="1"/>
  <c r="BP19" i="1" s="1"/>
  <c r="BN19" i="1"/>
  <c r="CB19" i="1" s="1"/>
  <c r="DM64" i="1"/>
  <c r="EO64" i="1" s="1"/>
  <c r="BI64" i="1"/>
  <c r="BW64" i="1" s="1"/>
  <c r="EL118" i="1"/>
  <c r="AI61" i="48"/>
  <c r="AI156" i="48" s="1"/>
  <c r="DJ115" i="1"/>
  <c r="CO157" i="1"/>
  <c r="AG115" i="1"/>
  <c r="DK129" i="1"/>
  <c r="BG129" i="1"/>
  <c r="BU129" i="1" s="1"/>
  <c r="BJ150" i="1"/>
  <c r="BX150" i="1" s="1"/>
  <c r="L150" i="1"/>
  <c r="BB150" i="1" s="1"/>
  <c r="BP150" i="1" s="1"/>
  <c r="DN150" i="1"/>
  <c r="DN66" i="1"/>
  <c r="BJ66" i="1"/>
  <c r="BX66" i="1" s="1"/>
  <c r="L66" i="1"/>
  <c r="DO142" i="1"/>
  <c r="EQ142" i="1" s="1"/>
  <c r="BK142" i="1"/>
  <c r="BY142" i="1" s="1"/>
  <c r="BN30" i="1"/>
  <c r="CB30" i="1" s="1"/>
  <c r="DR30" i="1"/>
  <c r="ET30" i="1" s="1"/>
  <c r="BH20" i="1"/>
  <c r="BV20" i="1" s="1"/>
  <c r="DL67" i="1"/>
  <c r="EN67" i="1" s="1"/>
  <c r="BH67" i="1"/>
  <c r="BV67" i="1" s="1"/>
  <c r="AF115" i="1"/>
  <c r="Z125" i="1"/>
  <c r="BM39" i="1"/>
  <c r="CA39" i="1" s="1"/>
  <c r="DQ39" i="1"/>
  <c r="BJ146" i="1"/>
  <c r="BX146" i="1" s="1"/>
  <c r="L146" i="1"/>
  <c r="DN146" i="1"/>
  <c r="EP146" i="1" s="1"/>
  <c r="N41" i="36"/>
  <c r="AK62" i="48"/>
  <c r="K111" i="48"/>
  <c r="S207" i="1"/>
  <c r="BN36" i="1"/>
  <c r="CB36" i="1" s="1"/>
  <c r="DR36" i="1"/>
  <c r="L36" i="1"/>
  <c r="BB36" i="1" s="1"/>
  <c r="BP36" i="1" s="1"/>
  <c r="BK64" i="1"/>
  <c r="BY64" i="1" s="1"/>
  <c r="DO64" i="1"/>
  <c r="EQ64" i="1" s="1"/>
  <c r="BG35" i="1"/>
  <c r="BU35" i="1" s="1"/>
  <c r="DK35" i="1"/>
  <c r="L35" i="1"/>
  <c r="CG127" i="1"/>
  <c r="EK98" i="1"/>
  <c r="DT98" i="1"/>
  <c r="L117" i="1"/>
  <c r="T115" i="1"/>
  <c r="DN117" i="1"/>
  <c r="BJ117" i="1"/>
  <c r="BX117" i="1" s="1"/>
  <c r="EN109" i="1"/>
  <c r="DT109" i="1"/>
  <c r="DM184" i="1"/>
  <c r="BI184" i="1"/>
  <c r="BW184" i="1" s="1"/>
  <c r="EJ169" i="1"/>
  <c r="CR127" i="1"/>
  <c r="DK103" i="1"/>
  <c r="EM103" i="1" s="1"/>
  <c r="DY173" i="1"/>
  <c r="BN16" i="1"/>
  <c r="CB16" i="1" s="1"/>
  <c r="DR16" i="1"/>
  <c r="ET16" i="1" s="1"/>
  <c r="EI66" i="1"/>
  <c r="AS7" i="48"/>
  <c r="D6" i="51"/>
  <c r="K7" i="48"/>
  <c r="CO127" i="1"/>
  <c r="DK108" i="1"/>
  <c r="BG108" i="1"/>
  <c r="BU108" i="1" s="1"/>
  <c r="BK59" i="1"/>
  <c r="BY59" i="1" s="1"/>
  <c r="DO59" i="1"/>
  <c r="EQ59" i="1" s="1"/>
  <c r="L59" i="1"/>
  <c r="EG35" i="8"/>
  <c r="BL45" i="1"/>
  <c r="BZ45" i="1" s="1"/>
  <c r="DP45" i="1"/>
  <c r="L45" i="1"/>
  <c r="CL5" i="1"/>
  <c r="DM108" i="1"/>
  <c r="EO108" i="1" s="1"/>
  <c r="BI108" i="1"/>
  <c r="BW108" i="1" s="1"/>
  <c r="EE43" i="8"/>
  <c r="EK50" i="1"/>
  <c r="DL101" i="1"/>
  <c r="BH101" i="1"/>
  <c r="BV101" i="1" s="1"/>
  <c r="BM30" i="1"/>
  <c r="CA30" i="1" s="1"/>
  <c r="DQ30" i="1"/>
  <c r="EJ177" i="1"/>
  <c r="DL108" i="1"/>
  <c r="BH108" i="1"/>
  <c r="BV108" i="1" s="1"/>
  <c r="ES6" i="1"/>
  <c r="ER146" i="1"/>
  <c r="BK17" i="1"/>
  <c r="BY17" i="1" s="1"/>
  <c r="DO17" i="1"/>
  <c r="L17" i="1"/>
  <c r="EK66" i="1"/>
  <c r="AH64" i="48"/>
  <c r="AH159" i="48" s="1"/>
  <c r="DQ16" i="1"/>
  <c r="ES16" i="1" s="1"/>
  <c r="BM16" i="1"/>
  <c r="CA16" i="1" s="1"/>
  <c r="DK16" i="1"/>
  <c r="BG16" i="1"/>
  <c r="BU16" i="1" s="1"/>
  <c r="L16" i="1"/>
  <c r="M63" i="36"/>
  <c r="Z34" i="1"/>
  <c r="DL126" i="1"/>
  <c r="L126" i="1"/>
  <c r="AL5" i="1"/>
  <c r="CM5" i="1"/>
  <c r="DQ186" i="1"/>
  <c r="L186" i="1"/>
  <c r="BM186" i="1"/>
  <c r="CA186" i="1" s="1"/>
  <c r="DL106" i="1"/>
  <c r="BH106" i="1"/>
  <c r="BV106" i="1" s="1"/>
  <c r="EJ164" i="1"/>
  <c r="DU173" i="1"/>
  <c r="Z5" i="8"/>
  <c r="BB6" i="8"/>
  <c r="BP6" i="8" s="1"/>
  <c r="T5" i="28"/>
  <c r="Z3" i="8"/>
  <c r="BG67" i="1"/>
  <c r="BU67" i="1" s="1"/>
  <c r="L67" i="1"/>
  <c r="DK67" i="1"/>
  <c r="Z382" i="2"/>
  <c r="V382" i="2"/>
  <c r="Z105" i="1"/>
  <c r="AE5" i="1"/>
  <c r="BL38" i="1"/>
  <c r="BZ38" i="1" s="1"/>
  <c r="DP38" i="1"/>
  <c r="DK16" i="8"/>
  <c r="EM16" i="8" s="1"/>
  <c r="EL77" i="1"/>
  <c r="AI64" i="48"/>
  <c r="AI159" i="48" s="1"/>
  <c r="AH173" i="1"/>
  <c r="AF207" i="1"/>
  <c r="BH215" i="1"/>
  <c r="BV215" i="1" s="1"/>
  <c r="DR34" i="1"/>
  <c r="BN34" i="1"/>
  <c r="CB34" i="1" s="1"/>
  <c r="L34" i="1"/>
  <c r="Z59" i="8"/>
  <c r="BB65" i="8"/>
  <c r="BP65" i="8" s="1"/>
  <c r="J47" i="36"/>
  <c r="EJ129" i="1"/>
  <c r="AD51" i="8"/>
  <c r="L46" i="1"/>
  <c r="BB46" i="1" s="1"/>
  <c r="BP46" i="1" s="1"/>
  <c r="DK46" i="1"/>
  <c r="BG46" i="1"/>
  <c r="BU46" i="1" s="1"/>
  <c r="H143" i="35"/>
  <c r="DT65" i="8"/>
  <c r="I23" i="20"/>
  <c r="DZ215" i="1"/>
  <c r="K87" i="6"/>
  <c r="EP223" i="1"/>
  <c r="EL6" i="8"/>
  <c r="L5" i="44" s="1"/>
  <c r="DQ160" i="1"/>
  <c r="BM160" i="1"/>
  <c r="CA160" i="1" s="1"/>
  <c r="W157" i="1"/>
  <c r="BM157" i="1" s="1"/>
  <c r="CA157" i="1" s="1"/>
  <c r="L160" i="1"/>
  <c r="CJ207" i="1"/>
  <c r="CD218" i="1"/>
  <c r="DO163" i="1"/>
  <c r="BK163" i="1"/>
  <c r="BY163" i="1" s="1"/>
  <c r="U157" i="1"/>
  <c r="BI171" i="1"/>
  <c r="BW171" i="1" s="1"/>
  <c r="DM171" i="1"/>
  <c r="S157" i="1"/>
  <c r="CP127" i="1"/>
  <c r="CD131" i="1"/>
  <c r="DN178" i="1"/>
  <c r="L178" i="1"/>
  <c r="T173" i="1"/>
  <c r="BJ178" i="1"/>
  <c r="BX178" i="1" s="1"/>
  <c r="L51" i="36"/>
  <c r="L99" i="36" s="1"/>
  <c r="EL39" i="1"/>
  <c r="BI180" i="1"/>
  <c r="BW180" i="1" s="1"/>
  <c r="S173" i="1"/>
  <c r="DM180" i="1"/>
  <c r="BJ10" i="1"/>
  <c r="BX10" i="1" s="1"/>
  <c r="DN10" i="1"/>
  <c r="EL18" i="8"/>
  <c r="BH185" i="1"/>
  <c r="BV185" i="1" s="1"/>
  <c r="DL185" i="1"/>
  <c r="EN185" i="1" s="1"/>
  <c r="R173" i="1"/>
  <c r="EJ174" i="1"/>
  <c r="AF58" i="48"/>
  <c r="AF153" i="48" s="1"/>
  <c r="EI73" i="1"/>
  <c r="EI56" i="1"/>
  <c r="AF61" i="48"/>
  <c r="I45" i="36"/>
  <c r="DQ93" i="1"/>
  <c r="BM93" i="1"/>
  <c r="CA93" i="1" s="1"/>
  <c r="BM21" i="1"/>
  <c r="CA21" i="1" s="1"/>
  <c r="DQ21" i="1"/>
  <c r="L21" i="1"/>
  <c r="J45" i="36"/>
  <c r="EJ45" i="1"/>
  <c r="CD105" i="1"/>
  <c r="DP134" i="1"/>
  <c r="BL134" i="1"/>
  <c r="BZ134" i="1" s="1"/>
  <c r="EK132" i="1"/>
  <c r="BH148" i="1"/>
  <c r="BV148" i="1" s="1"/>
  <c r="L148" i="1"/>
  <c r="BB148" i="1" s="1"/>
  <c r="BP148" i="1" s="1"/>
  <c r="DL148" i="1"/>
  <c r="R127" i="1"/>
  <c r="BG161" i="1"/>
  <c r="BU161" i="1" s="1"/>
  <c r="Z161" i="1"/>
  <c r="EK80" i="1"/>
  <c r="L93" i="1"/>
  <c r="CK173" i="1"/>
  <c r="CD183" i="1"/>
  <c r="AX55" i="8"/>
  <c r="BL55" i="8" s="1"/>
  <c r="AG207" i="1"/>
  <c r="Z211" i="1"/>
  <c r="BM41" i="1"/>
  <c r="CA41" i="1" s="1"/>
  <c r="DQ41" i="1"/>
  <c r="L41" i="1"/>
  <c r="BI90" i="1"/>
  <c r="BW90" i="1" s="1"/>
  <c r="DM116" i="1"/>
  <c r="BI116" i="1"/>
  <c r="BW116" i="1" s="1"/>
  <c r="S115" i="1"/>
  <c r="L116" i="1"/>
  <c r="EQ88" i="1"/>
  <c r="EJ101" i="1"/>
  <c r="AG63" i="48"/>
  <c r="AG158" i="48" s="1"/>
  <c r="BK151" i="1"/>
  <c r="BY151" i="1" s="1"/>
  <c r="DO151" i="1"/>
  <c r="AM11" i="58"/>
  <c r="AG5" i="58"/>
  <c r="CL127" i="1"/>
  <c r="AG173" i="1"/>
  <c r="Z123" i="1"/>
  <c r="AJ115" i="1"/>
  <c r="BH26" i="1"/>
  <c r="BV26" i="1" s="1"/>
  <c r="DL26" i="1"/>
  <c r="BN64" i="1"/>
  <c r="CB64" i="1" s="1"/>
  <c r="DR64" i="1"/>
  <c r="L64" i="1"/>
  <c r="BB64" i="1" s="1"/>
  <c r="BP64" i="1" s="1"/>
  <c r="DH151" i="1"/>
  <c r="EJ151" i="1" s="1"/>
  <c r="Z136" i="1"/>
  <c r="AG127" i="1"/>
  <c r="EI163" i="1"/>
  <c r="I53" i="36"/>
  <c r="I101" i="36" s="1"/>
  <c r="EO42" i="1"/>
  <c r="O45" i="36"/>
  <c r="O93" i="36" s="1"/>
  <c r="AH127" i="1"/>
  <c r="Z149" i="1"/>
  <c r="ES132" i="1"/>
  <c r="CG5" i="1"/>
  <c r="BN209" i="1"/>
  <c r="CB209" i="1" s="1"/>
  <c r="X207" i="1"/>
  <c r="BN207" i="1" s="1"/>
  <c r="CB207" i="1" s="1"/>
  <c r="DR209" i="1"/>
  <c r="BH30" i="1"/>
  <c r="BV30" i="1" s="1"/>
  <c r="L30" i="1"/>
  <c r="BB30" i="1" s="1"/>
  <c r="BP30" i="1" s="1"/>
  <c r="DL30" i="1"/>
  <c r="EP78" i="1"/>
  <c r="AJ5" i="1"/>
  <c r="Z106" i="1"/>
  <c r="CD151" i="1"/>
  <c r="BN8" i="1"/>
  <c r="CB8" i="1" s="1"/>
  <c r="DR8" i="1"/>
  <c r="H51" i="8"/>
  <c r="BX17" i="8"/>
  <c r="DJ17" i="8"/>
  <c r="EL17" i="8" s="1"/>
  <c r="BK38" i="1"/>
  <c r="BY38" i="1" s="1"/>
  <c r="DO38" i="1"/>
  <c r="DL57" i="1"/>
  <c r="L57" i="1"/>
  <c r="EO196" i="1"/>
  <c r="AS8" i="48"/>
  <c r="D7" i="51"/>
  <c r="K8" i="48"/>
  <c r="AR8" i="48"/>
  <c r="D88" i="51" s="1"/>
  <c r="O56" i="36"/>
  <c r="Z103" i="1"/>
  <c r="ET101" i="1"/>
  <c r="AB45" i="58"/>
  <c r="AB44" i="58"/>
  <c r="AB112" i="58" s="1"/>
  <c r="DL7" i="1"/>
  <c r="BH7" i="1"/>
  <c r="BV7" i="1" s="1"/>
  <c r="L7" i="1"/>
  <c r="BB7" i="1" s="1"/>
  <c r="BP7" i="1" s="1"/>
  <c r="CH5" i="1"/>
  <c r="CP5" i="1"/>
  <c r="AR16" i="48"/>
  <c r="EP42" i="1"/>
  <c r="EP65" i="1"/>
  <c r="ER114" i="1"/>
  <c r="AM65" i="48"/>
  <c r="AI5" i="1"/>
  <c r="DM11" i="1"/>
  <c r="BI11" i="1"/>
  <c r="BW11" i="1" s="1"/>
  <c r="L11" i="1"/>
  <c r="BB11" i="1" s="1"/>
  <c r="BP11" i="1" s="1"/>
  <c r="EN17" i="8"/>
  <c r="DF16" i="8"/>
  <c r="BB16" i="8"/>
  <c r="BP16" i="8" s="1"/>
  <c r="EO136" i="1"/>
  <c r="CI127" i="1"/>
  <c r="EN209" i="1"/>
  <c r="N54" i="36"/>
  <c r="N102" i="36" s="1"/>
  <c r="BJ8" i="1"/>
  <c r="BX8" i="1" s="1"/>
  <c r="DN8" i="1"/>
  <c r="AK5" i="1"/>
  <c r="ES26" i="1"/>
  <c r="Z102" i="1"/>
  <c r="Z108" i="1"/>
  <c r="F17" i="8"/>
  <c r="EP32" i="1"/>
  <c r="P40" i="36"/>
  <c r="EP132" i="1"/>
  <c r="Z90" i="1"/>
  <c r="AB5" i="1"/>
  <c r="EN125" i="1"/>
  <c r="DI193" i="1"/>
  <c r="BE193" i="1"/>
  <c r="BS193" i="1" s="1"/>
  <c r="O173" i="1"/>
  <c r="Z101" i="1"/>
  <c r="CD107" i="1"/>
  <c r="DG103" i="1"/>
  <c r="EI103" i="1" s="1"/>
  <c r="BC103" i="1"/>
  <c r="BQ103" i="1" s="1"/>
  <c r="AD5" i="1"/>
  <c r="O131" i="35"/>
  <c r="K131" i="35"/>
  <c r="L131" i="35"/>
  <c r="O137" i="35"/>
  <c r="L137" i="35"/>
  <c r="K137" i="35"/>
  <c r="ET118" i="1"/>
  <c r="AQ61" i="48"/>
  <c r="AQ156" i="48" s="1"/>
  <c r="AC5" i="1"/>
  <c r="K39" i="36"/>
  <c r="BE105" i="1"/>
  <c r="BS105" i="1" s="1"/>
  <c r="DI105" i="1"/>
  <c r="DH90" i="1"/>
  <c r="BD90" i="1"/>
  <c r="BR90" i="1" s="1"/>
  <c r="L90" i="1"/>
  <c r="AX16" i="8"/>
  <c r="BL16" i="8" s="1"/>
  <c r="DB16" i="8"/>
  <c r="L105" i="1"/>
  <c r="DA17" i="8"/>
  <c r="EC17" i="8" s="1"/>
  <c r="AW16" i="8"/>
  <c r="BK16" i="8" s="1"/>
  <c r="DA16" i="8"/>
  <c r="EC16" i="8" s="1"/>
  <c r="DG133" i="1"/>
  <c r="L133" i="1"/>
  <c r="BC133" i="1"/>
  <c r="BQ133" i="1" s="1"/>
  <c r="M127" i="1"/>
  <c r="CD90" i="1"/>
  <c r="BL133" i="1"/>
  <c r="BZ133" i="1" s="1"/>
  <c r="DP133" i="1"/>
  <c r="V127" i="1"/>
  <c r="BL127" i="1" s="1"/>
  <c r="BZ127" i="1" s="1"/>
  <c r="DN102" i="1"/>
  <c r="BJ102" i="1"/>
  <c r="BX102" i="1" s="1"/>
  <c r="CZ33" i="8"/>
  <c r="DJ105" i="1"/>
  <c r="EL105" i="1" s="1"/>
  <c r="BF105" i="1"/>
  <c r="BT105" i="1" s="1"/>
  <c r="P5" i="1"/>
  <c r="DD17" i="8"/>
  <c r="EF17" i="8" s="1"/>
  <c r="AZ17" i="8"/>
  <c r="BN17" i="8" s="1"/>
  <c r="O39" i="36"/>
  <c r="EO6" i="1"/>
  <c r="O5" i="1"/>
  <c r="ER34" i="1"/>
  <c r="EL158" i="1"/>
  <c r="ED25" i="8"/>
  <c r="DB22" i="8"/>
  <c r="CI5" i="1"/>
  <c r="DQ151" i="1"/>
  <c r="BM151" i="1"/>
  <c r="CA151" i="1" s="1"/>
  <c r="W127" i="1"/>
  <c r="BM127" i="1" s="1"/>
  <c r="CA127" i="1" s="1"/>
  <c r="DM101" i="1"/>
  <c r="BI101" i="1"/>
  <c r="BW101" i="1" s="1"/>
  <c r="L102" i="1"/>
  <c r="BN105" i="1"/>
  <c r="CB105" i="1" s="1"/>
  <c r="DR105" i="1"/>
  <c r="ET105" i="1" s="1"/>
  <c r="BK102" i="1"/>
  <c r="BY102" i="1" s="1"/>
  <c r="DO102" i="1"/>
  <c r="DN151" i="1"/>
  <c r="BJ151" i="1"/>
  <c r="BX151" i="1" s="1"/>
  <c r="AE44" i="58"/>
  <c r="AE112" i="58" s="1"/>
  <c r="K130" i="6"/>
  <c r="DQ102" i="1"/>
  <c r="BM102" i="1"/>
  <c r="CA102" i="1" s="1"/>
  <c r="EQ133" i="1"/>
  <c r="ER98" i="1"/>
  <c r="DI17" i="8"/>
  <c r="EK17" i="8" s="1"/>
  <c r="BE17" i="8"/>
  <c r="BS17" i="8" s="1"/>
  <c r="BX16" i="8"/>
  <c r="CD109" i="1"/>
  <c r="BE109" i="1"/>
  <c r="BS109" i="1" s="1"/>
  <c r="DI109" i="1"/>
  <c r="EK109" i="1" s="1"/>
  <c r="CN5" i="1"/>
  <c r="ES101" i="1"/>
  <c r="AP63" i="48"/>
  <c r="AP158" i="48" s="1"/>
  <c r="EI71" i="1"/>
  <c r="AF72" i="48"/>
  <c r="EQ14" i="1"/>
  <c r="Z133" i="1"/>
  <c r="AL127" i="1"/>
  <c r="Z171" i="1"/>
  <c r="CD171" i="1"/>
  <c r="EL101" i="1"/>
  <c r="ER159" i="1"/>
  <c r="R50" i="36"/>
  <c r="R98" i="36" s="1"/>
  <c r="ET108" i="1"/>
  <c r="DJ151" i="1"/>
  <c r="BF151" i="1"/>
  <c r="BT151" i="1" s="1"/>
  <c r="P127" i="1"/>
  <c r="AB127" i="1"/>
  <c r="Z151" i="1"/>
  <c r="BJ101" i="1"/>
  <c r="BX101" i="1" s="1"/>
  <c r="DN101" i="1"/>
  <c r="DR90" i="1"/>
  <c r="ET90" i="1" s="1"/>
  <c r="BN90" i="1"/>
  <c r="CB90" i="1" s="1"/>
  <c r="X5" i="1"/>
  <c r="BN5" i="1" s="1"/>
  <c r="CB5" i="1" s="1"/>
  <c r="EN142" i="1"/>
  <c r="T5" i="1"/>
  <c r="EK172" i="1"/>
  <c r="BC171" i="1"/>
  <c r="BQ171" i="1" s="1"/>
  <c r="DG171" i="1"/>
  <c r="M157" i="1"/>
  <c r="ET29" i="1"/>
  <c r="BJ133" i="1"/>
  <c r="BX133" i="1" s="1"/>
  <c r="DN133" i="1"/>
  <c r="EP133" i="1" s="1"/>
  <c r="DJ106" i="1"/>
  <c r="EL106" i="1" s="1"/>
  <c r="BF106" i="1"/>
  <c r="BT106" i="1" s="1"/>
  <c r="BL109" i="1"/>
  <c r="BZ109" i="1" s="1"/>
  <c r="DP109" i="1"/>
  <c r="ER109" i="1" s="1"/>
  <c r="AA157" i="1"/>
  <c r="CF5" i="1"/>
  <c r="CR5" i="1"/>
  <c r="BL171" i="1"/>
  <c r="BZ171" i="1" s="1"/>
  <c r="DP171" i="1"/>
  <c r="ER171" i="1" s="1"/>
  <c r="CD108" i="1"/>
  <c r="L151" i="1"/>
  <c r="N127" i="1"/>
  <c r="BE106" i="1"/>
  <c r="BS106" i="1" s="1"/>
  <c r="DI106" i="1"/>
  <c r="EK106" i="1" s="1"/>
  <c r="EJ17" i="8"/>
  <c r="EN132" i="1"/>
  <c r="EM135" i="1"/>
  <c r="AH5" i="1"/>
  <c r="U5" i="8"/>
  <c r="EL57" i="8"/>
  <c r="EQ145" i="1"/>
  <c r="AA173" i="1"/>
  <c r="Z193" i="1"/>
  <c r="BK193" i="1"/>
  <c r="BY193" i="1" s="1"/>
  <c r="DO193" i="1"/>
  <c r="U173" i="1"/>
  <c r="AW17" i="8"/>
  <c r="BK17" i="8" s="1"/>
  <c r="EJ193" i="1"/>
  <c r="EI60" i="1"/>
  <c r="CD103" i="1"/>
  <c r="CE5" i="1"/>
  <c r="DG193" i="1"/>
  <c r="BC193" i="1"/>
  <c r="BQ193" i="1" s="1"/>
  <c r="L193" i="1"/>
  <c r="DG17" i="8"/>
  <c r="BC17" i="8"/>
  <c r="BQ17" i="8" s="1"/>
  <c r="BC109" i="1"/>
  <c r="BQ109" i="1" s="1"/>
  <c r="DG109" i="1"/>
  <c r="EI109" i="1" s="1"/>
  <c r="L109" i="1"/>
  <c r="L103" i="1"/>
  <c r="N5" i="1"/>
  <c r="EP40" i="1"/>
  <c r="EQ139" i="1"/>
  <c r="S5" i="1"/>
  <c r="EM101" i="1"/>
  <c r="EM185" i="1"/>
  <c r="EK11" i="8"/>
  <c r="K10" i="44" s="1"/>
  <c r="L106" i="1"/>
  <c r="DP90" i="1"/>
  <c r="ER90" i="1" s="1"/>
  <c r="BL90" i="1"/>
  <c r="BZ90" i="1" s="1"/>
  <c r="V5" i="1"/>
  <c r="BL5" i="1" s="1"/>
  <c r="BZ5" i="1" s="1"/>
  <c r="ET39" i="1"/>
  <c r="L171" i="1"/>
  <c r="Z109" i="1"/>
  <c r="AA5" i="1"/>
  <c r="X5" i="8"/>
  <c r="DP108" i="1"/>
  <c r="BL108" i="1"/>
  <c r="BZ108" i="1" s="1"/>
  <c r="ET171" i="1"/>
  <c r="CD133" i="1"/>
  <c r="EQ101" i="1"/>
  <c r="EH31" i="8"/>
  <c r="EO8" i="1"/>
  <c r="CK5" i="1"/>
  <c r="EJ171" i="1"/>
  <c r="ET109" i="1"/>
  <c r="EI151" i="1"/>
  <c r="AF73" i="48"/>
  <c r="ER106" i="1"/>
  <c r="DG101" i="1"/>
  <c r="BC101" i="1"/>
  <c r="BQ101" i="1" s="1"/>
  <c r="L101" i="1"/>
  <c r="M5" i="1"/>
  <c r="EO102" i="1"/>
  <c r="EQ103" i="1"/>
  <c r="EM171" i="1"/>
  <c r="EL103" i="1"/>
  <c r="EL193" i="1"/>
  <c r="EQ108" i="1"/>
  <c r="Y5" i="8"/>
  <c r="EF16" i="8"/>
  <c r="EL133" i="1"/>
  <c r="AA44" i="58"/>
  <c r="AA45" i="58"/>
  <c r="EM151" i="1"/>
  <c r="AJ73" i="48"/>
  <c r="AJ168" i="48" s="1"/>
  <c r="DE16" i="8"/>
  <c r="BA16" i="8"/>
  <c r="BO16" i="8" s="1"/>
  <c r="F16" i="8"/>
  <c r="EO109" i="1"/>
  <c r="A201" i="1" l="1"/>
  <c r="M132" i="35"/>
  <c r="AV67" i="8"/>
  <c r="BJ67" i="8" s="1"/>
  <c r="EN101" i="1"/>
  <c r="M214" i="35"/>
  <c r="M208" i="35"/>
  <c r="M223" i="35"/>
  <c r="M220" i="35"/>
  <c r="M213" i="35"/>
  <c r="M221" i="35"/>
  <c r="M217" i="35"/>
  <c r="M224" i="35"/>
  <c r="M229" i="35"/>
  <c r="M222" i="35"/>
  <c r="M219" i="35"/>
  <c r="M227" i="35"/>
  <c r="K232" i="35"/>
  <c r="M230" i="35"/>
  <c r="M216" i="35"/>
  <c r="M215" i="35"/>
  <c r="L232" i="35"/>
  <c r="G140" i="22"/>
  <c r="I140" i="22" s="1"/>
  <c r="C28" i="44"/>
  <c r="C25" i="44"/>
  <c r="D25" i="44" s="1"/>
  <c r="O141" i="22"/>
  <c r="G141" i="22" s="1"/>
  <c r="I141" i="22" s="1"/>
  <c r="J143" i="22"/>
  <c r="O142" i="22"/>
  <c r="O139" i="22"/>
  <c r="O125" i="22"/>
  <c r="G125" i="22" s="1"/>
  <c r="O138" i="22"/>
  <c r="G138" i="22" s="1"/>
  <c r="E131" i="22"/>
  <c r="F128" i="22" s="1"/>
  <c r="E144" i="22"/>
  <c r="H143" i="22"/>
  <c r="N93" i="36"/>
  <c r="EN75" i="1"/>
  <c r="EI16" i="1"/>
  <c r="AV12" i="8"/>
  <c r="BJ12" i="8" s="1"/>
  <c r="DN16" i="8"/>
  <c r="DT75" i="1"/>
  <c r="AG52" i="20"/>
  <c r="AH52" i="20" s="1"/>
  <c r="R76" i="6"/>
  <c r="R75" i="6"/>
  <c r="AG126" i="6"/>
  <c r="S28" i="6"/>
  <c r="S21" i="6" s="1"/>
  <c r="AB8" i="24" s="1"/>
  <c r="R37" i="6"/>
  <c r="AG139" i="6"/>
  <c r="AW126" i="6"/>
  <c r="AV109" i="6"/>
  <c r="AV106" i="6"/>
  <c r="L204" i="6"/>
  <c r="K167" i="35"/>
  <c r="AJ106" i="48"/>
  <c r="AR106" i="48" s="1"/>
  <c r="F89" i="51" s="1"/>
  <c r="EM84" i="1"/>
  <c r="BE59" i="8"/>
  <c r="BS59" i="8" s="1"/>
  <c r="BK127" i="1"/>
  <c r="BY127" i="1" s="1"/>
  <c r="BE29" i="8"/>
  <c r="BS29" i="8" s="1"/>
  <c r="DT23" i="1"/>
  <c r="BK115" i="1"/>
  <c r="BY115" i="1" s="1"/>
  <c r="BK207" i="1"/>
  <c r="BY207" i="1" s="1"/>
  <c r="BE41" i="8"/>
  <c r="BS41" i="8" s="1"/>
  <c r="BK157" i="1"/>
  <c r="BY157" i="1" s="1"/>
  <c r="BE5" i="8"/>
  <c r="BS5" i="8" s="1"/>
  <c r="BK222" i="1"/>
  <c r="BY222" i="1" s="1"/>
  <c r="BK5" i="1"/>
  <c r="BY5" i="1" s="1"/>
  <c r="DT101" i="1"/>
  <c r="BE22" i="8"/>
  <c r="BS22" i="8" s="1"/>
  <c r="BE51" i="8"/>
  <c r="BS51" i="8" s="1"/>
  <c r="AV13" i="8"/>
  <c r="BJ13" i="8" s="1"/>
  <c r="BK173" i="1"/>
  <c r="BY173" i="1" s="1"/>
  <c r="L167" i="35"/>
  <c r="EN102" i="1"/>
  <c r="N97" i="60"/>
  <c r="K158" i="35"/>
  <c r="K169" i="35"/>
  <c r="K166" i="35"/>
  <c r="EK147" i="1"/>
  <c r="L158" i="35"/>
  <c r="L166" i="35"/>
  <c r="L169" i="35"/>
  <c r="E31" i="62"/>
  <c r="DT156" i="1"/>
  <c r="EH156" i="1" s="1"/>
  <c r="T41" i="8"/>
  <c r="I39" i="20"/>
  <c r="I51" i="20" s="1"/>
  <c r="I13" i="42" s="1"/>
  <c r="AA42" i="28"/>
  <c r="AA49" i="28" s="1"/>
  <c r="AA50" i="28" s="1"/>
  <c r="AG47" i="28" s="1"/>
  <c r="AH47" i="28" s="1"/>
  <c r="Q21" i="62"/>
  <c r="U42" i="44"/>
  <c r="F28" i="62"/>
  <c r="G28" i="62" s="1"/>
  <c r="J28" i="62" s="1"/>
  <c r="V12" i="28"/>
  <c r="C64" i="44"/>
  <c r="AV111" i="6"/>
  <c r="AV92" i="6"/>
  <c r="AV110" i="6"/>
  <c r="AV108" i="6"/>
  <c r="Y10" i="24"/>
  <c r="P204" i="6"/>
  <c r="P203" i="6"/>
  <c r="AH139" i="6"/>
  <c r="AW139" i="6"/>
  <c r="C108" i="41" s="1"/>
  <c r="AF64" i="48"/>
  <c r="M111" i="60"/>
  <c r="H95" i="22"/>
  <c r="I95" i="22" s="1"/>
  <c r="H80" i="22"/>
  <c r="I80" i="22" s="1"/>
  <c r="H62" i="22"/>
  <c r="I62" i="22" s="1"/>
  <c r="H48" i="22"/>
  <c r="I48" i="22" s="1"/>
  <c r="H30" i="22"/>
  <c r="I30" i="22" s="1"/>
  <c r="H29" i="22"/>
  <c r="I29" i="22" s="1"/>
  <c r="G128" i="22"/>
  <c r="I128" i="22" s="1"/>
  <c r="G126" i="22"/>
  <c r="I126" i="22" s="1"/>
  <c r="J130" i="22"/>
  <c r="EJ9" i="8"/>
  <c r="J8" i="44" s="1"/>
  <c r="O127" i="22"/>
  <c r="EJ26" i="8"/>
  <c r="O129" i="22"/>
  <c r="M200" i="35"/>
  <c r="M197" i="35"/>
  <c r="M193" i="35"/>
  <c r="M182" i="35"/>
  <c r="M183" i="35"/>
  <c r="M191" i="35"/>
  <c r="M184" i="35"/>
  <c r="M194" i="35"/>
  <c r="M189" i="35"/>
  <c r="M195" i="35"/>
  <c r="M192" i="35"/>
  <c r="M185" i="35"/>
  <c r="M181" i="35"/>
  <c r="M190" i="35"/>
  <c r="M198" i="35"/>
  <c r="L202" i="35"/>
  <c r="K202" i="35"/>
  <c r="M199" i="35"/>
  <c r="AK65" i="48"/>
  <c r="AK160" i="48" s="1"/>
  <c r="AH65" i="48"/>
  <c r="AH160" i="48" s="1"/>
  <c r="EK31" i="8"/>
  <c r="EM13" i="1"/>
  <c r="EN103" i="1"/>
  <c r="AE76" i="58"/>
  <c r="AJ107" i="48"/>
  <c r="G48" i="20"/>
  <c r="G10" i="42" s="1"/>
  <c r="EJ6" i="1"/>
  <c r="EI90" i="1"/>
  <c r="I63" i="36"/>
  <c r="I87" i="36" s="1"/>
  <c r="AF105" i="48"/>
  <c r="DT50" i="1"/>
  <c r="N92" i="60"/>
  <c r="AA43" i="58"/>
  <c r="ED64" i="8"/>
  <c r="AG119" i="48"/>
  <c r="AG166" i="48" s="1"/>
  <c r="EJ39" i="1"/>
  <c r="DE41" i="8"/>
  <c r="DT159" i="1"/>
  <c r="J74" i="36"/>
  <c r="H74" i="36" s="1"/>
  <c r="G57" i="53" s="1"/>
  <c r="EI6" i="1"/>
  <c r="L133" i="35"/>
  <c r="J79" i="36"/>
  <c r="J103" i="36" s="1"/>
  <c r="K133" i="35"/>
  <c r="DC59" i="8"/>
  <c r="EN9" i="1"/>
  <c r="I72" i="36"/>
  <c r="H72" i="36" s="1"/>
  <c r="G72" i="36" s="1"/>
  <c r="AK105" i="48"/>
  <c r="AG105" i="48"/>
  <c r="EC9" i="8"/>
  <c r="C8" i="44" s="1"/>
  <c r="L130" i="35"/>
  <c r="DE29" i="8"/>
  <c r="ED11" i="8"/>
  <c r="D10" i="44" s="1"/>
  <c r="DT121" i="1"/>
  <c r="DT205" i="1"/>
  <c r="EJ76" i="1"/>
  <c r="DT71" i="1"/>
  <c r="EK71" i="1"/>
  <c r="DX115" i="1"/>
  <c r="EL115" i="1" s="1"/>
  <c r="DN25" i="8"/>
  <c r="CZ45" i="8"/>
  <c r="EF25" i="8"/>
  <c r="DR59" i="8"/>
  <c r="EN193" i="1"/>
  <c r="D39" i="20"/>
  <c r="D51" i="20" s="1"/>
  <c r="D13" i="42" s="1"/>
  <c r="DT60" i="1"/>
  <c r="DN60" i="8"/>
  <c r="J67" i="36"/>
  <c r="J91" i="36" s="1"/>
  <c r="DT171" i="1"/>
  <c r="DT17" i="1"/>
  <c r="EL13" i="1"/>
  <c r="DT182" i="1"/>
  <c r="P65" i="22"/>
  <c r="AI107" i="48"/>
  <c r="AI154" i="48" s="1"/>
  <c r="K130" i="35"/>
  <c r="EI52" i="1"/>
  <c r="AG108" i="48"/>
  <c r="AG155" i="48" s="1"/>
  <c r="EJ62" i="1"/>
  <c r="DF189" i="1"/>
  <c r="EH189" i="1" s="1"/>
  <c r="EL202" i="1"/>
  <c r="K66" i="36"/>
  <c r="EF58" i="8"/>
  <c r="EK151" i="1"/>
  <c r="EJ141" i="1"/>
  <c r="DT149" i="1"/>
  <c r="DT187" i="1"/>
  <c r="DT160" i="1"/>
  <c r="DG115" i="1"/>
  <c r="EK21" i="1"/>
  <c r="EK95" i="1"/>
  <c r="L67" i="36"/>
  <c r="BH107" i="1"/>
  <c r="BV107" i="1" s="1"/>
  <c r="AC78" i="58"/>
  <c r="DT29" i="8"/>
  <c r="DE59" i="8"/>
  <c r="EG59" i="8" s="1"/>
  <c r="Z107" i="1"/>
  <c r="BB107" i="1" s="1"/>
  <c r="BP107" i="1" s="1"/>
  <c r="K42" i="36"/>
  <c r="AH118" i="48"/>
  <c r="AH165" i="48" s="1"/>
  <c r="AB75" i="58"/>
  <c r="DF98" i="1"/>
  <c r="EH98" i="1" s="1"/>
  <c r="AG65" i="48"/>
  <c r="I10" i="22"/>
  <c r="M55" i="36"/>
  <c r="M103" i="36" s="1"/>
  <c r="L135" i="35"/>
  <c r="EC45" i="8"/>
  <c r="K135" i="35"/>
  <c r="AK73" i="48"/>
  <c r="AK168" i="48" s="1"/>
  <c r="EK141" i="1"/>
  <c r="EH7" i="8"/>
  <c r="H6" i="44" s="1"/>
  <c r="N89" i="60"/>
  <c r="DN57" i="8"/>
  <c r="EI29" i="1"/>
  <c r="G35" i="20"/>
  <c r="G47" i="20" s="1"/>
  <c r="G9" i="42" s="1"/>
  <c r="DL59" i="8"/>
  <c r="EN59" i="8" s="1"/>
  <c r="DC41" i="8"/>
  <c r="EE41" i="8" s="1"/>
  <c r="AH58" i="48"/>
  <c r="AH153" i="48" s="1"/>
  <c r="DH68" i="8"/>
  <c r="EJ68" i="8" s="1"/>
  <c r="AF68" i="48"/>
  <c r="AF163" i="48" s="1"/>
  <c r="DT146" i="1"/>
  <c r="J71" i="36"/>
  <c r="J95" i="36" s="1"/>
  <c r="EN141" i="1"/>
  <c r="DF22" i="8"/>
  <c r="DW115" i="1"/>
  <c r="EN108" i="1"/>
  <c r="K68" i="36"/>
  <c r="K92" i="36" s="1"/>
  <c r="DT44" i="1"/>
  <c r="EH44" i="1" s="1"/>
  <c r="DD41" i="8"/>
  <c r="DF197" i="1"/>
  <c r="EH197" i="1" s="1"/>
  <c r="CZ24" i="8"/>
  <c r="EB24" i="8" s="1"/>
  <c r="EM107" i="1"/>
  <c r="EI114" i="1"/>
  <c r="P47" i="22"/>
  <c r="DF29" i="8"/>
  <c r="ES111" i="1"/>
  <c r="I34" i="20"/>
  <c r="I46" i="20" s="1"/>
  <c r="I8" i="42" s="1"/>
  <c r="DR68" i="8"/>
  <c r="EF68" i="8" s="1"/>
  <c r="DT94" i="1"/>
  <c r="F51" i="20"/>
  <c r="F13" i="42" s="1"/>
  <c r="EK192" i="1"/>
  <c r="I69" i="36"/>
  <c r="I93" i="36" s="1"/>
  <c r="EK42" i="1"/>
  <c r="DT45" i="1"/>
  <c r="EC39" i="8"/>
  <c r="AH115" i="48"/>
  <c r="AH162" i="48" s="1"/>
  <c r="DT42" i="1"/>
  <c r="P96" i="22"/>
  <c r="N91" i="60"/>
  <c r="EC54" i="8"/>
  <c r="DT179" i="1"/>
  <c r="DD22" i="8"/>
  <c r="EF22" i="8" s="1"/>
  <c r="DD29" i="8"/>
  <c r="L79" i="36"/>
  <c r="L103" i="36" s="1"/>
  <c r="AN63" i="48"/>
  <c r="AN158" i="48" s="1"/>
  <c r="EI141" i="1"/>
  <c r="H33" i="20"/>
  <c r="H45" i="20" s="1"/>
  <c r="H7" i="42" s="1"/>
  <c r="L95" i="36"/>
  <c r="N94" i="60"/>
  <c r="I33" i="20"/>
  <c r="I45" i="20" s="1"/>
  <c r="I7" i="42" s="1"/>
  <c r="DT172" i="1"/>
  <c r="EE69" i="8"/>
  <c r="DT9" i="1"/>
  <c r="EI39" i="1"/>
  <c r="EM9" i="1"/>
  <c r="DU157" i="1"/>
  <c r="L52" i="36"/>
  <c r="L100" i="36" s="1"/>
  <c r="I49" i="36"/>
  <c r="I97" i="36" s="1"/>
  <c r="EK224" i="1"/>
  <c r="AF59" i="48"/>
  <c r="AF154" i="48" s="1"/>
  <c r="DT174" i="1"/>
  <c r="R84" i="6"/>
  <c r="S84" i="6" s="1"/>
  <c r="J93" i="36"/>
  <c r="D34" i="20"/>
  <c r="D46" i="20" s="1"/>
  <c r="D8" i="42" s="1"/>
  <c r="I91" i="36"/>
  <c r="K93" i="36"/>
  <c r="A44" i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F49" i="20"/>
  <c r="F11" i="42" s="1"/>
  <c r="BB197" i="1"/>
  <c r="BP197" i="1" s="1"/>
  <c r="DT200" i="1"/>
  <c r="DT6" i="1"/>
  <c r="EJ130" i="1"/>
  <c r="K136" i="35"/>
  <c r="M136" i="35" s="1"/>
  <c r="EH53" i="8"/>
  <c r="EN106" i="1"/>
  <c r="AD75" i="58"/>
  <c r="EH6" i="8"/>
  <c r="H5" i="44" s="1"/>
  <c r="BA41" i="8"/>
  <c r="BO41" i="8" s="1"/>
  <c r="AK74" i="48"/>
  <c r="AK169" i="48" s="1"/>
  <c r="EG37" i="8"/>
  <c r="L40" i="36"/>
  <c r="L88" i="36" s="1"/>
  <c r="DT40" i="1"/>
  <c r="EJ183" i="1"/>
  <c r="DZ173" i="1"/>
  <c r="EN197" i="1"/>
  <c r="DH157" i="1"/>
  <c r="DT137" i="1"/>
  <c r="DJ41" i="8"/>
  <c r="EL41" i="8" s="1"/>
  <c r="DT67" i="1"/>
  <c r="H81" i="6"/>
  <c r="H114" i="6" s="1"/>
  <c r="EH51" i="8"/>
  <c r="DN54" i="8"/>
  <c r="E49" i="20"/>
  <c r="E11" i="42" s="1"/>
  <c r="I79" i="36"/>
  <c r="M77" i="36"/>
  <c r="M61" i="36" s="1"/>
  <c r="DH222" i="1"/>
  <c r="EJ222" i="1" s="1"/>
  <c r="EH9" i="8"/>
  <c r="H8" i="44" s="1"/>
  <c r="BC115" i="1"/>
  <c r="BQ115" i="1" s="1"/>
  <c r="AE77" i="58"/>
  <c r="DY222" i="1"/>
  <c r="EM222" i="1" s="1"/>
  <c r="DT158" i="1"/>
  <c r="AH71" i="48"/>
  <c r="AH166" i="48" s="1"/>
  <c r="R83" i="6"/>
  <c r="S83" i="6" s="1"/>
  <c r="AI68" i="48"/>
  <c r="AI163" i="48" s="1"/>
  <c r="DF147" i="1"/>
  <c r="EH147" i="1" s="1"/>
  <c r="P79" i="22"/>
  <c r="H79" i="22" s="1"/>
  <c r="EE9" i="8"/>
  <c r="E8" i="44" s="1"/>
  <c r="DY5" i="1"/>
  <c r="DV127" i="1"/>
  <c r="DT224" i="1"/>
  <c r="AI71" i="48"/>
  <c r="AI166" i="48" s="1"/>
  <c r="I70" i="36"/>
  <c r="I94" i="36" s="1"/>
  <c r="DT87" i="1"/>
  <c r="DW207" i="1"/>
  <c r="EG30" i="8"/>
  <c r="N24" i="51"/>
  <c r="EE30" i="8"/>
  <c r="AD76" i="58"/>
  <c r="DT126" i="1"/>
  <c r="K77" i="36"/>
  <c r="AI108" i="48"/>
  <c r="DW157" i="1"/>
  <c r="EL63" i="1"/>
  <c r="DU115" i="1"/>
  <c r="EE27" i="8"/>
  <c r="K99" i="36"/>
  <c r="K53" i="36"/>
  <c r="EC27" i="8"/>
  <c r="DK59" i="8"/>
  <c r="EM59" i="8" s="1"/>
  <c r="AF112" i="48"/>
  <c r="EN118" i="1"/>
  <c r="DN35" i="8"/>
  <c r="EI41" i="1"/>
  <c r="DF177" i="1"/>
  <c r="DT139" i="1"/>
  <c r="K79" i="36"/>
  <c r="D33" i="20"/>
  <c r="D45" i="20" s="1"/>
  <c r="D7" i="42" s="1"/>
  <c r="R85" i="6"/>
  <c r="S85" i="6" s="1"/>
  <c r="AE78" i="58"/>
  <c r="DN15" i="8"/>
  <c r="DS41" i="8"/>
  <c r="DT51" i="1"/>
  <c r="AR111" i="48"/>
  <c r="F94" i="51" s="1"/>
  <c r="DS51" i="8"/>
  <c r="AS116" i="48"/>
  <c r="Y116" i="48" s="1"/>
  <c r="EI67" i="1"/>
  <c r="AF74" i="48"/>
  <c r="AF169" i="48" s="1"/>
  <c r="EL19" i="1"/>
  <c r="O136" i="35"/>
  <c r="L87" i="36"/>
  <c r="EL6" i="1"/>
  <c r="AI105" i="48"/>
  <c r="AI152" i="48" s="1"/>
  <c r="I36" i="20"/>
  <c r="I48" i="20" s="1"/>
  <c r="I10" i="42" s="1"/>
  <c r="P26" i="20"/>
  <c r="C75" i="42" s="1"/>
  <c r="EC10" i="8"/>
  <c r="C9" i="44" s="1"/>
  <c r="EM69" i="8"/>
  <c r="F33" i="20"/>
  <c r="F45" i="20" s="1"/>
  <c r="F7" i="42" s="1"/>
  <c r="DL222" i="1"/>
  <c r="EN222" i="1" s="1"/>
  <c r="AF78" i="58"/>
  <c r="AH107" i="48"/>
  <c r="DZ115" i="1"/>
  <c r="EK13" i="1"/>
  <c r="EM78" i="1"/>
  <c r="AG112" i="48"/>
  <c r="AG159" i="48" s="1"/>
  <c r="DN10" i="8"/>
  <c r="R12" i="22" s="1"/>
  <c r="L12" i="22" s="1"/>
  <c r="AB78" i="58"/>
  <c r="EJ77" i="1"/>
  <c r="DT78" i="1"/>
  <c r="K97" i="6"/>
  <c r="ED9" i="8"/>
  <c r="D8" i="44" s="1"/>
  <c r="P78" i="22"/>
  <c r="G81" i="6"/>
  <c r="G114" i="6" s="1"/>
  <c r="DT39" i="1"/>
  <c r="DF187" i="1"/>
  <c r="EK39" i="1"/>
  <c r="O12" i="28"/>
  <c r="O13" i="28" s="1"/>
  <c r="DH115" i="1"/>
  <c r="DJ59" i="8"/>
  <c r="EL59" i="8" s="1"/>
  <c r="AQ73" i="48"/>
  <c r="AQ168" i="48" s="1"/>
  <c r="EC7" i="8"/>
  <c r="C6" i="44" s="1"/>
  <c r="DN66" i="8"/>
  <c r="DQ59" i="8"/>
  <c r="CZ69" i="8"/>
  <c r="CZ68" i="8" s="1"/>
  <c r="EF11" i="8"/>
  <c r="F10" i="44" s="1"/>
  <c r="M42" i="36"/>
  <c r="M90" i="36" s="1"/>
  <c r="DF226" i="1"/>
  <c r="EH226" i="1" s="1"/>
  <c r="DF54" i="1"/>
  <c r="M142" i="35"/>
  <c r="AK109" i="48"/>
  <c r="DR29" i="8"/>
  <c r="D37" i="20"/>
  <c r="D49" i="20" s="1"/>
  <c r="D11" i="42" s="1"/>
  <c r="AZ22" i="8"/>
  <c r="BN22" i="8" s="1"/>
  <c r="DN39" i="8"/>
  <c r="R14" i="22" s="1"/>
  <c r="L14" i="22" s="1"/>
  <c r="C29" i="44"/>
  <c r="D29" i="44" s="1"/>
  <c r="P45" i="22"/>
  <c r="P11" i="22"/>
  <c r="H11" i="22" s="1"/>
  <c r="I11" i="22" s="1"/>
  <c r="DP29" i="8"/>
  <c r="DN55" i="8"/>
  <c r="DN33" i="8"/>
  <c r="EB33" i="8" s="1"/>
  <c r="I88" i="36"/>
  <c r="EI32" i="1"/>
  <c r="ED7" i="8"/>
  <c r="D6" i="44" s="1"/>
  <c r="DS5" i="8"/>
  <c r="DT32" i="1"/>
  <c r="E45" i="20"/>
  <c r="E7" i="42" s="1"/>
  <c r="AA78" i="58"/>
  <c r="DP22" i="8"/>
  <c r="ED22" i="8" s="1"/>
  <c r="DQ29" i="8"/>
  <c r="EE29" i="8" s="1"/>
  <c r="EL141" i="1"/>
  <c r="DX127" i="1"/>
  <c r="DY157" i="1"/>
  <c r="DG22" i="8"/>
  <c r="AJ104" i="48"/>
  <c r="DR41" i="8"/>
  <c r="BC22" i="8"/>
  <c r="BQ22" i="8" s="1"/>
  <c r="DT180" i="1"/>
  <c r="DT216" i="1"/>
  <c r="DT130" i="1"/>
  <c r="DT133" i="1"/>
  <c r="DV173" i="1"/>
  <c r="DN31" i="8"/>
  <c r="DF201" i="1"/>
  <c r="EH201" i="1" s="1"/>
  <c r="K76" i="36"/>
  <c r="K100" i="36" s="1"/>
  <c r="F34" i="20"/>
  <c r="F46" i="20" s="1"/>
  <c r="F8" i="42" s="1"/>
  <c r="E51" i="20"/>
  <c r="E13" i="42" s="1"/>
  <c r="BD207" i="1"/>
  <c r="BR207" i="1" s="1"/>
  <c r="E35" i="20"/>
  <c r="E47" i="20" s="1"/>
  <c r="E9" i="42" s="1"/>
  <c r="F35" i="20"/>
  <c r="F47" i="20" s="1"/>
  <c r="F9" i="42" s="1"/>
  <c r="L46" i="36"/>
  <c r="L94" i="36" s="1"/>
  <c r="G33" i="20"/>
  <c r="G45" i="20" s="1"/>
  <c r="G7" i="42" s="1"/>
  <c r="DT18" i="1"/>
  <c r="AB76" i="58"/>
  <c r="O126" i="35"/>
  <c r="EL194" i="1"/>
  <c r="DH207" i="1"/>
  <c r="EJ207" i="1" s="1"/>
  <c r="L126" i="35"/>
  <c r="M126" i="35" s="1"/>
  <c r="EE54" i="8"/>
  <c r="G49" i="20"/>
  <c r="G11" i="42" s="1"/>
  <c r="DT22" i="8"/>
  <c r="BD115" i="1"/>
  <c r="BR115" i="1" s="1"/>
  <c r="DQ51" i="8"/>
  <c r="EE51" i="8" s="1"/>
  <c r="J97" i="6"/>
  <c r="J113" i="6" s="1"/>
  <c r="J128" i="6"/>
  <c r="J137" i="6" s="1"/>
  <c r="DT92" i="1"/>
  <c r="EE46" i="8"/>
  <c r="P25" i="20"/>
  <c r="C74" i="42" s="1"/>
  <c r="ED63" i="8"/>
  <c r="AG67" i="48"/>
  <c r="AG162" i="48" s="1"/>
  <c r="J39" i="36"/>
  <c r="J87" i="36" s="1"/>
  <c r="DZ157" i="1"/>
  <c r="CZ60" i="8"/>
  <c r="DN53" i="8"/>
  <c r="DP51" i="8"/>
  <c r="DJ68" i="8"/>
  <c r="EL68" i="8" s="1"/>
  <c r="EI44" i="8"/>
  <c r="CZ62" i="8"/>
  <c r="H37" i="20"/>
  <c r="H49" i="20" s="1"/>
  <c r="H11" i="42" s="1"/>
  <c r="H34" i="20"/>
  <c r="H46" i="20" s="1"/>
  <c r="H8" i="42" s="1"/>
  <c r="J46" i="36"/>
  <c r="G34" i="20"/>
  <c r="G46" i="20" s="1"/>
  <c r="G8" i="42" s="1"/>
  <c r="DI157" i="1"/>
  <c r="I71" i="36"/>
  <c r="I95" i="36" s="1"/>
  <c r="DN45" i="8"/>
  <c r="DU127" i="1"/>
  <c r="DT164" i="1"/>
  <c r="AV47" i="8"/>
  <c r="BJ47" i="8" s="1"/>
  <c r="DT170" i="1"/>
  <c r="M101" i="60"/>
  <c r="M102" i="60" s="1"/>
  <c r="G51" i="20"/>
  <c r="G13" i="42" s="1"/>
  <c r="CZ44" i="8"/>
  <c r="L93" i="36"/>
  <c r="AH68" i="48"/>
  <c r="AH163" i="48" s="1"/>
  <c r="DF41" i="8"/>
  <c r="P27" i="20"/>
  <c r="C76" i="42" s="1"/>
  <c r="E28" i="20"/>
  <c r="DN52" i="8"/>
  <c r="DT13" i="1"/>
  <c r="AG107" i="48"/>
  <c r="AG154" i="48" s="1"/>
  <c r="J97" i="36"/>
  <c r="DB59" i="8"/>
  <c r="AD43" i="58"/>
  <c r="AD111" i="58" s="1"/>
  <c r="AI60" i="48"/>
  <c r="DF62" i="1"/>
  <c r="EH62" i="1" s="1"/>
  <c r="P21" i="20"/>
  <c r="C70" i="42" s="1"/>
  <c r="N24" i="44"/>
  <c r="I66" i="36"/>
  <c r="I90" i="36" s="1"/>
  <c r="AB43" i="58"/>
  <c r="DS29" i="8"/>
  <c r="N99" i="60"/>
  <c r="H28" i="20"/>
  <c r="EF7" i="8"/>
  <c r="F6" i="44" s="1"/>
  <c r="DE51" i="8"/>
  <c r="AG58" i="48"/>
  <c r="AG153" i="48" s="1"/>
  <c r="BB156" i="1"/>
  <c r="BP156" i="1" s="1"/>
  <c r="AV62" i="8"/>
  <c r="BJ62" i="8" s="1"/>
  <c r="DT49" i="1"/>
  <c r="D28" i="20"/>
  <c r="BJ115" i="1"/>
  <c r="BX115" i="1" s="1"/>
  <c r="I81" i="6"/>
  <c r="I114" i="6" s="1"/>
  <c r="F97" i="6"/>
  <c r="F113" i="6" s="1"/>
  <c r="F105" i="6" s="1"/>
  <c r="R103" i="6"/>
  <c r="S103" i="6" s="1"/>
  <c r="AI63" i="48"/>
  <c r="AI158" i="48" s="1"/>
  <c r="DT153" i="1"/>
  <c r="EL153" i="1"/>
  <c r="DX173" i="1"/>
  <c r="DP59" i="8"/>
  <c r="N89" i="36"/>
  <c r="E34" i="20"/>
  <c r="E46" i="20" s="1"/>
  <c r="E8" i="42" s="1"/>
  <c r="DP41" i="8"/>
  <c r="AF77" i="58"/>
  <c r="DT128" i="1"/>
  <c r="N71" i="36"/>
  <c r="N95" i="36" s="1"/>
  <c r="DZ127" i="1"/>
  <c r="F32" i="20"/>
  <c r="F44" i="20" s="1"/>
  <c r="F6" i="42" s="1"/>
  <c r="AK104" i="48"/>
  <c r="E32" i="20"/>
  <c r="E44" i="20" s="1"/>
  <c r="E6" i="42" s="1"/>
  <c r="G32" i="20"/>
  <c r="EQ141" i="1"/>
  <c r="EI95" i="1"/>
  <c r="AF109" i="48"/>
  <c r="AF156" i="48" s="1"/>
  <c r="DT95" i="1"/>
  <c r="AG113" i="48"/>
  <c r="EJ65" i="1"/>
  <c r="DT65" i="1"/>
  <c r="EL161" i="1"/>
  <c r="L77" i="36"/>
  <c r="DX157" i="1"/>
  <c r="N77" i="36"/>
  <c r="EN164" i="1"/>
  <c r="H39" i="20"/>
  <c r="H51" i="20" s="1"/>
  <c r="H13" i="42" s="1"/>
  <c r="DX222" i="1"/>
  <c r="EL222" i="1" s="1"/>
  <c r="DT227" i="1"/>
  <c r="P97" i="22"/>
  <c r="EH30" i="8"/>
  <c r="AG72" i="48"/>
  <c r="AG167" i="48" s="1"/>
  <c r="EJ71" i="1"/>
  <c r="EL227" i="1"/>
  <c r="DT54" i="1"/>
  <c r="EL54" i="1"/>
  <c r="DT70" i="1"/>
  <c r="EK70" i="1"/>
  <c r="I55" i="36"/>
  <c r="EI139" i="1"/>
  <c r="AO73" i="48"/>
  <c r="AO168" i="48" s="1"/>
  <c r="DN43" i="8"/>
  <c r="BB169" i="1"/>
  <c r="BP169" i="1" s="1"/>
  <c r="I54" i="36"/>
  <c r="I102" i="36" s="1"/>
  <c r="EI208" i="1"/>
  <c r="G28" i="20"/>
  <c r="EJ178" i="1"/>
  <c r="DT178" i="1"/>
  <c r="DV115" i="1"/>
  <c r="DF204" i="1"/>
  <c r="EK191" i="1"/>
  <c r="EJ123" i="1"/>
  <c r="DT41" i="8"/>
  <c r="AH121" i="48"/>
  <c r="AR121" i="48" s="1"/>
  <c r="F104" i="51" s="1"/>
  <c r="DW127" i="1"/>
  <c r="BB195" i="1"/>
  <c r="BP195" i="1" s="1"/>
  <c r="DO29" i="8"/>
  <c r="DT131" i="1"/>
  <c r="EC34" i="8"/>
  <c r="DT99" i="1"/>
  <c r="K71" i="36"/>
  <c r="K95" i="36" s="1"/>
  <c r="AC76" i="58"/>
  <c r="AV64" i="8"/>
  <c r="BJ64" i="8" s="1"/>
  <c r="EJ13" i="1"/>
  <c r="EJ93" i="1"/>
  <c r="DT93" i="1"/>
  <c r="K50" i="36"/>
  <c r="K98" i="36" s="1"/>
  <c r="AH59" i="48"/>
  <c r="EK159" i="1"/>
  <c r="O128" i="35"/>
  <c r="L128" i="35"/>
  <c r="K128" i="35"/>
  <c r="CZ46" i="8"/>
  <c r="ED62" i="8"/>
  <c r="S55" i="36"/>
  <c r="S103" i="36" s="1"/>
  <c r="M154" i="35"/>
  <c r="EN62" i="1"/>
  <c r="BD29" i="8"/>
  <c r="BR29" i="8" s="1"/>
  <c r="BB26" i="1"/>
  <c r="BP26" i="1" s="1"/>
  <c r="BD22" i="8"/>
  <c r="BR22" i="8" s="1"/>
  <c r="D32" i="20"/>
  <c r="D44" i="20" s="1"/>
  <c r="D6" i="42" s="1"/>
  <c r="BD59" i="8"/>
  <c r="BR59" i="8" s="1"/>
  <c r="BD51" i="8"/>
  <c r="BR51" i="8" s="1"/>
  <c r="BJ157" i="1"/>
  <c r="BX157" i="1" s="1"/>
  <c r="BJ207" i="1"/>
  <c r="BX207" i="1" s="1"/>
  <c r="BJ173" i="1"/>
  <c r="BX173" i="1" s="1"/>
  <c r="BJ5" i="1"/>
  <c r="BX5" i="1" s="1"/>
  <c r="BD41" i="8"/>
  <c r="BR41" i="8" s="1"/>
  <c r="BJ127" i="1"/>
  <c r="BX127" i="1" s="1"/>
  <c r="CZ32" i="8"/>
  <c r="EB32" i="8" s="1"/>
  <c r="M163" i="35"/>
  <c r="M157" i="35"/>
  <c r="K164" i="35"/>
  <c r="O151" i="35"/>
  <c r="K151" i="35"/>
  <c r="L162" i="35"/>
  <c r="K161" i="35"/>
  <c r="L161" i="35"/>
  <c r="L164" i="35"/>
  <c r="M165" i="35"/>
  <c r="L151" i="35"/>
  <c r="K162" i="35"/>
  <c r="M153" i="35"/>
  <c r="L168" i="35"/>
  <c r="K168" i="35"/>
  <c r="L170" i="35"/>
  <c r="K170" i="35"/>
  <c r="AA2" i="8"/>
  <c r="DN27" i="8"/>
  <c r="AW22" i="8"/>
  <c r="BK22" i="8" s="1"/>
  <c r="P111" i="22"/>
  <c r="DN11" i="8"/>
  <c r="EO126" i="1"/>
  <c r="AZ68" i="8"/>
  <c r="BN68" i="8" s="1"/>
  <c r="BC41" i="8"/>
  <c r="BQ41" i="8" s="1"/>
  <c r="P113" i="22"/>
  <c r="DN26" i="8"/>
  <c r="EI26" i="8"/>
  <c r="DU22" i="8"/>
  <c r="DT141" i="1"/>
  <c r="R99" i="6"/>
  <c r="S99" i="6" s="1"/>
  <c r="P24" i="20"/>
  <c r="C73" i="42" s="1"/>
  <c r="EO34" i="1"/>
  <c r="DN44" i="8"/>
  <c r="EA115" i="1"/>
  <c r="EO162" i="1"/>
  <c r="EO111" i="1"/>
  <c r="EI39" i="8"/>
  <c r="DF162" i="1"/>
  <c r="EH162" i="1" s="1"/>
  <c r="EO141" i="1"/>
  <c r="DG41" i="8"/>
  <c r="DB29" i="8"/>
  <c r="AL122" i="48"/>
  <c r="DT111" i="1"/>
  <c r="T56" i="36"/>
  <c r="T104" i="36" s="1"/>
  <c r="K154" i="6"/>
  <c r="K153" i="6"/>
  <c r="AV126" i="6"/>
  <c r="S148" i="6"/>
  <c r="C11" i="24"/>
  <c r="AG73" i="6"/>
  <c r="AG74" i="6"/>
  <c r="AG52" i="6"/>
  <c r="AG76" i="6"/>
  <c r="AG70" i="6"/>
  <c r="AG53" i="6"/>
  <c r="AG72" i="6"/>
  <c r="AG57" i="6"/>
  <c r="AG69" i="6"/>
  <c r="AG71" i="6"/>
  <c r="AG54" i="6"/>
  <c r="AG68" i="6"/>
  <c r="AG51" i="6"/>
  <c r="J203" i="6"/>
  <c r="AV89" i="6"/>
  <c r="AV95" i="6"/>
  <c r="AV139" i="6"/>
  <c r="AV52" i="20"/>
  <c r="AV105" i="6"/>
  <c r="AV112" i="6"/>
  <c r="N203" i="6"/>
  <c r="AV90" i="6"/>
  <c r="AV107" i="6"/>
  <c r="ED30" i="8"/>
  <c r="BB41" i="8"/>
  <c r="BP41" i="8" s="1"/>
  <c r="H62" i="44"/>
  <c r="DH51" i="8"/>
  <c r="EJ51" i="8" s="1"/>
  <c r="N22" i="44"/>
  <c r="AV46" i="8"/>
  <c r="BJ46" i="8" s="1"/>
  <c r="BI222" i="1"/>
  <c r="BW222" i="1" s="1"/>
  <c r="AV61" i="8"/>
  <c r="BJ61" i="8" s="1"/>
  <c r="BB99" i="1"/>
  <c r="BP99" i="1" s="1"/>
  <c r="AC43" i="58"/>
  <c r="AM61" i="48"/>
  <c r="AM156" i="48" s="1"/>
  <c r="Y27" i="48"/>
  <c r="AT27" i="48"/>
  <c r="Y26" i="48"/>
  <c r="AT26" i="48"/>
  <c r="M7" i="48"/>
  <c r="M27" i="48"/>
  <c r="M26" i="48"/>
  <c r="N23" i="51"/>
  <c r="K107" i="48"/>
  <c r="F9" i="51"/>
  <c r="E100" i="51"/>
  <c r="H100" i="51" s="1"/>
  <c r="R19" i="51"/>
  <c r="CZ38" i="8"/>
  <c r="DA29" i="8"/>
  <c r="DF169" i="1"/>
  <c r="EH169" i="1" s="1"/>
  <c r="AZ41" i="8"/>
  <c r="BN41" i="8" s="1"/>
  <c r="H63" i="44"/>
  <c r="F113" i="22"/>
  <c r="O50" i="22"/>
  <c r="AZ29" i="8"/>
  <c r="BN29" i="8" s="1"/>
  <c r="DX207" i="1"/>
  <c r="EL210" i="1"/>
  <c r="AH16" i="6"/>
  <c r="AH17" i="6"/>
  <c r="AH31" i="6"/>
  <c r="AH38" i="6"/>
  <c r="AH19" i="6"/>
  <c r="AH14" i="6"/>
  <c r="AH32" i="6"/>
  <c r="AH18" i="6"/>
  <c r="AH15" i="6"/>
  <c r="AH35" i="6"/>
  <c r="AH34" i="6"/>
  <c r="AH36" i="6"/>
  <c r="AH20" i="6"/>
  <c r="AH33" i="6"/>
  <c r="AA9" i="24"/>
  <c r="AA10" i="24" s="1"/>
  <c r="AV16" i="6"/>
  <c r="AV34" i="6"/>
  <c r="AV14" i="6"/>
  <c r="AV36" i="6"/>
  <c r="AV19" i="6"/>
  <c r="AV17" i="6"/>
  <c r="AV20" i="6"/>
  <c r="AV33" i="6"/>
  <c r="AV18" i="6"/>
  <c r="AV38" i="6"/>
  <c r="AV32" i="6"/>
  <c r="AV15" i="6"/>
  <c r="AV31" i="6"/>
  <c r="AV13" i="6"/>
  <c r="AV35" i="6"/>
  <c r="S197" i="6"/>
  <c r="S198" i="6" s="1"/>
  <c r="AH13" i="6"/>
  <c r="AW109" i="6"/>
  <c r="AW91" i="6"/>
  <c r="AW106" i="6"/>
  <c r="AW112" i="6"/>
  <c r="AW108" i="6"/>
  <c r="AW90" i="6"/>
  <c r="AW95" i="6"/>
  <c r="AW107" i="6"/>
  <c r="AW92" i="6"/>
  <c r="AW110" i="6"/>
  <c r="AW105" i="6"/>
  <c r="AW111" i="6"/>
  <c r="AH57" i="6"/>
  <c r="AH52" i="6"/>
  <c r="AH73" i="6"/>
  <c r="AH71" i="6"/>
  <c r="AH72" i="6"/>
  <c r="AH70" i="6"/>
  <c r="AH51" i="6"/>
  <c r="AH74" i="6"/>
  <c r="AH54" i="6"/>
  <c r="AH53" i="6"/>
  <c r="AH69" i="6"/>
  <c r="AH76" i="6"/>
  <c r="AD11" i="24"/>
  <c r="Q11" i="24"/>
  <c r="AV30" i="6"/>
  <c r="R153" i="6"/>
  <c r="AH109" i="6"/>
  <c r="AH108" i="6"/>
  <c r="AH95" i="6"/>
  <c r="AH90" i="6"/>
  <c r="AH111" i="6"/>
  <c r="AH92" i="6"/>
  <c r="AH91" i="6"/>
  <c r="AH106" i="6"/>
  <c r="AH107" i="6"/>
  <c r="AH89" i="6"/>
  <c r="AH110" i="6"/>
  <c r="AH112" i="6"/>
  <c r="R203" i="6"/>
  <c r="AW40" i="20"/>
  <c r="AG35" i="6"/>
  <c r="AG36" i="6"/>
  <c r="AG15" i="6"/>
  <c r="AG32" i="6"/>
  <c r="AG17" i="6"/>
  <c r="AG16" i="6"/>
  <c r="AG19" i="6"/>
  <c r="AG18" i="6"/>
  <c r="AG33" i="6"/>
  <c r="AG20" i="6"/>
  <c r="AG38" i="6"/>
  <c r="AG31" i="6"/>
  <c r="AG34" i="6"/>
  <c r="AG30" i="6"/>
  <c r="AG14" i="6"/>
  <c r="AH30" i="6"/>
  <c r="DA51" i="8"/>
  <c r="EC51" i="8" s="1"/>
  <c r="BE115" i="1"/>
  <c r="BS115" i="1" s="1"/>
  <c r="BX22" i="8"/>
  <c r="EP111" i="1"/>
  <c r="G23" i="36"/>
  <c r="C26" i="44"/>
  <c r="DN62" i="8"/>
  <c r="L111" i="60"/>
  <c r="N107" i="60"/>
  <c r="EO224" i="1"/>
  <c r="EO219" i="1"/>
  <c r="BB54" i="1"/>
  <c r="BP54" i="1" s="1"/>
  <c r="BB170" i="1"/>
  <c r="BP170" i="1" s="1"/>
  <c r="N23" i="44"/>
  <c r="ET160" i="1"/>
  <c r="BF222" i="1"/>
  <c r="BT222" i="1" s="1"/>
  <c r="M159" i="35"/>
  <c r="EO187" i="1"/>
  <c r="BB202" i="1"/>
  <c r="BP202" i="1" s="1"/>
  <c r="BB100" i="1"/>
  <c r="BP100" i="1" s="1"/>
  <c r="I32" i="20"/>
  <c r="EO154" i="1"/>
  <c r="BB97" i="1"/>
  <c r="BP97" i="1" s="1"/>
  <c r="EA222" i="1"/>
  <c r="EO168" i="1"/>
  <c r="M155" i="35"/>
  <c r="EI16" i="8"/>
  <c r="O171" i="35"/>
  <c r="M171" i="35"/>
  <c r="O168" i="35"/>
  <c r="EO225" i="1"/>
  <c r="DT104" i="1"/>
  <c r="EH104" i="1" s="1"/>
  <c r="EO104" i="1"/>
  <c r="O161" i="35"/>
  <c r="O170" i="35"/>
  <c r="J76" i="58"/>
  <c r="BE157" i="1"/>
  <c r="BS157" i="1" s="1"/>
  <c r="N12" i="51"/>
  <c r="EO117" i="1"/>
  <c r="EO119" i="1"/>
  <c r="BB217" i="1"/>
  <c r="BP217" i="1" s="1"/>
  <c r="EO175" i="1"/>
  <c r="M160" i="35"/>
  <c r="M156" i="35"/>
  <c r="DG127" i="1"/>
  <c r="F11" i="52"/>
  <c r="G11" i="52" s="1"/>
  <c r="BB227" i="1"/>
  <c r="BP227" i="1" s="1"/>
  <c r="E7" i="52"/>
  <c r="B7" i="52" s="1"/>
  <c r="N21" i="44"/>
  <c r="BF207" i="1"/>
  <c r="BT207" i="1" s="1"/>
  <c r="L134" i="6"/>
  <c r="L128" i="6" s="1"/>
  <c r="L137" i="6" s="1"/>
  <c r="J99" i="22"/>
  <c r="V371" i="2"/>
  <c r="D37" i="42"/>
  <c r="G37" i="42" s="1"/>
  <c r="I37" i="42" s="1"/>
  <c r="EI43" i="8"/>
  <c r="DT165" i="1"/>
  <c r="EH165" i="1" s="1"/>
  <c r="EO165" i="1"/>
  <c r="A153" i="1"/>
  <c r="A154" i="1"/>
  <c r="DG222" i="1"/>
  <c r="EI222" i="1" s="1"/>
  <c r="DC22" i="8"/>
  <c r="EE22" i="8" s="1"/>
  <c r="DF227" i="1"/>
  <c r="DZ107" i="1"/>
  <c r="AF76" i="58" s="1"/>
  <c r="K82" i="6"/>
  <c r="K119" i="6" s="1"/>
  <c r="DT17" i="8"/>
  <c r="L96" i="60"/>
  <c r="I20" i="20"/>
  <c r="I28" i="20" s="1"/>
  <c r="BB119" i="1"/>
  <c r="BP119" i="1" s="1"/>
  <c r="EI9" i="8"/>
  <c r="I8" i="44" s="1"/>
  <c r="P114" i="22"/>
  <c r="G116" i="22"/>
  <c r="O116" i="22"/>
  <c r="F110" i="22"/>
  <c r="F109" i="22"/>
  <c r="EI30" i="8"/>
  <c r="P112" i="22"/>
  <c r="H112" i="22" s="1"/>
  <c r="J116" i="22"/>
  <c r="DN7" i="8"/>
  <c r="P110" i="22"/>
  <c r="EI21" i="8"/>
  <c r="F112" i="22"/>
  <c r="F114" i="22"/>
  <c r="EO72" i="1"/>
  <c r="DT72" i="1"/>
  <c r="EH72" i="1" s="1"/>
  <c r="AL120" i="48"/>
  <c r="A202" i="1"/>
  <c r="A183" i="1"/>
  <c r="DJ5" i="8"/>
  <c r="EL5" i="8" s="1"/>
  <c r="O34" i="22"/>
  <c r="DB5" i="8"/>
  <c r="T5" i="8"/>
  <c r="BX5" i="8"/>
  <c r="BC5" i="8"/>
  <c r="BQ5" i="8" s="1"/>
  <c r="DH5" i="8"/>
  <c r="EJ5" i="8" s="1"/>
  <c r="EJ6" i="8"/>
  <c r="J5" i="44" s="1"/>
  <c r="DI5" i="8"/>
  <c r="F5" i="8"/>
  <c r="EI6" i="8"/>
  <c r="I5" i="44" s="1"/>
  <c r="DU5" i="8"/>
  <c r="DG5" i="8"/>
  <c r="P61" i="22"/>
  <c r="H61" i="22" s="1"/>
  <c r="DR5" i="8"/>
  <c r="O93" i="22"/>
  <c r="G93" i="22" s="1"/>
  <c r="DF5" i="8"/>
  <c r="O61" i="22"/>
  <c r="G61" i="22" s="1"/>
  <c r="DD5" i="8"/>
  <c r="DK5" i="8"/>
  <c r="EM5" i="8" s="1"/>
  <c r="EM6" i="8"/>
  <c r="M5" i="44" s="1"/>
  <c r="P8" i="22"/>
  <c r="H8" i="22" s="1"/>
  <c r="I8" i="22" s="1"/>
  <c r="DO5" i="8"/>
  <c r="EE6" i="8"/>
  <c r="E5" i="44" s="1"/>
  <c r="DQ5" i="8"/>
  <c r="EN6" i="8"/>
  <c r="N5" i="44" s="1"/>
  <c r="DL5" i="8"/>
  <c r="EN5" i="8" s="1"/>
  <c r="DE5" i="8"/>
  <c r="DC5" i="8"/>
  <c r="DA5" i="8"/>
  <c r="G83" i="22"/>
  <c r="O83" i="22"/>
  <c r="ED6" i="8"/>
  <c r="D5" i="44" s="1"/>
  <c r="DP5" i="8"/>
  <c r="D24" i="42"/>
  <c r="E12" i="52"/>
  <c r="B12" i="52" s="1"/>
  <c r="E13" i="52"/>
  <c r="B13" i="52" s="1"/>
  <c r="BB226" i="1"/>
  <c r="BP226" i="1" s="1"/>
  <c r="BG222" i="1"/>
  <c r="BU222" i="1" s="1"/>
  <c r="AX5" i="8"/>
  <c r="BL5" i="8" s="1"/>
  <c r="AR116" i="48"/>
  <c r="F99" i="51" s="1"/>
  <c r="BB152" i="1"/>
  <c r="BP152" i="1" s="1"/>
  <c r="ED46" i="8"/>
  <c r="BI157" i="1"/>
  <c r="BW157" i="1" s="1"/>
  <c r="AV66" i="8"/>
  <c r="BJ66" i="8" s="1"/>
  <c r="DT129" i="1"/>
  <c r="DN30" i="8"/>
  <c r="R97" i="22" s="1"/>
  <c r="L97" i="22" s="1"/>
  <c r="O128" i="6"/>
  <c r="O137" i="6" s="1"/>
  <c r="M55" i="41" s="1"/>
  <c r="P22" i="20"/>
  <c r="O8" i="52" s="1"/>
  <c r="L8" i="52" s="1"/>
  <c r="EO164" i="1"/>
  <c r="EO156" i="1"/>
  <c r="DN56" i="8"/>
  <c r="DN69" i="8"/>
  <c r="DN68" i="8" s="1"/>
  <c r="J8" i="24"/>
  <c r="J9" i="24" s="1"/>
  <c r="J11" i="24" s="1"/>
  <c r="N145" i="6"/>
  <c r="G12" i="41"/>
  <c r="L11" i="41"/>
  <c r="EI68" i="8"/>
  <c r="R123" i="6"/>
  <c r="S123" i="6" s="1"/>
  <c r="EI52" i="8"/>
  <c r="L81" i="6"/>
  <c r="L114" i="6" s="1"/>
  <c r="M113" i="6"/>
  <c r="M92" i="6" s="1"/>
  <c r="R100" i="6"/>
  <c r="S100" i="6" s="1"/>
  <c r="EI69" i="8"/>
  <c r="DN34" i="8"/>
  <c r="R13" i="22" s="1"/>
  <c r="L13" i="22" s="1"/>
  <c r="EO130" i="1"/>
  <c r="EO216" i="1"/>
  <c r="L97" i="6"/>
  <c r="F145" i="6"/>
  <c r="DQ222" i="1"/>
  <c r="ES222" i="1" s="1"/>
  <c r="D11" i="41"/>
  <c r="F195" i="6"/>
  <c r="F197" i="6" s="1"/>
  <c r="F198" i="6" s="1"/>
  <c r="BB96" i="1"/>
  <c r="BP96" i="1" s="1"/>
  <c r="J28" i="20"/>
  <c r="K77" i="6"/>
  <c r="K68" i="6" s="1"/>
  <c r="F11" i="41"/>
  <c r="EO163" i="1"/>
  <c r="DN46" i="8"/>
  <c r="I77" i="6"/>
  <c r="I68" i="6" s="1"/>
  <c r="F118" i="6"/>
  <c r="F127" i="6" s="1"/>
  <c r="D60" i="24" s="1"/>
  <c r="EO179" i="1"/>
  <c r="EI53" i="8"/>
  <c r="S66" i="6"/>
  <c r="DH59" i="8"/>
  <c r="EJ59" i="8" s="1"/>
  <c r="BC51" i="8"/>
  <c r="BQ51" i="8" s="1"/>
  <c r="O118" i="6"/>
  <c r="O127" i="6" s="1"/>
  <c r="V60" i="24" s="1"/>
  <c r="H7" i="24"/>
  <c r="H9" i="24" s="1"/>
  <c r="H11" i="24" s="1"/>
  <c r="AV25" i="8"/>
  <c r="BJ25" i="8" s="1"/>
  <c r="J39" i="20"/>
  <c r="EA207" i="1"/>
  <c r="DN38" i="8"/>
  <c r="L53" i="36"/>
  <c r="J34" i="20"/>
  <c r="J46" i="20" s="1"/>
  <c r="J8" i="42" s="1"/>
  <c r="D22" i="42" s="1"/>
  <c r="J35" i="20"/>
  <c r="DU51" i="8"/>
  <c r="J33" i="20"/>
  <c r="J45" i="20" s="1"/>
  <c r="J7" i="42" s="1"/>
  <c r="Q77" i="6"/>
  <c r="Q51" i="6" s="1"/>
  <c r="P38" i="20"/>
  <c r="P11" i="52" s="1"/>
  <c r="BI5" i="1"/>
  <c r="BW5" i="1" s="1"/>
  <c r="BC59" i="8"/>
  <c r="BQ59" i="8" s="1"/>
  <c r="O71" i="36"/>
  <c r="EA127" i="1"/>
  <c r="O66" i="36"/>
  <c r="AG77" i="58"/>
  <c r="J77" i="58" s="1"/>
  <c r="AL104" i="48"/>
  <c r="F6" i="51" s="1"/>
  <c r="EA5" i="1"/>
  <c r="O77" i="36"/>
  <c r="DT161" i="1"/>
  <c r="EA157" i="1"/>
  <c r="EI45" i="8"/>
  <c r="DU41" i="8"/>
  <c r="DN48" i="8"/>
  <c r="BI173" i="1"/>
  <c r="BW173" i="1" s="1"/>
  <c r="J36" i="20"/>
  <c r="J48" i="20" s="1"/>
  <c r="J10" i="42" s="1"/>
  <c r="D20" i="42" s="1"/>
  <c r="DT177" i="1"/>
  <c r="EA173" i="1"/>
  <c r="DU59" i="8"/>
  <c r="EI60" i="8"/>
  <c r="EO161" i="1"/>
  <c r="J32" i="20"/>
  <c r="F6" i="52" s="1"/>
  <c r="G6" i="52" s="1"/>
  <c r="EI7" i="8"/>
  <c r="I6" i="44" s="1"/>
  <c r="I22" i="44" s="1"/>
  <c r="BB190" i="1"/>
  <c r="BP190" i="1" s="1"/>
  <c r="EI66" i="8"/>
  <c r="EO53" i="1"/>
  <c r="J37" i="20"/>
  <c r="J49" i="20" s="1"/>
  <c r="J11" i="42" s="1"/>
  <c r="DN9" i="8"/>
  <c r="EO177" i="1"/>
  <c r="DU29" i="8"/>
  <c r="EI33" i="8"/>
  <c r="AG75" i="58"/>
  <c r="AL115" i="48"/>
  <c r="F17" i="51" s="1"/>
  <c r="BI115" i="1"/>
  <c r="BW115" i="1" s="1"/>
  <c r="BC29" i="8"/>
  <c r="BQ29" i="8" s="1"/>
  <c r="BI127" i="1"/>
  <c r="BW127" i="1" s="1"/>
  <c r="BB86" i="1"/>
  <c r="BP86" i="1" s="1"/>
  <c r="BI207" i="1"/>
  <c r="BW207" i="1" s="1"/>
  <c r="BC68" i="8"/>
  <c r="BQ68" i="8" s="1"/>
  <c r="I128" i="6"/>
  <c r="I137" i="6" s="1"/>
  <c r="G55" i="41" s="1"/>
  <c r="I118" i="6"/>
  <c r="I127" i="6" s="1"/>
  <c r="DU5" i="1"/>
  <c r="AA77" i="58"/>
  <c r="DT57" i="1"/>
  <c r="AF104" i="48"/>
  <c r="P8" i="24"/>
  <c r="R120" i="6"/>
  <c r="S120" i="6" s="1"/>
  <c r="G128" i="6"/>
  <c r="G137" i="6" s="1"/>
  <c r="DF153" i="1"/>
  <c r="L146" i="6"/>
  <c r="L147" i="6" s="1"/>
  <c r="L149" i="6" s="1"/>
  <c r="G77" i="6"/>
  <c r="G70" i="6" s="1"/>
  <c r="G118" i="6"/>
  <c r="G127" i="6" s="1"/>
  <c r="F60" i="24" s="1"/>
  <c r="BD157" i="1"/>
  <c r="BR157" i="1" s="1"/>
  <c r="F146" i="6"/>
  <c r="F39" i="6"/>
  <c r="F30" i="6" s="1"/>
  <c r="D8" i="24"/>
  <c r="D9" i="24" s="1"/>
  <c r="D11" i="24" s="1"/>
  <c r="Q11" i="20"/>
  <c r="D12" i="41"/>
  <c r="L118" i="6"/>
  <c r="BB153" i="1"/>
  <c r="BP153" i="1" s="1"/>
  <c r="R121" i="6"/>
  <c r="S121" i="6" s="1"/>
  <c r="N43" i="42"/>
  <c r="P43" i="42" s="1"/>
  <c r="Q14" i="20"/>
  <c r="BF157" i="1"/>
  <c r="BT157" i="1" s="1"/>
  <c r="EC6" i="8"/>
  <c r="C5" i="44" s="1"/>
  <c r="BB177" i="1"/>
  <c r="BP177" i="1" s="1"/>
  <c r="AQ63" i="48"/>
  <c r="AQ158" i="48" s="1"/>
  <c r="N40" i="42"/>
  <c r="P40" i="42" s="1"/>
  <c r="K12" i="41"/>
  <c r="R8" i="24"/>
  <c r="R9" i="24" s="1"/>
  <c r="R10" i="24" s="1"/>
  <c r="AV11" i="8"/>
  <c r="BJ11" i="8" s="1"/>
  <c r="O113" i="6"/>
  <c r="O105" i="6" s="1"/>
  <c r="AV31" i="8"/>
  <c r="BJ31" i="8" s="1"/>
  <c r="R122" i="6"/>
  <c r="S122" i="6" s="1"/>
  <c r="M128" i="6"/>
  <c r="M137" i="6" s="1"/>
  <c r="K55" i="41" s="1"/>
  <c r="P118" i="6"/>
  <c r="P127" i="6" s="1"/>
  <c r="N118" i="6"/>
  <c r="N127" i="6" s="1"/>
  <c r="L54" i="41" s="1"/>
  <c r="D39" i="42"/>
  <c r="D40" i="42"/>
  <c r="EJ32" i="1"/>
  <c r="D38" i="42"/>
  <c r="C45" i="42"/>
  <c r="D41" i="42"/>
  <c r="W3" i="2"/>
  <c r="M77" i="6"/>
  <c r="M54" i="6" s="1"/>
  <c r="N77" i="6"/>
  <c r="J145" i="6"/>
  <c r="J147" i="6" s="1"/>
  <c r="J149" i="6" s="1"/>
  <c r="H11" i="41"/>
  <c r="P113" i="6"/>
  <c r="P105" i="6" s="1"/>
  <c r="M127" i="6"/>
  <c r="K54" i="41" s="1"/>
  <c r="R35" i="6"/>
  <c r="O145" i="6"/>
  <c r="V7" i="24"/>
  <c r="N6" i="52"/>
  <c r="N17" i="52" s="1"/>
  <c r="Q8" i="20"/>
  <c r="P7" i="24"/>
  <c r="J11" i="41"/>
  <c r="J13" i="41" s="1"/>
  <c r="J14" i="41" s="1"/>
  <c r="L39" i="6"/>
  <c r="L19" i="6" s="1"/>
  <c r="L8" i="24"/>
  <c r="L9" i="24" s="1"/>
  <c r="L11" i="24" s="1"/>
  <c r="H12" i="41"/>
  <c r="J39" i="6"/>
  <c r="J14" i="6" s="1"/>
  <c r="J77" i="6"/>
  <c r="J68" i="6" s="1"/>
  <c r="G195" i="6"/>
  <c r="H195" i="6"/>
  <c r="F7" i="24"/>
  <c r="G145" i="6"/>
  <c r="Q128" i="6"/>
  <c r="Q137" i="6" s="1"/>
  <c r="O55" i="41" s="1"/>
  <c r="N41" i="42"/>
  <c r="P41" i="42" s="1"/>
  <c r="L77" i="6"/>
  <c r="L57" i="6" s="1"/>
  <c r="AV48" i="8"/>
  <c r="BJ48" i="8" s="1"/>
  <c r="CZ35" i="8"/>
  <c r="T50" i="36"/>
  <c r="T98" i="36" s="1"/>
  <c r="AJ67" i="48"/>
  <c r="AJ162" i="48" s="1"/>
  <c r="DF126" i="1"/>
  <c r="DF100" i="1"/>
  <c r="EH100" i="1" s="1"/>
  <c r="BX3" i="8"/>
  <c r="H39" i="6"/>
  <c r="H33" i="6" s="1"/>
  <c r="G64" i="36"/>
  <c r="F12" i="41"/>
  <c r="H146" i="6"/>
  <c r="H147" i="6" s="1"/>
  <c r="H149" i="6" s="1"/>
  <c r="R125" i="6"/>
  <c r="S125" i="6" s="1"/>
  <c r="AQ60" i="48"/>
  <c r="AQ155" i="48" s="1"/>
  <c r="Q12" i="20"/>
  <c r="Q118" i="6"/>
  <c r="Q127" i="6" s="1"/>
  <c r="O54" i="41" s="1"/>
  <c r="BB205" i="1"/>
  <c r="BP205" i="1" s="1"/>
  <c r="M196" i="6"/>
  <c r="AV43" i="8"/>
  <c r="BJ43" i="8" s="1"/>
  <c r="P128" i="6"/>
  <c r="P137" i="6" s="1"/>
  <c r="N55" i="41" s="1"/>
  <c r="J42" i="36"/>
  <c r="J90" i="36" s="1"/>
  <c r="DA22" i="8"/>
  <c r="EC22" i="8" s="1"/>
  <c r="AY41" i="8"/>
  <c r="BM41" i="8" s="1"/>
  <c r="F128" i="6"/>
  <c r="F137" i="6" s="1"/>
  <c r="K128" i="6"/>
  <c r="K137" i="6" s="1"/>
  <c r="AV36" i="8"/>
  <c r="BJ36" i="8" s="1"/>
  <c r="CZ61" i="8"/>
  <c r="EB61" i="8" s="1"/>
  <c r="X8" i="24"/>
  <c r="X9" i="24" s="1"/>
  <c r="X10" i="24" s="1"/>
  <c r="N12" i="41"/>
  <c r="N11" i="41"/>
  <c r="P145" i="6"/>
  <c r="P147" i="6" s="1"/>
  <c r="P149" i="6" s="1"/>
  <c r="S86" i="6"/>
  <c r="S94" i="6" s="1"/>
  <c r="P39" i="6"/>
  <c r="P30" i="6" s="1"/>
  <c r="Q13" i="20"/>
  <c r="AY22" i="8"/>
  <c r="BM22" i="8" s="1"/>
  <c r="AF57" i="48"/>
  <c r="N42" i="42"/>
  <c r="P42" i="42" s="1"/>
  <c r="N8" i="24"/>
  <c r="N9" i="24" s="1"/>
  <c r="N11" i="24" s="1"/>
  <c r="G196" i="6"/>
  <c r="G39" i="6"/>
  <c r="G13" i="6" s="1"/>
  <c r="J196" i="6"/>
  <c r="AY59" i="8"/>
  <c r="BM59" i="8" s="1"/>
  <c r="R47" i="36"/>
  <c r="R95" i="36" s="1"/>
  <c r="K196" i="6"/>
  <c r="R131" i="6"/>
  <c r="S131" i="6" s="1"/>
  <c r="K146" i="6"/>
  <c r="L196" i="6"/>
  <c r="N39" i="42"/>
  <c r="P39" i="42" s="1"/>
  <c r="G146" i="6"/>
  <c r="H196" i="6"/>
  <c r="I196" i="6"/>
  <c r="DF84" i="1"/>
  <c r="EH84" i="1" s="1"/>
  <c r="F8" i="24"/>
  <c r="H77" i="6"/>
  <c r="H68" i="6" s="1"/>
  <c r="P77" i="6"/>
  <c r="P51" i="6" s="1"/>
  <c r="BB22" i="8"/>
  <c r="BP22" i="8" s="1"/>
  <c r="J77" i="36"/>
  <c r="J101" i="36" s="1"/>
  <c r="DT163" i="1"/>
  <c r="AV6" i="8"/>
  <c r="BJ6" i="8" s="1"/>
  <c r="EF55" i="8"/>
  <c r="DR51" i="8"/>
  <c r="EF51" i="8" s="1"/>
  <c r="J195" i="6"/>
  <c r="EL204" i="1"/>
  <c r="DT204" i="1"/>
  <c r="R96" i="6"/>
  <c r="BE222" i="1"/>
  <c r="BS222" i="1" s="1"/>
  <c r="DV157" i="1"/>
  <c r="BB111" i="1"/>
  <c r="BP111" i="1" s="1"/>
  <c r="Q113" i="6"/>
  <c r="Q105" i="6" s="1"/>
  <c r="DF195" i="1"/>
  <c r="EH195" i="1" s="1"/>
  <c r="CZ31" i="8"/>
  <c r="DG29" i="8"/>
  <c r="S50" i="6"/>
  <c r="S58" i="6" s="1"/>
  <c r="CZ37" i="8"/>
  <c r="EB37" i="8" s="1"/>
  <c r="N128" i="6"/>
  <c r="N137" i="6" s="1"/>
  <c r="L55" i="41" s="1"/>
  <c r="DF141" i="1"/>
  <c r="L16" i="51"/>
  <c r="O39" i="6"/>
  <c r="O13" i="6" s="1"/>
  <c r="DJ29" i="8"/>
  <c r="EL29" i="8" s="1"/>
  <c r="AX41" i="8"/>
  <c r="BL41" i="8" s="1"/>
  <c r="BB187" i="1"/>
  <c r="BP187" i="1" s="1"/>
  <c r="I39" i="6"/>
  <c r="I14" i="6" s="1"/>
  <c r="I11" i="41"/>
  <c r="I13" i="41" s="1"/>
  <c r="I15" i="41" s="1"/>
  <c r="BF115" i="1"/>
  <c r="BT115" i="1" s="1"/>
  <c r="I145" i="6"/>
  <c r="I147" i="6" s="1"/>
  <c r="I148" i="6" s="1"/>
  <c r="O146" i="6"/>
  <c r="K145" i="6"/>
  <c r="V8" i="24"/>
  <c r="ER141" i="1"/>
  <c r="K39" i="6"/>
  <c r="K13" i="6" s="1"/>
  <c r="I195" i="6"/>
  <c r="DJ157" i="1"/>
  <c r="G11" i="41"/>
  <c r="DP222" i="1"/>
  <c r="ER222" i="1" s="1"/>
  <c r="R133" i="6"/>
  <c r="S133" i="6" s="1"/>
  <c r="K195" i="6"/>
  <c r="N8" i="52"/>
  <c r="T9" i="24"/>
  <c r="T10" i="24" s="1"/>
  <c r="R21" i="6"/>
  <c r="R56" i="6"/>
  <c r="N113" i="6"/>
  <c r="Q16" i="51"/>
  <c r="S16" i="51" s="1"/>
  <c r="S102" i="6"/>
  <c r="S110" i="6" s="1"/>
  <c r="R132" i="6"/>
  <c r="S132" i="6" s="1"/>
  <c r="N146" i="6"/>
  <c r="N196" i="6"/>
  <c r="N39" i="6"/>
  <c r="Q146" i="6"/>
  <c r="Q147" i="6" s="1"/>
  <c r="Q148" i="6" s="1"/>
  <c r="R38" i="6"/>
  <c r="L12" i="41"/>
  <c r="O196" i="6"/>
  <c r="P196" i="6"/>
  <c r="Z8" i="24"/>
  <c r="BE207" i="1"/>
  <c r="BS207" i="1" s="1"/>
  <c r="AV44" i="8"/>
  <c r="BJ44" i="8" s="1"/>
  <c r="CZ47" i="8"/>
  <c r="EB47" i="8" s="1"/>
  <c r="E18" i="22"/>
  <c r="CZ6" i="8"/>
  <c r="Q138" i="22" s="1"/>
  <c r="K138" i="22" s="1"/>
  <c r="AV58" i="8"/>
  <c r="BJ58" i="8" s="1"/>
  <c r="AX59" i="8"/>
  <c r="BL59" i="8" s="1"/>
  <c r="J34" i="22"/>
  <c r="BB172" i="1"/>
  <c r="BP172" i="1" s="1"/>
  <c r="EC53" i="8"/>
  <c r="DL41" i="8"/>
  <c r="EN41" i="8" s="1"/>
  <c r="O52" i="36"/>
  <c r="O100" i="36" s="1"/>
  <c r="AD41" i="58"/>
  <c r="CZ39" i="8"/>
  <c r="Q14" i="22" s="1"/>
  <c r="K14" i="22" s="1"/>
  <c r="AV15" i="8"/>
  <c r="BJ15" i="8" s="1"/>
  <c r="DF111" i="1"/>
  <c r="AV27" i="8"/>
  <c r="BJ27" i="8" s="1"/>
  <c r="AA40" i="58"/>
  <c r="AA108" i="58" s="1"/>
  <c r="BF173" i="1"/>
  <c r="BT173" i="1" s="1"/>
  <c r="M48" i="36"/>
  <c r="M96" i="36" s="1"/>
  <c r="DF71" i="1"/>
  <c r="AF71" i="48"/>
  <c r="AF166" i="48" s="1"/>
  <c r="AJ74" i="48"/>
  <c r="AJ169" i="48" s="1"/>
  <c r="DF196" i="1"/>
  <c r="EH196" i="1" s="1"/>
  <c r="BB141" i="1"/>
  <c r="BP141" i="1" s="1"/>
  <c r="E97" i="51"/>
  <c r="H97" i="51" s="1"/>
  <c r="N7" i="52"/>
  <c r="N18" i="52" s="1"/>
  <c r="H119" i="6"/>
  <c r="H118" i="6" s="1"/>
  <c r="H127" i="6" s="1"/>
  <c r="AL61" i="48"/>
  <c r="AL156" i="48" s="1"/>
  <c r="R43" i="6"/>
  <c r="P5" i="20"/>
  <c r="J78" i="58"/>
  <c r="BX59" i="8"/>
  <c r="L195" i="6"/>
  <c r="N51" i="36"/>
  <c r="N99" i="36" s="1"/>
  <c r="R135" i="6"/>
  <c r="S135" i="6" s="1"/>
  <c r="CZ15" i="8"/>
  <c r="BB29" i="8"/>
  <c r="BP29" i="8" s="1"/>
  <c r="N38" i="42"/>
  <c r="P38" i="42" s="1"/>
  <c r="AJ72" i="48"/>
  <c r="AJ167" i="48" s="1"/>
  <c r="AI65" i="48"/>
  <c r="AI160" i="48" s="1"/>
  <c r="N44" i="42"/>
  <c r="P44" i="42" s="1"/>
  <c r="DB51" i="8"/>
  <c r="CZ66" i="8"/>
  <c r="CZ8" i="8"/>
  <c r="EB8" i="8" s="1"/>
  <c r="O7" i="44" s="1"/>
  <c r="BC173" i="1"/>
  <c r="BQ173" i="1" s="1"/>
  <c r="Q42" i="36"/>
  <c r="Q90" i="36" s="1"/>
  <c r="CZ50" i="8"/>
  <c r="EB50" i="8" s="1"/>
  <c r="F48" i="22"/>
  <c r="O77" i="6"/>
  <c r="O51" i="6" s="1"/>
  <c r="AV26" i="8"/>
  <c r="BJ26" i="8" s="1"/>
  <c r="DF145" i="1"/>
  <c r="EH145" i="1" s="1"/>
  <c r="F44" i="22"/>
  <c r="AV30" i="8"/>
  <c r="BJ30" i="8" s="1"/>
  <c r="AY29" i="8"/>
  <c r="BM29" i="8" s="1"/>
  <c r="F45" i="22"/>
  <c r="N13" i="52"/>
  <c r="F46" i="22"/>
  <c r="AO61" i="48"/>
  <c r="AO156" i="48" s="1"/>
  <c r="P16" i="20"/>
  <c r="S64" i="6"/>
  <c r="S73" i="6" s="1"/>
  <c r="M53" i="36"/>
  <c r="BB147" i="1"/>
  <c r="BP147" i="1" s="1"/>
  <c r="BB196" i="1"/>
  <c r="BP196" i="1" s="1"/>
  <c r="S5" i="6"/>
  <c r="AB7" i="24" s="1"/>
  <c r="DF191" i="1"/>
  <c r="EH191" i="1" s="1"/>
  <c r="F77" i="6"/>
  <c r="F68" i="6" s="1"/>
  <c r="AV60" i="8"/>
  <c r="BJ60" i="8" s="1"/>
  <c r="AZ59" i="8"/>
  <c r="BN59" i="8" s="1"/>
  <c r="BX41" i="8"/>
  <c r="BB98" i="1"/>
  <c r="BP98" i="1" s="1"/>
  <c r="D76" i="44"/>
  <c r="R5" i="6"/>
  <c r="AV35" i="8"/>
  <c r="BJ35" i="8" s="1"/>
  <c r="AV38" i="8"/>
  <c r="BJ38" i="8" s="1"/>
  <c r="AV56" i="8"/>
  <c r="BJ56" i="8" s="1"/>
  <c r="AV45" i="8"/>
  <c r="BJ45" i="8" s="1"/>
  <c r="BA29" i="8"/>
  <c r="BO29" i="8" s="1"/>
  <c r="J83" i="22"/>
  <c r="BB189" i="1"/>
  <c r="BP189" i="1" s="1"/>
  <c r="BB188" i="1"/>
  <c r="BP188" i="1" s="1"/>
  <c r="AW41" i="8"/>
  <c r="BK41" i="8" s="1"/>
  <c r="J52" i="36"/>
  <c r="J100" i="36" s="1"/>
  <c r="S104" i="6"/>
  <c r="S112" i="6" s="1"/>
  <c r="BB203" i="1"/>
  <c r="BP203" i="1" s="1"/>
  <c r="BB201" i="1"/>
  <c r="BP201" i="1" s="1"/>
  <c r="CZ64" i="8"/>
  <c r="EB64" i="8" s="1"/>
  <c r="AV9" i="8"/>
  <c r="BJ9" i="8" s="1"/>
  <c r="O195" i="6"/>
  <c r="DF15" i="1"/>
  <c r="EH15" i="1" s="1"/>
  <c r="DF203" i="1"/>
  <c r="EH203" i="1" s="1"/>
  <c r="AV7" i="8"/>
  <c r="BJ7" i="8" s="1"/>
  <c r="N195" i="6"/>
  <c r="CZ23" i="8"/>
  <c r="EB23" i="8" s="1"/>
  <c r="K63" i="36"/>
  <c r="Q196" i="6"/>
  <c r="R196" i="6" s="1"/>
  <c r="AC75" i="58"/>
  <c r="DL29" i="8"/>
  <c r="EN29" i="8" s="1"/>
  <c r="O11" i="41"/>
  <c r="O13" i="41" s="1"/>
  <c r="O15" i="41" s="1"/>
  <c r="EK6" i="1"/>
  <c r="AH105" i="48"/>
  <c r="K11" i="41"/>
  <c r="DA59" i="8"/>
  <c r="EC59" i="8" s="1"/>
  <c r="BF127" i="1"/>
  <c r="BT127" i="1" s="1"/>
  <c r="DG59" i="8"/>
  <c r="DF99" i="1"/>
  <c r="J50" i="22"/>
  <c r="Z7" i="24"/>
  <c r="Q39" i="6"/>
  <c r="Q30" i="6" s="1"/>
  <c r="AW51" i="8"/>
  <c r="BK51" i="8" s="1"/>
  <c r="CZ63" i="8"/>
  <c r="EB63" i="8" s="1"/>
  <c r="G97" i="6"/>
  <c r="CZ67" i="8"/>
  <c r="EB67" i="8" s="1"/>
  <c r="DK22" i="8"/>
  <c r="EM22" i="8" s="1"/>
  <c r="DI22" i="8"/>
  <c r="EK22" i="8" s="1"/>
  <c r="L90" i="36"/>
  <c r="M195" i="6"/>
  <c r="M39" i="6"/>
  <c r="M16" i="6" s="1"/>
  <c r="Q195" i="6"/>
  <c r="R195" i="6" s="1"/>
  <c r="BB117" i="1"/>
  <c r="BP117" i="1" s="1"/>
  <c r="DF170" i="1"/>
  <c r="DF97" i="1"/>
  <c r="EH97" i="1" s="1"/>
  <c r="M145" i="6"/>
  <c r="M147" i="6" s="1"/>
  <c r="M148" i="6" s="1"/>
  <c r="C73" i="44"/>
  <c r="DF202" i="1"/>
  <c r="EH202" i="1" s="1"/>
  <c r="AV34" i="8"/>
  <c r="BJ34" i="8" s="1"/>
  <c r="P195" i="6"/>
  <c r="BB191" i="1"/>
  <c r="BP191" i="1" s="1"/>
  <c r="AP60" i="48"/>
  <c r="AP155" i="48" s="1"/>
  <c r="DI222" i="1"/>
  <c r="EK222" i="1" s="1"/>
  <c r="F97" i="22"/>
  <c r="BB200" i="1"/>
  <c r="BP200" i="1" s="1"/>
  <c r="DF167" i="1"/>
  <c r="EH167" i="1" s="1"/>
  <c r="DD59" i="8"/>
  <c r="CZ10" i="8"/>
  <c r="Q12" i="22" s="1"/>
  <c r="K12" i="22" s="1"/>
  <c r="P28" i="22"/>
  <c r="CZ43" i="8"/>
  <c r="CZ42" i="8"/>
  <c r="EB42" i="8" s="1"/>
  <c r="AV10" i="8"/>
  <c r="BJ10" i="8" s="1"/>
  <c r="CZ9" i="8"/>
  <c r="DB41" i="8"/>
  <c r="DT34" i="1"/>
  <c r="AB77" i="58"/>
  <c r="J70" i="36"/>
  <c r="AG104" i="48"/>
  <c r="DV5" i="1"/>
  <c r="BB192" i="1"/>
  <c r="BP192" i="1" s="1"/>
  <c r="BB167" i="1"/>
  <c r="BP167" i="1" s="1"/>
  <c r="ET224" i="1"/>
  <c r="BB59" i="8"/>
  <c r="BP59" i="8" s="1"/>
  <c r="CZ34" i="8"/>
  <c r="Q13" i="22" s="1"/>
  <c r="K13" i="22" s="1"/>
  <c r="T22" i="8"/>
  <c r="CE3" i="1"/>
  <c r="DF205" i="1"/>
  <c r="J67" i="22"/>
  <c r="G17" i="36"/>
  <c r="G31" i="36" s="1"/>
  <c r="DI207" i="1"/>
  <c r="BB67" i="1"/>
  <c r="BP67" i="1" s="1"/>
  <c r="AV63" i="8"/>
  <c r="BJ63" i="8" s="1"/>
  <c r="Q55" i="36"/>
  <c r="Q103" i="36" s="1"/>
  <c r="BB114" i="1"/>
  <c r="BP114" i="1" s="1"/>
  <c r="AO71" i="48"/>
  <c r="AO166" i="48" s="1"/>
  <c r="F96" i="22"/>
  <c r="S40" i="36"/>
  <c r="S88" i="36" s="1"/>
  <c r="CZ54" i="8"/>
  <c r="DH173" i="1"/>
  <c r="AB42" i="58"/>
  <c r="DF32" i="1"/>
  <c r="F95" i="22"/>
  <c r="DF200" i="1"/>
  <c r="BB185" i="1"/>
  <c r="BP185" i="1" s="1"/>
  <c r="BB40" i="1"/>
  <c r="BP40" i="1" s="1"/>
  <c r="F59" i="8"/>
  <c r="DF194" i="1"/>
  <c r="EH194" i="1" s="1"/>
  <c r="F93" i="22"/>
  <c r="AX22" i="8"/>
  <c r="BL22" i="8" s="1"/>
  <c r="BD173" i="1"/>
  <c r="BR173" i="1" s="1"/>
  <c r="F30" i="22"/>
  <c r="CZ25" i="8"/>
  <c r="AV65" i="8"/>
  <c r="BJ65" i="8" s="1"/>
  <c r="BX29" i="8"/>
  <c r="F32" i="22"/>
  <c r="K57" i="36"/>
  <c r="K105" i="36" s="1"/>
  <c r="J18" i="22"/>
  <c r="G9" i="36"/>
  <c r="AJ63" i="48"/>
  <c r="AJ158" i="48" s="1"/>
  <c r="DK29" i="8"/>
  <c r="EM29" i="8" s="1"/>
  <c r="CZ30" i="8"/>
  <c r="F28" i="22"/>
  <c r="DL22" i="8"/>
  <c r="EN22" i="8" s="1"/>
  <c r="DW173" i="1"/>
  <c r="P41" i="36"/>
  <c r="P89" i="36" s="1"/>
  <c r="BB95" i="1"/>
  <c r="BP95" i="1" s="1"/>
  <c r="EP20" i="1"/>
  <c r="CZ27" i="8"/>
  <c r="DF79" i="1"/>
  <c r="EH79" i="1" s="1"/>
  <c r="AL63" i="48"/>
  <c r="AL158" i="48" s="1"/>
  <c r="DH22" i="8"/>
  <c r="EJ22" i="8" s="1"/>
  <c r="DI59" i="8"/>
  <c r="EK59" i="8" s="1"/>
  <c r="BB77" i="1"/>
  <c r="BP77" i="1" s="1"/>
  <c r="DF152" i="1"/>
  <c r="EH152" i="1" s="1"/>
  <c r="CZ65" i="8"/>
  <c r="DI41" i="8"/>
  <c r="EK41" i="8" s="1"/>
  <c r="CZ13" i="8"/>
  <c r="EB13" i="8" s="1"/>
  <c r="O12" i="44" s="1"/>
  <c r="DF188" i="1"/>
  <c r="EH188" i="1" s="1"/>
  <c r="DF96" i="1"/>
  <c r="EH96" i="1" s="1"/>
  <c r="BB164" i="1"/>
  <c r="BP164" i="1" s="1"/>
  <c r="F29" i="8"/>
  <c r="BB18" i="1"/>
  <c r="BP18" i="1" s="1"/>
  <c r="K109" i="48"/>
  <c r="F77" i="22"/>
  <c r="CZ26" i="8"/>
  <c r="AY5" i="8"/>
  <c r="BM5" i="8" s="1"/>
  <c r="CZ11" i="8"/>
  <c r="F78" i="22"/>
  <c r="F79" i="22"/>
  <c r="CZ14" i="8"/>
  <c r="EB14" i="8" s="1"/>
  <c r="O13" i="44" s="1"/>
  <c r="F80" i="22"/>
  <c r="AZ51" i="8"/>
  <c r="BN51" i="8" s="1"/>
  <c r="BB194" i="1"/>
  <c r="BP194" i="1" s="1"/>
  <c r="ER151" i="1"/>
  <c r="AX29" i="8"/>
  <c r="BL29" i="8" s="1"/>
  <c r="DI115" i="1"/>
  <c r="AV57" i="8"/>
  <c r="BJ57" i="8" s="1"/>
  <c r="AV18" i="8"/>
  <c r="BJ18" i="8" s="1"/>
  <c r="BB204" i="1"/>
  <c r="BP204" i="1" s="1"/>
  <c r="CZ56" i="8"/>
  <c r="T55" i="36"/>
  <c r="T103" i="36" s="1"/>
  <c r="CZ49" i="8"/>
  <c r="EB49" i="8" s="1"/>
  <c r="BB45" i="1"/>
  <c r="BP45" i="1" s="1"/>
  <c r="DH41" i="8"/>
  <c r="EJ41" i="8" s="1"/>
  <c r="M54" i="36"/>
  <c r="M102" i="36" s="1"/>
  <c r="DN222" i="1"/>
  <c r="EP222" i="1" s="1"/>
  <c r="AO64" i="48"/>
  <c r="AO159" i="48" s="1"/>
  <c r="K105" i="48"/>
  <c r="K91" i="36"/>
  <c r="CF3" i="1"/>
  <c r="CZ18" i="8"/>
  <c r="EB18" i="8" s="1"/>
  <c r="F29" i="22"/>
  <c r="N13" i="51"/>
  <c r="Y16" i="48"/>
  <c r="CH3" i="1"/>
  <c r="DX5" i="1"/>
  <c r="AI104" i="48"/>
  <c r="AD77" i="58"/>
  <c r="EL37" i="1"/>
  <c r="CZ48" i="8"/>
  <c r="DF190" i="1"/>
  <c r="DJ173" i="1"/>
  <c r="BB91" i="1"/>
  <c r="BP91" i="1" s="1"/>
  <c r="DA41" i="8"/>
  <c r="EC41" i="8" s="1"/>
  <c r="Y10" i="48"/>
  <c r="R59" i="6"/>
  <c r="DF140" i="1"/>
  <c r="EH140" i="1" s="1"/>
  <c r="AV39" i="8"/>
  <c r="BJ39" i="8" s="1"/>
  <c r="Y23" i="48"/>
  <c r="K55" i="36"/>
  <c r="DI127" i="1"/>
  <c r="BB176" i="1"/>
  <c r="BP176" i="1" s="1"/>
  <c r="I97" i="6"/>
  <c r="CZ36" i="8"/>
  <c r="DH29" i="8"/>
  <c r="EJ29" i="8" s="1"/>
  <c r="H32" i="20"/>
  <c r="F41" i="8"/>
  <c r="T29" i="8"/>
  <c r="EF6" i="8"/>
  <c r="F5" i="44" s="1"/>
  <c r="DF192" i="1"/>
  <c r="EH192" i="1" s="1"/>
  <c r="AL73" i="48"/>
  <c r="AL168" i="48" s="1"/>
  <c r="DF217" i="1"/>
  <c r="EH217" i="1" s="1"/>
  <c r="E53" i="53"/>
  <c r="E58" i="53"/>
  <c r="AV42" i="8"/>
  <c r="BJ42" i="8" s="1"/>
  <c r="BB130" i="1"/>
  <c r="BP130" i="1" s="1"/>
  <c r="BB94" i="1"/>
  <c r="BP94" i="1" s="1"/>
  <c r="BB32" i="1"/>
  <c r="BP32" i="1" s="1"/>
  <c r="BB35" i="1"/>
  <c r="BP35" i="1" s="1"/>
  <c r="DF161" i="1"/>
  <c r="T53" i="36"/>
  <c r="T101" i="36" s="1"/>
  <c r="CZ7" i="8"/>
  <c r="AH57" i="48"/>
  <c r="BB160" i="1"/>
  <c r="BP160" i="1" s="1"/>
  <c r="AC40" i="58"/>
  <c r="BB57" i="1"/>
  <c r="BP57" i="1" s="1"/>
  <c r="BB66" i="1"/>
  <c r="BP66" i="1" s="1"/>
  <c r="BB50" i="1"/>
  <c r="BP50" i="1" s="1"/>
  <c r="F61" i="22"/>
  <c r="BB74" i="1"/>
  <c r="BP74" i="1" s="1"/>
  <c r="AK67" i="48"/>
  <c r="F65" i="22"/>
  <c r="DF63" i="1"/>
  <c r="EH63" i="1" s="1"/>
  <c r="F64" i="22"/>
  <c r="E14" i="53"/>
  <c r="S52" i="36"/>
  <c r="S100" i="36" s="1"/>
  <c r="DF172" i="1"/>
  <c r="AJ60" i="48"/>
  <c r="AJ155" i="48" s="1"/>
  <c r="BB182" i="1"/>
  <c r="BP182" i="1" s="1"/>
  <c r="AX51" i="8"/>
  <c r="BL51" i="8" s="1"/>
  <c r="DF37" i="1"/>
  <c r="EM44" i="8"/>
  <c r="DK41" i="8"/>
  <c r="EM41" i="8" s="1"/>
  <c r="AV69" i="8"/>
  <c r="BJ69" i="8" s="1"/>
  <c r="DF176" i="1"/>
  <c r="EH176" i="1" s="1"/>
  <c r="CZ12" i="8"/>
  <c r="EB12" i="8" s="1"/>
  <c r="O11" i="44" s="1"/>
  <c r="S54" i="36"/>
  <c r="S102" i="36" s="1"/>
  <c r="EB58" i="8"/>
  <c r="M39" i="36"/>
  <c r="M87" i="36" s="1"/>
  <c r="DJ207" i="1"/>
  <c r="F63" i="22"/>
  <c r="AI67" i="48"/>
  <c r="AI162" i="48" s="1"/>
  <c r="Z222" i="1"/>
  <c r="BB13" i="1"/>
  <c r="BP13" i="1" s="1"/>
  <c r="AD40" i="58"/>
  <c r="DM222" i="1"/>
  <c r="AL58" i="48"/>
  <c r="AL153" i="48" s="1"/>
  <c r="BB159" i="1"/>
  <c r="BP159" i="1" s="1"/>
  <c r="BB118" i="1"/>
  <c r="BP118" i="1" s="1"/>
  <c r="AV68" i="8"/>
  <c r="BJ68" i="8" s="1"/>
  <c r="R98" i="6"/>
  <c r="S98" i="6" s="1"/>
  <c r="N20" i="51"/>
  <c r="N18" i="51"/>
  <c r="AK58" i="48"/>
  <c r="AK153" i="48" s="1"/>
  <c r="AJ105" i="48"/>
  <c r="AE75" i="58"/>
  <c r="BB17" i="1"/>
  <c r="BP17" i="1" s="1"/>
  <c r="Q47" i="36"/>
  <c r="Q95" i="36" s="1"/>
  <c r="DT190" i="1"/>
  <c r="BB175" i="1"/>
  <c r="BP175" i="1" s="1"/>
  <c r="BB183" i="1"/>
  <c r="BP183" i="1" s="1"/>
  <c r="BB210" i="1"/>
  <c r="BP210" i="1" s="1"/>
  <c r="Y9" i="48"/>
  <c r="BB137" i="1"/>
  <c r="BP137" i="1" s="1"/>
  <c r="F28" i="20"/>
  <c r="O54" i="36"/>
  <c r="O102" i="36" s="1"/>
  <c r="BB60" i="1"/>
  <c r="BP60" i="1" s="1"/>
  <c r="AB40" i="58"/>
  <c r="AV54" i="8"/>
  <c r="BJ54" i="8" s="1"/>
  <c r="AG57" i="48"/>
  <c r="BB158" i="1"/>
  <c r="BP158" i="1" s="1"/>
  <c r="BB49" i="1"/>
  <c r="BP49" i="1" s="1"/>
  <c r="DF137" i="1"/>
  <c r="BB59" i="1"/>
  <c r="BP59" i="1" s="1"/>
  <c r="BB186" i="1"/>
  <c r="BP186" i="1" s="1"/>
  <c r="BB23" i="1"/>
  <c r="BP23" i="1" s="1"/>
  <c r="DF107" i="1"/>
  <c r="AJ45" i="58"/>
  <c r="S45" i="36"/>
  <c r="S93" i="36" s="1"/>
  <c r="BB163" i="1"/>
  <c r="BP163" i="1" s="1"/>
  <c r="AV53" i="8"/>
  <c r="BJ53" i="8" s="1"/>
  <c r="BB206" i="1"/>
  <c r="BP206" i="1" s="1"/>
  <c r="DF118" i="1"/>
  <c r="EH118" i="1" s="1"/>
  <c r="BH173" i="1"/>
  <c r="BV173" i="1" s="1"/>
  <c r="BB78" i="1"/>
  <c r="BP78" i="1" s="1"/>
  <c r="BB128" i="1"/>
  <c r="BP128" i="1" s="1"/>
  <c r="T42" i="36"/>
  <c r="T90" i="36" s="1"/>
  <c r="AL59" i="48"/>
  <c r="AL154" i="48" s="1"/>
  <c r="O50" i="36"/>
  <c r="O98" i="36" s="1"/>
  <c r="Y11" i="48"/>
  <c r="Y22" i="48"/>
  <c r="P12" i="51"/>
  <c r="DF159" i="1"/>
  <c r="BB25" i="1"/>
  <c r="BP25" i="1" s="1"/>
  <c r="BB87" i="1"/>
  <c r="BP87" i="1" s="1"/>
  <c r="O55" i="36"/>
  <c r="O103" i="36" s="1"/>
  <c r="CD222" i="1"/>
  <c r="EN159" i="1"/>
  <c r="EP160" i="1"/>
  <c r="O43" i="36"/>
  <c r="O91" i="36" s="1"/>
  <c r="AK167" i="48"/>
  <c r="BB70" i="1"/>
  <c r="BP70" i="1" s="1"/>
  <c r="BB224" i="1"/>
  <c r="BP224" i="1" s="1"/>
  <c r="N11" i="51"/>
  <c r="P49" i="36"/>
  <c r="P97" i="36" s="1"/>
  <c r="BB214" i="1"/>
  <c r="BP214" i="1" s="1"/>
  <c r="AO58" i="48"/>
  <c r="AO153" i="48" s="1"/>
  <c r="BB83" i="1"/>
  <c r="BP83" i="1" s="1"/>
  <c r="P44" i="22"/>
  <c r="H44" i="22" s="1"/>
  <c r="BB37" i="1"/>
  <c r="BP37" i="1" s="1"/>
  <c r="DJ51" i="8"/>
  <c r="EL51" i="8" s="1"/>
  <c r="BB181" i="1"/>
  <c r="BP181" i="1" s="1"/>
  <c r="EQ159" i="1"/>
  <c r="DF224" i="1"/>
  <c r="BB44" i="1"/>
  <c r="BP44" i="1" s="1"/>
  <c r="BB71" i="1"/>
  <c r="BP71" i="1" s="1"/>
  <c r="G12" i="36"/>
  <c r="AV52" i="8"/>
  <c r="BJ52" i="8" s="1"/>
  <c r="G16" i="36"/>
  <c r="BB42" i="1"/>
  <c r="BP42" i="1" s="1"/>
  <c r="DT59" i="1"/>
  <c r="EM59" i="1"/>
  <c r="BB216" i="1"/>
  <c r="BP216" i="1" s="1"/>
  <c r="AN67" i="48"/>
  <c r="AN162" i="48" s="1"/>
  <c r="BB61" i="1"/>
  <c r="BP61" i="1" s="1"/>
  <c r="BB135" i="1"/>
  <c r="BP135" i="1" s="1"/>
  <c r="BA51" i="8"/>
  <c r="BO51" i="8" s="1"/>
  <c r="L222" i="1"/>
  <c r="AK61" i="48"/>
  <c r="BB41" i="1"/>
  <c r="BP41" i="1" s="1"/>
  <c r="BB161" i="1"/>
  <c r="BP161" i="1" s="1"/>
  <c r="E56" i="53"/>
  <c r="G8" i="36"/>
  <c r="DL207" i="1"/>
  <c r="DF218" i="1"/>
  <c r="EH218" i="1" s="1"/>
  <c r="BB146" i="1"/>
  <c r="BP146" i="1" s="1"/>
  <c r="BB9" i="1"/>
  <c r="BP9" i="1" s="1"/>
  <c r="H80" i="36"/>
  <c r="G54" i="53" s="1"/>
  <c r="BB53" i="1"/>
  <c r="BP53" i="1" s="1"/>
  <c r="DF13" i="1"/>
  <c r="AH104" i="48"/>
  <c r="H31" i="36"/>
  <c r="BB131" i="1"/>
  <c r="BP131" i="1" s="1"/>
  <c r="BB39" i="1"/>
  <c r="BP39" i="1" s="1"/>
  <c r="G18" i="36"/>
  <c r="BB174" i="1"/>
  <c r="BP174" i="1" s="1"/>
  <c r="G10" i="36"/>
  <c r="BB62" i="1"/>
  <c r="BP62" i="1" s="1"/>
  <c r="BE173" i="1"/>
  <c r="BS173" i="1" s="1"/>
  <c r="E12" i="53"/>
  <c r="BB75" i="1"/>
  <c r="BP75" i="1" s="1"/>
  <c r="BB121" i="1"/>
  <c r="BP121" i="1" s="1"/>
  <c r="DF132" i="1"/>
  <c r="EH132" i="1" s="1"/>
  <c r="O51" i="36"/>
  <c r="O99" i="36" s="1"/>
  <c r="BH207" i="1"/>
  <c r="BV207" i="1" s="1"/>
  <c r="BB180" i="1"/>
  <c r="BP180" i="1" s="1"/>
  <c r="DF42" i="1"/>
  <c r="DF80" i="1"/>
  <c r="EH80" i="1" s="1"/>
  <c r="DL51" i="8"/>
  <c r="EN51" i="8" s="1"/>
  <c r="AJ71" i="48"/>
  <c r="AJ166" i="48" s="1"/>
  <c r="DQ157" i="1"/>
  <c r="ES157" i="1" s="1"/>
  <c r="S53" i="36"/>
  <c r="S101" i="36" s="1"/>
  <c r="BG157" i="1"/>
  <c r="BU157" i="1" s="1"/>
  <c r="BB92" i="1"/>
  <c r="BP92" i="1" s="1"/>
  <c r="BG127" i="1"/>
  <c r="BU127" i="1" s="1"/>
  <c r="BB149" i="1"/>
  <c r="BP149" i="1" s="1"/>
  <c r="BB108" i="1"/>
  <c r="BP108" i="1" s="1"/>
  <c r="BB51" i="8"/>
  <c r="BP51" i="8" s="1"/>
  <c r="P55" i="36"/>
  <c r="P103" i="36" s="1"/>
  <c r="DF40" i="1"/>
  <c r="R48" i="36"/>
  <c r="R96" i="36" s="1"/>
  <c r="ER160" i="1"/>
  <c r="DF138" i="1"/>
  <c r="EH138" i="1" s="1"/>
  <c r="BB179" i="1"/>
  <c r="BP179" i="1" s="1"/>
  <c r="DF31" i="1"/>
  <c r="EH31" i="1" s="1"/>
  <c r="W10" i="58"/>
  <c r="AK59" i="48"/>
  <c r="AK154" i="48" s="1"/>
  <c r="BB6" i="1"/>
  <c r="BP6" i="1" s="1"/>
  <c r="CZ52" i="8"/>
  <c r="DF174" i="1"/>
  <c r="DO222" i="1"/>
  <c r="EQ222" i="1" s="1"/>
  <c r="BG173" i="1"/>
  <c r="BU173" i="1" s="1"/>
  <c r="DF223" i="1"/>
  <c r="EH223" i="1" s="1"/>
  <c r="BB63" i="1"/>
  <c r="BP63" i="1" s="1"/>
  <c r="DF25" i="1"/>
  <c r="EH25" i="1" s="1"/>
  <c r="EO160" i="1"/>
  <c r="O48" i="36"/>
  <c r="O96" i="36" s="1"/>
  <c r="BH157" i="1"/>
  <c r="BV157" i="1" s="1"/>
  <c r="AH158" i="48"/>
  <c r="DF182" i="1"/>
  <c r="EF9" i="8"/>
  <c r="F8" i="44" s="1"/>
  <c r="BB126" i="1"/>
  <c r="BP126" i="1" s="1"/>
  <c r="P63" i="22"/>
  <c r="H63" i="22" s="1"/>
  <c r="S46" i="36"/>
  <c r="S94" i="36" s="1"/>
  <c r="C74" i="44"/>
  <c r="N52" i="36"/>
  <c r="N100" i="36" s="1"/>
  <c r="EQ13" i="1"/>
  <c r="AN59" i="48"/>
  <c r="AN154" i="48" s="1"/>
  <c r="Q49" i="36"/>
  <c r="Q97" i="36" s="1"/>
  <c r="EK101" i="1"/>
  <c r="DF114" i="1"/>
  <c r="EH114" i="1" s="1"/>
  <c r="H33" i="36"/>
  <c r="BB106" i="1"/>
  <c r="BP106" i="1" s="1"/>
  <c r="DW5" i="1"/>
  <c r="AS111" i="48"/>
  <c r="Y111" i="48" s="1"/>
  <c r="H32" i="36"/>
  <c r="DF221" i="1"/>
  <c r="EH221" i="1" s="1"/>
  <c r="O46" i="36"/>
  <c r="O94" i="36" s="1"/>
  <c r="Q45" i="36"/>
  <c r="Q93" i="36" s="1"/>
  <c r="EQ45" i="1"/>
  <c r="AC77" i="58"/>
  <c r="C72" i="44"/>
  <c r="DT37" i="1"/>
  <c r="I49" i="20"/>
  <c r="I11" i="42" s="1"/>
  <c r="AO63" i="48"/>
  <c r="AO158" i="48" s="1"/>
  <c r="E15" i="51"/>
  <c r="H15" i="51" s="1"/>
  <c r="K65" i="48"/>
  <c r="L65" i="48" s="1"/>
  <c r="K70" i="36"/>
  <c r="K94" i="36" s="1"/>
  <c r="AJ41" i="58"/>
  <c r="AJ109" i="58" s="1"/>
  <c r="R101" i="6"/>
  <c r="S101" i="6" s="1"/>
  <c r="DF26" i="1"/>
  <c r="EH26" i="1" s="1"/>
  <c r="DF60" i="1"/>
  <c r="CK3" i="1"/>
  <c r="AO59" i="48"/>
  <c r="AO154" i="48" s="1"/>
  <c r="DF130" i="1"/>
  <c r="DR157" i="1"/>
  <c r="ET157" i="1" s="1"/>
  <c r="BB21" i="1"/>
  <c r="BP21" i="1" s="1"/>
  <c r="CZ55" i="8"/>
  <c r="BB162" i="1"/>
  <c r="BP162" i="1" s="1"/>
  <c r="AB3" i="2"/>
  <c r="BB20" i="1"/>
  <c r="BP20" i="1" s="1"/>
  <c r="G7" i="36"/>
  <c r="AJ44" i="58"/>
  <c r="AJ112" i="58" s="1"/>
  <c r="R40" i="36"/>
  <c r="R88" i="36" s="1"/>
  <c r="EN126" i="1"/>
  <c r="BH127" i="1"/>
  <c r="BV127" i="1" s="1"/>
  <c r="CD207" i="1"/>
  <c r="ER32" i="1"/>
  <c r="AL45" i="58"/>
  <c r="AL44" i="58"/>
  <c r="AL112" i="58" s="1"/>
  <c r="CD173" i="1"/>
  <c r="CD115" i="1"/>
  <c r="BX51" i="8"/>
  <c r="CM3" i="1"/>
  <c r="DF53" i="1"/>
  <c r="EH53" i="1" s="1"/>
  <c r="AQ57" i="48"/>
  <c r="AQ152" i="48" s="1"/>
  <c r="CN3" i="1"/>
  <c r="Q52" i="36"/>
  <c r="Q100" i="36" s="1"/>
  <c r="O47" i="36"/>
  <c r="DK157" i="1"/>
  <c r="DM127" i="1"/>
  <c r="AL67" i="48"/>
  <c r="BB178" i="1"/>
  <c r="BP178" i="1" s="1"/>
  <c r="AC41" i="58"/>
  <c r="AE41" i="58"/>
  <c r="N14" i="51"/>
  <c r="Y15" i="48"/>
  <c r="BB93" i="1"/>
  <c r="BP93" i="1" s="1"/>
  <c r="AC45" i="58"/>
  <c r="P45" i="36"/>
  <c r="P93" i="36" s="1"/>
  <c r="DF82" i="1"/>
  <c r="EH82" i="1" s="1"/>
  <c r="CD157" i="1"/>
  <c r="EK102" i="1"/>
  <c r="BB65" i="1"/>
  <c r="BP65" i="1" s="1"/>
  <c r="L157" i="1"/>
  <c r="AL68" i="48"/>
  <c r="AL163" i="48" s="1"/>
  <c r="BB123" i="1"/>
  <c r="BP123" i="1" s="1"/>
  <c r="DF23" i="1"/>
  <c r="H128" i="6"/>
  <c r="H137" i="6" s="1"/>
  <c r="BB215" i="1"/>
  <c r="BP215" i="1" s="1"/>
  <c r="AG43" i="58"/>
  <c r="AG111" i="58" s="1"/>
  <c r="BB84" i="1"/>
  <c r="BP84" i="1" s="1"/>
  <c r="DO115" i="1"/>
  <c r="EQ115" i="1" s="1"/>
  <c r="AJ58" i="48"/>
  <c r="H97" i="6"/>
  <c r="AO67" i="48"/>
  <c r="AO162" i="48" s="1"/>
  <c r="DF18" i="1"/>
  <c r="I24" i="44"/>
  <c r="DF77" i="1"/>
  <c r="EH77" i="1" s="1"/>
  <c r="R54" i="36"/>
  <c r="R102" i="36" s="1"/>
  <c r="P53" i="36"/>
  <c r="P101" i="36" s="1"/>
  <c r="AQ68" i="48"/>
  <c r="AQ163" i="48" s="1"/>
  <c r="T51" i="36"/>
  <c r="T99" i="36" s="1"/>
  <c r="DF68" i="1"/>
  <c r="EH68" i="1" s="1"/>
  <c r="DF215" i="1"/>
  <c r="DF66" i="1"/>
  <c r="EH66" i="1" s="1"/>
  <c r="DF95" i="1"/>
  <c r="CZ57" i="8"/>
  <c r="R46" i="36"/>
  <c r="R94" i="36" s="1"/>
  <c r="F22" i="8"/>
  <c r="DF214" i="1"/>
  <c r="EH214" i="1" s="1"/>
  <c r="DN157" i="1"/>
  <c r="EP157" i="1" s="1"/>
  <c r="AK70" i="48"/>
  <c r="EN21" i="1"/>
  <c r="N44" i="36"/>
  <c r="N92" i="36" s="1"/>
  <c r="DL127" i="1"/>
  <c r="DF158" i="1"/>
  <c r="AL40" i="58"/>
  <c r="AL108" i="58" s="1"/>
  <c r="F51" i="8"/>
  <c r="DF65" i="1"/>
  <c r="T52" i="36"/>
  <c r="T100" i="36" s="1"/>
  <c r="BB76" i="1"/>
  <c r="BP76" i="1" s="1"/>
  <c r="L19" i="51"/>
  <c r="E51" i="53"/>
  <c r="DF9" i="1"/>
  <c r="Q19" i="51"/>
  <c r="S19" i="51" s="1"/>
  <c r="DF208" i="1"/>
  <c r="EH208" i="1" s="1"/>
  <c r="S39" i="36"/>
  <c r="S87" i="36" s="1"/>
  <c r="ER116" i="1"/>
  <c r="DP115" i="1"/>
  <c r="ER115" i="1" s="1"/>
  <c r="AN64" i="48"/>
  <c r="AN159" i="48" s="1"/>
  <c r="EQ77" i="1"/>
  <c r="DF116" i="1"/>
  <c r="EH116" i="1" s="1"/>
  <c r="DF52" i="1"/>
  <c r="EH52" i="1" s="1"/>
  <c r="BB139" i="1"/>
  <c r="BP139" i="1" s="1"/>
  <c r="DF164" i="1"/>
  <c r="DN207" i="1"/>
  <c r="EP207" i="1" s="1"/>
  <c r="DG51" i="8"/>
  <c r="AL56" i="48"/>
  <c r="DF61" i="1"/>
  <c r="EH61" i="1" s="1"/>
  <c r="ET66" i="1"/>
  <c r="AQ64" i="48"/>
  <c r="AQ159" i="48" s="1"/>
  <c r="DF206" i="1"/>
  <c r="EH206" i="1" s="1"/>
  <c r="DF88" i="1"/>
  <c r="EH88" i="1" s="1"/>
  <c r="BG5" i="1"/>
  <c r="BU5" i="1" s="1"/>
  <c r="DF86" i="1"/>
  <c r="EH86" i="1" s="1"/>
  <c r="P42" i="36"/>
  <c r="P90" i="36" s="1"/>
  <c r="DQ207" i="1"/>
  <c r="ES207" i="1" s="1"/>
  <c r="DF39" i="1"/>
  <c r="EN122" i="1"/>
  <c r="N57" i="36"/>
  <c r="N105" i="36" s="1"/>
  <c r="E24" i="51"/>
  <c r="K74" i="48"/>
  <c r="EN41" i="1"/>
  <c r="AK64" i="48"/>
  <c r="EP62" i="1"/>
  <c r="AM60" i="48"/>
  <c r="AM155" i="48" s="1"/>
  <c r="DF78" i="1"/>
  <c r="DF123" i="1"/>
  <c r="EH123" i="1" s="1"/>
  <c r="DF14" i="1"/>
  <c r="EH14" i="1" s="1"/>
  <c r="H4" i="36"/>
  <c r="BH115" i="1"/>
  <c r="BV115" i="1" s="1"/>
  <c r="J119" i="6"/>
  <c r="J118" i="6" s="1"/>
  <c r="J127" i="6" s="1"/>
  <c r="N17" i="51"/>
  <c r="Y18" i="48"/>
  <c r="AN61" i="48"/>
  <c r="AN156" i="48" s="1"/>
  <c r="EN119" i="1"/>
  <c r="DF119" i="1"/>
  <c r="EH119" i="1" s="1"/>
  <c r="ET55" i="1"/>
  <c r="AQ65" i="48"/>
  <c r="AQ160" i="48" s="1"/>
  <c r="DF209" i="1"/>
  <c r="EH209" i="1" s="1"/>
  <c r="EP22" i="1"/>
  <c r="DF22" i="1"/>
  <c r="EH22" i="1" s="1"/>
  <c r="DF139" i="1"/>
  <c r="AI41" i="58"/>
  <c r="AI109" i="58" s="1"/>
  <c r="N39" i="36"/>
  <c r="N87" i="36" s="1"/>
  <c r="BB105" i="1"/>
  <c r="BP105" i="1" s="1"/>
  <c r="EM139" i="1"/>
  <c r="DF24" i="1"/>
  <c r="EH24" i="1" s="1"/>
  <c r="EP24" i="1"/>
  <c r="AM71" i="48"/>
  <c r="AM166" i="48" s="1"/>
  <c r="K166" i="48" s="1"/>
  <c r="AV55" i="8"/>
  <c r="BJ55" i="8" s="1"/>
  <c r="EO81" i="1"/>
  <c r="DF81" i="1"/>
  <c r="EH81" i="1" s="1"/>
  <c r="AN57" i="48"/>
  <c r="AN152" i="48" s="1"/>
  <c r="DF135" i="1"/>
  <c r="EH135" i="1" s="1"/>
  <c r="BB88" i="1"/>
  <c r="BP88" i="1" s="1"/>
  <c r="AJ59" i="48"/>
  <c r="M50" i="36"/>
  <c r="M98" i="36" s="1"/>
  <c r="EM159" i="1"/>
  <c r="DN6" i="8"/>
  <c r="R138" i="22" s="1"/>
  <c r="L138" i="22" s="1"/>
  <c r="EM214" i="1"/>
  <c r="DK207" i="1"/>
  <c r="EM207" i="1" s="1"/>
  <c r="DK51" i="8"/>
  <c r="EM51" i="8" s="1"/>
  <c r="ER138" i="1"/>
  <c r="R55" i="36"/>
  <c r="R103" i="36" s="1"/>
  <c r="AG40" i="58"/>
  <c r="DF108" i="1"/>
  <c r="EH108" i="1" s="1"/>
  <c r="CL3" i="8"/>
  <c r="C71" i="44"/>
  <c r="EN143" i="1"/>
  <c r="DF143" i="1"/>
  <c r="EH143" i="1" s="1"/>
  <c r="CL72" i="8"/>
  <c r="E19" i="22" s="1"/>
  <c r="F12" i="22" s="1"/>
  <c r="EM6" i="1"/>
  <c r="EQ209" i="1"/>
  <c r="Q54" i="36"/>
  <c r="Q102" i="36" s="1"/>
  <c r="DO207" i="1"/>
  <c r="EQ207" i="1" s="1"/>
  <c r="DF179" i="1"/>
  <c r="EM41" i="1"/>
  <c r="AJ64" i="48"/>
  <c r="AJ159" i="48" s="1"/>
  <c r="ER181" i="1"/>
  <c r="DF181" i="1"/>
  <c r="EH181" i="1" s="1"/>
  <c r="D4" i="51"/>
  <c r="D3" i="51" s="1"/>
  <c r="EQ37" i="1"/>
  <c r="Q46" i="36"/>
  <c r="Q94" i="36" s="1"/>
  <c r="H29" i="36"/>
  <c r="P46" i="36"/>
  <c r="P94" i="36" s="1"/>
  <c r="EO122" i="1"/>
  <c r="O57" i="36"/>
  <c r="O105" i="36" s="1"/>
  <c r="N46" i="36"/>
  <c r="N94" i="36" s="1"/>
  <c r="EN40" i="1"/>
  <c r="EQ73" i="1"/>
  <c r="AN58" i="48"/>
  <c r="AN153" i="48" s="1"/>
  <c r="DF34" i="1"/>
  <c r="CD127" i="1"/>
  <c r="DK173" i="1"/>
  <c r="EM173" i="1" s="1"/>
  <c r="DP173" i="1"/>
  <c r="ER173" i="1" s="1"/>
  <c r="AJ62" i="48"/>
  <c r="AJ157" i="48" s="1"/>
  <c r="M41" i="36"/>
  <c r="M89" i="36" s="1"/>
  <c r="EM20" i="1"/>
  <c r="DF6" i="1"/>
  <c r="DF47" i="1"/>
  <c r="EH47" i="1" s="1"/>
  <c r="AJ43" i="58"/>
  <c r="AJ111" i="58" s="1"/>
  <c r="EM38" i="1"/>
  <c r="M51" i="36"/>
  <c r="M99" i="36" s="1"/>
  <c r="AI40" i="58"/>
  <c r="AI108" i="58" s="1"/>
  <c r="EN87" i="1"/>
  <c r="DF87" i="1"/>
  <c r="CG3" i="1"/>
  <c r="AF45" i="58"/>
  <c r="AF44" i="58"/>
  <c r="EM45" i="1"/>
  <c r="M45" i="36"/>
  <c r="M93" i="36" s="1"/>
  <c r="EQ83" i="1"/>
  <c r="DF83" i="1"/>
  <c r="EH83" i="1" s="1"/>
  <c r="EM65" i="1"/>
  <c r="AJ65" i="48"/>
  <c r="EL53" i="8"/>
  <c r="CZ53" i="8"/>
  <c r="AN65" i="48"/>
  <c r="AN160" i="48" s="1"/>
  <c r="EQ65" i="1"/>
  <c r="DF12" i="1"/>
  <c r="EH12" i="1" s="1"/>
  <c r="BB211" i="1"/>
  <c r="BP211" i="1" s="1"/>
  <c r="DF10" i="1"/>
  <c r="EH10" i="1" s="1"/>
  <c r="EQ92" i="1"/>
  <c r="DF92" i="1"/>
  <c r="ES215" i="1"/>
  <c r="AP67" i="48"/>
  <c r="AP162" i="48" s="1"/>
  <c r="BH5" i="1"/>
  <c r="BV5" i="1" s="1"/>
  <c r="ES216" i="1"/>
  <c r="DF216" i="1"/>
  <c r="EE68" i="8"/>
  <c r="H30" i="36"/>
  <c r="EQ93" i="1"/>
  <c r="AN71" i="48"/>
  <c r="AN166" i="48" s="1"/>
  <c r="ES75" i="1"/>
  <c r="DF75" i="1"/>
  <c r="G13" i="22"/>
  <c r="O18" i="22"/>
  <c r="AL43" i="58"/>
  <c r="AL111" i="58" s="1"/>
  <c r="AP56" i="48"/>
  <c r="AP151" i="48" s="1"/>
  <c r="I99" i="36"/>
  <c r="H75" i="36"/>
  <c r="AI43" i="58"/>
  <c r="AI111" i="58" s="1"/>
  <c r="L207" i="1"/>
  <c r="DF121" i="1"/>
  <c r="DF20" i="1"/>
  <c r="EH20" i="1" s="1"/>
  <c r="Z3" i="2"/>
  <c r="ER162" i="1"/>
  <c r="R53" i="36"/>
  <c r="R101" i="36" s="1"/>
  <c r="S57" i="36"/>
  <c r="S105" i="36" s="1"/>
  <c r="ES122" i="1"/>
  <c r="AG42" i="58"/>
  <c r="ER30" i="1"/>
  <c r="AO68" i="48"/>
  <c r="AO163" i="48" s="1"/>
  <c r="ES128" i="1"/>
  <c r="S47" i="36"/>
  <c r="S95" i="36" s="1"/>
  <c r="M52" i="36"/>
  <c r="M100" i="36" s="1"/>
  <c r="W9" i="58"/>
  <c r="AP57" i="48"/>
  <c r="AP152" i="48" s="1"/>
  <c r="EP74" i="1"/>
  <c r="DF74" i="1"/>
  <c r="EH74" i="1" s="1"/>
  <c r="AM58" i="48"/>
  <c r="AM153" i="48" s="1"/>
  <c r="DF122" i="1"/>
  <c r="EH122" i="1" s="1"/>
  <c r="R49" i="36"/>
  <c r="R97" i="36" s="1"/>
  <c r="ER13" i="1"/>
  <c r="ER211" i="1"/>
  <c r="DP207" i="1"/>
  <c r="ER207" i="1" s="1"/>
  <c r="CP3" i="1"/>
  <c r="CJ3" i="1"/>
  <c r="ER17" i="1"/>
  <c r="R43" i="36"/>
  <c r="R91" i="36" s="1"/>
  <c r="DF59" i="1"/>
  <c r="DF149" i="1"/>
  <c r="W8" i="58"/>
  <c r="R41" i="36"/>
  <c r="AO62" i="48"/>
  <c r="AO157" i="48" s="1"/>
  <c r="ER20" i="1"/>
  <c r="AY51" i="8"/>
  <c r="BM51" i="8" s="1"/>
  <c r="DK127" i="1"/>
  <c r="EM127" i="1" s="1"/>
  <c r="W7" i="58"/>
  <c r="N7" i="58" s="1"/>
  <c r="O7" i="58" s="1"/>
  <c r="AN68" i="48"/>
  <c r="AN163" i="48" s="1"/>
  <c r="DR115" i="1"/>
  <c r="ET115" i="1" s="1"/>
  <c r="ET73" i="1"/>
  <c r="AQ58" i="48"/>
  <c r="AQ153" i="48" s="1"/>
  <c r="EK57" i="8"/>
  <c r="DI51" i="8"/>
  <c r="EK51" i="8" s="1"/>
  <c r="AO8" i="58"/>
  <c r="AK40" i="58"/>
  <c r="AK108" i="58" s="1"/>
  <c r="EQ70" i="1"/>
  <c r="DF70" i="1"/>
  <c r="EG6" i="8"/>
  <c r="G5" i="44" s="1"/>
  <c r="P77" i="22"/>
  <c r="H77" i="22" s="1"/>
  <c r="BB16" i="1"/>
  <c r="BP16" i="1" s="1"/>
  <c r="EN166" i="1"/>
  <c r="N53" i="36"/>
  <c r="DL157" i="1"/>
  <c r="DO5" i="1"/>
  <c r="EQ5" i="1" s="1"/>
  <c r="EM125" i="1"/>
  <c r="DK115" i="1"/>
  <c r="EM115" i="1" s="1"/>
  <c r="DR127" i="1"/>
  <c r="ET127" i="1" s="1"/>
  <c r="ET175" i="1"/>
  <c r="DF175" i="1"/>
  <c r="EH175" i="1" s="1"/>
  <c r="AF40" i="58"/>
  <c r="ET212" i="1"/>
  <c r="DF212" i="1"/>
  <c r="EH212" i="1" s="1"/>
  <c r="DF125" i="1"/>
  <c r="EH125" i="1" s="1"/>
  <c r="G34" i="22"/>
  <c r="I31" i="22"/>
  <c r="V5" i="58"/>
  <c r="BB5" i="8"/>
  <c r="BP5" i="8" s="1"/>
  <c r="AJ56" i="48"/>
  <c r="G19" i="36"/>
  <c r="E52" i="53"/>
  <c r="ES55" i="1"/>
  <c r="AP65" i="48"/>
  <c r="AP160" i="48" s="1"/>
  <c r="DF55" i="1"/>
  <c r="EH55" i="1" s="1"/>
  <c r="DF29" i="1"/>
  <c r="EH29" i="1" s="1"/>
  <c r="BB51" i="1"/>
  <c r="BP51" i="1" s="1"/>
  <c r="ES73" i="1"/>
  <c r="AP58" i="48"/>
  <c r="AP153" i="48" s="1"/>
  <c r="ET178" i="1"/>
  <c r="DR173" i="1"/>
  <c r="ET173" i="1" s="1"/>
  <c r="EP39" i="1"/>
  <c r="P51" i="36"/>
  <c r="P99" i="36" s="1"/>
  <c r="ES91" i="1"/>
  <c r="DF91" i="1"/>
  <c r="EH91" i="1" s="1"/>
  <c r="DJ127" i="1"/>
  <c r="DF7" i="1"/>
  <c r="EH7" i="1" s="1"/>
  <c r="EQ131" i="1"/>
  <c r="DF131" i="1"/>
  <c r="AL72" i="48"/>
  <c r="K72" i="48" s="1"/>
  <c r="EO71" i="1"/>
  <c r="DF73" i="1"/>
  <c r="EH73" i="1" s="1"/>
  <c r="ET144" i="1"/>
  <c r="DF144" i="1"/>
  <c r="EH144" i="1" s="1"/>
  <c r="EP21" i="1"/>
  <c r="AM70" i="48"/>
  <c r="AM165" i="48" s="1"/>
  <c r="P44" i="36"/>
  <c r="P92" i="36" s="1"/>
  <c r="EP19" i="1"/>
  <c r="AM59" i="48"/>
  <c r="AM154" i="48" s="1"/>
  <c r="BB133" i="1"/>
  <c r="BP133" i="1" s="1"/>
  <c r="EO166" i="1"/>
  <c r="DF166" i="1"/>
  <c r="EH166" i="1" s="1"/>
  <c r="O53" i="36"/>
  <c r="ES48" i="1"/>
  <c r="DF48" i="1"/>
  <c r="EH48" i="1" s="1"/>
  <c r="ES117" i="1"/>
  <c r="DQ115" i="1"/>
  <c r="ES115" i="1" s="1"/>
  <c r="R39" i="36"/>
  <c r="R87" i="36" s="1"/>
  <c r="AK155" i="48"/>
  <c r="AE42" i="58"/>
  <c r="EN183" i="1"/>
  <c r="DF183" i="1"/>
  <c r="EH183" i="1" s="1"/>
  <c r="AH155" i="48"/>
  <c r="CO3" i="1"/>
  <c r="ET45" i="1"/>
  <c r="T45" i="36"/>
  <c r="T93" i="36" s="1"/>
  <c r="EQ6" i="1"/>
  <c r="Q39" i="36"/>
  <c r="Q87" i="36" s="1"/>
  <c r="EN50" i="1"/>
  <c r="DF50" i="1"/>
  <c r="N42" i="36"/>
  <c r="N90" i="36" s="1"/>
  <c r="ES56" i="1"/>
  <c r="AP61" i="48"/>
  <c r="AP156" i="48" s="1"/>
  <c r="DF56" i="1"/>
  <c r="EH56" i="1" s="1"/>
  <c r="DM173" i="1"/>
  <c r="L127" i="1"/>
  <c r="DH5" i="1"/>
  <c r="DL5" i="1"/>
  <c r="ER51" i="1"/>
  <c r="DF51" i="1"/>
  <c r="R42" i="36"/>
  <c r="R90" i="36" s="1"/>
  <c r="CR3" i="1"/>
  <c r="EO210" i="1"/>
  <c r="DF210" i="1"/>
  <c r="EH210" i="1" s="1"/>
  <c r="DJ5" i="1"/>
  <c r="DF8" i="1"/>
  <c r="EH8" i="1" s="1"/>
  <c r="AD42" i="58"/>
  <c r="DF133" i="1"/>
  <c r="ET128" i="1"/>
  <c r="DF128" i="1"/>
  <c r="T47" i="36"/>
  <c r="T95" i="36" s="1"/>
  <c r="DF142" i="1"/>
  <c r="EH142" i="1" s="1"/>
  <c r="DF146" i="1"/>
  <c r="AG56" i="48"/>
  <c r="AL57" i="48"/>
  <c r="AL152" i="48" s="1"/>
  <c r="DF94" i="1"/>
  <c r="BB102" i="1"/>
  <c r="BP102" i="1" s="1"/>
  <c r="BB103" i="1"/>
  <c r="BP103" i="1" s="1"/>
  <c r="AO7" i="58"/>
  <c r="DL115" i="1"/>
  <c r="DF38" i="1"/>
  <c r="EH38" i="1" s="1"/>
  <c r="AO9" i="58"/>
  <c r="P39" i="36"/>
  <c r="P87" i="36" s="1"/>
  <c r="AO11" i="58"/>
  <c r="EM35" i="1"/>
  <c r="M46" i="36"/>
  <c r="M94" i="36" s="1"/>
  <c r="DF35" i="1"/>
  <c r="EH35" i="1" s="1"/>
  <c r="ES39" i="1"/>
  <c r="S51" i="36"/>
  <c r="S99" i="36" s="1"/>
  <c r="ET76" i="1"/>
  <c r="DF76" i="1"/>
  <c r="EH76" i="1" s="1"/>
  <c r="AQ71" i="48"/>
  <c r="AQ166" i="48" s="1"/>
  <c r="AM5" i="58"/>
  <c r="K8" i="58"/>
  <c r="K7" i="58"/>
  <c r="J5" i="58"/>
  <c r="K10" i="58"/>
  <c r="K9" i="58"/>
  <c r="EN10" i="1"/>
  <c r="N43" i="36"/>
  <c r="N91" i="36" s="1"/>
  <c r="BB34" i="1"/>
  <c r="BP34" i="1" s="1"/>
  <c r="EP150" i="1"/>
  <c r="DF150" i="1"/>
  <c r="EH150" i="1" s="1"/>
  <c r="ES49" i="1"/>
  <c r="DF49" i="1"/>
  <c r="S42" i="36"/>
  <c r="EP117" i="1"/>
  <c r="DN115" i="1"/>
  <c r="EP115" i="1" s="1"/>
  <c r="DF117" i="1"/>
  <c r="EH117" i="1" s="1"/>
  <c r="EP66" i="1"/>
  <c r="AH43" i="58"/>
  <c r="AH111" i="58" s="1"/>
  <c r="AM64" i="48"/>
  <c r="AM159" i="48" s="1"/>
  <c r="N6" i="51"/>
  <c r="Y7" i="48"/>
  <c r="T43" i="36"/>
  <c r="T91" i="36" s="1"/>
  <c r="AK42" i="58"/>
  <c r="AK110" i="58" s="1"/>
  <c r="M20" i="48"/>
  <c r="E12" i="51"/>
  <c r="AK157" i="48"/>
  <c r="K157" i="48" s="1"/>
  <c r="K62" i="48"/>
  <c r="H9" i="22"/>
  <c r="ET19" i="1"/>
  <c r="AQ59" i="48"/>
  <c r="AQ154" i="48" s="1"/>
  <c r="DF19" i="1"/>
  <c r="EH19" i="1" s="1"/>
  <c r="G6" i="36"/>
  <c r="E7" i="53"/>
  <c r="EO211" i="1"/>
  <c r="DF211" i="1"/>
  <c r="EH211" i="1" s="1"/>
  <c r="DF185" i="1"/>
  <c r="EH185" i="1" s="1"/>
  <c r="Z207" i="1"/>
  <c r="DF136" i="1"/>
  <c r="EH136" i="1" s="1"/>
  <c r="AL41" i="58"/>
  <c r="AL109" i="58" s="1"/>
  <c r="EM129" i="1"/>
  <c r="M47" i="36"/>
  <c r="M95" i="36" s="1"/>
  <c r="DF129" i="1"/>
  <c r="DL173" i="1"/>
  <c r="EM108" i="1"/>
  <c r="AE40" i="58"/>
  <c r="AJ57" i="48"/>
  <c r="AO10" i="58"/>
  <c r="T51" i="8"/>
  <c r="S43" i="36"/>
  <c r="S91" i="36" s="1"/>
  <c r="DM207" i="1"/>
  <c r="I64" i="22"/>
  <c r="EO184" i="1"/>
  <c r="DF184" i="1"/>
  <c r="EH184" i="1" s="1"/>
  <c r="ET36" i="1"/>
  <c r="DF36" i="1"/>
  <c r="EH36" i="1" s="1"/>
  <c r="Z115" i="1"/>
  <c r="CL3" i="1"/>
  <c r="T12" i="28"/>
  <c r="T13" i="28"/>
  <c r="ES186" i="1"/>
  <c r="DQ173" i="1"/>
  <c r="ES173" i="1" s="1"/>
  <c r="DF186" i="1"/>
  <c r="EH186" i="1" s="1"/>
  <c r="AN56" i="48"/>
  <c r="AN151" i="48" s="1"/>
  <c r="Z157" i="1"/>
  <c r="ER45" i="1"/>
  <c r="R45" i="36"/>
  <c r="R93" i="36" s="1"/>
  <c r="DF45" i="1"/>
  <c r="AH167" i="48"/>
  <c r="AA5" i="28"/>
  <c r="AH42" i="58"/>
  <c r="AH110" i="58" s="1"/>
  <c r="AH156" i="48"/>
  <c r="AE43" i="58"/>
  <c r="EM67" i="1"/>
  <c r="DF67" i="1"/>
  <c r="AJ68" i="48"/>
  <c r="AJ163" i="48" s="1"/>
  <c r="DK5" i="1"/>
  <c r="EM16" i="1"/>
  <c r="M43" i="36"/>
  <c r="M91" i="36" s="1"/>
  <c r="DF16" i="1"/>
  <c r="EH16" i="1" s="1"/>
  <c r="EQ17" i="1"/>
  <c r="Q43" i="36"/>
  <c r="Q91" i="36" s="1"/>
  <c r="DF17" i="1"/>
  <c r="ES30" i="1"/>
  <c r="AP68" i="48"/>
  <c r="AP163" i="48" s="1"/>
  <c r="EO171" i="1"/>
  <c r="DM157" i="1"/>
  <c r="BE5" i="1"/>
  <c r="BS5" i="1" s="1"/>
  <c r="EP10" i="1"/>
  <c r="P43" i="36"/>
  <c r="P91" i="36" s="1"/>
  <c r="H73" i="36"/>
  <c r="DF171" i="1"/>
  <c r="DT215" i="1"/>
  <c r="EN215" i="1"/>
  <c r="DZ207" i="1"/>
  <c r="AK115" i="48"/>
  <c r="AF75" i="58"/>
  <c r="AG44" i="58"/>
  <c r="AG112" i="58" s="1"/>
  <c r="DF103" i="1"/>
  <c r="EH103" i="1" s="1"/>
  <c r="S44" i="36"/>
  <c r="AP70" i="48"/>
  <c r="DF21" i="1"/>
  <c r="EH21" i="1" s="1"/>
  <c r="ES21" i="1"/>
  <c r="DH127" i="1"/>
  <c r="DM5" i="1"/>
  <c r="DF105" i="1"/>
  <c r="EH105" i="1" s="1"/>
  <c r="L173" i="1"/>
  <c r="Q53" i="36"/>
  <c r="Q101" i="36" s="1"/>
  <c r="DF163" i="1"/>
  <c r="EQ163" i="1"/>
  <c r="DO157" i="1"/>
  <c r="EQ157" i="1" s="1"/>
  <c r="K124" i="6"/>
  <c r="R87" i="6"/>
  <c r="S87" i="6" s="1"/>
  <c r="AM57" i="48"/>
  <c r="AM152" i="48" s="1"/>
  <c r="ER134" i="1"/>
  <c r="DF134" i="1"/>
  <c r="EH134" i="1" s="1"/>
  <c r="EO180" i="1"/>
  <c r="DF180" i="1"/>
  <c r="O143" i="35"/>
  <c r="K143" i="35"/>
  <c r="L143" i="35"/>
  <c r="EH65" i="8"/>
  <c r="DN65" i="8"/>
  <c r="DT59" i="8"/>
  <c r="EH59" i="8" s="1"/>
  <c r="AB41" i="58"/>
  <c r="AI56" i="48"/>
  <c r="AG73" i="48"/>
  <c r="AG168" i="48" s="1"/>
  <c r="AH40" i="58"/>
  <c r="AH108" i="58" s="1"/>
  <c r="DP157" i="1"/>
  <c r="ER157" i="1" s="1"/>
  <c r="ER38" i="1"/>
  <c r="R51" i="36"/>
  <c r="R99" i="36" s="1"/>
  <c r="AK56" i="48"/>
  <c r="S48" i="36"/>
  <c r="ES160" i="1"/>
  <c r="DF160" i="1"/>
  <c r="EM46" i="1"/>
  <c r="DF46" i="1"/>
  <c r="EH46" i="1" s="1"/>
  <c r="ES93" i="1"/>
  <c r="DF93" i="1"/>
  <c r="AP71" i="48"/>
  <c r="AT10" i="48"/>
  <c r="DQ5" i="1"/>
  <c r="ES5" i="1" s="1"/>
  <c r="AT20" i="48"/>
  <c r="AT19" i="48"/>
  <c r="ET34" i="1"/>
  <c r="T46" i="36"/>
  <c r="T94" i="36" s="1"/>
  <c r="EP178" i="1"/>
  <c r="DN173" i="1"/>
  <c r="EP173" i="1" s="1"/>
  <c r="DF178" i="1"/>
  <c r="E9" i="52"/>
  <c r="I47" i="20"/>
  <c r="I9" i="42" s="1"/>
  <c r="P23" i="20"/>
  <c r="AG45" i="58"/>
  <c r="T59" i="8"/>
  <c r="EN148" i="1"/>
  <c r="DF148" i="1"/>
  <c r="EH148" i="1" s="1"/>
  <c r="EN26" i="1"/>
  <c r="AF41" i="58"/>
  <c r="AK63" i="48"/>
  <c r="AK68" i="48"/>
  <c r="DF30" i="1"/>
  <c r="EH30" i="1" s="1"/>
  <c r="EN30" i="1"/>
  <c r="AF43" i="58"/>
  <c r="EQ151" i="1"/>
  <c r="AN73" i="48"/>
  <c r="AN168" i="48" s="1"/>
  <c r="DO127" i="1"/>
  <c r="EQ127" i="1" s="1"/>
  <c r="BB171" i="1"/>
  <c r="BP171" i="1" s="1"/>
  <c r="AF42" i="58"/>
  <c r="ET209" i="1"/>
  <c r="DR207" i="1"/>
  <c r="ET207" i="1" s="1"/>
  <c r="T54" i="36"/>
  <c r="T102" i="36" s="1"/>
  <c r="T39" i="36"/>
  <c r="T87" i="36" s="1"/>
  <c r="ET8" i="1"/>
  <c r="AQ67" i="48"/>
  <c r="AQ162" i="48" s="1"/>
  <c r="BB116" i="1"/>
  <c r="BP116" i="1" s="1"/>
  <c r="L115" i="1"/>
  <c r="R130" i="6"/>
  <c r="S130" i="6" s="1"/>
  <c r="EN57" i="1"/>
  <c r="DF57" i="1"/>
  <c r="I46" i="22"/>
  <c r="G50" i="22"/>
  <c r="AA42" i="58"/>
  <c r="AV17" i="8"/>
  <c r="BJ17" i="8" s="1"/>
  <c r="ET64" i="1"/>
  <c r="DF64" i="1"/>
  <c r="EH64" i="1" s="1"/>
  <c r="EO116" i="1"/>
  <c r="DM115" i="1"/>
  <c r="EQ38" i="1"/>
  <c r="Q51" i="36"/>
  <c r="Q99" i="36" s="1"/>
  <c r="ES41" i="1"/>
  <c r="AP64" i="48"/>
  <c r="AK43" i="58"/>
  <c r="AK111" i="58" s="1"/>
  <c r="DF41" i="1"/>
  <c r="EH41" i="1" s="1"/>
  <c r="DF109" i="1"/>
  <c r="EH109" i="1" s="1"/>
  <c r="Y8" i="48"/>
  <c r="N7" i="51"/>
  <c r="DN127" i="1"/>
  <c r="EP127" i="1" s="1"/>
  <c r="AR5" i="48"/>
  <c r="AT24" i="48"/>
  <c r="P52" i="36"/>
  <c r="P100" i="36" s="1"/>
  <c r="AT25" i="48"/>
  <c r="AT9" i="48"/>
  <c r="EP8" i="1"/>
  <c r="AM67" i="48"/>
  <c r="AM162" i="48" s="1"/>
  <c r="EO11" i="1"/>
  <c r="DF11" i="1"/>
  <c r="EH11" i="1" s="1"/>
  <c r="AC42" i="58"/>
  <c r="AT7" i="48"/>
  <c r="P88" i="36"/>
  <c r="EN7" i="1"/>
  <c r="AK57" i="48"/>
  <c r="AT16" i="48"/>
  <c r="BB151" i="1"/>
  <c r="BP151" i="1" s="1"/>
  <c r="AT15" i="48"/>
  <c r="DR5" i="1"/>
  <c r="D96" i="51"/>
  <c r="D107" i="51" s="1"/>
  <c r="CI3" i="1"/>
  <c r="AW5" i="8"/>
  <c r="BK5" i="8" s="1"/>
  <c r="M13" i="41"/>
  <c r="M14" i="41" s="1"/>
  <c r="AT12" i="48"/>
  <c r="M8" i="48"/>
  <c r="M9" i="48"/>
  <c r="M10" i="48"/>
  <c r="M19" i="48"/>
  <c r="M21" i="48"/>
  <c r="M15" i="48"/>
  <c r="M24" i="48"/>
  <c r="M13" i="48"/>
  <c r="M17" i="48"/>
  <c r="M23" i="48"/>
  <c r="M18" i="48"/>
  <c r="M12" i="48"/>
  <c r="M25" i="48"/>
  <c r="M16" i="48"/>
  <c r="AT18" i="48"/>
  <c r="AT8" i="48"/>
  <c r="AT14" i="48"/>
  <c r="AT13" i="48"/>
  <c r="EH16" i="8"/>
  <c r="DF106" i="1"/>
  <c r="EH106" i="1" s="1"/>
  <c r="AF56" i="48"/>
  <c r="DI5" i="1"/>
  <c r="M14" i="48"/>
  <c r="AT11" i="48"/>
  <c r="AM160" i="48"/>
  <c r="AT23" i="48"/>
  <c r="M22" i="48"/>
  <c r="AT17" i="48"/>
  <c r="CD5" i="1"/>
  <c r="M28" i="48"/>
  <c r="BC5" i="1"/>
  <c r="BQ5" i="1" s="1"/>
  <c r="K5" i="48"/>
  <c r="AT22" i="48"/>
  <c r="O104" i="36"/>
  <c r="AT21" i="48"/>
  <c r="M11" i="48"/>
  <c r="EI17" i="8"/>
  <c r="EP101" i="1"/>
  <c r="AM63" i="48"/>
  <c r="AM158" i="48" s="1"/>
  <c r="AH41" i="58"/>
  <c r="AH109" i="58" s="1"/>
  <c r="AF167" i="48"/>
  <c r="ES102" i="1"/>
  <c r="AK44" i="58"/>
  <c r="AK112" i="58" s="1"/>
  <c r="AK45" i="58"/>
  <c r="EK105" i="1"/>
  <c r="AH56" i="48"/>
  <c r="ER108" i="1"/>
  <c r="AO57" i="48"/>
  <c r="AO152" i="48" s="1"/>
  <c r="AJ40" i="58"/>
  <c r="AJ108" i="58" s="1"/>
  <c r="G9" i="53"/>
  <c r="G65" i="36"/>
  <c r="BF5" i="1"/>
  <c r="BT5" i="1" s="1"/>
  <c r="M137" i="35"/>
  <c r="AQ56" i="48"/>
  <c r="AI42" i="58"/>
  <c r="AI110" i="58" s="1"/>
  <c r="CZ16" i="8"/>
  <c r="EB16" i="8" s="1"/>
  <c r="BB193" i="1"/>
  <c r="BP193" i="1" s="1"/>
  <c r="AM56" i="48"/>
  <c r="AM151" i="48" s="1"/>
  <c r="EP151" i="1"/>
  <c r="AM73" i="48"/>
  <c r="AM168" i="48" s="1"/>
  <c r="ED16" i="8"/>
  <c r="EQ193" i="1"/>
  <c r="DO173" i="1"/>
  <c r="EQ173" i="1" s="1"/>
  <c r="M131" i="35"/>
  <c r="ES151" i="1"/>
  <c r="AP73" i="48"/>
  <c r="AP168" i="48" s="1"/>
  <c r="DQ127" i="1"/>
  <c r="ES127" i="1" s="1"/>
  <c r="AK41" i="58"/>
  <c r="ER133" i="1"/>
  <c r="R52" i="36"/>
  <c r="R100" i="36" s="1"/>
  <c r="DP127" i="1"/>
  <c r="ER127" i="1" s="1"/>
  <c r="DF151" i="1"/>
  <c r="EH151" i="1" s="1"/>
  <c r="BC157" i="1"/>
  <c r="BQ157" i="1" s="1"/>
  <c r="EI133" i="1"/>
  <c r="I52" i="36"/>
  <c r="EL151" i="1"/>
  <c r="AI73" i="48"/>
  <c r="AI168" i="48" s="1"/>
  <c r="DP5" i="1"/>
  <c r="ER5" i="1" s="1"/>
  <c r="AO56" i="48"/>
  <c r="DG157" i="1"/>
  <c r="EI171" i="1"/>
  <c r="P37" i="42"/>
  <c r="EQ102" i="1"/>
  <c r="AI45" i="58"/>
  <c r="AI44" i="58"/>
  <c r="AI112" i="58" s="1"/>
  <c r="O87" i="36"/>
  <c r="AZ5" i="8"/>
  <c r="BN5" i="8" s="1"/>
  <c r="BA5" i="8"/>
  <c r="BO5" i="8" s="1"/>
  <c r="AJ42" i="58"/>
  <c r="R129" i="6"/>
  <c r="S129" i="6" s="1"/>
  <c r="EO101" i="1"/>
  <c r="AG41" i="58"/>
  <c r="AG109" i="58" s="1"/>
  <c r="BD5" i="1"/>
  <c r="BR5" i="1" s="1"/>
  <c r="E13" i="41"/>
  <c r="E15" i="41" s="1"/>
  <c r="CZ17" i="8"/>
  <c r="EI193" i="1"/>
  <c r="DG173" i="1"/>
  <c r="EI173" i="1" s="1"/>
  <c r="AL42" i="58"/>
  <c r="AL110" i="58" s="1"/>
  <c r="EP102" i="1"/>
  <c r="AH45" i="58"/>
  <c r="AH44" i="58"/>
  <c r="AH112" i="58" s="1"/>
  <c r="Z127" i="1"/>
  <c r="DI173" i="1"/>
  <c r="EK193" i="1"/>
  <c r="DF193" i="1"/>
  <c r="EH193" i="1" s="1"/>
  <c r="DF102" i="1"/>
  <c r="EH102" i="1" s="1"/>
  <c r="DN5" i="1"/>
  <c r="BB109" i="1"/>
  <c r="BP109" i="1" s="1"/>
  <c r="Z173" i="1"/>
  <c r="EJ90" i="1"/>
  <c r="DF90" i="1"/>
  <c r="EH90" i="1" s="1"/>
  <c r="BB90" i="1"/>
  <c r="BP90" i="1" s="1"/>
  <c r="EI101" i="1"/>
  <c r="DF101" i="1"/>
  <c r="AF63" i="48"/>
  <c r="DG5" i="1"/>
  <c r="AA41" i="58"/>
  <c r="AV16" i="8"/>
  <c r="BJ16" i="8" s="1"/>
  <c r="EG16" i="8"/>
  <c r="AA112" i="58"/>
  <c r="AF168" i="48"/>
  <c r="BB101" i="1"/>
  <c r="BP101" i="1" s="1"/>
  <c r="L5" i="1"/>
  <c r="M232" i="35" l="1"/>
  <c r="EH75" i="1"/>
  <c r="R141" i="22"/>
  <c r="L141" i="22" s="1"/>
  <c r="AJ153" i="48"/>
  <c r="R142" i="22"/>
  <c r="L142" i="22" s="1"/>
  <c r="G139" i="22"/>
  <c r="I139" i="22" s="1"/>
  <c r="G142" i="22"/>
  <c r="I142" i="22" s="1"/>
  <c r="R139" i="22"/>
  <c r="L139" i="22" s="1"/>
  <c r="F125" i="22"/>
  <c r="F127" i="22"/>
  <c r="F129" i="22"/>
  <c r="F126" i="22"/>
  <c r="Q129" i="22"/>
  <c r="K129" i="22" s="1"/>
  <c r="Q142" i="22"/>
  <c r="K142" i="22" s="1"/>
  <c r="Q128" i="22"/>
  <c r="K128" i="22" s="1"/>
  <c r="Q141" i="22"/>
  <c r="K141" i="22" s="1"/>
  <c r="R127" i="22"/>
  <c r="L127" i="22" s="1"/>
  <c r="R140" i="22"/>
  <c r="L140" i="22" s="1"/>
  <c r="Q127" i="22"/>
  <c r="K127" i="22" s="1"/>
  <c r="Q140" i="22"/>
  <c r="K140" i="22" s="1"/>
  <c r="F142" i="22"/>
  <c r="F141" i="22"/>
  <c r="F140" i="22"/>
  <c r="F139" i="22"/>
  <c r="F138" i="22"/>
  <c r="O143" i="22"/>
  <c r="Q126" i="22"/>
  <c r="K126" i="22" s="1"/>
  <c r="Q139" i="22"/>
  <c r="K139" i="22" s="1"/>
  <c r="AA11" i="24"/>
  <c r="S76" i="6"/>
  <c r="S75" i="6"/>
  <c r="S38" i="6"/>
  <c r="S37" i="6"/>
  <c r="EH23" i="1"/>
  <c r="M167" i="35"/>
  <c r="AS106" i="48"/>
  <c r="P8" i="51" s="1"/>
  <c r="N14" i="6"/>
  <c r="N19" i="6"/>
  <c r="N52" i="6"/>
  <c r="N57" i="6"/>
  <c r="N90" i="6"/>
  <c r="N95" i="6"/>
  <c r="N71" i="6"/>
  <c r="N70" i="6"/>
  <c r="N108" i="6"/>
  <c r="N107" i="6"/>
  <c r="N33" i="6"/>
  <c r="N32" i="6"/>
  <c r="N72" i="6"/>
  <c r="N74" i="6"/>
  <c r="N34" i="6"/>
  <c r="N36" i="6"/>
  <c r="N109" i="6"/>
  <c r="N111" i="6"/>
  <c r="N51" i="6"/>
  <c r="N69" i="6"/>
  <c r="N30" i="6"/>
  <c r="N31" i="6"/>
  <c r="N89" i="6"/>
  <c r="N106" i="6"/>
  <c r="M158" i="35"/>
  <c r="M166" i="35"/>
  <c r="M169" i="35"/>
  <c r="AG44" i="28"/>
  <c r="AH44" i="28" s="1"/>
  <c r="AI44" i="28" s="1"/>
  <c r="U43" i="44"/>
  <c r="F29" i="62"/>
  <c r="G29" i="62" s="1"/>
  <c r="J29" i="62" s="1"/>
  <c r="U41" i="44"/>
  <c r="F30" i="62"/>
  <c r="G30" i="62" s="1"/>
  <c r="J30" i="62" s="1"/>
  <c r="I21" i="44"/>
  <c r="M112" i="60"/>
  <c r="M126" i="60" s="1"/>
  <c r="M134" i="60" s="1"/>
  <c r="N111" i="60"/>
  <c r="K60" i="48"/>
  <c r="K155" i="48"/>
  <c r="E10" i="51"/>
  <c r="G10" i="51" s="1"/>
  <c r="H96" i="22"/>
  <c r="I96" i="22" s="1"/>
  <c r="H97" i="22"/>
  <c r="I97" i="22" s="1"/>
  <c r="H78" i="22"/>
  <c r="I78" i="22" s="1"/>
  <c r="H65" i="22"/>
  <c r="I65" i="22" s="1"/>
  <c r="H45" i="22"/>
  <c r="I45" i="22" s="1"/>
  <c r="H47" i="22"/>
  <c r="I47" i="22" s="1"/>
  <c r="H28" i="22"/>
  <c r="I28" i="22" s="1"/>
  <c r="H113" i="22"/>
  <c r="I113" i="22" s="1"/>
  <c r="H110" i="22"/>
  <c r="I110" i="22" s="1"/>
  <c r="H111" i="22"/>
  <c r="I111" i="22" s="1"/>
  <c r="G129" i="22"/>
  <c r="I129" i="22" s="1"/>
  <c r="G127" i="22"/>
  <c r="I127" i="22" s="1"/>
  <c r="H114" i="22"/>
  <c r="I114" i="22" s="1"/>
  <c r="R113" i="22"/>
  <c r="L113" i="22" s="1"/>
  <c r="R129" i="22"/>
  <c r="R110" i="22"/>
  <c r="L110" i="22" s="1"/>
  <c r="R126" i="22"/>
  <c r="R109" i="22"/>
  <c r="L109" i="22" s="1"/>
  <c r="R125" i="22"/>
  <c r="L125" i="22" s="1"/>
  <c r="Q109" i="22"/>
  <c r="K109" i="22" s="1"/>
  <c r="Q125" i="22"/>
  <c r="R111" i="22"/>
  <c r="L111" i="22" s="1"/>
  <c r="R128" i="22"/>
  <c r="O130" i="22"/>
  <c r="I125" i="22"/>
  <c r="L24" i="48"/>
  <c r="K168" i="48"/>
  <c r="K71" i="48"/>
  <c r="L9" i="48"/>
  <c r="E21" i="51"/>
  <c r="G21" i="51" s="1"/>
  <c r="K160" i="48"/>
  <c r="L160" i="48" s="1"/>
  <c r="M202" i="35"/>
  <c r="AE109" i="58"/>
  <c r="H63" i="36"/>
  <c r="G63" i="36" s="1"/>
  <c r="M133" i="35"/>
  <c r="AS119" i="48"/>
  <c r="P21" i="51" s="1"/>
  <c r="AA111" i="58"/>
  <c r="EH50" i="1"/>
  <c r="AF152" i="48"/>
  <c r="AR119" i="48"/>
  <c r="F102" i="51" s="1"/>
  <c r="K90" i="36"/>
  <c r="J98" i="36"/>
  <c r="G74" i="36"/>
  <c r="EH159" i="1"/>
  <c r="EG41" i="8"/>
  <c r="EB45" i="8"/>
  <c r="EB25" i="8"/>
  <c r="EE59" i="8"/>
  <c r="H68" i="36"/>
  <c r="G12" i="53" s="1"/>
  <c r="G56" i="53"/>
  <c r="AG160" i="48"/>
  <c r="I96" i="36"/>
  <c r="EH171" i="1"/>
  <c r="EH149" i="1"/>
  <c r="EG29" i="8"/>
  <c r="AG152" i="48"/>
  <c r="EH121" i="1"/>
  <c r="EH71" i="1"/>
  <c r="DT115" i="1"/>
  <c r="H67" i="36"/>
  <c r="G11" i="53" s="1"/>
  <c r="M130" i="35"/>
  <c r="EH17" i="1"/>
  <c r="EF59" i="8"/>
  <c r="EH205" i="1"/>
  <c r="EF41" i="8"/>
  <c r="AB108" i="58"/>
  <c r="EH60" i="1"/>
  <c r="AS118" i="48"/>
  <c r="Y118" i="48" s="1"/>
  <c r="AR118" i="48"/>
  <c r="F101" i="51" s="1"/>
  <c r="EH177" i="1"/>
  <c r="EH42" i="1"/>
  <c r="EB60" i="8"/>
  <c r="M135" i="35"/>
  <c r="EB35" i="8"/>
  <c r="EH160" i="1"/>
  <c r="EH187" i="1"/>
  <c r="EI115" i="1"/>
  <c r="EH182" i="1"/>
  <c r="AR108" i="48"/>
  <c r="F91" i="51" s="1"/>
  <c r="Z5" i="1"/>
  <c r="BB5" i="1" s="1"/>
  <c r="BP5" i="1" s="1"/>
  <c r="EH22" i="8"/>
  <c r="AC111" i="58"/>
  <c r="L91" i="36"/>
  <c r="EH146" i="1"/>
  <c r="EH29" i="8"/>
  <c r="EF29" i="8"/>
  <c r="EK115" i="1"/>
  <c r="EB57" i="8"/>
  <c r="EH40" i="1"/>
  <c r="H69" i="36"/>
  <c r="G13" i="53" s="1"/>
  <c r="EH45" i="1"/>
  <c r="EH174" i="1"/>
  <c r="EH94" i="1"/>
  <c r="EJ127" i="1"/>
  <c r="EH179" i="1"/>
  <c r="I103" i="36"/>
  <c r="EN173" i="1"/>
  <c r="EB66" i="8"/>
  <c r="EH139" i="1"/>
  <c r="EL127" i="1"/>
  <c r="H113" i="6"/>
  <c r="H106" i="6" s="1"/>
  <c r="AD109" i="58"/>
  <c r="L61" i="36"/>
  <c r="AE110" i="58"/>
  <c r="AD108" i="58"/>
  <c r="EH126" i="1"/>
  <c r="EI157" i="1"/>
  <c r="EH200" i="1"/>
  <c r="EH172" i="1"/>
  <c r="EJ157" i="1"/>
  <c r="EB54" i="8"/>
  <c r="M101" i="36"/>
  <c r="M85" i="36" s="1"/>
  <c r="EH6" i="1"/>
  <c r="EH9" i="1"/>
  <c r="EH49" i="1"/>
  <c r="A156" i="1"/>
  <c r="A155" i="1"/>
  <c r="AD73" i="58"/>
  <c r="N61" i="36"/>
  <c r="N101" i="36"/>
  <c r="N85" i="36" s="1"/>
  <c r="EH67" i="1"/>
  <c r="EH87" i="1"/>
  <c r="EH137" i="1"/>
  <c r="EK207" i="1"/>
  <c r="K101" i="36"/>
  <c r="K103" i="36"/>
  <c r="A55" i="1"/>
  <c r="A56" i="1" s="1"/>
  <c r="A57" i="1" s="1"/>
  <c r="H79" i="36"/>
  <c r="G79" i="36" s="1"/>
  <c r="AF110" i="58"/>
  <c r="EK127" i="1"/>
  <c r="I23" i="44"/>
  <c r="EH158" i="1"/>
  <c r="M12" i="22"/>
  <c r="AE111" i="58"/>
  <c r="P18" i="51"/>
  <c r="AS108" i="48"/>
  <c r="Y108" i="48" s="1"/>
  <c r="EM5" i="1"/>
  <c r="AS112" i="48"/>
  <c r="P14" i="51" s="1"/>
  <c r="EN157" i="1"/>
  <c r="EH32" i="1"/>
  <c r="AF159" i="48"/>
  <c r="AR112" i="48"/>
  <c r="F95" i="51" s="1"/>
  <c r="O11" i="52"/>
  <c r="L11" i="52" s="1"/>
  <c r="AE73" i="58"/>
  <c r="EH51" i="1"/>
  <c r="EH224" i="1"/>
  <c r="EH180" i="1"/>
  <c r="DY3" i="1"/>
  <c r="DT222" i="1"/>
  <c r="EH78" i="1"/>
  <c r="AI155" i="48"/>
  <c r="AI102" i="48"/>
  <c r="P50" i="22"/>
  <c r="Q26" i="20"/>
  <c r="EK157" i="1"/>
  <c r="EB15" i="8"/>
  <c r="O14" i="44" s="1"/>
  <c r="EB55" i="8"/>
  <c r="EJ173" i="1"/>
  <c r="EG51" i="8"/>
  <c r="M14" i="22"/>
  <c r="EH54" i="1"/>
  <c r="EM157" i="1"/>
  <c r="DQ3" i="8"/>
  <c r="I40" i="20"/>
  <c r="I52" i="20" s="1"/>
  <c r="AH168" i="48"/>
  <c r="EH39" i="1"/>
  <c r="EH216" i="1"/>
  <c r="AB73" i="58"/>
  <c r="EN115" i="1"/>
  <c r="EH164" i="1"/>
  <c r="EB31" i="8"/>
  <c r="AM78" i="58"/>
  <c r="N7" i="57" s="1"/>
  <c r="AN78" i="58"/>
  <c r="V78" i="58" s="1"/>
  <c r="L144" i="35"/>
  <c r="EH170" i="1"/>
  <c r="K144" i="35"/>
  <c r="EH128" i="1"/>
  <c r="EL157" i="1"/>
  <c r="AH154" i="48"/>
  <c r="EH133" i="1"/>
  <c r="EB53" i="8"/>
  <c r="AA73" i="58"/>
  <c r="EJ115" i="1"/>
  <c r="AJ151" i="48"/>
  <c r="EH18" i="1"/>
  <c r="EH92" i="1"/>
  <c r="AB111" i="58"/>
  <c r="G113" i="6"/>
  <c r="G90" i="6" s="1"/>
  <c r="ED59" i="8"/>
  <c r="EI22" i="8"/>
  <c r="AS121" i="48"/>
  <c r="P23" i="51" s="1"/>
  <c r="EH130" i="1"/>
  <c r="ED29" i="8"/>
  <c r="EL173" i="1"/>
  <c r="O13" i="52"/>
  <c r="H76" i="36"/>
  <c r="G76" i="36" s="1"/>
  <c r="EB52" i="8"/>
  <c r="ED51" i="8"/>
  <c r="G61" i="44"/>
  <c r="F74" i="44" s="1"/>
  <c r="R81" i="22"/>
  <c r="L81" i="22" s="1"/>
  <c r="EH95" i="1"/>
  <c r="Q25" i="20"/>
  <c r="O12" i="52"/>
  <c r="Q27" i="20"/>
  <c r="EH93" i="1"/>
  <c r="EH178" i="1"/>
  <c r="EN127" i="1"/>
  <c r="DN51" i="8"/>
  <c r="F40" i="20"/>
  <c r="F52" i="20" s="1"/>
  <c r="I61" i="36"/>
  <c r="H66" i="36"/>
  <c r="G10" i="53" s="1"/>
  <c r="EB62" i="8"/>
  <c r="O7" i="52"/>
  <c r="O18" i="52" s="1"/>
  <c r="AG102" i="48"/>
  <c r="EI127" i="1"/>
  <c r="DU3" i="1"/>
  <c r="ED41" i="8"/>
  <c r="EH41" i="8"/>
  <c r="AS107" i="48"/>
  <c r="Y107" i="48" s="1"/>
  <c r="E40" i="20"/>
  <c r="E52" i="20" s="1"/>
  <c r="AR107" i="48"/>
  <c r="F90" i="51" s="1"/>
  <c r="EH13" i="1"/>
  <c r="AR109" i="48"/>
  <c r="F92" i="51" s="1"/>
  <c r="J94" i="36"/>
  <c r="DF72" i="8"/>
  <c r="DS3" i="8"/>
  <c r="G40" i="20"/>
  <c r="G52" i="20" s="1"/>
  <c r="P99" i="22"/>
  <c r="AS109" i="48"/>
  <c r="Y109" i="48" s="1"/>
  <c r="EH153" i="1"/>
  <c r="AN76" i="58"/>
  <c r="V76" i="58" s="1"/>
  <c r="AC109" i="58"/>
  <c r="EB44" i="8"/>
  <c r="EH131" i="1"/>
  <c r="Q21" i="20"/>
  <c r="I113" i="6"/>
  <c r="I105" i="6" s="1"/>
  <c r="EH204" i="1"/>
  <c r="DP3" i="8"/>
  <c r="AF102" i="48"/>
  <c r="H71" i="36"/>
  <c r="G51" i="53" s="1"/>
  <c r="M36" i="6"/>
  <c r="M32" i="6"/>
  <c r="M107" i="6"/>
  <c r="M111" i="6"/>
  <c r="M74" i="6"/>
  <c r="M70" i="6"/>
  <c r="M14" i="6"/>
  <c r="M33" i="6"/>
  <c r="M90" i="6"/>
  <c r="M108" i="6"/>
  <c r="M52" i="6"/>
  <c r="M71" i="6"/>
  <c r="EH99" i="1"/>
  <c r="G44" i="20"/>
  <c r="G6" i="42" s="1"/>
  <c r="EH227" i="1"/>
  <c r="L101" i="36"/>
  <c r="EH70" i="1"/>
  <c r="M13" i="6"/>
  <c r="M34" i="6"/>
  <c r="M31" i="6"/>
  <c r="M89" i="6"/>
  <c r="M106" i="6"/>
  <c r="M109" i="6"/>
  <c r="M51" i="6"/>
  <c r="M72" i="6"/>
  <c r="M69" i="6"/>
  <c r="EB46" i="8"/>
  <c r="DO3" i="8"/>
  <c r="EH65" i="1"/>
  <c r="EB43" i="8"/>
  <c r="H40" i="20"/>
  <c r="H52" i="20" s="1"/>
  <c r="AR113" i="48"/>
  <c r="F96" i="51" s="1"/>
  <c r="AS113" i="48"/>
  <c r="M128" i="35"/>
  <c r="EC29" i="8"/>
  <c r="EB27" i="8"/>
  <c r="D40" i="20"/>
  <c r="D52" i="20" s="1"/>
  <c r="R32" i="22"/>
  <c r="L32" i="22" s="1"/>
  <c r="R47" i="22"/>
  <c r="L47" i="22" s="1"/>
  <c r="M161" i="35"/>
  <c r="M164" i="35"/>
  <c r="M151" i="35"/>
  <c r="M162" i="35"/>
  <c r="M168" i="35"/>
  <c r="M170" i="35"/>
  <c r="G97" i="51"/>
  <c r="I112" i="22"/>
  <c r="EI41" i="8"/>
  <c r="DN22" i="8"/>
  <c r="EH111" i="1"/>
  <c r="EO115" i="1"/>
  <c r="R64" i="22"/>
  <c r="L64" i="22" s="1"/>
  <c r="R96" i="22"/>
  <c r="L96" i="22" s="1"/>
  <c r="Q24" i="20"/>
  <c r="DT127" i="1"/>
  <c r="O10" i="52"/>
  <c r="L10" i="52" s="1"/>
  <c r="EH141" i="1"/>
  <c r="H56" i="36"/>
  <c r="G56" i="36" s="1"/>
  <c r="F24" i="51"/>
  <c r="G24" i="51" s="1"/>
  <c r="AR122" i="48"/>
  <c r="F105" i="51" s="1"/>
  <c r="K122" i="48"/>
  <c r="AS122" i="48"/>
  <c r="AL169" i="48"/>
  <c r="K169" i="48" s="1"/>
  <c r="S199" i="6"/>
  <c r="AM76" i="58"/>
  <c r="N6" i="57" s="1"/>
  <c r="AF73" i="58"/>
  <c r="G30" i="36"/>
  <c r="EB38" i="8"/>
  <c r="EL207" i="1"/>
  <c r="AA7" i="48"/>
  <c r="AA27" i="48"/>
  <c r="AA26" i="48"/>
  <c r="AS120" i="48"/>
  <c r="P22" i="51" s="1"/>
  <c r="F22" i="51"/>
  <c r="G100" i="51"/>
  <c r="DX3" i="1"/>
  <c r="G12" i="51"/>
  <c r="C22" i="44"/>
  <c r="EB26" i="8"/>
  <c r="Q113" i="22"/>
  <c r="K113" i="22" s="1"/>
  <c r="K104" i="48"/>
  <c r="M108" i="48" s="1"/>
  <c r="J37" i="42"/>
  <c r="K37" i="42" s="1"/>
  <c r="EO222" i="1"/>
  <c r="C71" i="42"/>
  <c r="R94" i="22"/>
  <c r="L94" i="22" s="1"/>
  <c r="R45" i="22"/>
  <c r="L45" i="22" s="1"/>
  <c r="G59" i="44"/>
  <c r="F72" i="44" s="1"/>
  <c r="L172" i="35"/>
  <c r="J40" i="58"/>
  <c r="E11" i="51"/>
  <c r="K73" i="48"/>
  <c r="E23" i="51"/>
  <c r="K153" i="48"/>
  <c r="E6" i="51"/>
  <c r="K172" i="35"/>
  <c r="M152" i="35"/>
  <c r="K154" i="48"/>
  <c r="AR120" i="48"/>
  <c r="F103" i="51" s="1"/>
  <c r="K120" i="48"/>
  <c r="AN44" i="58"/>
  <c r="V44" i="58" s="1"/>
  <c r="E22" i="51"/>
  <c r="K67" i="48"/>
  <c r="L22" i="48"/>
  <c r="L23" i="48"/>
  <c r="L25" i="48"/>
  <c r="H37" i="42"/>
  <c r="DC3" i="8"/>
  <c r="I77" i="22"/>
  <c r="R134" i="6"/>
  <c r="S134" i="6" s="1"/>
  <c r="S128" i="6" s="1"/>
  <c r="F8" i="52"/>
  <c r="G8" i="52" s="1"/>
  <c r="R10" i="22"/>
  <c r="L10" i="22" s="1"/>
  <c r="R29" i="22"/>
  <c r="L29" i="22" s="1"/>
  <c r="R62" i="22"/>
  <c r="L62" i="22" s="1"/>
  <c r="R78" i="22"/>
  <c r="L78" i="22" s="1"/>
  <c r="K81" i="6"/>
  <c r="K114" i="6" s="1"/>
  <c r="C21" i="44"/>
  <c r="R82" i="6"/>
  <c r="S82" i="6" s="1"/>
  <c r="S81" i="6" s="1"/>
  <c r="C24" i="44"/>
  <c r="P18" i="22"/>
  <c r="I44" i="20"/>
  <c r="I6" i="42" s="1"/>
  <c r="F10" i="52"/>
  <c r="G10" i="52" s="1"/>
  <c r="P20" i="20"/>
  <c r="C69" i="42" s="1"/>
  <c r="AL167" i="48"/>
  <c r="K167" i="48" s="1"/>
  <c r="I96" i="60"/>
  <c r="N96" i="60"/>
  <c r="L101" i="60"/>
  <c r="DT5" i="8"/>
  <c r="DT3" i="8" s="1"/>
  <c r="EH17" i="8"/>
  <c r="DN17" i="8"/>
  <c r="EB17" i="8" s="1"/>
  <c r="DT107" i="1"/>
  <c r="EH107" i="1" s="1"/>
  <c r="EN107" i="1"/>
  <c r="DZ5" i="1"/>
  <c r="EN5" i="1" s="1"/>
  <c r="Q63" i="22"/>
  <c r="K63" i="22" s="1"/>
  <c r="Q114" i="22"/>
  <c r="K114" i="22" s="1"/>
  <c r="Q78" i="22"/>
  <c r="K78" i="22" s="1"/>
  <c r="Q110" i="22"/>
  <c r="K110" i="22" s="1"/>
  <c r="R79" i="22"/>
  <c r="L79" i="22" s="1"/>
  <c r="R114" i="22"/>
  <c r="L114" i="22" s="1"/>
  <c r="R31" i="22"/>
  <c r="L31" i="22" s="1"/>
  <c r="R112" i="22"/>
  <c r="L112" i="22" s="1"/>
  <c r="P116" i="22"/>
  <c r="I109" i="22"/>
  <c r="F116" i="22"/>
  <c r="Q80" i="22"/>
  <c r="K80" i="22" s="1"/>
  <c r="Q112" i="22"/>
  <c r="K112" i="22" s="1"/>
  <c r="F61" i="44"/>
  <c r="E74" i="44" s="1"/>
  <c r="Q111" i="22"/>
  <c r="K111" i="22" s="1"/>
  <c r="A184" i="1"/>
  <c r="A203" i="1"/>
  <c r="R11" i="22"/>
  <c r="L11" i="22" s="1"/>
  <c r="R48" i="22"/>
  <c r="L48" i="22" s="1"/>
  <c r="R80" i="22"/>
  <c r="L80" i="22" s="1"/>
  <c r="D19" i="42"/>
  <c r="R65" i="22"/>
  <c r="L65" i="22" s="1"/>
  <c r="G67" i="22"/>
  <c r="O67" i="22"/>
  <c r="O99" i="22"/>
  <c r="Q8" i="22"/>
  <c r="K8" i="22" s="1"/>
  <c r="CZ5" i="8"/>
  <c r="R77" i="22"/>
  <c r="L77" i="22" s="1"/>
  <c r="F12" i="52"/>
  <c r="G12" i="52" s="1"/>
  <c r="D23" i="42"/>
  <c r="J51" i="20"/>
  <c r="J13" i="42" s="1"/>
  <c r="D25" i="42" s="1"/>
  <c r="F13" i="52"/>
  <c r="G13" i="52" s="1"/>
  <c r="EH129" i="1"/>
  <c r="J47" i="20"/>
  <c r="J9" i="42" s="1"/>
  <c r="D21" i="42" s="1"/>
  <c r="F9" i="52"/>
  <c r="G9" i="52" s="1"/>
  <c r="F7" i="52"/>
  <c r="G7" i="52" s="1"/>
  <c r="Q22" i="20"/>
  <c r="Q38" i="20"/>
  <c r="EB56" i="8"/>
  <c r="EB69" i="8"/>
  <c r="AG108" i="58"/>
  <c r="EB68" i="8"/>
  <c r="P36" i="20"/>
  <c r="Q36" i="20" s="1"/>
  <c r="M13" i="22"/>
  <c r="EO127" i="1"/>
  <c r="AG110" i="58"/>
  <c r="J110" i="58" s="1"/>
  <c r="Z61" i="24"/>
  <c r="N147" i="6"/>
  <c r="N149" i="6" s="1"/>
  <c r="L13" i="41"/>
  <c r="L15" i="41" s="1"/>
  <c r="G13" i="41"/>
  <c r="G14" i="41" s="1"/>
  <c r="DN41" i="8"/>
  <c r="P35" i="20"/>
  <c r="Q35" i="20" s="1"/>
  <c r="M105" i="6"/>
  <c r="P37" i="20"/>
  <c r="Q37" i="20" s="1"/>
  <c r="L37" i="36"/>
  <c r="P34" i="20"/>
  <c r="Q34" i="20" s="1"/>
  <c r="EO157" i="1"/>
  <c r="R30" i="22"/>
  <c r="L30" i="22" s="1"/>
  <c r="R46" i="22"/>
  <c r="L46" i="22" s="1"/>
  <c r="G58" i="44"/>
  <c r="F73" i="44" s="1"/>
  <c r="R95" i="22"/>
  <c r="L95" i="22" s="1"/>
  <c r="R9" i="22"/>
  <c r="L9" i="22" s="1"/>
  <c r="L113" i="6"/>
  <c r="O95" i="36"/>
  <c r="EI59" i="8"/>
  <c r="DN29" i="8"/>
  <c r="P39" i="20"/>
  <c r="P13" i="52" s="1"/>
  <c r="EO5" i="1"/>
  <c r="P28" i="20"/>
  <c r="Q28" i="20" s="1"/>
  <c r="K71" i="6"/>
  <c r="K52" i="6"/>
  <c r="K54" i="6"/>
  <c r="AL151" i="48"/>
  <c r="EO207" i="1"/>
  <c r="F147" i="6"/>
  <c r="F149" i="6" s="1"/>
  <c r="O101" i="36"/>
  <c r="K72" i="6"/>
  <c r="K53" i="6"/>
  <c r="K57" i="6"/>
  <c r="K69" i="6"/>
  <c r="I51" i="6"/>
  <c r="EH57" i="1"/>
  <c r="EI51" i="8"/>
  <c r="P33" i="20"/>
  <c r="P7" i="52" s="1"/>
  <c r="P18" i="52" s="1"/>
  <c r="R63" i="22"/>
  <c r="L63" i="22" s="1"/>
  <c r="AF151" i="48"/>
  <c r="I70" i="6"/>
  <c r="AA110" i="58"/>
  <c r="EI29" i="8"/>
  <c r="O138" i="6"/>
  <c r="O126" i="6" s="1"/>
  <c r="K51" i="6"/>
  <c r="K70" i="6"/>
  <c r="AL162" i="48"/>
  <c r="EO173" i="1"/>
  <c r="D13" i="41"/>
  <c r="D14" i="41" s="1"/>
  <c r="I52" i="6"/>
  <c r="I71" i="6"/>
  <c r="I74" i="6"/>
  <c r="I72" i="6"/>
  <c r="I69" i="6"/>
  <c r="F13" i="41"/>
  <c r="F15" i="41" s="1"/>
  <c r="EH161" i="1"/>
  <c r="DT157" i="1"/>
  <c r="J61" i="24"/>
  <c r="I138" i="6"/>
  <c r="I136" i="6" s="1"/>
  <c r="L31" i="6"/>
  <c r="L36" i="6"/>
  <c r="L33" i="6"/>
  <c r="L69" i="6"/>
  <c r="L74" i="6"/>
  <c r="L71" i="6"/>
  <c r="L32" i="6"/>
  <c r="L34" i="6"/>
  <c r="L70" i="6"/>
  <c r="L72" i="6"/>
  <c r="K13" i="41"/>
  <c r="K15" i="41" s="1"/>
  <c r="Q68" i="6"/>
  <c r="L30" i="6"/>
  <c r="L14" i="6"/>
  <c r="L51" i="6"/>
  <c r="L52" i="6"/>
  <c r="DU3" i="8"/>
  <c r="EB48" i="8"/>
  <c r="AG73" i="58"/>
  <c r="J40" i="20"/>
  <c r="J52" i="20" s="1"/>
  <c r="J44" i="20"/>
  <c r="J6" i="42" s="1"/>
  <c r="D18" i="42" s="1"/>
  <c r="EA3" i="1"/>
  <c r="AL102" i="48"/>
  <c r="O61" i="36"/>
  <c r="O90" i="36"/>
  <c r="G71" i="6"/>
  <c r="P9" i="24"/>
  <c r="P11" i="24" s="1"/>
  <c r="M138" i="6"/>
  <c r="M126" i="6" s="1"/>
  <c r="G68" i="6"/>
  <c r="G69" i="6"/>
  <c r="L138" i="6"/>
  <c r="L126" i="6" s="1"/>
  <c r="G43" i="42"/>
  <c r="H43" i="42" s="1"/>
  <c r="T60" i="24"/>
  <c r="G51" i="6"/>
  <c r="G55" i="6"/>
  <c r="G72" i="6"/>
  <c r="G138" i="6"/>
  <c r="G126" i="6" s="1"/>
  <c r="G52" i="6"/>
  <c r="G74" i="6"/>
  <c r="E54" i="41"/>
  <c r="F13" i="6"/>
  <c r="D10" i="24"/>
  <c r="F34" i="6"/>
  <c r="F33" i="6"/>
  <c r="F32" i="6"/>
  <c r="M68" i="6"/>
  <c r="F31" i="6"/>
  <c r="L127" i="6"/>
  <c r="P60" i="24" s="1"/>
  <c r="F14" i="6"/>
  <c r="F199" i="6"/>
  <c r="EC5" i="8"/>
  <c r="L13" i="6"/>
  <c r="K56" i="41"/>
  <c r="O89" i="6"/>
  <c r="J39" i="42"/>
  <c r="G39" i="42"/>
  <c r="I39" i="42" s="1"/>
  <c r="J40" i="42"/>
  <c r="R60" i="24"/>
  <c r="J41" i="42"/>
  <c r="J43" i="42"/>
  <c r="J38" i="42"/>
  <c r="G42" i="42"/>
  <c r="I42" i="42" s="1"/>
  <c r="J42" i="42"/>
  <c r="G40" i="42"/>
  <c r="H40" i="42" s="1"/>
  <c r="G44" i="42"/>
  <c r="I44" i="42" s="1"/>
  <c r="J44" i="42"/>
  <c r="R61" i="24"/>
  <c r="DR3" i="8"/>
  <c r="G38" i="42"/>
  <c r="I38" i="42" s="1"/>
  <c r="G41" i="42"/>
  <c r="I41" i="42" s="1"/>
  <c r="L56" i="41"/>
  <c r="O147" i="6"/>
  <c r="O148" i="6" s="1"/>
  <c r="N68" i="6"/>
  <c r="L197" i="6"/>
  <c r="L199" i="6" s="1"/>
  <c r="P89" i="6"/>
  <c r="J148" i="6"/>
  <c r="H13" i="41"/>
  <c r="H14" i="41" s="1"/>
  <c r="V9" i="24"/>
  <c r="V10" i="24" s="1"/>
  <c r="K147" i="6"/>
  <c r="K149" i="6" s="1"/>
  <c r="L10" i="24"/>
  <c r="L68" i="6"/>
  <c r="J34" i="6"/>
  <c r="J30" i="6"/>
  <c r="J72" i="6"/>
  <c r="J13" i="6"/>
  <c r="J69" i="6"/>
  <c r="J71" i="6"/>
  <c r="H197" i="6"/>
  <c r="H198" i="6" s="1"/>
  <c r="J52" i="6"/>
  <c r="J36" i="6"/>
  <c r="J51" i="6"/>
  <c r="J74" i="6"/>
  <c r="J31" i="6"/>
  <c r="J33" i="6"/>
  <c r="G197" i="6"/>
  <c r="G199" i="6" s="1"/>
  <c r="G147" i="6"/>
  <c r="G149" i="6" s="1"/>
  <c r="F9" i="24"/>
  <c r="F11" i="24" s="1"/>
  <c r="H16" i="6"/>
  <c r="H13" i="6"/>
  <c r="H19" i="6"/>
  <c r="H36" i="6"/>
  <c r="H31" i="6"/>
  <c r="H14" i="6"/>
  <c r="H30" i="6"/>
  <c r="H32" i="6"/>
  <c r="H34" i="6"/>
  <c r="O56" i="41"/>
  <c r="Q16" i="20"/>
  <c r="Z9" i="24"/>
  <c r="Z11" i="24" s="1"/>
  <c r="I14" i="41"/>
  <c r="M197" i="6"/>
  <c r="M198" i="6" s="1"/>
  <c r="M54" i="41"/>
  <c r="M56" i="41" s="1"/>
  <c r="P138" i="6"/>
  <c r="P126" i="6" s="1"/>
  <c r="Z60" i="24"/>
  <c r="EH163" i="1"/>
  <c r="Q138" i="6"/>
  <c r="Q139" i="6" s="1"/>
  <c r="P68" i="6"/>
  <c r="F138" i="6"/>
  <c r="F136" i="6" s="1"/>
  <c r="Q89" i="6"/>
  <c r="J197" i="6"/>
  <c r="J198" i="6" s="1"/>
  <c r="N13" i="41"/>
  <c r="N15" i="41" s="1"/>
  <c r="K197" i="6"/>
  <c r="K199" i="6" s="1"/>
  <c r="H77" i="36"/>
  <c r="G77" i="36" s="1"/>
  <c r="P13" i="6"/>
  <c r="G14" i="6"/>
  <c r="G30" i="6"/>
  <c r="G17" i="6"/>
  <c r="H57" i="6"/>
  <c r="H74" i="6"/>
  <c r="G32" i="6"/>
  <c r="H72" i="6"/>
  <c r="G31" i="6"/>
  <c r="G34" i="6"/>
  <c r="H70" i="6"/>
  <c r="H54" i="6"/>
  <c r="R39" i="6"/>
  <c r="R13" i="6" s="1"/>
  <c r="H71" i="6"/>
  <c r="G33" i="6"/>
  <c r="H51" i="6"/>
  <c r="G36" i="6"/>
  <c r="H69" i="6"/>
  <c r="H52" i="6"/>
  <c r="S59" i="6"/>
  <c r="S43" i="6"/>
  <c r="DT173" i="1"/>
  <c r="J10" i="24"/>
  <c r="I197" i="6"/>
  <c r="I198" i="6" s="1"/>
  <c r="K14" i="6"/>
  <c r="K32" i="6"/>
  <c r="K16" i="6"/>
  <c r="DV3" i="1"/>
  <c r="K34" i="6"/>
  <c r="K15" i="6"/>
  <c r="AB9" i="24"/>
  <c r="AB11" i="24" s="1"/>
  <c r="K30" i="6"/>
  <c r="K33" i="6"/>
  <c r="T61" i="24"/>
  <c r="N138" i="6"/>
  <c r="N139" i="6" s="1"/>
  <c r="P12" i="41"/>
  <c r="F44" i="41" s="1"/>
  <c r="AC108" i="58"/>
  <c r="K19" i="6"/>
  <c r="N45" i="42"/>
  <c r="O37" i="42" s="1"/>
  <c r="I36" i="6"/>
  <c r="I13" i="6"/>
  <c r="K31" i="6"/>
  <c r="I31" i="6"/>
  <c r="O30" i="6"/>
  <c r="I30" i="6"/>
  <c r="V61" i="24"/>
  <c r="I33" i="6"/>
  <c r="Q77" i="22"/>
  <c r="K77" i="22" s="1"/>
  <c r="R77" i="6"/>
  <c r="R51" i="6" s="1"/>
  <c r="F60" i="44"/>
  <c r="E71" i="44" s="1"/>
  <c r="I32" i="6"/>
  <c r="P197" i="6"/>
  <c r="P198" i="6" s="1"/>
  <c r="Q44" i="22"/>
  <c r="K44" i="22" s="1"/>
  <c r="Q61" i="22"/>
  <c r="K61" i="22" s="1"/>
  <c r="N105" i="6"/>
  <c r="O197" i="6"/>
  <c r="O198" i="6" s="1"/>
  <c r="T11" i="24"/>
  <c r="Q93" i="22"/>
  <c r="K93" i="22" s="1"/>
  <c r="Q28" i="22"/>
  <c r="K28" i="22" s="1"/>
  <c r="I34" i="6"/>
  <c r="EH34" i="1"/>
  <c r="R146" i="6"/>
  <c r="N197" i="6"/>
  <c r="N198" i="6" s="1"/>
  <c r="N13" i="6"/>
  <c r="X61" i="24"/>
  <c r="N4" i="52"/>
  <c r="T9" i="52" s="1"/>
  <c r="N19" i="52"/>
  <c r="D54" i="41"/>
  <c r="AV59" i="8"/>
  <c r="BJ59" i="8" s="1"/>
  <c r="EB39" i="8"/>
  <c r="J37" i="36"/>
  <c r="AS72" i="48"/>
  <c r="E17" i="51"/>
  <c r="H17" i="51" s="1"/>
  <c r="AS74" i="48"/>
  <c r="AR74" i="48"/>
  <c r="F50" i="22"/>
  <c r="F72" i="6"/>
  <c r="CZ59" i="8"/>
  <c r="F71" i="6"/>
  <c r="R145" i="6"/>
  <c r="F52" i="6"/>
  <c r="O68" i="6"/>
  <c r="F69" i="6"/>
  <c r="F70" i="6"/>
  <c r="F51" i="6"/>
  <c r="P34" i="22"/>
  <c r="DD72" i="8"/>
  <c r="R197" i="6"/>
  <c r="R199" i="6" s="1"/>
  <c r="Q13" i="6"/>
  <c r="K87" i="36"/>
  <c r="O14" i="41"/>
  <c r="Q96" i="22"/>
  <c r="K96" i="22" s="1"/>
  <c r="Q81" i="22"/>
  <c r="K81" i="22" s="1"/>
  <c r="Q149" i="6"/>
  <c r="P11" i="41"/>
  <c r="F43" i="41" s="1"/>
  <c r="AG151" i="48"/>
  <c r="Q197" i="6"/>
  <c r="Q199" i="6" s="1"/>
  <c r="Q32" i="22"/>
  <c r="K32" i="22" s="1"/>
  <c r="H44" i="20"/>
  <c r="H6" i="42" s="1"/>
  <c r="AB110" i="58"/>
  <c r="P32" i="20"/>
  <c r="Q32" i="20" s="1"/>
  <c r="ED5" i="8"/>
  <c r="Q64" i="22"/>
  <c r="K64" i="22" s="1"/>
  <c r="M30" i="6"/>
  <c r="AH152" i="48"/>
  <c r="AR105" i="48"/>
  <c r="F88" i="51" s="1"/>
  <c r="Q47" i="22"/>
  <c r="K47" i="22" s="1"/>
  <c r="J61" i="36"/>
  <c r="Q95" i="22"/>
  <c r="K95" i="22" s="1"/>
  <c r="Q79" i="22"/>
  <c r="K79" i="22" s="1"/>
  <c r="EB10" i="8"/>
  <c r="O9" i="44" s="1"/>
  <c r="AV41" i="8"/>
  <c r="BJ41" i="8" s="1"/>
  <c r="Q9" i="22"/>
  <c r="K9" i="22" s="1"/>
  <c r="AV22" i="8"/>
  <c r="BJ22" i="8" s="1"/>
  <c r="Q30" i="22"/>
  <c r="K30" i="22" s="1"/>
  <c r="EB9" i="8"/>
  <c r="O8" i="44" s="1"/>
  <c r="F58" i="44"/>
  <c r="E73" i="44" s="1"/>
  <c r="Q46" i="22"/>
  <c r="K46" i="22" s="1"/>
  <c r="AJ102" i="48"/>
  <c r="EB34" i="8"/>
  <c r="DW3" i="1"/>
  <c r="F99" i="22"/>
  <c r="EE5" i="8"/>
  <c r="EL5" i="1"/>
  <c r="DC72" i="8"/>
  <c r="Q31" i="22"/>
  <c r="K31" i="22" s="1"/>
  <c r="F34" i="22"/>
  <c r="Q65" i="22"/>
  <c r="K65" i="22" s="1"/>
  <c r="Q97" i="22"/>
  <c r="K97" i="22" s="1"/>
  <c r="M97" i="22" s="1"/>
  <c r="EB11" i="8"/>
  <c r="O10" i="44" s="1"/>
  <c r="K24" i="44" s="1"/>
  <c r="EB30" i="8"/>
  <c r="CZ29" i="8"/>
  <c r="Q11" i="22"/>
  <c r="K11" i="22" s="1"/>
  <c r="Q48" i="22"/>
  <c r="K48" i="22" s="1"/>
  <c r="EK5" i="1"/>
  <c r="CZ22" i="8"/>
  <c r="F83" i="22"/>
  <c r="AN77" i="58"/>
  <c r="V77" i="58" s="1"/>
  <c r="CZ41" i="8"/>
  <c r="DH3" i="8"/>
  <c r="DH72" i="8"/>
  <c r="EH190" i="1"/>
  <c r="AS104" i="48"/>
  <c r="P6" i="51" s="1"/>
  <c r="P148" i="6"/>
  <c r="K37" i="36"/>
  <c r="EB7" i="8"/>
  <c r="O6" i="44" s="1"/>
  <c r="Q62" i="22"/>
  <c r="K62" i="22" s="1"/>
  <c r="Q94" i="22"/>
  <c r="K94" i="22" s="1"/>
  <c r="Q45" i="22"/>
  <c r="K45" i="22" s="1"/>
  <c r="Q29" i="22"/>
  <c r="K29" i="22" s="1"/>
  <c r="F59" i="44"/>
  <c r="E72" i="44" s="1"/>
  <c r="EB36" i="8"/>
  <c r="Q10" i="22"/>
  <c r="K10" i="22" s="1"/>
  <c r="AK162" i="48"/>
  <c r="F67" i="22"/>
  <c r="AS60" i="48"/>
  <c r="AS67" i="48"/>
  <c r="O17" i="51" s="1"/>
  <c r="AS105" i="48"/>
  <c r="Y105" i="48" s="1"/>
  <c r="BB222" i="1"/>
  <c r="BP222" i="1" s="1"/>
  <c r="AH54" i="48"/>
  <c r="AJ152" i="48"/>
  <c r="AE108" i="58"/>
  <c r="AI54" i="48"/>
  <c r="AB38" i="58"/>
  <c r="EH37" i="1"/>
  <c r="AD38" i="58"/>
  <c r="E8" i="51"/>
  <c r="G8" i="51" s="1"/>
  <c r="K58" i="48"/>
  <c r="R8" i="22"/>
  <c r="G60" i="44"/>
  <c r="F71" i="44" s="1"/>
  <c r="R44" i="22"/>
  <c r="R61" i="22"/>
  <c r="L61" i="22" s="1"/>
  <c r="R93" i="22"/>
  <c r="L93" i="22" s="1"/>
  <c r="R28" i="22"/>
  <c r="EB6" i="8"/>
  <c r="O5" i="44" s="1"/>
  <c r="AS59" i="48"/>
  <c r="O9" i="51" s="1"/>
  <c r="E90" i="51" s="1"/>
  <c r="G80" i="36"/>
  <c r="AR104" i="48"/>
  <c r="F87" i="51" s="1"/>
  <c r="AH102" i="48"/>
  <c r="J138" i="6"/>
  <c r="J136" i="6" s="1"/>
  <c r="C76" i="44"/>
  <c r="K61" i="36"/>
  <c r="EH59" i="1"/>
  <c r="P67" i="22"/>
  <c r="AS71" i="48"/>
  <c r="AS61" i="48"/>
  <c r="O11" i="51" s="1"/>
  <c r="E92" i="51" s="1"/>
  <c r="K61" i="48"/>
  <c r="AK156" i="48"/>
  <c r="K156" i="48" s="1"/>
  <c r="H50" i="36"/>
  <c r="F57" i="53" s="1"/>
  <c r="H57" i="53" s="1"/>
  <c r="EN207" i="1"/>
  <c r="DL72" i="8"/>
  <c r="S97" i="6"/>
  <c r="DL3" i="8"/>
  <c r="R97" i="6"/>
  <c r="H70" i="36"/>
  <c r="P83" i="22"/>
  <c r="E9" i="51"/>
  <c r="G9" i="51" s="1"/>
  <c r="P13" i="51"/>
  <c r="K59" i="48"/>
  <c r="DF222" i="1"/>
  <c r="AM77" i="58"/>
  <c r="N9" i="57" s="1"/>
  <c r="AC110" i="58"/>
  <c r="AC73" i="58"/>
  <c r="AS58" i="48"/>
  <c r="DK72" i="8"/>
  <c r="AN45" i="58"/>
  <c r="B15" i="51"/>
  <c r="G15" i="51"/>
  <c r="AV51" i="8"/>
  <c r="BJ51" i="8" s="1"/>
  <c r="F9" i="22"/>
  <c r="F8" i="22"/>
  <c r="H40" i="36"/>
  <c r="G40" i="36" s="1"/>
  <c r="G88" i="36" s="1"/>
  <c r="BB157" i="1"/>
  <c r="BP157" i="1" s="1"/>
  <c r="R119" i="6"/>
  <c r="S119" i="6" s="1"/>
  <c r="AS64" i="48"/>
  <c r="Y64" i="48" s="1"/>
  <c r="K70" i="48"/>
  <c r="L70" i="48" s="1"/>
  <c r="E20" i="51"/>
  <c r="H20" i="51" s="1"/>
  <c r="AK165" i="48"/>
  <c r="K165" i="48" s="1"/>
  <c r="L165" i="48" s="1"/>
  <c r="AS70" i="48"/>
  <c r="BB207" i="1"/>
  <c r="BP207" i="1" s="1"/>
  <c r="AR62" i="48"/>
  <c r="AR157" i="48" s="1"/>
  <c r="AR60" i="48"/>
  <c r="AB109" i="58"/>
  <c r="AN40" i="58"/>
  <c r="V40" i="58" s="1"/>
  <c r="AS62" i="48"/>
  <c r="O12" i="51" s="1"/>
  <c r="H55" i="36"/>
  <c r="F53" i="53" s="1"/>
  <c r="DJ3" i="1"/>
  <c r="DJ72" i="8"/>
  <c r="DJ3" i="8"/>
  <c r="AJ154" i="48"/>
  <c r="N9" i="58"/>
  <c r="O9" i="58" s="1"/>
  <c r="DK3" i="8"/>
  <c r="DA72" i="8"/>
  <c r="O37" i="36"/>
  <c r="Q7" i="58"/>
  <c r="F10" i="22"/>
  <c r="F11" i="22"/>
  <c r="O4" i="51"/>
  <c r="E14" i="51"/>
  <c r="H14" i="51" s="1"/>
  <c r="AK159" i="48"/>
  <c r="K159" i="48" s="1"/>
  <c r="L159" i="48" s="1"/>
  <c r="K64" i="48"/>
  <c r="L64" i="48" s="1"/>
  <c r="CZ51" i="8"/>
  <c r="F14" i="22"/>
  <c r="F13" i="22"/>
  <c r="AR61" i="48"/>
  <c r="N10" i="58"/>
  <c r="Q10" i="58" s="1"/>
  <c r="J89" i="6"/>
  <c r="J105" i="6"/>
  <c r="J106" i="6"/>
  <c r="J90" i="6"/>
  <c r="J111" i="6"/>
  <c r="J109" i="6"/>
  <c r="J108" i="6"/>
  <c r="I149" i="6"/>
  <c r="AR72" i="48"/>
  <c r="CD3" i="1"/>
  <c r="H54" i="41"/>
  <c r="L60" i="24"/>
  <c r="DA3" i="8"/>
  <c r="G4" i="36"/>
  <c r="AJ160" i="48"/>
  <c r="AS65" i="48"/>
  <c r="AN54" i="48"/>
  <c r="AJ54" i="48"/>
  <c r="AR65" i="48"/>
  <c r="H49" i="36"/>
  <c r="N8" i="58"/>
  <c r="Q8" i="58" s="1"/>
  <c r="AF112" i="58"/>
  <c r="J44" i="58"/>
  <c r="J45" i="58"/>
  <c r="DN3" i="1"/>
  <c r="G75" i="36"/>
  <c r="G16" i="53"/>
  <c r="AR58" i="48"/>
  <c r="AR153" i="48" s="1"/>
  <c r="K56" i="48"/>
  <c r="M56" i="48" s="1"/>
  <c r="I13" i="22"/>
  <c r="G18" i="22"/>
  <c r="AK151" i="48"/>
  <c r="AS57" i="48"/>
  <c r="Y57" i="48" s="1"/>
  <c r="G29" i="36"/>
  <c r="DF157" i="1"/>
  <c r="AI151" i="48"/>
  <c r="BB173" i="1"/>
  <c r="BP173" i="1" s="1"/>
  <c r="AK54" i="48"/>
  <c r="DL3" i="1"/>
  <c r="R89" i="36"/>
  <c r="R85" i="36" s="1"/>
  <c r="H41" i="36"/>
  <c r="AD110" i="58"/>
  <c r="H57" i="36"/>
  <c r="G57" i="36" s="1"/>
  <c r="G105" i="36" s="1"/>
  <c r="DK3" i="1"/>
  <c r="AL54" i="48"/>
  <c r="AM40" i="58"/>
  <c r="M8" i="57" s="1"/>
  <c r="AP54" i="48"/>
  <c r="AJ38" i="58"/>
  <c r="H54" i="36"/>
  <c r="G54" i="36" s="1"/>
  <c r="G102" i="36" s="1"/>
  <c r="DF115" i="1"/>
  <c r="AR59" i="48"/>
  <c r="DH3" i="1"/>
  <c r="J42" i="58"/>
  <c r="H47" i="36"/>
  <c r="H43" i="36"/>
  <c r="F11" i="53" s="1"/>
  <c r="DD3" i="8"/>
  <c r="S37" i="36"/>
  <c r="H52" i="36"/>
  <c r="G52" i="36" s="1"/>
  <c r="AG54" i="48"/>
  <c r="H45" i="36"/>
  <c r="G45" i="36" s="1"/>
  <c r="EJ5" i="1"/>
  <c r="AM75" i="58"/>
  <c r="N8" i="57" s="1"/>
  <c r="N37" i="36"/>
  <c r="AK102" i="48"/>
  <c r="EF5" i="8"/>
  <c r="DM3" i="1"/>
  <c r="DO3" i="1"/>
  <c r="AN75" i="58"/>
  <c r="V75" i="58" s="1"/>
  <c r="M37" i="36"/>
  <c r="H53" i="36"/>
  <c r="G53" i="36" s="1"/>
  <c r="H39" i="36"/>
  <c r="F7" i="53" s="1"/>
  <c r="DR3" i="1"/>
  <c r="Q37" i="36"/>
  <c r="AR68" i="48"/>
  <c r="AR163" i="48" s="1"/>
  <c r="AF108" i="58"/>
  <c r="BB115" i="1"/>
  <c r="BP115" i="1" s="1"/>
  <c r="DF207" i="1"/>
  <c r="AE38" i="58"/>
  <c r="DI3" i="1"/>
  <c r="R11" i="24"/>
  <c r="L13" i="48"/>
  <c r="I9" i="22"/>
  <c r="H18" i="22"/>
  <c r="B43" i="58"/>
  <c r="E43" i="58" s="1"/>
  <c r="AM43" i="58"/>
  <c r="M7" i="57" s="1"/>
  <c r="B42" i="58"/>
  <c r="E42" i="58" s="1"/>
  <c r="B41" i="58"/>
  <c r="B9" i="58"/>
  <c r="B10" i="58"/>
  <c r="B7" i="58"/>
  <c r="B8" i="58"/>
  <c r="ET5" i="1"/>
  <c r="Q85" i="36"/>
  <c r="S90" i="36"/>
  <c r="H42" i="36"/>
  <c r="AN42" i="58"/>
  <c r="V42" i="58" s="1"/>
  <c r="AR67" i="48"/>
  <c r="H46" i="36"/>
  <c r="F14" i="53" s="1"/>
  <c r="P37" i="36"/>
  <c r="AG8" i="28"/>
  <c r="AH8" i="28" s="1"/>
  <c r="AI8" i="28" s="1"/>
  <c r="AA12" i="28"/>
  <c r="AA13" i="28" s="1"/>
  <c r="AG11" i="28" s="1"/>
  <c r="AH11" i="28" s="1"/>
  <c r="M143" i="35"/>
  <c r="AQ54" i="48"/>
  <c r="AC38" i="58"/>
  <c r="T37" i="36"/>
  <c r="R124" i="6"/>
  <c r="S124" i="6" s="1"/>
  <c r="K118" i="6"/>
  <c r="J75" i="58"/>
  <c r="K78" i="58" s="1"/>
  <c r="H138" i="6"/>
  <c r="H136" i="6" s="1"/>
  <c r="K115" i="48"/>
  <c r="AS115" i="48"/>
  <c r="AR115" i="48"/>
  <c r="F98" i="51" s="1"/>
  <c r="AH151" i="48"/>
  <c r="S39" i="6"/>
  <c r="S36" i="6" s="1"/>
  <c r="EK173" i="1"/>
  <c r="S96" i="36"/>
  <c r="H48" i="36"/>
  <c r="EB65" i="8"/>
  <c r="DN59" i="8"/>
  <c r="EH215" i="1"/>
  <c r="DT207" i="1"/>
  <c r="G73" i="36"/>
  <c r="G15" i="53"/>
  <c r="T85" i="36"/>
  <c r="AS73" i="48"/>
  <c r="C72" i="42"/>
  <c r="O9" i="52"/>
  <c r="L9" i="52" s="1"/>
  <c r="Q23" i="20"/>
  <c r="AP165" i="48"/>
  <c r="AR70" i="48"/>
  <c r="AP166" i="48"/>
  <c r="AR71" i="48"/>
  <c r="S92" i="36"/>
  <c r="H44" i="36"/>
  <c r="AM45" i="58"/>
  <c r="B9" i="52"/>
  <c r="AR57" i="48"/>
  <c r="AF38" i="58"/>
  <c r="H51" i="36"/>
  <c r="F16" i="53" s="1"/>
  <c r="D61" i="24"/>
  <c r="D55" i="41"/>
  <c r="L18" i="48"/>
  <c r="AN43" i="58"/>
  <c r="V43" i="58" s="1"/>
  <c r="J43" i="58"/>
  <c r="AF111" i="58"/>
  <c r="J111" i="58" s="1"/>
  <c r="AP159" i="48"/>
  <c r="AR64" i="48"/>
  <c r="F109" i="6"/>
  <c r="F108" i="6"/>
  <c r="F89" i="6"/>
  <c r="F106" i="6"/>
  <c r="F107" i="6"/>
  <c r="F90" i="6"/>
  <c r="N10" i="24"/>
  <c r="AG38" i="58"/>
  <c r="AK163" i="48"/>
  <c r="K163" i="48" s="1"/>
  <c r="L163" i="48" s="1"/>
  <c r="K68" i="48"/>
  <c r="L68" i="48" s="1"/>
  <c r="E18" i="51"/>
  <c r="H18" i="51" s="1"/>
  <c r="AS68" i="48"/>
  <c r="EP5" i="1"/>
  <c r="I79" i="22"/>
  <c r="AK158" i="48"/>
  <c r="K158" i="48" s="1"/>
  <c r="E13" i="51"/>
  <c r="K63" i="48"/>
  <c r="AQ151" i="48"/>
  <c r="J41" i="58"/>
  <c r="AF109" i="58"/>
  <c r="J109" i="58" s="1"/>
  <c r="H10" i="24"/>
  <c r="AO54" i="48"/>
  <c r="DF3" i="8"/>
  <c r="L8" i="48"/>
  <c r="L12" i="48"/>
  <c r="L10" i="48"/>
  <c r="AR73" i="48"/>
  <c r="AR168" i="48" s="1"/>
  <c r="M149" i="6"/>
  <c r="J15" i="41"/>
  <c r="AJ110" i="58"/>
  <c r="AO151" i="48"/>
  <c r="L11" i="48"/>
  <c r="AA21" i="48"/>
  <c r="AA24" i="48"/>
  <c r="AA19" i="48"/>
  <c r="Y5" i="48"/>
  <c r="AA14" i="48"/>
  <c r="AA8" i="48"/>
  <c r="AA12" i="48"/>
  <c r="AA23" i="48"/>
  <c r="AA11" i="48"/>
  <c r="AA17" i="48"/>
  <c r="AA20" i="48"/>
  <c r="AA16" i="48"/>
  <c r="AA13" i="48"/>
  <c r="AA15" i="48"/>
  <c r="AA10" i="48"/>
  <c r="AA18" i="48"/>
  <c r="AA9" i="48"/>
  <c r="AA22" i="48"/>
  <c r="AA25" i="48"/>
  <c r="AS56" i="48"/>
  <c r="O6" i="51" s="1"/>
  <c r="L7" i="48"/>
  <c r="E7" i="51"/>
  <c r="G7" i="51" s="1"/>
  <c r="K57" i="48"/>
  <c r="AK152" i="48"/>
  <c r="K152" i="48" s="1"/>
  <c r="L148" i="6"/>
  <c r="E14" i="41"/>
  <c r="AL38" i="58"/>
  <c r="H55" i="41"/>
  <c r="L61" i="24"/>
  <c r="L14" i="48"/>
  <c r="M15" i="41"/>
  <c r="DP3" i="1"/>
  <c r="C104" i="51"/>
  <c r="C92" i="51"/>
  <c r="C98" i="51"/>
  <c r="C103" i="51"/>
  <c r="C97" i="51"/>
  <c r="C89" i="51"/>
  <c r="C105" i="51"/>
  <c r="C88" i="51"/>
  <c r="C102" i="51"/>
  <c r="C99" i="51"/>
  <c r="C100" i="51"/>
  <c r="C90" i="51"/>
  <c r="C93" i="51"/>
  <c r="C91" i="51"/>
  <c r="C95" i="51"/>
  <c r="I100" i="36"/>
  <c r="I37" i="36"/>
  <c r="F54" i="41"/>
  <c r="H60" i="24"/>
  <c r="N54" i="41"/>
  <c r="N56" i="41" s="1"/>
  <c r="X60" i="24"/>
  <c r="C87" i="51"/>
  <c r="EK5" i="8"/>
  <c r="DI3" i="8"/>
  <c r="DI72" i="8"/>
  <c r="DB3" i="8"/>
  <c r="DB72" i="8"/>
  <c r="AM42" i="58"/>
  <c r="M9" i="57" s="1"/>
  <c r="P85" i="36"/>
  <c r="DF173" i="1"/>
  <c r="AM54" i="48"/>
  <c r="AR56" i="48"/>
  <c r="EI5" i="8"/>
  <c r="DG72" i="8"/>
  <c r="DG3" i="8"/>
  <c r="AM44" i="58"/>
  <c r="AM112" i="58" s="1"/>
  <c r="C94" i="51"/>
  <c r="R37" i="36"/>
  <c r="I94" i="22"/>
  <c r="I55" i="41"/>
  <c r="N61" i="24"/>
  <c r="P61" i="24"/>
  <c r="J55" i="41"/>
  <c r="G54" i="41"/>
  <c r="G56" i="41" s="1"/>
  <c r="J60" i="24"/>
  <c r="C96" i="51"/>
  <c r="AH38" i="58"/>
  <c r="E55" i="41"/>
  <c r="F61" i="24"/>
  <c r="I32" i="22"/>
  <c r="DQ3" i="1"/>
  <c r="AK109" i="58"/>
  <c r="AK38" i="58"/>
  <c r="DF127" i="1"/>
  <c r="I63" i="22"/>
  <c r="H148" i="6"/>
  <c r="X11" i="24"/>
  <c r="AI38" i="58"/>
  <c r="C101" i="51"/>
  <c r="DG3" i="1"/>
  <c r="EI5" i="1"/>
  <c r="DE3" i="8"/>
  <c r="DE72" i="8"/>
  <c r="EG5" i="8"/>
  <c r="EH101" i="1"/>
  <c r="DF5" i="1"/>
  <c r="AF158" i="48"/>
  <c r="AS63" i="48"/>
  <c r="AR63" i="48"/>
  <c r="AR158" i="48" s="1"/>
  <c r="AF54" i="48"/>
  <c r="AA38" i="58"/>
  <c r="AA109" i="58"/>
  <c r="AM41" i="58"/>
  <c r="AN41" i="58"/>
  <c r="F55" i="41"/>
  <c r="H61" i="24"/>
  <c r="M127" i="22" l="1"/>
  <c r="M141" i="22"/>
  <c r="A59" i="1"/>
  <c r="A60" i="1" s="1"/>
  <c r="A61" i="1" s="1"/>
  <c r="A62" i="1" s="1"/>
  <c r="A63" i="1" s="1"/>
  <c r="A64" i="1" s="1"/>
  <c r="A65" i="1" s="1"/>
  <c r="A66" i="1" s="1"/>
  <c r="A67" i="1" s="1"/>
  <c r="A68" i="1" s="1"/>
  <c r="A70" i="1" s="1"/>
  <c r="A71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6" i="1" s="1"/>
  <c r="A58" i="1"/>
  <c r="M142" i="22"/>
  <c r="F130" i="22"/>
  <c r="M139" i="22"/>
  <c r="D27" i="44"/>
  <c r="D28" i="44"/>
  <c r="R143" i="22"/>
  <c r="M140" i="22"/>
  <c r="O131" i="22"/>
  <c r="O144" i="22"/>
  <c r="G143" i="22"/>
  <c r="I138" i="22"/>
  <c r="K143" i="22"/>
  <c r="L143" i="22"/>
  <c r="M138" i="22"/>
  <c r="F143" i="22"/>
  <c r="Q143" i="22"/>
  <c r="AS153" i="48"/>
  <c r="Y153" i="48" s="1"/>
  <c r="Y106" i="48"/>
  <c r="M21" i="44"/>
  <c r="V43" i="44"/>
  <c r="M22" i="44"/>
  <c r="V42" i="44"/>
  <c r="M23" i="44"/>
  <c r="V41" i="44"/>
  <c r="H67" i="22"/>
  <c r="H83" i="22"/>
  <c r="G6" i="51"/>
  <c r="I7" i="51" s="1"/>
  <c r="H10" i="51"/>
  <c r="H50" i="22"/>
  <c r="H34" i="22"/>
  <c r="H99" i="22"/>
  <c r="H116" i="22"/>
  <c r="G130" i="22"/>
  <c r="L126" i="22"/>
  <c r="M126" i="22" s="1"/>
  <c r="M110" i="22"/>
  <c r="L129" i="22"/>
  <c r="M129" i="22" s="1"/>
  <c r="L128" i="22"/>
  <c r="M128" i="22" s="1"/>
  <c r="M113" i="22"/>
  <c r="M111" i="22"/>
  <c r="K125" i="22"/>
  <c r="K130" i="22" s="1"/>
  <c r="Q130" i="22"/>
  <c r="R130" i="22"/>
  <c r="Y119" i="48"/>
  <c r="AS166" i="48"/>
  <c r="Y166" i="48" s="1"/>
  <c r="G7" i="53"/>
  <c r="H7" i="53" s="1"/>
  <c r="P20" i="51"/>
  <c r="J85" i="36"/>
  <c r="AR166" i="48"/>
  <c r="AR165" i="48"/>
  <c r="H89" i="6"/>
  <c r="G68" i="36"/>
  <c r="G67" i="36"/>
  <c r="H11" i="53"/>
  <c r="EH115" i="1"/>
  <c r="L85" i="36"/>
  <c r="AR155" i="48"/>
  <c r="G69" i="36"/>
  <c r="G93" i="36" s="1"/>
  <c r="I85" i="36"/>
  <c r="H95" i="6"/>
  <c r="H105" i="6"/>
  <c r="H108" i="6"/>
  <c r="H109" i="6"/>
  <c r="H92" i="6"/>
  <c r="H111" i="6"/>
  <c r="H107" i="6"/>
  <c r="H90" i="6"/>
  <c r="AR159" i="48"/>
  <c r="K85" i="36"/>
  <c r="G53" i="53"/>
  <c r="H53" i="53" s="1"/>
  <c r="Q13" i="52"/>
  <c r="Y112" i="48"/>
  <c r="EH222" i="1"/>
  <c r="P10" i="51"/>
  <c r="AS155" i="48"/>
  <c r="Y155" i="48" s="1"/>
  <c r="Q11" i="52"/>
  <c r="G109" i="6"/>
  <c r="P50" i="20"/>
  <c r="P12" i="42" s="1"/>
  <c r="E24" i="42" s="1"/>
  <c r="AS168" i="48"/>
  <c r="Y168" i="48" s="1"/>
  <c r="EB22" i="8"/>
  <c r="M144" i="35"/>
  <c r="G106" i="6"/>
  <c r="G89" i="6"/>
  <c r="I111" i="6"/>
  <c r="F54" i="53"/>
  <c r="H54" i="53" s="1"/>
  <c r="G105" i="6"/>
  <c r="G108" i="6"/>
  <c r="G111" i="6"/>
  <c r="G107" i="6"/>
  <c r="G93" i="6"/>
  <c r="Y121" i="48"/>
  <c r="M81" i="22"/>
  <c r="G100" i="36"/>
  <c r="P11" i="51"/>
  <c r="Q11" i="51" s="1"/>
  <c r="S11" i="51" s="1"/>
  <c r="EB51" i="8"/>
  <c r="G52" i="53"/>
  <c r="G66" i="36"/>
  <c r="P49" i="20"/>
  <c r="P11" i="42" s="1"/>
  <c r="E23" i="42" s="1"/>
  <c r="G90" i="51"/>
  <c r="I108" i="6"/>
  <c r="I90" i="6"/>
  <c r="AR154" i="48"/>
  <c r="I107" i="6"/>
  <c r="P9" i="51"/>
  <c r="Q9" i="51" s="1"/>
  <c r="S9" i="51" s="1"/>
  <c r="I89" i="6"/>
  <c r="I109" i="6"/>
  <c r="G71" i="36"/>
  <c r="AR156" i="48"/>
  <c r="G92" i="51"/>
  <c r="I106" i="6"/>
  <c r="AR160" i="48"/>
  <c r="Y113" i="48"/>
  <c r="P15" i="51"/>
  <c r="M96" i="22"/>
  <c r="M64" i="22"/>
  <c r="C107" i="51"/>
  <c r="P48" i="20"/>
  <c r="P10" i="42" s="1"/>
  <c r="E20" i="42" s="1"/>
  <c r="AR169" i="48"/>
  <c r="AS169" i="48"/>
  <c r="Y169" i="48" s="1"/>
  <c r="EH127" i="1"/>
  <c r="P24" i="51"/>
  <c r="Y122" i="48"/>
  <c r="M111" i="48"/>
  <c r="M113" i="48"/>
  <c r="M106" i="48"/>
  <c r="M109" i="48"/>
  <c r="M110" i="48"/>
  <c r="M114" i="48"/>
  <c r="M104" i="48"/>
  <c r="M112" i="48"/>
  <c r="M105" i="48"/>
  <c r="M107" i="48"/>
  <c r="K113" i="6"/>
  <c r="K91" i="6" s="1"/>
  <c r="Z27" i="48"/>
  <c r="Z26" i="48"/>
  <c r="C26" i="48"/>
  <c r="C27" i="48"/>
  <c r="AS167" i="48"/>
  <c r="Y167" i="48" s="1"/>
  <c r="Y120" i="48"/>
  <c r="G13" i="51"/>
  <c r="B11" i="51"/>
  <c r="H11" i="51"/>
  <c r="C61" i="44"/>
  <c r="M172" i="35"/>
  <c r="G11" i="51"/>
  <c r="M45" i="22"/>
  <c r="M62" i="22"/>
  <c r="M94" i="22"/>
  <c r="C78" i="42"/>
  <c r="O6" i="52"/>
  <c r="O17" i="52" s="1"/>
  <c r="O19" i="52" s="1"/>
  <c r="EH5" i="8"/>
  <c r="R128" i="6"/>
  <c r="R137" i="6" s="1"/>
  <c r="P55" i="41" s="1"/>
  <c r="D107" i="41" s="1"/>
  <c r="M123" i="48"/>
  <c r="G23" i="51"/>
  <c r="J108" i="58"/>
  <c r="G22" i="51"/>
  <c r="K151" i="48"/>
  <c r="M151" i="48" s="1"/>
  <c r="AR167" i="48"/>
  <c r="K162" i="48"/>
  <c r="AN112" i="58"/>
  <c r="V112" i="58" s="1"/>
  <c r="V45" i="58"/>
  <c r="M11" i="22"/>
  <c r="D21" i="44"/>
  <c r="D22" i="44"/>
  <c r="D24" i="44"/>
  <c r="M80" i="22"/>
  <c r="D26" i="44"/>
  <c r="H61" i="44"/>
  <c r="G74" i="44" s="1"/>
  <c r="M48" i="22"/>
  <c r="M78" i="22"/>
  <c r="M29" i="22"/>
  <c r="R81" i="6"/>
  <c r="R113" i="6" s="1"/>
  <c r="R108" i="6" s="1"/>
  <c r="DZ3" i="1"/>
  <c r="H6" i="52"/>
  <c r="M63" i="22"/>
  <c r="M79" i="22"/>
  <c r="M65" i="22"/>
  <c r="R83" i="22"/>
  <c r="Q20" i="20"/>
  <c r="P44" i="20" s="1"/>
  <c r="P6" i="42" s="1"/>
  <c r="E18" i="42" s="1"/>
  <c r="M31" i="22"/>
  <c r="M114" i="22"/>
  <c r="DN5" i="8"/>
  <c r="DN3" i="8" s="1"/>
  <c r="DT5" i="1"/>
  <c r="DT3" i="1" s="1"/>
  <c r="L102" i="60"/>
  <c r="N101" i="60"/>
  <c r="M112" i="22"/>
  <c r="O100" i="22"/>
  <c r="O117" i="22"/>
  <c r="R116" i="22"/>
  <c r="L116" i="22"/>
  <c r="M109" i="22"/>
  <c r="K116" i="22"/>
  <c r="Q116" i="22"/>
  <c r="A185" i="1"/>
  <c r="A204" i="1"/>
  <c r="I61" i="22"/>
  <c r="G99" i="22"/>
  <c r="I93" i="22"/>
  <c r="P46" i="20"/>
  <c r="P8" i="42" s="1"/>
  <c r="E22" i="42" s="1"/>
  <c r="N148" i="6"/>
  <c r="P10" i="52"/>
  <c r="Q10" i="52" s="1"/>
  <c r="EB29" i="8"/>
  <c r="EB41" i="8"/>
  <c r="P8" i="52"/>
  <c r="Q8" i="52" s="1"/>
  <c r="Q7" i="52"/>
  <c r="Q18" i="52" s="1"/>
  <c r="P47" i="20"/>
  <c r="P9" i="42" s="1"/>
  <c r="E21" i="42" s="1"/>
  <c r="O85" i="36"/>
  <c r="Q39" i="20"/>
  <c r="P51" i="20" s="1"/>
  <c r="P13" i="42" s="1"/>
  <c r="E25" i="42" s="1"/>
  <c r="R18" i="22"/>
  <c r="Q33" i="20"/>
  <c r="P45" i="20" s="1"/>
  <c r="P7" i="42" s="1"/>
  <c r="E19" i="42" s="1"/>
  <c r="P9" i="52"/>
  <c r="Q9" i="52" s="1"/>
  <c r="M30" i="22"/>
  <c r="P12" i="52"/>
  <c r="Q12" i="52" s="1"/>
  <c r="R34" i="22"/>
  <c r="M46" i="22"/>
  <c r="R50" i="22"/>
  <c r="G15" i="41"/>
  <c r="L109" i="6"/>
  <c r="L95" i="6"/>
  <c r="L14" i="41"/>
  <c r="L107" i="6"/>
  <c r="P40" i="20"/>
  <c r="Q40" i="20" s="1"/>
  <c r="P52" i="20" s="1"/>
  <c r="M95" i="22"/>
  <c r="M9" i="22"/>
  <c r="L111" i="6"/>
  <c r="L89" i="6"/>
  <c r="L108" i="6"/>
  <c r="L90" i="6"/>
  <c r="L105" i="6"/>
  <c r="L106" i="6"/>
  <c r="F148" i="6"/>
  <c r="EH157" i="1"/>
  <c r="O136" i="6"/>
  <c r="O139" i="6"/>
  <c r="D15" i="41"/>
  <c r="I139" i="6"/>
  <c r="I126" i="6"/>
  <c r="F14" i="41"/>
  <c r="K14" i="41"/>
  <c r="P10" i="24"/>
  <c r="G136" i="6"/>
  <c r="G139" i="6"/>
  <c r="M139" i="6"/>
  <c r="E56" i="41"/>
  <c r="L136" i="6"/>
  <c r="M136" i="6"/>
  <c r="L139" i="6"/>
  <c r="I43" i="42"/>
  <c r="K43" i="42" s="1"/>
  <c r="K42" i="42"/>
  <c r="H42" i="42"/>
  <c r="K39" i="42"/>
  <c r="O149" i="6"/>
  <c r="I40" i="42"/>
  <c r="K40" i="42" s="1"/>
  <c r="J54" i="41"/>
  <c r="J56" i="41" s="1"/>
  <c r="H44" i="42"/>
  <c r="J45" i="42"/>
  <c r="L37" i="42" s="1"/>
  <c r="H39" i="42"/>
  <c r="K44" i="42"/>
  <c r="H15" i="41"/>
  <c r="K41" i="42"/>
  <c r="K38" i="42"/>
  <c r="L198" i="6"/>
  <c r="H38" i="42"/>
  <c r="H41" i="42"/>
  <c r="K148" i="6"/>
  <c r="F10" i="24"/>
  <c r="G58" i="53"/>
  <c r="V11" i="24"/>
  <c r="P136" i="6"/>
  <c r="P139" i="6"/>
  <c r="M199" i="6"/>
  <c r="G148" i="6"/>
  <c r="G198" i="6"/>
  <c r="H199" i="6"/>
  <c r="Z10" i="24"/>
  <c r="N126" i="6"/>
  <c r="F126" i="6"/>
  <c r="Q126" i="6"/>
  <c r="EH173" i="1"/>
  <c r="Q136" i="6"/>
  <c r="H61" i="36"/>
  <c r="N14" i="41"/>
  <c r="K198" i="6"/>
  <c r="J199" i="6"/>
  <c r="F139" i="6"/>
  <c r="N136" i="6"/>
  <c r="S77" i="6"/>
  <c r="S68" i="6" s="1"/>
  <c r="R19" i="6"/>
  <c r="O41" i="42"/>
  <c r="I199" i="6"/>
  <c r="P199" i="6"/>
  <c r="R18" i="6"/>
  <c r="R15" i="6"/>
  <c r="R30" i="6"/>
  <c r="R36" i="6"/>
  <c r="R31" i="6"/>
  <c r="R16" i="6"/>
  <c r="R17" i="6"/>
  <c r="AB10" i="24"/>
  <c r="R32" i="6"/>
  <c r="R34" i="6"/>
  <c r="R20" i="6"/>
  <c r="R33" i="6"/>
  <c r="R14" i="6"/>
  <c r="R71" i="6"/>
  <c r="F45" i="41"/>
  <c r="R68" i="6"/>
  <c r="R147" i="6"/>
  <c r="R149" i="6" s="1"/>
  <c r="O39" i="42"/>
  <c r="O42" i="42"/>
  <c r="O44" i="42"/>
  <c r="O40" i="42"/>
  <c r="O38" i="42"/>
  <c r="O43" i="42"/>
  <c r="R57" i="6"/>
  <c r="R72" i="6"/>
  <c r="T6" i="52"/>
  <c r="M17" i="52" s="1"/>
  <c r="R52" i="6"/>
  <c r="C60" i="44"/>
  <c r="R74" i="6"/>
  <c r="R53" i="6"/>
  <c r="R55" i="6"/>
  <c r="R69" i="6"/>
  <c r="R54" i="6"/>
  <c r="T10" i="52"/>
  <c r="T7" i="52"/>
  <c r="M18" i="52" s="1"/>
  <c r="N199" i="6"/>
  <c r="T8" i="52"/>
  <c r="P13" i="41"/>
  <c r="P15" i="41" s="1"/>
  <c r="D44" i="41" s="1"/>
  <c r="R70" i="6"/>
  <c r="EB59" i="8"/>
  <c r="D56" i="41"/>
  <c r="O199" i="6"/>
  <c r="G17" i="51"/>
  <c r="Y72" i="48"/>
  <c r="Y74" i="48"/>
  <c r="O22" i="51"/>
  <c r="AR152" i="48"/>
  <c r="O24" i="51"/>
  <c r="E105" i="51" s="1"/>
  <c r="G105" i="51" s="1"/>
  <c r="I44" i="22"/>
  <c r="Q198" i="6"/>
  <c r="K83" i="22"/>
  <c r="R198" i="6"/>
  <c r="Q83" i="22"/>
  <c r="P6" i="52"/>
  <c r="P17" i="52" s="1"/>
  <c r="P19" i="52" s="1"/>
  <c r="H58" i="44"/>
  <c r="G73" i="44" s="1"/>
  <c r="K21" i="44"/>
  <c r="C58" i="44"/>
  <c r="M24" i="44"/>
  <c r="Y104" i="48"/>
  <c r="K18" i="22"/>
  <c r="Q99" i="22"/>
  <c r="K34" i="22"/>
  <c r="H59" i="44"/>
  <c r="G72" i="44" s="1"/>
  <c r="P7" i="51"/>
  <c r="K67" i="22"/>
  <c r="K99" i="22"/>
  <c r="Q34" i="22"/>
  <c r="Q67" i="22"/>
  <c r="Q50" i="22"/>
  <c r="M10" i="22"/>
  <c r="C59" i="44"/>
  <c r="K22" i="44"/>
  <c r="Y67" i="48"/>
  <c r="Q18" i="22"/>
  <c r="Y60" i="48"/>
  <c r="O10" i="51"/>
  <c r="E91" i="51" s="1"/>
  <c r="G91" i="51" s="1"/>
  <c r="L28" i="22"/>
  <c r="L34" i="22" s="1"/>
  <c r="AS162" i="48"/>
  <c r="Y162" i="48" s="1"/>
  <c r="L44" i="22"/>
  <c r="M44" i="22" s="1"/>
  <c r="L8" i="22"/>
  <c r="L18" i="22" s="1"/>
  <c r="H60" i="44"/>
  <c r="R67" i="22"/>
  <c r="K23" i="44"/>
  <c r="AS154" i="48"/>
  <c r="Y154" i="48" s="1"/>
  <c r="R99" i="22"/>
  <c r="G104" i="36"/>
  <c r="Y59" i="48"/>
  <c r="J139" i="6"/>
  <c r="J126" i="6"/>
  <c r="AR151" i="48"/>
  <c r="Y71" i="48"/>
  <c r="Y61" i="48"/>
  <c r="H56" i="41"/>
  <c r="S137" i="6"/>
  <c r="AB61" i="24" s="1"/>
  <c r="F78" i="24" s="1"/>
  <c r="O21" i="51"/>
  <c r="AS156" i="48"/>
  <c r="Y156" i="48" s="1"/>
  <c r="S113" i="6"/>
  <c r="S106" i="6" s="1"/>
  <c r="G50" i="36"/>
  <c r="G98" i="36" s="1"/>
  <c r="O8" i="51"/>
  <c r="E89" i="51" s="1"/>
  <c r="G89" i="51" s="1"/>
  <c r="G70" i="36"/>
  <c r="G14" i="53"/>
  <c r="H14" i="53" s="1"/>
  <c r="Y58" i="48"/>
  <c r="F8" i="53"/>
  <c r="H8" i="53" s="1"/>
  <c r="R116" i="6"/>
  <c r="AS159" i="48"/>
  <c r="Y159" i="48" s="1"/>
  <c r="Y62" i="48"/>
  <c r="O14" i="51"/>
  <c r="E95" i="51" s="1"/>
  <c r="F18" i="22"/>
  <c r="G55" i="36"/>
  <c r="G103" i="36" s="1"/>
  <c r="AS157" i="48"/>
  <c r="Y157" i="48" s="1"/>
  <c r="F52" i="53"/>
  <c r="O35" i="22"/>
  <c r="O68" i="22"/>
  <c r="O20" i="51"/>
  <c r="Y70" i="48"/>
  <c r="AS165" i="48"/>
  <c r="Y165" i="48" s="1"/>
  <c r="B20" i="51"/>
  <c r="G20" i="51"/>
  <c r="CZ3" i="8"/>
  <c r="Q9" i="58"/>
  <c r="Q5" i="58" s="1"/>
  <c r="R8" i="58" s="1"/>
  <c r="O51" i="22"/>
  <c r="O84" i="22"/>
  <c r="O19" i="22"/>
  <c r="AS152" i="48"/>
  <c r="Y152" i="48" s="1"/>
  <c r="O10" i="58"/>
  <c r="B14" i="51"/>
  <c r="G14" i="51"/>
  <c r="AM108" i="58"/>
  <c r="AM73" i="58"/>
  <c r="G39" i="36"/>
  <c r="G87" i="36" s="1"/>
  <c r="E113" i="58"/>
  <c r="J112" i="58"/>
  <c r="K112" i="58" s="1"/>
  <c r="G43" i="36"/>
  <c r="O8" i="58"/>
  <c r="G49" i="36"/>
  <c r="G97" i="36" s="1"/>
  <c r="F15" i="53"/>
  <c r="H15" i="53" s="1"/>
  <c r="Y65" i="48"/>
  <c r="AS160" i="48"/>
  <c r="Y160" i="48" s="1"/>
  <c r="O15" i="51"/>
  <c r="S15" i="6"/>
  <c r="S14" i="6"/>
  <c r="H16" i="53"/>
  <c r="O7" i="51"/>
  <c r="E88" i="51" s="1"/>
  <c r="G88" i="51" s="1"/>
  <c r="O23" i="51"/>
  <c r="C68" i="48"/>
  <c r="D68" i="48" s="1"/>
  <c r="M119" i="48"/>
  <c r="M122" i="48"/>
  <c r="F9" i="53"/>
  <c r="H9" i="53" s="1"/>
  <c r="G41" i="36"/>
  <c r="G89" i="36" s="1"/>
  <c r="M121" i="48"/>
  <c r="K45" i="58"/>
  <c r="M120" i="48"/>
  <c r="K40" i="58"/>
  <c r="K76" i="58"/>
  <c r="H7" i="52"/>
  <c r="S33" i="6"/>
  <c r="C58" i="48"/>
  <c r="D58" i="48" s="1"/>
  <c r="K44" i="58"/>
  <c r="Y73" i="48"/>
  <c r="K43" i="58"/>
  <c r="C42" i="58"/>
  <c r="E76" i="44"/>
  <c r="AS151" i="48"/>
  <c r="Y151" i="48" s="1"/>
  <c r="H126" i="6"/>
  <c r="F13" i="53"/>
  <c r="H13" i="53" s="1"/>
  <c r="C77" i="42"/>
  <c r="D69" i="42" s="1"/>
  <c r="M118" i="48"/>
  <c r="J38" i="58"/>
  <c r="EH207" i="1"/>
  <c r="AN110" i="58"/>
  <c r="V110" i="58" s="1"/>
  <c r="G101" i="36"/>
  <c r="C10" i="48"/>
  <c r="F10" i="48" s="1"/>
  <c r="F58" i="53"/>
  <c r="G47" i="36"/>
  <c r="F51" i="53"/>
  <c r="H51" i="53" s="1"/>
  <c r="J51" i="53" s="1"/>
  <c r="AR102" i="48"/>
  <c r="AN108" i="58"/>
  <c r="V108" i="58" s="1"/>
  <c r="C60" i="48"/>
  <c r="D60" i="48" s="1"/>
  <c r="C43" i="58"/>
  <c r="S19" i="6"/>
  <c r="M70" i="48"/>
  <c r="S85" i="36"/>
  <c r="H10" i="52"/>
  <c r="C66" i="48"/>
  <c r="D66" i="48" s="1"/>
  <c r="S16" i="6"/>
  <c r="C16" i="48"/>
  <c r="A16" i="48" s="1"/>
  <c r="AR162" i="48"/>
  <c r="C72" i="48"/>
  <c r="D72" i="48" s="1"/>
  <c r="E93" i="51"/>
  <c r="Q12" i="51"/>
  <c r="S12" i="51" s="1"/>
  <c r="F10" i="53"/>
  <c r="H10" i="53" s="1"/>
  <c r="G42" i="36"/>
  <c r="H139" i="6"/>
  <c r="K102" i="48"/>
  <c r="H8" i="52"/>
  <c r="AM111" i="58"/>
  <c r="C69" i="48"/>
  <c r="D69" i="48" s="1"/>
  <c r="C8" i="58"/>
  <c r="D8" i="57" s="1"/>
  <c r="E8" i="58"/>
  <c r="O7" i="57"/>
  <c r="E7" i="58"/>
  <c r="C7" i="58"/>
  <c r="D9" i="57" s="1"/>
  <c r="E10" i="58"/>
  <c r="C10" i="58"/>
  <c r="D7" i="57" s="1"/>
  <c r="G46" i="36"/>
  <c r="C9" i="58"/>
  <c r="D6" i="57" s="1"/>
  <c r="E9" i="58"/>
  <c r="K77" i="58"/>
  <c r="E41" i="58"/>
  <c r="C41" i="58"/>
  <c r="C22" i="48"/>
  <c r="A22" i="48" s="1"/>
  <c r="M116" i="48"/>
  <c r="R118" i="6"/>
  <c r="C13" i="48"/>
  <c r="F13" i="48" s="1"/>
  <c r="H9" i="52"/>
  <c r="M117" i="48"/>
  <c r="S118" i="6"/>
  <c r="S127" i="6" s="1"/>
  <c r="AB60" i="24" s="1"/>
  <c r="E78" i="24" s="1"/>
  <c r="C23" i="48"/>
  <c r="A23" i="48" s="1"/>
  <c r="AN111" i="58"/>
  <c r="V111" i="58" s="1"/>
  <c r="J73" i="58"/>
  <c r="C14" i="48"/>
  <c r="K75" i="58"/>
  <c r="M115" i="48"/>
  <c r="M66" i="48"/>
  <c r="H37" i="36"/>
  <c r="C12" i="48"/>
  <c r="D12" i="48" s="1"/>
  <c r="G48" i="36"/>
  <c r="G96" i="36" s="1"/>
  <c r="F56" i="53"/>
  <c r="H56" i="53" s="1"/>
  <c r="C21" i="48"/>
  <c r="A21" i="48" s="1"/>
  <c r="G51" i="36"/>
  <c r="G99" i="36" s="1"/>
  <c r="C61" i="48"/>
  <c r="D61" i="48" s="1"/>
  <c r="C8" i="48"/>
  <c r="D8" i="48" s="1"/>
  <c r="K41" i="58"/>
  <c r="S13" i="6"/>
  <c r="S18" i="6"/>
  <c r="S31" i="6"/>
  <c r="S34" i="6"/>
  <c r="S32" i="6"/>
  <c r="S20" i="6"/>
  <c r="S17" i="6"/>
  <c r="S30" i="6"/>
  <c r="C74" i="48"/>
  <c r="D74" i="48" s="1"/>
  <c r="Y56" i="48"/>
  <c r="C18" i="48"/>
  <c r="F18" i="48" s="1"/>
  <c r="G44" i="36"/>
  <c r="F12" i="53"/>
  <c r="H12" i="53" s="1"/>
  <c r="P17" i="51"/>
  <c r="Q17" i="51" s="1"/>
  <c r="S17" i="51" s="1"/>
  <c r="Y115" i="48"/>
  <c r="M73" i="48"/>
  <c r="K138" i="6"/>
  <c r="K127" i="6"/>
  <c r="C64" i="48"/>
  <c r="C9" i="48"/>
  <c r="K54" i="48"/>
  <c r="C71" i="48"/>
  <c r="C19" i="48"/>
  <c r="C62" i="48"/>
  <c r="D62" i="48" s="1"/>
  <c r="C73" i="48"/>
  <c r="M69" i="48"/>
  <c r="M65" i="48"/>
  <c r="M67" i="48"/>
  <c r="M61" i="48"/>
  <c r="M75" i="48"/>
  <c r="AM38" i="58"/>
  <c r="C25" i="48"/>
  <c r="CZ72" i="8"/>
  <c r="C65" i="48"/>
  <c r="D65" i="48" s="1"/>
  <c r="C20" i="48"/>
  <c r="F20" i="48" s="1"/>
  <c r="M57" i="48"/>
  <c r="C17" i="48"/>
  <c r="F17" i="48" s="1"/>
  <c r="C57" i="48"/>
  <c r="F57" i="48" s="1"/>
  <c r="C63" i="48"/>
  <c r="M72" i="48"/>
  <c r="K42" i="58"/>
  <c r="M58" i="48"/>
  <c r="M62" i="48"/>
  <c r="M60" i="48"/>
  <c r="M59" i="48"/>
  <c r="M63" i="48"/>
  <c r="M71" i="48"/>
  <c r="AS163" i="48"/>
  <c r="Y163" i="48" s="1"/>
  <c r="O18" i="51"/>
  <c r="Y68" i="48"/>
  <c r="M68" i="48"/>
  <c r="G18" i="51"/>
  <c r="B18" i="51"/>
  <c r="M64" i="48"/>
  <c r="M74" i="48"/>
  <c r="Z9" i="48"/>
  <c r="O9" i="57"/>
  <c r="Z21" i="48"/>
  <c r="AM110" i="58"/>
  <c r="Z18" i="48"/>
  <c r="Z10" i="48"/>
  <c r="Z15" i="48"/>
  <c r="Z13" i="48"/>
  <c r="Z16" i="48"/>
  <c r="Z11" i="48"/>
  <c r="Z23" i="48"/>
  <c r="Z12" i="48"/>
  <c r="M32" i="22"/>
  <c r="Z8" i="48"/>
  <c r="Z7" i="48"/>
  <c r="C15" i="48"/>
  <c r="C59" i="48"/>
  <c r="C7" i="48"/>
  <c r="C24" i="48"/>
  <c r="C67" i="48"/>
  <c r="C70" i="48"/>
  <c r="C11" i="48"/>
  <c r="Z14" i="48"/>
  <c r="Z25" i="48"/>
  <c r="Z19" i="48"/>
  <c r="Z22" i="48"/>
  <c r="Z24" i="48"/>
  <c r="F76" i="44"/>
  <c r="E98" i="51"/>
  <c r="F56" i="41"/>
  <c r="M77" i="22"/>
  <c r="L83" i="22"/>
  <c r="K50" i="22"/>
  <c r="M47" i="22"/>
  <c r="M61" i="22"/>
  <c r="L67" i="22"/>
  <c r="M93" i="22"/>
  <c r="L99" i="22"/>
  <c r="Q6" i="51"/>
  <c r="S6" i="51" s="1"/>
  <c r="O13" i="51"/>
  <c r="AS158" i="48"/>
  <c r="Y158" i="48" s="1"/>
  <c r="Y63" i="48"/>
  <c r="DF3" i="1"/>
  <c r="V41" i="58"/>
  <c r="AN109" i="58"/>
  <c r="V109" i="58" s="1"/>
  <c r="E87" i="51"/>
  <c r="G87" i="51" s="1"/>
  <c r="W77" i="58"/>
  <c r="V73" i="58"/>
  <c r="W78" i="58"/>
  <c r="W75" i="58"/>
  <c r="W76" i="58"/>
  <c r="O8" i="57"/>
  <c r="M6" i="57"/>
  <c r="AM109" i="58"/>
  <c r="AR54" i="48"/>
  <c r="A69" i="1" l="1"/>
  <c r="A72" i="1"/>
  <c r="A87" i="1"/>
  <c r="A88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89" i="1"/>
  <c r="A85" i="1"/>
  <c r="M143" i="22"/>
  <c r="AA106" i="48"/>
  <c r="I9" i="51"/>
  <c r="I10" i="51"/>
  <c r="I8" i="51"/>
  <c r="I6" i="51"/>
  <c r="M125" i="22"/>
  <c r="M130" i="22" s="1"/>
  <c r="L130" i="22"/>
  <c r="L73" i="48"/>
  <c r="L58" i="48"/>
  <c r="L121" i="48"/>
  <c r="L106" i="48"/>
  <c r="G92" i="36"/>
  <c r="G91" i="36"/>
  <c r="G90" i="36"/>
  <c r="H52" i="53"/>
  <c r="J57" i="53" s="1"/>
  <c r="G95" i="36"/>
  <c r="G61" i="36"/>
  <c r="G98" i="51"/>
  <c r="G93" i="51"/>
  <c r="I93" i="51" s="1"/>
  <c r="G95" i="51"/>
  <c r="K90" i="6"/>
  <c r="K109" i="6"/>
  <c r="K105" i="6"/>
  <c r="K108" i="6"/>
  <c r="K92" i="6"/>
  <c r="K107" i="6"/>
  <c r="K95" i="6"/>
  <c r="K89" i="6"/>
  <c r="K106" i="6"/>
  <c r="I25" i="51"/>
  <c r="Q26" i="48"/>
  <c r="O26" i="48" s="1"/>
  <c r="Q27" i="48"/>
  <c r="O27" i="48" s="1"/>
  <c r="D27" i="48"/>
  <c r="A27" i="48"/>
  <c r="F27" i="48"/>
  <c r="A26" i="48"/>
  <c r="D26" i="48"/>
  <c r="F26" i="48"/>
  <c r="I13" i="51"/>
  <c r="I26" i="51"/>
  <c r="E102" i="51"/>
  <c r="G102" i="51" s="1"/>
  <c r="E103" i="51"/>
  <c r="E101" i="51"/>
  <c r="G101" i="51" s="1"/>
  <c r="Q23" i="51"/>
  <c r="S23" i="51" s="1"/>
  <c r="I12" i="51"/>
  <c r="I11" i="51"/>
  <c r="I14" i="51"/>
  <c r="EB5" i="8"/>
  <c r="R127" i="6"/>
  <c r="P54" i="41" s="1"/>
  <c r="D106" i="41" s="1"/>
  <c r="N102" i="60"/>
  <c r="L112" i="60"/>
  <c r="M157" i="48"/>
  <c r="M154" i="48"/>
  <c r="M163" i="48"/>
  <c r="M160" i="48"/>
  <c r="M161" i="48"/>
  <c r="M162" i="48"/>
  <c r="M170" i="48"/>
  <c r="M165" i="48"/>
  <c r="M156" i="48"/>
  <c r="M164" i="48"/>
  <c r="M153" i="48"/>
  <c r="M159" i="48"/>
  <c r="M167" i="48"/>
  <c r="M152" i="48"/>
  <c r="M155" i="48"/>
  <c r="M168" i="48"/>
  <c r="M158" i="48"/>
  <c r="M169" i="48"/>
  <c r="M166" i="48"/>
  <c r="B77" i="58"/>
  <c r="E77" i="58" s="1"/>
  <c r="W44" i="58"/>
  <c r="L119" i="48"/>
  <c r="L71" i="48"/>
  <c r="L120" i="48"/>
  <c r="L74" i="48"/>
  <c r="L72" i="48"/>
  <c r="L122" i="48"/>
  <c r="M67" i="22"/>
  <c r="EH5" i="1"/>
  <c r="M83" i="22"/>
  <c r="M116" i="22"/>
  <c r="A205" i="1"/>
  <c r="A186" i="1"/>
  <c r="M99" i="22"/>
  <c r="L39" i="42"/>
  <c r="L43" i="42"/>
  <c r="L42" i="42"/>
  <c r="L41" i="42"/>
  <c r="L44" i="42"/>
  <c r="L38" i="42"/>
  <c r="I45" i="42"/>
  <c r="K45" i="42" s="1"/>
  <c r="L40" i="42"/>
  <c r="H45" i="42"/>
  <c r="R143" i="6"/>
  <c r="H58" i="53"/>
  <c r="S52" i="6"/>
  <c r="S53" i="6"/>
  <c r="S69" i="6"/>
  <c r="S54" i="6"/>
  <c r="S51" i="6"/>
  <c r="S74" i="6"/>
  <c r="S70" i="6"/>
  <c r="S71" i="6"/>
  <c r="S55" i="6"/>
  <c r="S72" i="6"/>
  <c r="S57" i="6"/>
  <c r="O45" i="42"/>
  <c r="R193" i="6"/>
  <c r="R148" i="6"/>
  <c r="Q22" i="51"/>
  <c r="S22" i="51" s="1"/>
  <c r="M19" i="52"/>
  <c r="P14" i="41"/>
  <c r="D43" i="41" s="1"/>
  <c r="D45" i="41" s="1"/>
  <c r="Q24" i="51"/>
  <c r="S24" i="51" s="1"/>
  <c r="Q6" i="52"/>
  <c r="Q17" i="52" s="1"/>
  <c r="AA109" i="48"/>
  <c r="AA108" i="48"/>
  <c r="AA112" i="48"/>
  <c r="AA113" i="48"/>
  <c r="AA114" i="48"/>
  <c r="AA105" i="48"/>
  <c r="AA107" i="48"/>
  <c r="AA110" i="48"/>
  <c r="AA111" i="48"/>
  <c r="AA104" i="48"/>
  <c r="AA118" i="48"/>
  <c r="I58" i="44"/>
  <c r="M8" i="22"/>
  <c r="M18" i="22" s="1"/>
  <c r="M28" i="22"/>
  <c r="M34" i="22" s="1"/>
  <c r="Q10" i="51"/>
  <c r="S10" i="51" s="1"/>
  <c r="I61" i="44"/>
  <c r="L50" i="22"/>
  <c r="I60" i="44"/>
  <c r="G71" i="44"/>
  <c r="I59" i="44"/>
  <c r="S109" i="6"/>
  <c r="S95" i="6"/>
  <c r="S91" i="6"/>
  <c r="S111" i="6"/>
  <c r="S90" i="6"/>
  <c r="S89" i="6"/>
  <c r="R109" i="6"/>
  <c r="R93" i="6"/>
  <c r="R95" i="6"/>
  <c r="R111" i="6"/>
  <c r="R107" i="6"/>
  <c r="R106" i="6"/>
  <c r="R92" i="6"/>
  <c r="R105" i="6"/>
  <c r="R91" i="6"/>
  <c r="R89" i="6"/>
  <c r="R90" i="6"/>
  <c r="S92" i="6"/>
  <c r="G78" i="24"/>
  <c r="S107" i="6"/>
  <c r="S105" i="6"/>
  <c r="S93" i="6"/>
  <c r="Q21" i="51"/>
  <c r="S21" i="51" s="1"/>
  <c r="S108" i="6"/>
  <c r="Q8" i="51"/>
  <c r="S8" i="51" s="1"/>
  <c r="G94" i="36"/>
  <c r="AA61" i="48"/>
  <c r="I17" i="51"/>
  <c r="D76" i="42"/>
  <c r="J8" i="53"/>
  <c r="AA152" i="48"/>
  <c r="Q14" i="51"/>
  <c r="S14" i="51" s="1"/>
  <c r="D70" i="42"/>
  <c r="D73" i="42"/>
  <c r="I15" i="51"/>
  <c r="Q20" i="51"/>
  <c r="S20" i="51" s="1"/>
  <c r="I16" i="51"/>
  <c r="R7" i="58"/>
  <c r="R9" i="58"/>
  <c r="R10" i="58"/>
  <c r="I24" i="51"/>
  <c r="O5" i="58"/>
  <c r="P7" i="58" s="1"/>
  <c r="K109" i="58"/>
  <c r="A10" i="48"/>
  <c r="D71" i="42"/>
  <c r="D72" i="42"/>
  <c r="AA154" i="48"/>
  <c r="Q7" i="51"/>
  <c r="S7" i="51" s="1"/>
  <c r="K110" i="58"/>
  <c r="K108" i="58"/>
  <c r="AA155" i="48"/>
  <c r="E104" i="51"/>
  <c r="AA153" i="48"/>
  <c r="Q15" i="51"/>
  <c r="S15" i="51" s="1"/>
  <c r="E96" i="51"/>
  <c r="AA151" i="48"/>
  <c r="AA60" i="48"/>
  <c r="D16" i="48"/>
  <c r="F58" i="48"/>
  <c r="F68" i="48"/>
  <c r="D21" i="48"/>
  <c r="D10" i="48"/>
  <c r="F72" i="48"/>
  <c r="AA156" i="48"/>
  <c r="B40" i="58"/>
  <c r="AA157" i="48"/>
  <c r="L104" i="48"/>
  <c r="F69" i="48"/>
  <c r="D75" i="42"/>
  <c r="D74" i="42"/>
  <c r="F16" i="48"/>
  <c r="AA168" i="48"/>
  <c r="A17" i="48"/>
  <c r="J10" i="53"/>
  <c r="J11" i="53"/>
  <c r="J7" i="53"/>
  <c r="F74" i="48"/>
  <c r="A13" i="48"/>
  <c r="F60" i="48"/>
  <c r="A8" i="48"/>
  <c r="S138" i="6"/>
  <c r="S136" i="6" s="1"/>
  <c r="F8" i="48"/>
  <c r="D23" i="48"/>
  <c r="AA62" i="48"/>
  <c r="AA59" i="48"/>
  <c r="D18" i="48"/>
  <c r="C5" i="58"/>
  <c r="D7" i="58" s="1"/>
  <c r="B76" i="58"/>
  <c r="C76" i="58" s="1"/>
  <c r="D57" i="48"/>
  <c r="E5" i="58"/>
  <c r="F7" i="58" s="1"/>
  <c r="L107" i="48"/>
  <c r="AA119" i="48"/>
  <c r="F66" i="48"/>
  <c r="D22" i="48"/>
  <c r="AA56" i="48"/>
  <c r="AA116" i="48"/>
  <c r="A18" i="48"/>
  <c r="F61" i="48"/>
  <c r="AA58" i="48"/>
  <c r="AA67" i="48"/>
  <c r="AA57" i="48"/>
  <c r="W110" i="58"/>
  <c r="B75" i="58"/>
  <c r="R138" i="6"/>
  <c r="R136" i="6" s="1"/>
  <c r="L115" i="48"/>
  <c r="L111" i="48"/>
  <c r="L62" i="48"/>
  <c r="F22" i="48"/>
  <c r="L108" i="48"/>
  <c r="L56" i="48"/>
  <c r="AA120" i="48"/>
  <c r="L67" i="48"/>
  <c r="D14" i="48"/>
  <c r="F14" i="48"/>
  <c r="A14" i="48"/>
  <c r="AA121" i="48"/>
  <c r="L155" i="48"/>
  <c r="AA117" i="48"/>
  <c r="L105" i="48"/>
  <c r="B78" i="58"/>
  <c r="C78" i="58" s="1"/>
  <c r="G37" i="36"/>
  <c r="L110" i="48"/>
  <c r="L61" i="48"/>
  <c r="AA123" i="48"/>
  <c r="L60" i="48"/>
  <c r="D13" i="48"/>
  <c r="L109" i="48"/>
  <c r="D20" i="48"/>
  <c r="L59" i="48"/>
  <c r="F23" i="48"/>
  <c r="J14" i="53"/>
  <c r="J15" i="53"/>
  <c r="J13" i="53"/>
  <c r="J12" i="53"/>
  <c r="J16" i="53"/>
  <c r="Y102" i="48"/>
  <c r="D17" i="48"/>
  <c r="L63" i="48"/>
  <c r="L57" i="48"/>
  <c r="AA122" i="48"/>
  <c r="F65" i="48"/>
  <c r="I21" i="51"/>
  <c r="AA115" i="48"/>
  <c r="F21" i="48"/>
  <c r="I18" i="51"/>
  <c r="J9" i="53"/>
  <c r="F62" i="48"/>
  <c r="N60" i="24"/>
  <c r="I54" i="41"/>
  <c r="I56" i="41" s="1"/>
  <c r="K139" i="6"/>
  <c r="K126" i="6"/>
  <c r="K136" i="6"/>
  <c r="F12" i="48"/>
  <c r="A12" i="48"/>
  <c r="A19" i="48"/>
  <c r="F19" i="48"/>
  <c r="D19" i="48"/>
  <c r="A20" i="48"/>
  <c r="D71" i="48"/>
  <c r="F71" i="48"/>
  <c r="I22" i="51"/>
  <c r="I19" i="51"/>
  <c r="D9" i="48"/>
  <c r="F9" i="48"/>
  <c r="A9" i="48"/>
  <c r="I23" i="51"/>
  <c r="F64" i="48"/>
  <c r="D64" i="48"/>
  <c r="F63" i="48"/>
  <c r="D63" i="48"/>
  <c r="I20" i="51"/>
  <c r="F73" i="48"/>
  <c r="D73" i="48"/>
  <c r="E99" i="51"/>
  <c r="G99" i="51" s="1"/>
  <c r="Q18" i="51"/>
  <c r="S18" i="51" s="1"/>
  <c r="D25" i="48"/>
  <c r="F25" i="48"/>
  <c r="A25" i="48"/>
  <c r="Q22" i="48"/>
  <c r="Q19" i="48"/>
  <c r="Q23" i="48"/>
  <c r="Q10" i="48"/>
  <c r="Q21" i="48"/>
  <c r="Q17" i="48"/>
  <c r="Q11" i="48"/>
  <c r="Q12" i="48"/>
  <c r="Q20" i="48"/>
  <c r="Q14" i="48"/>
  <c r="Q8" i="48"/>
  <c r="Q16" i="48"/>
  <c r="Q25" i="48"/>
  <c r="Q24" i="48"/>
  <c r="Q15" i="48"/>
  <c r="Q18" i="48"/>
  <c r="Q9" i="48"/>
  <c r="Q7" i="48"/>
  <c r="Q13" i="48"/>
  <c r="D11" i="48"/>
  <c r="A11" i="48"/>
  <c r="F11" i="48"/>
  <c r="F70" i="48"/>
  <c r="D70" i="48"/>
  <c r="D67" i="48"/>
  <c r="F67" i="48"/>
  <c r="D24" i="48"/>
  <c r="A24" i="48"/>
  <c r="F24" i="48"/>
  <c r="D7" i="48"/>
  <c r="A7" i="48"/>
  <c r="F7" i="48"/>
  <c r="D59" i="48"/>
  <c r="F59" i="48"/>
  <c r="F15" i="48"/>
  <c r="D15" i="48"/>
  <c r="A15" i="48"/>
  <c r="M50" i="22"/>
  <c r="AA66" i="48"/>
  <c r="AA69" i="48"/>
  <c r="AA65" i="48"/>
  <c r="AA68" i="48"/>
  <c r="AA72" i="48"/>
  <c r="AA164" i="48"/>
  <c r="AA74" i="48"/>
  <c r="W45" i="58"/>
  <c r="AA73" i="48"/>
  <c r="W112" i="58"/>
  <c r="AA169" i="48"/>
  <c r="Y54" i="48"/>
  <c r="AA166" i="48"/>
  <c r="AA167" i="48"/>
  <c r="AA71" i="48"/>
  <c r="AA70" i="48"/>
  <c r="AA160" i="48"/>
  <c r="AA64" i="48"/>
  <c r="I91" i="51"/>
  <c r="I88" i="51"/>
  <c r="I90" i="51"/>
  <c r="I92" i="51"/>
  <c r="I87" i="51"/>
  <c r="I89" i="51"/>
  <c r="N77" i="58"/>
  <c r="N75" i="58"/>
  <c r="N78" i="58"/>
  <c r="N76" i="58"/>
  <c r="AA163" i="48"/>
  <c r="W108" i="58"/>
  <c r="W109" i="58"/>
  <c r="W111" i="58"/>
  <c r="AA159" i="48"/>
  <c r="AA165" i="48"/>
  <c r="W40" i="58"/>
  <c r="V38" i="58"/>
  <c r="W43" i="58"/>
  <c r="W41" i="58"/>
  <c r="W42" i="58"/>
  <c r="AA161" i="48"/>
  <c r="AA63" i="48"/>
  <c r="O6" i="57"/>
  <c r="J6" i="57" s="1"/>
  <c r="AA158" i="48"/>
  <c r="E94" i="51"/>
  <c r="Q13" i="51"/>
  <c r="S13" i="51" s="1"/>
  <c r="AA162" i="48"/>
  <c r="A90" i="1" l="1"/>
  <c r="A111" i="1"/>
  <c r="A114" i="1" s="1"/>
  <c r="H6" i="51"/>
  <c r="B6" i="51" s="1"/>
  <c r="E75" i="58"/>
  <c r="F7" i="57"/>
  <c r="E40" i="58"/>
  <c r="E38" i="58" s="1"/>
  <c r="F40" i="58" s="1"/>
  <c r="E8" i="57"/>
  <c r="E7" i="57"/>
  <c r="E6" i="57"/>
  <c r="N112" i="60"/>
  <c r="L126" i="60"/>
  <c r="L158" i="48"/>
  <c r="H8" i="51"/>
  <c r="B8" i="51" s="1"/>
  <c r="L157" i="48"/>
  <c r="L168" i="48"/>
  <c r="H23" i="51"/>
  <c r="B23" i="51" s="1"/>
  <c r="L153" i="48"/>
  <c r="H12" i="51"/>
  <c r="B12" i="51" s="1"/>
  <c r="H13" i="51"/>
  <c r="B13" i="51" s="1"/>
  <c r="J53" i="53"/>
  <c r="A103" i="1"/>
  <c r="A105" i="1" s="1"/>
  <c r="A106" i="1" s="1"/>
  <c r="A107" i="1" s="1"/>
  <c r="A108" i="1" s="1"/>
  <c r="A109" i="1" s="1"/>
  <c r="A104" i="1"/>
  <c r="J56" i="53"/>
  <c r="J54" i="53"/>
  <c r="J52" i="53"/>
  <c r="J58" i="53"/>
  <c r="G85" i="36"/>
  <c r="G104" i="51"/>
  <c r="G103" i="51"/>
  <c r="G96" i="51"/>
  <c r="R27" i="48"/>
  <c r="T27" i="48"/>
  <c r="R26" i="48"/>
  <c r="T26" i="48"/>
  <c r="H7" i="51"/>
  <c r="B7" i="51" s="1"/>
  <c r="R22" i="51"/>
  <c r="L22" i="51" s="1"/>
  <c r="R21" i="51"/>
  <c r="L21" i="51" s="1"/>
  <c r="R18" i="51"/>
  <c r="L18" i="51" s="1"/>
  <c r="L17" i="51"/>
  <c r="R23" i="51"/>
  <c r="L23" i="51" s="1"/>
  <c r="R20" i="51"/>
  <c r="L20" i="51" s="1"/>
  <c r="H9" i="51"/>
  <c r="B9" i="51" s="1"/>
  <c r="B17" i="51"/>
  <c r="H22" i="51"/>
  <c r="B22" i="51" s="1"/>
  <c r="H21" i="51"/>
  <c r="B21" i="51" s="1"/>
  <c r="P56" i="41"/>
  <c r="L169" i="48"/>
  <c r="L167" i="48"/>
  <c r="L152" i="48"/>
  <c r="L151" i="48"/>
  <c r="L154" i="48"/>
  <c r="L166" i="48"/>
  <c r="C77" i="58"/>
  <c r="F8" i="57" s="1"/>
  <c r="C56" i="48"/>
  <c r="D56" i="48" s="1"/>
  <c r="D54" i="48" s="1"/>
  <c r="E56" i="48" s="1"/>
  <c r="C104" i="48"/>
  <c r="D104" i="48" s="1"/>
  <c r="D110" i="58"/>
  <c r="F110" i="58" s="1"/>
  <c r="H24" i="51"/>
  <c r="B24" i="51" s="1"/>
  <c r="A206" i="1"/>
  <c r="A187" i="1"/>
  <c r="A188" i="1" s="1"/>
  <c r="A189" i="1" s="1"/>
  <c r="A190" i="1" s="1"/>
  <c r="A191" i="1" s="1"/>
  <c r="A192" i="1" s="1"/>
  <c r="R7" i="52"/>
  <c r="S7" i="52" s="1"/>
  <c r="L7" i="52" s="1"/>
  <c r="R9" i="52"/>
  <c r="R8" i="52"/>
  <c r="R10" i="52"/>
  <c r="R6" i="52"/>
  <c r="S6" i="52" s="1"/>
  <c r="L6" i="52" s="1"/>
  <c r="R5" i="58"/>
  <c r="P8" i="58"/>
  <c r="P9" i="58"/>
  <c r="D108" i="58"/>
  <c r="F108" i="58" s="1"/>
  <c r="P10" i="58"/>
  <c r="D112" i="58"/>
  <c r="E112" i="58" s="1"/>
  <c r="D77" i="42"/>
  <c r="E78" i="58"/>
  <c r="D111" i="58"/>
  <c r="F111" i="58" s="1"/>
  <c r="D109" i="58"/>
  <c r="F109" i="58" s="1"/>
  <c r="J8" i="57"/>
  <c r="S139" i="6"/>
  <c r="D108" i="41" s="1"/>
  <c r="S126" i="6"/>
  <c r="C105" i="48"/>
  <c r="F105" i="48" s="1"/>
  <c r="C40" i="58"/>
  <c r="C38" i="58" s="1"/>
  <c r="D40" i="58" s="1"/>
  <c r="C106" i="48"/>
  <c r="D106" i="48" s="1"/>
  <c r="F8" i="58"/>
  <c r="F9" i="58"/>
  <c r="C114" i="48"/>
  <c r="D114" i="48" s="1"/>
  <c r="D8" i="58"/>
  <c r="C109" i="48"/>
  <c r="F109" i="48" s="1"/>
  <c r="C108" i="48"/>
  <c r="F108" i="48" s="1"/>
  <c r="Z109" i="48"/>
  <c r="D10" i="58"/>
  <c r="C111" i="48"/>
  <c r="F111" i="48" s="1"/>
  <c r="C117" i="48"/>
  <c r="D117" i="48" s="1"/>
  <c r="C119" i="48"/>
  <c r="D119" i="48" s="1"/>
  <c r="D9" i="58"/>
  <c r="R13" i="51"/>
  <c r="L13" i="51" s="1"/>
  <c r="E76" i="58"/>
  <c r="F10" i="58"/>
  <c r="C113" i="48"/>
  <c r="F113" i="48" s="1"/>
  <c r="C75" i="58"/>
  <c r="F6" i="57" s="1"/>
  <c r="Z122" i="48"/>
  <c r="R139" i="6"/>
  <c r="R126" i="6"/>
  <c r="C121" i="48"/>
  <c r="D121" i="48" s="1"/>
  <c r="Z110" i="48"/>
  <c r="C122" i="48"/>
  <c r="D122" i="48" s="1"/>
  <c r="C118" i="48"/>
  <c r="F118" i="48" s="1"/>
  <c r="I10" i="53"/>
  <c r="C10" i="53" s="1"/>
  <c r="C112" i="48"/>
  <c r="F112" i="48" s="1"/>
  <c r="C110" i="48"/>
  <c r="D110" i="48" s="1"/>
  <c r="C115" i="48"/>
  <c r="F115" i="48" s="1"/>
  <c r="I12" i="53"/>
  <c r="C12" i="53" s="1"/>
  <c r="Z104" i="48"/>
  <c r="Q105" i="48" s="1"/>
  <c r="T105" i="48" s="1"/>
  <c r="Z108" i="48"/>
  <c r="C116" i="48"/>
  <c r="F116" i="48" s="1"/>
  <c r="Z113" i="48"/>
  <c r="C120" i="48"/>
  <c r="D120" i="48" s="1"/>
  <c r="Z112" i="48"/>
  <c r="C107" i="48"/>
  <c r="F107" i="48" s="1"/>
  <c r="Z118" i="48"/>
  <c r="Z121" i="48"/>
  <c r="I13" i="53"/>
  <c r="C13" i="53" s="1"/>
  <c r="Z111" i="48"/>
  <c r="I8" i="53"/>
  <c r="C8" i="53" s="1"/>
  <c r="Z116" i="48"/>
  <c r="Z105" i="48"/>
  <c r="I9" i="53"/>
  <c r="C9" i="53" s="1"/>
  <c r="I15" i="53"/>
  <c r="C15" i="53" s="1"/>
  <c r="Z107" i="48"/>
  <c r="I14" i="53"/>
  <c r="C14" i="53" s="1"/>
  <c r="I7" i="53"/>
  <c r="I16" i="53"/>
  <c r="C16" i="53" s="1"/>
  <c r="I11" i="53"/>
  <c r="C11" i="53" s="1"/>
  <c r="Z106" i="48"/>
  <c r="Z119" i="48"/>
  <c r="B10" i="51"/>
  <c r="D5" i="48"/>
  <c r="T24" i="48"/>
  <c r="R24" i="48"/>
  <c r="O24" i="48"/>
  <c r="T25" i="48"/>
  <c r="O25" i="48"/>
  <c r="R25" i="48"/>
  <c r="O15" i="48"/>
  <c r="T15" i="48"/>
  <c r="R15" i="48"/>
  <c r="T16" i="48"/>
  <c r="R16" i="48"/>
  <c r="O16" i="48"/>
  <c r="R8" i="48"/>
  <c r="T8" i="48"/>
  <c r="O8" i="48"/>
  <c r="T14" i="48"/>
  <c r="R14" i="48"/>
  <c r="O14" i="48"/>
  <c r="O20" i="48"/>
  <c r="R20" i="48"/>
  <c r="T20" i="48"/>
  <c r="R12" i="48"/>
  <c r="T12" i="48"/>
  <c r="O12" i="48"/>
  <c r="O11" i="48"/>
  <c r="T11" i="48"/>
  <c r="R11" i="48"/>
  <c r="O17" i="48"/>
  <c r="R17" i="48"/>
  <c r="T17" i="48"/>
  <c r="T21" i="48"/>
  <c r="R21" i="48"/>
  <c r="O21" i="48"/>
  <c r="R10" i="48"/>
  <c r="T10" i="48"/>
  <c r="O10" i="48"/>
  <c r="R13" i="48"/>
  <c r="O13" i="48"/>
  <c r="T13" i="48"/>
  <c r="T23" i="48"/>
  <c r="R23" i="48"/>
  <c r="O23" i="48"/>
  <c r="R7" i="48"/>
  <c r="O7" i="48"/>
  <c r="T7" i="48"/>
  <c r="R19" i="48"/>
  <c r="T19" i="48"/>
  <c r="O19" i="48"/>
  <c r="F5" i="48"/>
  <c r="T9" i="48"/>
  <c r="R9" i="48"/>
  <c r="O9" i="48"/>
  <c r="T22" i="48"/>
  <c r="R22" i="48"/>
  <c r="O22" i="48"/>
  <c r="T18" i="48"/>
  <c r="R18" i="48"/>
  <c r="O18" i="48"/>
  <c r="P8" i="57"/>
  <c r="Z56" i="48"/>
  <c r="Q57" i="48" s="1"/>
  <c r="Z63" i="48"/>
  <c r="Z71" i="48"/>
  <c r="Z169" i="48"/>
  <c r="Z158" i="48"/>
  <c r="Z154" i="48"/>
  <c r="Z160" i="48"/>
  <c r="Z156" i="48"/>
  <c r="Z70" i="48"/>
  <c r="Z61" i="48"/>
  <c r="Z59" i="48"/>
  <c r="Z166" i="48"/>
  <c r="O78" i="58"/>
  <c r="Q78" i="58"/>
  <c r="Q76" i="58"/>
  <c r="O76" i="58"/>
  <c r="R14" i="51"/>
  <c r="L14" i="51" s="1"/>
  <c r="R6" i="51"/>
  <c r="L6" i="51" s="1"/>
  <c r="R8" i="51"/>
  <c r="L8" i="51" s="1"/>
  <c r="R7" i="51"/>
  <c r="L7" i="51" s="1"/>
  <c r="R9" i="51"/>
  <c r="L9" i="51" s="1"/>
  <c r="R24" i="51"/>
  <c r="L24" i="51" s="1"/>
  <c r="R12" i="51"/>
  <c r="L12" i="51" s="1"/>
  <c r="R11" i="51"/>
  <c r="L11" i="51" s="1"/>
  <c r="R15" i="51"/>
  <c r="L15" i="51" s="1"/>
  <c r="R10" i="51"/>
  <c r="L10" i="51" s="1"/>
  <c r="Z62" i="48"/>
  <c r="Z60" i="48"/>
  <c r="Z74" i="48"/>
  <c r="Z72" i="48"/>
  <c r="Z163" i="48"/>
  <c r="O75" i="58"/>
  <c r="Q75" i="58"/>
  <c r="Z57" i="48"/>
  <c r="P110" i="58"/>
  <c r="P108" i="58"/>
  <c r="P113" i="58"/>
  <c r="P109" i="58"/>
  <c r="P112" i="58"/>
  <c r="P111" i="58"/>
  <c r="Z65" i="48"/>
  <c r="Z152" i="48"/>
  <c r="Q77" i="58"/>
  <c r="O77" i="58"/>
  <c r="G94" i="51"/>
  <c r="Z153" i="48"/>
  <c r="Z165" i="48"/>
  <c r="Z67" i="48"/>
  <c r="Z168" i="48"/>
  <c r="Z151" i="48"/>
  <c r="P10" i="57"/>
  <c r="P11" i="57"/>
  <c r="P6" i="57"/>
  <c r="J7" i="57"/>
  <c r="P7" i="57"/>
  <c r="J9" i="57"/>
  <c r="P9" i="57"/>
  <c r="Z58" i="48"/>
  <c r="N40" i="58"/>
  <c r="N41" i="58"/>
  <c r="N43" i="58"/>
  <c r="N42" i="58"/>
  <c r="Z157" i="48"/>
  <c r="Z159" i="48"/>
  <c r="Z64" i="48"/>
  <c r="Z73" i="48"/>
  <c r="Z155" i="48"/>
  <c r="Z68" i="48"/>
  <c r="N126" i="60" l="1"/>
  <c r="L134" i="60"/>
  <c r="N134" i="60" s="1"/>
  <c r="A110" i="1"/>
  <c r="A113" i="1" s="1"/>
  <c r="A112" i="1"/>
  <c r="F9" i="57"/>
  <c r="G8" i="57"/>
  <c r="F42" i="58"/>
  <c r="F41" i="58"/>
  <c r="G6" i="57"/>
  <c r="F43" i="58"/>
  <c r="E9" i="57"/>
  <c r="G7" i="57"/>
  <c r="E156" i="48"/>
  <c r="G156" i="48" s="1"/>
  <c r="I54" i="53"/>
  <c r="C54" i="53" s="1"/>
  <c r="I51" i="53"/>
  <c r="C51" i="53" s="1"/>
  <c r="I53" i="53"/>
  <c r="C53" i="53" s="1"/>
  <c r="I56" i="53"/>
  <c r="C56" i="53" s="1"/>
  <c r="I58" i="53"/>
  <c r="C58" i="53" s="1"/>
  <c r="I57" i="53"/>
  <c r="C57" i="53" s="1"/>
  <c r="I52" i="53"/>
  <c r="C52" i="53" s="1"/>
  <c r="G7" i="48"/>
  <c r="G26" i="48"/>
  <c r="G27" i="48"/>
  <c r="E8" i="48"/>
  <c r="E27" i="48"/>
  <c r="E26" i="48"/>
  <c r="E110" i="58"/>
  <c r="F56" i="48"/>
  <c r="F54" i="48" s="1"/>
  <c r="G65" i="48" s="1"/>
  <c r="E155" i="48"/>
  <c r="F155" i="48" s="1"/>
  <c r="E162" i="48"/>
  <c r="G162" i="48" s="1"/>
  <c r="E161" i="48"/>
  <c r="G161" i="48" s="1"/>
  <c r="E166" i="48"/>
  <c r="G166" i="48" s="1"/>
  <c r="E152" i="48"/>
  <c r="F152" i="48" s="1"/>
  <c r="E153" i="48"/>
  <c r="F153" i="48" s="1"/>
  <c r="E154" i="48"/>
  <c r="G154" i="48" s="1"/>
  <c r="E169" i="48"/>
  <c r="F169" i="48" s="1"/>
  <c r="E167" i="48"/>
  <c r="F167" i="48" s="1"/>
  <c r="E163" i="48"/>
  <c r="F163" i="48" s="1"/>
  <c r="E160" i="48"/>
  <c r="F160" i="48" s="1"/>
  <c r="E159" i="48"/>
  <c r="G159" i="48" s="1"/>
  <c r="E164" i="48"/>
  <c r="F164" i="48" s="1"/>
  <c r="E170" i="48"/>
  <c r="F170" i="48" s="1"/>
  <c r="E157" i="48"/>
  <c r="G157" i="48" s="1"/>
  <c r="E158" i="48"/>
  <c r="F158" i="48" s="1"/>
  <c r="E168" i="48"/>
  <c r="F168" i="48" s="1"/>
  <c r="E165" i="48"/>
  <c r="G165" i="48" s="1"/>
  <c r="C73" i="58"/>
  <c r="D75" i="58" s="1"/>
  <c r="E151" i="48"/>
  <c r="G151" i="48" s="1"/>
  <c r="F104" i="48"/>
  <c r="A193" i="1"/>
  <c r="A194" i="1"/>
  <c r="A195" i="1" s="1"/>
  <c r="A196" i="1" s="1"/>
  <c r="D43" i="58"/>
  <c r="F112" i="58"/>
  <c r="E108" i="58"/>
  <c r="P5" i="58"/>
  <c r="D42" i="58"/>
  <c r="E111" i="58"/>
  <c r="E109" i="58"/>
  <c r="E73" i="58"/>
  <c r="F75" i="58" s="1"/>
  <c r="F106" i="48"/>
  <c r="D118" i="48"/>
  <c r="D116" i="48"/>
  <c r="D112" i="48"/>
  <c r="D105" i="48"/>
  <c r="F122" i="48"/>
  <c r="D111" i="48"/>
  <c r="F119" i="48"/>
  <c r="D109" i="48"/>
  <c r="D41" i="58"/>
  <c r="F5" i="58"/>
  <c r="D113" i="48"/>
  <c r="D107" i="48"/>
  <c r="F114" i="48"/>
  <c r="D108" i="48"/>
  <c r="F110" i="48"/>
  <c r="F117" i="48"/>
  <c r="D5" i="58"/>
  <c r="J23" i="53"/>
  <c r="O23" i="53" s="1"/>
  <c r="R105" i="48"/>
  <c r="D115" i="48"/>
  <c r="J29" i="53"/>
  <c r="N29" i="53" s="1"/>
  <c r="F121" i="48"/>
  <c r="C7" i="53"/>
  <c r="E22" i="48"/>
  <c r="Q123" i="48"/>
  <c r="T123" i="48" s="1"/>
  <c r="Q109" i="48"/>
  <c r="T109" i="48" s="1"/>
  <c r="Q113" i="48"/>
  <c r="T113" i="48" s="1"/>
  <c r="Q104" i="48"/>
  <c r="R104" i="48" s="1"/>
  <c r="E16" i="48"/>
  <c r="F120" i="48"/>
  <c r="E13" i="48"/>
  <c r="E24" i="48"/>
  <c r="Q112" i="48"/>
  <c r="T112" i="48" s="1"/>
  <c r="E7" i="48"/>
  <c r="Q110" i="48"/>
  <c r="R110" i="48" s="1"/>
  <c r="J28" i="53"/>
  <c r="K28" i="53" s="1"/>
  <c r="Q111" i="48"/>
  <c r="R111" i="48" s="1"/>
  <c r="Q116" i="48"/>
  <c r="T116" i="48" s="1"/>
  <c r="Q106" i="48"/>
  <c r="T106" i="48" s="1"/>
  <c r="Q122" i="48"/>
  <c r="R122" i="48" s="1"/>
  <c r="J30" i="53"/>
  <c r="M30" i="53" s="1"/>
  <c r="Q117" i="48"/>
  <c r="T117" i="48" s="1"/>
  <c r="Q114" i="48"/>
  <c r="R114" i="48" s="1"/>
  <c r="Q108" i="48"/>
  <c r="T108" i="48" s="1"/>
  <c r="J26" i="53"/>
  <c r="K26" i="53" s="1"/>
  <c r="J31" i="53"/>
  <c r="K31" i="53" s="1"/>
  <c r="Q121" i="48"/>
  <c r="R121" i="48" s="1"/>
  <c r="Q115" i="48"/>
  <c r="T115" i="48" s="1"/>
  <c r="Q107" i="48"/>
  <c r="R107" i="48" s="1"/>
  <c r="J25" i="53"/>
  <c r="O25" i="53" s="1"/>
  <c r="Q120" i="48"/>
  <c r="T120" i="48" s="1"/>
  <c r="Q118" i="48"/>
  <c r="T118" i="48" s="1"/>
  <c r="J24" i="53"/>
  <c r="N24" i="53" s="1"/>
  <c r="J32" i="53"/>
  <c r="N32" i="53" s="1"/>
  <c r="Q119" i="48"/>
  <c r="T119" i="48" s="1"/>
  <c r="J27" i="53"/>
  <c r="M27" i="53" s="1"/>
  <c r="E18" i="48"/>
  <c r="E19" i="48"/>
  <c r="E12" i="48"/>
  <c r="E17" i="48"/>
  <c r="E9" i="48"/>
  <c r="E14" i="48"/>
  <c r="E11" i="48"/>
  <c r="E10" i="48"/>
  <c r="E23" i="48"/>
  <c r="E20" i="48"/>
  <c r="E28" i="48"/>
  <c r="E21" i="48"/>
  <c r="E15" i="48"/>
  <c r="E25" i="48"/>
  <c r="T5" i="48"/>
  <c r="U26" i="48" s="1"/>
  <c r="R5" i="48"/>
  <c r="S26" i="48" s="1"/>
  <c r="G28" i="48"/>
  <c r="G9" i="48"/>
  <c r="G17" i="48"/>
  <c r="G10" i="48"/>
  <c r="G14" i="48"/>
  <c r="G20" i="48"/>
  <c r="G18" i="48"/>
  <c r="G12" i="48"/>
  <c r="G13" i="48"/>
  <c r="G15" i="48"/>
  <c r="G19" i="48"/>
  <c r="G11" i="48"/>
  <c r="G8" i="48"/>
  <c r="G23" i="48"/>
  <c r="G22" i="48"/>
  <c r="G25" i="48"/>
  <c r="G21" i="48"/>
  <c r="G16" i="48"/>
  <c r="G24" i="48"/>
  <c r="E75" i="48"/>
  <c r="E66" i="48"/>
  <c r="E71" i="48"/>
  <c r="E72" i="48"/>
  <c r="E64" i="48"/>
  <c r="E58" i="48"/>
  <c r="E74" i="48"/>
  <c r="E59" i="48"/>
  <c r="E73" i="48"/>
  <c r="E67" i="48"/>
  <c r="E65" i="48"/>
  <c r="E57" i="48"/>
  <c r="E68" i="48"/>
  <c r="E62" i="48"/>
  <c r="E69" i="48"/>
  <c r="E61" i="48"/>
  <c r="E70" i="48"/>
  <c r="E60" i="48"/>
  <c r="E63" i="48"/>
  <c r="Q61" i="48"/>
  <c r="R61" i="48" s="1"/>
  <c r="Q63" i="48"/>
  <c r="R63" i="48" s="1"/>
  <c r="Q73" i="58"/>
  <c r="R75" i="58" s="1"/>
  <c r="Q64" i="48"/>
  <c r="R64" i="48" s="1"/>
  <c r="Q112" i="58"/>
  <c r="R112" i="58"/>
  <c r="Q62" i="48"/>
  <c r="R57" i="48"/>
  <c r="T57" i="48"/>
  <c r="Q42" i="58"/>
  <c r="O42" i="58"/>
  <c r="Q113" i="58"/>
  <c r="R113" i="58"/>
  <c r="Q60" i="48"/>
  <c r="Q58" i="48"/>
  <c r="O43" i="58"/>
  <c r="Q43" i="58"/>
  <c r="B37" i="57"/>
  <c r="B38" i="57"/>
  <c r="B39" i="57"/>
  <c r="B40" i="57"/>
  <c r="Q108" i="58"/>
  <c r="R108" i="58"/>
  <c r="Q56" i="48"/>
  <c r="Q72" i="48"/>
  <c r="Q41" i="58"/>
  <c r="O41" i="58"/>
  <c r="I94" i="51"/>
  <c r="I99" i="51"/>
  <c r="I102" i="51"/>
  <c r="I100" i="51"/>
  <c r="I95" i="51"/>
  <c r="I97" i="51"/>
  <c r="I103" i="51"/>
  <c r="I98" i="51"/>
  <c r="I106" i="51"/>
  <c r="I105" i="51"/>
  <c r="I96" i="51"/>
  <c r="I101" i="51"/>
  <c r="I104" i="51"/>
  <c r="R110" i="58"/>
  <c r="Q110" i="58"/>
  <c r="Q68" i="48"/>
  <c r="Q66" i="48"/>
  <c r="O40" i="58"/>
  <c r="Q40" i="58"/>
  <c r="Q71" i="48"/>
  <c r="Q74" i="48"/>
  <c r="Q70" i="48"/>
  <c r="Q109" i="58"/>
  <c r="R109" i="58"/>
  <c r="S153" i="48"/>
  <c r="S166" i="48"/>
  <c r="S160" i="48"/>
  <c r="S152" i="48"/>
  <c r="S158" i="48"/>
  <c r="S167" i="48"/>
  <c r="S157" i="48"/>
  <c r="S154" i="48"/>
  <c r="S156" i="48"/>
  <c r="S151" i="48"/>
  <c r="S168" i="48"/>
  <c r="S164" i="48"/>
  <c r="S163" i="48"/>
  <c r="S169" i="48"/>
  <c r="S162" i="48"/>
  <c r="S165" i="48"/>
  <c r="S161" i="48"/>
  <c r="S159" i="48"/>
  <c r="S155" i="48"/>
  <c r="Q65" i="48"/>
  <c r="Q59" i="48"/>
  <c r="Q67" i="48"/>
  <c r="R111" i="58"/>
  <c r="Q111" i="58"/>
  <c r="O73" i="58"/>
  <c r="P77" i="58" s="1"/>
  <c r="Q73" i="48"/>
  <c r="Q69" i="48"/>
  <c r="G9" i="57" l="1"/>
  <c r="B8" i="57" s="1"/>
  <c r="F38" i="58"/>
  <c r="F156" i="48"/>
  <c r="J67" i="53"/>
  <c r="O67" i="53" s="1"/>
  <c r="J63" i="53"/>
  <c r="K63" i="53" s="1"/>
  <c r="J65" i="53"/>
  <c r="K65" i="53" s="1"/>
  <c r="J68" i="53"/>
  <c r="O68" i="53" s="1"/>
  <c r="J66" i="53"/>
  <c r="K66" i="53" s="1"/>
  <c r="J62" i="53"/>
  <c r="M62" i="53" s="1"/>
  <c r="H104" i="51"/>
  <c r="H103" i="51"/>
  <c r="H95" i="51"/>
  <c r="H93" i="51"/>
  <c r="H94" i="51"/>
  <c r="H96" i="51"/>
  <c r="S27" i="48"/>
  <c r="U27" i="48"/>
  <c r="G62" i="48"/>
  <c r="G69" i="48"/>
  <c r="G64" i="48"/>
  <c r="G70" i="48"/>
  <c r="G74" i="48"/>
  <c r="G59" i="48"/>
  <c r="G61" i="48"/>
  <c r="G56" i="48"/>
  <c r="G73" i="48"/>
  <c r="G60" i="48"/>
  <c r="G66" i="48"/>
  <c r="G63" i="48"/>
  <c r="G58" i="48"/>
  <c r="G57" i="48"/>
  <c r="G67" i="48"/>
  <c r="G71" i="48"/>
  <c r="G68" i="48"/>
  <c r="G72" i="48"/>
  <c r="G75" i="48"/>
  <c r="G155" i="48"/>
  <c r="G167" i="48"/>
  <c r="G160" i="48"/>
  <c r="G169" i="48"/>
  <c r="F165" i="48"/>
  <c r="F162" i="48"/>
  <c r="D77" i="58"/>
  <c r="D76" i="58"/>
  <c r="G152" i="48"/>
  <c r="G153" i="48"/>
  <c r="F166" i="48"/>
  <c r="F154" i="48"/>
  <c r="D78" i="58"/>
  <c r="F161" i="48"/>
  <c r="G168" i="48"/>
  <c r="F151" i="48"/>
  <c r="F157" i="48"/>
  <c r="G163" i="48"/>
  <c r="G164" i="48"/>
  <c r="G158" i="48"/>
  <c r="G170" i="48"/>
  <c r="F159" i="48"/>
  <c r="J64" i="53"/>
  <c r="O64" i="53" s="1"/>
  <c r="D38" i="58"/>
  <c r="T104" i="48"/>
  <c r="F77" i="58"/>
  <c r="F76" i="58"/>
  <c r="F78" i="58"/>
  <c r="K23" i="53"/>
  <c r="M29" i="53"/>
  <c r="D102" i="48"/>
  <c r="E123" i="48" s="1"/>
  <c r="T107" i="48"/>
  <c r="O29" i="53"/>
  <c r="N25" i="53"/>
  <c r="M28" i="53"/>
  <c r="K29" i="53"/>
  <c r="R123" i="48"/>
  <c r="M25" i="53"/>
  <c r="K25" i="53"/>
  <c r="N28" i="53"/>
  <c r="R108" i="48"/>
  <c r="O28" i="53"/>
  <c r="R120" i="48"/>
  <c r="M23" i="53"/>
  <c r="F102" i="48"/>
  <c r="G116" i="48" s="1"/>
  <c r="R113" i="48"/>
  <c r="N30" i="53"/>
  <c r="T111" i="48"/>
  <c r="R106" i="48"/>
  <c r="K24" i="53"/>
  <c r="R109" i="48"/>
  <c r="N23" i="53"/>
  <c r="O26" i="53"/>
  <c r="M31" i="53"/>
  <c r="T121" i="48"/>
  <c r="T110" i="48"/>
  <c r="O31" i="53"/>
  <c r="M26" i="53"/>
  <c r="R112" i="48"/>
  <c r="N31" i="53"/>
  <c r="O30" i="53"/>
  <c r="N26" i="53"/>
  <c r="O27" i="53"/>
  <c r="R118" i="48"/>
  <c r="R115" i="48"/>
  <c r="R116" i="48"/>
  <c r="R119" i="48"/>
  <c r="N27" i="53"/>
  <c r="M32" i="53"/>
  <c r="T114" i="48"/>
  <c r="K27" i="53"/>
  <c r="O24" i="53"/>
  <c r="K32" i="53"/>
  <c r="R117" i="48"/>
  <c r="O32" i="53"/>
  <c r="M24" i="53"/>
  <c r="K30" i="53"/>
  <c r="T122" i="48"/>
  <c r="E5" i="48"/>
  <c r="S22" i="48"/>
  <c r="S17" i="48"/>
  <c r="S15" i="48"/>
  <c r="S23" i="48"/>
  <c r="S8" i="48"/>
  <c r="S21" i="48"/>
  <c r="S24" i="48"/>
  <c r="S12" i="48"/>
  <c r="S7" i="48"/>
  <c r="S20" i="48"/>
  <c r="S9" i="48"/>
  <c r="S10" i="48"/>
  <c r="S13" i="48"/>
  <c r="S19" i="48"/>
  <c r="S14" i="48"/>
  <c r="S25" i="48"/>
  <c r="S11" i="48"/>
  <c r="S28" i="48"/>
  <c r="S16" i="48"/>
  <c r="U13" i="48"/>
  <c r="U9" i="48"/>
  <c r="U7" i="48"/>
  <c r="U11" i="48"/>
  <c r="U10" i="48"/>
  <c r="U17" i="48"/>
  <c r="U25" i="48"/>
  <c r="U28" i="48"/>
  <c r="U23" i="48"/>
  <c r="U18" i="48"/>
  <c r="U12" i="48"/>
  <c r="U16" i="48"/>
  <c r="U21" i="48"/>
  <c r="U24" i="48"/>
  <c r="U22" i="48"/>
  <c r="U20" i="48"/>
  <c r="U15" i="48"/>
  <c r="U14" i="48"/>
  <c r="U8" i="48"/>
  <c r="S18" i="48"/>
  <c r="G5" i="48"/>
  <c r="U19" i="48"/>
  <c r="E54" i="48"/>
  <c r="T63" i="48"/>
  <c r="P76" i="58"/>
  <c r="T61" i="48"/>
  <c r="Q38" i="58"/>
  <c r="R40" i="58" s="1"/>
  <c r="T64" i="48"/>
  <c r="T162" i="48"/>
  <c r="U162" i="48"/>
  <c r="T56" i="48"/>
  <c r="R56" i="48"/>
  <c r="T167" i="48"/>
  <c r="U167" i="48"/>
  <c r="T73" i="48"/>
  <c r="R73" i="48"/>
  <c r="R59" i="48"/>
  <c r="T59" i="48"/>
  <c r="T165" i="48"/>
  <c r="U165" i="48"/>
  <c r="U154" i="48"/>
  <c r="T154" i="48"/>
  <c r="T72" i="48"/>
  <c r="R72" i="48"/>
  <c r="T58" i="48"/>
  <c r="R58" i="48"/>
  <c r="H101" i="51"/>
  <c r="E40" i="57"/>
  <c r="G40" i="57"/>
  <c r="F40" i="57"/>
  <c r="T157" i="48"/>
  <c r="U157" i="48"/>
  <c r="R62" i="48"/>
  <c r="T62" i="48"/>
  <c r="U169" i="48"/>
  <c r="T169" i="48"/>
  <c r="T163" i="48"/>
  <c r="U163" i="48"/>
  <c r="U158" i="48"/>
  <c r="T158" i="48"/>
  <c r="H102" i="51"/>
  <c r="G39" i="57"/>
  <c r="F39" i="57"/>
  <c r="E39" i="57"/>
  <c r="T65" i="48"/>
  <c r="R65" i="48"/>
  <c r="T60" i="48"/>
  <c r="R60" i="48"/>
  <c r="U164" i="48"/>
  <c r="T164" i="48"/>
  <c r="U152" i="48"/>
  <c r="T152" i="48"/>
  <c r="T70" i="48"/>
  <c r="R70" i="48"/>
  <c r="H105" i="51"/>
  <c r="H99" i="51"/>
  <c r="F38" i="57"/>
  <c r="E38" i="57"/>
  <c r="G38" i="57"/>
  <c r="P75" i="58"/>
  <c r="U155" i="48"/>
  <c r="T155" i="48"/>
  <c r="U168" i="48"/>
  <c r="T168" i="48"/>
  <c r="T160" i="48"/>
  <c r="U160" i="48"/>
  <c r="R74" i="48"/>
  <c r="T74" i="48"/>
  <c r="H88" i="51"/>
  <c r="H91" i="51"/>
  <c r="H89" i="51"/>
  <c r="H87" i="51"/>
  <c r="H90" i="51"/>
  <c r="H92" i="51"/>
  <c r="E37" i="57"/>
  <c r="G37" i="57"/>
  <c r="F37" i="57"/>
  <c r="P78" i="58"/>
  <c r="U159" i="48"/>
  <c r="T159" i="48"/>
  <c r="T151" i="48"/>
  <c r="U151" i="48"/>
  <c r="U166" i="48"/>
  <c r="T166" i="48"/>
  <c r="R71" i="48"/>
  <c r="T71" i="48"/>
  <c r="T66" i="48"/>
  <c r="R66" i="48"/>
  <c r="T69" i="48"/>
  <c r="R69" i="48"/>
  <c r="R67" i="48"/>
  <c r="T67" i="48"/>
  <c r="U161" i="48"/>
  <c r="T161" i="48"/>
  <c r="T156" i="48"/>
  <c r="U156" i="48"/>
  <c r="T153" i="48"/>
  <c r="U153" i="48"/>
  <c r="O38" i="58"/>
  <c r="P40" i="58" s="1"/>
  <c r="T68" i="48"/>
  <c r="R68" i="48"/>
  <c r="B7" i="57" l="1"/>
  <c r="B9" i="57"/>
  <c r="B6" i="57"/>
  <c r="N67" i="53"/>
  <c r="O65" i="53"/>
  <c r="N68" i="53"/>
  <c r="M65" i="53"/>
  <c r="N65" i="53"/>
  <c r="O63" i="53"/>
  <c r="N63" i="53"/>
  <c r="M68" i="53"/>
  <c r="M67" i="53"/>
  <c r="K67" i="53"/>
  <c r="K68" i="53"/>
  <c r="K62" i="53"/>
  <c r="M63" i="53"/>
  <c r="O66" i="53"/>
  <c r="M66" i="53"/>
  <c r="N66" i="53"/>
  <c r="O62" i="53"/>
  <c r="N62" i="53"/>
  <c r="G54" i="48"/>
  <c r="D73" i="58"/>
  <c r="M64" i="53"/>
  <c r="K64" i="53"/>
  <c r="N64" i="53"/>
  <c r="E104" i="48"/>
  <c r="G123" i="48"/>
  <c r="E118" i="48"/>
  <c r="E121" i="48"/>
  <c r="E119" i="48"/>
  <c r="G104" i="48"/>
  <c r="F73" i="58"/>
  <c r="G118" i="48"/>
  <c r="E113" i="48"/>
  <c r="E110" i="48"/>
  <c r="E111" i="48"/>
  <c r="E109" i="48"/>
  <c r="E105" i="48"/>
  <c r="E112" i="48"/>
  <c r="E108" i="48"/>
  <c r="E122" i="48"/>
  <c r="E116" i="48"/>
  <c r="E106" i="48"/>
  <c r="E114" i="48"/>
  <c r="G105" i="48"/>
  <c r="E115" i="48"/>
  <c r="E107" i="48"/>
  <c r="G106" i="48"/>
  <c r="E117" i="48"/>
  <c r="E120" i="48"/>
  <c r="G115" i="48"/>
  <c r="G113" i="48"/>
  <c r="G112" i="48"/>
  <c r="G119" i="48"/>
  <c r="G121" i="48"/>
  <c r="G111" i="48"/>
  <c r="G117" i="48"/>
  <c r="G110" i="48"/>
  <c r="G109" i="48"/>
  <c r="G122" i="48"/>
  <c r="G107" i="48"/>
  <c r="G114" i="48"/>
  <c r="G120" i="48"/>
  <c r="G108" i="48"/>
  <c r="M21" i="53"/>
  <c r="L23" i="53" s="1"/>
  <c r="T102" i="48"/>
  <c r="U104" i="48" s="1"/>
  <c r="R102" i="48"/>
  <c r="S106" i="48" s="1"/>
  <c r="S5" i="48"/>
  <c r="U5" i="48"/>
  <c r="R76" i="58"/>
  <c r="R42" i="58"/>
  <c r="R77" i="58"/>
  <c r="R41" i="58"/>
  <c r="R43" i="58"/>
  <c r="R78" i="58"/>
  <c r="P43" i="58"/>
  <c r="P41" i="58"/>
  <c r="E41" i="57"/>
  <c r="D37" i="57" s="1"/>
  <c r="J40" i="57"/>
  <c r="C40" i="57"/>
  <c r="H40" i="57" s="1"/>
  <c r="B121" i="51"/>
  <c r="B123" i="51"/>
  <c r="B112" i="51"/>
  <c r="B130" i="51"/>
  <c r="B128" i="51"/>
  <c r="B120" i="51"/>
  <c r="B119" i="51"/>
  <c r="B117" i="51"/>
  <c r="B113" i="51"/>
  <c r="B118" i="51"/>
  <c r="B111" i="51"/>
  <c r="B115" i="51"/>
  <c r="B116" i="51"/>
  <c r="B126" i="51"/>
  <c r="B125" i="51"/>
  <c r="B122" i="51"/>
  <c r="B127" i="51"/>
  <c r="B124" i="51"/>
  <c r="B129" i="51"/>
  <c r="B114" i="51"/>
  <c r="P73" i="58"/>
  <c r="R54" i="48"/>
  <c r="S56" i="48" s="1"/>
  <c r="C38" i="57"/>
  <c r="H38" i="57" s="1"/>
  <c r="J38" i="57"/>
  <c r="T54" i="48"/>
  <c r="U67" i="48" s="1"/>
  <c r="P42" i="58"/>
  <c r="C39" i="57"/>
  <c r="H39" i="57" s="1"/>
  <c r="J39" i="57"/>
  <c r="F41" i="57"/>
  <c r="J37" i="57"/>
  <c r="G41" i="57"/>
  <c r="C37" i="57"/>
  <c r="H37" i="57" s="1"/>
  <c r="M60" i="53" l="1"/>
  <c r="L63" i="53" s="1"/>
  <c r="L29" i="53"/>
  <c r="L28" i="53"/>
  <c r="S118" i="48"/>
  <c r="L32" i="53"/>
  <c r="L27" i="53"/>
  <c r="S115" i="48"/>
  <c r="E102" i="48"/>
  <c r="L30" i="53"/>
  <c r="S108" i="48"/>
  <c r="S122" i="48"/>
  <c r="S113" i="48"/>
  <c r="S111" i="48"/>
  <c r="G102" i="48"/>
  <c r="L25" i="53"/>
  <c r="L31" i="53"/>
  <c r="L24" i="53"/>
  <c r="L26" i="53"/>
  <c r="S109" i="48"/>
  <c r="S121" i="48"/>
  <c r="S114" i="48"/>
  <c r="S105" i="48"/>
  <c r="S119" i="48"/>
  <c r="S116" i="48"/>
  <c r="S112" i="48"/>
  <c r="S104" i="48"/>
  <c r="S123" i="48"/>
  <c r="S120" i="48"/>
  <c r="S107" i="48"/>
  <c r="S117" i="48"/>
  <c r="S110" i="48"/>
  <c r="D38" i="57"/>
  <c r="D39" i="57"/>
  <c r="D40" i="57"/>
  <c r="R73" i="58"/>
  <c r="U69" i="48"/>
  <c r="R38" i="58"/>
  <c r="U56" i="48"/>
  <c r="U58" i="48"/>
  <c r="S66" i="48"/>
  <c r="S72" i="48"/>
  <c r="S73" i="48"/>
  <c r="S74" i="48"/>
  <c r="S59" i="48"/>
  <c r="S65" i="48"/>
  <c r="S71" i="48"/>
  <c r="S69" i="48"/>
  <c r="U70" i="48"/>
  <c r="P38" i="58"/>
  <c r="S58" i="48"/>
  <c r="U65" i="48"/>
  <c r="U72" i="48"/>
  <c r="U62" i="48"/>
  <c r="G129" i="51"/>
  <c r="F129" i="51"/>
  <c r="E129" i="51"/>
  <c r="D129" i="51" s="1"/>
  <c r="E111" i="51"/>
  <c r="G111" i="51"/>
  <c r="F111" i="51"/>
  <c r="F112" i="51"/>
  <c r="E112" i="51"/>
  <c r="D112" i="51" s="1"/>
  <c r="G112" i="51"/>
  <c r="S70" i="48"/>
  <c r="G118" i="51"/>
  <c r="E118" i="51"/>
  <c r="D118" i="51" s="1"/>
  <c r="F118" i="51"/>
  <c r="U71" i="48"/>
  <c r="U60" i="48"/>
  <c r="F122" i="51"/>
  <c r="E122" i="51"/>
  <c r="D122" i="51" s="1"/>
  <c r="G122" i="51"/>
  <c r="G117" i="51"/>
  <c r="E117" i="51"/>
  <c r="D117" i="51" s="1"/>
  <c r="F117" i="51"/>
  <c r="S67" i="48"/>
  <c r="U66" i="48"/>
  <c r="F123" i="51"/>
  <c r="G123" i="51"/>
  <c r="E123" i="51"/>
  <c r="D123" i="51" s="1"/>
  <c r="F121" i="51"/>
  <c r="G121" i="51"/>
  <c r="E121" i="51"/>
  <c r="D121" i="51" s="1"/>
  <c r="E125" i="51"/>
  <c r="D125" i="51" s="1"/>
  <c r="G125" i="51"/>
  <c r="F125" i="51"/>
  <c r="E119" i="51"/>
  <c r="D119" i="51" s="1"/>
  <c r="G119" i="51"/>
  <c r="F119" i="51"/>
  <c r="S68" i="48"/>
  <c r="E113" i="51"/>
  <c r="D113" i="51" s="1"/>
  <c r="F113" i="51"/>
  <c r="G113" i="51"/>
  <c r="U75" i="48"/>
  <c r="U115" i="48"/>
  <c r="U116" i="48"/>
  <c r="U105" i="48"/>
  <c r="U119" i="48"/>
  <c r="U63" i="48"/>
  <c r="U123" i="48"/>
  <c r="U107" i="48"/>
  <c r="U108" i="48"/>
  <c r="U120" i="48"/>
  <c r="U111" i="48"/>
  <c r="U57" i="48"/>
  <c r="U61" i="48"/>
  <c r="U112" i="48"/>
  <c r="U64" i="48"/>
  <c r="U121" i="48"/>
  <c r="U106" i="48"/>
  <c r="U113" i="48"/>
  <c r="U117" i="48"/>
  <c r="U118" i="48"/>
  <c r="U114" i="48"/>
  <c r="U110" i="48"/>
  <c r="U109" i="48"/>
  <c r="U122" i="48"/>
  <c r="U68" i="48"/>
  <c r="F126" i="51"/>
  <c r="E126" i="51"/>
  <c r="D126" i="51" s="1"/>
  <c r="G126" i="51"/>
  <c r="G120" i="51"/>
  <c r="F120" i="51"/>
  <c r="E120" i="51"/>
  <c r="D120" i="51" s="1"/>
  <c r="S62" i="48"/>
  <c r="U73" i="48"/>
  <c r="U59" i="48"/>
  <c r="U74" i="48"/>
  <c r="G116" i="51"/>
  <c r="E116" i="51"/>
  <c r="D116" i="51" s="1"/>
  <c r="F116" i="51"/>
  <c r="F128" i="51"/>
  <c r="G128" i="51"/>
  <c r="E128" i="51"/>
  <c r="D128" i="51" s="1"/>
  <c r="G124" i="51"/>
  <c r="F124" i="51"/>
  <c r="E124" i="51"/>
  <c r="D124" i="51" s="1"/>
  <c r="E127" i="51"/>
  <c r="D127" i="51" s="1"/>
  <c r="F127" i="51"/>
  <c r="G127" i="51"/>
  <c r="S75" i="48"/>
  <c r="S61" i="48"/>
  <c r="S63" i="48"/>
  <c r="S64" i="48"/>
  <c r="S57" i="48"/>
  <c r="E114" i="51"/>
  <c r="D114" i="51" s="1"/>
  <c r="G114" i="51"/>
  <c r="F114" i="51"/>
  <c r="E115" i="51"/>
  <c r="D115" i="51" s="1"/>
  <c r="F115" i="51"/>
  <c r="G115" i="51"/>
  <c r="S60" i="48"/>
  <c r="L62" i="53" l="1"/>
  <c r="L64" i="53"/>
  <c r="L68" i="53"/>
  <c r="L65" i="53"/>
  <c r="L66" i="53"/>
  <c r="L67" i="53"/>
  <c r="L21" i="53"/>
  <c r="S102" i="48"/>
  <c r="I40" i="57"/>
  <c r="I37" i="57"/>
  <c r="D41" i="57"/>
  <c r="I38" i="57"/>
  <c r="I39" i="57"/>
  <c r="C120" i="51"/>
  <c r="U54" i="48"/>
  <c r="C121" i="51"/>
  <c r="C116" i="51"/>
  <c r="C119" i="51"/>
  <c r="C117" i="51"/>
  <c r="C114" i="51"/>
  <c r="C118" i="51"/>
  <c r="S54" i="48"/>
  <c r="C113" i="51"/>
  <c r="C112" i="51"/>
  <c r="C115" i="51"/>
  <c r="C123" i="51"/>
  <c r="C122" i="51"/>
  <c r="D111" i="51"/>
  <c r="D131" i="51" s="1"/>
  <c r="E131" i="51"/>
  <c r="C124" i="51"/>
  <c r="C129" i="51"/>
  <c r="C125" i="51"/>
  <c r="C126" i="51"/>
  <c r="U102" i="48"/>
  <c r="C127" i="51"/>
  <c r="C128" i="51"/>
  <c r="F131" i="51"/>
  <c r="G131" i="51"/>
  <c r="C111" i="51"/>
  <c r="L60" i="53" l="1"/>
  <c r="BD20" i="8"/>
  <c r="BR20" i="8" s="1"/>
  <c r="AI29" i="8"/>
  <c r="AW29" i="8" s="1"/>
  <c r="BK29" i="8" s="1"/>
  <c r="AW33" i="8"/>
  <c r="BK33" i="8" s="1"/>
  <c r="AH33" i="8"/>
  <c r="AH29" i="8" s="1"/>
  <c r="AV29" i="8" s="1"/>
  <c r="BJ29" i="8" s="1"/>
  <c r="AV33" i="8" l="1"/>
  <c r="BJ33" i="8" s="1"/>
  <c r="AH20" i="8"/>
  <c r="AV20" i="8" s="1"/>
  <c r="BJ20" i="8" s="1"/>
  <c r="AP5" i="8"/>
  <c r="BD5" i="8" s="1"/>
  <c r="BR5" i="8" s="1"/>
  <c r="AH5" i="8" l="1"/>
  <c r="AV5" i="8" s="1"/>
  <c r="BJ5" i="8" s="1"/>
  <c r="AO127" i="1"/>
  <c r="BC127" i="1" s="1"/>
  <c r="BQ127" i="1" s="1"/>
  <c r="AP127" i="1"/>
  <c r="BD127" i="1" s="1"/>
  <c r="BR127" i="1" s="1"/>
  <c r="AN129" i="1"/>
  <c r="BD129" i="1"/>
  <c r="BR129" i="1" s="1"/>
  <c r="BC129" i="1"/>
  <c r="BQ129" i="1" s="1"/>
  <c r="AN127" i="1" l="1"/>
  <c r="BB127" i="1" s="1"/>
  <c r="BP127" i="1" s="1"/>
  <c r="BB129" i="1"/>
  <c r="BP129" i="1" s="1"/>
  <c r="BE129" i="1"/>
  <c r="BS129" i="1" s="1"/>
  <c r="AQ127" i="1"/>
  <c r="BE127" i="1" s="1"/>
  <c r="BS127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Tâm, Lưu Thị Minh</author>
    <author>Diễm, Nguyễn Thị Thanh</author>
  </authors>
  <commentList>
    <comment ref="Q4" authorId="0" shapeId="0" xr:uid="{F46BC690-BB07-4C88-996D-CFAF8633931A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Giá bán EXW</t>
        </r>
      </text>
    </comment>
    <comment ref="L6" authorId="1" shapeId="0" xr:uid="{98D5D49D-380B-47DD-8922-783D0BBEAC90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Thuê xe 66 tấn giao Sri Thái+ xe nhà giao 6,6 tấn</t>
        </r>
      </text>
    </comment>
    <comment ref="L8" authorId="1" shapeId="0" xr:uid="{6CD6DA97-7C1F-4F60-9FBA-11493686EFAA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Phí vận chuyển hàng trả về T6.25</t>
        </r>
      </text>
    </comment>
    <comment ref="L106" authorId="1" shapeId="0" xr:uid="{5646C079-F12E-48A9-B812-047F0C3EAE17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1 chuyến Sri thái
1 chuyến HonChuan
2 chuyến Củ Chi</t>
        </r>
      </text>
    </comment>
    <comment ref="L150" authorId="1" shapeId="0" xr:uid="{2D362268-FD0B-48F3-BF6E-5E17EEC2EC15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Phí kiểm định 10 mẫu BPA theo yêu cầu khách hàng (1 mẫu: 1.764.000)</t>
        </r>
      </text>
    </comment>
    <comment ref="L169" authorId="1" shapeId="0" xr:uid="{0B6BBE10-6D32-41B7-9B45-C7AF3F774A21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Nhà xe hỗ trợ phí</t>
        </r>
      </text>
    </comment>
    <comment ref="L219" authorId="1" shapeId="0" xr:uid="{689830B6-BA8B-4C8F-8063-775354BFA637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Giao Honchuan</t>
        </r>
      </text>
    </comment>
    <comment ref="I267" authorId="1" shapeId="0" xr:uid="{1544EF82-6D24-45E1-9041-8FABC63272E3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xe nhà</t>
        </r>
      </text>
    </comment>
    <comment ref="I305" authorId="1" shapeId="0" xr:uid="{DBFCC159-BC72-484C-84EA-D72B61F985B0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xe nhà</t>
        </r>
      </text>
    </comment>
    <comment ref="L319" authorId="1" shapeId="0" xr:uid="{A5A30B8E-4554-47AC-A2EE-6BEFE6AB7218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2 chuyến giao Honchuan
2 chuyến giao Củ Chi</t>
        </r>
      </text>
    </comment>
    <comment ref="L353" authorId="1" shapeId="0" xr:uid="{429595CC-E3B5-407F-88C1-D1F8189C64EC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Chi phí đổi trả hàng</t>
        </r>
      </text>
    </comment>
    <comment ref="N371" authorId="1" shapeId="0" xr:uid="{97B6BBE0-ED71-400C-B973-60235343D720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100 USD/ tấn</t>
        </r>
      </text>
    </comment>
    <comment ref="L476" authorId="1" shapeId="0" xr:uid="{C8B6962D-6D5B-4591-B289-1E29E83848F5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Giao NN Củ Chi</t>
        </r>
      </text>
    </comment>
    <comment ref="L477" authorId="1" shapeId="0" xr:uid="{BBC81E66-E27F-401F-9ED7-930CEC6C0468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Giao Honchuan</t>
        </r>
      </text>
    </comment>
    <comment ref="L484" authorId="1" shapeId="0" xr:uid="{497870F3-BB56-4B14-8810-E19DAB895887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Sri Thái BD</t>
        </r>
      </text>
    </comment>
    <comment ref="L528" authorId="1" shapeId="0" xr:uid="{E52ED49B-E431-415D-97BD-5EAEE7381DC2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CP gởi mẫu</t>
        </r>
      </text>
    </comment>
    <comment ref="L584" authorId="1" shapeId="0" xr:uid="{88BE4D85-0A74-4CD7-BCD8-F5A5405B3882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Khách trả tiền xe</t>
        </r>
      </text>
    </comment>
    <comment ref="L589" authorId="1" shapeId="0" xr:uid="{4275557E-0405-4BC1-AAF4-F0F9888F0FBB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Thuê xe giao 11 tấn
Xe nhà giao 8,8 tấn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Tâm, Lưu Thị Minh</author>
  </authors>
  <commentList>
    <comment ref="D145" authorId="0" shapeId="0" xr:uid="{4BA588AC-14E7-4C32-9A54-74790BE5C50A}">
      <text>
        <r>
          <rPr>
            <sz val="9"/>
            <color indexed="81"/>
            <rFont val="Tahoma"/>
            <family val="2"/>
          </rPr>
          <t xml:space="preserve">Dưới
</t>
        </r>
      </text>
    </comment>
    <comment ref="D146" authorId="0" shapeId="0" xr:uid="{88D87790-E16C-4376-85A5-7063FBFBD47F}">
      <text>
        <r>
          <rPr>
            <sz val="9"/>
            <color indexed="81"/>
            <rFont val="Tahoma"/>
            <family val="2"/>
          </rPr>
          <t xml:space="preserve">Trên
</t>
        </r>
      </text>
    </comment>
    <comment ref="D195" authorId="0" shapeId="0" xr:uid="{00E8DBC7-A577-469B-91A6-E5DDDAEB8D4B}">
      <text>
        <r>
          <rPr>
            <sz val="9"/>
            <color indexed="81"/>
            <rFont val="Tahoma"/>
            <family val="2"/>
          </rPr>
          <t xml:space="preserve">Dưới
</t>
        </r>
      </text>
    </comment>
    <comment ref="D196" authorId="0" shapeId="0" xr:uid="{65EABF6C-3DCE-4B5C-BD89-5BC46A9D019F}">
      <text>
        <r>
          <rPr>
            <sz val="9"/>
            <color indexed="81"/>
            <rFont val="Tahoma"/>
            <family val="2"/>
          </rPr>
          <t xml:space="preserve">Trên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Tâm, Lưu Thị Minh</author>
  </authors>
  <commentList>
    <comment ref="AN15" authorId="0" shapeId="0" xr:uid="{68B9E660-A5B0-41E7-A9CF-ECD8C04F5E06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LDPE</t>
        </r>
      </text>
    </comment>
    <comment ref="C18" authorId="0" shapeId="0" xr:uid="{CB62FA2C-57B3-4A8B-9A35-8DD28A63D0AE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Doanh thu trừ cước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Tâm, Lưu Thị Minh</author>
  </authors>
  <commentList>
    <comment ref="D16" authorId="0" shapeId="0" xr:uid="{399AA12D-2069-4EBE-B3EC-CF2A3C65248F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Nhập tháng báo cáo</t>
        </r>
      </text>
    </comment>
    <comment ref="C35" authorId="0" shapeId="0" xr:uid="{578EA349-DFC9-483B-B9AE-72BB988E49D7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Nhập tháng báo cáo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Tâm, Lưu Thị Minh</author>
  </authors>
  <commentList>
    <comment ref="P5" authorId="0" shapeId="0" xr:uid="{88FAEAF8-4B47-43C3-9729-AD1309F2B8EA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giá theo tháng</t>
        </r>
      </text>
    </comment>
    <comment ref="C7" authorId="0" shapeId="0" xr:uid="{0CF9F760-B899-4DAD-8B49-A7FDDFA8BD15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Filter 10 SP có số lượng cao nhất - cột CL sheet "03. BC BH THEO SKU-USD"</t>
        </r>
      </text>
    </comment>
    <comment ref="F7" authorId="0" shapeId="0" xr:uid="{483A2673-E8B7-4AD9-A6D0-C166CD0AC121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trọng sản lượng trong tháng (tổng ko = 100%)</t>
        </r>
      </text>
    </comment>
    <comment ref="P25" authorId="0" shapeId="0" xr:uid="{FFD1A090-6B51-4321-B0AB-2A89B124E164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giá theo tháng</t>
        </r>
      </text>
    </comment>
    <comment ref="C27" authorId="0" shapeId="0" xr:uid="{F5A9C514-3320-4E65-83AA-7520241D5346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Filter 10 SP có số lượng cao nhất - cột CL sheet "03. BC BH THEO SKU-USD"</t>
        </r>
      </text>
    </comment>
    <comment ref="F27" authorId="0" shapeId="0" xr:uid="{2BC67F47-5A23-4A2A-B41F-21F42B30DAA4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trọng sản lượng trong tháng (tổng ko = 100%)</t>
        </r>
      </text>
    </comment>
    <comment ref="P41" authorId="0" shapeId="0" xr:uid="{33F17A0F-8961-403D-BC41-3B0CE773A681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giá theo tháng</t>
        </r>
      </text>
    </comment>
    <comment ref="C43" authorId="0" shapeId="0" xr:uid="{9384FBC1-2FDD-4B34-8F02-B0C9C50735F8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Filter 10 SP có số lượng cao nhất - cột CL sheet "05. BC BH THEO SKU-USD"</t>
        </r>
      </text>
    </comment>
    <comment ref="F43" authorId="0" shapeId="0" xr:uid="{3AED575A-52E2-48D9-824E-5904481ED0BE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trọng sản lượng trong tháng (tổng ko = 100%)</t>
        </r>
      </text>
    </comment>
    <comment ref="P58" authorId="0" shapeId="0" xr:uid="{C9BD6A6C-BDD0-4999-8F68-13015F361E9C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giá theo tháng</t>
        </r>
      </text>
    </comment>
    <comment ref="C60" authorId="0" shapeId="0" xr:uid="{C8715C69-3A83-4C9F-BCC0-7EB0D58A92DC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Filter 10 SP có số lượng cao nhất - cột CL sheet "05. BC BH THEO SKU-USD"</t>
        </r>
      </text>
    </comment>
    <comment ref="F60" authorId="0" shapeId="0" xr:uid="{78E98F2D-AAC2-4977-A897-B6A6DDD24B59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trọng sản lượng trong tháng (tổng ko = 100%)</t>
        </r>
      </text>
    </comment>
    <comment ref="P74" authorId="0" shapeId="0" xr:uid="{0C26E1DB-FB5B-4574-B547-8395243C5B93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giá theo tháng</t>
        </r>
      </text>
    </comment>
    <comment ref="C76" authorId="0" shapeId="0" xr:uid="{FD9EB00E-231D-46BA-95A4-40759FBDCCE3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Filter 10 SP có số lượng cao nhất - cột CL sheet "05. BC BH THEO SKU-USD"</t>
        </r>
      </text>
    </comment>
    <comment ref="F76" authorId="0" shapeId="0" xr:uid="{0E060653-A49F-438E-B2B2-4430C013428E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trọng sản lượng trong tháng (tổng ko = 100%)</t>
        </r>
      </text>
    </comment>
    <comment ref="P90" authorId="0" shapeId="0" xr:uid="{0E3A645C-5898-4B5D-8C8E-56ABF2526975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giá theo tháng</t>
        </r>
      </text>
    </comment>
    <comment ref="C92" authorId="0" shapeId="0" xr:uid="{EA502B0E-03C4-4EBD-A588-50966005D828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Filter 10 SP có số lượng cao nhất - cột CL sheet "05. BC BH THEO SKU-USD"</t>
        </r>
      </text>
    </comment>
    <comment ref="F92" authorId="0" shapeId="0" xr:uid="{5866F71E-702F-4F51-804C-0EB104C3F519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trọng sản lượng trong tháng (tổng ko = 100%)</t>
        </r>
      </text>
    </comment>
    <comment ref="P106" authorId="0" shapeId="0" xr:uid="{EA1A9EFC-C9DD-4CD4-AC07-B370DFF97A32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giá theo tháng</t>
        </r>
      </text>
    </comment>
    <comment ref="C108" authorId="0" shapeId="0" xr:uid="{D74439F9-9105-441B-846A-19D72230C91F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Filter 10 SP có số lượng cao nhất - cột CL sheet "05. BC BH THEO SKU-USD"</t>
        </r>
      </text>
    </comment>
    <comment ref="F108" authorId="0" shapeId="0" xr:uid="{00B4F493-69D3-4CDF-A8D7-14750F724026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trọng sản lượng trong tháng (tổng ko = 100%)</t>
        </r>
      </text>
    </comment>
    <comment ref="P122" authorId="0" shapeId="0" xr:uid="{FEAB4991-AF62-4F56-9E98-AD3B87AABE1F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giá theo tháng</t>
        </r>
      </text>
    </comment>
    <comment ref="C124" authorId="0" shapeId="0" xr:uid="{5447046A-A922-4EE2-B0FB-57C23144E7DA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Filter 10 SP có số lượng cao nhất - cột CL sheet "05. BC BH THEO SKU-USD"</t>
        </r>
      </text>
    </comment>
    <comment ref="F124" authorId="0" shapeId="0" xr:uid="{49A3F62E-DD9E-4D4F-8057-8356A3A524C2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trọng sản lượng trong tháng (tổng ko = 100%)</t>
        </r>
      </text>
    </comment>
    <comment ref="P135" authorId="0" shapeId="0" xr:uid="{93E84A15-0652-4B5C-9CFA-576567FE4F50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giá theo tháng</t>
        </r>
      </text>
    </comment>
    <comment ref="C137" authorId="0" shapeId="0" xr:uid="{B4E4C468-E8F5-4E00-8E88-5EC4665023B6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Filter 10 SP có số lượng cao nhất - cột CL sheet "05. BC BH THEO SKU-USD"</t>
        </r>
      </text>
    </comment>
    <comment ref="F137" authorId="0" shapeId="0" xr:uid="{398FDEA7-0E6D-4583-90EA-E939026DABE3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trọng sản lượng trong tháng (tổng ko = 100%)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Tâm, Lưu Thị Minh</author>
  </authors>
  <commentList>
    <comment ref="C19" authorId="0" shapeId="0" xr:uid="{149DC9B9-3842-4DE6-9C82-896876750389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Nhập tháng báo cáo</t>
        </r>
      </text>
    </comment>
    <comment ref="C70" authorId="0" shapeId="0" xr:uid="{8A6F7172-7945-4638-A6BD-AA830F5F9873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rPET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Tâm, Lưu Thị Minh</author>
  </authors>
  <commentList>
    <comment ref="E35" authorId="0" shapeId="0" xr:uid="{7ABD78C4-9651-4925-B465-97C96D396E73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Tây Ninh</t>
        </r>
      </text>
    </comment>
    <comment ref="E36" authorId="0" shapeId="0" xr:uid="{90012656-3DC7-417B-86D4-EA3822BB677B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Tây Ninh</t>
        </r>
      </text>
    </comment>
    <comment ref="E37" authorId="0" shapeId="0" xr:uid="{224A40CD-9F7F-40DB-9D7B-C0BB093EBA56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Tây Ninh</t>
        </r>
      </text>
    </comment>
    <comment ref="E51" authorId="0" shapeId="0" xr:uid="{031957EA-F0A2-4CE9-9AE5-418FDAEF0C30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Bắc Ninh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Tâm, Lưu Thị Minh</author>
  </authors>
  <commentList>
    <comment ref="M4" authorId="0" shapeId="0" xr:uid="{22E26B8D-411B-48A6-A653-C181D9383CAB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giá theo tháng</t>
        </r>
      </text>
    </comment>
    <comment ref="M18" authorId="0" shapeId="0" xr:uid="{BDF23C00-946F-4137-8562-780434FC4C87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giá theo tháng</t>
        </r>
      </text>
    </comment>
    <comment ref="M42" authorId="0" shapeId="0" xr:uid="{8C46B195-00C4-4C9F-8F69-2A53A1C5473A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giá theo tháng</t>
        </r>
      </text>
    </comment>
    <comment ref="M74" authorId="0" shapeId="0" xr:uid="{6D0ADDA0-DA4A-498B-BA1E-710CD0972521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giá theo tháng</t>
        </r>
      </text>
    </comment>
    <comment ref="M101" authorId="0" shapeId="0" xr:uid="{58A5DB90-F7EE-42E3-9A3E-DD101164AA82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giá theo tháng</t>
        </r>
      </text>
    </comment>
    <comment ref="M123" authorId="0" shapeId="0" xr:uid="{B97CA64B-ED4E-48B4-A9E4-BA966239C94A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giá theo tháng</t>
        </r>
      </text>
    </comment>
    <comment ref="M148" authorId="0" shapeId="0" xr:uid="{13DE67AA-65A7-4734-855D-DF7168491AA1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giá theo tháng</t>
        </r>
      </text>
    </comment>
    <comment ref="M177" authorId="0" shapeId="0" xr:uid="{DB4F5B66-554F-43B5-8DBF-55235AD4AF3D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giá theo tháng</t>
        </r>
      </text>
    </comment>
    <comment ref="M205" authorId="0" shapeId="0" xr:uid="{D105AA4F-AFF3-4ED6-8D06-D5B63D3C17CD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Tỷ giá theo tháng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Tâm, Lưu Thị Minh</author>
  </authors>
  <commentList>
    <comment ref="C5" authorId="0" shapeId="0" xr:uid="{3FE5FDC3-665E-4D41-9CD6-0315861BFA19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Filter 10 KH có số lượng cao nhất - cột CP sheet "02. BC BH THEO CUSTOMER-USD"</t>
        </r>
      </text>
    </comment>
    <comment ref="G5" authorId="0" shapeId="0" xr:uid="{8C5926E3-3D76-4060-A71F-F618FB1AAC57}">
      <text>
        <r>
          <rPr>
            <sz val="9"/>
            <color indexed="81"/>
            <rFont val="Tahoma"/>
            <family val="2"/>
          </rPr>
          <t>Filter các ô vàng</t>
        </r>
      </text>
    </comment>
    <comment ref="C38" authorId="0" shapeId="0" xr:uid="{48EAFE7B-7BC2-4566-81B8-9D777E32EDEB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Filter 10 KH có số lượng cao nhất - cột CP sheet "02. BC BH THEO CUSTOMER-USD"</t>
        </r>
      </text>
    </comment>
    <comment ref="G38" authorId="0" shapeId="0" xr:uid="{34C6355A-FA0C-4398-B5BE-A2C107156D0A}">
      <text>
        <r>
          <rPr>
            <sz val="9"/>
            <color indexed="81"/>
            <rFont val="Tahoma"/>
            <family val="2"/>
          </rPr>
          <t>Filter các ô vàng</t>
        </r>
      </text>
    </comment>
    <comment ref="C62" authorId="0" shapeId="0" xr:uid="{8CCDF05E-AFBC-4EA5-8C1D-87629A632ADE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Filter 10 KH có số lượng cao nhất - cột CP sheet "02. BC BH THEO CUSTOMER-USD"</t>
        </r>
      </text>
    </comment>
    <comment ref="G62" authorId="0" shapeId="0" xr:uid="{F7CB972F-93FD-4DAA-97F5-9DED17CB6547}">
      <text>
        <r>
          <rPr>
            <sz val="9"/>
            <color indexed="81"/>
            <rFont val="Tahoma"/>
            <family val="2"/>
          </rPr>
          <t>Filter các ô vàng</t>
        </r>
      </text>
    </comment>
    <comment ref="C86" authorId="0" shapeId="0" xr:uid="{663DC78F-03E2-4DF3-9CF6-B2B528623439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Filter 10 KH có số lượng cao nhất - cột CP sheet "02. BC BH THEO CUSTOMER-USD"</t>
        </r>
      </text>
    </comment>
    <comment ref="G86" authorId="0" shapeId="0" xr:uid="{E13864EC-7EAC-4D66-A8B2-34AE99BF539B}">
      <text>
        <r>
          <rPr>
            <sz val="9"/>
            <color indexed="81"/>
            <rFont val="Tahoma"/>
            <family val="2"/>
          </rPr>
          <t>Filter các ô vàng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Tâm, Lưu Thị Minh</author>
  </authors>
  <commentList>
    <comment ref="Q6" authorId="0" shapeId="0" xr:uid="{499BD0E5-C627-4F51-B1CD-79AEF0C61E7E}">
      <text>
        <r>
          <rPr>
            <b/>
            <sz val="9"/>
            <color indexed="81"/>
            <rFont val="Tahoma"/>
            <family val="2"/>
          </rPr>
          <t>Kéo lại công thức</t>
        </r>
      </text>
    </comment>
    <comment ref="Q55" authorId="0" shapeId="0" xr:uid="{EBD55870-5472-4952-A616-890ED2E3C579}">
      <text>
        <r>
          <rPr>
            <b/>
            <sz val="9"/>
            <color indexed="81"/>
            <rFont val="Tahoma"/>
            <family val="2"/>
          </rPr>
          <t>Kéo lại công thức</t>
        </r>
      </text>
    </comment>
    <comment ref="Q103" authorId="0" shapeId="0" xr:uid="{824F85C2-1928-4A0F-889D-DE003367F1BB}">
      <text>
        <r>
          <rPr>
            <b/>
            <sz val="9"/>
            <color indexed="81"/>
            <rFont val="Tahoma"/>
            <family val="2"/>
          </rPr>
          <t>Kéo lại công thức</t>
        </r>
      </text>
    </comment>
    <comment ref="S150" authorId="0" shapeId="0" xr:uid="{CCB3C0BA-6531-4C11-9C68-14CCC9896876}">
      <text>
        <r>
          <rPr>
            <b/>
            <sz val="9"/>
            <color indexed="81"/>
            <rFont val="Tahoma"/>
            <family val="2"/>
          </rPr>
          <t>Kéo lại công thức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Tâm, Lưu Thị Minh</author>
  </authors>
  <commentList>
    <comment ref="N6" authorId="0" shapeId="0" xr:uid="{5AE393DF-BD23-4D64-80C6-B3E8C86ACD3F}">
      <text>
        <r>
          <rPr>
            <b/>
            <sz val="9"/>
            <color indexed="81"/>
            <rFont val="Tahoma"/>
            <family val="2"/>
          </rPr>
          <t>Kéo lại công thức</t>
        </r>
      </text>
    </comment>
    <comment ref="N39" authorId="0" shapeId="0" xr:uid="{FC888EC7-18DF-4753-B82E-782A3B4EA20A}">
      <text>
        <r>
          <rPr>
            <b/>
            <sz val="9"/>
            <color indexed="81"/>
            <rFont val="Tahoma"/>
            <family val="2"/>
          </rPr>
          <t>Kéo lại công thức</t>
        </r>
      </text>
    </comment>
    <comment ref="N74" authorId="0" shapeId="0" xr:uid="{E49C0168-9FC5-4AAB-80DE-6A66D4C3FC09}">
      <text>
        <r>
          <rPr>
            <b/>
            <sz val="9"/>
            <color indexed="81"/>
            <rFont val="Tahoma"/>
            <family val="2"/>
          </rPr>
          <t>Kéo lại công thức</t>
        </r>
      </text>
    </comment>
    <comment ref="P107" authorId="0" shapeId="0" xr:uid="{1D0FD767-C2A7-4CA9-AECB-BE7A57B8609E}">
      <text>
        <r>
          <rPr>
            <b/>
            <sz val="9"/>
            <color indexed="81"/>
            <rFont val="Tahoma"/>
            <family val="2"/>
          </rPr>
          <t>Kéo lại công thức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Diễm, Nguyễn Thị Thanh</author>
    <author>Tâm, Lưu Thị Minh</author>
  </authors>
  <commentList>
    <comment ref="B5" authorId="0" shapeId="0" xr:uid="{52318525-E8F3-46B8-88BD-B2D8768E9C4D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WSS01G</t>
        </r>
      </text>
    </comment>
    <comment ref="B6" authorId="0" shapeId="0" xr:uid="{9FE75CE2-1827-4687-82DB-A3626A1F54B9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WSS01G</t>
        </r>
      </text>
    </comment>
    <comment ref="B8" authorId="1" shapeId="0" xr:uid="{CC6EC2FD-CA39-483C-AF79-C999A209CC14}">
      <text>
        <r>
          <rPr>
            <b/>
            <sz val="9"/>
            <color indexed="81"/>
            <rFont val="Tahoma"/>
            <family val="2"/>
          </rPr>
          <t>Tâm, Lưu Thị Minh:</t>
        </r>
        <r>
          <rPr>
            <sz val="9"/>
            <color indexed="81"/>
            <rFont val="Tahoma"/>
            <family val="2"/>
          </rPr>
          <t xml:space="preserve">
bình quân tháng</t>
        </r>
      </text>
    </comment>
    <comment ref="AE8" authorId="0" shapeId="0" xr:uid="{0DEDDCFF-C741-4619-B8E9-23EE6479FA54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WSS01G</t>
        </r>
      </text>
    </comment>
    <comment ref="B42" authorId="0" shapeId="0" xr:uid="{F9C84C8F-25DA-4D70-B3AB-26E933A02563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Giá hạt PCF01</t>
        </r>
      </text>
    </comment>
    <comment ref="AE44" authorId="0" shapeId="0" xr:uid="{18254F68-A5E4-41F5-85A7-FC258F7269F6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WSS01G</t>
        </r>
      </text>
    </comment>
    <comment ref="B82" authorId="0" shapeId="0" xr:uid="{785F3AB0-1F75-4AAD-BF63-6F6442F436E1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BQ các mã</t>
        </r>
      </text>
    </comment>
    <comment ref="B83" authorId="0" shapeId="0" xr:uid="{1D888E05-AF61-457A-B45F-0BC372673A00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Giá nội địa</t>
        </r>
      </text>
    </comment>
    <comment ref="B154" authorId="0" shapeId="0" xr:uid="{44E4C69C-FC7B-47DB-B027-C88445593FC2}">
      <text>
        <r>
          <rPr>
            <b/>
            <sz val="9"/>
            <color indexed="81"/>
            <rFont val="Tahoma"/>
            <family val="2"/>
          </rPr>
          <t>Diễm, Nguyễn Thị Thanh:</t>
        </r>
        <r>
          <rPr>
            <sz val="9"/>
            <color indexed="81"/>
            <rFont val="Tahoma"/>
            <family val="2"/>
          </rPr>
          <t xml:space="preserve">
Hỏi lại lấy mã nào tực tế bán 2 mã, 2 giá duyệt</t>
        </r>
      </text>
    </comment>
  </commentList>
</comments>
</file>

<file path=xl/sharedStrings.xml><?xml version="1.0" encoding="utf-8"?>
<sst xmlns="http://schemas.openxmlformats.org/spreadsheetml/2006/main" count="9170" uniqueCount="1101">
  <si>
    <t>Hạt Nhựa PP Thử Nghi</t>
  </si>
  <si>
    <t>110000441</t>
  </si>
  <si>
    <t>Nhựa Hồng Đông</t>
  </si>
  <si>
    <t>105299</t>
  </si>
  <si>
    <t>Hạt Nhựa rPP20L05</t>
  </si>
  <si>
    <t>110000471</t>
  </si>
  <si>
    <t>REYNERA</t>
  </si>
  <si>
    <t>200358</t>
  </si>
  <si>
    <t>Hạt Nhựa rPP20Gy01</t>
  </si>
  <si>
    <t>110000472</t>
  </si>
  <si>
    <t>Hạt nhựa rPP20B01</t>
  </si>
  <si>
    <t>110000392</t>
  </si>
  <si>
    <t>AN NHẬT</t>
  </si>
  <si>
    <t>105291</t>
  </si>
  <si>
    <t>Hạt Nhựa rPP20L03</t>
  </si>
  <si>
    <t>110000435</t>
  </si>
  <si>
    <t>Hồng Kim Long An</t>
  </si>
  <si>
    <t>105267</t>
  </si>
  <si>
    <t>Vảy PP Đỏ Nhạt</t>
  </si>
  <si>
    <t>110000421</t>
  </si>
  <si>
    <t>ĐẠI NHẤT LONG</t>
  </si>
  <si>
    <t>105248</t>
  </si>
  <si>
    <t>B2B</t>
  </si>
  <si>
    <t>rPP</t>
  </si>
  <si>
    <t>Tiến Thành</t>
  </si>
  <si>
    <t>105253</t>
  </si>
  <si>
    <t>XK</t>
  </si>
  <si>
    <t xml:space="preserve">Pentaplast </t>
  </si>
  <si>
    <t>200329</t>
  </si>
  <si>
    <t>CPSX Nhựa Duy Tân</t>
  </si>
  <si>
    <t>1000</t>
  </si>
  <si>
    <t>IV</t>
  </si>
  <si>
    <t>Vảy HD Ép Dương Bình Thuận</t>
  </si>
  <si>
    <t>110000469</t>
  </si>
  <si>
    <t>BTS Bình Thuận</t>
  </si>
  <si>
    <t>105300</t>
  </si>
  <si>
    <t>Vảy HD Ép Đỏ</t>
  </si>
  <si>
    <t>110000407</t>
  </si>
  <si>
    <t>Vảy HD Ép Vàng</t>
  </si>
  <si>
    <t>110000409</t>
  </si>
  <si>
    <t>Vảy HD Ép Lá</t>
  </si>
  <si>
    <t>110000410</t>
  </si>
  <si>
    <t>Vảy HD Ép Dương</t>
  </si>
  <si>
    <t>110000411</t>
  </si>
  <si>
    <t>102990</t>
  </si>
  <si>
    <t>Outeirinho</t>
  </si>
  <si>
    <t>200332</t>
  </si>
  <si>
    <t>Hạt nhựa rHDI3W01</t>
  </si>
  <si>
    <t>110000365</t>
  </si>
  <si>
    <t>Hạt Nhựa rHDB03W01</t>
  </si>
  <si>
    <t>110000337</t>
  </si>
  <si>
    <t>Hạt nhựa rHDB04B01</t>
  </si>
  <si>
    <t>110000341</t>
  </si>
  <si>
    <t>NHỰA ĐỒNG NAI</t>
  </si>
  <si>
    <t>105292</t>
  </si>
  <si>
    <t>Hạt nhựa rHDB03N01</t>
  </si>
  <si>
    <t>110000432</t>
  </si>
  <si>
    <t>Lix Việt Nam</t>
  </si>
  <si>
    <t>105264</t>
  </si>
  <si>
    <t>Hạt nhựa rHD Thổi Và</t>
  </si>
  <si>
    <t>110000345</t>
  </si>
  <si>
    <t>Hạt nhựa rHD Thổi Tr</t>
  </si>
  <si>
    <t>Hạt nhựa rHD Thổi Lá</t>
  </si>
  <si>
    <t>110000343</t>
  </si>
  <si>
    <t>Hạt nhựa rHDPE MBF01</t>
  </si>
  <si>
    <t>105189</t>
  </si>
  <si>
    <t>Resinex</t>
  </si>
  <si>
    <t>200326</t>
  </si>
  <si>
    <t>Hạt Nhựa rHDPE MBF01</t>
  </si>
  <si>
    <t>110000339</t>
  </si>
  <si>
    <t>Motul -DTP</t>
  </si>
  <si>
    <t>105284</t>
  </si>
  <si>
    <t>Dynaplast Bình Dương</t>
  </si>
  <si>
    <t>102865</t>
  </si>
  <si>
    <t>Hạt Nhựa HCBF-Yel-U</t>
  </si>
  <si>
    <t>110000426</t>
  </si>
  <si>
    <t>Dynaplast Bắc Ninh</t>
  </si>
  <si>
    <t>105223</t>
  </si>
  <si>
    <t>Hạt nhựa rHD Thổi Trắng</t>
  </si>
  <si>
    <t>Hạt Nhựa rHDPE PCF01</t>
  </si>
  <si>
    <t>110000481</t>
  </si>
  <si>
    <t>Unilever Duy Tân</t>
  </si>
  <si>
    <t>105263</t>
  </si>
  <si>
    <t>Hạt Nhựa HCBF-Whi-U</t>
  </si>
  <si>
    <t>110000425</t>
  </si>
  <si>
    <t>III</t>
  </si>
  <si>
    <t>Hạt nhựa rPET WSS05SB</t>
  </si>
  <si>
    <t>110000436</t>
  </si>
  <si>
    <t>Linh Chi</t>
  </si>
  <si>
    <t>105272</t>
  </si>
  <si>
    <t>CIF</t>
  </si>
  <si>
    <t>CS Fibers USA</t>
  </si>
  <si>
    <t>200353</t>
  </si>
  <si>
    <t>Hạt nhựa rPET WSS04SD</t>
  </si>
  <si>
    <t>Hạt nhựa rPET WSS03SD</t>
  </si>
  <si>
    <t>Xơ sợi</t>
  </si>
  <si>
    <t>II</t>
  </si>
  <si>
    <t>Hạt nhựa rPET WSS02G</t>
  </si>
  <si>
    <t>110000358</t>
  </si>
  <si>
    <t>Hạt nhựa rPET iSS01G</t>
  </si>
  <si>
    <t>110000355</t>
  </si>
  <si>
    <t>Hạt nhựa rPET WSS03G</t>
  </si>
  <si>
    <t>110000359</t>
  </si>
  <si>
    <t>Uy Kiệt</t>
  </si>
  <si>
    <t>104877</t>
  </si>
  <si>
    <t>Hạt nhựa rPET iSS01L</t>
  </si>
  <si>
    <t>110000376</t>
  </si>
  <si>
    <t>MIDA</t>
  </si>
  <si>
    <t>105266</t>
  </si>
  <si>
    <t>Hạt nhựa rPET WSS01G</t>
  </si>
  <si>
    <t>110000354</t>
  </si>
  <si>
    <t>Vĩ huy</t>
  </si>
  <si>
    <t>105234</t>
  </si>
  <si>
    <t>FOB</t>
  </si>
  <si>
    <t>Hạt nhựa rPET iSS01084G</t>
  </si>
  <si>
    <t>Dân Ôn Foods</t>
  </si>
  <si>
    <t>105293</t>
  </si>
  <si>
    <t>Magma International</t>
  </si>
  <si>
    <t>200362</t>
  </si>
  <si>
    <t>Suntory</t>
  </si>
  <si>
    <t>105271</t>
  </si>
  <si>
    <t>Hạt nhựa rPET WSS01</t>
  </si>
  <si>
    <t>110000329</t>
  </si>
  <si>
    <t>Dung Avient</t>
  </si>
  <si>
    <t>105255</t>
  </si>
  <si>
    <t>Hạt Nhựa rPET iSS84G-P</t>
  </si>
  <si>
    <t>110000383</t>
  </si>
  <si>
    <t>110000332</t>
  </si>
  <si>
    <t>Sri Thái Bình Dương</t>
  </si>
  <si>
    <t>105207</t>
  </si>
  <si>
    <t>Unilever-Ngọc Nghĩa</t>
  </si>
  <si>
    <t>105204</t>
  </si>
  <si>
    <t>104894</t>
  </si>
  <si>
    <t>Công ty TNHH La Vie</t>
  </si>
  <si>
    <t>104909</t>
  </si>
  <si>
    <t>Itochu</t>
  </si>
  <si>
    <t>200324</t>
  </si>
  <si>
    <t xml:space="preserve">Fega </t>
  </si>
  <si>
    <t>200330</t>
  </si>
  <si>
    <t>International Gate S</t>
  </si>
  <si>
    <t>200355</t>
  </si>
  <si>
    <t>Genesis Polymers Int</t>
  </si>
  <si>
    <t>200357</t>
  </si>
  <si>
    <t>POLYMERS INTERNATION</t>
  </si>
  <si>
    <t>200342</t>
  </si>
  <si>
    <t>PREMIUM WATER</t>
  </si>
  <si>
    <t>200343</t>
  </si>
  <si>
    <t>Aguarela do Mundo, S</t>
  </si>
  <si>
    <t>200338</t>
  </si>
  <si>
    <t>Plascene- DTP</t>
  </si>
  <si>
    <t>105281</t>
  </si>
  <si>
    <t>Parker-DTP</t>
  </si>
  <si>
    <t>105283</t>
  </si>
  <si>
    <t>Wiese</t>
  </si>
  <si>
    <t>200344</t>
  </si>
  <si>
    <t>Pepsi Bắc Mỹ</t>
  </si>
  <si>
    <t>DDP</t>
  </si>
  <si>
    <t>Amcor FairField</t>
  </si>
  <si>
    <t>200349</t>
  </si>
  <si>
    <t>Hạt Nhựa rPET iSS84G</t>
  </si>
  <si>
    <t>Plascene, Inc.</t>
  </si>
  <si>
    <t>200311</t>
  </si>
  <si>
    <t>Niagara Mexico</t>
  </si>
  <si>
    <t>200350</t>
  </si>
  <si>
    <t>Niagara Bottling, LL</t>
  </si>
  <si>
    <t>200319</t>
  </si>
  <si>
    <t xml:space="preserve"> rPET</t>
  </si>
  <si>
    <t>I</t>
  </si>
  <si>
    <t>Incoterm</t>
  </si>
  <si>
    <t>Booking
Yes/No</t>
  </si>
  <si>
    <t>Tên TP</t>
  </si>
  <si>
    <t>Mã TP</t>
  </si>
  <si>
    <t>Quốc gia</t>
  </si>
  <si>
    <t>Customer</t>
  </si>
  <si>
    <t>STT</t>
  </si>
  <si>
    <t>Mỹ</t>
  </si>
  <si>
    <t>105194</t>
  </si>
  <si>
    <t>Suntory Việt Nam</t>
  </si>
  <si>
    <t>105269</t>
  </si>
  <si>
    <t>200359</t>
  </si>
  <si>
    <t>MILKYWAY</t>
  </si>
  <si>
    <t>105222</t>
  </si>
  <si>
    <t>CN Cty Coca - Hà Nội</t>
  </si>
  <si>
    <t>110000333</t>
  </si>
  <si>
    <t>Hạt nhựa rPET WSS03</t>
  </si>
  <si>
    <t>105219</t>
  </si>
  <si>
    <t>CTY VÂN LONG</t>
  </si>
  <si>
    <t>110000374</t>
  </si>
  <si>
    <t>Hạt Nhựa rHDB03N02</t>
  </si>
  <si>
    <t>Month</t>
  </si>
  <si>
    <t>Material Group</t>
  </si>
  <si>
    <t>Product</t>
  </si>
  <si>
    <t>Số lượng h.bán T.Tế</t>
  </si>
  <si>
    <t>Doanh thu gộp T.Tế</t>
  </si>
  <si>
    <t>Doanh thu thuần 2 T.Tế</t>
  </si>
  <si>
    <t>Phí hoa hồng</t>
  </si>
  <si>
    <t xml:space="preserve">Doanh thu trừ cước </t>
  </si>
  <si>
    <t>Gía bán đv đã trừ cước (đ/kg)</t>
  </si>
  <si>
    <t>Gía bán đv đã trừ cước ($/kg)</t>
  </si>
  <si>
    <t>Giá vốn thực tế T.Tế</t>
  </si>
  <si>
    <t>GV đơn vị (VNĐ)</t>
  </si>
  <si>
    <t>GV đơn vị (usd)</t>
  </si>
  <si>
    <t>LN gộp</t>
  </si>
  <si>
    <t>%LNG</t>
  </si>
  <si>
    <t>110000366</t>
  </si>
  <si>
    <t>Hạt nhựa rHDI3G01</t>
  </si>
  <si>
    <t>110000361</t>
  </si>
  <si>
    <t>Hạt nhựa rHDI3R01</t>
  </si>
  <si>
    <t>110000360</t>
  </si>
  <si>
    <t>Hạt nhựa rHDI4L01</t>
  </si>
  <si>
    <t>110000364</t>
  </si>
  <si>
    <t>Hạt nhựa rHDI3Y01</t>
  </si>
  <si>
    <t>Coca-Cola Thủ Đức</t>
  </si>
  <si>
    <t>UNILEVER-NGỌC NGHĨA</t>
  </si>
  <si>
    <t>CTY NGỌC NGHĨA-TÂY N</t>
  </si>
  <si>
    <t>110000381</t>
  </si>
  <si>
    <t>110000363</t>
  </si>
  <si>
    <t>Hạt nhựa rHDI3Gy01</t>
  </si>
  <si>
    <t>110000382</t>
  </si>
  <si>
    <t>110000367</t>
  </si>
  <si>
    <t>Hạt nhựa rPP15R01</t>
  </si>
  <si>
    <t>105247</t>
  </si>
  <si>
    <t>MINH THÀNH</t>
  </si>
  <si>
    <t>160012374</t>
  </si>
  <si>
    <t>110000373</t>
  </si>
  <si>
    <t>Hạt nhựa rHDI4DL01</t>
  </si>
  <si>
    <t>Suntory- Ngọc Nghĩa</t>
  </si>
  <si>
    <t>LINH CHI</t>
  </si>
  <si>
    <t>Hạt nhựa rPET WSS04SB</t>
  </si>
  <si>
    <t>Mexico</t>
  </si>
  <si>
    <t>110000387</t>
  </si>
  <si>
    <t>110000482</t>
  </si>
  <si>
    <t>Hạt Nhựa rPP20W01</t>
  </si>
  <si>
    <t>105217</t>
  </si>
  <si>
    <t>Nestle Việt Nam</t>
  </si>
  <si>
    <t>105265</t>
  </si>
  <si>
    <t>Muji- DTP</t>
  </si>
  <si>
    <t>105301</t>
  </si>
  <si>
    <t>TÂN TƯỜNG KHANG</t>
  </si>
  <si>
    <t>105303</t>
  </si>
  <si>
    <t>TÂN LẬP THÀNH</t>
  </si>
  <si>
    <t>200363</t>
  </si>
  <si>
    <t>PakPot Australia</t>
  </si>
  <si>
    <t>200364</t>
  </si>
  <si>
    <t>POLYRESIN EOOD</t>
  </si>
  <si>
    <t>VN</t>
  </si>
  <si>
    <t>Bồ Đào Nha</t>
  </si>
  <si>
    <t>Hong Kong</t>
  </si>
  <si>
    <t>Singapore</t>
  </si>
  <si>
    <t>Australia</t>
  </si>
  <si>
    <t>Hy Lạp</t>
  </si>
  <si>
    <t>Nhật</t>
  </si>
  <si>
    <t>Italy</t>
  </si>
  <si>
    <t>Hàn Quốc</t>
  </si>
  <si>
    <t>Bulgaria</t>
  </si>
  <si>
    <t>Phần Lan</t>
  </si>
  <si>
    <t>Israel</t>
  </si>
  <si>
    <t>SẢN LƯỢNG BÁN (tấn)</t>
  </si>
  <si>
    <t>Kênh bán hàng</t>
  </si>
  <si>
    <t>Cộng</t>
  </si>
  <si>
    <t>Xuất khẩu</t>
  </si>
  <si>
    <t>Nội địa</t>
  </si>
  <si>
    <t>DOANH THU (USD)</t>
  </si>
  <si>
    <t>DOANH THU GIÁ EXW (USD)</t>
  </si>
  <si>
    <t>XUẤT KHẨU - B2B</t>
  </si>
  <si>
    <t>rHDPE thổi</t>
  </si>
  <si>
    <t>rHDPE ép</t>
  </si>
  <si>
    <t>Vày rHDPE ép</t>
  </si>
  <si>
    <t>V</t>
  </si>
  <si>
    <t>Vảy rPP</t>
  </si>
  <si>
    <t>Tỷ giá</t>
  </si>
  <si>
    <t>1</t>
  </si>
  <si>
    <t>Doanh thu trừ cước (usd)</t>
  </si>
  <si>
    <t>Doanh thu  (usd)</t>
  </si>
  <si>
    <t>1. GIÁ BÁN (USD)</t>
  </si>
  <si>
    <t>2. GIÁ BÁN EXW (USD)</t>
  </si>
  <si>
    <t>3. GIÁ DUYỆT EXW (USD)</t>
  </si>
  <si>
    <t>4. C.LỆCH GIÁ BÁN sv GIÁ DUYỆT (EXW - USD)</t>
  </si>
  <si>
    <t>5. C.LỆCH GIÁ BÁN sv GIÁ DUYỆT (EXW - %)</t>
  </si>
  <si>
    <t>6. GIÁ VỐN (USD)</t>
  </si>
  <si>
    <t>VND / USD</t>
  </si>
  <si>
    <t>7 SỐ LƯỢNG (TẤN)</t>
  </si>
  <si>
    <t>8. DOANH THU (USD)</t>
  </si>
  <si>
    <t>rPET</t>
  </si>
  <si>
    <t>Tấn</t>
  </si>
  <si>
    <t>%</t>
  </si>
  <si>
    <t>USD</t>
  </si>
  <si>
    <t>1.</t>
  </si>
  <si>
    <t>2.</t>
  </si>
  <si>
    <t>3.</t>
  </si>
  <si>
    <t>4.</t>
  </si>
  <si>
    <t>LỢI NHUẬN GỘP (USD)</t>
  </si>
  <si>
    <t>Năm</t>
  </si>
  <si>
    <t>TỶ GIÁ</t>
  </si>
  <si>
    <t>Ghi chú</t>
  </si>
  <si>
    <t>Vảy rHDPE ép</t>
  </si>
  <si>
    <t>LN gộp (USD)</t>
  </si>
  <si>
    <t>Giá vốn (USD)</t>
  </si>
  <si>
    <t>9. LỢI NHUẬN GỘP (EXW - GV)</t>
  </si>
  <si>
    <t>% LNG / Dthu</t>
  </si>
  <si>
    <t>Tỷ trọng</t>
  </si>
  <si>
    <t>Quy đổi tên</t>
  </si>
  <si>
    <t>WSS01</t>
  </si>
  <si>
    <t>iSS01084G</t>
  </si>
  <si>
    <t>WSS03</t>
  </si>
  <si>
    <t>rHDB03W01</t>
  </si>
  <si>
    <t>MBF01</t>
  </si>
  <si>
    <t>rHDB04B01</t>
  </si>
  <si>
    <t>Hạt Nhựa rHDB03G01</t>
  </si>
  <si>
    <t>rHDB03G01</t>
  </si>
  <si>
    <t>rHDB03Y01</t>
  </si>
  <si>
    <t>Hạt Nhựa rHDB03Y01</t>
  </si>
  <si>
    <t>WSS01G</t>
  </si>
  <si>
    <t>iSS01G</t>
  </si>
  <si>
    <t>WSS02G</t>
  </si>
  <si>
    <t>WSS03G</t>
  </si>
  <si>
    <t>rHDI4L01</t>
  </si>
  <si>
    <t>rHDI3R01</t>
  </si>
  <si>
    <t>rHDI3Gy01</t>
  </si>
  <si>
    <t>rHDI3Y01</t>
  </si>
  <si>
    <t>rHDI3W01</t>
  </si>
  <si>
    <t>rHDI3G01</t>
  </si>
  <si>
    <t>rPP15R01</t>
  </si>
  <si>
    <t>rHDI4DL01</t>
  </si>
  <si>
    <t>rHDB03N02</t>
  </si>
  <si>
    <t>iSS01L</t>
  </si>
  <si>
    <t>WSS04SD</t>
  </si>
  <si>
    <t>WSS04SB</t>
  </si>
  <si>
    <t>iSS84G</t>
  </si>
  <si>
    <t>iSS84G-P</t>
  </si>
  <si>
    <t>rPP20B01</t>
  </si>
  <si>
    <t>HCBF-Whi-U</t>
  </si>
  <si>
    <t>HCBF-Yel-U</t>
  </si>
  <si>
    <t>rHDB03N01</t>
  </si>
  <si>
    <t>rPP20L03</t>
  </si>
  <si>
    <t>WSS05SB</t>
  </si>
  <si>
    <t>Hạt Nhựa PP Thử Nghiệm</t>
  </si>
  <si>
    <t>PP Thử Nghiệm</t>
  </si>
  <si>
    <t>rPP20L05</t>
  </si>
  <si>
    <t>rPP20Gy01</t>
  </si>
  <si>
    <t>PCF01</t>
  </si>
  <si>
    <t>rPP20W01</t>
  </si>
  <si>
    <t>XƠ SỢI</t>
  </si>
  <si>
    <t>VI</t>
  </si>
  <si>
    <t>VII</t>
  </si>
  <si>
    <t>Tên tắt</t>
  </si>
  <si>
    <t>WSS03SD</t>
  </si>
  <si>
    <t>105186</t>
  </si>
  <si>
    <t>CÔNG TY TNHH HON CHU</t>
  </si>
  <si>
    <t>110000369</t>
  </si>
  <si>
    <t>Hạt nhựa rPP25W01</t>
  </si>
  <si>
    <t>105286</t>
  </si>
  <si>
    <t>Mondelez-Việt Thành</t>
  </si>
  <si>
    <t>105290</t>
  </si>
  <si>
    <t>HOÀNG TẤN</t>
  </si>
  <si>
    <t>160012726</t>
  </si>
  <si>
    <t>Phó Sản PET Bụi Tank</t>
  </si>
  <si>
    <t>160012727</t>
  </si>
  <si>
    <t>160012728</t>
  </si>
  <si>
    <t>160012729</t>
  </si>
  <si>
    <t>105309</t>
  </si>
  <si>
    <t>VI LỮ</t>
  </si>
  <si>
    <t>200365</t>
  </si>
  <si>
    <t>Vinmar International</t>
  </si>
  <si>
    <t>200367</t>
  </si>
  <si>
    <t>MAS CO.LTD</t>
  </si>
  <si>
    <t>rPP25W01</t>
  </si>
  <si>
    <t>Vảy HD Ép dương</t>
  </si>
  <si>
    <t>Hạt nhựa rPET iSS01G 1</t>
  </si>
  <si>
    <t>Hạt nhựa rPET WSS01G 1</t>
  </si>
  <si>
    <t>TỔNG</t>
  </si>
  <si>
    <t>LNG</t>
  </si>
  <si>
    <t>Vảy HD Thổi Trong HV</t>
  </si>
  <si>
    <t>105306</t>
  </si>
  <si>
    <t>MTV MILKIWAY SOLUTIO</t>
  </si>
  <si>
    <t>110000443</t>
  </si>
  <si>
    <t>Hạt Nhựa rHDA03N01</t>
  </si>
  <si>
    <t>A03N01</t>
  </si>
  <si>
    <t>Giá duyệt</t>
  </si>
  <si>
    <t>CL</t>
  </si>
  <si>
    <t>BQ 2024</t>
  </si>
  <si>
    <t>Cộng 2025</t>
  </si>
  <si>
    <t>BQ 2025</t>
  </si>
  <si>
    <t>BQ TT 2024</t>
  </si>
  <si>
    <t>Cộng TT 2024</t>
  </si>
  <si>
    <t>ĐVT</t>
  </si>
  <si>
    <t>Cộng TT 2025</t>
  </si>
  <si>
    <t>BQ TT 2025</t>
  </si>
  <si>
    <t>BQ KH 2025</t>
  </si>
  <si>
    <t>KH 2025</t>
  </si>
  <si>
    <t>VẼ BIỂU ĐỒ SẢN LƯỢNG</t>
  </si>
  <si>
    <t>% Xuất khẩu TT</t>
  </si>
  <si>
    <t>% B2B TT</t>
  </si>
  <si>
    <t>Cộng KH</t>
  </si>
  <si>
    <t>% Xuất khẩu KH</t>
  </si>
  <si>
    <t>% B2B KH</t>
  </si>
  <si>
    <t>Cộng TT</t>
  </si>
  <si>
    <t>Max</t>
  </si>
  <si>
    <t>Thực tế XK</t>
  </si>
  <si>
    <t>Thực tế B2B</t>
  </si>
  <si>
    <t>Kế hoạch XK</t>
  </si>
  <si>
    <t>Kế hoạch B2B</t>
  </si>
  <si>
    <t>cột</t>
  </si>
  <si>
    <t>line</t>
  </si>
  <si>
    <t>Khác</t>
  </si>
  <si>
    <t xml:space="preserve">2. </t>
  </si>
  <si>
    <t xml:space="preserve">1. </t>
  </si>
  <si>
    <t xml:space="preserve">3. </t>
  </si>
  <si>
    <t>VẼ BIỂU ĐỒ SẢN LƯỢNG LŨY KẾ</t>
  </si>
  <si>
    <t>LK 2025</t>
  </si>
  <si>
    <t>LK 2024</t>
  </si>
  <si>
    <t>Nhóm hàng</t>
  </si>
  <si>
    <t>BÁO CÁO BÁN HÀNG</t>
  </si>
  <si>
    <t>Phó sản</t>
  </si>
  <si>
    <t>% LỢI NHUẬN GỘP/ DOANH THU</t>
  </si>
  <si>
    <t xml:space="preserve">4. </t>
  </si>
  <si>
    <t>VẼ BIỂU ĐỒ SẢN LƯỢNG BÁN (tấn)</t>
  </si>
  <si>
    <t>Xếp hạng</t>
  </si>
  <si>
    <t>% TT sv KH</t>
  </si>
  <si>
    <t>Cơ cấu</t>
  </si>
  <si>
    <t>Dây đai</t>
  </si>
  <si>
    <t>TT 2025</t>
  </si>
  <si>
    <t>Mã SAP</t>
  </si>
  <si>
    <t>Tên Sản phẩm</t>
  </si>
  <si>
    <t>số lượng (tấn)</t>
  </si>
  <si>
    <t>% LNG/ doanh thu EXW</t>
  </si>
  <si>
    <t>Doanh thu
(Tr.đ)</t>
  </si>
  <si>
    <t>Doanh thu
(USD)</t>
  </si>
  <si>
    <t>Lợi nhuận gộp
(Tr.đ)</t>
  </si>
  <si>
    <t>Lợi nhuận gộp
(USD)</t>
  </si>
  <si>
    <t>Số lượng Lũy kế 2025 (tấn)</t>
  </si>
  <si>
    <t>Doanh thu Lũy kế 2025
(Tr.đ)</t>
  </si>
  <si>
    <t>Doanh thu Lũy kế 2025
(USD)</t>
  </si>
  <si>
    <t>Lợi nhuận gộp LK 2025
(Tr.đ)</t>
  </si>
  <si>
    <t>Lợi nhuận gộp
LK 2025(USD)</t>
  </si>
  <si>
    <t>% LNG/ doanh thu EXW LK 2025</t>
  </si>
  <si>
    <t>CỘNG</t>
  </si>
  <si>
    <t>THÁNG:</t>
  </si>
  <si>
    <t>Tỷ giá:</t>
  </si>
  <si>
    <t>Nội dung</t>
  </si>
  <si>
    <t>Giá bán Unilever</t>
  </si>
  <si>
    <t>Giá ICIS</t>
  </si>
  <si>
    <t>Điểm hoàn vốn</t>
  </si>
  <si>
    <t>Giá Resin</t>
  </si>
  <si>
    <t>1.24</t>
  </si>
  <si>
    <t>1.25</t>
  </si>
  <si>
    <t>% +/- giá bán/ giá Resin</t>
  </si>
  <si>
    <t>Giá bán EXW BQ thực tế</t>
  </si>
  <si>
    <t>THEO DÕI GIÁ BÁN</t>
  </si>
  <si>
    <t>rHDPE Thổi</t>
  </si>
  <si>
    <t>rHDPE Ép</t>
  </si>
  <si>
    <t>2025</t>
  </si>
  <si>
    <t>105319</t>
  </si>
  <si>
    <t>PHƯƠNG VI</t>
  </si>
  <si>
    <t>105322</t>
  </si>
  <si>
    <t>PHÚC LONG TÂY NINH</t>
  </si>
  <si>
    <t>105324</t>
  </si>
  <si>
    <t>NHỰA TRƯỜNG AN</t>
  </si>
  <si>
    <t>200337</t>
  </si>
  <si>
    <t>Toyota Tsusho</t>
  </si>
  <si>
    <t>200368</t>
  </si>
  <si>
    <t>SodaStream</t>
  </si>
  <si>
    <t>110000497</t>
  </si>
  <si>
    <t>110000466</t>
  </si>
  <si>
    <t>Hạt Nhựa rPET WSS05S</t>
  </si>
  <si>
    <t>150000186</t>
  </si>
  <si>
    <t>Vảy PP Trắng Sữa PV-</t>
  </si>
  <si>
    <t>160012902</t>
  </si>
  <si>
    <t>Hạt Nhựa rPET WSS01G-L</t>
  </si>
  <si>
    <t>WSS01G-L</t>
  </si>
  <si>
    <t>Hạt Nhựa rPET WSS05SB-2</t>
  </si>
  <si>
    <t>WSS05SB-2</t>
  </si>
  <si>
    <t>BÁO CÁO BÁN HÀNG 2025</t>
  </si>
  <si>
    <t>KH</t>
  </si>
  <si>
    <t>TT</t>
  </si>
  <si>
    <t>%XK</t>
  </si>
  <si>
    <t>%B2B</t>
  </si>
  <si>
    <t>LK TT 2025</t>
  </si>
  <si>
    <t>7 SỐ LƯỢNG BÁN (TẤN)</t>
  </si>
  <si>
    <t>Tên Khách hàng</t>
  </si>
  <si>
    <t>rHDPE</t>
  </si>
  <si>
    <t>Khách hàng</t>
  </si>
  <si>
    <t>Đơn giá bán EXW (USD)</t>
  </si>
  <si>
    <t>Đơn giá duyệt EXW (USD)</t>
  </si>
  <si>
    <t>Giá vốn
(USD)</t>
  </si>
  <si>
    <t>DOANH THU EXW(USD)</t>
  </si>
  <si>
    <t>TT 2024</t>
  </si>
  <si>
    <t>CL GB sv Resin</t>
  </si>
  <si>
    <t>GCP</t>
  </si>
  <si>
    <t>-</t>
  </si>
  <si>
    <t>Hạt rPP</t>
  </si>
  <si>
    <t>Vảy HD ép</t>
  </si>
  <si>
    <t>Vảy PP</t>
  </si>
  <si>
    <t>Giải trình</t>
  </si>
  <si>
    <t>% +/- giá bán sv giá Resin</t>
  </si>
  <si>
    <t xml:space="preserve"> +/- giá bán sv giá Resin</t>
  </si>
  <si>
    <t>Giá Resin 1</t>
  </si>
  <si>
    <t>Giá bán EXW Thực tế BQ</t>
  </si>
  <si>
    <t>Giá bán EXW thực tế BQ</t>
  </si>
  <si>
    <t>Giá bán EXW thựC tế BQ</t>
  </si>
  <si>
    <t>XEM LẠI SỐ LIỆU BẢN NÀY</t>
  </si>
  <si>
    <t>Niagara</t>
  </si>
  <si>
    <t>Unilever</t>
  </si>
  <si>
    <t>Dynaplast</t>
  </si>
  <si>
    <t>Coca_Cola</t>
  </si>
  <si>
    <t>Premium Water</t>
  </si>
  <si>
    <t>Milkyway</t>
  </si>
  <si>
    <t>La vie</t>
  </si>
  <si>
    <t>CS Fiber</t>
  </si>
  <si>
    <t>Công ty Chấn Thuận T</t>
  </si>
  <si>
    <t>Suntory Sri Thái Bìn</t>
  </si>
  <si>
    <t>105323</t>
  </si>
  <si>
    <t>ĐẠI LỤC</t>
  </si>
  <si>
    <t>105327</t>
  </si>
  <si>
    <t>MEGA</t>
  </si>
  <si>
    <t>105329</t>
  </si>
  <si>
    <t>DUROCOLOUR</t>
  </si>
  <si>
    <t>105330</t>
  </si>
  <si>
    <t>Việt Thành Plast</t>
  </si>
  <si>
    <t>105333</t>
  </si>
  <si>
    <t>LƯỚI BẢO NÔNG</t>
  </si>
  <si>
    <t>105334</t>
  </si>
  <si>
    <t>NHỰA BUYO</t>
  </si>
  <si>
    <t>Pentaplast SRL</t>
  </si>
  <si>
    <t>Fega</t>
  </si>
  <si>
    <t>OUTEIRINHO TURISMO E</t>
  </si>
  <si>
    <t>200341</t>
  </si>
  <si>
    <t>Pragmatrade</t>
  </si>
  <si>
    <t>200369</t>
  </si>
  <si>
    <t>PTI- Retal</t>
  </si>
  <si>
    <t>200370</t>
  </si>
  <si>
    <t>KORYFES SA</t>
  </si>
  <si>
    <t>200372</t>
  </si>
  <si>
    <t>MERAXIS AG</t>
  </si>
  <si>
    <t>200374</t>
  </si>
  <si>
    <t>Polycad</t>
  </si>
  <si>
    <t>110000408</t>
  </si>
  <si>
    <t>Vảy HD Ép Trắng</t>
  </si>
  <si>
    <t>110000389</t>
  </si>
  <si>
    <t>Hạt nhựa rPP20R02</t>
  </si>
  <si>
    <t>110000496</t>
  </si>
  <si>
    <t>Hạt Nhựa rHDI7DL02</t>
  </si>
  <si>
    <t>rPP20R02</t>
  </si>
  <si>
    <t>rHDI7DL02</t>
  </si>
  <si>
    <t xml:space="preserve">GIÁ BQ </t>
  </si>
  <si>
    <t>GIÁ BÁN EXW BQ</t>
  </si>
  <si>
    <t xml:space="preserve">GIÁ DUYỆT EXW BQ </t>
  </si>
  <si>
    <t xml:space="preserve">C.LỆCH  BQ </t>
  </si>
  <si>
    <t>C.LỆCH  BQ</t>
  </si>
  <si>
    <t>GIÁ VỐN</t>
  </si>
  <si>
    <t>SỐ LƯỢNG</t>
  </si>
  <si>
    <t>DOANH THU</t>
  </si>
  <si>
    <t>LN GỘP</t>
  </si>
  <si>
    <t>GIÁ BQ</t>
  </si>
  <si>
    <t>GIÁ DUYỆT EXW BQ</t>
  </si>
  <si>
    <t>% C.LỆCH  BQ</t>
  </si>
  <si>
    <t>GIÁ VỐN
(USD)</t>
  </si>
  <si>
    <t>DOANH THU
(USD)</t>
  </si>
  <si>
    <t>LN GỘP
(USD)</t>
  </si>
  <si>
    <t>Giá bán</t>
  </si>
  <si>
    <t>9. LỢI NHUẬN GỘP USD (EXW - GV)</t>
  </si>
  <si>
    <t>BÁO CÁO TOP 5 SKU CÓ SẢN LƯỢNG BÁN CAO NHẤT</t>
  </si>
  <si>
    <t>OK</t>
  </si>
  <si>
    <t>BÁO CÁO BÁN LỖ</t>
  </si>
  <si>
    <t>Mã Khách hàng</t>
  </si>
  <si>
    <t>Giá thành cao do T1 sản xuất SL thấp</t>
  </si>
  <si>
    <t>Giải trình giá bán thấp (Diễm)</t>
  </si>
  <si>
    <t>Giải trình giá vốn cao (Nhâm)</t>
  </si>
  <si>
    <t>TGĐ duyệt bán giá 615$ để giải phóng tồn kho quá 180 ngày</t>
  </si>
  <si>
    <t>TGĐ duyệt bán giá 710$ (hiệu lực T1=&gt; T3.25)</t>
  </si>
  <si>
    <t>TGĐ duyệt bán giá 655$ (hiệu lực đến T6.25)</t>
  </si>
  <si>
    <t>Chấn Thuận Thành</t>
  </si>
  <si>
    <t>Plascene</t>
  </si>
  <si>
    <t>Tên sheet</t>
  </si>
  <si>
    <t>DANH MỤC</t>
  </si>
  <si>
    <t>Cập nhật tự động</t>
  </si>
  <si>
    <t>Chọn lại tháng để biểu đồ chạy số</t>
  </si>
  <si>
    <t>Tâm</t>
  </si>
  <si>
    <t>Cập nhật</t>
  </si>
  <si>
    <t>Diễm</t>
  </si>
  <si>
    <t>01. KE30</t>
  </si>
  <si>
    <t>02. Tỷ giá</t>
  </si>
  <si>
    <t>04. TH_SL-DT-LNG</t>
  </si>
  <si>
    <t>05.1. Top 5 SKU</t>
  </si>
  <si>
    <t>THEO DÕI SẢN LƯỢNG CÁC KHÁCH HÀNG CHÍNH</t>
  </si>
  <si>
    <t>Quy đổi</t>
  </si>
  <si>
    <t>06.1. BC bán lỗ</t>
  </si>
  <si>
    <t>00. DM</t>
  </si>
  <si>
    <t>BĐ SẢN LƯỢNG BÁN 2025 XUẤT KHẨU - B2B</t>
  </si>
  <si>
    <t>Bình quân</t>
  </si>
  <si>
    <t>BĐ LỢI NHUẬN GỘP 2025 XUẤT KHẨU - B2B</t>
  </si>
  <si>
    <t>'24</t>
  </si>
  <si>
    <t>'25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</si>
  <si>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</si>
  <si>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</si>
  <si>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</si>
  <si>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</si>
  <si>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</si>
  <si>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</si>
  <si>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</si>
  <si>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</si>
  <si>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</si>
  <si>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</si>
  <si>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</si>
  <si>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</si>
  <si>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03.1. Chart XK-B2B</t>
  </si>
  <si>
    <t>DATA CHART XK - B2B</t>
  </si>
  <si>
    <t>DATA CHART SỐLƯỢNG - DOANH THU - LỢI NHUẬN GỘP</t>
  </si>
  <si>
    <t xml:space="preserve">BĐ % LỢI NHUẬN GỘP / DOANH THU EXW </t>
  </si>
  <si>
    <t>THÁNG 01/25</t>
  </si>
  <si>
    <t>Copy chart qua đây</t>
  </si>
  <si>
    <t>THÁNG 02/25</t>
  </si>
  <si>
    <t>Cảnh báo</t>
  </si>
  <si>
    <t>10. % LNG / DT (EXW)</t>
  </si>
  <si>
    <r>
      <t>TỶ LỆ LỢI NHUẬN GỘP</t>
    </r>
    <r>
      <rPr>
        <b/>
        <sz val="14"/>
        <color rgb="FFFF0000"/>
        <rFont val="Calibri"/>
        <family val="2"/>
        <scheme val="minor"/>
      </rPr>
      <t xml:space="preserve"> rPET</t>
    </r>
    <r>
      <rPr>
        <b/>
        <sz val="14"/>
        <color rgb="FF0000FF"/>
        <rFont val="Calibri"/>
        <family val="2"/>
        <scheme val="minor"/>
      </rPr>
      <t xml:space="preserve"> THEO SKU 2025</t>
    </r>
  </si>
  <si>
    <t>SL bán 2024</t>
  </si>
  <si>
    <t>SL bán BQ 2024</t>
  </si>
  <si>
    <t>06.2. KH chính</t>
  </si>
  <si>
    <t>SL bán BQ 2025</t>
  </si>
  <si>
    <t>SL bán 2025</t>
  </si>
  <si>
    <t>SL BÁN BQ 2025</t>
  </si>
  <si>
    <t>SL BÁN 2025</t>
  </si>
  <si>
    <t>x</t>
  </si>
  <si>
    <t>Deadline sau khi chạy xong giá thành</t>
  </si>
  <si>
    <t>Data&gt;&gt;</t>
  </si>
  <si>
    <t>Báo cáo &gt;&gt;</t>
  </si>
  <si>
    <t>Cập nhật tự động, Diễm cập nhật lại khi có SKU mới</t>
  </si>
  <si>
    <t>Cập nhật tự động, Diễm cập nhật lại khi có KH mới</t>
  </si>
  <si>
    <t>105328</t>
  </si>
  <si>
    <t>200377</t>
  </si>
  <si>
    <t>COLLECTIVE POLYMERS</t>
  </si>
  <si>
    <t>200376</t>
  </si>
  <si>
    <t>CORAL A.E.</t>
  </si>
  <si>
    <t>105335</t>
  </si>
  <si>
    <t>EATONE PRO</t>
  </si>
  <si>
    <t>105229</t>
  </si>
  <si>
    <t>GIA TƯỜNG</t>
  </si>
  <si>
    <t>105339</t>
  </si>
  <si>
    <t>HUY THÀNH</t>
  </si>
  <si>
    <t>200375</t>
  </si>
  <si>
    <t>Nu-Pure</t>
  </si>
  <si>
    <t>105249</t>
  </si>
  <si>
    <t>RỒNG VIỆT</t>
  </si>
  <si>
    <t>105341</t>
  </si>
  <si>
    <t>TÂN HOA THỊNH</t>
  </si>
  <si>
    <t>110000499</t>
  </si>
  <si>
    <t>Hạt Nhựa rPET WSS01L</t>
  </si>
  <si>
    <t>110000495</t>
  </si>
  <si>
    <t>Hạt Nhựa rHDA03W01</t>
  </si>
  <si>
    <t>110000428</t>
  </si>
  <si>
    <t>Dây đai PET</t>
  </si>
  <si>
    <t>160012896</t>
  </si>
  <si>
    <t>Phó Sản PET Bụi LB</t>
  </si>
  <si>
    <t>110000413</t>
  </si>
  <si>
    <t>Vảy HD Ép Đồng</t>
  </si>
  <si>
    <t>160012743</t>
  </si>
  <si>
    <t>Vảy HD Thổi Vàng HV-</t>
  </si>
  <si>
    <t>110000412</t>
  </si>
  <si>
    <t>Vảy HD Ép Đen</t>
  </si>
  <si>
    <t>160012552</t>
  </si>
  <si>
    <t>110000470</t>
  </si>
  <si>
    <t>Hạt Nhựa rPP20L04</t>
  </si>
  <si>
    <t>WSS01L</t>
  </si>
  <si>
    <t>rHDA03W01</t>
  </si>
  <si>
    <t>rPP20L04</t>
  </si>
  <si>
    <t>SỐ LƯỢNG (TẤN)</t>
  </si>
  <si>
    <t>% LỢI NHUẬN GỘP / DOANH THU</t>
  </si>
  <si>
    <t>Canada</t>
  </si>
  <si>
    <t>LỢI NHUẬN GỘP (EXW - GV) (USD)</t>
  </si>
  <si>
    <t>THÁNG</t>
  </si>
  <si>
    <t>Korea</t>
  </si>
  <si>
    <t>Luxembourg</t>
  </si>
  <si>
    <t>Số lượng</t>
  </si>
  <si>
    <t>Rank</t>
  </si>
  <si>
    <t>tỷ trong 25</t>
  </si>
  <si>
    <t>tỷ trong 24</t>
  </si>
  <si>
    <t>DOANH THU (Ngàn USD)</t>
  </si>
  <si>
    <t>Doanh thu</t>
  </si>
  <si>
    <r>
      <t xml:space="preserve">BÁO CÁO BÁN HÀNG THEO </t>
    </r>
    <r>
      <rPr>
        <b/>
        <sz val="20"/>
        <color rgb="FFFF0000"/>
        <rFont val="Calibri"/>
        <family val="2"/>
        <scheme val="minor"/>
      </rPr>
      <t>QUỐC GIA</t>
    </r>
  </si>
  <si>
    <r>
      <t xml:space="preserve">CHART BC BÁN HÀNG THEO </t>
    </r>
    <r>
      <rPr>
        <b/>
        <sz val="20"/>
        <color rgb="FFFF0000"/>
        <rFont val="Calibri"/>
        <family val="2"/>
        <scheme val="minor"/>
      </rPr>
      <t>QUỐC GIA</t>
    </r>
  </si>
  <si>
    <t>LỢI NHUẬN GỘP (EXW - GV) (Ngàn USD)</t>
  </si>
  <si>
    <t>Nhâm + Diễm giải trình =&gt; carnh baso</t>
  </si>
  <si>
    <t>THÁNG 03/25</t>
  </si>
  <si>
    <t>THÁNG 04/25</t>
  </si>
  <si>
    <t>R</t>
  </si>
  <si>
    <t>Filter cột LN gộp bị lỗ theo tháng ở sheet "06. BC BH THEO CUSTOMER-USD" copy số qua đây =&gt; short từ lớn đến nhỏ</t>
  </si>
  <si>
    <t>Bán hàng thử mẫu</t>
  </si>
  <si>
    <t>Bụi, dây đai</t>
  </si>
  <si>
    <t>Anh Thạch duyệt giá 711 USD/ tấn</t>
  </si>
  <si>
    <t>KD đề xuất duyệt bán giá 655 USD/tấn ( hiệu lực T2=&gt; T6.25)</t>
  </si>
  <si>
    <t>KD đề xuất duyệt bán giá 745 USD/tấn ( hiệu lực T2=&gt; T3.25)</t>
  </si>
  <si>
    <t>GIÁ BÁN EXW BQ WSS01G &amp; ISS01G</t>
  </si>
  <si>
    <t>6. GIÁ VỐN (USD/tấn)</t>
  </si>
  <si>
    <t>Giá Olefin 17.014, ảnh hưởng từ giá phó sản</t>
  </si>
  <si>
    <t>Ảnh hưởng bởi giá vảy PP trắng sữa đem tách lại từ T10.2024 (8003619)</t>
  </si>
  <si>
    <t>Giá cao do đem hạt PP thử nghiệm vào tạo hạt lại (8003308)</t>
  </si>
  <si>
    <t>Lệnh sản xuất 7002541 kế hoạch tạo lệnh có số lượng điện bị sai, gấp 1000 lần do lỗi dấu ". " và dấu " , " dẫn đến chi phí tiền điện đi vào lệnh này 2,5 tỷ làm tăng đơn giá</t>
  </si>
  <si>
    <t>SL sản xuất tháng 1 thấp, hiệu suất tạo hạt chỉ có 22%</t>
  </si>
  <si>
    <t>GĐĐH duyệt giá 747 USD/ tấn</t>
  </si>
  <si>
    <t>KD đề xuất duyệt bán giá 655 USD/tấn (hiệu lực T2=&gt; T6.25)</t>
  </si>
  <si>
    <t>160012612</t>
  </si>
  <si>
    <t>Phó Sản HD Ép Olefin PET 1 ST</t>
  </si>
  <si>
    <t>160012613</t>
  </si>
  <si>
    <t>Phó Sản HD Ép Olefin PET 2 ST</t>
  </si>
  <si>
    <t>MM60</t>
  </si>
  <si>
    <t>Giải trình Lỗ</t>
  </si>
  <si>
    <t xml:space="preserve"> Giá thành cao (doThử nghiệm, Reword nhiều lần)</t>
  </si>
  <si>
    <t>KD đề xuất duyệt bán giá 615 USD/tấn</t>
  </si>
  <si>
    <t xml:space="preserve">KD đề xuất duyệt bán giá 567 USD/tấn </t>
  </si>
  <si>
    <t>KD đề xuất duyệt bán giá 615 USD/tấn =&gt; Bán thấp hơn giá duyệt ( mức giá duyệt theo khung KD đang áp khung bán 100 tấn, thực tế bán 24 tấn)</t>
  </si>
  <si>
    <t>105214</t>
  </si>
  <si>
    <t>Người mua hàng không</t>
  </si>
  <si>
    <t>105336</t>
  </si>
  <si>
    <t>Hailide Việt Nam</t>
  </si>
  <si>
    <t>105342</t>
  </si>
  <si>
    <t>VIỆT NHẬT</t>
  </si>
  <si>
    <t>105346</t>
  </si>
  <si>
    <t>GUNICA</t>
  </si>
  <si>
    <t>105347</t>
  </si>
  <si>
    <t>Kim Hòa</t>
  </si>
  <si>
    <t>105348</t>
  </si>
  <si>
    <t>Bao Bì Vinh Nam</t>
  </si>
  <si>
    <t>105349</t>
  </si>
  <si>
    <t>MTVN Plastic</t>
  </si>
  <si>
    <t>105350</t>
  </si>
  <si>
    <t>200380</t>
  </si>
  <si>
    <t>Lion Corp</t>
  </si>
  <si>
    <t>200381</t>
  </si>
  <si>
    <t>ITD Polyresin</t>
  </si>
  <si>
    <t>110000423</t>
  </si>
  <si>
    <t>Vảy PP Dương Nhạt</t>
  </si>
  <si>
    <t>Suntory - Ngọc Nghĩa Hưng Yên</t>
  </si>
  <si>
    <t>Khách vãng lai</t>
  </si>
  <si>
    <t>Thụy Sĩ</t>
  </si>
  <si>
    <t>Pháp</t>
  </si>
  <si>
    <t xml:space="preserve"> Giá thành cao: do trong SAP giá phó sản Olephin thu hồi từ PET cao: 17.000đ/kg, giá thị trường ~ 13.000 đ/kg</t>
  </si>
  <si>
    <t>Giá thành cao: do trong SAP giá phó sản Olephin thu hồi từ PET cao: 17.000đ/kg, giá thị trường ~ 13.000 đ/kg</t>
  </si>
  <si>
    <t>KD xin duyệt bán giá 615 USD/ tấn ( giá VND đang bằng giá duyệt, lệch do chênh lệch tỷ giá)</t>
  </si>
  <si>
    <t>Kinh doanh xin duyệt bán giá 615 USD/tấn</t>
  </si>
  <si>
    <t>inv.value</t>
  </si>
  <si>
    <t>Bình Quân</t>
  </si>
  <si>
    <t xml:space="preserve"> - Bán giá thấp để giảm hàng tồn kho.
 - Giá duyệt cho sản lượng &lt; 50 tấn là 615 USD/tấn, nhưng thực tế bán giá ~ 590 USD/tấn
 - Giá thành cao: do trong SAP giá phó sản Olephin thu hồi từ PET cao: 17.000đ/kg, giá thị trường ~ 13.000 đ/kg</t>
  </si>
  <si>
    <t>Giá bán thấp 
Giá vốn cao do đem hạt PP thử nghiệm vào tạo hạt lại (8003308)</t>
  </si>
  <si>
    <t xml:space="preserve"> - Giá bán thấp
 - Giá thành cao: do trong SAP giá phó sản Olephin thu hồi từ PET cao: 17.000đ/kg, giá thị trường ~ 13.000 đ/kg</t>
  </si>
  <si>
    <t xml:space="preserve">Giá bán thấp </t>
  </si>
  <si>
    <t>Giá thành cao do vảy PP trắng sữa đem tách lại từ T10.2024 (8003619)</t>
  </si>
  <si>
    <t>Bình Quân 2025</t>
  </si>
  <si>
    <t>Bình Quân 2024</t>
  </si>
  <si>
    <t>Tổng cộng</t>
  </si>
  <si>
    <t>Anh Thạch duyệt giá bán 747 USD/ tấn, đơn hàng 30 tấn ( bán tháng 3 + tháng 4 đã giao đủ 30 tấn)</t>
  </si>
  <si>
    <t>Anh Thạch duyệt giá bán 692,5 USD/ tấn ( đơn hàng 1,5 tấn)</t>
  </si>
  <si>
    <t>Anh Thạch duyệt giá bán 699 USD/ tấn</t>
  </si>
  <si>
    <t>Giá KD đề xuất duyệt 615 USD/ tấn ( do chênh lệch tỷ giá, giá VND đang bán cao hơn giá xin duyệt, giá duyệt: 15.500, giá bán: 15.603 đ/kg)</t>
  </si>
  <si>
    <t>Vảy bán giá thấp do bị lẫn hơn 10% PP, lẫn màu, tạp, khác chất lượng so với TDS, KD đang trình ký giá bán</t>
  </si>
  <si>
    <t>Giá vốn cao</t>
  </si>
  <si>
    <t>Anh Hoàng duyệt bán giá 777,3 USD/ tấn + Giá vốn cao</t>
  </si>
  <si>
    <t>% LNG</t>
  </si>
  <si>
    <t>Doanh thu
(ngàn USD)</t>
  </si>
  <si>
    <t>Sản lượng (tấn)</t>
  </si>
  <si>
    <t>07. Chart_QUỐC GIA</t>
  </si>
  <si>
    <t>7.1. Chart Bubble_QUỐC GIA</t>
  </si>
  <si>
    <t>7.2 Chart_Quốc Gia_Copy</t>
  </si>
  <si>
    <r>
      <t xml:space="preserve">05. BC BH THEO </t>
    </r>
    <r>
      <rPr>
        <b/>
        <u/>
        <sz val="11"/>
        <color rgb="FFFF0000"/>
        <rFont val="Calibri"/>
        <family val="2"/>
        <scheme val="minor"/>
      </rPr>
      <t>SKU</t>
    </r>
    <r>
      <rPr>
        <b/>
        <u/>
        <sz val="11"/>
        <color theme="10"/>
        <rFont val="Calibri"/>
        <family val="2"/>
        <scheme val="minor"/>
      </rPr>
      <t>-USD</t>
    </r>
  </si>
  <si>
    <r>
      <t xml:space="preserve">06. BC BH THEO </t>
    </r>
    <r>
      <rPr>
        <b/>
        <u/>
        <sz val="11"/>
        <color rgb="FFFF0000"/>
        <rFont val="Calibri"/>
        <family val="2"/>
        <scheme val="minor"/>
      </rPr>
      <t>CUSTOMER</t>
    </r>
    <r>
      <rPr>
        <b/>
        <u/>
        <sz val="11"/>
        <color theme="10"/>
        <rFont val="Calibri"/>
        <family val="2"/>
        <scheme val="minor"/>
      </rPr>
      <t>-USD</t>
    </r>
  </si>
  <si>
    <t>LNG 
(Ngàn USD)</t>
  </si>
  <si>
    <r>
      <t xml:space="preserve">BÁO CÁO KINH DOANH THEO </t>
    </r>
    <r>
      <rPr>
        <b/>
        <sz val="16"/>
        <color rgb="FFFF0000"/>
        <rFont val="Calibri"/>
        <family val="2"/>
        <scheme val="minor"/>
      </rPr>
      <t>NHÓM HÀNG</t>
    </r>
  </si>
  <si>
    <r>
      <t xml:space="preserve">SẢN LƯỢNG_ LNG THEO </t>
    </r>
    <r>
      <rPr>
        <b/>
        <sz val="18"/>
        <color rgb="FFFF0000"/>
        <rFont val="Calibri"/>
        <family val="2"/>
        <scheme val="minor"/>
      </rPr>
      <t>QUỐC GIA</t>
    </r>
  </si>
  <si>
    <t>04.1. Chart Nhóm hàng</t>
  </si>
  <si>
    <t>04.2 Bubble_Nhóm hàng</t>
  </si>
  <si>
    <t>04.3. Chart-Nhóm hàng (copy)</t>
  </si>
  <si>
    <t>Copy chart từ "04.1 và 04.2</t>
  </si>
  <si>
    <t>SKU</t>
  </si>
  <si>
    <t>05.2. Chart _SKU</t>
  </si>
  <si>
    <t>05.3. Chart theo SKU (Copy)</t>
  </si>
  <si>
    <t>4. % LNG</t>
  </si>
  <si>
    <r>
      <t xml:space="preserve">SẢN LƯỢNG_ LNG THEO </t>
    </r>
    <r>
      <rPr>
        <b/>
        <sz val="18"/>
        <color rgb="FFFF0000"/>
        <rFont val="Calibri"/>
        <family val="2"/>
        <scheme val="minor"/>
      </rPr>
      <t>CUSTOMER</t>
    </r>
    <r>
      <rPr>
        <b/>
        <sz val="18"/>
        <color rgb="FF0000FF"/>
        <rFont val="Calibri"/>
        <family val="2"/>
        <scheme val="minor"/>
      </rPr>
      <t xml:space="preserve"> _ 2025</t>
    </r>
  </si>
  <si>
    <t>Sản lượng
 (tấn)</t>
  </si>
  <si>
    <t>THÁNG 4</t>
  </si>
  <si>
    <t>THÁNG 5</t>
  </si>
  <si>
    <t>6.3 Chart_KH</t>
  </si>
  <si>
    <t>6.4 Chart_KH (Copy)</t>
  </si>
  <si>
    <t>THÁNG 05/25</t>
  </si>
  <si>
    <r>
      <t xml:space="preserve">04. BC BH THEO </t>
    </r>
    <r>
      <rPr>
        <b/>
        <u/>
        <sz val="11"/>
        <color rgb="FFFF0000"/>
        <rFont val="Calibri"/>
        <family val="2"/>
        <scheme val="minor"/>
      </rPr>
      <t>NHÓM HÀNG</t>
    </r>
  </si>
  <si>
    <r>
      <t xml:space="preserve">07. BC BH THEO </t>
    </r>
    <r>
      <rPr>
        <b/>
        <sz val="11"/>
        <color rgb="FFFF0000"/>
        <rFont val="Calibri"/>
        <family val="2"/>
        <scheme val="minor"/>
      </rPr>
      <t>QUỐC GIA</t>
    </r>
  </si>
  <si>
    <t>Tỷ trọng sản lượng</t>
  </si>
  <si>
    <r>
      <t xml:space="preserve">03. TH_ </t>
    </r>
    <r>
      <rPr>
        <b/>
        <u/>
        <sz val="11"/>
        <color rgb="FFFF0000"/>
        <rFont val="Calibri"/>
        <family val="2"/>
        <scheme val="minor"/>
      </rPr>
      <t>XK-B2B</t>
    </r>
  </si>
  <si>
    <t>% Lợi nhuân gộp</t>
  </si>
  <si>
    <t>Sản lượng bình quân (tấn)</t>
  </si>
  <si>
    <t>LŨY KẾ 2025</t>
  </si>
  <si>
    <t>Tỷ trọng sản lượng bán</t>
  </si>
  <si>
    <t>Sản lượng bán (tấn)</t>
  </si>
  <si>
    <t>Tháng 2 có lệnh sản xuất 7002541 kế hoạch tạo lệnh có số lượng điện bị sai, gấp 1000 lần do lỗi dấu ". " và dấu " , " dẫn đến chi phí tiền điện đi vào lệnh này 2,5 tỷ làm tăng đơn giá</t>
  </si>
  <si>
    <t>Giá vốn tăng do phát sinh thêm chi phí trộn đều vảy PP đỏ và hun trùng</t>
  </si>
  <si>
    <t xml:space="preserve"> - Giá bán thấp để giải quyết tồn kho
 - Giá thành cao: do trong SAP giá phó sản Olephin thu hồi từ PET cao: 17.000đ/kg, giá thị trường ~ 13.000 đ/kg</t>
  </si>
  <si>
    <t>Giá bán thấp</t>
  </si>
  <si>
    <t xml:space="preserve"> - Giá bán thấpdo bị lẫn hơn 10% PP, lẫn màu, tạp, khác chất lượng so với TDS, KD đang trình ký giá bán
 - Giá thành cao: do trong SAP giá phó sản Olephin thu hồi từ PET cao: 17.000đ/kg, giá thị trường ~ 13.000 đ/kg</t>
  </si>
  <si>
    <t xml:space="preserve"> - Giá thành cao: do trong SAP giá phó sản Olephin thu hồi từ PET cao: 17.000đ/kg, giá thị trường ~ 13.000 đ/kg</t>
  </si>
  <si>
    <t xml:space="preserve"> - Giá bán thấp
 - Giá thành cao: do phát sinh thêm chi phí trộn đều vảy PP đỏ và hun trùng</t>
  </si>
  <si>
    <t xml:space="preserve"> - Giá bán thấp do bị lẫn hơn 10% PP, lẫn màu, tạp, khác chất lượng so với TDS, KD đang trình ký giá bán
 - Giá thành cao: do trong SAP giá phó sản Olephin thu hồi từ PET cao: 17.000đ/kg, giá thị trường ~ 13.000 đ/kg</t>
  </si>
  <si>
    <t>Khu vực</t>
  </si>
  <si>
    <t>Bắc Mỹ</t>
  </si>
  <si>
    <t>Châu á</t>
  </si>
  <si>
    <t>VẼ BIỂU CƠ CẤU DOANH THU 2025</t>
  </si>
  <si>
    <t>LK TT 2025
(Triệu đồng)</t>
  </si>
  <si>
    <t>Motul</t>
  </si>
  <si>
    <t>2. DOANH THU (USD)</t>
  </si>
  <si>
    <t>1. SẢN LƯỢNG BÁN (tấn)</t>
  </si>
  <si>
    <t>3. LNG (USD)</t>
  </si>
  <si>
    <t>BQ 25</t>
  </si>
  <si>
    <t>BQ 24</t>
  </si>
  <si>
    <t>'25 sv '24</t>
  </si>
  <si>
    <t>Ko có line</t>
  </si>
  <si>
    <t>% '25 sv '24</t>
  </si>
  <si>
    <t>Chỉ tiêu</t>
  </si>
  <si>
    <r>
      <t xml:space="preserve">Từ T1/25 đến nay có </t>
    </r>
    <r>
      <rPr>
        <sz val="11"/>
        <color rgb="FFFF0000"/>
        <rFont val="Calibri"/>
        <family val="2"/>
        <scheme val="minor"/>
      </rPr>
      <t>xu hướng giảm</t>
    </r>
  </si>
  <si>
    <r>
      <t xml:space="preserve">Từ T1/25 đến nay có </t>
    </r>
    <r>
      <rPr>
        <sz val="11"/>
        <color rgb="FFFF0000"/>
        <rFont val="Calibri"/>
        <family val="2"/>
        <scheme val="minor"/>
      </rPr>
      <t>xu hướng tăng</t>
    </r>
  </si>
  <si>
    <t>Từ T6/2024 không mua thông tin giá ACIS</t>
  </si>
  <si>
    <t>TỔNG 2025</t>
  </si>
  <si>
    <t>BÁO CÁO KHÁCH HÀNG MỚI 2025</t>
  </si>
  <si>
    <t>09. Khách hàng mới</t>
  </si>
  <si>
    <t>Châu Âu</t>
  </si>
  <si>
    <t>SẢN LƯỢNG_ LNG THEO KHU VỰC</t>
  </si>
  <si>
    <t>BÁO CÁO BÁN HÀNG THEO Khu vực</t>
  </si>
  <si>
    <t xml:space="preserve">                   </t>
  </si>
  <si>
    <t>Bắc mỹ</t>
  </si>
  <si>
    <t>08.1 Chart khu vực</t>
  </si>
  <si>
    <r>
      <t xml:space="preserve">08. BC BH THEO </t>
    </r>
    <r>
      <rPr>
        <b/>
        <sz val="11"/>
        <color rgb="FFFF0000"/>
        <rFont val="Calibri"/>
        <family val="2"/>
        <scheme val="minor"/>
      </rPr>
      <t>KHU VỰC</t>
    </r>
  </si>
  <si>
    <t>08.2 Chart Bubble khu vực</t>
  </si>
  <si>
    <t>08.3 Chart Bubble khu vực - Coppy</t>
  </si>
  <si>
    <t>10. GIá bán</t>
  </si>
  <si>
    <t>LŨY KẾ</t>
  </si>
  <si>
    <t>Ma trận LNG (SKU - KH)</t>
  </si>
  <si>
    <t>105351</t>
  </si>
  <si>
    <t>ĐÔ THÀNH</t>
  </si>
  <si>
    <t>200382</t>
  </si>
  <si>
    <t>Montachem Internatio</t>
  </si>
  <si>
    <t>200383</t>
  </si>
  <si>
    <t>Natures Organics - P</t>
  </si>
  <si>
    <t>110000502</t>
  </si>
  <si>
    <t>Hạt Nhựa rLDB2N01</t>
  </si>
  <si>
    <t>KH bán nội địa</t>
  </si>
  <si>
    <t>KH bán xuất khẩu</t>
  </si>
  <si>
    <t>% KH XK</t>
  </si>
  <si>
    <t>% KH B2B</t>
  </si>
  <si>
    <t>TT bán xuất khẩu</t>
  </si>
  <si>
    <t>TT bán nội địa</t>
  </si>
  <si>
    <t>% TT XK</t>
  </si>
  <si>
    <t>% TT B2B</t>
  </si>
  <si>
    <t>Xuât khẩu 2024</t>
  </si>
  <si>
    <t>Nội địa 2024</t>
  </si>
  <si>
    <t>Cộng 2024</t>
  </si>
  <si>
    <t>Xuât khẩu 2025</t>
  </si>
  <si>
    <t>Nội địa 2025</t>
  </si>
  <si>
    <t>KH mới</t>
  </si>
  <si>
    <t>Anh Thạch duyệt bán giá 690USD/ tấn</t>
  </si>
  <si>
    <t>Anh Thạch duyệt bán giá 689USD/ tấn</t>
  </si>
  <si>
    <t>Giá KD đề xuất duyệt 615 USD/ tấn</t>
  </si>
  <si>
    <t>Giá KD đề xuất duyệt 615 USD/ tấn ( giá duyệt bằng với giá bán là: 15.500đ/kg =&gt; do chênh lệch tỷ giá nên giá bán USD thấp hơn giá duyệt)</t>
  </si>
  <si>
    <t>Giá KD đề xuất duyệt 615 USD/ tấn ( giá duyệt 15.500, giá bán là: 15.575đ/kg =&gt; do chênh lệch tỷ giá nên giá bán USD thấp hơn giá duyệt)</t>
  </si>
  <si>
    <t>Vảy bán giá thấp do bị lẫn hơn 10% PP, lẫn màu, tạp, khác chất lượng so với TDS ( bán từ tháng 4, đầu tháng 5 KTQT phản hồi KD đã ngưng bán)</t>
  </si>
  <si>
    <r>
      <t xml:space="preserve">BIỂU ĐỒ </t>
    </r>
    <r>
      <rPr>
        <b/>
        <sz val="20"/>
        <color rgb="FFFF0000"/>
        <rFont val="Calibri"/>
        <family val="2"/>
        <scheme val="minor"/>
      </rPr>
      <t>XUẤT KHẨU - NỘI ĐỊA</t>
    </r>
  </si>
  <si>
    <t>Vảy PP Trắng Sữa PV-02.3</t>
  </si>
  <si>
    <t>THÁNG 4/25</t>
  </si>
  <si>
    <t>THÁNG 5/25</t>
  </si>
  <si>
    <t>GIẢI TRÌNH:</t>
  </si>
  <si>
    <r>
      <t xml:space="preserve">CHART BC BÁN HÀNG THEO </t>
    </r>
    <r>
      <rPr>
        <b/>
        <sz val="20"/>
        <color rgb="FFFF0000"/>
        <rFont val="Calibri"/>
        <family val="2"/>
        <scheme val="minor"/>
      </rPr>
      <t>KHU VỰC</t>
    </r>
  </si>
  <si>
    <t>THÁNG 6/25</t>
  </si>
  <si>
    <t>Sản lượng 
(tấn)</t>
  </si>
  <si>
    <t>Rework 2.750kg, ảnh hưởng giá tồn kho từ lệnh sx tháng 2</t>
  </si>
  <si>
    <t>Bắt đầu sản xuất vào tháng 1, sản lượng thấp (hiệu suất máy 22%) làm đơn giá 42,694, đang giảm dần về tháng 5 còn 37.300</t>
  </si>
  <si>
    <t>KORYFES S</t>
  </si>
  <si>
    <t>6.24</t>
  </si>
  <si>
    <t xml:space="preserve"> - Giá bán thấp: bán giảm tồn kho lâu -&gt; kinh doanh xin duyệt bán giá 615 USD/ tấn (giá bán USD khác giá duyệt do chênh lệch tỷ giá)
 - Giá thành cao: do trong SAP giá phó sản Olephin thu hồi từ PET cao: 17.000đ/kg, giá thị trường ~ 13.000 đ/kg</t>
  </si>
  <si>
    <t>Giá Olefin 17.014, ảnh hưởng từ giá phó sản. Tháng 9/24 chuyển qua theo dõi batch nên khi xuất phân rã rồi nhập lại thì hệ thống lấy giá MM60 để nhập, thời điểm đó giá mã này đang 77.008đ/kg. Từ đó đến nay sản xuất giá tồn kho đến T5 giảm còn 34.348đ/kg</t>
  </si>
  <si>
    <t xml:space="preserve"> - Giá thành cao: do trong SAP giá phó sản Olephin thu hồi từ PET cao: 17.000đ/kg, giá thị trường ~ 13.000 đ/kg, đồng thời bị ảnh hưởng từ việc chuyển batch.</t>
  </si>
  <si>
    <t>R
Sản lượng</t>
  </si>
  <si>
    <t>R
LNG</t>
  </si>
  <si>
    <t>KẾ HOẠCH BÁN</t>
  </si>
  <si>
    <t>THỰC TẾ BÁN</t>
  </si>
  <si>
    <t>CƠ CẤU BÁN rPET</t>
  </si>
  <si>
    <t>Kinh doanh xin duyệt giá 690 USD/tấn</t>
  </si>
  <si>
    <t xml:space="preserve"> - Kinh doanh xin duyệt giá 690 USD/tấn
 - Giá thành cao: do trong SAP giá phó sản Olephin thu hồi từ PET cao: 17.000đ/kg, giá thị trường ~ 13.000 đ/kg</t>
  </si>
  <si>
    <t xml:space="preserve"> - Giá bán thấp do bị lẫn hơn 10% PP, lẫn màu, tạp, khác chất lượng so với TDS (bán từ tháng 4, đầu tháng 5 KTQT phản hồi =&gt; kinh doanh đã ngưng bán)
 - Giá thành cao: do trong SAP giá phó sản Olephin thu hồi từ PET cao: 17.000đ/kg, giá thị trường ~ 13.000 đ/kg</t>
  </si>
  <si>
    <t>Giảm giá hàng bán</t>
  </si>
  <si>
    <t>200390</t>
  </si>
  <si>
    <t>Agrifreda</t>
  </si>
  <si>
    <t>200387</t>
  </si>
  <si>
    <t>ANTEX</t>
  </si>
  <si>
    <t>105209</t>
  </si>
  <si>
    <t>Công ty TNHH MTV Đồn</t>
  </si>
  <si>
    <t>300313</t>
  </si>
  <si>
    <t>Công ty TNHH Nhựa Kh</t>
  </si>
  <si>
    <t>DACHEN (PREMIUM WATE</t>
  </si>
  <si>
    <t>200386</t>
  </si>
  <si>
    <t>GENESIS DISTRIBUCIÓN</t>
  </si>
  <si>
    <t>105357</t>
  </si>
  <si>
    <t>MINH THÔNG</t>
  </si>
  <si>
    <t>105355</t>
  </si>
  <si>
    <t>NHỰA ÂU LẠC</t>
  </si>
  <si>
    <t>105356</t>
  </si>
  <si>
    <t>QUANG CHÍ BẢO</t>
  </si>
  <si>
    <t>200391</t>
  </si>
  <si>
    <t>SHARPAK AYLESHAM LTD</t>
  </si>
  <si>
    <t>200389</t>
  </si>
  <si>
    <t>TAE BAEK</t>
  </si>
  <si>
    <t>200384</t>
  </si>
  <si>
    <t>TRICON</t>
  </si>
  <si>
    <t>105354</t>
  </si>
  <si>
    <t>UNILEVER - NNG-TN</t>
  </si>
  <si>
    <t>200385</t>
  </si>
  <si>
    <t>VINMAR POLYMERS AMER</t>
  </si>
  <si>
    <t/>
  </si>
  <si>
    <t>Not assigned</t>
  </si>
  <si>
    <t>Phó Sản PET Bụi Tank A</t>
  </si>
  <si>
    <t>Phó Sản PET Bụi Tank B</t>
  </si>
  <si>
    <t>Phó Sản PET Bụi Tank C</t>
  </si>
  <si>
    <t>Phó Sản PET Bụi Tank D</t>
  </si>
  <si>
    <t>Vảy HD Thổi Trong HV-01.1_TM Trả NCC</t>
  </si>
  <si>
    <t>110000483</t>
  </si>
  <si>
    <t>110000505</t>
  </si>
  <si>
    <t>Vảy PET</t>
  </si>
  <si>
    <t>Hạt Nhựa rPET iSS01G-S</t>
  </si>
  <si>
    <t>iSS01G-S</t>
  </si>
  <si>
    <t>Colombia</t>
  </si>
  <si>
    <t>Anh</t>
  </si>
  <si>
    <t>HON CHUAN VIETNAM</t>
  </si>
  <si>
    <t>KD đề xuất duyệt bán giá 593 USD/ tấn (15.500đ/kg) hiệu lực đến 30/06/2025</t>
  </si>
  <si>
    <t>KD đề xuất duyệt bán giá từ  588=&gt;615 USD/ tấn theo bậc thang sản lượng, khách hàng này đã giao trên 50 tấn áp mức giá 596 USD/ tấn</t>
  </si>
  <si>
    <t>KD đề xuất duyệt bán giá từ  588=&gt;615 USD/ tấn theo bậc thang sản lượng, khách hàng này đã giao dưới 50 tấn áp mức giá 615 USD/ tấn</t>
  </si>
  <si>
    <t>KD đề xuất duyệt bán giá từ  588=&gt;615 USD/ tấn theo bậc thang sản lượng, khách hàng này đã giao trên 100 tấn áp mức giá 588 USD/ tấn</t>
  </si>
  <si>
    <t>Dựa theo giá Chú duyệt cho Nhựa Trường An trước đó là: 460 USD/ tấn, KD đề xuất anh Thạch duyệt giá 485 USD/ tấn cho Huy Thành bán thử mẫu 11 tấn</t>
  </si>
  <si>
    <t>Anh Thạch duyệt bán giá 690 USD/ tấn</t>
  </si>
  <si>
    <t>KD đề xuất bán giá 568 USD/ tấn, hiệu lực đến 30/06/2025</t>
  </si>
  <si>
    <t>KD đề xuất bán giá 598 USD/ tấn, hiệu lực đến 30/06/2025</t>
  </si>
  <si>
    <t>THÁNG 06/25</t>
  </si>
  <si>
    <t>THÁNG 6</t>
  </si>
  <si>
    <t>Antex</t>
  </si>
  <si>
    <t>Genesis Distribucsion</t>
  </si>
  <si>
    <t>Minh Thông</t>
  </si>
  <si>
    <t>Nhựa Âu Lạc</t>
  </si>
  <si>
    <t>Quang Chí Bảo</t>
  </si>
  <si>
    <t>Sharpak Aylesham Ltd</t>
  </si>
  <si>
    <t>Tae Baek</t>
  </si>
  <si>
    <t>Tricon</t>
  </si>
  <si>
    <t>Unilever - Nng-Tn</t>
  </si>
  <si>
    <t>Vinmar Polymers Amer</t>
  </si>
  <si>
    <t>7.24</t>
  </si>
  <si>
    <t>Công thức 80% vảy PP trắng sữa, 20% vảy PP dương nhạt. Giá vảy trắng sữa mua ngoài 19.000đ/kg</t>
  </si>
  <si>
    <t>Công thức 85% vảy PP trắng sữa, 15% vảy PP dương nhạt và 0,4% vảy PP đỏ. Giá vảy trắng sữa mua ngoài 19.000đ/kg</t>
  </si>
  <si>
    <t>LK</t>
  </si>
  <si>
    <t>Lợi nhuận  gộp
(Ngàn USD)</t>
  </si>
  <si>
    <t>% Lợi nhuận  gộp</t>
  </si>
  <si>
    <t xml:space="preserve"> - Kinh doanh xin duyệt giá 600 USD/tấn hiệu lực đến 30/06/2025
 - Giá thành cao: do sản phẩm được sản xuất từ nguyên liệu B6.2, giá B6.2 mua từ 3 trạm giá cao (18.837 đ/kg)hơn giá thị trường (10.000 đ/kg)</t>
  </si>
  <si>
    <t xml:space="preserve"> - Kinh doanh xin duyệt giá 570 USD/tấn hiệu lực đến 30/06/2025
 - Giá thành cao: do sản phẩm được sản xuất từ nguyên liệu B6.2, giá B6.2 mua từ 3 trạm giá cao (18.837 đ/kg)hơn giá thị trường (10.000 đ/kg)</t>
  </si>
  <si>
    <t xml:space="preserve"> - Giá bán thấp: bán giảm tồn kho lâu
 - Giá thành cao: do trong SAP giá phó sản Olephin thu hồi từ PET cao: 17.000đ/kg, giá thị trường ~ 13.000 đ/kg</t>
  </si>
  <si>
    <t xml:space="preserve"> - Giá bán thấp: bán giảm tồn kho lâu
  - Giá thành cao: do trong SAP giá phó sản Olephin thu hồi từ PET cao: 17.000đ/kg, giá thị trường ~ 13.000 đ/kg</t>
  </si>
  <si>
    <t xml:space="preserve"> Giá thành cao (do thử nghiệm, Reword nhiều lần)</t>
  </si>
  <si>
    <t>Sản xuất từ nguyên liệu B6.2 có giá mua vào cao (Giá mua BQ T6: 18.837đ/kg, giá thị trường 12.300đ/kg</t>
  </si>
  <si>
    <t>Cty TNHH Uy Kiệt</t>
  </si>
  <si>
    <t>105287</t>
  </si>
  <si>
    <t>CÔNG TY TNHH HƯNG DỤ</t>
  </si>
  <si>
    <t>105358</t>
  </si>
  <si>
    <t>Ngũ Kim Tấn Phát</t>
  </si>
  <si>
    <t>105359</t>
  </si>
  <si>
    <t>Thạc Hương</t>
  </si>
  <si>
    <t>105360</t>
  </si>
  <si>
    <t>Lợi Tường</t>
  </si>
  <si>
    <t>105361</t>
  </si>
  <si>
    <t>THÀNH NGHĨA P.E.T</t>
  </si>
  <si>
    <t>Hạt nhựa rPET iSS010</t>
  </si>
  <si>
    <t>160012912</t>
  </si>
  <si>
    <t>110000503</t>
  </si>
  <si>
    <t>Hạt Nhựa rPET WSS01S</t>
  </si>
  <si>
    <t>WSS01S</t>
  </si>
  <si>
    <t>Vảy HD Ép Dương Tách Màu Trả NCC</t>
  </si>
  <si>
    <t>Cước VC, xuất khẩu</t>
  </si>
  <si>
    <t>HƯNG DỤ</t>
  </si>
  <si>
    <t>KD đề xuất bán giá 665 USD/ tấn, hiệu lực từ 24/07</t>
  </si>
  <si>
    <t>KD đề xuất bán giá 598 USD/ tấn, hiệu lực đến 30/06/2025 (đơn hàng đặt trong tháng 6)</t>
  </si>
  <si>
    <t>GĐĐH duyệt dơn này giá 711 USD/ tấn ( giá VND= 18.700đ/kg), chênh lệch giá cho chênh lệch tỷ giá</t>
  </si>
  <si>
    <t>GĐĐH duyệt dơn này giá 612 USD/ tấn ( giá VND= 16.203 đ/kg), chênh lệch giá cho chênh lệch tỷ giá</t>
  </si>
  <si>
    <t>KD đề xuất bán giá 593 USD/ tấn, hiệu lực đến 30/06/2025, đơn hàng này trong T6</t>
  </si>
  <si>
    <t>GDĐH duyệt bán đơn đầu cho khách giá 684 USD/tấn, chênh lệch do lệch tỷ giá</t>
  </si>
  <si>
    <t>KD đề xuất duyệt bán giá từ  573 USD/ tấn, bán tháng 6+ tháng 7</t>
  </si>
  <si>
    <t>THÁNG 07/25</t>
  </si>
  <si>
    <t>THÁNG 7</t>
  </si>
  <si>
    <t>THÁNG 7/25</t>
  </si>
  <si>
    <t>Sản phẩm</t>
  </si>
  <si>
    <t>T1/25</t>
  </si>
  <si>
    <t>8.24</t>
  </si>
  <si>
    <t>T6.25</t>
  </si>
  <si>
    <t>T7.25</t>
  </si>
  <si>
    <t>Sản xuất từ công thức SX từ công thức 90% vảy B6.2_A3 +10% Đầu keo/phôi sau rửa</t>
  </si>
  <si>
    <t xml:space="preserve">Sản xuất từ công thức SX từ công thức 90% vảy B6.2_A3 +10% Đầu keo/phôi sau rửa và chuyển mã từ WSS05SB </t>
  </si>
  <si>
    <t xml:space="preserve"> - Giá thành cao: do trong SAP giá phó sản Olephin thu hồi từ PET cao: 17.000đ/kg, giá thị trường ~ 13.000 đ/kg
- Vảy HD ép dương có lẫn PP nên có rework tách lại</t>
  </si>
  <si>
    <t>Giá bán giảm thấp, tháng 4 duyệt giá từ 785 USD/tấn =&gt; T7 giảm còn 680 USD/tấn</t>
  </si>
  <si>
    <t>Công thức sử dụng 80% vảy PP trắng sữa có giá mua vào 19.000đ/kg, rework PP20W01, PP20L04, PP20L01</t>
  </si>
  <si>
    <t>Trong tháng 7 có rework 16 tấn MBF01, tạo ra HDB03N02</t>
  </si>
  <si>
    <t>Sản xuất từ 100% vảy trắng sữa từ tháng 11/2024, trong đó vảy trắng sữa đem rework 7,7 tấn</t>
  </si>
  <si>
    <t>Xử lý tách lại 14 tấn hạt do lẫn màu</t>
  </si>
  <si>
    <t>tấn</t>
  </si>
  <si>
    <t xml:space="preserve"> - Kinh doanh xin duyệt giá 600 USD/tấn
 - Giá thành cao: do sản phẩm được sản xuất từ nguyên liệu B6.2, giá B6.2 mua từ Đại Lộc cao (20,300 đ/kg)hơn giá thị trường (10.000 đ/kg)</t>
  </si>
  <si>
    <t xml:space="preserve"> - Giá bán thấp: bán giảm tồn kho lâu</t>
  </si>
  <si>
    <t>105312</t>
  </si>
  <si>
    <t>COCA COLA ĐÀ NẴNG</t>
  </si>
  <si>
    <t>105364</t>
  </si>
  <si>
    <t>Nhựa Lộc Phát</t>
  </si>
  <si>
    <t>105367</t>
  </si>
  <si>
    <t>Nhựa TC 2050</t>
  </si>
  <si>
    <t>200388</t>
  </si>
  <si>
    <t>Svepol Americas Inc.</t>
  </si>
  <si>
    <t>200392</t>
  </si>
  <si>
    <t>RTCO</t>
  </si>
  <si>
    <t>200394</t>
  </si>
  <si>
    <t>MHE ENTERPRISE</t>
  </si>
  <si>
    <t>110000506</t>
  </si>
  <si>
    <t>Hạt Nhựa rPET WSS01 &amp; WSS01G-L</t>
  </si>
  <si>
    <t>Vảy PP Trắng Sữa PV-02_TM Trả NCC</t>
  </si>
  <si>
    <t>160012611</t>
  </si>
  <si>
    <t>Phó Sản HD Ép Hỗn Hợp Cuối ST</t>
  </si>
  <si>
    <t>160012951</t>
  </si>
  <si>
    <t>Phó Sản HD Ép Hỗn Hợp Cuối SSR</t>
  </si>
  <si>
    <t>Hạt Nhựa rPET iSS01G</t>
  </si>
  <si>
    <t>WSS01 &amp; WSS01G-L</t>
  </si>
  <si>
    <t>105366</t>
  </si>
  <si>
    <t>Plenma</t>
  </si>
  <si>
    <t>300392</t>
  </si>
  <si>
    <t>Marico</t>
  </si>
  <si>
    <t xml:space="preserve">FCA </t>
  </si>
  <si>
    <t>Trung Quốc</t>
  </si>
  <si>
    <t>COCA-COLA VIỆT NAM</t>
  </si>
  <si>
    <t>CFR</t>
  </si>
  <si>
    <t>Suntory- Honchuan</t>
  </si>
  <si>
    <t>Ghana</t>
  </si>
  <si>
    <t>KD đề xuất bán giá 605 USD/ tấn, hiệu lực đến 31/08, chênh lệch do chênh lệch tỷ giá ( giá duyệt VND= 16.000/kg, thực tế bán 17.500)</t>
  </si>
  <si>
    <t>KD đề xuất bán giá 570 USD/ tấn, hiệu lực từ 24/07=&gt; 24/08 ( giá duyệt VND= 15.000đ/kg, giá bán thực tế= 16.000 đ/kg)</t>
  </si>
  <si>
    <t>KD đề xuất bán giá 570 USD/ tấn, hiệu lực từ 24/07=&gt; 24/08 ( giá duyệt VND= 15.000đ/kg, giá bán thực tế= 15.500 đ/kg)</t>
  </si>
  <si>
    <t>KD đề xuất bán giá 570 USD/ tấn, hiệu lực từ 24/07=&gt; 24/08 ( giá duyệt VND= 15.000đ/kg, giá bán thực tế= 15.000 đ/kg)</t>
  </si>
  <si>
    <t>KD đề xuất bán giá 570 USD/ tấn, hiệu lực từ 24/07=&gt; 24/08 ( giá duyệt VND= 15.000đ/kg, giá bán thực tế= 15.741 đ/kg)</t>
  </si>
  <si>
    <t>GĐĐH duyệt bán  giá 678 USD/ tấn để giảm tồn kho, đơn hàng 50,875 tấn, ( 18.000đ/kg)</t>
  </si>
  <si>
    <t>GĐĐH duyệt bán  giá 730 USD/ tấn để giảm tồn kho, đơn hàng 50, tấn, ( 18.000đ/kg)</t>
  </si>
  <si>
    <t>Bán bằng giá duyệt do đơn hàng lẻ nên chi phí xuất khẩu cao</t>
  </si>
  <si>
    <t>KD đề xuất bán giá 665 USD/ tấn, hiệu lực từ 24/07
Giá duyệt VND= 17.500 đ/kg, giá bán = 17.800 đ/kg</t>
  </si>
  <si>
    <t xml:space="preserve">KD đề xuất bán giá 550 USD/ tấn, hiệu lực đến 31/08
</t>
  </si>
  <si>
    <t>Châu Á</t>
  </si>
  <si>
    <t>Châu Phi</t>
  </si>
  <si>
    <t>THÁNG 08/25</t>
  </si>
  <si>
    <t>THÁNG 8</t>
  </si>
  <si>
    <t>THÁNG 8/25</t>
  </si>
  <si>
    <t>9.24</t>
  </si>
  <si>
    <t>Báo cáo tháng:</t>
  </si>
  <si>
    <t>+/-</t>
  </si>
  <si>
    <t>cao</t>
  </si>
  <si>
    <t xml:space="preserve"> + Cơ cấu sản lượng bán:</t>
  </si>
  <si>
    <t>T8</t>
  </si>
  <si>
    <r>
      <t xml:space="preserve">    -  iSS01G </t>
    </r>
    <r>
      <rPr>
        <sz val="11"/>
        <color rgb="FFFF0000"/>
        <rFont val="Calibri"/>
        <family val="2"/>
        <scheme val="minor"/>
      </rPr>
      <t>tăng:</t>
    </r>
    <r>
      <rPr>
        <sz val="11"/>
        <color theme="1"/>
        <rFont val="Calibri"/>
        <family val="2"/>
        <scheme val="minor"/>
      </rPr>
      <t xml:space="preserve"> T7 ~ </t>
    </r>
    <r>
      <rPr>
        <sz val="11"/>
        <color rgb="FFFF0000"/>
        <rFont val="Calibri"/>
        <family val="2"/>
        <scheme val="minor"/>
      </rPr>
      <t>957 tấn</t>
    </r>
    <r>
      <rPr>
        <sz val="11"/>
        <color theme="1"/>
        <rFont val="Calibri"/>
        <family val="2"/>
        <scheme val="minor"/>
      </rPr>
      <t xml:space="preserve">, T8 ~ </t>
    </r>
    <r>
      <rPr>
        <sz val="11"/>
        <color rgb="FFFF0000"/>
        <rFont val="Calibri"/>
        <family val="2"/>
        <scheme val="minor"/>
      </rPr>
      <t>1287 tấn</t>
    </r>
  </si>
  <si>
    <r>
      <t xml:space="preserve">    -  iSS84G </t>
    </r>
    <r>
      <rPr>
        <sz val="11"/>
        <color rgb="FFFF0000"/>
        <rFont val="Calibri"/>
        <family val="2"/>
        <scheme val="minor"/>
      </rPr>
      <t>tăng</t>
    </r>
    <r>
      <rPr>
        <sz val="11"/>
        <color theme="1"/>
        <rFont val="Calibri"/>
        <family val="2"/>
        <scheme val="minor"/>
      </rPr>
      <t xml:space="preserve">: T7 ~ </t>
    </r>
    <r>
      <rPr>
        <sz val="11"/>
        <color rgb="FFFF0000"/>
        <rFont val="Calibri"/>
        <family val="2"/>
        <scheme val="minor"/>
      </rPr>
      <t>249 tấn</t>
    </r>
    <r>
      <rPr>
        <sz val="11"/>
        <color theme="1"/>
        <rFont val="Calibri"/>
        <family val="2"/>
        <scheme val="minor"/>
      </rPr>
      <t xml:space="preserve">, T8 ~ </t>
    </r>
    <r>
      <rPr>
        <sz val="11"/>
        <color rgb="FFFF0000"/>
        <rFont val="Calibri"/>
        <family val="2"/>
        <scheme val="minor"/>
      </rPr>
      <t>835 tấn</t>
    </r>
  </si>
  <si>
    <r>
      <t xml:space="preserve">    -  WSS01G </t>
    </r>
    <r>
      <rPr>
        <sz val="11"/>
        <color rgb="FFFF0000"/>
        <rFont val="Calibri"/>
        <family val="2"/>
        <scheme val="minor"/>
      </rPr>
      <t>giảm</t>
    </r>
    <r>
      <rPr>
        <sz val="11"/>
        <color theme="1"/>
        <rFont val="Calibri"/>
        <family val="2"/>
        <scheme val="minor"/>
      </rPr>
      <t xml:space="preserve">: T7 ~ </t>
    </r>
    <r>
      <rPr>
        <sz val="11"/>
        <color rgb="FFFF0000"/>
        <rFont val="Calibri"/>
        <family val="2"/>
        <scheme val="minor"/>
      </rPr>
      <t>2068 tấn</t>
    </r>
    <r>
      <rPr>
        <sz val="11"/>
        <color theme="1"/>
        <rFont val="Calibri"/>
        <family val="2"/>
        <scheme val="minor"/>
      </rPr>
      <t xml:space="preserve">, T8 ~ </t>
    </r>
    <r>
      <rPr>
        <sz val="11"/>
        <color rgb="FFFF0000"/>
        <rFont val="Calibri"/>
        <family val="2"/>
        <scheme val="minor"/>
      </rPr>
      <t>1771 tấn</t>
    </r>
  </si>
  <si>
    <t>Sản xuất từ 2 công thức có vảy B6.2 có giá mua vào cao
82% B6.2_A3 + 18% B7
90% B6.2_A3 + 10% B5</t>
  </si>
  <si>
    <t>HDI3Y01 được sản xuất từ 1 lệnh 7003362 sản xuất từ 27.08 - 04.09 nên chưa kết chuyển chi phí dở dang dẫn đến giá thành cao</t>
  </si>
  <si>
    <t>Rework lại 8,7 tấn PP20R01 và 4,8 tấn PP20R02 để sản xuất ra hạt PP20R02</t>
  </si>
  <si>
    <t>chuyển mã 3 tấn HDB05N01 giá vốn 31.553đ/kg sang HDB04B01,
rework 2,5 tấn HDB04B01
Sản xuất từ các hạt HD thổi không đạt chất lượng tồn kho như MBF01, MBF01-B1, MBF01-B2, MBF01-B4, HD thử nghiệm, PS HD thổi L1, PS HD thổi L2, Đầu keo HD thổi…</t>
  </si>
  <si>
    <t>Giá thành cao: do sản phẩm được sản xuất từ nguyên liệu B6.2, giá chai B6.2 mua từ Đại Lộc cao (19.480 đ/kg) hơn giá thị trường (10.000 đ/kg)</t>
  </si>
  <si>
    <t>Bán hàng giảm tồn kho lâu</t>
  </si>
  <si>
    <t>Bán hàng giảm tồn kho lâu
Giá thành cao: do trong SAP giá phó sản Olephin thu hồi từ PET cao: 17.000đ/kg, giá thị trường ~ 13.000 đ/kg</t>
  </si>
  <si>
    <t>Tài trợ</t>
  </si>
  <si>
    <t>105313</t>
  </si>
  <si>
    <t>CÔNG TY CP CÔNG NGHI</t>
  </si>
  <si>
    <t>105365</t>
  </si>
  <si>
    <t>Mekong Bros</t>
  </si>
  <si>
    <t>105369</t>
  </si>
  <si>
    <t>Masan-Nước Khoáng Qu</t>
  </si>
  <si>
    <t>105375</t>
  </si>
  <si>
    <t>Masan- Tiêu Dùng Ma</t>
  </si>
  <si>
    <t>105376</t>
  </si>
  <si>
    <t>Masan- BỘT GIẶT NET</t>
  </si>
  <si>
    <t>105378</t>
  </si>
  <si>
    <t>Masan-Vinacafé Biên</t>
  </si>
  <si>
    <t>Hạt Nhựa rPET WSS01</t>
  </si>
  <si>
    <t>160012607</t>
  </si>
  <si>
    <t>Phó Sản PET Zigzag S</t>
  </si>
  <si>
    <t>110000508</t>
  </si>
  <si>
    <t>Hạt Nhựa rPP20W02</t>
  </si>
  <si>
    <t>160012837</t>
  </si>
  <si>
    <t>Vảy HD Ép Dương Tách</t>
  </si>
  <si>
    <t>Phó Sản HD Ép Hỗn Hợ</t>
  </si>
  <si>
    <t>110000335</t>
  </si>
  <si>
    <t>Hạt nhựa rPET WSS04</t>
  </si>
  <si>
    <t>Vảy HD Thổi Trong HV-01.1-TM GC</t>
  </si>
  <si>
    <t>WSS04</t>
  </si>
  <si>
    <t>rPP20W02</t>
  </si>
  <si>
    <t>LDPE</t>
  </si>
  <si>
    <t>NGỌC NGHĨA</t>
  </si>
  <si>
    <t>Trả hàng 181,5 tấn không đạt chất lượng</t>
  </si>
  <si>
    <t>KD đề xuất bán giá 593 USD/ tấn, hiệu lực đến 30/06/2025, đơn hàng này trong T6 đến T9 đã giao 121 tấn</t>
  </si>
  <si>
    <t>KD đề xuất bán giá 700 USD/ tấn, giá VND =18.400 đ/kg, chênh lệch do lệch tỷ giá</t>
  </si>
  <si>
    <t>KD đề xuất bán giá 678 USD/ tấn, giá VND =18.000 đ/kg, chênh lệch do lệch tỷ giá</t>
  </si>
  <si>
    <t>Bán hàng tồn kho lâu</t>
  </si>
  <si>
    <t>KD đề xuất bán giá 730 USD/ tấn, đơn hàng 50 tấn, đã giao 33 tấn</t>
  </si>
  <si>
    <t>KD đề xuất duyệt bán giá từ  588=&gt;615 USD/ tấn theo bậc thang sản lượng, khách hàng này giao dưới 50 tấn áp theo mức giá 615 USD/ tấn</t>
  </si>
  <si>
    <t>KD đề xuất bán giá 550 USD/ tấn ( mail duyệt ngày 03.09)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</si>
</sst>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41" formatCode="_-* #,##0_-;\-* #,##0_-;_-* &quot;-&quot;_-;_-@_-"/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_-* #,##0_-;\-* #,##0_-;_-* &quot;-&quot;??_-;_-@_-"/>
    <numFmt numFmtId="167" formatCode="_(* #,##0.0_);_(* \(#,##0.0\);_(* &quot;-&quot;??_);_(@_)"/>
    <numFmt numFmtId="168" formatCode="_-* #,##0.00000_-;\-* #,##0.00000_-;_-* &quot;-&quot;??_-;_-@_-"/>
    <numFmt numFmtId="169" formatCode="0.0%"/>
    <numFmt numFmtId="170" formatCode="mm/yy"/>
    <numFmt numFmtId="171" formatCode="dd/mm"/>
    <numFmt numFmtId="172" formatCode="#,##0\ &quot;tấn&quot;"/>
    <numFmt numFmtId="173" formatCode="#,##0\ &quot;ngàn $&quot;"/>
    <numFmt numFmtId="174" formatCode="&quot;LNG: &quot;0.0%"/>
    <numFmt numFmtId="175" formatCode="&quot;~ &quot;#,##0\ &quot;ngàn $&quot;"/>
    <numFmt numFmtId="176" formatCode="&quot;~ &quot;#,##0.0\ &quot;ngàn $&quot;"/>
    <numFmt numFmtId="177" formatCode="&quot;LNG: &quot;#,##0\ &quot;ngàn $&quot;"/>
    <numFmt numFmtId="178" formatCode="&quot;~ &quot;0.0%"/>
    <numFmt numFmtId="179" formatCode="#,##0.0"/>
    <numFmt numFmtId="180" formatCode="0.0"/>
    <numFmt numFmtId="181" formatCode="0_);\(0\)"/>
    <numFmt numFmtId="182" formatCode="_(* #,##0.000_);_(* \(#,##0.000\);_(* &quot;-&quot;??_);_(@_)"/>
    <numFmt numFmtId="183" formatCode="&quot;% LNG ~ &quot;0.0%"/>
    <numFmt numFmtId="184" formatCode="&quot;SL: &quot;#,##0\ &quot;tấn&quot;"/>
    <numFmt numFmtId="185" formatCode="&quot;LNG ~ &quot;#,##0\ &quot;ngàn $&quot;"/>
    <numFmt numFmtId="186" formatCode="&quot;LNG ~ &quot;#,##0.00\ &quot;ngàn $&quot;"/>
    <numFmt numFmtId="187" formatCode="_-* #,##0.000000_-;\-* #,##0.000000_-;_-* &quot;-&quot;_-;_-@_-"/>
  </numFmts>
  <fonts count="1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rgb="FF0000FF"/>
      <name val="Times New Roman"/>
      <family val="1"/>
    </font>
    <font>
      <sz val="12"/>
      <name val="Times New Roman"/>
      <family val="1"/>
    </font>
    <font>
      <sz val="12"/>
      <color theme="1"/>
      <name val="Times New Roman"/>
      <family val="1"/>
    </font>
    <font>
      <sz val="11"/>
      <name val="Times New Roman"/>
      <family val="1"/>
    </font>
    <font>
      <b/>
      <sz val="12"/>
      <name val="Times New Roman"/>
      <family val="1"/>
    </font>
    <font>
      <b/>
      <sz val="11"/>
      <name val="Times New Roman"/>
      <family val="1"/>
    </font>
    <font>
      <b/>
      <sz val="12"/>
      <color rgb="FF0000FF"/>
      <name val="Times New Roman"/>
      <family val="1"/>
    </font>
    <font>
      <b/>
      <sz val="12"/>
      <color theme="1"/>
      <name val="Times New Roman"/>
      <family val="1"/>
    </font>
    <font>
      <b/>
      <sz val="12"/>
      <color theme="0"/>
      <name val="Times New Roman"/>
      <family val="1"/>
    </font>
    <font>
      <b/>
      <sz val="11"/>
      <color theme="0"/>
      <name val="Times New Roman"/>
      <family val="1"/>
    </font>
    <font>
      <b/>
      <sz val="16"/>
      <color rgb="FF0000FF"/>
      <name val="Times New Roman"/>
      <family val="1"/>
    </font>
    <font>
      <sz val="11"/>
      <color rgb="FF0033CC"/>
      <name val="Times New Roman"/>
      <family val="1"/>
    </font>
    <font>
      <b/>
      <sz val="12"/>
      <color theme="5" tint="-0.249977111117893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sz val="10"/>
      <color rgb="FF0000FF"/>
      <name val="Times New Roman"/>
      <family val="1"/>
    </font>
    <font>
      <sz val="10"/>
      <color theme="1"/>
      <name val="Times New Roman"/>
      <family val="1"/>
    </font>
    <font>
      <b/>
      <sz val="11"/>
      <color theme="0"/>
      <name val="Calibri"/>
      <family val="2"/>
      <scheme val="minor"/>
    </font>
    <font>
      <b/>
      <sz val="12"/>
      <color rgb="FF0033CC"/>
      <name val="Times New Roman"/>
      <family val="1"/>
    </font>
    <font>
      <b/>
      <sz val="11"/>
      <color rgb="FF0033CC"/>
      <name val="Times New Roman"/>
      <family val="1"/>
    </font>
    <font>
      <b/>
      <sz val="12"/>
      <color rgb="FF0070C0"/>
      <name val="Times New Roman"/>
      <family val="1"/>
    </font>
    <font>
      <b/>
      <sz val="12"/>
      <color theme="3" tint="0.249977111117893"/>
      <name val="Times New Roman"/>
      <family val="1"/>
    </font>
    <font>
      <b/>
      <sz val="12"/>
      <color rgb="FF993300"/>
      <name val="Times New Roman"/>
      <family val="1"/>
    </font>
    <font>
      <b/>
      <sz val="16"/>
      <color rgb="FF0033CC"/>
      <name val="Calibri"/>
      <family val="2"/>
      <scheme val="minor"/>
    </font>
    <font>
      <b/>
      <sz val="14"/>
      <color rgb="FF0033CC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FF33CC"/>
      <name val="Calibri"/>
      <family val="2"/>
      <scheme val="minor"/>
    </font>
    <font>
      <b/>
      <sz val="11"/>
      <color rgb="FF0033CC"/>
      <name val="Calibri"/>
      <family val="2"/>
      <scheme val="minor"/>
    </font>
    <font>
      <i/>
      <sz val="11"/>
      <color theme="5" tint="-0.249977111117893"/>
      <name val="Calibri"/>
      <family val="2"/>
      <scheme val="minor"/>
    </font>
    <font>
      <b/>
      <i/>
      <sz val="11"/>
      <color theme="5" tint="-0.249977111117893"/>
      <name val="Calibri"/>
      <family val="2"/>
      <scheme val="minor"/>
    </font>
    <font>
      <b/>
      <sz val="12"/>
      <color rgb="FF0033CC"/>
      <name val="Calibri"/>
      <family val="2"/>
      <scheme val="minor"/>
    </font>
    <font>
      <b/>
      <sz val="14"/>
      <color rgb="FF0000FF"/>
      <name val="Times New Roman"/>
      <family val="1"/>
    </font>
    <font>
      <b/>
      <sz val="14"/>
      <color theme="5" tint="-0.499984740745262"/>
      <name val="Times New Roman"/>
      <family val="1"/>
    </font>
    <font>
      <b/>
      <sz val="14"/>
      <color rgb="FFFF00FF"/>
      <name val="Times New Roman"/>
      <family val="1"/>
    </font>
    <font>
      <b/>
      <sz val="14"/>
      <color theme="8" tint="-0.249977111117893"/>
      <name val="Times New Roman"/>
      <family val="1"/>
    </font>
    <font>
      <b/>
      <sz val="14"/>
      <color theme="1"/>
      <name val="Times New Roman"/>
      <family val="1"/>
    </font>
    <font>
      <b/>
      <sz val="14"/>
      <color theme="7" tint="-0.249977111117893"/>
      <name val="Times New Roman"/>
      <family val="1"/>
    </font>
    <font>
      <b/>
      <sz val="14"/>
      <color rgb="FF7030A0"/>
      <name val="Times New Roman"/>
      <family val="1"/>
    </font>
    <font>
      <b/>
      <sz val="12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2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i/>
      <sz val="12"/>
      <color theme="0" tint="-0.499984740745262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sz val="10"/>
      <color rgb="FFFF66CC"/>
      <name val="Times New Roman"/>
      <family val="1"/>
    </font>
    <font>
      <b/>
      <sz val="14"/>
      <name val="Times New Roman"/>
      <family val="1"/>
    </font>
    <font>
      <b/>
      <sz val="10"/>
      <color rgb="FFFF66CC"/>
      <name val="Times New Roman"/>
      <family val="1"/>
    </font>
    <font>
      <b/>
      <sz val="10"/>
      <color theme="1"/>
      <name val="Times New Roman"/>
      <family val="1"/>
    </font>
    <font>
      <b/>
      <sz val="10"/>
      <color rgb="FF0000FF"/>
      <name val="Times New Roman"/>
      <family val="1"/>
    </font>
    <font>
      <b/>
      <sz val="11"/>
      <color theme="1"/>
      <name val="Calibri"/>
      <family val="2"/>
      <scheme val="minor"/>
    </font>
    <font>
      <i/>
      <sz val="11"/>
      <color theme="2" tint="-0.499984740745262"/>
      <name val="Calibri"/>
      <family val="2"/>
      <scheme val="minor"/>
    </font>
    <font>
      <sz val="12"/>
      <color theme="5" tint="-0.249977111117893"/>
      <name val="Calibri"/>
      <family val="2"/>
      <scheme val="minor"/>
    </font>
    <font>
      <b/>
      <sz val="12"/>
      <color rgb="FFFF00FF"/>
      <name val="Calibri"/>
      <family val="2"/>
      <scheme val="minor"/>
    </font>
    <font>
      <b/>
      <i/>
      <sz val="11"/>
      <color rgb="FFFF00FF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FF00FF"/>
      <name val="Calibri"/>
      <family val="2"/>
      <scheme val="minor"/>
    </font>
    <font>
      <b/>
      <i/>
      <sz val="14"/>
      <color rgb="FFFF00FF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  <font>
      <b/>
      <i/>
      <sz val="11"/>
      <color theme="2" tint="-0.49998474074526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rgb="FF0000FF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Aptos Display"/>
      <family val="2"/>
    </font>
    <font>
      <b/>
      <sz val="14"/>
      <color rgb="FF00CC00"/>
      <name val="Calibri"/>
      <family val="2"/>
      <scheme val="minor"/>
    </font>
    <font>
      <b/>
      <sz val="11"/>
      <color rgb="FF0000FF"/>
      <name val="Aptos Display"/>
      <family val="2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u/>
      <sz val="11"/>
      <color theme="5" tint="-0.249977111117893"/>
      <name val="Calibri"/>
      <family val="2"/>
      <scheme val="minor"/>
    </font>
    <font>
      <sz val="16"/>
      <color rgb="FF0000FF"/>
      <name val="Calibri"/>
      <family val="2"/>
      <scheme val="minor"/>
    </font>
    <font>
      <b/>
      <i/>
      <sz val="11"/>
      <color theme="5" tint="-0.249977111117893"/>
      <name val="Times New Roman"/>
      <family val="1"/>
    </font>
    <font>
      <sz val="11"/>
      <name val="Calibri"/>
      <family val="2"/>
      <scheme val="minor"/>
    </font>
    <font>
      <sz val="10"/>
      <color rgb="FFFF00FF"/>
      <name val="Times New Roman"/>
      <family val="1"/>
    </font>
    <font>
      <b/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FF"/>
      <name val="Times New Roman"/>
      <family val="1"/>
    </font>
    <font>
      <b/>
      <sz val="11"/>
      <color rgb="FFFF00FF"/>
      <name val="Calibri"/>
      <family val="2"/>
      <scheme val="minor"/>
    </font>
    <font>
      <sz val="10"/>
      <color theme="0"/>
      <name val="Times New Roman"/>
      <family val="1"/>
    </font>
    <font>
      <sz val="11"/>
      <color rgb="FFFF00FF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1"/>
      <color rgb="FF00CC00"/>
      <name val="Calibri"/>
      <family val="2"/>
      <scheme val="minor"/>
    </font>
    <font>
      <b/>
      <sz val="11"/>
      <color rgb="FFFF00FF"/>
      <name val="Times New Roman"/>
      <family val="1"/>
    </font>
    <font>
      <b/>
      <sz val="14"/>
      <color rgb="FFFF0000"/>
      <name val="Calibri"/>
      <family val="2"/>
      <scheme val="minor"/>
    </font>
    <font>
      <sz val="11"/>
      <color rgb="FF0000FF"/>
      <name val="Times New Roman"/>
      <family val="1"/>
    </font>
    <font>
      <b/>
      <sz val="14"/>
      <color rgb="FFFF6699"/>
      <name val="Times New Roman"/>
      <family val="1"/>
    </font>
    <font>
      <b/>
      <sz val="16"/>
      <color rgb="FFFF00FF"/>
      <name val="Calibri"/>
      <family val="2"/>
      <scheme val="minor"/>
    </font>
    <font>
      <sz val="11"/>
      <color rgb="FF00CC00"/>
      <name val="Calibri"/>
      <family val="2"/>
      <scheme val="minor"/>
    </font>
    <font>
      <b/>
      <sz val="20"/>
      <color rgb="FF0000FF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Times New Roman"/>
      <family val="1"/>
    </font>
    <font>
      <sz val="12"/>
      <color rgb="FFFF00FF"/>
      <name val="Times New Roman"/>
      <family val="1"/>
    </font>
    <font>
      <b/>
      <sz val="14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6"/>
      <color rgb="FF00CC00"/>
      <name val="Calibri"/>
      <family val="2"/>
      <scheme val="minor"/>
    </font>
    <font>
      <b/>
      <sz val="14"/>
      <color rgb="FFFF0000"/>
      <name val="Times New Roman"/>
      <family val="1"/>
    </font>
    <font>
      <b/>
      <u/>
      <sz val="11"/>
      <color rgb="FFFF000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6"/>
      <color rgb="FF30C230"/>
      <name val="Calibri"/>
      <family val="2"/>
      <scheme val="minor"/>
    </font>
    <font>
      <b/>
      <sz val="11"/>
      <name val="Aptos Display"/>
      <family val="2"/>
    </font>
    <font>
      <b/>
      <sz val="11"/>
      <color theme="9" tint="-0.249977111117893"/>
      <name val="Calibri"/>
      <family val="2"/>
      <scheme val="minor"/>
    </font>
    <font>
      <b/>
      <sz val="10"/>
      <color rgb="FFFF00FF"/>
      <name val="Times New Roman"/>
      <family val="1"/>
    </font>
    <font>
      <b/>
      <sz val="16"/>
      <color rgb="FF00B050"/>
      <name val="Calibri"/>
      <family val="2"/>
      <scheme val="minor"/>
    </font>
    <font>
      <sz val="11"/>
      <color rgb="FFFF33CC"/>
      <name val="Calibri"/>
      <family val="2"/>
      <scheme val="minor"/>
    </font>
    <font>
      <sz val="10"/>
      <color theme="1"/>
      <name val="Arial"/>
      <family val="2"/>
    </font>
    <font>
      <sz val="11"/>
      <name val="Times New Roman"/>
      <family val="1"/>
      <charset val="163"/>
    </font>
    <font>
      <sz val="10"/>
      <name val="Arial"/>
      <family val="2"/>
      <charset val="163"/>
    </font>
    <font>
      <sz val="10"/>
      <color rgb="FFFF0000"/>
      <name val="Times New Roman"/>
      <family val="1"/>
    </font>
    <font>
      <b/>
      <sz val="12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30C23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15FF15"/>
        <bgColor indexed="64"/>
      </patternFill>
    </fill>
    <fill>
      <patternFill patternType="solid">
        <fgColor rgb="FFFF99FF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 diagonalUp="1" diagonalDown="1"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</borders>
  <cellStyleXfs count="15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43" fontId="2" fillId="0" borderId="0" applyFont="0" applyFill="0" applyBorder="0" applyAlignment="0" applyProtection="0"/>
    <xf numFmtId="0" fontId="17" fillId="0" borderId="0"/>
    <xf numFmtId="9" fontId="17" fillId="0" borderId="0" applyFon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1" fontId="2" fillId="0" borderId="0" applyFont="0" applyFill="0" applyBorder="0" applyAlignment="0" applyProtection="0"/>
  </cellStyleXfs>
  <cellXfs count="1310">
    <xf numFmtId="0" fontId="0" fillId="0" borderId="0" xfId="0"/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 vertical="center"/>
    </xf>
    <xf numFmtId="3" fontId="3" fillId="0" borderId="1" xfId="0" applyNumberFormat="1" applyFont="1" applyBorder="1"/>
    <xf numFmtId="0" fontId="5" fillId="0" borderId="2" xfId="0" applyFont="1" applyBorder="1" applyAlignment="1">
      <alignment horizontal="left" wrapText="1"/>
    </xf>
    <xf numFmtId="0" fontId="6" fillId="0" borderId="1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left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6" fillId="0" borderId="1" xfId="0" applyFont="1" applyBorder="1" applyAlignment="1">
      <alignment horizontal="center" vertical="center"/>
    </xf>
    <xf numFmtId="0" fontId="7" fillId="0" borderId="0" xfId="0" applyFont="1"/>
    <xf numFmtId="0" fontId="8" fillId="2" borderId="4" xfId="0" applyFont="1" applyFill="1" applyBorder="1" applyAlignment="1">
      <alignment horizontal="left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9" fillId="2" borderId="4" xfId="0" applyFont="1" applyFill="1" applyBorder="1" applyAlignment="1">
      <alignment horizontal="left" vertical="center"/>
    </xf>
    <xf numFmtId="0" fontId="9" fillId="2" borderId="4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top"/>
    </xf>
    <xf numFmtId="0" fontId="6" fillId="0" borderId="2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center"/>
    </xf>
    <xf numFmtId="0" fontId="3" fillId="0" borderId="0" xfId="0" applyFont="1" applyAlignment="1">
      <alignment vertical="center"/>
    </xf>
    <xf numFmtId="3" fontId="3" fillId="0" borderId="1" xfId="0" applyNumberFormat="1" applyFont="1" applyBorder="1" applyAlignment="1">
      <alignment vertical="center"/>
    </xf>
    <xf numFmtId="0" fontId="5" fillId="0" borderId="2" xfId="0" applyFont="1" applyBorder="1" applyAlignment="1">
      <alignment vertical="top"/>
    </xf>
    <xf numFmtId="0" fontId="3" fillId="0" borderId="1" xfId="0" applyFont="1" applyBorder="1" applyAlignment="1">
      <alignment horizontal="center"/>
    </xf>
    <xf numFmtId="0" fontId="5" fillId="0" borderId="1" xfId="0" applyFont="1" applyBorder="1" applyAlignment="1">
      <alignment vertical="center"/>
    </xf>
    <xf numFmtId="0" fontId="3" fillId="0" borderId="1" xfId="0" quotePrefix="1" applyFont="1" applyBorder="1" applyAlignment="1">
      <alignment horizontal="left"/>
    </xf>
    <xf numFmtId="0" fontId="5" fillId="0" borderId="2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3" fillId="0" borderId="1" xfId="0" quotePrefix="1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7" fillId="0" borderId="6" xfId="0" applyFont="1" applyBorder="1" applyAlignment="1">
      <alignment horizontal="left" vertical="center"/>
    </xf>
    <xf numFmtId="0" fontId="6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horizontal="center" vertical="center" wrapText="1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horizontal="center" vertical="center" wrapText="1"/>
    </xf>
    <xf numFmtId="0" fontId="12" fillId="5" borderId="0" xfId="0" applyFont="1" applyFill="1" applyAlignment="1">
      <alignment horizontal="center" vertical="center"/>
    </xf>
    <xf numFmtId="0" fontId="12" fillId="5" borderId="0" xfId="0" applyFont="1" applyFill="1" applyAlignment="1">
      <alignment horizontal="center" vertical="center" wrapText="1"/>
    </xf>
    <xf numFmtId="165" fontId="3" fillId="0" borderId="0" xfId="0" applyNumberFormat="1" applyFont="1"/>
    <xf numFmtId="0" fontId="14" fillId="0" borderId="0" xfId="0" applyFont="1" applyAlignment="1">
      <alignment horizontal="left"/>
    </xf>
    <xf numFmtId="0" fontId="12" fillId="6" borderId="0" xfId="0" applyFont="1" applyFill="1" applyAlignment="1">
      <alignment horizontal="center" vertical="center" wrapText="1"/>
    </xf>
    <xf numFmtId="0" fontId="12" fillId="6" borderId="0" xfId="0" applyFont="1" applyFill="1" applyAlignment="1">
      <alignment horizontal="center" vertical="center"/>
    </xf>
    <xf numFmtId="165" fontId="3" fillId="0" borderId="1" xfId="0" applyNumberFormat="1" applyFont="1" applyBorder="1" applyAlignment="1">
      <alignment vertical="center"/>
    </xf>
    <xf numFmtId="3" fontId="15" fillId="0" borderId="1" xfId="0" applyNumberFormat="1" applyFont="1" applyBorder="1" applyAlignment="1">
      <alignment horizontal="right" vertical="center"/>
    </xf>
    <xf numFmtId="0" fontId="5" fillId="0" borderId="9" xfId="0" applyFont="1" applyBorder="1" applyAlignment="1">
      <alignment horizontal="left"/>
    </xf>
    <xf numFmtId="0" fontId="5" fillId="0" borderId="10" xfId="0" applyFont="1" applyBorder="1" applyAlignment="1">
      <alignment horizontal="left"/>
    </xf>
    <xf numFmtId="0" fontId="9" fillId="2" borderId="11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left" vertical="center"/>
    </xf>
    <xf numFmtId="0" fontId="8" fillId="2" borderId="12" xfId="0" applyFont="1" applyFill="1" applyBorder="1" applyAlignment="1">
      <alignment horizontal="left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left" vertical="center" wrapText="1"/>
    </xf>
    <xf numFmtId="0" fontId="5" fillId="0" borderId="9" xfId="0" applyFont="1" applyBorder="1"/>
    <xf numFmtId="3" fontId="15" fillId="0" borderId="9" xfId="0" applyNumberFormat="1" applyFont="1" applyBorder="1" applyAlignment="1">
      <alignment horizontal="right" vertical="center"/>
    </xf>
    <xf numFmtId="0" fontId="3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left"/>
    </xf>
    <xf numFmtId="0" fontId="5" fillId="0" borderId="13" xfId="0" applyFont="1" applyBorder="1" applyAlignment="1">
      <alignment vertical="top"/>
    </xf>
    <xf numFmtId="0" fontId="5" fillId="0" borderId="13" xfId="0" applyFont="1" applyBorder="1"/>
    <xf numFmtId="0" fontId="6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vertical="top"/>
    </xf>
    <xf numFmtId="3" fontId="16" fillId="2" borderId="3" xfId="0" applyNumberFormat="1" applyFont="1" applyFill="1" applyBorder="1" applyAlignment="1">
      <alignment horizontal="right" vertical="center" wrapText="1"/>
    </xf>
    <xf numFmtId="0" fontId="18" fillId="0" borderId="0" xfId="0" applyFont="1" applyAlignment="1">
      <alignment vertical="top"/>
    </xf>
    <xf numFmtId="166" fontId="18" fillId="0" borderId="0" xfId="3" applyNumberFormat="1" applyFont="1" applyFill="1" applyAlignment="1">
      <alignment vertical="top"/>
    </xf>
    <xf numFmtId="166" fontId="19" fillId="0" borderId="0" xfId="3" applyNumberFormat="1" applyFont="1" applyAlignment="1">
      <alignment vertical="top"/>
    </xf>
    <xf numFmtId="49" fontId="5" fillId="0" borderId="3" xfId="0" applyNumberFormat="1" applyFont="1" applyBorder="1" applyAlignment="1">
      <alignment vertical="center"/>
    </xf>
    <xf numFmtId="49" fontId="5" fillId="0" borderId="1" xfId="0" applyNumberFormat="1" applyFont="1" applyBorder="1" applyAlignment="1">
      <alignment horizontal="left"/>
    </xf>
    <xf numFmtId="49" fontId="5" fillId="0" borderId="1" xfId="0" applyNumberFormat="1" applyFont="1" applyBorder="1" applyAlignment="1">
      <alignment horizontal="left" vertical="center"/>
    </xf>
    <xf numFmtId="49" fontId="5" fillId="0" borderId="1" xfId="0" applyNumberFormat="1" applyFont="1" applyBorder="1" applyAlignment="1">
      <alignment horizontal="left" vertical="center" wrapText="1"/>
    </xf>
    <xf numFmtId="49" fontId="5" fillId="0" borderId="13" xfId="0" applyNumberFormat="1" applyFont="1" applyBorder="1" applyAlignment="1">
      <alignment horizontal="left"/>
    </xf>
    <xf numFmtId="49" fontId="5" fillId="0" borderId="1" xfId="0" applyNumberFormat="1" applyFont="1" applyBorder="1" applyAlignment="1">
      <alignment horizontal="left" wrapText="1"/>
    </xf>
    <xf numFmtId="49" fontId="6" fillId="0" borderId="1" xfId="0" applyNumberFormat="1" applyFont="1" applyBorder="1" applyAlignment="1">
      <alignment horizontal="left"/>
    </xf>
    <xf numFmtId="0" fontId="20" fillId="0" borderId="0" xfId="0" applyFont="1" applyAlignment="1">
      <alignment vertical="top"/>
    </xf>
    <xf numFmtId="166" fontId="20" fillId="0" borderId="0" xfId="3" applyNumberFormat="1" applyFont="1" applyAlignment="1">
      <alignment vertical="top"/>
    </xf>
    <xf numFmtId="166" fontId="19" fillId="8" borderId="5" xfId="3" applyNumberFormat="1" applyFont="1" applyFill="1" applyBorder="1" applyAlignment="1">
      <alignment vertical="top" wrapText="1"/>
    </xf>
    <xf numFmtId="166" fontId="19" fillId="9" borderId="5" xfId="3" applyNumberFormat="1" applyFont="1" applyFill="1" applyBorder="1" applyAlignment="1">
      <alignment vertical="top" wrapText="1"/>
    </xf>
    <xf numFmtId="9" fontId="19" fillId="9" borderId="5" xfId="2" applyFont="1" applyFill="1" applyBorder="1" applyAlignment="1">
      <alignment vertical="top" wrapText="1"/>
    </xf>
    <xf numFmtId="0" fontId="3" fillId="0" borderId="16" xfId="0" applyFont="1" applyBorder="1" applyAlignment="1">
      <alignment horizontal="center" vertical="center"/>
    </xf>
    <xf numFmtId="0" fontId="5" fillId="0" borderId="16" xfId="0" applyFont="1" applyBorder="1" applyAlignment="1">
      <alignment horizontal="left" wrapText="1"/>
    </xf>
    <xf numFmtId="0" fontId="5" fillId="0" borderId="16" xfId="0" applyFont="1" applyBorder="1"/>
    <xf numFmtId="3" fontId="3" fillId="0" borderId="16" xfId="0" applyNumberFormat="1" applyFont="1" applyBorder="1"/>
    <xf numFmtId="0" fontId="3" fillId="0" borderId="4" xfId="0" applyFont="1" applyBorder="1"/>
    <xf numFmtId="3" fontId="23" fillId="0" borderId="1" xfId="0" applyNumberFormat="1" applyFont="1" applyBorder="1" applyAlignment="1">
      <alignment horizontal="right" vertical="center"/>
    </xf>
    <xf numFmtId="3" fontId="23" fillId="0" borderId="16" xfId="0" applyNumberFormat="1" applyFont="1" applyBorder="1" applyAlignment="1">
      <alignment horizontal="right" vertical="center"/>
    </xf>
    <xf numFmtId="3" fontId="26" fillId="2" borderId="3" xfId="0" applyNumberFormat="1" applyFont="1" applyFill="1" applyBorder="1" applyAlignment="1">
      <alignment vertical="center" wrapText="1"/>
    </xf>
    <xf numFmtId="165" fontId="3" fillId="0" borderId="1" xfId="0" applyNumberFormat="1" applyFont="1" applyBorder="1" applyAlignment="1">
      <alignment horizontal="right" vertical="center"/>
    </xf>
    <xf numFmtId="38" fontId="22" fillId="2" borderId="3" xfId="0" applyNumberFormat="1" applyFont="1" applyFill="1" applyBorder="1" applyAlignment="1">
      <alignment horizontal="right" vertical="center" wrapText="1"/>
    </xf>
    <xf numFmtId="0" fontId="27" fillId="0" borderId="0" xfId="0" applyFont="1"/>
    <xf numFmtId="0" fontId="28" fillId="0" borderId="0" xfId="0" applyFont="1"/>
    <xf numFmtId="0" fontId="29" fillId="10" borderId="0" xfId="0" applyFont="1" applyFill="1" applyAlignment="1">
      <alignment horizontal="center"/>
    </xf>
    <xf numFmtId="0" fontId="21" fillId="10" borderId="7" xfId="0" applyFont="1" applyFill="1" applyBorder="1" applyAlignment="1">
      <alignment horizontal="center"/>
    </xf>
    <xf numFmtId="0" fontId="30" fillId="0" borderId="15" xfId="0" applyFont="1" applyBorder="1" applyAlignment="1">
      <alignment horizontal="center"/>
    </xf>
    <xf numFmtId="0" fontId="32" fillId="11" borderId="5" xfId="0" applyFont="1" applyFill="1" applyBorder="1"/>
    <xf numFmtId="0" fontId="35" fillId="11" borderId="5" xfId="0" applyFont="1" applyFill="1" applyBorder="1" applyAlignment="1">
      <alignment horizontal="left"/>
    </xf>
    <xf numFmtId="166" fontId="32" fillId="11" borderId="5" xfId="0" applyNumberFormat="1" applyFont="1" applyFill="1" applyBorder="1"/>
    <xf numFmtId="0" fontId="5" fillId="0" borderId="1" xfId="0" applyFont="1" applyBorder="1" applyAlignment="1">
      <alignment vertical="center" wrapText="1"/>
    </xf>
    <xf numFmtId="3" fontId="3" fillId="0" borderId="1" xfId="0" applyNumberFormat="1" applyFont="1" applyBorder="1" applyAlignment="1">
      <alignment horizontal="right"/>
    </xf>
    <xf numFmtId="0" fontId="3" fillId="0" borderId="18" xfId="0" applyFont="1" applyBorder="1" applyAlignment="1">
      <alignment horizontal="center" vertical="center"/>
    </xf>
    <xf numFmtId="0" fontId="5" fillId="0" borderId="0" xfId="0" applyFont="1"/>
    <xf numFmtId="3" fontId="23" fillId="0" borderId="13" xfId="0" applyNumberFormat="1" applyFont="1" applyBorder="1" applyAlignment="1">
      <alignment horizontal="right" vertical="center"/>
    </xf>
    <xf numFmtId="3" fontId="3" fillId="0" borderId="13" xfId="0" applyNumberFormat="1" applyFont="1" applyBorder="1"/>
    <xf numFmtId="3" fontId="15" fillId="0" borderId="13" xfId="0" applyNumberFormat="1" applyFont="1" applyBorder="1" applyAlignment="1">
      <alignment horizontal="right" vertical="center"/>
    </xf>
    <xf numFmtId="165" fontId="4" fillId="0" borderId="1" xfId="0" applyNumberFormat="1" applyFont="1" applyBorder="1" applyAlignment="1">
      <alignment vertical="center"/>
    </xf>
    <xf numFmtId="165" fontId="10" fillId="2" borderId="3" xfId="0" applyNumberFormat="1" applyFont="1" applyFill="1" applyBorder="1" applyAlignment="1">
      <alignment horizontal="right" vertical="center" wrapText="1"/>
    </xf>
    <xf numFmtId="165" fontId="3" fillId="0" borderId="1" xfId="0" applyNumberFormat="1" applyFont="1" applyBorder="1"/>
    <xf numFmtId="165" fontId="10" fillId="2" borderId="3" xfId="0" applyNumberFormat="1" applyFont="1" applyFill="1" applyBorder="1" applyAlignment="1">
      <alignment vertical="center" wrapText="1"/>
    </xf>
    <xf numFmtId="165" fontId="3" fillId="9" borderId="1" xfId="0" applyNumberFormat="1" applyFont="1" applyFill="1" applyBorder="1"/>
    <xf numFmtId="165" fontId="4" fillId="0" borderId="13" xfId="0" applyNumberFormat="1" applyFont="1" applyBorder="1" applyAlignment="1">
      <alignment vertical="center"/>
    </xf>
    <xf numFmtId="165" fontId="3" fillId="0" borderId="13" xfId="0" applyNumberFormat="1" applyFont="1" applyBorder="1"/>
    <xf numFmtId="165" fontId="4" fillId="0" borderId="16" xfId="0" applyNumberFormat="1" applyFont="1" applyBorder="1" applyAlignment="1">
      <alignment vertical="center"/>
    </xf>
    <xf numFmtId="167" fontId="4" fillId="0" borderId="1" xfId="0" applyNumberFormat="1" applyFont="1" applyBorder="1" applyAlignment="1">
      <alignment vertical="center"/>
    </xf>
    <xf numFmtId="43" fontId="4" fillId="0" borderId="1" xfId="0" applyNumberFormat="1" applyFont="1" applyBorder="1" applyAlignment="1">
      <alignment vertical="center"/>
    </xf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165" fontId="36" fillId="0" borderId="0" xfId="1" applyNumberFormat="1" applyFont="1"/>
    <xf numFmtId="0" fontId="40" fillId="0" borderId="0" xfId="0" applyFont="1" applyAlignment="1">
      <alignment horizontal="center" vertical="center"/>
    </xf>
    <xf numFmtId="0" fontId="40" fillId="0" borderId="0" xfId="0" applyFont="1" applyAlignment="1">
      <alignment horizontal="left"/>
    </xf>
    <xf numFmtId="165" fontId="40" fillId="0" borderId="0" xfId="0" applyNumberFormat="1" applyFont="1"/>
    <xf numFmtId="0" fontId="40" fillId="0" borderId="0" xfId="0" applyFont="1"/>
    <xf numFmtId="0" fontId="13" fillId="10" borderId="5" xfId="0" applyFont="1" applyFill="1" applyBorder="1" applyAlignment="1">
      <alignment horizontal="center" vertical="center"/>
    </xf>
    <xf numFmtId="0" fontId="12" fillId="10" borderId="5" xfId="0" applyFont="1" applyFill="1" applyBorder="1" applyAlignment="1">
      <alignment horizontal="center" vertical="center" wrapText="1"/>
    </xf>
    <xf numFmtId="49" fontId="12" fillId="10" borderId="5" xfId="0" applyNumberFormat="1" applyFont="1" applyFill="1" applyBorder="1" applyAlignment="1">
      <alignment horizontal="center" vertical="center" wrapText="1"/>
    </xf>
    <xf numFmtId="0" fontId="12" fillId="10" borderId="8" xfId="0" applyFont="1" applyFill="1" applyBorder="1" applyAlignment="1">
      <alignment horizontal="center" vertical="center" wrapText="1"/>
    </xf>
    <xf numFmtId="0" fontId="12" fillId="10" borderId="7" xfId="0" applyFont="1" applyFill="1" applyBorder="1" applyAlignment="1">
      <alignment horizontal="center" vertical="center" wrapText="1"/>
    </xf>
    <xf numFmtId="0" fontId="12" fillId="12" borderId="0" xfId="0" applyFont="1" applyFill="1" applyAlignment="1">
      <alignment horizontal="center" vertical="center" wrapText="1"/>
    </xf>
    <xf numFmtId="0" fontId="12" fillId="12" borderId="0" xfId="0" applyFont="1" applyFill="1" applyAlignment="1">
      <alignment horizontal="center" vertical="center"/>
    </xf>
    <xf numFmtId="0" fontId="41" fillId="0" borderId="0" xfId="0" applyFont="1"/>
    <xf numFmtId="0" fontId="12" fillId="13" borderId="0" xfId="0" applyFont="1" applyFill="1" applyAlignment="1">
      <alignment horizontal="center" vertical="center" wrapText="1"/>
    </xf>
    <xf numFmtId="0" fontId="12" fillId="13" borderId="0" xfId="0" applyFont="1" applyFill="1" applyAlignment="1">
      <alignment horizontal="center" vertical="center"/>
    </xf>
    <xf numFmtId="0" fontId="42" fillId="0" borderId="0" xfId="0" applyFont="1"/>
    <xf numFmtId="9" fontId="23" fillId="2" borderId="5" xfId="2" applyFont="1" applyFill="1" applyBorder="1" applyAlignment="1">
      <alignment horizontal="right" vertical="center"/>
    </xf>
    <xf numFmtId="9" fontId="3" fillId="0" borderId="13" xfId="2" applyFont="1" applyBorder="1" applyAlignment="1">
      <alignment horizontal="right" vertical="center"/>
    </xf>
    <xf numFmtId="3" fontId="24" fillId="2" borderId="3" xfId="0" applyNumberFormat="1" applyFont="1" applyFill="1" applyBorder="1" applyAlignment="1">
      <alignment horizontal="right" vertical="center" wrapText="1"/>
    </xf>
    <xf numFmtId="3" fontId="24" fillId="2" borderId="5" xfId="0" applyNumberFormat="1" applyFont="1" applyFill="1" applyBorder="1" applyAlignment="1">
      <alignment horizontal="right" vertical="center" wrapText="1"/>
    </xf>
    <xf numFmtId="3" fontId="25" fillId="2" borderId="5" xfId="0" applyNumberFormat="1" applyFont="1" applyFill="1" applyBorder="1" applyAlignment="1">
      <alignment vertical="center" wrapText="1"/>
    </xf>
    <xf numFmtId="3" fontId="3" fillId="0" borderId="1" xfId="0" applyNumberFormat="1" applyFont="1" applyBorder="1" applyAlignment="1">
      <alignment horizontal="right" vertical="center"/>
    </xf>
    <xf numFmtId="3" fontId="26" fillId="2" borderId="3" xfId="0" applyNumberFormat="1" applyFont="1" applyFill="1" applyBorder="1" applyAlignment="1">
      <alignment horizontal="right" vertical="center" wrapText="1"/>
    </xf>
    <xf numFmtId="165" fontId="3" fillId="0" borderId="16" xfId="0" applyNumberFormat="1" applyFont="1" applyBorder="1" applyAlignment="1">
      <alignment horizontal="right" vertical="center"/>
    </xf>
    <xf numFmtId="9" fontId="3" fillId="0" borderId="16" xfId="2" applyFont="1" applyBorder="1" applyAlignment="1">
      <alignment horizontal="right" vertical="center"/>
    </xf>
    <xf numFmtId="0" fontId="12" fillId="10" borderId="0" xfId="0" applyFont="1" applyFill="1" applyAlignment="1">
      <alignment horizontal="center" vertical="center"/>
    </xf>
    <xf numFmtId="0" fontId="12" fillId="10" borderId="5" xfId="0" applyFont="1" applyFill="1" applyBorder="1" applyAlignment="1">
      <alignment horizontal="center" vertical="center"/>
    </xf>
    <xf numFmtId="165" fontId="4" fillId="0" borderId="1" xfId="0" applyNumberFormat="1" applyFont="1" applyBorder="1" applyAlignment="1">
      <alignment horizontal="right" vertical="center"/>
    </xf>
    <xf numFmtId="165" fontId="4" fillId="0" borderId="13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/>
    </xf>
    <xf numFmtId="0" fontId="12" fillId="10" borderId="0" xfId="0" applyFont="1" applyFill="1" applyAlignment="1">
      <alignment horizontal="center" vertical="center" wrapText="1"/>
    </xf>
    <xf numFmtId="0" fontId="12" fillId="14" borderId="0" xfId="0" applyFont="1" applyFill="1" applyAlignment="1">
      <alignment horizontal="center" vertical="center" wrapText="1"/>
    </xf>
    <xf numFmtId="0" fontId="12" fillId="14" borderId="0" xfId="0" applyFont="1" applyFill="1" applyAlignment="1">
      <alignment horizontal="center" vertical="center"/>
    </xf>
    <xf numFmtId="0" fontId="12" fillId="15" borderId="0" xfId="0" applyFont="1" applyFill="1" applyAlignment="1">
      <alignment horizontal="center" vertical="center" wrapText="1"/>
    </xf>
    <xf numFmtId="0" fontId="12" fillId="15" borderId="0" xfId="0" applyFont="1" applyFill="1" applyAlignment="1">
      <alignment horizontal="center" vertical="center"/>
    </xf>
    <xf numFmtId="0" fontId="43" fillId="0" borderId="7" xfId="0" applyFont="1" applyBorder="1" applyAlignment="1">
      <alignment horizontal="left"/>
    </xf>
    <xf numFmtId="0" fontId="43" fillId="0" borderId="0" xfId="0" applyFont="1" applyAlignment="1">
      <alignment horizontal="left"/>
    </xf>
    <xf numFmtId="0" fontId="43" fillId="0" borderId="7" xfId="0" applyFont="1" applyBorder="1" applyAlignment="1">
      <alignment horizontal="center"/>
    </xf>
    <xf numFmtId="0" fontId="44" fillId="0" borderId="0" xfId="0" applyFont="1"/>
    <xf numFmtId="0" fontId="45" fillId="0" borderId="15" xfId="0" applyFont="1" applyBorder="1" applyAlignment="1">
      <alignment horizontal="center"/>
    </xf>
    <xf numFmtId="0" fontId="45" fillId="0" borderId="15" xfId="0" applyFont="1" applyBorder="1" applyAlignment="1">
      <alignment horizontal="left"/>
    </xf>
    <xf numFmtId="0" fontId="46" fillId="0" borderId="0" xfId="0" applyFont="1"/>
    <xf numFmtId="0" fontId="47" fillId="0" borderId="19" xfId="0" applyFont="1" applyBorder="1" applyAlignment="1">
      <alignment horizontal="center"/>
    </xf>
    <xf numFmtId="0" fontId="47" fillId="0" borderId="19" xfId="0" applyFont="1" applyBorder="1" applyAlignment="1">
      <alignment horizontal="left" indent="2"/>
    </xf>
    <xf numFmtId="0" fontId="47" fillId="0" borderId="0" xfId="0" applyFont="1" applyAlignment="1">
      <alignment horizontal="left"/>
    </xf>
    <xf numFmtId="166" fontId="48" fillId="0" borderId="19" xfId="0" applyNumberFormat="1" applyFont="1" applyBorder="1"/>
    <xf numFmtId="0" fontId="48" fillId="0" borderId="0" xfId="0" applyFont="1"/>
    <xf numFmtId="0" fontId="0" fillId="0" borderId="0" xfId="0" applyAlignment="1">
      <alignment horizontal="center"/>
    </xf>
    <xf numFmtId="0" fontId="28" fillId="0" borderId="0" xfId="0" applyFont="1" applyAlignment="1">
      <alignment horizontal="center"/>
    </xf>
    <xf numFmtId="0" fontId="43" fillId="0" borderId="0" xfId="0" applyFont="1" applyAlignment="1">
      <alignment horizontal="center"/>
    </xf>
    <xf numFmtId="0" fontId="47" fillId="0" borderId="0" xfId="0" applyFont="1" applyAlignment="1">
      <alignment horizontal="center"/>
    </xf>
    <xf numFmtId="0" fontId="32" fillId="11" borderId="5" xfId="0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0" fontId="49" fillId="0" borderId="0" xfId="0" applyFont="1" applyAlignment="1">
      <alignment horizontal="center" vertical="top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/>
    </xf>
    <xf numFmtId="165" fontId="7" fillId="0" borderId="0" xfId="0" applyNumberFormat="1" applyFont="1"/>
    <xf numFmtId="165" fontId="7" fillId="0" borderId="0" xfId="1" applyNumberFormat="1" applyFont="1"/>
    <xf numFmtId="0" fontId="50" fillId="0" borderId="0" xfId="0" applyFont="1"/>
    <xf numFmtId="0" fontId="0" fillId="0" borderId="0" xfId="0" applyAlignment="1">
      <alignment vertical="center"/>
    </xf>
    <xf numFmtId="49" fontId="19" fillId="0" borderId="0" xfId="0" applyNumberFormat="1" applyFont="1" applyAlignment="1">
      <alignment horizontal="center" vertical="top"/>
    </xf>
    <xf numFmtId="0" fontId="19" fillId="7" borderId="5" xfId="0" applyFont="1" applyFill="1" applyBorder="1" applyAlignment="1">
      <alignment vertical="top" wrapText="1"/>
    </xf>
    <xf numFmtId="0" fontId="19" fillId="0" borderId="0" xfId="0" applyFont="1" applyAlignment="1">
      <alignment vertical="top"/>
    </xf>
    <xf numFmtId="0" fontId="51" fillId="0" borderId="0" xfId="0" applyFont="1" applyAlignment="1">
      <alignment horizontal="center" vertical="top"/>
    </xf>
    <xf numFmtId="0" fontId="52" fillId="0" borderId="0" xfId="0" applyFont="1" applyAlignment="1">
      <alignment vertical="top"/>
    </xf>
    <xf numFmtId="166" fontId="52" fillId="0" borderId="0" xfId="3" applyNumberFormat="1" applyFont="1" applyAlignment="1">
      <alignment vertical="top"/>
    </xf>
    <xf numFmtId="166" fontId="53" fillId="0" borderId="0" xfId="3" applyNumberFormat="1" applyFont="1" applyAlignment="1">
      <alignment vertical="top"/>
    </xf>
    <xf numFmtId="9" fontId="0" fillId="0" borderId="0" xfId="0" applyNumberFormat="1"/>
    <xf numFmtId="0" fontId="54" fillId="0" borderId="0" xfId="0" applyFont="1"/>
    <xf numFmtId="0" fontId="43" fillId="0" borderId="19" xfId="0" applyFont="1" applyBorder="1" applyAlignment="1">
      <alignment horizontal="center"/>
    </xf>
    <xf numFmtId="0" fontId="43" fillId="0" borderId="15" xfId="0" applyFont="1" applyBorder="1" applyAlignment="1">
      <alignment horizontal="center"/>
    </xf>
    <xf numFmtId="9" fontId="34" fillId="0" borderId="19" xfId="2" applyFont="1" applyBorder="1"/>
    <xf numFmtId="0" fontId="47" fillId="0" borderId="20" xfId="0" applyFont="1" applyBorder="1" applyAlignment="1">
      <alignment horizontal="center"/>
    </xf>
    <xf numFmtId="0" fontId="43" fillId="0" borderId="21" xfId="0" applyFont="1" applyBorder="1" applyAlignment="1">
      <alignment horizontal="center"/>
    </xf>
    <xf numFmtId="9" fontId="55" fillId="0" borderId="19" xfId="2" applyFont="1" applyBorder="1" applyAlignment="1">
      <alignment horizontal="right"/>
    </xf>
    <xf numFmtId="9" fontId="55" fillId="0" borderId="15" xfId="2" applyFont="1" applyBorder="1" applyAlignment="1">
      <alignment horizontal="right"/>
    </xf>
    <xf numFmtId="9" fontId="55" fillId="0" borderId="7" xfId="2" applyFont="1" applyBorder="1" applyAlignment="1">
      <alignment horizontal="right"/>
    </xf>
    <xf numFmtId="0" fontId="30" fillId="0" borderId="19" xfId="0" applyFont="1" applyBorder="1" applyAlignment="1">
      <alignment horizontal="center"/>
    </xf>
    <xf numFmtId="0" fontId="31" fillId="0" borderId="0" xfId="0" applyFont="1" applyAlignment="1">
      <alignment horizontal="left"/>
    </xf>
    <xf numFmtId="9" fontId="33" fillId="0" borderId="19" xfId="2" applyFont="1" applyBorder="1"/>
    <xf numFmtId="9" fontId="34" fillId="0" borderId="15" xfId="2" applyFont="1" applyBorder="1"/>
    <xf numFmtId="0" fontId="30" fillId="0" borderId="18" xfId="0" applyFont="1" applyBorder="1" applyAlignment="1">
      <alignment horizontal="center"/>
    </xf>
    <xf numFmtId="9" fontId="33" fillId="0" borderId="20" xfId="2" applyFont="1" applyBorder="1"/>
    <xf numFmtId="0" fontId="56" fillId="0" borderId="18" xfId="0" applyFont="1" applyBorder="1" applyAlignment="1">
      <alignment horizontal="left" indent="2"/>
    </xf>
    <xf numFmtId="0" fontId="56" fillId="0" borderId="19" xfId="0" applyFont="1" applyBorder="1" applyAlignment="1">
      <alignment horizontal="center"/>
    </xf>
    <xf numFmtId="0" fontId="57" fillId="0" borderId="4" xfId="0" applyFont="1" applyBorder="1" applyAlignment="1">
      <alignment horizontal="left"/>
    </xf>
    <xf numFmtId="0" fontId="57" fillId="0" borderId="22" xfId="0" applyFont="1" applyBorder="1" applyAlignment="1">
      <alignment horizontal="left" indent="2"/>
    </xf>
    <xf numFmtId="0" fontId="57" fillId="0" borderId="15" xfId="0" applyFont="1" applyBorder="1" applyAlignment="1">
      <alignment horizontal="center"/>
    </xf>
    <xf numFmtId="9" fontId="58" fillId="0" borderId="20" xfId="2" applyFont="1" applyBorder="1"/>
    <xf numFmtId="0" fontId="59" fillId="0" borderId="0" xfId="0" applyFont="1"/>
    <xf numFmtId="0" fontId="60" fillId="0" borderId="22" xfId="0" applyFont="1" applyBorder="1" applyAlignment="1">
      <alignment horizontal="left" indent="2"/>
    </xf>
    <xf numFmtId="0" fontId="60" fillId="0" borderId="22" xfId="0" applyFont="1" applyBorder="1" applyAlignment="1">
      <alignment horizontal="center"/>
    </xf>
    <xf numFmtId="9" fontId="61" fillId="0" borderId="5" xfId="2" applyFont="1" applyBorder="1"/>
    <xf numFmtId="166" fontId="48" fillId="0" borderId="19" xfId="0" applyNumberFormat="1" applyFont="1" applyBorder="1" applyAlignment="1">
      <alignment horizontal="right"/>
    </xf>
    <xf numFmtId="166" fontId="32" fillId="11" borderId="5" xfId="0" applyNumberFormat="1" applyFont="1" applyFill="1" applyBorder="1" applyAlignment="1">
      <alignment horizontal="right"/>
    </xf>
    <xf numFmtId="166" fontId="44" fillId="0" borderId="7" xfId="0" applyNumberFormat="1" applyFont="1" applyBorder="1"/>
    <xf numFmtId="166" fontId="44" fillId="0" borderId="7" xfId="0" applyNumberFormat="1" applyFont="1" applyBorder="1" applyAlignment="1">
      <alignment horizontal="right"/>
    </xf>
    <xf numFmtId="3" fontId="44" fillId="0" borderId="7" xfId="0" applyNumberFormat="1" applyFont="1" applyBorder="1"/>
    <xf numFmtId="9" fontId="34" fillId="0" borderId="15" xfId="2" applyFont="1" applyBorder="1" applyAlignment="1">
      <alignment horizontal="right"/>
    </xf>
    <xf numFmtId="0" fontId="43" fillId="0" borderId="24" xfId="0" applyFont="1" applyBorder="1" applyAlignment="1">
      <alignment horizontal="center"/>
    </xf>
    <xf numFmtId="9" fontId="33" fillId="0" borderId="19" xfId="2" applyFont="1" applyBorder="1" applyAlignment="1">
      <alignment horizontal="right"/>
    </xf>
    <xf numFmtId="38" fontId="48" fillId="0" borderId="19" xfId="0" applyNumberFormat="1" applyFont="1" applyBorder="1"/>
    <xf numFmtId="38" fontId="48" fillId="0" borderId="19" xfId="0" applyNumberFormat="1" applyFont="1" applyBorder="1" applyAlignment="1">
      <alignment horizontal="right"/>
    </xf>
    <xf numFmtId="0" fontId="43" fillId="0" borderId="24" xfId="0" applyFont="1" applyBorder="1" applyAlignment="1">
      <alignment horizontal="left"/>
    </xf>
    <xf numFmtId="9" fontId="58" fillId="0" borderId="23" xfId="2" applyFont="1" applyBorder="1"/>
    <xf numFmtId="0" fontId="57" fillId="0" borderId="18" xfId="0" applyFont="1" applyBorder="1" applyAlignment="1">
      <alignment horizontal="left" indent="2"/>
    </xf>
    <xf numFmtId="0" fontId="57" fillId="0" borderId="0" xfId="0" applyFont="1" applyAlignment="1">
      <alignment horizontal="left"/>
    </xf>
    <xf numFmtId="0" fontId="57" fillId="0" borderId="19" xfId="0" applyFont="1" applyBorder="1" applyAlignment="1">
      <alignment horizontal="center"/>
    </xf>
    <xf numFmtId="0" fontId="32" fillId="11" borderId="15" xfId="0" applyFont="1" applyFill="1" applyBorder="1"/>
    <xf numFmtId="0" fontId="35" fillId="11" borderId="15" xfId="0" applyFont="1" applyFill="1" applyBorder="1" applyAlignment="1">
      <alignment horizontal="left"/>
    </xf>
    <xf numFmtId="0" fontId="32" fillId="11" borderId="15" xfId="0" applyFont="1" applyFill="1" applyBorder="1" applyAlignment="1">
      <alignment horizontal="center"/>
    </xf>
    <xf numFmtId="166" fontId="32" fillId="11" borderId="15" xfId="0" applyNumberFormat="1" applyFont="1" applyFill="1" applyBorder="1"/>
    <xf numFmtId="166" fontId="32" fillId="11" borderId="15" xfId="0" applyNumberFormat="1" applyFont="1" applyFill="1" applyBorder="1" applyAlignment="1">
      <alignment horizontal="right"/>
    </xf>
    <xf numFmtId="3" fontId="62" fillId="0" borderId="19" xfId="0" applyNumberFormat="1" applyFont="1" applyBorder="1"/>
    <xf numFmtId="9" fontId="63" fillId="0" borderId="7" xfId="2" applyFont="1" applyBorder="1"/>
    <xf numFmtId="9" fontId="63" fillId="0" borderId="19" xfId="2" applyFont="1" applyBorder="1"/>
    <xf numFmtId="9" fontId="63" fillId="0" borderId="19" xfId="2" applyFont="1" applyBorder="1" applyAlignment="1">
      <alignment horizontal="right"/>
    </xf>
    <xf numFmtId="9" fontId="63" fillId="0" borderId="15" xfId="2" applyFont="1" applyBorder="1"/>
    <xf numFmtId="9" fontId="54" fillId="0" borderId="0" xfId="0" applyNumberFormat="1" applyFont="1"/>
    <xf numFmtId="38" fontId="62" fillId="0" borderId="19" xfId="0" applyNumberFormat="1" applyFont="1" applyBorder="1"/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7" fillId="0" borderId="16" xfId="0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165" fontId="0" fillId="0" borderId="0" xfId="1" applyNumberFormat="1" applyFont="1"/>
    <xf numFmtId="165" fontId="0" fillId="0" borderId="0" xfId="0" applyNumberFormat="1"/>
    <xf numFmtId="166" fontId="0" fillId="0" borderId="0" xfId="0" applyNumberFormat="1"/>
    <xf numFmtId="0" fontId="52" fillId="6" borderId="0" xfId="0" applyFont="1" applyFill="1" applyAlignment="1">
      <alignment vertical="top"/>
    </xf>
    <xf numFmtId="0" fontId="19" fillId="6" borderId="5" xfId="0" applyFont="1" applyFill="1" applyBorder="1" applyAlignment="1">
      <alignment vertical="top" wrapText="1"/>
    </xf>
    <xf numFmtId="0" fontId="18" fillId="6" borderId="0" xfId="0" applyFont="1" applyFill="1" applyAlignment="1">
      <alignment vertical="top"/>
    </xf>
    <xf numFmtId="0" fontId="20" fillId="6" borderId="0" xfId="0" applyFont="1" applyFill="1" applyAlignment="1">
      <alignment vertical="top"/>
    </xf>
    <xf numFmtId="9" fontId="0" fillId="0" borderId="0" xfId="2" applyFont="1"/>
    <xf numFmtId="166" fontId="53" fillId="9" borderId="0" xfId="3" applyNumberFormat="1" applyFont="1" applyFill="1" applyAlignment="1">
      <alignment vertical="top"/>
    </xf>
    <xf numFmtId="0" fontId="43" fillId="0" borderId="25" xfId="0" applyFont="1" applyBorder="1" applyAlignment="1">
      <alignment horizontal="left"/>
    </xf>
    <xf numFmtId="0" fontId="47" fillId="0" borderId="18" xfId="0" applyFont="1" applyBorder="1" applyAlignment="1">
      <alignment horizontal="left" indent="2"/>
    </xf>
    <xf numFmtId="0" fontId="45" fillId="0" borderId="22" xfId="0" applyFont="1" applyBorder="1" applyAlignment="1">
      <alignment horizontal="left"/>
    </xf>
    <xf numFmtId="0" fontId="35" fillId="11" borderId="11" xfId="0" applyFont="1" applyFill="1" applyBorder="1" applyAlignment="1">
      <alignment horizontal="left"/>
    </xf>
    <xf numFmtId="0" fontId="21" fillId="10" borderId="25" xfId="0" applyFont="1" applyFill="1" applyBorder="1" applyAlignment="1">
      <alignment horizontal="center"/>
    </xf>
    <xf numFmtId="0" fontId="32" fillId="11" borderId="26" xfId="0" applyFont="1" applyFill="1" applyBorder="1"/>
    <xf numFmtId="0" fontId="0" fillId="0" borderId="26" xfId="0" applyBorder="1"/>
    <xf numFmtId="0" fontId="28" fillId="0" borderId="26" xfId="0" applyFont="1" applyBorder="1"/>
    <xf numFmtId="0" fontId="21" fillId="10" borderId="26" xfId="0" applyFont="1" applyFill="1" applyBorder="1" applyAlignment="1">
      <alignment horizontal="center"/>
    </xf>
    <xf numFmtId="3" fontId="44" fillId="0" borderId="7" xfId="0" applyNumberFormat="1" applyFont="1" applyBorder="1" applyAlignment="1">
      <alignment horizontal="right"/>
    </xf>
    <xf numFmtId="3" fontId="48" fillId="0" borderId="19" xfId="0" applyNumberFormat="1" applyFont="1" applyBorder="1"/>
    <xf numFmtId="3" fontId="48" fillId="0" borderId="19" xfId="0" applyNumberFormat="1" applyFont="1" applyBorder="1" applyAlignment="1">
      <alignment horizontal="right"/>
    </xf>
    <xf numFmtId="3" fontId="32" fillId="11" borderId="5" xfId="0" applyNumberFormat="1" applyFont="1" applyFill="1" applyBorder="1"/>
    <xf numFmtId="3" fontId="32" fillId="11" borderId="5" xfId="0" applyNumberFormat="1" applyFont="1" applyFill="1" applyBorder="1" applyAlignment="1">
      <alignment horizontal="right"/>
    </xf>
    <xf numFmtId="3" fontId="32" fillId="11" borderId="5" xfId="0" applyNumberFormat="1" applyFont="1" applyFill="1" applyBorder="1" applyAlignment="1">
      <alignment horizontal="center"/>
    </xf>
    <xf numFmtId="0" fontId="21" fillId="16" borderId="7" xfId="0" applyFont="1" applyFill="1" applyBorder="1" applyAlignment="1">
      <alignment horizontal="center"/>
    </xf>
    <xf numFmtId="166" fontId="44" fillId="0" borderId="21" xfId="0" applyNumberFormat="1" applyFont="1" applyBorder="1"/>
    <xf numFmtId="166" fontId="48" fillId="0" borderId="20" xfId="0" applyNumberFormat="1" applyFont="1" applyBorder="1"/>
    <xf numFmtId="9" fontId="34" fillId="0" borderId="23" xfId="2" applyFont="1" applyBorder="1"/>
    <xf numFmtId="9" fontId="55" fillId="0" borderId="21" xfId="2" applyFont="1" applyBorder="1" applyAlignment="1">
      <alignment horizontal="right"/>
    </xf>
    <xf numFmtId="9" fontId="55" fillId="0" borderId="20" xfId="2" applyFont="1" applyBorder="1" applyAlignment="1">
      <alignment horizontal="right"/>
    </xf>
    <xf numFmtId="0" fontId="21" fillId="0" borderId="0" xfId="0" applyFont="1" applyAlignment="1">
      <alignment horizontal="center"/>
    </xf>
    <xf numFmtId="0" fontId="45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3" fontId="32" fillId="0" borderId="0" xfId="0" applyNumberFormat="1" applyFont="1" applyAlignment="1">
      <alignment horizontal="center"/>
    </xf>
    <xf numFmtId="0" fontId="56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60" fillId="0" borderId="0" xfId="0" applyFont="1" applyAlignment="1">
      <alignment horizontal="center"/>
    </xf>
    <xf numFmtId="0" fontId="32" fillId="11" borderId="23" xfId="0" applyFont="1" applyFill="1" applyBorder="1" applyAlignment="1">
      <alignment horizontal="center"/>
    </xf>
    <xf numFmtId="0" fontId="43" fillId="0" borderId="27" xfId="0" applyFont="1" applyBorder="1" applyAlignment="1">
      <alignment horizontal="left"/>
    </xf>
    <xf numFmtId="0" fontId="47" fillId="0" borderId="28" xfId="0" applyFont="1" applyBorder="1" applyAlignment="1">
      <alignment horizontal="left"/>
    </xf>
    <xf numFmtId="0" fontId="45" fillId="0" borderId="28" xfId="0" applyFont="1" applyBorder="1" applyAlignment="1">
      <alignment horizontal="left"/>
    </xf>
    <xf numFmtId="0" fontId="43" fillId="0" borderId="28" xfId="0" applyFont="1" applyBorder="1" applyAlignment="1">
      <alignment horizontal="left"/>
    </xf>
    <xf numFmtId="0" fontId="47" fillId="0" borderId="15" xfId="0" applyFont="1" applyBorder="1" applyAlignment="1">
      <alignment horizontal="center"/>
    </xf>
    <xf numFmtId="0" fontId="45" fillId="0" borderId="29" xfId="0" applyFont="1" applyBorder="1" applyAlignment="1">
      <alignment horizontal="left"/>
    </xf>
    <xf numFmtId="0" fontId="21" fillId="17" borderId="7" xfId="0" applyFont="1" applyFill="1" applyBorder="1" applyAlignment="1">
      <alignment horizontal="center"/>
    </xf>
    <xf numFmtId="0" fontId="66" fillId="0" borderId="0" xfId="0" applyFont="1"/>
    <xf numFmtId="0" fontId="21" fillId="16" borderId="19" xfId="0" applyFont="1" applyFill="1" applyBorder="1" applyAlignment="1">
      <alignment horizontal="center"/>
    </xf>
    <xf numFmtId="0" fontId="0" fillId="18" borderId="0" xfId="0" applyFill="1"/>
    <xf numFmtId="166" fontId="0" fillId="18" borderId="0" xfId="0" applyNumberFormat="1" applyFill="1" applyAlignment="1">
      <alignment horizontal="center"/>
    </xf>
    <xf numFmtId="9" fontId="0" fillId="18" borderId="0" xfId="2" applyFont="1" applyFill="1" applyAlignment="1">
      <alignment horizontal="center"/>
    </xf>
    <xf numFmtId="0" fontId="0" fillId="2" borderId="0" xfId="0" applyFill="1"/>
    <xf numFmtId="166" fontId="0" fillId="2" borderId="0" xfId="0" applyNumberFormat="1" applyFill="1" applyAlignment="1">
      <alignment horizontal="center"/>
    </xf>
    <xf numFmtId="9" fontId="0" fillId="2" borderId="0" xfId="2" applyFont="1" applyFill="1" applyAlignment="1">
      <alignment horizontal="center"/>
    </xf>
    <xf numFmtId="0" fontId="54" fillId="2" borderId="0" xfId="0" applyFont="1" applyFill="1"/>
    <xf numFmtId="166" fontId="54" fillId="2" borderId="0" xfId="0" applyNumberFormat="1" applyFont="1" applyFill="1" applyAlignment="1">
      <alignment horizontal="center"/>
    </xf>
    <xf numFmtId="0" fontId="54" fillId="0" borderId="0" xfId="0" applyFont="1" applyAlignment="1">
      <alignment horizontal="center"/>
    </xf>
    <xf numFmtId="166" fontId="54" fillId="18" borderId="0" xfId="0" applyNumberFormat="1" applyFont="1" applyFill="1" applyAlignment="1">
      <alignment horizontal="center"/>
    </xf>
    <xf numFmtId="0" fontId="0" fillId="0" borderId="3" xfId="0" applyBorder="1"/>
    <xf numFmtId="0" fontId="0" fillId="0" borderId="1" xfId="0" applyBorder="1"/>
    <xf numFmtId="0" fontId="0" fillId="0" borderId="16" xfId="0" applyBorder="1"/>
    <xf numFmtId="0" fontId="0" fillId="19" borderId="0" xfId="0" applyFill="1"/>
    <xf numFmtId="0" fontId="0" fillId="11" borderId="0" xfId="0" applyFill="1"/>
    <xf numFmtId="0" fontId="0" fillId="16" borderId="0" xfId="0" applyFill="1"/>
    <xf numFmtId="0" fontId="0" fillId="20" borderId="0" xfId="0" applyFill="1"/>
    <xf numFmtId="166" fontId="0" fillId="9" borderId="0" xfId="0" applyNumberFormat="1" applyFill="1" applyAlignment="1">
      <alignment horizontal="center"/>
    </xf>
    <xf numFmtId="0" fontId="54" fillId="19" borderId="0" xfId="0" applyFont="1" applyFill="1"/>
    <xf numFmtId="0" fontId="54" fillId="18" borderId="0" xfId="0" applyFont="1" applyFill="1"/>
    <xf numFmtId="0" fontId="69" fillId="0" borderId="0" xfId="0" applyFont="1" applyAlignment="1">
      <alignment horizontal="left" vertical="center" wrapText="1"/>
    </xf>
    <xf numFmtId="0" fontId="0" fillId="0" borderId="3" xfId="0" applyBorder="1" applyAlignment="1">
      <alignment horizontal="center"/>
    </xf>
    <xf numFmtId="0" fontId="69" fillId="0" borderId="3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69" fillId="0" borderId="1" xfId="0" applyFont="1" applyBorder="1" applyAlignment="1">
      <alignment horizontal="left" vertical="center" wrapText="1"/>
    </xf>
    <xf numFmtId="0" fontId="69" fillId="0" borderId="16" xfId="0" applyFont="1" applyBorder="1" applyAlignment="1">
      <alignment horizontal="left" vertical="center" wrapText="1"/>
    </xf>
    <xf numFmtId="0" fontId="21" fillId="17" borderId="5" xfId="0" applyFont="1" applyFill="1" applyBorder="1" applyAlignment="1">
      <alignment horizontal="center"/>
    </xf>
    <xf numFmtId="0" fontId="21" fillId="10" borderId="5" xfId="0" applyFont="1" applyFill="1" applyBorder="1" applyAlignment="1">
      <alignment horizontal="center"/>
    </xf>
    <xf numFmtId="0" fontId="70" fillId="0" borderId="0" xfId="0" applyFont="1" applyAlignment="1">
      <alignment horizontal="right"/>
    </xf>
    <xf numFmtId="0" fontId="33" fillId="0" borderId="0" xfId="0" applyFont="1"/>
    <xf numFmtId="0" fontId="21" fillId="16" borderId="5" xfId="0" applyFont="1" applyFill="1" applyBorder="1" applyAlignment="1">
      <alignment horizontal="center"/>
    </xf>
    <xf numFmtId="3" fontId="0" fillId="0" borderId="3" xfId="0" applyNumberFormat="1" applyBorder="1"/>
    <xf numFmtId="3" fontId="0" fillId="0" borderId="1" xfId="0" applyNumberFormat="1" applyBorder="1"/>
    <xf numFmtId="0" fontId="0" fillId="0" borderId="9" xfId="0" applyBorder="1" applyAlignment="1">
      <alignment horizontal="center"/>
    </xf>
    <xf numFmtId="0" fontId="69" fillId="0" borderId="9" xfId="0" applyFont="1" applyBorder="1" applyAlignment="1">
      <alignment horizontal="left" vertical="center" wrapText="1"/>
    </xf>
    <xf numFmtId="3" fontId="0" fillId="0" borderId="9" xfId="0" applyNumberFormat="1" applyBorder="1"/>
    <xf numFmtId="3" fontId="44" fillId="0" borderId="3" xfId="0" applyNumberFormat="1" applyFont="1" applyBorder="1"/>
    <xf numFmtId="3" fontId="44" fillId="0" borderId="1" xfId="0" applyNumberFormat="1" applyFont="1" applyBorder="1"/>
    <xf numFmtId="3" fontId="44" fillId="0" borderId="9" xfId="0" applyNumberFormat="1" applyFont="1" applyBorder="1"/>
    <xf numFmtId="0" fontId="44" fillId="2" borderId="5" xfId="0" applyFont="1" applyFill="1" applyBorder="1" applyAlignment="1">
      <alignment horizontal="center"/>
    </xf>
    <xf numFmtId="0" fontId="71" fillId="2" borderId="5" xfId="0" applyFont="1" applyFill="1" applyBorder="1" applyAlignment="1">
      <alignment horizontal="left" vertical="center" wrapText="1"/>
    </xf>
    <xf numFmtId="3" fontId="44" fillId="2" borderId="5" xfId="0" applyNumberFormat="1" applyFont="1" applyFill="1" applyBorder="1"/>
    <xf numFmtId="0" fontId="44" fillId="2" borderId="5" xfId="0" applyFont="1" applyFill="1" applyBorder="1"/>
    <xf numFmtId="0" fontId="21" fillId="16" borderId="0" xfId="0" applyFont="1" applyFill="1" applyAlignment="1">
      <alignment horizontal="center"/>
    </xf>
    <xf numFmtId="3" fontId="0" fillId="0" borderId="0" xfId="0" applyNumberFormat="1"/>
    <xf numFmtId="3" fontId="44" fillId="2" borderId="0" xfId="0" applyNumberFormat="1" applyFont="1" applyFill="1"/>
    <xf numFmtId="165" fontId="0" fillId="0" borderId="3" xfId="1" applyNumberFormat="1" applyFont="1" applyBorder="1"/>
    <xf numFmtId="165" fontId="0" fillId="0" borderId="1" xfId="1" applyNumberFormat="1" applyFont="1" applyBorder="1"/>
    <xf numFmtId="165" fontId="44" fillId="2" borderId="5" xfId="1" applyNumberFormat="1" applyFont="1" applyFill="1" applyBorder="1"/>
    <xf numFmtId="9" fontId="44" fillId="2" borderId="5" xfId="2" applyFont="1" applyFill="1" applyBorder="1"/>
    <xf numFmtId="0" fontId="54" fillId="0" borderId="0" xfId="0" applyFont="1" applyAlignment="1">
      <alignment vertical="top" wrapText="1"/>
    </xf>
    <xf numFmtId="0" fontId="43" fillId="0" borderId="0" xfId="0" applyFont="1"/>
    <xf numFmtId="0" fontId="21" fillId="10" borderId="5" xfId="0" applyFont="1" applyFill="1" applyBorder="1" applyAlignment="1">
      <alignment horizontal="center" vertical="top" wrapText="1"/>
    </xf>
    <xf numFmtId="0" fontId="0" fillId="0" borderId="16" xfId="0" applyBorder="1" applyAlignment="1">
      <alignment horizontal="center"/>
    </xf>
    <xf numFmtId="9" fontId="0" fillId="0" borderId="3" xfId="2" applyFont="1" applyBorder="1"/>
    <xf numFmtId="9" fontId="0" fillId="0" borderId="1" xfId="2" applyFont="1" applyBorder="1"/>
    <xf numFmtId="9" fontId="0" fillId="0" borderId="16" xfId="2" applyFont="1" applyBorder="1"/>
    <xf numFmtId="0" fontId="44" fillId="21" borderId="11" xfId="0" applyFont="1" applyFill="1" applyBorder="1"/>
    <xf numFmtId="0" fontId="44" fillId="21" borderId="12" xfId="0" applyFont="1" applyFill="1" applyBorder="1"/>
    <xf numFmtId="0" fontId="44" fillId="21" borderId="8" xfId="0" applyFont="1" applyFill="1" applyBorder="1"/>
    <xf numFmtId="0" fontId="73" fillId="21" borderId="5" xfId="0" applyFont="1" applyFill="1" applyBorder="1"/>
    <xf numFmtId="9" fontId="44" fillId="21" borderId="5" xfId="2" applyFont="1" applyFill="1" applyBorder="1"/>
    <xf numFmtId="0" fontId="21" fillId="22" borderId="5" xfId="0" applyFont="1" applyFill="1" applyBorder="1" applyAlignment="1">
      <alignment horizontal="center" vertical="top" wrapText="1"/>
    </xf>
    <xf numFmtId="0" fontId="60" fillId="0" borderId="0" xfId="0" applyFont="1" applyAlignment="1">
      <alignment horizontal="right"/>
    </xf>
    <xf numFmtId="3" fontId="60" fillId="0" borderId="0" xfId="0" applyNumberFormat="1" applyFont="1" applyAlignment="1">
      <alignment horizontal="left"/>
    </xf>
    <xf numFmtId="0" fontId="0" fillId="0" borderId="0" xfId="0" applyAlignment="1">
      <alignment horizontal="center" vertical="center"/>
    </xf>
    <xf numFmtId="0" fontId="21" fillId="3" borderId="5" xfId="0" applyFont="1" applyFill="1" applyBorder="1" applyAlignment="1">
      <alignment horizontal="center" vertical="center"/>
    </xf>
    <xf numFmtId="0" fontId="21" fillId="4" borderId="5" xfId="0" applyFont="1" applyFill="1" applyBorder="1" applyAlignment="1">
      <alignment horizontal="center" vertical="center"/>
    </xf>
    <xf numFmtId="0" fontId="43" fillId="0" borderId="0" xfId="0" applyFont="1" applyAlignment="1">
      <alignment horizontal="right"/>
    </xf>
    <xf numFmtId="0" fontId="75" fillId="0" borderId="0" xfId="0" applyFont="1"/>
    <xf numFmtId="0" fontId="72" fillId="9" borderId="0" xfId="0" applyFont="1" applyFill="1"/>
    <xf numFmtId="0" fontId="43" fillId="0" borderId="21" xfId="0" applyFont="1" applyBorder="1" applyAlignment="1">
      <alignment horizontal="left"/>
    </xf>
    <xf numFmtId="0" fontId="43" fillId="0" borderId="20" xfId="0" applyFont="1" applyBorder="1" applyAlignment="1">
      <alignment horizontal="left"/>
    </xf>
    <xf numFmtId="0" fontId="45" fillId="0" borderId="19" xfId="0" applyFont="1" applyBorder="1" applyAlignment="1">
      <alignment horizontal="left"/>
    </xf>
    <xf numFmtId="49" fontId="49" fillId="0" borderId="0" xfId="0" applyNumberFormat="1" applyFont="1" applyAlignment="1">
      <alignment horizontal="center" vertical="top"/>
    </xf>
    <xf numFmtId="165" fontId="52" fillId="0" borderId="0" xfId="1" applyNumberFormat="1" applyFont="1" applyAlignment="1">
      <alignment vertical="top"/>
    </xf>
    <xf numFmtId="165" fontId="19" fillId="0" borderId="0" xfId="1" applyNumberFormat="1" applyFont="1" applyAlignment="1">
      <alignment vertical="top"/>
    </xf>
    <xf numFmtId="165" fontId="20" fillId="0" borderId="0" xfId="1" applyNumberFormat="1" applyFont="1" applyAlignment="1">
      <alignment vertical="top"/>
    </xf>
    <xf numFmtId="0" fontId="68" fillId="0" borderId="0" xfId="0" applyFont="1"/>
    <xf numFmtId="165" fontId="0" fillId="8" borderId="1" xfId="1" applyNumberFormat="1" applyFont="1" applyFill="1" applyBorder="1"/>
    <xf numFmtId="0" fontId="60" fillId="20" borderId="7" xfId="0" applyFont="1" applyFill="1" applyBorder="1" applyAlignment="1">
      <alignment horizontal="center"/>
    </xf>
    <xf numFmtId="0" fontId="21" fillId="4" borderId="7" xfId="0" applyFont="1" applyFill="1" applyBorder="1" applyAlignment="1">
      <alignment horizontal="center"/>
    </xf>
    <xf numFmtId="0" fontId="44" fillId="21" borderId="0" xfId="0" applyFont="1" applyFill="1"/>
    <xf numFmtId="9" fontId="44" fillId="21" borderId="0" xfId="2" applyFont="1" applyFill="1" applyBorder="1"/>
    <xf numFmtId="0" fontId="73" fillId="21" borderId="0" xfId="0" applyFont="1" applyFill="1"/>
    <xf numFmtId="165" fontId="44" fillId="21" borderId="0" xfId="1" applyNumberFormat="1" applyFont="1" applyFill="1" applyBorder="1"/>
    <xf numFmtId="165" fontId="44" fillId="21" borderId="5" xfId="1" applyNumberFormat="1" applyFont="1" applyFill="1" applyBorder="1"/>
    <xf numFmtId="0" fontId="36" fillId="0" borderId="0" xfId="0" applyFont="1" applyAlignment="1">
      <alignment horizontal="center" vertical="center"/>
    </xf>
    <xf numFmtId="0" fontId="36" fillId="0" borderId="0" xfId="0" applyFont="1" applyAlignment="1">
      <alignment horizontal="left"/>
    </xf>
    <xf numFmtId="3" fontId="36" fillId="0" borderId="0" xfId="0" applyNumberFormat="1" applyFont="1"/>
    <xf numFmtId="0" fontId="74" fillId="9" borderId="0" xfId="0" applyFont="1" applyFill="1" applyAlignment="1">
      <alignment horizontal="right"/>
    </xf>
    <xf numFmtId="165" fontId="74" fillId="9" borderId="0" xfId="1" applyNumberFormat="1" applyFont="1" applyFill="1" applyAlignment="1">
      <alignment horizontal="left"/>
    </xf>
    <xf numFmtId="0" fontId="76" fillId="0" borderId="0" xfId="0" applyFont="1"/>
    <xf numFmtId="0" fontId="3" fillId="9" borderId="1" xfId="0" applyFont="1" applyFill="1" applyBorder="1" applyAlignment="1">
      <alignment horizontal="left"/>
    </xf>
    <xf numFmtId="165" fontId="36" fillId="0" borderId="0" xfId="0" applyNumberFormat="1" applyFont="1"/>
    <xf numFmtId="0" fontId="21" fillId="4" borderId="5" xfId="0" applyFont="1" applyFill="1" applyBorder="1" applyAlignment="1">
      <alignment horizontal="center" vertical="top" wrapText="1"/>
    </xf>
    <xf numFmtId="165" fontId="68" fillId="21" borderId="5" xfId="1" applyNumberFormat="1" applyFont="1" applyFill="1" applyBorder="1"/>
    <xf numFmtId="9" fontId="68" fillId="21" borderId="5" xfId="2" applyFont="1" applyFill="1" applyBorder="1"/>
    <xf numFmtId="165" fontId="0" fillId="9" borderId="1" xfId="1" applyNumberFormat="1" applyFont="1" applyFill="1" applyBorder="1"/>
    <xf numFmtId="0" fontId="77" fillId="0" borderId="0" xfId="0" applyFont="1"/>
    <xf numFmtId="166" fontId="78" fillId="0" borderId="0" xfId="3" applyNumberFormat="1" applyFont="1" applyFill="1" applyAlignment="1">
      <alignment vertical="top"/>
    </xf>
    <xf numFmtId="3" fontId="54" fillId="0" borderId="1" xfId="0" applyNumberFormat="1" applyFont="1" applyBorder="1"/>
    <xf numFmtId="3" fontId="79" fillId="0" borderId="3" xfId="0" applyNumberFormat="1" applyFont="1" applyBorder="1"/>
    <xf numFmtId="3" fontId="79" fillId="0" borderId="1" xfId="0" applyNumberFormat="1" applyFont="1" applyBorder="1"/>
    <xf numFmtId="3" fontId="79" fillId="2" borderId="5" xfId="0" applyNumberFormat="1" applyFont="1" applyFill="1" applyBorder="1"/>
    <xf numFmtId="0" fontId="21" fillId="16" borderId="5" xfId="0" applyFont="1" applyFill="1" applyBorder="1" applyAlignment="1">
      <alignment horizontal="center" vertical="top" wrapText="1"/>
    </xf>
    <xf numFmtId="169" fontId="0" fillId="0" borderId="1" xfId="2" applyNumberFormat="1" applyFont="1" applyBorder="1"/>
    <xf numFmtId="165" fontId="0" fillId="0" borderId="16" xfId="1" applyNumberFormat="1" applyFont="1" applyBorder="1"/>
    <xf numFmtId="3" fontId="72" fillId="0" borderId="1" xfId="0" applyNumberFormat="1" applyFont="1" applyBorder="1"/>
    <xf numFmtId="9" fontId="0" fillId="0" borderId="1" xfId="2" applyFont="1" applyFill="1" applyBorder="1"/>
    <xf numFmtId="166" fontId="52" fillId="0" borderId="0" xfId="0" applyNumberFormat="1" applyFont="1" applyAlignment="1">
      <alignment vertical="top"/>
    </xf>
    <xf numFmtId="9" fontId="0" fillId="0" borderId="0" xfId="2" applyFont="1" applyBorder="1"/>
    <xf numFmtId="0" fontId="0" fillId="0" borderId="19" xfId="0" applyBorder="1"/>
    <xf numFmtId="0" fontId="72" fillId="0" borderId="0" xfId="0" applyFont="1"/>
    <xf numFmtId="0" fontId="80" fillId="0" borderId="0" xfId="0" applyFont="1" applyAlignment="1">
      <alignment horizontal="center"/>
    </xf>
    <xf numFmtId="0" fontId="80" fillId="0" borderId="0" xfId="0" applyFont="1"/>
    <xf numFmtId="165" fontId="80" fillId="0" borderId="0" xfId="2" applyNumberFormat="1" applyFont="1" applyBorder="1"/>
    <xf numFmtId="165" fontId="80" fillId="0" borderId="0" xfId="2" applyNumberFormat="1" applyFont="1"/>
    <xf numFmtId="9" fontId="80" fillId="0" borderId="0" xfId="2" applyFont="1" applyBorder="1"/>
    <xf numFmtId="1" fontId="0" fillId="0" borderId="3" xfId="0" applyNumberFormat="1" applyBorder="1"/>
    <xf numFmtId="0" fontId="0" fillId="9" borderId="1" xfId="0" applyFill="1" applyBorder="1" applyAlignment="1">
      <alignment horizontal="center"/>
    </xf>
    <xf numFmtId="0" fontId="0" fillId="9" borderId="1" xfId="0" applyFill="1" applyBorder="1"/>
    <xf numFmtId="1" fontId="0" fillId="0" borderId="1" xfId="0" applyNumberFormat="1" applyBorder="1"/>
    <xf numFmtId="165" fontId="0" fillId="0" borderId="1" xfId="1" applyNumberFormat="1" applyFont="1" applyFill="1" applyBorder="1"/>
    <xf numFmtId="0" fontId="0" fillId="0" borderId="3" xfId="0" applyBorder="1" applyAlignment="1">
      <alignment horizontal="center" vertical="top"/>
    </xf>
    <xf numFmtId="0" fontId="0" fillId="0" borderId="3" xfId="0" applyBorder="1" applyAlignment="1">
      <alignment vertical="top"/>
    </xf>
    <xf numFmtId="0" fontId="77" fillId="0" borderId="1" xfId="0" applyFont="1" applyBorder="1" applyAlignment="1">
      <alignment vertical="top"/>
    </xf>
    <xf numFmtId="0" fontId="77" fillId="0" borderId="13" xfId="0" applyFont="1" applyBorder="1" applyAlignment="1">
      <alignment vertical="top"/>
    </xf>
    <xf numFmtId="165" fontId="72" fillId="0" borderId="1" xfId="1" applyNumberFormat="1" applyFont="1" applyBorder="1" applyAlignment="1">
      <alignment vertical="top"/>
    </xf>
    <xf numFmtId="9" fontId="72" fillId="0" borderId="1" xfId="2" applyFont="1" applyBorder="1" applyAlignment="1">
      <alignment vertical="top"/>
    </xf>
    <xf numFmtId="0" fontId="77" fillId="0" borderId="13" xfId="0" applyFont="1" applyBorder="1" applyAlignment="1">
      <alignment vertical="top" wrapText="1"/>
    </xf>
    <xf numFmtId="0" fontId="0" fillId="0" borderId="0" xfId="0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vertical="top"/>
    </xf>
    <xf numFmtId="165" fontId="0" fillId="0" borderId="9" xfId="1" applyNumberFormat="1" applyFont="1" applyBorder="1"/>
    <xf numFmtId="0" fontId="0" fillId="9" borderId="9" xfId="0" applyFill="1" applyBorder="1"/>
    <xf numFmtId="9" fontId="0" fillId="9" borderId="16" xfId="2" applyFont="1" applyFill="1" applyBorder="1"/>
    <xf numFmtId="0" fontId="0" fillId="9" borderId="3" xfId="0" applyFill="1" applyBorder="1"/>
    <xf numFmtId="0" fontId="0" fillId="0" borderId="9" xfId="0" applyBorder="1"/>
    <xf numFmtId="165" fontId="0" fillId="9" borderId="3" xfId="1" applyNumberFormat="1" applyFont="1" applyFill="1" applyBorder="1"/>
    <xf numFmtId="165" fontId="0" fillId="6" borderId="3" xfId="1" applyNumberFormat="1" applyFont="1" applyFill="1" applyBorder="1"/>
    <xf numFmtId="0" fontId="0" fillId="0" borderId="19" xfId="0" applyBorder="1" applyAlignment="1">
      <alignment horizontal="center"/>
    </xf>
    <xf numFmtId="0" fontId="81" fillId="0" borderId="3" xfId="0" applyFont="1" applyBorder="1" applyAlignment="1">
      <alignment horizontal="center" vertical="center"/>
    </xf>
    <xf numFmtId="0" fontId="81" fillId="0" borderId="1" xfId="0" applyFont="1" applyBorder="1" applyAlignment="1">
      <alignment horizontal="center" vertical="center"/>
    </xf>
    <xf numFmtId="0" fontId="12" fillId="3" borderId="5" xfId="0" applyFont="1" applyFill="1" applyBorder="1" applyAlignment="1">
      <alignment horizontal="center" vertical="center" wrapText="1"/>
    </xf>
    <xf numFmtId="165" fontId="44" fillId="11" borderId="5" xfId="0" applyNumberFormat="1" applyFont="1" applyFill="1" applyBorder="1"/>
    <xf numFmtId="165" fontId="0" fillId="0" borderId="3" xfId="0" applyNumberFormat="1" applyBorder="1"/>
    <xf numFmtId="165" fontId="0" fillId="0" borderId="1" xfId="0" applyNumberFormat="1" applyBorder="1"/>
    <xf numFmtId="165" fontId="0" fillId="0" borderId="16" xfId="0" applyNumberFormat="1" applyBorder="1"/>
    <xf numFmtId="3" fontId="0" fillId="0" borderId="1" xfId="1" applyNumberFormat="1" applyFont="1" applyBorder="1"/>
    <xf numFmtId="3" fontId="44" fillId="21" borderId="5" xfId="0" applyNumberFormat="1" applyFont="1" applyFill="1" applyBorder="1"/>
    <xf numFmtId="0" fontId="82" fillId="0" borderId="0" xfId="0" applyFont="1"/>
    <xf numFmtId="3" fontId="0" fillId="0" borderId="3" xfId="1" applyNumberFormat="1" applyFont="1" applyBorder="1"/>
    <xf numFmtId="3" fontId="0" fillId="0" borderId="16" xfId="1" applyNumberFormat="1" applyFont="1" applyBorder="1"/>
    <xf numFmtId="0" fontId="77" fillId="0" borderId="3" xfId="0" applyFont="1" applyBorder="1"/>
    <xf numFmtId="0" fontId="77" fillId="0" borderId="1" xfId="0" applyFont="1" applyBorder="1"/>
    <xf numFmtId="167" fontId="3" fillId="0" borderId="1" xfId="0" applyNumberFormat="1" applyFont="1" applyBorder="1"/>
    <xf numFmtId="0" fontId="69" fillId="18" borderId="3" xfId="0" applyFont="1" applyFill="1" applyBorder="1" applyAlignment="1">
      <alignment horizontal="left" vertical="center" wrapText="1"/>
    </xf>
    <xf numFmtId="0" fontId="69" fillId="18" borderId="1" xfId="0" applyFont="1" applyFill="1" applyBorder="1" applyAlignment="1">
      <alignment horizontal="left" vertical="center" wrapText="1"/>
    </xf>
    <xf numFmtId="0" fontId="8" fillId="2" borderId="4" xfId="0" applyFont="1" applyFill="1" applyBorder="1" applyAlignment="1">
      <alignment vertical="center" wrapText="1"/>
    </xf>
    <xf numFmtId="49" fontId="5" fillId="0" borderId="1" xfId="0" applyNumberFormat="1" applyFont="1" applyBorder="1"/>
    <xf numFmtId="49" fontId="5" fillId="0" borderId="1" xfId="0" applyNumberFormat="1" applyFont="1" applyBorder="1" applyAlignment="1">
      <alignment vertical="center"/>
    </xf>
    <xf numFmtId="0" fontId="8" fillId="2" borderId="12" xfId="0" applyFont="1" applyFill="1" applyBorder="1" applyAlignment="1">
      <alignment vertical="center" wrapText="1"/>
    </xf>
    <xf numFmtId="49" fontId="5" fillId="0" borderId="13" xfId="0" applyNumberFormat="1" applyFont="1" applyBorder="1"/>
    <xf numFmtId="49" fontId="5" fillId="0" borderId="0" xfId="0" applyNumberFormat="1" applyFont="1"/>
    <xf numFmtId="49" fontId="5" fillId="0" borderId="1" xfId="0" applyNumberFormat="1" applyFont="1" applyBorder="1" applyAlignment="1">
      <alignment wrapText="1"/>
    </xf>
    <xf numFmtId="0" fontId="8" fillId="2" borderId="12" xfId="0" applyFont="1" applyFill="1" applyBorder="1" applyAlignment="1">
      <alignment vertical="center"/>
    </xf>
    <xf numFmtId="0" fontId="5" fillId="0" borderId="1" xfId="0" applyFont="1" applyBorder="1" applyAlignment="1">
      <alignment wrapText="1"/>
    </xf>
    <xf numFmtId="0" fontId="3" fillId="0" borderId="18" xfId="0" applyFont="1" applyBorder="1" applyAlignment="1">
      <alignment horizontal="center"/>
    </xf>
    <xf numFmtId="3" fontId="23" fillId="0" borderId="19" xfId="0" applyNumberFormat="1" applyFont="1" applyBorder="1" applyAlignment="1">
      <alignment horizontal="right" vertical="center"/>
    </xf>
    <xf numFmtId="3" fontId="3" fillId="0" borderId="19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 vertical="center"/>
    </xf>
    <xf numFmtId="3" fontId="15" fillId="0" borderId="19" xfId="0" applyNumberFormat="1" applyFont="1" applyBorder="1" applyAlignment="1">
      <alignment horizontal="right" vertical="center"/>
    </xf>
    <xf numFmtId="165" fontId="3" fillId="0" borderId="13" xfId="0" applyNumberFormat="1" applyFont="1" applyBorder="1" applyAlignment="1">
      <alignment horizontal="right" vertical="center"/>
    </xf>
    <xf numFmtId="9" fontId="3" fillId="0" borderId="19" xfId="2" applyFont="1" applyBorder="1" applyAlignment="1">
      <alignment horizontal="right" vertical="center"/>
    </xf>
    <xf numFmtId="0" fontId="9" fillId="2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166" fontId="83" fillId="23" borderId="5" xfId="3" applyNumberFormat="1" applyFont="1" applyFill="1" applyBorder="1" applyAlignment="1">
      <alignment horizontal="center" vertical="top" wrapText="1"/>
    </xf>
    <xf numFmtId="0" fontId="0" fillId="0" borderId="0" xfId="0" applyAlignment="1">
      <alignment wrapText="1"/>
    </xf>
    <xf numFmtId="0" fontId="0" fillId="0" borderId="3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/>
    </xf>
    <xf numFmtId="0" fontId="84" fillId="0" borderId="0" xfId="0" applyFont="1"/>
    <xf numFmtId="3" fontId="0" fillId="0" borderId="3" xfId="1" applyNumberFormat="1" applyFont="1" applyBorder="1" applyAlignment="1">
      <alignment vertical="top"/>
    </xf>
    <xf numFmtId="3" fontId="0" fillId="0" borderId="13" xfId="1" applyNumberFormat="1" applyFont="1" applyBorder="1" applyAlignment="1">
      <alignment vertical="top"/>
    </xf>
    <xf numFmtId="3" fontId="0" fillId="9" borderId="13" xfId="1" applyNumberFormat="1" applyFont="1" applyFill="1" applyBorder="1" applyAlignment="1">
      <alignment vertical="top"/>
    </xf>
    <xf numFmtId="3" fontId="0" fillId="0" borderId="1" xfId="1" applyNumberFormat="1" applyFont="1" applyBorder="1" applyAlignment="1">
      <alignment vertical="top"/>
    </xf>
    <xf numFmtId="3" fontId="0" fillId="0" borderId="1" xfId="1" applyNumberFormat="1" applyFont="1" applyFill="1" applyBorder="1" applyAlignment="1">
      <alignment vertical="top"/>
    </xf>
    <xf numFmtId="3" fontId="0" fillId="0" borderId="16" xfId="0" applyNumberFormat="1" applyBorder="1"/>
    <xf numFmtId="3" fontId="44" fillId="21" borderId="5" xfId="1" applyNumberFormat="1" applyFont="1" applyFill="1" applyBorder="1"/>
    <xf numFmtId="3" fontId="0" fillId="0" borderId="13" xfId="1" applyNumberFormat="1" applyFont="1" applyFill="1" applyBorder="1" applyAlignment="1">
      <alignment vertical="top"/>
    </xf>
    <xf numFmtId="0" fontId="0" fillId="0" borderId="13" xfId="0" applyBorder="1"/>
    <xf numFmtId="0" fontId="77" fillId="0" borderId="1" xfId="0" applyFont="1" applyBorder="1" applyAlignment="1">
      <alignment vertical="top" wrapText="1"/>
    </xf>
    <xf numFmtId="3" fontId="0" fillId="9" borderId="1" xfId="0" applyNumberFormat="1" applyFill="1" applyBorder="1"/>
    <xf numFmtId="4" fontId="0" fillId="0" borderId="1" xfId="0" applyNumberFormat="1" applyBorder="1"/>
    <xf numFmtId="0" fontId="3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40" fillId="0" borderId="0" xfId="0" applyFont="1" applyAlignment="1">
      <alignment horizontal="left" vertical="center"/>
    </xf>
    <xf numFmtId="0" fontId="81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left"/>
    </xf>
    <xf numFmtId="49" fontId="3" fillId="0" borderId="1" xfId="0" applyNumberFormat="1" applyFont="1" applyBorder="1" applyAlignment="1">
      <alignment horizontal="left" vertical="center"/>
    </xf>
    <xf numFmtId="166" fontId="44" fillId="0" borderId="0" xfId="0" applyNumberFormat="1" applyFont="1"/>
    <xf numFmtId="166" fontId="46" fillId="0" borderId="0" xfId="0" applyNumberFormat="1" applyFont="1"/>
    <xf numFmtId="49" fontId="3" fillId="0" borderId="0" xfId="0" applyNumberFormat="1" applyFont="1" applyAlignment="1">
      <alignment horizontal="left" vertical="center"/>
    </xf>
    <xf numFmtId="166" fontId="54" fillId="0" borderId="0" xfId="0" applyNumberFormat="1" applyFont="1"/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3" fillId="0" borderId="3" xfId="0" applyNumberFormat="1" applyFont="1" applyBorder="1" applyAlignment="1">
      <alignment horizontal="left"/>
    </xf>
    <xf numFmtId="166" fontId="44" fillId="0" borderId="3" xfId="0" applyNumberFormat="1" applyFont="1" applyBorder="1"/>
    <xf numFmtId="166" fontId="0" fillId="0" borderId="3" xfId="0" applyNumberFormat="1" applyBorder="1"/>
    <xf numFmtId="166" fontId="44" fillId="0" borderId="1" xfId="0" applyNumberFormat="1" applyFont="1" applyBorder="1"/>
    <xf numFmtId="166" fontId="0" fillId="0" borderId="1" xfId="0" applyNumberFormat="1" applyBorder="1"/>
    <xf numFmtId="49" fontId="0" fillId="0" borderId="1" xfId="0" applyNumberFormat="1" applyBorder="1" applyAlignment="1">
      <alignment horizontal="left"/>
    </xf>
    <xf numFmtId="0" fontId="0" fillId="0" borderId="16" xfId="0" applyBorder="1" applyAlignment="1">
      <alignment horizontal="center" vertical="center"/>
    </xf>
    <xf numFmtId="49" fontId="3" fillId="0" borderId="16" xfId="0" applyNumberFormat="1" applyFont="1" applyBorder="1" applyAlignment="1">
      <alignment horizontal="left" vertical="center"/>
    </xf>
    <xf numFmtId="166" fontId="44" fillId="0" borderId="16" xfId="0" applyNumberFormat="1" applyFont="1" applyBorder="1"/>
    <xf numFmtId="166" fontId="0" fillId="0" borderId="16" xfId="0" applyNumberFormat="1" applyBorder="1"/>
    <xf numFmtId="0" fontId="21" fillId="24" borderId="5" xfId="0" applyFont="1" applyFill="1" applyBorder="1" applyAlignment="1">
      <alignment horizontal="center" vertical="top" wrapText="1"/>
    </xf>
    <xf numFmtId="0" fontId="0" fillId="0" borderId="5" xfId="0" applyBorder="1"/>
    <xf numFmtId="0" fontId="0" fillId="11" borderId="3" xfId="0" applyFill="1" applyBorder="1"/>
    <xf numFmtId="3" fontId="0" fillId="11" borderId="3" xfId="0" applyNumberFormat="1" applyFill="1" applyBorder="1"/>
    <xf numFmtId="0" fontId="0" fillId="11" borderId="1" xfId="0" applyFill="1" applyBorder="1"/>
    <xf numFmtId="3" fontId="0" fillId="11" borderId="1" xfId="0" applyNumberFormat="1" applyFill="1" applyBorder="1"/>
    <xf numFmtId="0" fontId="0" fillId="11" borderId="16" xfId="0" applyFill="1" applyBorder="1"/>
    <xf numFmtId="3" fontId="0" fillId="11" borderId="16" xfId="0" applyNumberFormat="1" applyFill="1" applyBorder="1"/>
    <xf numFmtId="0" fontId="0" fillId="0" borderId="0" xfId="0" applyAlignment="1">
      <alignment horizontal="left"/>
    </xf>
    <xf numFmtId="0" fontId="0" fillId="0" borderId="3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86" fillId="9" borderId="0" xfId="9" applyFont="1" applyFill="1"/>
    <xf numFmtId="0" fontId="85" fillId="0" borderId="3" xfId="9" applyBorder="1"/>
    <xf numFmtId="0" fontId="54" fillId="0" borderId="3" xfId="0" quotePrefix="1" applyFont="1" applyBorder="1" applyAlignment="1">
      <alignment horizontal="center" vertical="center"/>
    </xf>
    <xf numFmtId="3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vertical="center" wrapText="1"/>
    </xf>
    <xf numFmtId="0" fontId="54" fillId="0" borderId="16" xfId="0" applyFont="1" applyBorder="1" applyAlignment="1">
      <alignment horizontal="center" vertical="center"/>
    </xf>
    <xf numFmtId="3" fontId="0" fillId="0" borderId="16" xfId="0" applyNumberFormat="1" applyBorder="1" applyAlignment="1">
      <alignment vertical="center"/>
    </xf>
    <xf numFmtId="0" fontId="85" fillId="0" borderId="1" xfId="9" applyBorder="1"/>
    <xf numFmtId="0" fontId="87" fillId="0" borderId="0" xfId="0" applyFont="1"/>
    <xf numFmtId="3" fontId="0" fillId="18" borderId="1" xfId="1" applyNumberFormat="1" applyFont="1" applyFill="1" applyBorder="1"/>
    <xf numFmtId="0" fontId="0" fillId="10" borderId="5" xfId="0" applyFill="1" applyBorder="1"/>
    <xf numFmtId="0" fontId="0" fillId="18" borderId="3" xfId="0" applyFill="1" applyBorder="1" applyAlignment="1">
      <alignment horizontal="center"/>
    </xf>
    <xf numFmtId="9" fontId="0" fillId="18" borderId="1" xfId="2" applyFont="1" applyFill="1" applyBorder="1"/>
    <xf numFmtId="9" fontId="0" fillId="18" borderId="16" xfId="2" applyFont="1" applyFill="1" applyBorder="1"/>
    <xf numFmtId="0" fontId="0" fillId="2" borderId="3" xfId="0" applyFill="1" applyBorder="1" applyAlignment="1">
      <alignment horizontal="center"/>
    </xf>
    <xf numFmtId="3" fontId="0" fillId="2" borderId="1" xfId="0" applyNumberFormat="1" applyFill="1" applyBorder="1"/>
    <xf numFmtId="3" fontId="0" fillId="2" borderId="1" xfId="1" applyNumberFormat="1" applyFont="1" applyFill="1" applyBorder="1"/>
    <xf numFmtId="9" fontId="0" fillId="2" borderId="1" xfId="2" applyFont="1" applyFill="1" applyBorder="1"/>
    <xf numFmtId="9" fontId="0" fillId="2" borderId="16" xfId="2" applyFont="1" applyFill="1" applyBorder="1"/>
    <xf numFmtId="0" fontId="44" fillId="0" borderId="3" xfId="0" applyFont="1" applyBorder="1"/>
    <xf numFmtId="0" fontId="44" fillId="0" borderId="1" xfId="0" applyFont="1" applyBorder="1"/>
    <xf numFmtId="0" fontId="44" fillId="0" borderId="16" xfId="0" applyFont="1" applyBorder="1"/>
    <xf numFmtId="0" fontId="14" fillId="0" borderId="0" xfId="0" applyFont="1" applyAlignment="1">
      <alignment horizontal="left" vertical="center" readingOrder="1"/>
    </xf>
    <xf numFmtId="0" fontId="36" fillId="0" borderId="0" xfId="0" applyFont="1" applyAlignment="1">
      <alignment horizontal="left" vertical="center" readingOrder="1"/>
    </xf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center" vertical="center"/>
    </xf>
    <xf numFmtId="0" fontId="0" fillId="18" borderId="3" xfId="0" quotePrefix="1" applyFill="1" applyBorder="1" applyAlignment="1">
      <alignment horizontal="center"/>
    </xf>
    <xf numFmtId="0" fontId="0" fillId="2" borderId="3" xfId="0" quotePrefix="1" applyFill="1" applyBorder="1" applyAlignment="1">
      <alignment horizontal="center"/>
    </xf>
    <xf numFmtId="0" fontId="36" fillId="0" borderId="0" xfId="0" applyFont="1" applyAlignment="1">
      <alignment horizontal="center" vertical="center" readingOrder="1"/>
    </xf>
    <xf numFmtId="9" fontId="0" fillId="0" borderId="1" xfId="0" applyNumberFormat="1" applyBorder="1"/>
    <xf numFmtId="0" fontId="21" fillId="16" borderId="19" xfId="0" applyFont="1" applyFill="1" applyBorder="1" applyAlignment="1">
      <alignment horizontal="center" vertical="top" wrapText="1"/>
    </xf>
    <xf numFmtId="169" fontId="0" fillId="0" borderId="3" xfId="2" applyNumberFormat="1" applyFont="1" applyBorder="1"/>
    <xf numFmtId="169" fontId="0" fillId="0" borderId="16" xfId="2" applyNumberFormat="1" applyFont="1" applyBorder="1"/>
    <xf numFmtId="0" fontId="38" fillId="0" borderId="0" xfId="0" applyFont="1" applyAlignment="1">
      <alignment horizontal="left" vertical="center" readingOrder="1"/>
    </xf>
    <xf numFmtId="9" fontId="0" fillId="0" borderId="3" xfId="0" applyNumberFormat="1" applyBorder="1"/>
    <xf numFmtId="9" fontId="0" fillId="0" borderId="16" xfId="0" applyNumberFormat="1" applyBorder="1"/>
    <xf numFmtId="0" fontId="88" fillId="0" borderId="3" xfId="0" applyFont="1" applyBorder="1"/>
    <xf numFmtId="0" fontId="88" fillId="0" borderId="1" xfId="0" applyFont="1" applyBorder="1"/>
    <xf numFmtId="0" fontId="46" fillId="0" borderId="1" xfId="0" applyFont="1" applyBorder="1"/>
    <xf numFmtId="0" fontId="84" fillId="0" borderId="1" xfId="0" applyFont="1" applyBorder="1"/>
    <xf numFmtId="0" fontId="12" fillId="25" borderId="0" xfId="0" applyFont="1" applyFill="1" applyAlignment="1">
      <alignment horizontal="center" vertical="center" wrapText="1"/>
    </xf>
    <xf numFmtId="0" fontId="12" fillId="25" borderId="0" xfId="0" applyFont="1" applyFill="1" applyAlignment="1">
      <alignment horizontal="center" vertical="center"/>
    </xf>
    <xf numFmtId="9" fontId="10" fillId="2" borderId="3" xfId="2" applyFont="1" applyFill="1" applyBorder="1" applyAlignment="1">
      <alignment horizontal="right" vertical="center" wrapText="1"/>
    </xf>
    <xf numFmtId="9" fontId="4" fillId="0" borderId="1" xfId="2" applyFont="1" applyBorder="1" applyAlignment="1">
      <alignment vertical="center"/>
    </xf>
    <xf numFmtId="9" fontId="3" fillId="0" borderId="1" xfId="2" applyFont="1" applyBorder="1"/>
    <xf numFmtId="168" fontId="3" fillId="0" borderId="1" xfId="2" applyNumberFormat="1" applyFont="1" applyBorder="1"/>
    <xf numFmtId="9" fontId="10" fillId="2" borderId="3" xfId="2" applyFont="1" applyFill="1" applyBorder="1" applyAlignment="1">
      <alignment vertical="center" wrapText="1"/>
    </xf>
    <xf numFmtId="9" fontId="3" fillId="0" borderId="13" xfId="2" applyFont="1" applyBorder="1"/>
    <xf numFmtId="168" fontId="4" fillId="0" borderId="1" xfId="2" applyNumberFormat="1" applyFont="1" applyBorder="1" applyAlignment="1">
      <alignment vertical="center"/>
    </xf>
    <xf numFmtId="168" fontId="3" fillId="0" borderId="13" xfId="2" applyNumberFormat="1" applyFont="1" applyBorder="1"/>
    <xf numFmtId="168" fontId="10" fillId="2" borderId="3" xfId="2" applyNumberFormat="1" applyFont="1" applyFill="1" applyBorder="1" applyAlignment="1">
      <alignment horizontal="right" vertical="center" wrapText="1"/>
    </xf>
    <xf numFmtId="168" fontId="4" fillId="0" borderId="13" xfId="2" applyNumberFormat="1" applyFont="1" applyBorder="1" applyAlignment="1">
      <alignment vertical="center"/>
    </xf>
    <xf numFmtId="168" fontId="10" fillId="2" borderId="3" xfId="2" applyNumberFormat="1" applyFont="1" applyFill="1" applyBorder="1" applyAlignment="1">
      <alignment vertical="center" wrapText="1"/>
    </xf>
    <xf numFmtId="0" fontId="87" fillId="0" borderId="0" xfId="0" applyFont="1" applyAlignment="1">
      <alignment horizontal="left" vertical="center" readingOrder="1"/>
    </xf>
    <xf numFmtId="0" fontId="12" fillId="25" borderId="5" xfId="0" applyFont="1" applyFill="1" applyBorder="1" applyAlignment="1">
      <alignment horizontal="center" vertical="center"/>
    </xf>
    <xf numFmtId="0" fontId="0" fillId="9" borderId="3" xfId="0" applyFill="1" applyBorder="1" applyAlignment="1">
      <alignment horizontal="center"/>
    </xf>
    <xf numFmtId="0" fontId="89" fillId="0" borderId="3" xfId="0" applyFont="1" applyBorder="1" applyAlignment="1">
      <alignment horizontal="left" vertical="center"/>
    </xf>
    <xf numFmtId="3" fontId="0" fillId="0" borderId="3" xfId="2" applyNumberFormat="1" applyFont="1" applyBorder="1"/>
    <xf numFmtId="3" fontId="0" fillId="0" borderId="1" xfId="2" applyNumberFormat="1" applyFont="1" applyBorder="1"/>
    <xf numFmtId="3" fontId="44" fillId="0" borderId="0" xfId="0" applyNumberFormat="1" applyFont="1"/>
    <xf numFmtId="0" fontId="12" fillId="26" borderId="5" xfId="0" applyFont="1" applyFill="1" applyBorder="1" applyAlignment="1">
      <alignment horizontal="center" vertical="center" wrapText="1"/>
    </xf>
    <xf numFmtId="0" fontId="0" fillId="0" borderId="0" xfId="0" applyAlignment="1">
      <alignment vertical="top" wrapText="1"/>
    </xf>
    <xf numFmtId="0" fontId="12" fillId="26" borderId="5" xfId="0" applyFont="1" applyFill="1" applyBorder="1" applyAlignment="1">
      <alignment horizontal="center" vertical="top" wrapText="1"/>
    </xf>
    <xf numFmtId="0" fontId="12" fillId="4" borderId="5" xfId="0" applyFont="1" applyFill="1" applyBorder="1" applyAlignment="1">
      <alignment horizontal="center" vertical="top" wrapText="1"/>
    </xf>
    <xf numFmtId="0" fontId="12" fillId="27" borderId="5" xfId="0" applyFont="1" applyFill="1" applyBorder="1" applyAlignment="1">
      <alignment horizontal="center" vertical="center"/>
    </xf>
    <xf numFmtId="0" fontId="12" fillId="28" borderId="5" xfId="0" applyFont="1" applyFill="1" applyBorder="1" applyAlignment="1">
      <alignment horizontal="center" vertical="center"/>
    </xf>
    <xf numFmtId="0" fontId="0" fillId="18" borderId="3" xfId="0" applyFill="1" applyBorder="1"/>
    <xf numFmtId="9" fontId="0" fillId="18" borderId="3" xfId="2" applyFont="1" applyFill="1" applyBorder="1"/>
    <xf numFmtId="165" fontId="0" fillId="18" borderId="3" xfId="1" applyNumberFormat="1" applyFont="1" applyFill="1" applyBorder="1"/>
    <xf numFmtId="3" fontId="0" fillId="18" borderId="3" xfId="2" applyNumberFormat="1" applyFont="1" applyFill="1" applyBorder="1"/>
    <xf numFmtId="0" fontId="0" fillId="18" borderId="1" xfId="0" applyFill="1" applyBorder="1" applyAlignment="1">
      <alignment horizontal="center"/>
    </xf>
    <xf numFmtId="0" fontId="0" fillId="18" borderId="1" xfId="0" applyFill="1" applyBorder="1"/>
    <xf numFmtId="165" fontId="0" fillId="18" borderId="1" xfId="1" applyNumberFormat="1" applyFont="1" applyFill="1" applyBorder="1"/>
    <xf numFmtId="3" fontId="0" fillId="18" borderId="1" xfId="2" applyNumberFormat="1" applyFont="1" applyFill="1" applyBorder="1"/>
    <xf numFmtId="165" fontId="0" fillId="18" borderId="16" xfId="1" applyNumberFormat="1" applyFont="1" applyFill="1" applyBorder="1"/>
    <xf numFmtId="3" fontId="0" fillId="18" borderId="16" xfId="2" applyNumberFormat="1" applyFont="1" applyFill="1" applyBorder="1"/>
    <xf numFmtId="0" fontId="91" fillId="0" borderId="1" xfId="0" applyFont="1" applyBorder="1" applyAlignment="1">
      <alignment horizontal="left" vertical="center"/>
    </xf>
    <xf numFmtId="0" fontId="91" fillId="0" borderId="1" xfId="0" applyFont="1" applyBorder="1" applyAlignment="1">
      <alignment horizontal="left"/>
    </xf>
    <xf numFmtId="0" fontId="73" fillId="0" borderId="1" xfId="0" applyFont="1" applyBorder="1"/>
    <xf numFmtId="0" fontId="73" fillId="0" borderId="16" xfId="0" applyFont="1" applyBorder="1"/>
    <xf numFmtId="0" fontId="87" fillId="0" borderId="0" xfId="0" applyFont="1" applyAlignment="1">
      <alignment horizontal="right" vertical="center" readingOrder="1"/>
    </xf>
    <xf numFmtId="0" fontId="82" fillId="0" borderId="1" xfId="0" applyFont="1" applyBorder="1" applyAlignment="1">
      <alignment horizontal="center" vertical="center"/>
    </xf>
    <xf numFmtId="0" fontId="92" fillId="0" borderId="0" xfId="0" applyFont="1"/>
    <xf numFmtId="9" fontId="4" fillId="0" borderId="13" xfId="2" applyFont="1" applyBorder="1" applyAlignment="1">
      <alignment vertical="center"/>
    </xf>
    <xf numFmtId="0" fontId="85" fillId="0" borderId="1" xfId="9" applyBorder="1" applyAlignment="1">
      <alignment horizontal="left" indent="2"/>
    </xf>
    <xf numFmtId="0" fontId="21" fillId="26" borderId="5" xfId="0" applyFont="1" applyFill="1" applyBorder="1" applyAlignment="1">
      <alignment horizontal="center"/>
    </xf>
    <xf numFmtId="0" fontId="21" fillId="26" borderId="5" xfId="0" applyFont="1" applyFill="1" applyBorder="1" applyAlignment="1">
      <alignment horizontal="left"/>
    </xf>
    <xf numFmtId="0" fontId="72" fillId="0" borderId="3" xfId="0" applyFont="1" applyBorder="1"/>
    <xf numFmtId="0" fontId="21" fillId="3" borderId="5" xfId="0" applyFont="1" applyFill="1" applyBorder="1" applyAlignment="1">
      <alignment horizontal="center"/>
    </xf>
    <xf numFmtId="165" fontId="44" fillId="0" borderId="0" xfId="1" applyNumberFormat="1" applyFont="1"/>
    <xf numFmtId="0" fontId="5" fillId="0" borderId="3" xfId="0" applyFont="1" applyBorder="1" applyAlignment="1">
      <alignment horizontal="left"/>
    </xf>
    <xf numFmtId="0" fontId="5" fillId="0" borderId="16" xfId="0" applyFont="1" applyBorder="1" applyAlignment="1">
      <alignment horizontal="left" vertical="center"/>
    </xf>
    <xf numFmtId="166" fontId="44" fillId="0" borderId="3" xfId="1" applyNumberFormat="1" applyFont="1" applyBorder="1"/>
    <xf numFmtId="166" fontId="44" fillId="0" borderId="1" xfId="1" applyNumberFormat="1" applyFont="1" applyBorder="1"/>
    <xf numFmtId="166" fontId="44" fillId="0" borderId="16" xfId="1" applyNumberFormat="1" applyFont="1" applyBorder="1"/>
    <xf numFmtId="165" fontId="82" fillId="0" borderId="0" xfId="1" applyNumberFormat="1" applyFont="1" applyFill="1" applyAlignment="1"/>
    <xf numFmtId="166" fontId="82" fillId="0" borderId="0" xfId="1" applyNumberFormat="1" applyFont="1" applyFill="1" applyBorder="1" applyAlignment="1"/>
    <xf numFmtId="0" fontId="12" fillId="29" borderId="5" xfId="0" applyFont="1" applyFill="1" applyBorder="1" applyAlignment="1">
      <alignment horizontal="center" vertical="center" wrapText="1"/>
    </xf>
    <xf numFmtId="0" fontId="21" fillId="29" borderId="5" xfId="0" applyFont="1" applyFill="1" applyBorder="1" applyAlignment="1">
      <alignment horizontal="center"/>
    </xf>
    <xf numFmtId="166" fontId="57" fillId="6" borderId="0" xfId="0" applyNumberFormat="1" applyFont="1" applyFill="1"/>
    <xf numFmtId="166" fontId="82" fillId="0" borderId="0" xfId="1" applyNumberFormat="1" applyFont="1"/>
    <xf numFmtId="9" fontId="0" fillId="0" borderId="3" xfId="2" applyFont="1" applyBorder="1" applyAlignment="1">
      <alignment horizontal="right"/>
    </xf>
    <xf numFmtId="9" fontId="44" fillId="0" borderId="3" xfId="2" applyFont="1" applyBorder="1" applyAlignment="1">
      <alignment horizontal="right"/>
    </xf>
    <xf numFmtId="9" fontId="0" fillId="0" borderId="1" xfId="2" applyFont="1" applyBorder="1" applyAlignment="1">
      <alignment horizontal="right"/>
    </xf>
    <xf numFmtId="9" fontId="44" fillId="0" borderId="1" xfId="2" applyFont="1" applyBorder="1" applyAlignment="1">
      <alignment horizontal="right"/>
    </xf>
    <xf numFmtId="9" fontId="0" fillId="0" borderId="16" xfId="2" applyFont="1" applyBorder="1" applyAlignment="1">
      <alignment horizontal="right"/>
    </xf>
    <xf numFmtId="9" fontId="44" fillId="0" borderId="16" xfId="2" applyFont="1" applyBorder="1" applyAlignment="1">
      <alignment horizontal="right"/>
    </xf>
    <xf numFmtId="166" fontId="20" fillId="0" borderId="0" xfId="3" applyNumberFormat="1" applyFont="1" applyFill="1" applyAlignment="1">
      <alignment vertical="top"/>
    </xf>
    <xf numFmtId="165" fontId="44" fillId="0" borderId="3" xfId="1" applyNumberFormat="1" applyFont="1" applyBorder="1"/>
    <xf numFmtId="165" fontId="44" fillId="0" borderId="1" xfId="1" applyNumberFormat="1" applyFont="1" applyBorder="1"/>
    <xf numFmtId="165" fontId="44" fillId="0" borderId="16" xfId="1" applyNumberFormat="1" applyFont="1" applyBorder="1"/>
    <xf numFmtId="3" fontId="44" fillId="0" borderId="3" xfId="1" applyNumberFormat="1" applyFont="1" applyBorder="1"/>
    <xf numFmtId="3" fontId="44" fillId="0" borderId="1" xfId="1" applyNumberFormat="1" applyFont="1" applyBorder="1"/>
    <xf numFmtId="3" fontId="44" fillId="0" borderId="16" xfId="1" applyNumberFormat="1" applyFont="1" applyBorder="1"/>
    <xf numFmtId="0" fontId="38" fillId="0" borderId="0" xfId="0" applyFont="1" applyAlignment="1">
      <alignment horizontal="left"/>
    </xf>
    <xf numFmtId="0" fontId="93" fillId="0" borderId="0" xfId="0" applyFont="1"/>
    <xf numFmtId="0" fontId="93" fillId="0" borderId="0" xfId="0" applyFont="1" applyAlignment="1">
      <alignment horizontal="left"/>
    </xf>
    <xf numFmtId="165" fontId="43" fillId="0" borderId="0" xfId="1" applyNumberFormat="1" applyFont="1"/>
    <xf numFmtId="165" fontId="21" fillId="3" borderId="5" xfId="1" applyNumberFormat="1" applyFont="1" applyFill="1" applyBorder="1" applyAlignment="1">
      <alignment horizontal="center"/>
    </xf>
    <xf numFmtId="9" fontId="43" fillId="0" borderId="0" xfId="2" applyFont="1"/>
    <xf numFmtId="0" fontId="21" fillId="4" borderId="5" xfId="0" applyFont="1" applyFill="1" applyBorder="1" applyAlignment="1">
      <alignment horizontal="center"/>
    </xf>
    <xf numFmtId="165" fontId="21" fillId="4" borderId="5" xfId="1" applyNumberFormat="1" applyFont="1" applyFill="1" applyBorder="1" applyAlignment="1">
      <alignment horizontal="center"/>
    </xf>
    <xf numFmtId="0" fontId="0" fillId="30" borderId="3" xfId="0" applyFill="1" applyBorder="1" applyAlignment="1">
      <alignment horizontal="center"/>
    </xf>
    <xf numFmtId="0" fontId="0" fillId="30" borderId="3" xfId="0" applyFill="1" applyBorder="1"/>
    <xf numFmtId="165" fontId="0" fillId="30" borderId="3" xfId="1" applyNumberFormat="1" applyFont="1" applyFill="1" applyBorder="1"/>
    <xf numFmtId="0" fontId="82" fillId="30" borderId="3" xfId="0" applyFont="1" applyFill="1" applyBorder="1" applyAlignment="1">
      <alignment horizontal="center"/>
    </xf>
    <xf numFmtId="0" fontId="0" fillId="30" borderId="1" xfId="0" applyFill="1" applyBorder="1" applyAlignment="1">
      <alignment horizontal="center"/>
    </xf>
    <xf numFmtId="0" fontId="0" fillId="30" borderId="1" xfId="0" applyFill="1" applyBorder="1"/>
    <xf numFmtId="165" fontId="0" fillId="30" borderId="1" xfId="1" applyNumberFormat="1" applyFont="1" applyFill="1" applyBorder="1"/>
    <xf numFmtId="0" fontId="82" fillId="30" borderId="1" xfId="0" applyFont="1" applyFill="1" applyBorder="1" applyAlignment="1">
      <alignment horizontal="center"/>
    </xf>
    <xf numFmtId="0" fontId="0" fillId="30" borderId="16" xfId="0" applyFill="1" applyBorder="1" applyAlignment="1">
      <alignment horizontal="center"/>
    </xf>
    <xf numFmtId="0" fontId="0" fillId="30" borderId="16" xfId="0" applyFill="1" applyBorder="1"/>
    <xf numFmtId="0" fontId="82" fillId="30" borderId="16" xfId="0" applyFont="1" applyFill="1" applyBorder="1" applyAlignment="1">
      <alignment horizontal="center"/>
    </xf>
    <xf numFmtId="0" fontId="82" fillId="2" borderId="3" xfId="0" applyFont="1" applyFill="1" applyBorder="1" applyAlignment="1">
      <alignment horizontal="center"/>
    </xf>
    <xf numFmtId="0" fontId="0" fillId="2" borderId="3" xfId="0" applyFill="1" applyBorder="1"/>
    <xf numFmtId="165" fontId="0" fillId="2" borderId="3" xfId="1" applyNumberFormat="1" applyFont="1" applyFill="1" applyBorder="1"/>
    <xf numFmtId="9" fontId="0" fillId="2" borderId="3" xfId="2" applyFont="1" applyFill="1" applyBorder="1"/>
    <xf numFmtId="0" fontId="82" fillId="2" borderId="1" xfId="0" applyFont="1" applyFill="1" applyBorder="1" applyAlignment="1">
      <alignment horizontal="center"/>
    </xf>
    <xf numFmtId="0" fontId="0" fillId="2" borderId="1" xfId="0" applyFill="1" applyBorder="1"/>
    <xf numFmtId="165" fontId="0" fillId="2" borderId="1" xfId="1" applyNumberFormat="1" applyFont="1" applyFill="1" applyBorder="1"/>
    <xf numFmtId="169" fontId="0" fillId="2" borderId="1" xfId="2" applyNumberFormat="1" applyFont="1" applyFill="1" applyBorder="1"/>
    <xf numFmtId="0" fontId="82" fillId="2" borderId="16" xfId="0" applyFont="1" applyFill="1" applyBorder="1" applyAlignment="1">
      <alignment horizontal="center"/>
    </xf>
    <xf numFmtId="0" fontId="0" fillId="2" borderId="16" xfId="0" applyFill="1" applyBorder="1"/>
    <xf numFmtId="165" fontId="0" fillId="2" borderId="16" xfId="1" applyNumberFormat="1" applyFont="1" applyFill="1" applyBorder="1"/>
    <xf numFmtId="0" fontId="94" fillId="0" borderId="0" xfId="0" applyFont="1"/>
    <xf numFmtId="9" fontId="0" fillId="30" borderId="3" xfId="2" applyFont="1" applyFill="1" applyBorder="1" applyAlignment="1">
      <alignment horizontal="right"/>
    </xf>
    <xf numFmtId="0" fontId="0" fillId="30" borderId="16" xfId="0" applyFill="1" applyBorder="1" applyAlignment="1">
      <alignment horizontal="right"/>
    </xf>
    <xf numFmtId="9" fontId="0" fillId="30" borderId="1" xfId="2" applyFont="1" applyFill="1" applyBorder="1" applyAlignment="1">
      <alignment horizontal="right"/>
    </xf>
    <xf numFmtId="9" fontId="0" fillId="2" borderId="3" xfId="2" applyFont="1" applyFill="1" applyBorder="1" applyAlignment="1">
      <alignment horizontal="right"/>
    </xf>
    <xf numFmtId="9" fontId="0" fillId="2" borderId="1" xfId="2" applyFont="1" applyFill="1" applyBorder="1" applyAlignment="1">
      <alignment horizontal="right"/>
    </xf>
    <xf numFmtId="0" fontId="95" fillId="0" borderId="0" xfId="0" applyFont="1"/>
    <xf numFmtId="0" fontId="21" fillId="3" borderId="11" xfId="0" applyFont="1" applyFill="1" applyBorder="1" applyAlignment="1">
      <alignment horizontal="center"/>
    </xf>
    <xf numFmtId="166" fontId="44" fillId="0" borderId="6" xfId="1" applyNumberFormat="1" applyFont="1" applyBorder="1"/>
    <xf numFmtId="166" fontId="44" fillId="0" borderId="2" xfId="1" applyNumberFormat="1" applyFont="1" applyBorder="1"/>
    <xf numFmtId="166" fontId="44" fillId="0" borderId="17" xfId="1" applyNumberFormat="1" applyFont="1" applyBorder="1"/>
    <xf numFmtId="166" fontId="57" fillId="6" borderId="7" xfId="0" applyNumberFormat="1" applyFont="1" applyFill="1" applyBorder="1"/>
    <xf numFmtId="0" fontId="82" fillId="0" borderId="18" xfId="0" applyFont="1" applyBorder="1"/>
    <xf numFmtId="3" fontId="44" fillId="0" borderId="18" xfId="1" applyNumberFormat="1" applyFont="1" applyBorder="1"/>
    <xf numFmtId="3" fontId="77" fillId="0" borderId="3" xfId="1" applyNumberFormat="1" applyFont="1" applyBorder="1"/>
    <xf numFmtId="3" fontId="77" fillId="0" borderId="1" xfId="1" applyNumberFormat="1" applyFont="1" applyBorder="1"/>
    <xf numFmtId="3" fontId="77" fillId="0" borderId="16" xfId="1" applyNumberFormat="1" applyFont="1" applyBorder="1"/>
    <xf numFmtId="9" fontId="77" fillId="0" borderId="3" xfId="2" applyFont="1" applyBorder="1" applyAlignment="1">
      <alignment horizontal="right"/>
    </xf>
    <xf numFmtId="9" fontId="77" fillId="0" borderId="1" xfId="2" applyFont="1" applyBorder="1" applyAlignment="1">
      <alignment horizontal="right"/>
    </xf>
    <xf numFmtId="9" fontId="77" fillId="0" borderId="16" xfId="2" applyFont="1" applyBorder="1" applyAlignment="1">
      <alignment horizontal="right"/>
    </xf>
    <xf numFmtId="165" fontId="0" fillId="30" borderId="16" xfId="1" applyNumberFormat="1" applyFont="1" applyFill="1" applyBorder="1"/>
    <xf numFmtId="170" fontId="21" fillId="16" borderId="0" xfId="0" applyNumberFormat="1" applyFont="1" applyFill="1" applyAlignment="1">
      <alignment horizontal="center"/>
    </xf>
    <xf numFmtId="0" fontId="82" fillId="0" borderId="1" xfId="0" applyFont="1" applyBorder="1" applyAlignment="1">
      <alignment horizontal="right"/>
    </xf>
    <xf numFmtId="168" fontId="0" fillId="0" borderId="1" xfId="2" applyNumberFormat="1" applyFont="1" applyBorder="1"/>
    <xf numFmtId="171" fontId="68" fillId="0" borderId="1" xfId="0" applyNumberFormat="1" applyFont="1" applyBorder="1" applyAlignment="1">
      <alignment horizontal="center" vertical="center"/>
    </xf>
    <xf numFmtId="171" fontId="68" fillId="9" borderId="1" xfId="0" applyNumberFormat="1" applyFont="1" applyFill="1" applyBorder="1" applyAlignment="1">
      <alignment horizontal="center" vertical="center"/>
    </xf>
    <xf numFmtId="165" fontId="16" fillId="2" borderId="3" xfId="1" applyNumberFormat="1" applyFont="1" applyFill="1" applyBorder="1" applyAlignment="1">
      <alignment horizontal="right" vertical="center" wrapText="1"/>
    </xf>
    <xf numFmtId="3" fontId="0" fillId="0" borderId="0" xfId="0" applyNumberFormat="1" applyAlignment="1">
      <alignment vertical="top"/>
    </xf>
    <xf numFmtId="0" fontId="97" fillId="9" borderId="0" xfId="0" applyFont="1" applyFill="1" applyAlignment="1">
      <alignment horizontal="center" vertical="center"/>
    </xf>
    <xf numFmtId="49" fontId="98" fillId="0" borderId="3" xfId="0" applyNumberFormat="1" applyFont="1" applyBorder="1" applyAlignment="1">
      <alignment vertical="center"/>
    </xf>
    <xf numFmtId="0" fontId="98" fillId="0" borderId="3" xfId="0" applyFont="1" applyBorder="1" applyAlignment="1">
      <alignment horizontal="left" vertical="center"/>
    </xf>
    <xf numFmtId="49" fontId="98" fillId="0" borderId="1" xfId="0" applyNumberFormat="1" applyFont="1" applyBorder="1"/>
    <xf numFmtId="0" fontId="98" fillId="0" borderId="1" xfId="0" applyFont="1" applyBorder="1" applyAlignment="1">
      <alignment horizontal="left"/>
    </xf>
    <xf numFmtId="165" fontId="38" fillId="0" borderId="0" xfId="1" applyNumberFormat="1" applyFont="1"/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/>
    </xf>
    <xf numFmtId="0" fontId="77" fillId="0" borderId="1" xfId="0" applyFont="1" applyBorder="1" applyAlignment="1">
      <alignment vertical="center"/>
    </xf>
    <xf numFmtId="3" fontId="0" fillId="0" borderId="1" xfId="0" applyNumberFormat="1" applyBorder="1" applyAlignment="1">
      <alignment vertical="center"/>
    </xf>
    <xf numFmtId="3" fontId="0" fillId="0" borderId="1" xfId="1" applyNumberFormat="1" applyFont="1" applyBorder="1" applyAlignment="1">
      <alignment vertical="center"/>
    </xf>
    <xf numFmtId="167" fontId="72" fillId="0" borderId="1" xfId="1" applyNumberFormat="1" applyFont="1" applyBorder="1" applyAlignment="1">
      <alignment vertical="center"/>
    </xf>
    <xf numFmtId="9" fontId="72" fillId="0" borderId="1" xfId="2" applyFont="1" applyBorder="1" applyAlignment="1">
      <alignment vertical="center"/>
    </xf>
    <xf numFmtId="3" fontId="0" fillId="0" borderId="0" xfId="0" applyNumberFormat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3" xfId="0" applyBorder="1" applyAlignment="1">
      <alignment wrapText="1"/>
    </xf>
    <xf numFmtId="0" fontId="0" fillId="0" borderId="13" xfId="0" applyBorder="1" applyAlignment="1">
      <alignment vertical="center" wrapText="1"/>
    </xf>
    <xf numFmtId="165" fontId="0" fillId="0" borderId="1" xfId="1" applyNumberFormat="1" applyFont="1" applyBorder="1" applyAlignment="1">
      <alignment vertical="center"/>
    </xf>
    <xf numFmtId="0" fontId="0" fillId="0" borderId="16" xfId="0" applyBorder="1" applyAlignment="1">
      <alignment wrapText="1"/>
    </xf>
    <xf numFmtId="0" fontId="44" fillId="21" borderId="8" xfId="0" applyFont="1" applyFill="1" applyBorder="1" applyAlignment="1">
      <alignment wrapText="1"/>
    </xf>
    <xf numFmtId="3" fontId="0" fillId="0" borderId="1" xfId="1" applyNumberFormat="1" applyFont="1" applyFill="1" applyBorder="1" applyAlignment="1">
      <alignment vertical="center"/>
    </xf>
    <xf numFmtId="0" fontId="0" fillId="8" borderId="0" xfId="0" applyFill="1" applyAlignment="1">
      <alignment vertical="top"/>
    </xf>
    <xf numFmtId="166" fontId="0" fillId="8" borderId="0" xfId="3" applyNumberFormat="1" applyFont="1" applyFill="1" applyAlignment="1">
      <alignment horizontal="right" vertical="top"/>
    </xf>
    <xf numFmtId="0" fontId="77" fillId="9" borderId="1" xfId="0" applyFont="1" applyFill="1" applyBorder="1" applyAlignment="1">
      <alignment vertical="top"/>
    </xf>
    <xf numFmtId="165" fontId="3" fillId="31" borderId="1" xfId="0" applyNumberFormat="1" applyFont="1" applyFill="1" applyBorder="1" applyAlignment="1">
      <alignment vertical="center"/>
    </xf>
    <xf numFmtId="165" fontId="3" fillId="31" borderId="1" xfId="0" applyNumberFormat="1" applyFont="1" applyFill="1" applyBorder="1"/>
    <xf numFmtId="165" fontId="0" fillId="31" borderId="1" xfId="1" applyNumberFormat="1" applyFont="1" applyFill="1" applyBorder="1" applyAlignment="1">
      <alignment vertical="center"/>
    </xf>
    <xf numFmtId="3" fontId="0" fillId="31" borderId="1" xfId="0" applyNumberFormat="1" applyFill="1" applyBorder="1" applyAlignment="1">
      <alignment vertical="center"/>
    </xf>
    <xf numFmtId="3" fontId="0" fillId="31" borderId="1" xfId="1" applyNumberFormat="1" applyFont="1" applyFill="1" applyBorder="1" applyAlignment="1">
      <alignment vertical="center"/>
    </xf>
    <xf numFmtId="165" fontId="0" fillId="31" borderId="16" xfId="1" applyNumberFormat="1" applyFont="1" applyFill="1" applyBorder="1"/>
    <xf numFmtId="3" fontId="0" fillId="31" borderId="16" xfId="0" applyNumberFormat="1" applyFill="1" applyBorder="1"/>
    <xf numFmtId="0" fontId="0" fillId="31" borderId="16" xfId="0" applyFill="1" applyBorder="1"/>
    <xf numFmtId="0" fontId="4" fillId="0" borderId="0" xfId="0" applyFont="1" applyAlignment="1">
      <alignment horizontal="left" vertical="center" readingOrder="1"/>
    </xf>
    <xf numFmtId="0" fontId="99" fillId="0" borderId="0" xfId="0" applyFont="1" applyAlignment="1">
      <alignment horizontal="center" vertical="center" readingOrder="1"/>
    </xf>
    <xf numFmtId="0" fontId="100" fillId="0" borderId="0" xfId="0" applyFont="1"/>
    <xf numFmtId="0" fontId="99" fillId="0" borderId="0" xfId="0" applyFont="1"/>
    <xf numFmtId="0" fontId="99" fillId="0" borderId="0" xfId="0" applyFont="1" applyAlignment="1">
      <alignment horizontal="left" vertical="center" readingOrder="1"/>
    </xf>
    <xf numFmtId="0" fontId="79" fillId="0" borderId="0" xfId="0" applyFont="1"/>
    <xf numFmtId="0" fontId="101" fillId="0" borderId="0" xfId="0" applyFont="1"/>
    <xf numFmtId="0" fontId="101" fillId="0" borderId="0" xfId="0" applyFont="1" applyAlignment="1">
      <alignment horizontal="left" vertical="center" readingOrder="1"/>
    </xf>
    <xf numFmtId="0" fontId="102" fillId="0" borderId="0" xfId="0" applyFont="1"/>
    <xf numFmtId="0" fontId="70" fillId="0" borderId="0" xfId="0" applyFont="1" applyAlignment="1">
      <alignment horizontal="left" vertical="center" readingOrder="1"/>
    </xf>
    <xf numFmtId="167" fontId="0" fillId="2" borderId="1" xfId="1" applyNumberFormat="1" applyFont="1" applyFill="1" applyBorder="1"/>
    <xf numFmtId="0" fontId="95" fillId="23" borderId="0" xfId="0" applyFont="1" applyFill="1"/>
    <xf numFmtId="0" fontId="36" fillId="23" borderId="0" xfId="0" applyFont="1" applyFill="1"/>
    <xf numFmtId="0" fontId="0" fillId="23" borderId="0" xfId="0" applyFill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77" fillId="2" borderId="1" xfId="0" applyFont="1" applyFill="1" applyBorder="1" applyAlignment="1">
      <alignment vertical="top"/>
    </xf>
    <xf numFmtId="3" fontId="0" fillId="2" borderId="1" xfId="1" applyNumberFormat="1" applyFont="1" applyFill="1" applyBorder="1" applyAlignment="1">
      <alignment vertical="top"/>
    </xf>
    <xf numFmtId="9" fontId="72" fillId="2" borderId="1" xfId="2" applyFont="1" applyFill="1" applyBorder="1" applyAlignment="1">
      <alignment vertical="top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center" vertical="top"/>
    </xf>
    <xf numFmtId="0" fontId="0" fillId="2" borderId="1" xfId="0" applyFill="1" applyBorder="1" applyAlignment="1">
      <alignment horizontal="left" vertical="top"/>
    </xf>
    <xf numFmtId="0" fontId="0" fillId="2" borderId="1" xfId="0" applyFill="1" applyBorder="1" applyAlignment="1">
      <alignment vertical="top"/>
    </xf>
    <xf numFmtId="165" fontId="0" fillId="2" borderId="1" xfId="1" applyNumberFormat="1" applyFont="1" applyFill="1" applyBorder="1" applyAlignment="1">
      <alignment vertical="top"/>
    </xf>
    <xf numFmtId="0" fontId="77" fillId="2" borderId="1" xfId="0" applyFont="1" applyFill="1" applyBorder="1" applyAlignment="1">
      <alignment vertical="top" wrapText="1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vertical="center"/>
    </xf>
    <xf numFmtId="0" fontId="77" fillId="2" borderId="1" xfId="0" applyFont="1" applyFill="1" applyBorder="1" applyAlignment="1">
      <alignment vertical="center"/>
    </xf>
    <xf numFmtId="165" fontId="0" fillId="2" borderId="1" xfId="1" applyNumberFormat="1" applyFont="1" applyFill="1" applyBorder="1" applyAlignment="1">
      <alignment vertical="center"/>
    </xf>
    <xf numFmtId="3" fontId="0" fillId="2" borderId="1" xfId="0" applyNumberFormat="1" applyFill="1" applyBorder="1" applyAlignment="1">
      <alignment vertical="center"/>
    </xf>
    <xf numFmtId="9" fontId="72" fillId="2" borderId="1" xfId="2" applyFont="1" applyFill="1" applyBorder="1" applyAlignment="1">
      <alignment vertical="center"/>
    </xf>
    <xf numFmtId="0" fontId="0" fillId="2" borderId="1" xfId="0" applyFill="1" applyBorder="1" applyAlignment="1">
      <alignment vertical="center" wrapText="1"/>
    </xf>
    <xf numFmtId="0" fontId="0" fillId="2" borderId="13" xfId="0" applyFill="1" applyBorder="1" applyAlignment="1">
      <alignment vertical="center" wrapText="1"/>
    </xf>
    <xf numFmtId="0" fontId="0" fillId="2" borderId="16" xfId="0" applyFill="1" applyBorder="1" applyAlignment="1">
      <alignment horizontal="center"/>
    </xf>
    <xf numFmtId="3" fontId="0" fillId="2" borderId="16" xfId="0" applyNumberFormat="1" applyFill="1" applyBorder="1"/>
    <xf numFmtId="0" fontId="0" fillId="2" borderId="30" xfId="0" applyFill="1" applyBorder="1"/>
    <xf numFmtId="0" fontId="0" fillId="2" borderId="16" xfId="0" applyFill="1" applyBorder="1" applyAlignment="1">
      <alignment wrapText="1"/>
    </xf>
    <xf numFmtId="43" fontId="0" fillId="0" borderId="0" xfId="1" applyFont="1"/>
    <xf numFmtId="172" fontId="0" fillId="0" borderId="3" xfId="1" applyNumberFormat="1" applyFont="1" applyBorder="1"/>
    <xf numFmtId="172" fontId="0" fillId="0" borderId="1" xfId="1" applyNumberFormat="1" applyFont="1" applyBorder="1"/>
    <xf numFmtId="0" fontId="21" fillId="3" borderId="19" xfId="0" applyFont="1" applyFill="1" applyBorder="1" applyAlignment="1">
      <alignment horizontal="center" vertical="top" wrapText="1"/>
    </xf>
    <xf numFmtId="0" fontId="21" fillId="3" borderId="7" xfId="0" applyFont="1" applyFill="1" applyBorder="1" applyAlignment="1">
      <alignment horizontal="center" vertical="top" wrapText="1"/>
    </xf>
    <xf numFmtId="0" fontId="86" fillId="0" borderId="1" xfId="9" applyFont="1" applyBorder="1"/>
    <xf numFmtId="0" fontId="104" fillId="0" borderId="1" xfId="9" applyFont="1" applyBorder="1"/>
    <xf numFmtId="174" fontId="0" fillId="0" borderId="1" xfId="2" applyNumberFormat="1" applyFont="1" applyBorder="1"/>
    <xf numFmtId="175" fontId="0" fillId="0" borderId="1" xfId="1" applyNumberFormat="1" applyFont="1" applyBorder="1"/>
    <xf numFmtId="173" fontId="0" fillId="0" borderId="16" xfId="1" applyNumberFormat="1" applyFont="1" applyBorder="1"/>
    <xf numFmtId="174" fontId="0" fillId="0" borderId="16" xfId="2" applyNumberFormat="1" applyFont="1" applyBorder="1"/>
    <xf numFmtId="172" fontId="0" fillId="0" borderId="16" xfId="1" applyNumberFormat="1" applyFont="1" applyBorder="1"/>
    <xf numFmtId="175" fontId="0" fillId="0" borderId="16" xfId="1" applyNumberFormat="1" applyFont="1" applyBorder="1"/>
    <xf numFmtId="0" fontId="14" fillId="0" borderId="0" xfId="0" applyFont="1" applyAlignment="1">
      <alignment horizontal="left" vertical="center"/>
    </xf>
    <xf numFmtId="0" fontId="106" fillId="0" borderId="0" xfId="0" applyFont="1"/>
    <xf numFmtId="0" fontId="93" fillId="0" borderId="0" xfId="0" applyFont="1" applyAlignment="1">
      <alignment horizontal="right"/>
    </xf>
    <xf numFmtId="0" fontId="69" fillId="2" borderId="3" xfId="0" applyFont="1" applyFill="1" applyBorder="1" applyAlignment="1">
      <alignment horizontal="left" vertical="center" wrapText="1"/>
    </xf>
    <xf numFmtId="172" fontId="0" fillId="2" borderId="3" xfId="1" applyNumberFormat="1" applyFont="1" applyFill="1" applyBorder="1"/>
    <xf numFmtId="175" fontId="0" fillId="2" borderId="1" xfId="1" applyNumberFormat="1" applyFont="1" applyFill="1" applyBorder="1"/>
    <xf numFmtId="174" fontId="0" fillId="2" borderId="3" xfId="2" applyNumberFormat="1" applyFont="1" applyFill="1" applyBorder="1"/>
    <xf numFmtId="0" fontId="69" fillId="2" borderId="1" xfId="0" applyFont="1" applyFill="1" applyBorder="1" applyAlignment="1">
      <alignment horizontal="left" vertical="center" wrapText="1"/>
    </xf>
    <xf numFmtId="174" fontId="0" fillId="2" borderId="1" xfId="2" applyNumberFormat="1" applyFont="1" applyFill="1" applyBorder="1"/>
    <xf numFmtId="0" fontId="0" fillId="8" borderId="1" xfId="0" applyFill="1" applyBorder="1" applyAlignment="1">
      <alignment horizontal="center"/>
    </xf>
    <xf numFmtId="175" fontId="0" fillId="8" borderId="1" xfId="1" applyNumberFormat="1" applyFont="1" applyFill="1" applyBorder="1"/>
    <xf numFmtId="174" fontId="0" fillId="8" borderId="1" xfId="2" applyNumberFormat="1" applyFont="1" applyFill="1" applyBorder="1"/>
    <xf numFmtId="0" fontId="0" fillId="8" borderId="16" xfId="0" applyFill="1" applyBorder="1" applyAlignment="1">
      <alignment horizontal="center"/>
    </xf>
    <xf numFmtId="0" fontId="5" fillId="8" borderId="16" xfId="0" applyFont="1" applyFill="1" applyBorder="1" applyAlignment="1">
      <alignment horizontal="left" vertical="center"/>
    </xf>
    <xf numFmtId="0" fontId="0" fillId="8" borderId="16" xfId="0" applyFill="1" applyBorder="1"/>
    <xf numFmtId="173" fontId="0" fillId="8" borderId="16" xfId="1" applyNumberFormat="1" applyFont="1" applyFill="1" applyBorder="1"/>
    <xf numFmtId="174" fontId="0" fillId="8" borderId="16" xfId="2" applyNumberFormat="1" applyFont="1" applyFill="1" applyBorder="1"/>
    <xf numFmtId="172" fontId="0" fillId="2" borderId="1" xfId="1" applyNumberFormat="1" applyFont="1" applyFill="1" applyBorder="1"/>
    <xf numFmtId="0" fontId="69" fillId="8" borderId="1" xfId="0" applyFont="1" applyFill="1" applyBorder="1" applyAlignment="1">
      <alignment horizontal="left" vertical="center" wrapText="1"/>
    </xf>
    <xf numFmtId="172" fontId="0" fillId="8" borderId="1" xfId="1" applyNumberFormat="1" applyFont="1" applyFill="1" applyBorder="1"/>
    <xf numFmtId="165" fontId="0" fillId="0" borderId="0" xfId="1" applyNumberFormat="1" applyFont="1" applyAlignment="1">
      <alignment horizontal="center"/>
    </xf>
    <xf numFmtId="0" fontId="21" fillId="16" borderId="5" xfId="0" applyFont="1" applyFill="1" applyBorder="1" applyAlignment="1">
      <alignment horizontal="center" vertical="top"/>
    </xf>
    <xf numFmtId="0" fontId="108" fillId="0" borderId="0" xfId="0" applyFont="1"/>
    <xf numFmtId="176" fontId="0" fillId="2" borderId="1" xfId="1" applyNumberFormat="1" applyFont="1" applyFill="1" applyBorder="1"/>
    <xf numFmtId="0" fontId="109" fillId="2" borderId="3" xfId="0" applyFont="1" applyFill="1" applyBorder="1" applyAlignment="1">
      <alignment horizontal="left" vertical="center" wrapText="1"/>
    </xf>
    <xf numFmtId="0" fontId="109" fillId="2" borderId="1" xfId="0" applyFont="1" applyFill="1" applyBorder="1" applyAlignment="1">
      <alignment horizontal="left" vertical="center" wrapText="1"/>
    </xf>
    <xf numFmtId="0" fontId="109" fillId="8" borderId="1" xfId="0" applyFont="1" applyFill="1" applyBorder="1" applyAlignment="1">
      <alignment horizontal="left" vertical="center" wrapText="1"/>
    </xf>
    <xf numFmtId="177" fontId="0" fillId="2" borderId="1" xfId="1" applyNumberFormat="1" applyFont="1" applyFill="1" applyBorder="1"/>
    <xf numFmtId="178" fontId="0" fillId="2" borderId="3" xfId="2" applyNumberFormat="1" applyFont="1" applyFill="1" applyBorder="1"/>
    <xf numFmtId="177" fontId="0" fillId="8" borderId="1" xfId="1" applyNumberFormat="1" applyFont="1" applyFill="1" applyBorder="1"/>
    <xf numFmtId="178" fontId="0" fillId="2" borderId="1" xfId="2" applyNumberFormat="1" applyFont="1" applyFill="1" applyBorder="1"/>
    <xf numFmtId="178" fontId="0" fillId="8" borderId="1" xfId="2" applyNumberFormat="1" applyFont="1" applyFill="1" applyBorder="1"/>
    <xf numFmtId="0" fontId="21" fillId="16" borderId="7" xfId="0" applyFont="1" applyFill="1" applyBorder="1" applyAlignment="1">
      <alignment horizontal="center" vertical="top"/>
    </xf>
    <xf numFmtId="0" fontId="84" fillId="32" borderId="3" xfId="0" applyFont="1" applyFill="1" applyBorder="1" applyAlignment="1">
      <alignment horizontal="center"/>
    </xf>
    <xf numFmtId="0" fontId="109" fillId="32" borderId="3" xfId="0" applyFont="1" applyFill="1" applyBorder="1" applyAlignment="1">
      <alignment horizontal="left" vertical="center" wrapText="1"/>
    </xf>
    <xf numFmtId="0" fontId="69" fillId="32" borderId="3" xfId="0" applyFont="1" applyFill="1" applyBorder="1" applyAlignment="1">
      <alignment horizontal="left" vertical="center" wrapText="1"/>
    </xf>
    <xf numFmtId="172" fontId="0" fillId="32" borderId="3" xfId="1" applyNumberFormat="1" applyFont="1" applyFill="1" applyBorder="1"/>
    <xf numFmtId="165" fontId="0" fillId="32" borderId="3" xfId="1" applyNumberFormat="1" applyFont="1" applyFill="1" applyBorder="1"/>
    <xf numFmtId="0" fontId="84" fillId="32" borderId="1" xfId="0" applyFont="1" applyFill="1" applyBorder="1" applyAlignment="1">
      <alignment horizontal="center"/>
    </xf>
    <xf numFmtId="0" fontId="109" fillId="32" borderId="1" xfId="0" applyFont="1" applyFill="1" applyBorder="1" applyAlignment="1">
      <alignment horizontal="left" vertical="center" wrapText="1"/>
    </xf>
    <xf numFmtId="0" fontId="69" fillId="32" borderId="1" xfId="0" applyFont="1" applyFill="1" applyBorder="1" applyAlignment="1">
      <alignment horizontal="left" vertical="center" wrapText="1"/>
    </xf>
    <xf numFmtId="172" fontId="0" fillId="32" borderId="1" xfId="1" applyNumberFormat="1" applyFont="1" applyFill="1" applyBorder="1"/>
    <xf numFmtId="165" fontId="0" fillId="32" borderId="1" xfId="1" applyNumberFormat="1" applyFont="1" applyFill="1" applyBorder="1"/>
    <xf numFmtId="0" fontId="84" fillId="32" borderId="16" xfId="0" applyFont="1" applyFill="1" applyBorder="1" applyAlignment="1">
      <alignment horizontal="center"/>
    </xf>
    <xf numFmtId="0" fontId="109" fillId="32" borderId="16" xfId="0" applyFont="1" applyFill="1" applyBorder="1" applyAlignment="1">
      <alignment horizontal="left" vertical="center" wrapText="1"/>
    </xf>
    <xf numFmtId="0" fontId="69" fillId="32" borderId="16" xfId="0" applyFont="1" applyFill="1" applyBorder="1" applyAlignment="1">
      <alignment horizontal="left" vertical="center" wrapText="1"/>
    </xf>
    <xf numFmtId="0" fontId="0" fillId="32" borderId="16" xfId="0" applyFill="1" applyBorder="1"/>
    <xf numFmtId="173" fontId="0" fillId="32" borderId="16" xfId="1" applyNumberFormat="1" applyFont="1" applyFill="1" applyBorder="1"/>
    <xf numFmtId="174" fontId="0" fillId="32" borderId="16" xfId="2" applyNumberFormat="1" applyFont="1" applyFill="1" applyBorder="1"/>
    <xf numFmtId="177" fontId="0" fillId="32" borderId="1" xfId="1" applyNumberFormat="1" applyFont="1" applyFill="1" applyBorder="1"/>
    <xf numFmtId="178" fontId="0" fillId="32" borderId="3" xfId="2" applyNumberFormat="1" applyFont="1" applyFill="1" applyBorder="1"/>
    <xf numFmtId="178" fontId="0" fillId="32" borderId="1" xfId="2" applyNumberFormat="1" applyFont="1" applyFill="1" applyBorder="1"/>
    <xf numFmtId="0" fontId="60" fillId="0" borderId="0" xfId="0" applyFont="1"/>
    <xf numFmtId="3" fontId="46" fillId="0" borderId="0" xfId="0" applyNumberFormat="1" applyFont="1"/>
    <xf numFmtId="3" fontId="54" fillId="0" borderId="0" xfId="0" applyNumberFormat="1" applyFont="1"/>
    <xf numFmtId="3" fontId="21" fillId="16" borderId="5" xfId="0" applyNumberFormat="1" applyFont="1" applyFill="1" applyBorder="1" applyAlignment="1">
      <alignment horizontal="center" vertical="top" wrapText="1"/>
    </xf>
    <xf numFmtId="3" fontId="110" fillId="0" borderId="3" xfId="0" applyNumberFormat="1" applyFont="1" applyBorder="1"/>
    <xf numFmtId="3" fontId="110" fillId="0" borderId="1" xfId="0" applyNumberFormat="1" applyFont="1" applyBorder="1"/>
    <xf numFmtId="3" fontId="110" fillId="0" borderId="16" xfId="0" applyNumberFormat="1" applyFont="1" applyBorder="1"/>
    <xf numFmtId="0" fontId="21" fillId="33" borderId="5" xfId="0" applyFont="1" applyFill="1" applyBorder="1" applyAlignment="1">
      <alignment horizontal="center" vertical="top" wrapText="1"/>
    </xf>
    <xf numFmtId="9" fontId="110" fillId="0" borderId="3" xfId="2" applyFont="1" applyBorder="1"/>
    <xf numFmtId="9" fontId="77" fillId="0" borderId="3" xfId="2" applyFont="1" applyBorder="1"/>
    <xf numFmtId="169" fontId="44" fillId="0" borderId="1" xfId="2" applyNumberFormat="1" applyFont="1" applyBorder="1"/>
    <xf numFmtId="169" fontId="44" fillId="0" borderId="3" xfId="2" applyNumberFormat="1" applyFont="1" applyBorder="1"/>
    <xf numFmtId="9" fontId="110" fillId="0" borderId="1" xfId="2" applyFont="1" applyBorder="1"/>
    <xf numFmtId="9" fontId="77" fillId="0" borderId="1" xfId="2" applyFont="1" applyBorder="1"/>
    <xf numFmtId="0" fontId="84" fillId="0" borderId="3" xfId="0" applyFont="1" applyBorder="1" applyAlignment="1">
      <alignment horizontal="left"/>
    </xf>
    <xf numFmtId="0" fontId="84" fillId="0" borderId="1" xfId="0" applyFont="1" applyBorder="1" applyAlignment="1">
      <alignment horizontal="left"/>
    </xf>
    <xf numFmtId="166" fontId="44" fillId="0" borderId="13" xfId="0" applyNumberFormat="1" applyFont="1" applyBorder="1"/>
    <xf numFmtId="0" fontId="84" fillId="0" borderId="16" xfId="0" applyFont="1" applyBorder="1" applyAlignment="1">
      <alignment horizontal="left"/>
    </xf>
    <xf numFmtId="177" fontId="0" fillId="0" borderId="1" xfId="1" applyNumberFormat="1" applyFont="1" applyFill="1" applyBorder="1"/>
    <xf numFmtId="178" fontId="0" fillId="0" borderId="3" xfId="2" applyNumberFormat="1" applyFont="1" applyFill="1" applyBorder="1"/>
    <xf numFmtId="178" fontId="0" fillId="0" borderId="1" xfId="2" applyNumberFormat="1" applyFont="1" applyFill="1" applyBorder="1"/>
    <xf numFmtId="0" fontId="21" fillId="3" borderId="5" xfId="0" applyFont="1" applyFill="1" applyBorder="1" applyAlignment="1">
      <alignment horizontal="center" vertical="top" wrapText="1"/>
    </xf>
    <xf numFmtId="169" fontId="0" fillId="0" borderId="3" xfId="2" applyNumberFormat="1" applyFont="1" applyFill="1" applyBorder="1"/>
    <xf numFmtId="165" fontId="0" fillId="0" borderId="3" xfId="1" applyNumberFormat="1" applyFont="1" applyFill="1" applyBorder="1"/>
    <xf numFmtId="169" fontId="0" fillId="0" borderId="16" xfId="2" applyNumberFormat="1" applyFont="1" applyFill="1" applyBorder="1"/>
    <xf numFmtId="165" fontId="0" fillId="0" borderId="16" xfId="1" applyNumberFormat="1" applyFont="1" applyFill="1" applyBorder="1"/>
    <xf numFmtId="0" fontId="66" fillId="21" borderId="5" xfId="0" applyFont="1" applyFill="1" applyBorder="1" applyAlignment="1">
      <alignment vertical="center"/>
    </xf>
    <xf numFmtId="169" fontId="44" fillId="21" borderId="5" xfId="0" applyNumberFormat="1" applyFont="1" applyFill="1" applyBorder="1" applyAlignment="1">
      <alignment vertical="center"/>
    </xf>
    <xf numFmtId="165" fontId="44" fillId="21" borderId="5" xfId="1" applyNumberFormat="1" applyFont="1" applyFill="1" applyBorder="1" applyAlignment="1">
      <alignment vertical="center"/>
    </xf>
    <xf numFmtId="169" fontId="0" fillId="0" borderId="1" xfId="2" applyNumberFormat="1" applyFont="1" applyFill="1" applyBorder="1"/>
    <xf numFmtId="0" fontId="69" fillId="8" borderId="3" xfId="0" applyFont="1" applyFill="1" applyBorder="1" applyAlignment="1">
      <alignment horizontal="left" vertical="center" wrapText="1"/>
    </xf>
    <xf numFmtId="169" fontId="0" fillId="8" borderId="3" xfId="2" applyNumberFormat="1" applyFont="1" applyFill="1" applyBorder="1"/>
    <xf numFmtId="165" fontId="0" fillId="8" borderId="3" xfId="1" applyNumberFormat="1" applyFont="1" applyFill="1" applyBorder="1"/>
    <xf numFmtId="9" fontId="0" fillId="8" borderId="3" xfId="2" applyFont="1" applyFill="1" applyBorder="1"/>
    <xf numFmtId="169" fontId="0" fillId="8" borderId="1" xfId="2" applyNumberFormat="1" applyFont="1" applyFill="1" applyBorder="1"/>
    <xf numFmtId="9" fontId="0" fillId="8" borderId="1" xfId="2" applyFont="1" applyFill="1" applyBorder="1"/>
    <xf numFmtId="9" fontId="54" fillId="2" borderId="1" xfId="2" applyFont="1" applyFill="1" applyBorder="1"/>
    <xf numFmtId="9" fontId="54" fillId="2" borderId="16" xfId="2" applyFont="1" applyFill="1" applyBorder="1"/>
    <xf numFmtId="0" fontId="54" fillId="0" borderId="3" xfId="0" applyFont="1" applyBorder="1"/>
    <xf numFmtId="0" fontId="54" fillId="0" borderId="16" xfId="0" applyFont="1" applyBorder="1"/>
    <xf numFmtId="0" fontId="44" fillId="11" borderId="5" xfId="0" applyFont="1" applyFill="1" applyBorder="1"/>
    <xf numFmtId="9" fontId="44" fillId="11" borderId="5" xfId="0" applyNumberFormat="1" applyFont="1" applyFill="1" applyBorder="1"/>
    <xf numFmtId="3" fontId="44" fillId="11" borderId="5" xfId="0" applyNumberFormat="1" applyFont="1" applyFill="1" applyBorder="1"/>
    <xf numFmtId="0" fontId="21" fillId="15" borderId="5" xfId="0" applyFont="1" applyFill="1" applyBorder="1" applyAlignment="1">
      <alignment horizontal="centerContinuous"/>
    </xf>
    <xf numFmtId="0" fontId="21" fillId="15" borderId="5" xfId="0" applyFont="1" applyFill="1" applyBorder="1" applyAlignment="1">
      <alignment horizontal="center" vertical="center"/>
    </xf>
    <xf numFmtId="0" fontId="78" fillId="0" borderId="0" xfId="0" applyFont="1" applyAlignment="1">
      <alignment vertical="top"/>
    </xf>
    <xf numFmtId="0" fontId="111" fillId="0" borderId="0" xfId="0" applyFont="1" applyAlignment="1">
      <alignment vertical="top"/>
    </xf>
    <xf numFmtId="0" fontId="78" fillId="7" borderId="5" xfId="0" applyFont="1" applyFill="1" applyBorder="1" applyAlignment="1">
      <alignment vertical="top" wrapText="1"/>
    </xf>
    <xf numFmtId="0" fontId="5" fillId="0" borderId="5" xfId="0" applyFont="1" applyBorder="1" applyAlignment="1">
      <alignment horizontal="left" vertical="center"/>
    </xf>
    <xf numFmtId="165" fontId="54" fillId="0" borderId="5" xfId="0" applyNumberFormat="1" applyFont="1" applyBorder="1"/>
    <xf numFmtId="0" fontId="21" fillId="3" borderId="3" xfId="0" applyFont="1" applyFill="1" applyBorder="1" applyAlignment="1">
      <alignment horizontal="center" vertical="top" wrapText="1"/>
    </xf>
    <xf numFmtId="0" fontId="73" fillId="11" borderId="5" xfId="0" applyFont="1" applyFill="1" applyBorder="1"/>
    <xf numFmtId="9" fontId="44" fillId="11" borderId="5" xfId="2" applyFont="1" applyFill="1" applyBorder="1"/>
    <xf numFmtId="0" fontId="0" fillId="8" borderId="31" xfId="0" applyFill="1" applyBorder="1" applyAlignment="1">
      <alignment horizontal="center"/>
    </xf>
    <xf numFmtId="0" fontId="5" fillId="8" borderId="32" xfId="0" applyFont="1" applyFill="1" applyBorder="1" applyAlignment="1">
      <alignment horizontal="left"/>
    </xf>
    <xf numFmtId="165" fontId="0" fillId="8" borderId="32" xfId="1" applyNumberFormat="1" applyFont="1" applyFill="1" applyBorder="1"/>
    <xf numFmtId="9" fontId="0" fillId="8" borderId="33" xfId="2" applyFont="1" applyFill="1" applyBorder="1"/>
    <xf numFmtId="166" fontId="78" fillId="0" borderId="0" xfId="3" applyNumberFormat="1" applyFont="1" applyAlignment="1">
      <alignment vertical="top"/>
    </xf>
    <xf numFmtId="0" fontId="0" fillId="2" borderId="13" xfId="0" applyFill="1" applyBorder="1" applyAlignment="1">
      <alignment wrapText="1"/>
    </xf>
    <xf numFmtId="0" fontId="0" fillId="0" borderId="3" xfId="0" applyBorder="1" applyAlignment="1">
      <alignment vertical="center" wrapText="1"/>
    </xf>
    <xf numFmtId="0" fontId="13" fillId="4" borderId="5" xfId="0" applyFont="1" applyFill="1" applyBorder="1" applyAlignment="1">
      <alignment horizontal="left" vertical="center"/>
    </xf>
    <xf numFmtId="0" fontId="12" fillId="4" borderId="5" xfId="0" applyFont="1" applyFill="1" applyBorder="1" applyAlignment="1">
      <alignment horizontal="center" vertical="center" wrapText="1"/>
    </xf>
    <xf numFmtId="179" fontId="0" fillId="8" borderId="3" xfId="0" applyNumberFormat="1" applyFill="1" applyBorder="1"/>
    <xf numFmtId="179" fontId="0" fillId="8" borderId="1" xfId="0" applyNumberFormat="1" applyFill="1" applyBorder="1"/>
    <xf numFmtId="179" fontId="0" fillId="0" borderId="1" xfId="0" applyNumberFormat="1" applyBorder="1"/>
    <xf numFmtId="179" fontId="0" fillId="0" borderId="16" xfId="0" applyNumberFormat="1" applyBorder="1"/>
    <xf numFmtId="0" fontId="21" fillId="4" borderId="7" xfId="0" applyFont="1" applyFill="1" applyBorder="1" applyAlignment="1">
      <alignment horizontal="center" vertical="top"/>
    </xf>
    <xf numFmtId="0" fontId="21" fillId="4" borderId="7" xfId="0" applyFont="1" applyFill="1" applyBorder="1" applyAlignment="1">
      <alignment horizontal="center" vertical="top" wrapText="1"/>
    </xf>
    <xf numFmtId="169" fontId="0" fillId="0" borderId="0" xfId="2" applyNumberFormat="1" applyFont="1"/>
    <xf numFmtId="165" fontId="54" fillId="0" borderId="0" xfId="0" applyNumberFormat="1" applyFont="1"/>
    <xf numFmtId="9" fontId="54" fillId="0" borderId="0" xfId="2" applyFont="1"/>
    <xf numFmtId="169" fontId="54" fillId="8" borderId="32" xfId="2" applyNumberFormat="1" applyFont="1" applyFill="1" applyBorder="1"/>
    <xf numFmtId="0" fontId="0" fillId="0" borderId="13" xfId="0" applyBorder="1" applyAlignment="1">
      <alignment horizontal="center"/>
    </xf>
    <xf numFmtId="169" fontId="0" fillId="0" borderId="13" xfId="2" applyNumberFormat="1" applyFont="1" applyBorder="1"/>
    <xf numFmtId="0" fontId="0" fillId="0" borderId="34" xfId="0" applyBorder="1" applyAlignment="1">
      <alignment horizontal="center"/>
    </xf>
    <xf numFmtId="165" fontId="0" fillId="0" borderId="35" xfId="1" applyNumberFormat="1" applyFont="1" applyBorder="1"/>
    <xf numFmtId="0" fontId="84" fillId="0" borderId="0" xfId="0" applyFont="1" applyAlignment="1">
      <alignment horizontal="center"/>
    </xf>
    <xf numFmtId="43" fontId="3" fillId="0" borderId="1" xfId="0" applyNumberFormat="1" applyFont="1" applyBorder="1"/>
    <xf numFmtId="165" fontId="3" fillId="0" borderId="0" xfId="1" applyNumberFormat="1" applyFont="1"/>
    <xf numFmtId="0" fontId="21" fillId="24" borderId="5" xfId="0" applyFont="1" applyFill="1" applyBorder="1" applyAlignment="1">
      <alignment horizontal="center" vertical="center"/>
    </xf>
    <xf numFmtId="0" fontId="21" fillId="34" borderId="5" xfId="0" applyFont="1" applyFill="1" applyBorder="1" applyAlignment="1">
      <alignment horizontal="center" vertical="center"/>
    </xf>
    <xf numFmtId="165" fontId="44" fillId="0" borderId="9" xfId="1" applyNumberFormat="1" applyFont="1" applyBorder="1"/>
    <xf numFmtId="9" fontId="44" fillId="0" borderId="16" xfId="2" applyFont="1" applyBorder="1"/>
    <xf numFmtId="165" fontId="0" fillId="0" borderId="13" xfId="0" applyNumberFormat="1" applyBorder="1"/>
    <xf numFmtId="0" fontId="21" fillId="26" borderId="36" xfId="0" applyFont="1" applyFill="1" applyBorder="1" applyAlignment="1">
      <alignment horizontal="center"/>
    </xf>
    <xf numFmtId="0" fontId="21" fillId="26" borderId="36" xfId="0" quotePrefix="1" applyFont="1" applyFill="1" applyBorder="1" applyAlignment="1">
      <alignment horizontal="center"/>
    </xf>
    <xf numFmtId="0" fontId="10" fillId="11" borderId="5" xfId="0" applyFont="1" applyFill="1" applyBorder="1" applyAlignment="1">
      <alignment horizontal="left" vertical="center"/>
    </xf>
    <xf numFmtId="169" fontId="0" fillId="0" borderId="3" xfId="0" applyNumberFormat="1" applyBorder="1"/>
    <xf numFmtId="169" fontId="0" fillId="0" borderId="16" xfId="0" applyNumberFormat="1" applyBorder="1"/>
    <xf numFmtId="169" fontId="44" fillId="11" borderId="5" xfId="0" applyNumberFormat="1" applyFont="1" applyFill="1" applyBorder="1"/>
    <xf numFmtId="0" fontId="82" fillId="0" borderId="9" xfId="0" applyFont="1" applyBorder="1" applyAlignment="1">
      <alignment horizontal="center" vertical="center"/>
    </xf>
    <xf numFmtId="0" fontId="84" fillId="0" borderId="9" xfId="0" applyFont="1" applyBorder="1"/>
    <xf numFmtId="0" fontId="85" fillId="0" borderId="9" xfId="9" applyBorder="1"/>
    <xf numFmtId="0" fontId="5" fillId="2" borderId="3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18" borderId="3" xfId="0" applyFont="1" applyFill="1" applyBorder="1" applyAlignment="1">
      <alignment horizontal="center" vertical="center"/>
    </xf>
    <xf numFmtId="0" fontId="7" fillId="18" borderId="1" xfId="0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5" fillId="18" borderId="16" xfId="0" applyFont="1" applyFill="1" applyBorder="1" applyAlignment="1">
      <alignment horizontal="center" vertical="center"/>
    </xf>
    <xf numFmtId="0" fontId="5" fillId="8" borderId="3" xfId="0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 vertical="center"/>
    </xf>
    <xf numFmtId="0" fontId="5" fillId="0" borderId="16" xfId="0" applyFont="1" applyBorder="1" applyAlignment="1">
      <alignment horizontal="left"/>
    </xf>
    <xf numFmtId="0" fontId="0" fillId="0" borderId="9" xfId="0" applyBorder="1" applyAlignment="1">
      <alignment horizontal="center" vertical="center"/>
    </xf>
    <xf numFmtId="0" fontId="88" fillId="0" borderId="9" xfId="0" applyFont="1" applyBorder="1"/>
    <xf numFmtId="0" fontId="86" fillId="0" borderId="9" xfId="9" applyFont="1" applyBorder="1"/>
    <xf numFmtId="0" fontId="112" fillId="0" borderId="0" xfId="0" applyFont="1"/>
    <xf numFmtId="0" fontId="86" fillId="9" borderId="0" xfId="10" applyFont="1" applyFill="1" applyAlignment="1">
      <alignment horizontal="center"/>
    </xf>
    <xf numFmtId="0" fontId="2" fillId="0" borderId="0" xfId="11"/>
    <xf numFmtId="0" fontId="66" fillId="0" borderId="0" xfId="11" applyFont="1"/>
    <xf numFmtId="166" fontId="2" fillId="0" borderId="0" xfId="12" applyNumberFormat="1" applyFont="1"/>
    <xf numFmtId="9" fontId="2" fillId="0" borderId="0" xfId="13" applyFont="1"/>
    <xf numFmtId="0" fontId="2" fillId="0" borderId="0" xfId="11" applyAlignment="1">
      <alignment horizontal="center"/>
    </xf>
    <xf numFmtId="0" fontId="60" fillId="0" borderId="0" xfId="11" applyFont="1" applyAlignment="1">
      <alignment horizontal="right"/>
    </xf>
    <xf numFmtId="3" fontId="60" fillId="0" borderId="0" xfId="11" applyNumberFormat="1" applyFont="1" applyAlignment="1">
      <alignment horizontal="left"/>
    </xf>
    <xf numFmtId="0" fontId="21" fillId="10" borderId="5" xfId="11" applyFont="1" applyFill="1" applyBorder="1" applyAlignment="1">
      <alignment horizontal="center" vertical="top" wrapText="1"/>
    </xf>
    <xf numFmtId="166" fontId="21" fillId="10" borderId="5" xfId="12" applyNumberFormat="1" applyFont="1" applyFill="1" applyBorder="1" applyAlignment="1">
      <alignment horizontal="center" vertical="top" wrapText="1"/>
    </xf>
    <xf numFmtId="9" fontId="21" fillId="10" borderId="5" xfId="13" applyFont="1" applyFill="1" applyBorder="1" applyAlignment="1">
      <alignment horizontal="center" vertical="top" wrapText="1"/>
    </xf>
    <xf numFmtId="0" fontId="2" fillId="0" borderId="0" xfId="11" applyAlignment="1">
      <alignment wrapText="1"/>
    </xf>
    <xf numFmtId="0" fontId="2" fillId="0" borderId="3" xfId="11" applyBorder="1" applyAlignment="1">
      <alignment horizontal="center"/>
    </xf>
    <xf numFmtId="0" fontId="2" fillId="0" borderId="3" xfId="11" applyBorder="1"/>
    <xf numFmtId="166" fontId="2" fillId="0" borderId="3" xfId="12" applyNumberFormat="1" applyFont="1" applyBorder="1"/>
    <xf numFmtId="9" fontId="2" fillId="0" borderId="3" xfId="13" applyFont="1" applyBorder="1"/>
    <xf numFmtId="0" fontId="2" fillId="0" borderId="1" xfId="11" applyBorder="1" applyAlignment="1">
      <alignment horizontal="center"/>
    </xf>
    <xf numFmtId="0" fontId="2" fillId="0" borderId="1" xfId="11" applyBorder="1"/>
    <xf numFmtId="166" fontId="2" fillId="0" borderId="1" xfId="12" applyNumberFormat="1" applyFont="1" applyBorder="1"/>
    <xf numFmtId="9" fontId="2" fillId="0" borderId="1" xfId="13" applyFont="1" applyBorder="1"/>
    <xf numFmtId="0" fontId="2" fillId="0" borderId="9" xfId="11" applyBorder="1"/>
    <xf numFmtId="166" fontId="2" fillId="0" borderId="9" xfId="12" applyNumberFormat="1" applyFont="1" applyBorder="1"/>
    <xf numFmtId="9" fontId="2" fillId="0" borderId="9" xfId="13" applyFont="1" applyBorder="1"/>
    <xf numFmtId="0" fontId="44" fillId="11" borderId="5" xfId="11" applyFont="1" applyFill="1" applyBorder="1" applyAlignment="1">
      <alignment horizontal="center"/>
    </xf>
    <xf numFmtId="0" fontId="44" fillId="11" borderId="5" xfId="11" applyFont="1" applyFill="1" applyBorder="1"/>
    <xf numFmtId="9" fontId="44" fillId="11" borderId="5" xfId="13" applyFont="1" applyFill="1" applyBorder="1"/>
    <xf numFmtId="0" fontId="54" fillId="0" borderId="0" xfId="11" applyFont="1"/>
    <xf numFmtId="1" fontId="2" fillId="0" borderId="3" xfId="11" applyNumberFormat="1" applyBorder="1"/>
    <xf numFmtId="1" fontId="2" fillId="0" borderId="1" xfId="11" applyNumberFormat="1" applyBorder="1"/>
    <xf numFmtId="0" fontId="2" fillId="0" borderId="9" xfId="11" applyBorder="1" applyAlignment="1">
      <alignment horizontal="center"/>
    </xf>
    <xf numFmtId="3" fontId="2" fillId="0" borderId="0" xfId="12" applyNumberFormat="1" applyFont="1"/>
    <xf numFmtId="3" fontId="21" fillId="10" borderId="5" xfId="12" applyNumberFormat="1" applyFont="1" applyFill="1" applyBorder="1" applyAlignment="1">
      <alignment horizontal="center" vertical="top" wrapText="1"/>
    </xf>
    <xf numFmtId="3" fontId="2" fillId="0" borderId="3" xfId="12" applyNumberFormat="1" applyFont="1" applyBorder="1"/>
    <xf numFmtId="3" fontId="2" fillId="0" borderId="1" xfId="12" applyNumberFormat="1" applyFont="1" applyBorder="1"/>
    <xf numFmtId="3" fontId="2" fillId="0" borderId="9" xfId="12" applyNumberFormat="1" applyFont="1" applyBorder="1"/>
    <xf numFmtId="3" fontId="44" fillId="11" borderId="5" xfId="12" applyNumberFormat="1" applyFont="1" applyFill="1" applyBorder="1"/>
    <xf numFmtId="166" fontId="113" fillId="0" borderId="0" xfId="12" applyNumberFormat="1" applyFont="1"/>
    <xf numFmtId="3" fontId="44" fillId="11" borderId="5" xfId="11" applyNumberFormat="1" applyFont="1" applyFill="1" applyBorder="1"/>
    <xf numFmtId="180" fontId="2" fillId="0" borderId="1" xfId="11" applyNumberFormat="1" applyBorder="1"/>
    <xf numFmtId="2" fontId="2" fillId="0" borderId="1" xfId="11" applyNumberFormat="1" applyBorder="1"/>
    <xf numFmtId="49" fontId="19" fillId="7" borderId="5" xfId="0" applyNumberFormat="1" applyFont="1" applyFill="1" applyBorder="1" applyAlignment="1">
      <alignment vertical="top" wrapText="1"/>
    </xf>
    <xf numFmtId="49" fontId="20" fillId="0" borderId="0" xfId="0" applyNumberFormat="1" applyFont="1" applyAlignment="1">
      <alignment vertical="top"/>
    </xf>
    <xf numFmtId="49" fontId="18" fillId="0" borderId="0" xfId="0" applyNumberFormat="1" applyFont="1" applyAlignment="1">
      <alignment vertical="top"/>
    </xf>
    <xf numFmtId="0" fontId="0" fillId="0" borderId="11" xfId="0" applyBorder="1"/>
    <xf numFmtId="0" fontId="0" fillId="0" borderId="8" xfId="0" applyBorder="1" applyAlignment="1">
      <alignment horizontal="right"/>
    </xf>
    <xf numFmtId="0" fontId="21" fillId="15" borderId="5" xfId="0" applyFont="1" applyFill="1" applyBorder="1" applyAlignment="1">
      <alignment horizontal="center"/>
    </xf>
    <xf numFmtId="0" fontId="0" fillId="18" borderId="6" xfId="0" applyFill="1" applyBorder="1"/>
    <xf numFmtId="0" fontId="0" fillId="18" borderId="37" xfId="0" applyFill="1" applyBorder="1" applyAlignment="1">
      <alignment horizontal="right"/>
    </xf>
    <xf numFmtId="0" fontId="0" fillId="18" borderId="2" xfId="0" applyFill="1" applyBorder="1"/>
    <xf numFmtId="0" fontId="0" fillId="18" borderId="38" xfId="0" applyFill="1" applyBorder="1" applyAlignment="1">
      <alignment horizontal="right"/>
    </xf>
    <xf numFmtId="165" fontId="4" fillId="18" borderId="1" xfId="0" applyNumberFormat="1" applyFont="1" applyFill="1" applyBorder="1"/>
    <xf numFmtId="0" fontId="0" fillId="18" borderId="17" xfId="0" applyFill="1" applyBorder="1"/>
    <xf numFmtId="0" fontId="0" fillId="18" borderId="39" xfId="0" applyFill="1" applyBorder="1" applyAlignment="1">
      <alignment horizontal="right"/>
    </xf>
    <xf numFmtId="0" fontId="0" fillId="2" borderId="6" xfId="0" applyFill="1" applyBorder="1"/>
    <xf numFmtId="0" fontId="0" fillId="2" borderId="37" xfId="0" applyFill="1" applyBorder="1" applyAlignment="1">
      <alignment horizontal="right"/>
    </xf>
    <xf numFmtId="0" fontId="0" fillId="2" borderId="2" xfId="0" applyFill="1" applyBorder="1"/>
    <xf numFmtId="0" fontId="0" fillId="2" borderId="38" xfId="0" applyFill="1" applyBorder="1" applyAlignment="1">
      <alignment horizontal="right"/>
    </xf>
    <xf numFmtId="165" fontId="4" fillId="2" borderId="1" xfId="0" applyNumberFormat="1" applyFont="1" applyFill="1" applyBorder="1"/>
    <xf numFmtId="0" fontId="0" fillId="2" borderId="17" xfId="0" applyFill="1" applyBorder="1"/>
    <xf numFmtId="0" fontId="0" fillId="2" borderId="39" xfId="0" applyFill="1" applyBorder="1" applyAlignment="1">
      <alignment horizontal="right"/>
    </xf>
    <xf numFmtId="0" fontId="44" fillId="2" borderId="1" xfId="0" applyFont="1" applyFill="1" applyBorder="1"/>
    <xf numFmtId="0" fontId="44" fillId="18" borderId="1" xfId="0" applyFont="1" applyFill="1" applyBorder="1"/>
    <xf numFmtId="3" fontId="0" fillId="2" borderId="3" xfId="0" applyNumberFormat="1" applyFill="1" applyBorder="1"/>
    <xf numFmtId="3" fontId="4" fillId="2" borderId="1" xfId="0" applyNumberFormat="1" applyFont="1" applyFill="1" applyBorder="1"/>
    <xf numFmtId="9" fontId="4" fillId="18" borderId="1" xfId="2" applyFont="1" applyFill="1" applyBorder="1"/>
    <xf numFmtId="9" fontId="4" fillId="2" borderId="16" xfId="2" applyFont="1" applyFill="1" applyBorder="1"/>
    <xf numFmtId="0" fontId="0" fillId="18" borderId="25" xfId="0" applyFill="1" applyBorder="1"/>
    <xf numFmtId="0" fontId="0" fillId="18" borderId="21" xfId="0" applyFill="1" applyBorder="1" applyAlignment="1">
      <alignment horizontal="right"/>
    </xf>
    <xf numFmtId="169" fontId="0" fillId="18" borderId="3" xfId="2" applyNumberFormat="1" applyFont="1" applyFill="1" applyBorder="1"/>
    <xf numFmtId="169" fontId="0" fillId="18" borderId="1" xfId="2" applyNumberFormat="1" applyFont="1" applyFill="1" applyBorder="1"/>
    <xf numFmtId="169" fontId="0" fillId="18" borderId="16" xfId="2" applyNumberFormat="1" applyFont="1" applyFill="1" applyBorder="1"/>
    <xf numFmtId="3" fontId="0" fillId="18" borderId="3" xfId="0" applyNumberFormat="1" applyFill="1" applyBorder="1"/>
    <xf numFmtId="3" fontId="0" fillId="18" borderId="1" xfId="0" applyNumberFormat="1" applyFill="1" applyBorder="1"/>
    <xf numFmtId="9" fontId="0" fillId="18" borderId="3" xfId="0" applyNumberFormat="1" applyFill="1" applyBorder="1"/>
    <xf numFmtId="9" fontId="0" fillId="18" borderId="1" xfId="0" applyNumberFormat="1" applyFill="1" applyBorder="1"/>
    <xf numFmtId="165" fontId="0" fillId="9" borderId="0" xfId="0" applyNumberForma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172" fontId="0" fillId="0" borderId="0" xfId="0" applyNumberFormat="1"/>
    <xf numFmtId="172" fontId="54" fillId="0" borderId="0" xfId="0" applyNumberFormat="1" applyFont="1"/>
    <xf numFmtId="3" fontId="44" fillId="18" borderId="3" xfId="0" applyNumberFormat="1" applyFont="1" applyFill="1" applyBorder="1"/>
    <xf numFmtId="3" fontId="44" fillId="18" borderId="1" xfId="0" applyNumberFormat="1" applyFont="1" applyFill="1" applyBorder="1"/>
    <xf numFmtId="172" fontId="0" fillId="8" borderId="16" xfId="0" applyNumberFormat="1" applyFill="1" applyBorder="1"/>
    <xf numFmtId="0" fontId="12" fillId="35" borderId="0" xfId="0" applyFont="1" applyFill="1" applyAlignment="1">
      <alignment horizontal="center" vertical="center" wrapText="1"/>
    </xf>
    <xf numFmtId="0" fontId="12" fillId="35" borderId="0" xfId="0" applyFont="1" applyFill="1" applyAlignment="1">
      <alignment horizontal="center" vertical="center"/>
    </xf>
    <xf numFmtId="0" fontId="21" fillId="26" borderId="5" xfId="0" applyFont="1" applyFill="1" applyBorder="1" applyAlignment="1">
      <alignment horizontal="center" vertical="top" wrapText="1"/>
    </xf>
    <xf numFmtId="0" fontId="21" fillId="26" borderId="0" xfId="0" applyFont="1" applyFill="1" applyAlignment="1">
      <alignment horizontal="center" vertical="top" wrapText="1"/>
    </xf>
    <xf numFmtId="0" fontId="0" fillId="9" borderId="16" xfId="0" applyFill="1" applyBorder="1" applyAlignment="1">
      <alignment horizontal="center"/>
    </xf>
    <xf numFmtId="172" fontId="0" fillId="32" borderId="16" xfId="1" applyNumberFormat="1" applyFont="1" applyFill="1" applyBorder="1"/>
    <xf numFmtId="177" fontId="0" fillId="32" borderId="3" xfId="1" applyNumberFormat="1" applyFont="1" applyFill="1" applyBorder="1"/>
    <xf numFmtId="0" fontId="68" fillId="0" borderId="3" xfId="0" applyFont="1" applyBorder="1" applyAlignment="1">
      <alignment horizontal="center"/>
    </xf>
    <xf numFmtId="0" fontId="68" fillId="0" borderId="1" xfId="0" applyFont="1" applyBorder="1" applyAlignment="1">
      <alignment horizontal="center"/>
    </xf>
    <xf numFmtId="0" fontId="68" fillId="0" borderId="16" xfId="0" applyFont="1" applyBorder="1" applyAlignment="1">
      <alignment horizontal="center"/>
    </xf>
    <xf numFmtId="0" fontId="97" fillId="0" borderId="1" xfId="0" applyFont="1" applyBorder="1" applyAlignment="1">
      <alignment horizontal="center" vertical="center"/>
    </xf>
    <xf numFmtId="0" fontId="5" fillId="0" borderId="9" xfId="0" applyFont="1" applyBorder="1" applyAlignment="1">
      <alignment horizontal="left" vertical="center"/>
    </xf>
    <xf numFmtId="166" fontId="44" fillId="0" borderId="9" xfId="1" applyNumberFormat="1" applyFont="1" applyBorder="1"/>
    <xf numFmtId="3" fontId="0" fillId="0" borderId="9" xfId="1" applyNumberFormat="1" applyFont="1" applyBorder="1"/>
    <xf numFmtId="3" fontId="44" fillId="0" borderId="9" xfId="1" applyNumberFormat="1" applyFont="1" applyBorder="1"/>
    <xf numFmtId="9" fontId="0" fillId="0" borderId="9" xfId="2" applyFont="1" applyBorder="1" applyAlignment="1">
      <alignment horizontal="right"/>
    </xf>
    <xf numFmtId="9" fontId="44" fillId="0" borderId="9" xfId="2" applyFont="1" applyBorder="1" applyAlignment="1">
      <alignment horizontal="right"/>
    </xf>
    <xf numFmtId="181" fontId="68" fillId="0" borderId="3" xfId="1" applyNumberFormat="1" applyFont="1" applyBorder="1" applyAlignment="1">
      <alignment horizontal="center"/>
    </xf>
    <xf numFmtId="181" fontId="68" fillId="0" borderId="1" xfId="1" applyNumberFormat="1" applyFont="1" applyBorder="1" applyAlignment="1">
      <alignment horizontal="center"/>
    </xf>
    <xf numFmtId="181" fontId="68" fillId="0" borderId="16" xfId="1" applyNumberFormat="1" applyFont="1" applyBorder="1" applyAlignment="1">
      <alignment horizontal="center"/>
    </xf>
    <xf numFmtId="181" fontId="68" fillId="9" borderId="1" xfId="1" applyNumberFormat="1" applyFont="1" applyFill="1" applyBorder="1" applyAlignment="1">
      <alignment horizontal="center"/>
    </xf>
    <xf numFmtId="0" fontId="90" fillId="0" borderId="0" xfId="0" applyFont="1"/>
    <xf numFmtId="0" fontId="105" fillId="0" borderId="0" xfId="0" applyFont="1"/>
    <xf numFmtId="0" fontId="72" fillId="0" borderId="0" xfId="0" applyFont="1" applyAlignment="1">
      <alignment horizontal="center"/>
    </xf>
    <xf numFmtId="10" fontId="3" fillId="0" borderId="1" xfId="2" applyNumberFormat="1" applyFont="1" applyBorder="1"/>
    <xf numFmtId="40" fontId="18" fillId="0" borderId="0" xfId="1" applyNumberFormat="1" applyFont="1" applyFill="1" applyAlignment="1">
      <alignment vertical="top"/>
    </xf>
    <xf numFmtId="40" fontId="18" fillId="0" borderId="0" xfId="1" applyNumberFormat="1" applyFont="1" applyAlignment="1">
      <alignment vertical="top"/>
    </xf>
    <xf numFmtId="40" fontId="20" fillId="0" borderId="0" xfId="1" applyNumberFormat="1" applyFont="1" applyAlignment="1">
      <alignment vertical="top"/>
    </xf>
    <xf numFmtId="40" fontId="19" fillId="0" borderId="0" xfId="1" applyNumberFormat="1" applyFont="1" applyAlignment="1">
      <alignment vertical="top"/>
    </xf>
    <xf numFmtId="41" fontId="19" fillId="0" borderId="0" xfId="14" applyFont="1" applyAlignment="1">
      <alignment vertical="top"/>
    </xf>
    <xf numFmtId="0" fontId="21" fillId="26" borderId="5" xfId="0" quotePrefix="1" applyFont="1" applyFill="1" applyBorder="1" applyAlignment="1">
      <alignment horizontal="center"/>
    </xf>
    <xf numFmtId="0" fontId="0" fillId="0" borderId="13" xfId="0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9" borderId="1" xfId="0" applyFill="1" applyBorder="1" applyAlignment="1">
      <alignment vertical="top"/>
    </xf>
    <xf numFmtId="0" fontId="0" fillId="0" borderId="3" xfId="0" applyBorder="1" applyAlignment="1">
      <alignment vertical="center"/>
    </xf>
    <xf numFmtId="0" fontId="77" fillId="0" borderId="3" xfId="0" applyFont="1" applyBorder="1" applyAlignment="1">
      <alignment vertical="center"/>
    </xf>
    <xf numFmtId="165" fontId="0" fillId="0" borderId="3" xfId="1" applyNumberFormat="1" applyFont="1" applyBorder="1" applyAlignment="1">
      <alignment vertical="center"/>
    </xf>
    <xf numFmtId="3" fontId="0" fillId="0" borderId="3" xfId="1" applyNumberFormat="1" applyFont="1" applyBorder="1" applyAlignment="1">
      <alignment vertical="center"/>
    </xf>
    <xf numFmtId="167" fontId="72" fillId="0" borderId="3" xfId="1" applyNumberFormat="1" applyFont="1" applyBorder="1" applyAlignment="1">
      <alignment vertical="center"/>
    </xf>
    <xf numFmtId="9" fontId="72" fillId="0" borderId="3" xfId="2" applyFont="1" applyBorder="1" applyAlignment="1">
      <alignment vertical="center"/>
    </xf>
    <xf numFmtId="0" fontId="0" fillId="2" borderId="16" xfId="0" applyFill="1" applyBorder="1" applyAlignment="1">
      <alignment horizontal="center" vertical="center"/>
    </xf>
    <xf numFmtId="0" fontId="0" fillId="2" borderId="16" xfId="0" applyFill="1" applyBorder="1" applyAlignment="1">
      <alignment horizontal="left"/>
    </xf>
    <xf numFmtId="0" fontId="77" fillId="2" borderId="16" xfId="0" applyFont="1" applyFill="1" applyBorder="1" applyAlignment="1">
      <alignment vertical="top"/>
    </xf>
    <xf numFmtId="167" fontId="0" fillId="2" borderId="16" xfId="1" applyNumberFormat="1" applyFont="1" applyFill="1" applyBorder="1"/>
    <xf numFmtId="167" fontId="72" fillId="2" borderId="16" xfId="1" applyNumberFormat="1" applyFont="1" applyFill="1" applyBorder="1" applyAlignment="1">
      <alignment vertical="center"/>
    </xf>
    <xf numFmtId="9" fontId="72" fillId="0" borderId="16" xfId="2" applyFont="1" applyBorder="1" applyAlignment="1">
      <alignment vertical="center"/>
    </xf>
    <xf numFmtId="169" fontId="0" fillId="8" borderId="33" xfId="2" applyNumberFormat="1" applyFont="1" applyFill="1" applyBorder="1"/>
    <xf numFmtId="0" fontId="21" fillId="3" borderId="40" xfId="0" applyFont="1" applyFill="1" applyBorder="1" applyAlignment="1">
      <alignment horizontal="center" vertical="top" wrapText="1"/>
    </xf>
    <xf numFmtId="0" fontId="21" fillId="3" borderId="41" xfId="0" applyFont="1" applyFill="1" applyBorder="1" applyAlignment="1">
      <alignment horizontal="center" vertical="top" wrapText="1"/>
    </xf>
    <xf numFmtId="0" fontId="21" fillId="3" borderId="42" xfId="0" applyFont="1" applyFill="1" applyBorder="1" applyAlignment="1">
      <alignment horizontal="center" vertical="top" wrapText="1"/>
    </xf>
    <xf numFmtId="165" fontId="0" fillId="8" borderId="33" xfId="1" applyNumberFormat="1" applyFont="1" applyFill="1" applyBorder="1"/>
    <xf numFmtId="0" fontId="0" fillId="18" borderId="0" xfId="0" applyFill="1" applyAlignment="1">
      <alignment horizontal="right"/>
    </xf>
    <xf numFmtId="49" fontId="0" fillId="18" borderId="0" xfId="0" applyNumberFormat="1" applyFill="1"/>
    <xf numFmtId="0" fontId="54" fillId="18" borderId="19" xfId="0" applyFont="1" applyFill="1" applyBorder="1" applyAlignment="1">
      <alignment horizontal="center" vertical="top" wrapText="1"/>
    </xf>
    <xf numFmtId="0" fontId="54" fillId="18" borderId="0" xfId="0" applyFont="1" applyFill="1" applyAlignment="1">
      <alignment horizontal="center" vertical="top" wrapText="1"/>
    </xf>
    <xf numFmtId="0" fontId="21" fillId="26" borderId="5" xfId="0" applyFont="1" applyFill="1" applyBorder="1"/>
    <xf numFmtId="49" fontId="3" fillId="0" borderId="3" xfId="0" applyNumberFormat="1" applyFont="1" applyBorder="1" applyAlignment="1">
      <alignment vertical="top"/>
    </xf>
    <xf numFmtId="0" fontId="114" fillId="0" borderId="3" xfId="0" applyFont="1" applyBorder="1"/>
    <xf numFmtId="166" fontId="0" fillId="0" borderId="3" xfId="1" applyNumberFormat="1" applyFont="1" applyBorder="1"/>
    <xf numFmtId="49" fontId="3" fillId="0" borderId="1" xfId="0" applyNumberFormat="1" applyFont="1" applyBorder="1"/>
    <xf numFmtId="0" fontId="114" fillId="0" borderId="1" xfId="0" applyFont="1" applyBorder="1"/>
    <xf numFmtId="166" fontId="0" fillId="0" borderId="1" xfId="1" applyNumberFormat="1" applyFont="1" applyBorder="1"/>
    <xf numFmtId="49" fontId="3" fillId="0" borderId="1" xfId="0" applyNumberFormat="1" applyFont="1" applyBorder="1" applyAlignment="1">
      <alignment vertical="top"/>
    </xf>
    <xf numFmtId="49" fontId="115" fillId="0" borderId="1" xfId="0" applyNumberFormat="1" applyFont="1" applyBorder="1"/>
    <xf numFmtId="0" fontId="116" fillId="0" borderId="1" xfId="0" applyFont="1" applyBorder="1"/>
    <xf numFmtId="49" fontId="3" fillId="17" borderId="1" xfId="0" applyNumberFormat="1" applyFont="1" applyFill="1" applyBorder="1"/>
    <xf numFmtId="0" fontId="114" fillId="17" borderId="1" xfId="0" applyFont="1" applyFill="1" applyBorder="1"/>
    <xf numFmtId="166" fontId="0" fillId="17" borderId="1" xfId="1" applyNumberFormat="1" applyFont="1" applyFill="1" applyBorder="1"/>
    <xf numFmtId="41" fontId="18" fillId="0" borderId="0" xfId="14" applyFont="1" applyFill="1" applyAlignment="1">
      <alignment horizontal="right" vertical="top"/>
    </xf>
    <xf numFmtId="41" fontId="19" fillId="0" borderId="0" xfId="14" applyFont="1" applyFill="1" applyAlignment="1">
      <alignment horizontal="right" vertical="top"/>
    </xf>
    <xf numFmtId="41" fontId="20" fillId="0" borderId="0" xfId="14" applyFont="1" applyAlignment="1">
      <alignment vertical="top"/>
    </xf>
    <xf numFmtId="41" fontId="19" fillId="0" borderId="0" xfId="14" applyFont="1" applyFill="1" applyAlignment="1">
      <alignment vertical="top"/>
    </xf>
    <xf numFmtId="41" fontId="20" fillId="0" borderId="0" xfId="14" applyFont="1" applyFill="1" applyAlignment="1">
      <alignment vertical="top"/>
    </xf>
    <xf numFmtId="41" fontId="18" fillId="0" borderId="0" xfId="14" applyFont="1" applyAlignment="1">
      <alignment horizontal="right" vertical="top"/>
    </xf>
    <xf numFmtId="9" fontId="18" fillId="0" borderId="0" xfId="2" applyFont="1" applyFill="1" applyAlignment="1">
      <alignment horizontal="right" vertical="top"/>
    </xf>
    <xf numFmtId="9" fontId="18" fillId="0" borderId="0" xfId="2" applyFont="1" applyAlignment="1">
      <alignment horizontal="right" vertical="top"/>
    </xf>
    <xf numFmtId="41" fontId="19" fillId="9" borderId="0" xfId="14" applyFont="1" applyFill="1" applyAlignment="1">
      <alignment vertical="top"/>
    </xf>
    <xf numFmtId="41" fontId="19" fillId="9" borderId="0" xfId="14" applyFont="1" applyFill="1" applyAlignment="1">
      <alignment horizontal="right" vertical="top"/>
    </xf>
    <xf numFmtId="41" fontId="20" fillId="8" borderId="0" xfId="14" applyFont="1" applyFill="1" applyAlignment="1">
      <alignment vertical="top"/>
    </xf>
    <xf numFmtId="41" fontId="2" fillId="0" borderId="3" xfId="14" applyBorder="1"/>
    <xf numFmtId="41" fontId="2" fillId="0" borderId="1" xfId="14" applyBorder="1"/>
    <xf numFmtId="3" fontId="0" fillId="30" borderId="3" xfId="0" applyNumberFormat="1" applyFill="1" applyBorder="1" applyAlignment="1">
      <alignment horizontal="center"/>
    </xf>
    <xf numFmtId="182" fontId="0" fillId="0" borderId="0" xfId="0" applyNumberFormat="1"/>
    <xf numFmtId="0" fontId="21" fillId="3" borderId="0" xfId="0" applyFont="1" applyFill="1" applyAlignment="1">
      <alignment horizontal="center"/>
    </xf>
    <xf numFmtId="0" fontId="82" fillId="30" borderId="0" xfId="0" applyFont="1" applyFill="1" applyAlignment="1">
      <alignment horizontal="center"/>
    </xf>
    <xf numFmtId="0" fontId="21" fillId="3" borderId="5" xfId="0" applyFont="1" applyFill="1" applyBorder="1" applyAlignment="1">
      <alignment horizontal="centerContinuous"/>
    </xf>
    <xf numFmtId="1" fontId="82" fillId="30" borderId="1" xfId="0" applyNumberFormat="1" applyFont="1" applyFill="1" applyBorder="1" applyAlignment="1">
      <alignment horizontal="center"/>
    </xf>
    <xf numFmtId="0" fontId="82" fillId="30" borderId="13" xfId="0" applyFont="1" applyFill="1" applyBorder="1" applyAlignment="1">
      <alignment horizontal="center"/>
    </xf>
    <xf numFmtId="1" fontId="82" fillId="30" borderId="13" xfId="0" applyNumberFormat="1" applyFont="1" applyFill="1" applyBorder="1" applyAlignment="1">
      <alignment horizontal="center"/>
    </xf>
    <xf numFmtId="0" fontId="21" fillId="3" borderId="4" xfId="0" applyFont="1" applyFill="1" applyBorder="1" applyAlignment="1">
      <alignment horizontal="centerContinuous"/>
    </xf>
    <xf numFmtId="0" fontId="21" fillId="4" borderId="0" xfId="0" applyFont="1" applyFill="1" applyAlignment="1">
      <alignment horizontal="center"/>
    </xf>
    <xf numFmtId="0" fontId="21" fillId="4" borderId="5" xfId="0" applyFont="1" applyFill="1" applyBorder="1" applyAlignment="1">
      <alignment horizontal="centerContinuous"/>
    </xf>
    <xf numFmtId="0" fontId="21" fillId="4" borderId="0" xfId="0" applyFont="1" applyFill="1" applyAlignment="1">
      <alignment horizontal="centerContinuous"/>
    </xf>
    <xf numFmtId="169" fontId="0" fillId="0" borderId="0" xfId="0" applyNumberFormat="1"/>
    <xf numFmtId="0" fontId="0" fillId="8" borderId="3" xfId="0" applyFill="1" applyBorder="1" applyAlignment="1">
      <alignment horizontal="center"/>
    </xf>
    <xf numFmtId="0" fontId="84" fillId="8" borderId="3" xfId="0" applyFont="1" applyFill="1" applyBorder="1" applyAlignment="1">
      <alignment horizontal="left"/>
    </xf>
    <xf numFmtId="0" fontId="7" fillId="8" borderId="1" xfId="0" applyFont="1" applyFill="1" applyBorder="1" applyAlignment="1">
      <alignment horizontal="left" vertical="center"/>
    </xf>
    <xf numFmtId="0" fontId="5" fillId="8" borderId="3" xfId="0" applyFont="1" applyFill="1" applyBorder="1" applyAlignment="1">
      <alignment horizontal="left"/>
    </xf>
    <xf numFmtId="172" fontId="0" fillId="8" borderId="3" xfId="1" applyNumberFormat="1" applyFont="1" applyFill="1" applyBorder="1"/>
    <xf numFmtId="177" fontId="0" fillId="8" borderId="3" xfId="1" applyNumberFormat="1" applyFont="1" applyFill="1" applyBorder="1"/>
    <xf numFmtId="178" fontId="0" fillId="8" borderId="3" xfId="2" applyNumberFormat="1" applyFont="1" applyFill="1" applyBorder="1"/>
    <xf numFmtId="0" fontId="84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left" vertical="center"/>
    </xf>
    <xf numFmtId="0" fontId="0" fillId="11" borderId="1" xfId="0" applyFill="1" applyBorder="1" applyAlignment="1">
      <alignment horizontal="center"/>
    </xf>
    <xf numFmtId="0" fontId="84" fillId="11" borderId="1" xfId="0" applyFont="1" applyFill="1" applyBorder="1" applyAlignment="1">
      <alignment horizontal="left"/>
    </xf>
    <xf numFmtId="0" fontId="7" fillId="11" borderId="1" xfId="0" applyFont="1" applyFill="1" applyBorder="1" applyAlignment="1">
      <alignment horizontal="left" vertical="center"/>
    </xf>
    <xf numFmtId="0" fontId="5" fillId="11" borderId="1" xfId="0" applyFont="1" applyFill="1" applyBorder="1" applyAlignment="1">
      <alignment horizontal="left"/>
    </xf>
    <xf numFmtId="172" fontId="0" fillId="11" borderId="1" xfId="1" applyNumberFormat="1" applyFont="1" applyFill="1" applyBorder="1"/>
    <xf numFmtId="165" fontId="0" fillId="11" borderId="1" xfId="1" applyNumberFormat="1" applyFont="1" applyFill="1" applyBorder="1"/>
    <xf numFmtId="177" fontId="0" fillId="11" borderId="1" xfId="1" applyNumberFormat="1" applyFont="1" applyFill="1" applyBorder="1"/>
    <xf numFmtId="178" fontId="0" fillId="11" borderId="1" xfId="2" applyNumberFormat="1" applyFont="1" applyFill="1" applyBorder="1"/>
    <xf numFmtId="0" fontId="5" fillId="11" borderId="1" xfId="0" applyFont="1" applyFill="1" applyBorder="1" applyAlignment="1">
      <alignment horizontal="left" vertical="center"/>
    </xf>
    <xf numFmtId="0" fontId="82" fillId="9" borderId="13" xfId="0" applyFont="1" applyFill="1" applyBorder="1" applyAlignment="1">
      <alignment horizontal="center"/>
    </xf>
    <xf numFmtId="0" fontId="82" fillId="9" borderId="1" xfId="0" applyFont="1" applyFill="1" applyBorder="1" applyAlignment="1">
      <alignment horizontal="center"/>
    </xf>
    <xf numFmtId="10" fontId="82" fillId="30" borderId="13" xfId="2" applyNumberFormat="1" applyFont="1" applyFill="1" applyBorder="1" applyAlignment="1">
      <alignment horizontal="center"/>
    </xf>
    <xf numFmtId="169" fontId="82" fillId="30" borderId="1" xfId="2" applyNumberFormat="1" applyFont="1" applyFill="1" applyBorder="1" applyAlignment="1">
      <alignment horizontal="center"/>
    </xf>
    <xf numFmtId="0" fontId="21" fillId="3" borderId="0" xfId="0" applyFont="1" applyFill="1" applyAlignment="1">
      <alignment horizontal="center" vertical="top" wrapText="1"/>
    </xf>
    <xf numFmtId="169" fontId="79" fillId="0" borderId="0" xfId="2" applyNumberFormat="1" applyFont="1" applyFill="1" applyBorder="1" applyAlignment="1">
      <alignment horizontal="center"/>
    </xf>
    <xf numFmtId="181" fontId="79" fillId="0" borderId="0" xfId="1" applyNumberFormat="1" applyFont="1" applyFill="1" applyBorder="1" applyAlignment="1">
      <alignment horizontal="center"/>
    </xf>
    <xf numFmtId="183" fontId="0" fillId="0" borderId="3" xfId="2" applyNumberFormat="1" applyFont="1" applyBorder="1"/>
    <xf numFmtId="184" fontId="0" fillId="0" borderId="3" xfId="1" applyNumberFormat="1" applyFont="1" applyBorder="1"/>
    <xf numFmtId="185" fontId="0" fillId="0" borderId="3" xfId="1" applyNumberFormat="1" applyFont="1" applyBorder="1"/>
    <xf numFmtId="186" fontId="0" fillId="0" borderId="3" xfId="1" applyNumberFormat="1" applyFont="1" applyBorder="1"/>
    <xf numFmtId="169" fontId="79" fillId="0" borderId="3" xfId="2" applyNumberFormat="1" applyFont="1" applyFill="1" applyBorder="1" applyAlignment="1">
      <alignment horizontal="center"/>
    </xf>
    <xf numFmtId="0" fontId="5" fillId="8" borderId="1" xfId="0" applyFont="1" applyFill="1" applyBorder="1" applyAlignment="1">
      <alignment horizontal="left"/>
    </xf>
    <xf numFmtId="169" fontId="79" fillId="0" borderId="1" xfId="2" applyNumberFormat="1" applyFont="1" applyFill="1" applyBorder="1" applyAlignment="1">
      <alignment horizontal="center"/>
    </xf>
    <xf numFmtId="169" fontId="79" fillId="0" borderId="16" xfId="2" applyNumberFormat="1" applyFont="1" applyFill="1" applyBorder="1" applyAlignment="1">
      <alignment horizontal="center"/>
    </xf>
    <xf numFmtId="164" fontId="0" fillId="0" borderId="1" xfId="1" applyNumberFormat="1" applyFont="1" applyBorder="1"/>
    <xf numFmtId="0" fontId="86" fillId="0" borderId="0" xfId="9" applyFont="1" applyFill="1"/>
    <xf numFmtId="184" fontId="0" fillId="0" borderId="1" xfId="1" applyNumberFormat="1" applyFont="1" applyBorder="1"/>
    <xf numFmtId="185" fontId="0" fillId="0" borderId="1" xfId="1" applyNumberFormat="1" applyFont="1" applyBorder="1"/>
    <xf numFmtId="183" fontId="0" fillId="0" borderId="1" xfId="2" applyNumberFormat="1" applyFont="1" applyBorder="1"/>
    <xf numFmtId="169" fontId="0" fillId="18" borderId="0" xfId="2" applyNumberFormat="1" applyFont="1" applyFill="1" applyAlignment="1">
      <alignment horizontal="right"/>
    </xf>
    <xf numFmtId="166" fontId="0" fillId="36" borderId="3" xfId="1" applyNumberFormat="1" applyFont="1" applyFill="1" applyBorder="1"/>
    <xf numFmtId="166" fontId="0" fillId="36" borderId="1" xfId="1" applyNumberFormat="1" applyFont="1" applyFill="1" applyBorder="1"/>
    <xf numFmtId="166" fontId="0" fillId="9" borderId="1" xfId="1" applyNumberFormat="1" applyFont="1" applyFill="1" applyBorder="1"/>
    <xf numFmtId="166" fontId="0" fillId="14" borderId="1" xfId="1" applyNumberFormat="1" applyFont="1" applyFill="1" applyBorder="1"/>
    <xf numFmtId="166" fontId="20" fillId="0" borderId="0" xfId="0" applyNumberFormat="1" applyFont="1" applyAlignment="1">
      <alignment vertical="top"/>
    </xf>
    <xf numFmtId="41" fontId="18" fillId="0" borderId="0" xfId="14" applyFont="1" applyFill="1" applyAlignment="1">
      <alignment vertical="top"/>
    </xf>
    <xf numFmtId="41" fontId="18" fillId="0" borderId="0" xfId="14" applyFont="1" applyAlignment="1">
      <alignment vertical="top"/>
    </xf>
    <xf numFmtId="165" fontId="0" fillId="0" borderId="13" xfId="1" applyNumberFormat="1" applyFont="1" applyBorder="1"/>
    <xf numFmtId="165" fontId="0" fillId="0" borderId="43" xfId="1" applyNumberFormat="1" applyFont="1" applyBorder="1"/>
    <xf numFmtId="3" fontId="72" fillId="0" borderId="1" xfId="1" applyNumberFormat="1" applyFont="1" applyBorder="1" applyAlignment="1">
      <alignment vertical="center"/>
    </xf>
    <xf numFmtId="3" fontId="68" fillId="21" borderId="5" xfId="1" applyNumberFormat="1" applyFont="1" applyFill="1" applyBorder="1"/>
    <xf numFmtId="166" fontId="117" fillId="0" borderId="0" xfId="3" applyNumberFormat="1" applyFont="1" applyAlignment="1">
      <alignment vertical="top"/>
    </xf>
    <xf numFmtId="166" fontId="18" fillId="0" borderId="0" xfId="3" applyNumberFormat="1" applyFont="1" applyAlignment="1">
      <alignment vertical="top"/>
    </xf>
    <xf numFmtId="41" fontId="52" fillId="0" borderId="0" xfId="14" applyFont="1" applyAlignment="1">
      <alignment vertical="top"/>
    </xf>
    <xf numFmtId="41" fontId="19" fillId="7" borderId="5" xfId="14" applyFont="1" applyFill="1" applyBorder="1" applyAlignment="1">
      <alignment vertical="top" wrapText="1"/>
    </xf>
    <xf numFmtId="41" fontId="19" fillId="9" borderId="5" xfId="14" applyFont="1" applyFill="1" applyBorder="1" applyAlignment="1">
      <alignment vertical="top" wrapText="1"/>
    </xf>
    <xf numFmtId="41" fontId="52" fillId="9" borderId="0" xfId="14" applyFont="1" applyFill="1" applyAlignment="1">
      <alignment vertical="top"/>
    </xf>
    <xf numFmtId="41" fontId="52" fillId="8" borderId="0" xfId="14" applyFont="1" applyFill="1" applyAlignment="1">
      <alignment vertical="top"/>
    </xf>
    <xf numFmtId="41" fontId="19" fillId="8" borderId="0" xfId="14" applyFont="1" applyFill="1" applyAlignment="1">
      <alignment vertical="top" wrapText="1"/>
    </xf>
    <xf numFmtId="41" fontId="19" fillId="8" borderId="5" xfId="14" applyFont="1" applyFill="1" applyBorder="1" applyAlignment="1">
      <alignment vertical="top" wrapText="1"/>
    </xf>
    <xf numFmtId="41" fontId="18" fillId="8" borderId="0" xfId="14" applyFont="1" applyFill="1" applyAlignment="1">
      <alignment vertical="top"/>
    </xf>
    <xf numFmtId="41" fontId="53" fillId="0" borderId="0" xfId="14" applyFont="1" applyAlignment="1">
      <alignment vertical="top"/>
    </xf>
    <xf numFmtId="187" fontId="20" fillId="0" borderId="0" xfId="14" applyNumberFormat="1" applyFont="1" applyAlignment="1">
      <alignment vertical="top"/>
    </xf>
    <xf numFmtId="10" fontId="0" fillId="2" borderId="1" xfId="2" applyNumberFormat="1" applyFont="1" applyFill="1" applyBorder="1"/>
    <xf numFmtId="49" fontId="3" fillId="37" borderId="1" xfId="0" applyNumberFormat="1" applyFont="1" applyFill="1" applyBorder="1"/>
    <xf numFmtId="0" fontId="114" fillId="37" borderId="1" xfId="0" applyFont="1" applyFill="1" applyBorder="1"/>
    <xf numFmtId="166" fontId="0" fillId="37" borderId="1" xfId="1" applyNumberFormat="1" applyFont="1" applyFill="1" applyBorder="1"/>
    <xf numFmtId="165" fontId="73" fillId="0" borderId="3" xfId="1" applyNumberFormat="1" applyFont="1" applyBorder="1"/>
    <xf numFmtId="9" fontId="73" fillId="0" borderId="3" xfId="2" applyFont="1" applyBorder="1"/>
    <xf numFmtId="165" fontId="73" fillId="0" borderId="1" xfId="1" applyNumberFormat="1" applyFont="1" applyBorder="1"/>
    <xf numFmtId="9" fontId="73" fillId="0" borderId="1" xfId="2" applyFont="1" applyBorder="1"/>
    <xf numFmtId="0" fontId="0" fillId="8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left" vertical="center"/>
    </xf>
    <xf numFmtId="0" fontId="0" fillId="8" borderId="1" xfId="0" applyFill="1" applyBorder="1" applyAlignment="1">
      <alignment vertical="center"/>
    </xf>
    <xf numFmtId="0" fontId="77" fillId="8" borderId="1" xfId="0" applyFont="1" applyFill="1" applyBorder="1" applyAlignment="1">
      <alignment vertical="center"/>
    </xf>
    <xf numFmtId="165" fontId="0" fillId="8" borderId="1" xfId="1" applyNumberFormat="1" applyFont="1" applyFill="1" applyBorder="1" applyAlignment="1">
      <alignment vertical="center"/>
    </xf>
    <xf numFmtId="3" fontId="0" fillId="8" borderId="1" xfId="0" applyNumberFormat="1" applyFill="1" applyBorder="1" applyAlignment="1">
      <alignment vertical="center"/>
    </xf>
    <xf numFmtId="3" fontId="0" fillId="8" borderId="1" xfId="1" applyNumberFormat="1" applyFont="1" applyFill="1" applyBorder="1" applyAlignment="1">
      <alignment vertical="center"/>
    </xf>
    <xf numFmtId="3" fontId="72" fillId="8" borderId="1" xfId="1" applyNumberFormat="1" applyFont="1" applyFill="1" applyBorder="1" applyAlignment="1">
      <alignment vertical="center"/>
    </xf>
    <xf numFmtId="9" fontId="72" fillId="8" borderId="1" xfId="2" applyFont="1" applyFill="1" applyBorder="1" applyAlignment="1">
      <alignment vertical="center"/>
    </xf>
    <xf numFmtId="0" fontId="0" fillId="8" borderId="9" xfId="0" applyFill="1" applyBorder="1" applyAlignment="1">
      <alignment vertical="center" wrapText="1"/>
    </xf>
    <xf numFmtId="0" fontId="0" fillId="8" borderId="19" xfId="0" applyFill="1" applyBorder="1" applyAlignment="1">
      <alignment vertical="center" wrapText="1"/>
    </xf>
    <xf numFmtId="0" fontId="0" fillId="8" borderId="1" xfId="0" applyFill="1" applyBorder="1" applyAlignment="1">
      <alignment vertical="center" wrapText="1"/>
    </xf>
    <xf numFmtId="0" fontId="91" fillId="19" borderId="1" xfId="0" applyFont="1" applyFill="1" applyBorder="1" applyAlignment="1">
      <alignment horizontal="left" vertical="center"/>
    </xf>
    <xf numFmtId="9" fontId="0" fillId="19" borderId="1" xfId="2" applyFont="1" applyFill="1" applyBorder="1"/>
    <xf numFmtId="169" fontId="0" fillId="19" borderId="1" xfId="2" applyNumberFormat="1" applyFont="1" applyFill="1" applyBorder="1"/>
    <xf numFmtId="168" fontId="0" fillId="19" borderId="1" xfId="2" applyNumberFormat="1" applyFont="1" applyFill="1" applyBorder="1"/>
    <xf numFmtId="0" fontId="91" fillId="19" borderId="3" xfId="0" applyFont="1" applyFill="1" applyBorder="1" applyAlignment="1">
      <alignment horizontal="left" vertical="center"/>
    </xf>
    <xf numFmtId="169" fontId="0" fillId="19" borderId="3" xfId="2" applyNumberFormat="1" applyFont="1" applyFill="1" applyBorder="1"/>
    <xf numFmtId="168" fontId="0" fillId="0" borderId="1" xfId="2" applyNumberFormat="1" applyFont="1" applyFill="1" applyBorder="1"/>
    <xf numFmtId="0" fontId="54" fillId="0" borderId="0" xfId="0" applyFont="1" applyAlignment="1">
      <alignment vertical="center"/>
    </xf>
    <xf numFmtId="0" fontId="21" fillId="26" borderId="5" xfId="0" applyFont="1" applyFill="1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118" fillId="0" borderId="0" xfId="0" applyFont="1"/>
    <xf numFmtId="49" fontId="5" fillId="9" borderId="1" xfId="0" applyNumberFormat="1" applyFont="1" applyFill="1" applyBorder="1" applyAlignment="1">
      <alignment horizontal="left" vertical="center"/>
    </xf>
    <xf numFmtId="0" fontId="5" fillId="9" borderId="1" xfId="0" applyFont="1" applyFill="1" applyBorder="1" applyAlignment="1">
      <alignment horizontal="left" vertical="center"/>
    </xf>
    <xf numFmtId="0" fontId="54" fillId="20" borderId="11" xfId="11" applyFont="1" applyFill="1" applyBorder="1"/>
    <xf numFmtId="166" fontId="54" fillId="20" borderId="8" xfId="12" applyNumberFormat="1" applyFont="1" applyFill="1" applyBorder="1"/>
    <xf numFmtId="1" fontId="54" fillId="20" borderId="12" xfId="11" applyNumberFormat="1" applyFont="1" applyFill="1" applyBorder="1"/>
    <xf numFmtId="169" fontId="54" fillId="0" borderId="1" xfId="2" applyNumberFormat="1" applyFont="1" applyFill="1" applyBorder="1"/>
    <xf numFmtId="165" fontId="0" fillId="0" borderId="35" xfId="1" applyNumberFormat="1" applyFont="1" applyFill="1" applyBorder="1"/>
    <xf numFmtId="169" fontId="72" fillId="0" borderId="1" xfId="2" applyNumberFormat="1" applyFont="1" applyFill="1" applyBorder="1"/>
    <xf numFmtId="0" fontId="0" fillId="0" borderId="44" xfId="0" applyBorder="1" applyAlignment="1">
      <alignment horizontal="center"/>
    </xf>
    <xf numFmtId="0" fontId="0" fillId="0" borderId="45" xfId="0" applyBorder="1"/>
    <xf numFmtId="169" fontId="72" fillId="0" borderId="45" xfId="2" applyNumberFormat="1" applyFont="1" applyFill="1" applyBorder="1"/>
    <xf numFmtId="169" fontId="0" fillId="0" borderId="45" xfId="2" applyNumberFormat="1" applyFont="1" applyFill="1" applyBorder="1"/>
    <xf numFmtId="165" fontId="0" fillId="0" borderId="45" xfId="1" applyNumberFormat="1" applyFont="1" applyFill="1" applyBorder="1"/>
    <xf numFmtId="165" fontId="0" fillId="0" borderId="46" xfId="1" applyNumberFormat="1" applyFont="1" applyFill="1" applyBorder="1"/>
    <xf numFmtId="0" fontId="0" fillId="0" borderId="47" xfId="0" applyBorder="1" applyAlignment="1">
      <alignment horizontal="center"/>
    </xf>
    <xf numFmtId="169" fontId="0" fillId="0" borderId="13" xfId="2" applyNumberFormat="1" applyFont="1" applyFill="1" applyBorder="1"/>
    <xf numFmtId="165" fontId="0" fillId="0" borderId="13" xfId="1" applyNumberFormat="1" applyFont="1" applyFill="1" applyBorder="1"/>
    <xf numFmtId="165" fontId="0" fillId="0" borderId="43" xfId="1" applyNumberFormat="1" applyFont="1" applyFill="1" applyBorder="1"/>
    <xf numFmtId="9" fontId="54" fillId="0" borderId="5" xfId="2" applyFont="1" applyBorder="1"/>
    <xf numFmtId="0" fontId="0" fillId="0" borderId="9" xfId="0" applyBorder="1" applyAlignment="1">
      <alignment vertical="center" wrapText="1"/>
    </xf>
    <xf numFmtId="165" fontId="0" fillId="0" borderId="1" xfId="1" applyNumberFormat="1" applyFont="1" applyFill="1" applyBorder="1" applyAlignment="1">
      <alignment vertical="center"/>
    </xf>
    <xf numFmtId="3" fontId="72" fillId="0" borderId="1" xfId="1" applyNumberFormat="1" applyFont="1" applyFill="1" applyBorder="1" applyAlignment="1">
      <alignment vertical="center"/>
    </xf>
    <xf numFmtId="9" fontId="72" fillId="0" borderId="1" xfId="2" applyFont="1" applyFill="1" applyBorder="1" applyAlignment="1">
      <alignment vertical="center"/>
    </xf>
    <xf numFmtId="9" fontId="3" fillId="0" borderId="0" xfId="2" applyFont="1"/>
    <xf numFmtId="3" fontId="0" fillId="2" borderId="1" xfId="1" applyNumberFormat="1" applyFont="1" applyFill="1" applyBorder="1" applyAlignment="1">
      <alignment vertical="center"/>
    </xf>
    <xf numFmtId="3" fontId="72" fillId="2" borderId="1" xfId="1" applyNumberFormat="1" applyFont="1" applyFill="1" applyBorder="1" applyAlignment="1">
      <alignment vertical="center"/>
    </xf>
    <xf numFmtId="179" fontId="72" fillId="2" borderId="1" xfId="1" applyNumberFormat="1" applyFont="1" applyFill="1" applyBorder="1" applyAlignment="1">
      <alignment vertical="center"/>
    </xf>
    <xf numFmtId="0" fontId="0" fillId="0" borderId="48" xfId="0" applyBorder="1" applyAlignment="1">
      <alignment horizontal="center"/>
    </xf>
    <xf numFmtId="165" fontId="0" fillId="0" borderId="49" xfId="1" applyNumberFormat="1" applyFont="1" applyBorder="1"/>
    <xf numFmtId="184" fontId="0" fillId="9" borderId="3" xfId="1" applyNumberFormat="1" applyFont="1" applyFill="1" applyBorder="1"/>
    <xf numFmtId="169" fontId="0" fillId="0" borderId="3" xfId="2" applyNumberFormat="1" applyFont="1" applyBorder="1" applyAlignment="1">
      <alignment vertical="center"/>
    </xf>
    <xf numFmtId="169" fontId="0" fillId="0" borderId="1" xfId="2" applyNumberFormat="1" applyFont="1" applyBorder="1" applyAlignment="1">
      <alignment vertical="center"/>
    </xf>
    <xf numFmtId="169" fontId="0" fillId="0" borderId="16" xfId="2" applyNumberFormat="1" applyFont="1" applyBorder="1" applyAlignment="1">
      <alignment vertical="center"/>
    </xf>
    <xf numFmtId="169" fontId="0" fillId="23" borderId="1" xfId="2" applyNumberFormat="1" applyFont="1" applyFill="1" applyBorder="1"/>
    <xf numFmtId="0" fontId="89" fillId="0" borderId="1" xfId="0" applyFont="1" applyBorder="1" applyAlignment="1">
      <alignment horizontal="left" vertical="center"/>
    </xf>
    <xf numFmtId="169" fontId="44" fillId="0" borderId="3" xfId="2" applyNumberFormat="1" applyFont="1" applyBorder="1" applyAlignment="1">
      <alignment vertical="center"/>
    </xf>
    <xf numFmtId="169" fontId="44" fillId="0" borderId="1" xfId="2" applyNumberFormat="1" applyFont="1" applyBorder="1" applyAlignment="1">
      <alignment vertical="center"/>
    </xf>
    <xf numFmtId="169" fontId="44" fillId="0" borderId="16" xfId="2" applyNumberFormat="1" applyFont="1" applyBorder="1" applyAlignment="1">
      <alignment vertical="center"/>
    </xf>
    <xf numFmtId="0" fontId="119" fillId="0" borderId="0" xfId="0" applyFont="1"/>
    <xf numFmtId="166" fontId="0" fillId="0" borderId="0" xfId="1" applyNumberFormat="1" applyFont="1" applyBorder="1"/>
    <xf numFmtId="166" fontId="0" fillId="0" borderId="16" xfId="1" applyNumberFormat="1" applyFont="1" applyBorder="1"/>
    <xf numFmtId="166" fontId="0" fillId="14" borderId="9" xfId="1" applyNumberFormat="1" applyFont="1" applyFill="1" applyBorder="1"/>
    <xf numFmtId="0" fontId="21" fillId="26" borderId="15" xfId="0" applyFont="1" applyFill="1" applyBorder="1" applyAlignment="1">
      <alignment horizontal="center"/>
    </xf>
    <xf numFmtId="49" fontId="3" fillId="37" borderId="16" xfId="0" applyNumberFormat="1" applyFont="1" applyFill="1" applyBorder="1"/>
    <xf numFmtId="0" fontId="114" fillId="37" borderId="16" xfId="0" applyFont="1" applyFill="1" applyBorder="1"/>
    <xf numFmtId="166" fontId="0" fillId="37" borderId="16" xfId="1" applyNumberFormat="1" applyFont="1" applyFill="1" applyBorder="1"/>
    <xf numFmtId="0" fontId="5" fillId="2" borderId="9" xfId="0" applyFont="1" applyFill="1" applyBorder="1"/>
    <xf numFmtId="166" fontId="0" fillId="2" borderId="1" xfId="1" applyNumberFormat="1" applyFont="1" applyFill="1" applyBorder="1"/>
    <xf numFmtId="169" fontId="73" fillId="0" borderId="3" xfId="2" applyNumberFormat="1" applyFont="1" applyBorder="1"/>
    <xf numFmtId="169" fontId="73" fillId="0" borderId="1" xfId="2" applyNumberFormat="1" applyFont="1" applyBorder="1"/>
    <xf numFmtId="43" fontId="0" fillId="0" borderId="1" xfId="1" applyFont="1" applyBorder="1"/>
    <xf numFmtId="43" fontId="0" fillId="17" borderId="1" xfId="1" applyFont="1" applyFill="1" applyBorder="1"/>
    <xf numFmtId="43" fontId="0" fillId="37" borderId="1" xfId="1" applyFont="1" applyFill="1" applyBorder="1"/>
    <xf numFmtId="43" fontId="0" fillId="2" borderId="1" xfId="1" applyFont="1" applyFill="1" applyBorder="1"/>
    <xf numFmtId="43" fontId="0" fillId="0" borderId="16" xfId="1" applyFont="1" applyBorder="1"/>
    <xf numFmtId="0" fontId="0" fillId="0" borderId="25" xfId="0" applyBorder="1"/>
    <xf numFmtId="0" fontId="0" fillId="0" borderId="24" xfId="0" applyBorder="1"/>
    <xf numFmtId="0" fontId="0" fillId="0" borderId="21" xfId="0" applyBorder="1"/>
    <xf numFmtId="0" fontId="0" fillId="0" borderId="18" xfId="0" applyBorder="1"/>
    <xf numFmtId="0" fontId="0" fillId="0" borderId="20" xfId="0" applyBorder="1"/>
    <xf numFmtId="0" fontId="0" fillId="0" borderId="22" xfId="0" applyBorder="1"/>
    <xf numFmtId="0" fontId="0" fillId="0" borderId="4" xfId="0" applyBorder="1"/>
    <xf numFmtId="0" fontId="0" fillId="0" borderId="23" xfId="0" applyBorder="1"/>
    <xf numFmtId="0" fontId="82" fillId="18" borderId="0" xfId="0" applyFont="1" applyFill="1" applyAlignment="1">
      <alignment horizontal="left"/>
    </xf>
    <xf numFmtId="0" fontId="82" fillId="18" borderId="0" xfId="0" applyFont="1" applyFill="1" applyAlignment="1">
      <alignment horizontal="center"/>
    </xf>
    <xf numFmtId="0" fontId="0" fillId="18" borderId="0" xfId="0" quotePrefix="1" applyFill="1"/>
    <xf numFmtId="0" fontId="46" fillId="18" borderId="0" xfId="0" applyFont="1" applyFill="1"/>
    <xf numFmtId="1" fontId="0" fillId="18" borderId="0" xfId="0" applyNumberFormat="1" applyFill="1"/>
    <xf numFmtId="0" fontId="0" fillId="18" borderId="0" xfId="0" applyFill="1" applyAlignment="1">
      <alignment horizontal="center"/>
    </xf>
    <xf numFmtId="169" fontId="0" fillId="18" borderId="0" xfId="2" applyNumberFormat="1" applyFont="1" applyFill="1"/>
    <xf numFmtId="43" fontId="0" fillId="18" borderId="0" xfId="1" applyFont="1" applyFill="1"/>
    <xf numFmtId="0" fontId="119" fillId="18" borderId="0" xfId="0" applyFont="1" applyFill="1"/>
    <xf numFmtId="0" fontId="82" fillId="18" borderId="0" xfId="0" applyFont="1" applyFill="1"/>
    <xf numFmtId="0" fontId="20" fillId="0" borderId="0" xfId="0" applyFont="1" applyAlignment="1">
      <alignment horizontal="right" vertical="top"/>
    </xf>
    <xf numFmtId="3" fontId="3" fillId="0" borderId="0" xfId="0" applyNumberFormat="1" applyFont="1"/>
    <xf numFmtId="0" fontId="0" fillId="0" borderId="19" xfId="0" applyBorder="1" applyAlignment="1">
      <alignment vertical="center" wrapText="1"/>
    </xf>
    <xf numFmtId="179" fontId="72" fillId="0" borderId="1" xfId="1" applyNumberFormat="1" applyFont="1" applyFill="1" applyBorder="1" applyAlignment="1">
      <alignment vertical="center"/>
    </xf>
    <xf numFmtId="0" fontId="45" fillId="0" borderId="7" xfId="0" applyFont="1" applyBorder="1" applyAlignment="1">
      <alignment horizontal="center"/>
    </xf>
    <xf numFmtId="0" fontId="45" fillId="0" borderId="19" xfId="0" applyFont="1" applyBorder="1" applyAlignment="1">
      <alignment horizontal="center"/>
    </xf>
    <xf numFmtId="0" fontId="45" fillId="0" borderId="15" xfId="0" applyFont="1" applyBorder="1" applyAlignment="1">
      <alignment horizontal="center"/>
    </xf>
    <xf numFmtId="0" fontId="21" fillId="15" borderId="5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21" fillId="10" borderId="5" xfId="0" applyFont="1" applyFill="1" applyBorder="1" applyAlignment="1">
      <alignment horizontal="center"/>
    </xf>
    <xf numFmtId="0" fontId="21" fillId="6" borderId="5" xfId="0" applyFont="1" applyFill="1" applyBorder="1" applyAlignment="1">
      <alignment horizontal="center"/>
    </xf>
    <xf numFmtId="0" fontId="21" fillId="3" borderId="5" xfId="0" applyFont="1" applyFill="1" applyBorder="1" applyAlignment="1">
      <alignment horizontal="center"/>
    </xf>
    <xf numFmtId="0" fontId="0" fillId="0" borderId="9" xfId="0" applyBorder="1" applyAlignment="1">
      <alignment horizontal="left" vertical="center" wrapText="1"/>
    </xf>
    <xf numFmtId="0" fontId="0" fillId="0" borderId="19" xfId="0" applyBorder="1" applyAlignment="1">
      <alignment horizontal="left" vertical="center" wrapText="1"/>
    </xf>
    <xf numFmtId="0" fontId="0" fillId="0" borderId="50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169" fontId="0" fillId="0" borderId="7" xfId="2" applyNumberFormat="1" applyFont="1" applyBorder="1" applyAlignment="1">
      <alignment horizontal="left" vertical="center"/>
    </xf>
    <xf numFmtId="169" fontId="0" fillId="0" borderId="19" xfId="2" applyNumberFormat="1" applyFont="1" applyBorder="1" applyAlignment="1">
      <alignment horizontal="left" vertical="center"/>
    </xf>
    <xf numFmtId="169" fontId="0" fillId="0" borderId="13" xfId="2" applyNumberFormat="1" applyFont="1" applyBorder="1" applyAlignment="1">
      <alignment horizontal="left" vertical="center"/>
    </xf>
    <xf numFmtId="169" fontId="0" fillId="0" borderId="1" xfId="2" applyNumberFormat="1" applyFont="1" applyBorder="1" applyAlignment="1">
      <alignment horizontal="left" vertical="center"/>
    </xf>
  </cellXfs>
  <cellStyles count="15">
    <cellStyle name="Comma" xfId="1" builtinId="3"/>
    <cellStyle name="Comma [0]" xfId="14" builtinId="6"/>
    <cellStyle name="Comma 2" xfId="3" xr:uid="{7765B22E-FB96-4A78-892D-18CCC132B980}"/>
    <cellStyle name="Comma 2 2" xfId="4" xr:uid="{A419605F-9043-4065-BE79-6D369BEA46CE}"/>
    <cellStyle name="Comma 3" xfId="12" xr:uid="{BA6F1DEE-DAA9-4C19-9936-FD6BEDD628D1}"/>
    <cellStyle name="Comma 5" xfId="6" xr:uid="{3C9A671A-3193-456A-B428-DD87707BDAA6}"/>
    <cellStyle name="Hyperlink" xfId="9" builtinId="8"/>
    <cellStyle name="Hyperlink 2" xfId="10" xr:uid="{EA793774-5B96-40ED-A2ED-BDF703056D8E}"/>
    <cellStyle name="Normal" xfId="0" builtinId="0"/>
    <cellStyle name="Normal 2" xfId="5" xr:uid="{8BAC0D7B-861D-4D47-B943-0F46D1BA54C7}"/>
    <cellStyle name="Normal 2 2" xfId="11" xr:uid="{C1ED7BE2-7585-42A8-8703-CC728FCB7297}"/>
    <cellStyle name="Normal 3" xfId="7" xr:uid="{6B656707-A284-4FFD-AFC4-4E94646D2318}"/>
    <cellStyle name="Percent" xfId="2" builtinId="5"/>
    <cellStyle name="Percent 2" xfId="8" xr:uid="{55523DF5-8890-4387-88EC-3EA21B4ACAC2}"/>
    <cellStyle name="Percent 3" xfId="13" xr:uid="{F17C359C-277E-4CE9-A9C3-7C7E1C46A232}"/>
  </cellStyles>
  <dxfs count="7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EE0000"/>
      </font>
    </dxf>
    <dxf>
      <font>
        <color rgb="FFEE0000"/>
      </font>
    </dxf>
    <dxf>
      <font>
        <color rgb="FFFF0000"/>
      </font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mruColors>
      <color rgb="FFFF00FF"/>
      <color rgb="FF0000FF"/>
      <color rgb="FFFF99FF"/>
      <color rgb="FF15FF15"/>
      <color rgb="FFFF6699"/>
      <color rgb="FF30C230"/>
      <color rgb="FFFF9966"/>
      <color rgb="FF6FDB6F"/>
      <color rgb="FFD46112"/>
      <color rgb="FFD9382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 i="0" u="none" strike="noStrike" kern="1200" spc="0" baseline="0">
                <a:solidFill>
                  <a:srgbClr val="00B05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SẢN LƯỢNG BÁN 2025 XUẤT KHẨU - B2B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364733169723204E-2"/>
          <c:y val="0.19777462506589599"/>
          <c:w val="0.96464982793478327"/>
          <c:h val="0.656634865459481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'03.2. data chart 01'!$B$7</c:f>
              <c:strCache>
                <c:ptCount val="1"/>
                <c:pt idx="0">
                  <c:v>XK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37D4-45AD-A25F-B29515E8C97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7D4-45AD-A25F-B29515E8C973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7D4-45AD-A25F-B29515E8C973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4E6C-4F98-8DCE-68E56A2C5072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37D4-45AD-A25F-B29515E8C973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7B85F129-37A2-44C5-B5B0-2A5123F0B636}" type="CELLRANGE">
                      <a:rPr lang="en-US" baseline="0">
                        <a:solidFill>
                          <a:sysClr val="windowText" lastClr="000000"/>
                        </a:solidFill>
                      </a:rPr>
                      <a:pPr>
                        <a:defRPr sz="1000" b="1">
                          <a:solidFill>
                            <a:sysClr val="windowText" lastClr="000000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  <a:p>
                    <a:pPr>
                      <a:defRPr sz="1000" b="1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4F636D88-B1D3-43C2-BA55-1747A768B949}" type="VALUE">
                      <a:rPr lang="en-US" baseline="0">
                        <a:solidFill>
                          <a:sysClr val="windowText" lastClr="000000"/>
                        </a:solidFill>
                      </a:rPr>
                      <a:pPr>
                        <a:defRPr sz="1000" b="1">
                          <a:solidFill>
                            <a:sysClr val="windowText" lastClr="000000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6.4116234828240623E-2"/>
                      <c:h val="0.1215638951087440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7D4-45AD-A25F-B29515E8C973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bg1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643B18A9-E3B8-447F-888F-C3A61178821B}" type="CELLRANG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chemeClr val="bg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D1EAD565-7A1D-4A88-A602-EE4FF6F092D4}" type="VALU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6.4273566443605393E-2"/>
                      <c:h val="0.1325219864578225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7D4-45AD-A25F-B29515E8C973}"/>
                </c:ext>
              </c:extLst>
            </c:dLbl>
            <c:dLbl>
              <c:idx val="2"/>
              <c:layout>
                <c:manualLayout>
                  <c:x val="-4.0122721187400316E-3"/>
                  <c:y val="-2.384512757349115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0953608B-5B55-43E6-A0EF-7E75E6D58FAE}" type="CELLRANGE">
                      <a:rPr lang="en-US" baseline="0">
                        <a:solidFill>
                          <a:sysClr val="windowText" lastClr="000000"/>
                        </a:solidFill>
                      </a:rPr>
                      <a:pPr>
                        <a:defRPr sz="1000" b="1">
                          <a:solidFill>
                            <a:sysClr val="windowText" lastClr="000000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  <a:p>
                    <a:pPr>
                      <a:defRPr sz="1000" b="1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17AC8757-18CF-481A-AB76-B8FC4E2854BE}" type="VALUE">
                      <a:rPr lang="en-US" baseline="0">
                        <a:solidFill>
                          <a:sysClr val="windowText" lastClr="000000"/>
                        </a:solidFill>
                      </a:rPr>
                      <a:pPr>
                        <a:defRPr sz="1000" b="1">
                          <a:solidFill>
                            <a:sysClr val="windowText" lastClr="000000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7.562987617433202E-2"/>
                      <c:h val="0.1402825596453412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7D4-45AD-A25F-B29515E8C973}"/>
                </c:ext>
              </c:extLst>
            </c:dLbl>
            <c:dLbl>
              <c:idx val="3"/>
              <c:layout>
                <c:manualLayout>
                  <c:x val="-4.6353432268170921E-3"/>
                  <c:y val="-6.725651278739039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bg1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AEAC0AAA-2DD8-4019-8486-0B6355E17DA5}" type="CELLRANG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chemeClr val="bg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42DF09F8-544A-498F-9AE6-A0E71071CCA8}" type="VALU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5.8717043449558214E-2"/>
                      <c:h val="0.1520775150716001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7D4-45AD-A25F-B29515E8C973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C9A4EEBA-84DB-43D7-A646-B079419E8BD8}" type="CELLRANGE">
                      <a:rPr lang="en-US" baseline="0">
                        <a:solidFill>
                          <a:sysClr val="windowText" lastClr="000000"/>
                        </a:solidFill>
                      </a:rPr>
                      <a:pPr>
                        <a:defRPr sz="1000" b="1">
                          <a:solidFill>
                            <a:sysClr val="windowText" lastClr="000000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  <a:p>
                    <a:pPr>
                      <a:defRPr sz="1000" b="1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126B2CFD-30C0-41A3-A959-E2F426A6CCB3}" type="VALUE">
                      <a:rPr lang="en-US" baseline="0">
                        <a:solidFill>
                          <a:sysClr val="windowText" lastClr="000000"/>
                        </a:solidFill>
                      </a:rPr>
                      <a:pPr>
                        <a:defRPr sz="1000" b="1">
                          <a:solidFill>
                            <a:sysClr val="windowText" lastClr="000000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5.7139936172648759E-2"/>
                      <c:h val="0.1065480858880039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7D4-45AD-A25F-B29515E8C973}"/>
                </c:ext>
              </c:extLst>
            </c:dLbl>
            <c:dLbl>
              <c:idx val="5"/>
              <c:layout>
                <c:manualLayout>
                  <c:x val="1.6049088474960011E-3"/>
                  <c:y val="-8.5161514766895804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bg1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2F65DE63-F92B-4359-921D-480DF79BE44E}" type="CELLRANG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chemeClr val="bg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C7680FE4-CE54-4B64-9C16-460A59F0685F}" type="VALU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5.2983727740735696E-2"/>
                      <c:h val="0.1328961612615618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37D4-45AD-A25F-B29515E8C973}"/>
                </c:ext>
              </c:extLst>
            </c:dLbl>
            <c:dLbl>
              <c:idx val="6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C61E734D-B83E-4E7C-BFFB-F6BAB22FE40C}" type="CELLRANGE">
                      <a:rPr lang="en-US" baseline="0">
                        <a:solidFill>
                          <a:sysClr val="windowText" lastClr="000000"/>
                        </a:solidFill>
                      </a:rPr>
                      <a:pPr>
                        <a:defRPr sz="1000" b="1">
                          <a:solidFill>
                            <a:sysClr val="windowText" lastClr="000000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  <a:p>
                    <a:pPr>
                      <a:defRPr sz="1000" b="1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842154F5-978C-423A-BDB9-F88E332B965D}" type="VALUE">
                      <a:rPr lang="en-US" baseline="0">
                        <a:solidFill>
                          <a:sysClr val="windowText" lastClr="000000"/>
                        </a:solidFill>
                      </a:rPr>
                      <a:pPr>
                        <a:defRPr sz="1000" b="1">
                          <a:solidFill>
                            <a:sysClr val="windowText" lastClr="000000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1666691519585826E-2"/>
                      <c:h val="0.1510579893160352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6C-4F98-8DCE-68E56A2C5072}"/>
                </c:ext>
              </c:extLst>
            </c:dLbl>
            <c:dLbl>
              <c:idx val="7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bg1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86056640-5C46-4469-8A93-CC4A28B9648B}" type="CELLRANG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chemeClr val="bg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F5403EEE-66BF-4C21-991A-3FDCB3E6C1F9}" type="VALU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6.3121064972017721E-2"/>
                      <c:h val="0.148181269050727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4E6C-4F98-8DCE-68E56A2C5072}"/>
                </c:ext>
              </c:extLst>
            </c:dLbl>
            <c:dLbl>
              <c:idx val="8"/>
              <c:layout>
                <c:manualLayout>
                  <c:x val="2.4014238448005123E-3"/>
                  <c:y val="-4.473628588993520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EDBBFE61-3BB5-498B-A5E9-757350661B6E}" type="CELLRANGE">
                      <a:rPr lang="en-US" baseline="0">
                        <a:solidFill>
                          <a:sysClr val="windowText" lastClr="000000"/>
                        </a:solidFill>
                      </a:rPr>
                      <a:pPr>
                        <a:defRPr sz="1000" b="1">
                          <a:solidFill>
                            <a:sysClr val="windowText" lastClr="000000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  <a:p>
                    <a:pPr>
                      <a:defRPr sz="1000" b="1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A1FCBD9D-2AC4-4BBF-B849-56D00C27AF94}" type="VALUE">
                      <a:rPr lang="en-US" baseline="0">
                        <a:solidFill>
                          <a:sysClr val="windowText" lastClr="000000"/>
                        </a:solidFill>
                      </a:rPr>
                      <a:pPr>
                        <a:defRPr sz="1000" b="1">
                          <a:solidFill>
                            <a:sysClr val="windowText" lastClr="000000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6.6840030521069668E-2"/>
                      <c:h val="0.1701827475105975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37D4-45AD-A25F-B29515E8C973}"/>
                </c:ext>
              </c:extLst>
            </c:dLbl>
            <c:dLbl>
              <c:idx val="9"/>
              <c:layout>
                <c:manualLayout>
                  <c:x val="-3.2097545096043054E-3"/>
                  <c:y val="-5.508738255739224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bg1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4A4CA62D-0362-48CF-BBD0-F7AF1C7DF39F}" type="CELLRANG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chemeClr val="bg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26E0D100-2AD9-4F6A-A815-F04F01C4C370}" type="VALU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5.5077186005902522E-2"/>
                      <c:h val="0.1568165261342995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37D4-45AD-A25F-B29515E8C973}"/>
                </c:ext>
              </c:extLst>
            </c:dLbl>
            <c:dLbl>
              <c:idx val="1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bg1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DD074BF7-AE1E-4ACF-B526-5D03E653CE59}" type="CELLRANG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chemeClr val="bg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40F21F5C-C71C-444C-8CBF-27DD3B62CC18}" type="VALU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5.8326431382817262E-2"/>
                      <c:h val="0.1564879496937399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37D4-45AD-A25F-B29515E8C9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'03.2. data chart 01'!$C$5:$AD$6</c15:sqref>
                  </c15:fullRef>
                </c:ext>
              </c:extLst>
              <c:f>'03.2. data chart 01'!$C$5:$AD$6</c:f>
              <c:multiLvlStrCache>
                <c:ptCount val="11"/>
                <c:lvl>
                  <c:pt idx="0">
                    <c:v>KH</c:v>
                  </c:pt>
                  <c:pt idx="1">
                    <c:v>TT</c:v>
                  </c:pt>
                  <c:pt idx="2">
                    <c:v>KH</c:v>
                  </c:pt>
                  <c:pt idx="3">
                    <c:v>TT</c:v>
                  </c:pt>
                  <c:pt idx="4">
                    <c:v>KH</c:v>
                  </c:pt>
                  <c:pt idx="5">
                    <c:v>TT</c:v>
                  </c:pt>
                  <c:pt idx="6">
                    <c:v>KH</c:v>
                  </c:pt>
                  <c:pt idx="7">
                    <c:v>TT</c:v>
                  </c:pt>
                  <c:pt idx="8">
                    <c:v>KH</c:v>
                  </c:pt>
                  <c:pt idx="9">
                    <c:v>TT</c:v>
                  </c:pt>
                  <c:pt idx="10">
                    <c:v>TT</c:v>
                  </c:pt>
                </c:lvl>
                <c:lvl>
                  <c:pt idx="0">
                    <c:v>T01</c:v>
                  </c:pt>
                  <c:pt idx="2">
                    <c:v>T02</c:v>
                  </c:pt>
                  <c:pt idx="4">
                    <c:v>T03</c:v>
                  </c:pt>
                  <c:pt idx="6">
                    <c:v>T04</c:v>
                  </c:pt>
                  <c:pt idx="8">
                    <c:v>BQ 2025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'03.2. data chart 01'!$C$7:$AD$7</c15:sqref>
                  </c15:fullRef>
                </c:ext>
              </c:extLst>
              <c:f>('03.2. data chart 01'!$C$7:$J$7,'03.2. data chart 01'!$AA$7:$AB$7,'03.2. data chart 01'!$AD$7)</c:f>
              <c:numCache>
                <c:formatCode>#,##0</c:formatCode>
                <c:ptCount val="11"/>
                <c:pt idx="0">
                  <c:v>1946.44</c:v>
                </c:pt>
                <c:pt idx="1">
                  <c:v>2553.1</c:v>
                </c:pt>
                <c:pt idx="2">
                  <c:v>2386.44</c:v>
                </c:pt>
                <c:pt idx="3">
                  <c:v>3944</c:v>
                </c:pt>
                <c:pt idx="4">
                  <c:v>2087.39</c:v>
                </c:pt>
                <c:pt idx="5">
                  <c:v>3259.15</c:v>
                </c:pt>
                <c:pt idx="6">
                  <c:v>2054.39</c:v>
                </c:pt>
                <c:pt idx="7">
                  <c:v>2811</c:v>
                </c:pt>
                <c:pt idx="8">
                  <c:v>2894.2333333333331</c:v>
                </c:pt>
                <c:pt idx="9">
                  <c:v>2943.2652777777776</c:v>
                </c:pt>
                <c:pt idx="10">
                  <c:v>1664.6812499999999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'03.2. data chart 01'!$C$10:$AD$10</c15:f>
                <c15:dlblRangeCache>
                  <c:ptCount val="28"/>
                  <c:pt idx="0">
                    <c:v>64%</c:v>
                  </c:pt>
                  <c:pt idx="1">
                    <c:v>73%</c:v>
                  </c:pt>
                  <c:pt idx="2">
                    <c:v>65%</c:v>
                  </c:pt>
                  <c:pt idx="3">
                    <c:v>72%</c:v>
                  </c:pt>
                  <c:pt idx="4">
                    <c:v>58%</c:v>
                  </c:pt>
                  <c:pt idx="5">
                    <c:v>71%</c:v>
                  </c:pt>
                  <c:pt idx="6">
                    <c:v>53%</c:v>
                  </c:pt>
                  <c:pt idx="7">
                    <c:v>73%</c:v>
                  </c:pt>
                  <c:pt idx="8">
                    <c:v>61%</c:v>
                  </c:pt>
                  <c:pt idx="9">
                    <c:v>76%</c:v>
                  </c:pt>
                  <c:pt idx="10">
                    <c:v>58%</c:v>
                  </c:pt>
                  <c:pt idx="11">
                    <c:v>61%</c:v>
                  </c:pt>
                  <c:pt idx="12">
                    <c:v>61%</c:v>
                  </c:pt>
                  <c:pt idx="13">
                    <c:v>60%</c:v>
                  </c:pt>
                  <c:pt idx="14">
                    <c:v>55%</c:v>
                  </c:pt>
                  <c:pt idx="15">
                    <c:v>58%</c:v>
                  </c:pt>
                  <c:pt idx="16">
                    <c:v>61%</c:v>
                  </c:pt>
                  <c:pt idx="17">
                    <c:v>30%</c:v>
                  </c:pt>
                  <c:pt idx="18">
                    <c:v>60%</c:v>
                  </c:pt>
                  <c:pt idx="19">
                    <c:v>#DIV/0!</c:v>
                  </c:pt>
                  <c:pt idx="20">
                    <c:v>52%</c:v>
                  </c:pt>
                  <c:pt idx="21">
                    <c:v>#DIV/0!</c:v>
                  </c:pt>
                  <c:pt idx="22">
                    <c:v>51%</c:v>
                  </c:pt>
                  <c:pt idx="23">
                    <c:v>#DIV/0!</c:v>
                  </c:pt>
                  <c:pt idx="24">
                    <c:v>58%</c:v>
                  </c:pt>
                  <c:pt idx="25">
                    <c:v>66%</c:v>
                  </c:pt>
                  <c:pt idx="26">
                    <c:v>61%</c:v>
                  </c:pt>
                  <c:pt idx="27">
                    <c:v>57%</c:v>
                  </c:pt>
                </c15:dlblRangeCache>
              </c15:datalabelsRange>
            </c:ext>
            <c:ext xmlns:c15="http://schemas.microsoft.com/office/drawing/2012/chart" uri="{02D57815-91ED-43cb-92C2-25804820EDAC}">
              <c15:categoryFilterExceptions>
                <c15:categoryFilterException>
                  <c15:sqref>'03.2. data chart 01'!$K$7</c15:sqref>
                  <c15:dLbl>
                    <c:idx val="7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bg1"/>
                            </a:solidFill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3.5329714993109794E-2"/>
                            <c:h val="0.12245071731151869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4-8476-4ACF-83EE-47D0820D7CEF}"/>
                      </c:ext>
                    </c:extLst>
                  </c15:dLbl>
                </c15:categoryFilterException>
                <c15:categoryFilterException>
                  <c15:sqref>'03.2. data chart 01'!$M$7</c15:sqref>
                  <c15:dLbl>
                    <c:idx val="7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bg1"/>
                            </a:solidFill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3.5329714993109794E-2"/>
                            <c:h val="0.1256312554235062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5-8476-4ACF-83EE-47D0820D7CEF}"/>
                      </c:ext>
                    </c:extLst>
                  </c15:dLbl>
                </c15:categoryFilterException>
                <c15:categoryFilterException>
                  <c15:sqref>'03.2. data chart 01'!$O$7</c15:sqref>
                  <c15:dLbl>
                    <c:idx val="7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bg1"/>
                            </a:solidFill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3.6276131146153176E-2"/>
                            <c:h val="0.11608964108754369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6-8476-4ACF-83EE-47D0820D7CEF}"/>
                      </c:ext>
                    </c:extLst>
                  </c15:dLbl>
                </c15:categoryFilterException>
                <c15:categoryFilterException>
                  <c15:sqref>'03.2. data chart 01'!$Q$7</c15:sqref>
                  <c15:dLbl>
                    <c:idx val="7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bg1"/>
                            </a:solidFill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3.3436882687023009E-2"/>
                            <c:h val="0.10972856486356869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7-8476-4ACF-83EE-47D0820D7CEF}"/>
                      </c:ext>
                    </c:extLst>
                  </c15:dLbl>
                </c15:categoryFilterException>
                <c15:categoryFilterException>
                  <c15:sqref>'03.2. data chart 01'!$S$7</c15:sqref>
                  <c15:dLbl>
                    <c:idx val="7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bg1"/>
                            </a:solidFill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3.7222547299196572E-2"/>
                            <c:h val="0.14789502220741868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8-8476-4ACF-83EE-47D0820D7CEF}"/>
                      </c:ext>
                    </c:extLst>
                  </c15:dLbl>
                </c15:categoryFilterException>
                <c15:categoryFilterException>
                  <c15:sqref>'03.2. data chart 01'!$U$7</c15:sqref>
                  <c15:dLbl>
                    <c:idx val="7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bg1"/>
                            </a:solidFill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3.9115379605283357E-2"/>
                            <c:h val="0.15743663654338116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9-8476-4ACF-83EE-47D0820D7CEF}"/>
                      </c:ext>
                    </c:extLst>
                  </c15:dLbl>
                </c15:categoryFilterException>
                <c15:categoryFilterException>
                  <c15:sqref>'03.2. data chart 01'!$W$7</c15:sqref>
                  <c15:dLbl>
                    <c:idx val="7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bg1"/>
                            </a:solidFill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3.7222547299196572E-2"/>
                            <c:h val="0.14789502220741868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A-8476-4ACF-83EE-47D0820D7CEF}"/>
                      </c:ext>
                    </c:extLst>
                  </c15:dLbl>
                </c15:categoryFilterException>
                <c15:categoryFilterException>
                  <c15:sqref>'03.2. data chart 01'!$Y$7</c15:sqref>
                  <c15:dLbl>
                    <c:idx val="7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bg1"/>
                            </a:solidFill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2.9623232544037981E-2"/>
                            <c:h val="0.1542560714776339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B-8476-4ACF-83EE-47D0820D7CEF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F-37D4-45AD-A25F-B29515E8C973}"/>
            </c:ext>
          </c:extLst>
        </c:ser>
        <c:ser>
          <c:idx val="1"/>
          <c:order val="1"/>
          <c:tx>
            <c:strRef>
              <c:f>'03.2. data chart 01'!$B$8</c:f>
              <c:strCache>
                <c:ptCount val="1"/>
                <c:pt idx="0">
                  <c:v>B2B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37D4-45AD-A25F-B29515E8C97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37D4-45AD-A25F-B29515E8C973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37D4-45AD-A25F-B29515E8C973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E6C-4F98-8DCE-68E56A2C5072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37D4-45AD-A25F-B29515E8C973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5C8E4FBB-9850-4BC7-9C43-92A57DDE8DB9}" type="CELLRANGE">
                      <a:rPr lang="en-US" baseline="0">
                        <a:solidFill>
                          <a:sysClr val="windowText" lastClr="000000"/>
                        </a:solidFill>
                      </a:rPr>
                      <a:pPr>
                        <a:defRPr sz="1000" b="1">
                          <a:solidFill>
                            <a:sysClr val="windowText" lastClr="000000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  <a:p>
                    <a:pPr>
                      <a:defRPr sz="1000" b="1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E559F1CB-980B-4E15-81EB-0D6167DAAB6D}" type="VALUE">
                      <a:rPr lang="en-US" baseline="0">
                        <a:solidFill>
                          <a:sysClr val="windowText" lastClr="000000"/>
                        </a:solidFill>
                      </a:rPr>
                      <a:pPr>
                        <a:defRPr sz="1000" b="1">
                          <a:solidFill>
                            <a:sysClr val="windowText" lastClr="000000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5.9079980316488027E-2"/>
                      <c:h val="0.1124066708795977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37D4-45AD-A25F-B29515E8C973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bg1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350156B8-BF1E-4197-B93D-414E97429D6B}" type="CELLRANG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chemeClr val="bg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138B6304-5C43-4FB5-AD28-48CC9CF30FAC}" type="VALU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5.015685171015162E-2"/>
                      <c:h val="0.1127385560106535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37D4-45AD-A25F-B29515E8C973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ctr" rtl="0">
                      <a:defRPr lang="en-US" sz="1000" b="1" i="0" u="none" strike="noStrike" kern="1200" baseline="0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789127D0-32CA-4AD8-A323-7F77FF92DED7}" type="CELLRANGE">
                      <a:rPr lang="en-US" sz="1000" b="1" i="0" u="none" strike="noStrike" kern="1200" baseline="0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rPr>
                      <a:pPr algn="ctr" rtl="0">
                        <a:defRPr lang="en-US" sz="1000" b="1">
                          <a:solidFill>
                            <a:sysClr val="windowText" lastClr="000000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sz="1000" b="1" i="0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endParaRPr>
                  </a:p>
                  <a:p>
                    <a:pPr algn="ctr" rtl="0">
                      <a:defRPr lang="en-US" sz="1000" b="1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E942F277-B734-4ECF-AAF0-CFEEABC865A5}" type="VALUE">
                      <a:rPr lang="en-US" sz="1000" b="1" i="0" u="none" strike="noStrike" kern="1200" baseline="0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rPr>
                      <a:pPr algn="ctr" rtl="0">
                        <a:defRPr lang="en-US" sz="1000" b="1">
                          <a:solidFill>
                            <a:sysClr val="windowText" lastClr="000000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 rtl="0">
                    <a:defRPr lang="en-US" sz="1000" b="1" i="0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6.4994638088000059E-2"/>
                      <c:h val="0.1030201137062242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37D4-45AD-A25F-B29515E8C973}"/>
                </c:ext>
              </c:extLst>
            </c:dLbl>
            <c:dLbl>
              <c:idx val="3"/>
              <c:layout>
                <c:manualLayout>
                  <c:x val="1.2696471803773481E-3"/>
                  <c:y val="-2.2598012340529553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bg1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F4072A2C-A3FB-4806-9BEB-5616EB186B36}" type="CELLRANG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chemeClr val="bg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D08014F6-A919-4E72-8A5D-2431ACB4CAFC}" type="VALU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6.6424523411576217E-2"/>
                      <c:h val="0.1373310044192860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37D4-45AD-A25F-B29515E8C973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ctr" rtl="0">
                      <a:defRPr lang="en-US" sz="1000" b="1" i="0" u="none" strike="noStrike" kern="1200" baseline="0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CC0E36ED-0B07-45D7-9446-83F677EDDF73}" type="CELLRANGE">
                      <a:rPr lang="en-US" sz="1000" b="1" i="0" u="none" strike="noStrike" kern="1200" baseline="0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rPr>
                      <a:pPr algn="ctr" rtl="0">
                        <a:defRPr lang="en-US" sz="1000" b="1">
                          <a:solidFill>
                            <a:sysClr val="windowText" lastClr="000000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sz="1000" b="1" i="0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endParaRPr>
                  </a:p>
                  <a:p>
                    <a:pPr algn="ctr" rtl="0">
                      <a:defRPr lang="en-US" sz="1000" b="1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5CD09089-36B5-4BD3-B71A-5F6D5539B5B7}" type="VALUE">
                      <a:rPr lang="en-US" sz="1000" b="1" i="0" u="none" strike="noStrike" kern="1200" baseline="0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rPr>
                      <a:pPr algn="ctr" rtl="0">
                        <a:defRPr lang="en-US" sz="1000" b="1">
                          <a:solidFill>
                            <a:sysClr val="windowText" lastClr="000000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 rtl="0">
                    <a:defRPr lang="en-US" sz="1000" b="1" i="0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5.6276191922834964E-2"/>
                      <c:h val="0.1065480858880039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37D4-45AD-A25F-B29515E8C973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bg1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1133FB67-E1CB-4CA2-8012-66A19F72427D}" type="CELLRANG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chemeClr val="bg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997580EC-33E0-4B2F-BCBF-07AD1783462C}" type="VALU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5.2983727740735696E-2"/>
                      <c:h val="0.1065480858880039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37D4-45AD-A25F-B29515E8C973}"/>
                </c:ext>
              </c:extLst>
            </c:dLbl>
            <c:dLbl>
              <c:idx val="6"/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ctr" rtl="0">
                      <a:defRPr lang="en-US" sz="1000" b="1" i="0" u="none" strike="noStrike" kern="1200" baseline="0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F7AB7C3C-B437-4752-A22F-FE215070C08B}" type="CELLRANGE">
                      <a:rPr lang="en-US" sz="1000" b="1" i="0" u="none" strike="noStrike" kern="1200" baseline="0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rPr>
                      <a:pPr algn="ctr" rtl="0">
                        <a:defRPr lang="en-US" sz="1000" b="1">
                          <a:solidFill>
                            <a:sysClr val="windowText" lastClr="000000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sz="1000" b="1" i="0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endParaRPr>
                  </a:p>
                  <a:p>
                    <a:pPr algn="ctr" rtl="0">
                      <a:defRPr lang="en-US" sz="1000" b="1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FF8E1B5C-C2D2-4D3F-B61F-21E26BC622E5}" type="VALUE">
                      <a:rPr lang="en-US" sz="1000" b="1" i="0" u="none" strike="noStrike" kern="1200" baseline="0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rPr>
                      <a:pPr algn="ctr" rtl="0">
                        <a:defRPr lang="en-US" sz="1000" b="1">
                          <a:solidFill>
                            <a:sysClr val="windowText" lastClr="000000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 rtl="0">
                    <a:defRPr lang="en-US" sz="1000" b="1" i="0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0685548819431582E-2"/>
                      <c:h val="0.1121666089087399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4E6C-4F98-8DCE-68E56A2C5072}"/>
                </c:ext>
              </c:extLst>
            </c:dLbl>
            <c:dLbl>
              <c:idx val="7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bg1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6E208D23-43EB-4BA1-A667-95838C41B0E0}" type="CELLRANG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chemeClr val="bg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4AF9E48D-96AD-41F6-9EE8-143057366513}" type="VALU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5.3491611887041712E-2"/>
                      <c:h val="0.1073036775884581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4E6C-4F98-8DCE-68E56A2C5072}"/>
                </c:ext>
              </c:extLst>
            </c:dLbl>
            <c:dLbl>
              <c:idx val="8"/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ctr" rtl="0">
                      <a:defRPr lang="en-US" sz="1000" b="1" i="0" u="none" strike="noStrike" kern="1200" baseline="0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0559B3F8-0DFD-48FA-8E06-E1089C2EB356}" type="CELLRANGE">
                      <a:rPr lang="en-US" sz="1000" b="1" i="0" u="none" strike="noStrike" kern="1200" baseline="0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rPr>
                      <a:pPr algn="ctr" rtl="0">
                        <a:defRPr lang="en-US" sz="1000" b="1">
                          <a:solidFill>
                            <a:sysClr val="windowText" lastClr="000000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sz="1000" b="1" i="0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endParaRPr>
                  </a:p>
                  <a:p>
                    <a:pPr algn="ctr" rtl="0">
                      <a:defRPr lang="en-US" sz="1000" b="1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36887831-1F8A-4560-B6EF-18073E0B549B}" type="VALUE">
                      <a:rPr lang="en-US" sz="1000" b="1" i="0" u="none" strike="noStrike" kern="1200" baseline="0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rPr>
                      <a:pPr algn="ctr" rtl="0">
                        <a:defRPr lang="en-US" sz="1000" b="1">
                          <a:solidFill>
                            <a:sysClr val="windowText" lastClr="000000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 rtl="0">
                    <a:defRPr lang="en-US" sz="1000" b="1" i="0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6.6084206913441829E-2"/>
                      <c:h val="0.1314520342770942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37D4-45AD-A25F-B29515E8C973}"/>
                </c:ext>
              </c:extLst>
            </c:dLbl>
            <c:dLbl>
              <c:idx val="9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bg1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E1C57EDD-852A-42FF-B15A-9110D65EFED0}" type="CELLRANG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chemeClr val="bg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75629B4D-DD05-4D3E-A39B-0ECF56939745}" type="VALU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5.6722407130749018E-2"/>
                      <c:h val="0.1190997059173800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37D4-45AD-A25F-B29515E8C973}"/>
                </c:ext>
              </c:extLst>
            </c:dLbl>
            <c:dLbl>
              <c:idx val="1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bg1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15A70569-49D9-4394-9E9E-37263044DAD7}" type="CELLRANG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chemeClr val="bg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defRPr>
                    </a:pPr>
                    <a:fld id="{D8E94F67-CF2F-4729-93CE-1324BCE86B96}" type="VALUE">
                      <a:rPr lang="en-US" baseline="0"/>
                      <a:pPr>
                        <a:defRPr sz="1000" b="1">
                          <a:solidFill>
                            <a:schemeClr val="bg1"/>
                          </a:solidFill>
                          <a:latin typeface="Times New Roman" panose="02020603050405020304" pitchFamily="18" charset="0"/>
                          <a:cs typeface="Times New Roman" panose="02020603050405020304" pitchFamily="18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6.3347774143073451E-2"/>
                      <c:h val="0.1060078793971574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37D4-45AD-A25F-B29515E8C9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'03.2. data chart 01'!$C$5:$AD$6</c15:sqref>
                  </c15:fullRef>
                </c:ext>
              </c:extLst>
              <c:f>'03.2. data chart 01'!$C$5:$AD$6</c:f>
              <c:multiLvlStrCache>
                <c:ptCount val="11"/>
                <c:lvl>
                  <c:pt idx="0">
                    <c:v>KH</c:v>
                  </c:pt>
                  <c:pt idx="1">
                    <c:v>TT</c:v>
                  </c:pt>
                  <c:pt idx="2">
                    <c:v>KH</c:v>
                  </c:pt>
                  <c:pt idx="3">
                    <c:v>TT</c:v>
                  </c:pt>
                  <c:pt idx="4">
                    <c:v>KH</c:v>
                  </c:pt>
                  <c:pt idx="5">
                    <c:v>TT</c:v>
                  </c:pt>
                  <c:pt idx="6">
                    <c:v>KH</c:v>
                  </c:pt>
                  <c:pt idx="7">
                    <c:v>TT</c:v>
                  </c:pt>
                  <c:pt idx="8">
                    <c:v>KH</c:v>
                  </c:pt>
                  <c:pt idx="9">
                    <c:v>TT</c:v>
                  </c:pt>
                  <c:pt idx="10">
                    <c:v>TT</c:v>
                  </c:pt>
                </c:lvl>
                <c:lvl>
                  <c:pt idx="0">
                    <c:v>T01</c:v>
                  </c:pt>
                  <c:pt idx="2">
                    <c:v>T02</c:v>
                  </c:pt>
                  <c:pt idx="4">
                    <c:v>T03</c:v>
                  </c:pt>
                  <c:pt idx="6">
                    <c:v>T04</c:v>
                  </c:pt>
                  <c:pt idx="8">
                    <c:v>BQ 2025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'03.2. data chart 01'!$C$8:$AD$8</c15:sqref>
                  </c15:fullRef>
                </c:ext>
              </c:extLst>
              <c:f>('03.2. data chart 01'!$C$8:$J$8,'03.2. data chart 01'!$AA$8:$AB$8,'03.2. data chart 01'!$AD$8)</c:f>
              <c:numCache>
                <c:formatCode>#,##0</c:formatCode>
                <c:ptCount val="11"/>
                <c:pt idx="0">
                  <c:v>1100.79</c:v>
                </c:pt>
                <c:pt idx="1">
                  <c:v>934.89930000000004</c:v>
                </c:pt>
                <c:pt idx="2">
                  <c:v>1262.79</c:v>
                </c:pt>
                <c:pt idx="3">
                  <c:v>1532.675</c:v>
                </c:pt>
                <c:pt idx="4">
                  <c:v>1526.69</c:v>
                </c:pt>
                <c:pt idx="5">
                  <c:v>1320.8999999999999</c:v>
                </c:pt>
                <c:pt idx="6">
                  <c:v>1827.79</c:v>
                </c:pt>
                <c:pt idx="7">
                  <c:v>1039.925</c:v>
                </c:pt>
                <c:pt idx="8">
                  <c:v>2105.7666666666669</c:v>
                </c:pt>
                <c:pt idx="9">
                  <c:v>1491.3577880952382</c:v>
                </c:pt>
                <c:pt idx="10">
                  <c:v>1248.4244333333336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'03.2. data chart 01'!$C$11:$AD$11</c15:f>
                <c15:dlblRangeCache>
                  <c:ptCount val="28"/>
                  <c:pt idx="0">
                    <c:v>36%</c:v>
                  </c:pt>
                  <c:pt idx="1">
                    <c:v>27%</c:v>
                  </c:pt>
                  <c:pt idx="2">
                    <c:v>35%</c:v>
                  </c:pt>
                  <c:pt idx="3">
                    <c:v>28%</c:v>
                  </c:pt>
                  <c:pt idx="4">
                    <c:v>42%</c:v>
                  </c:pt>
                  <c:pt idx="5">
                    <c:v>29%</c:v>
                  </c:pt>
                  <c:pt idx="6">
                    <c:v>47%</c:v>
                  </c:pt>
                  <c:pt idx="7">
                    <c:v>27%</c:v>
                  </c:pt>
                  <c:pt idx="8">
                    <c:v>39%</c:v>
                  </c:pt>
                  <c:pt idx="9">
                    <c:v>24%</c:v>
                  </c:pt>
                  <c:pt idx="10">
                    <c:v>42%</c:v>
                  </c:pt>
                  <c:pt idx="11">
                    <c:v>39%</c:v>
                  </c:pt>
                  <c:pt idx="12">
                    <c:v>39%</c:v>
                  </c:pt>
                  <c:pt idx="13">
                    <c:v>40%</c:v>
                  </c:pt>
                  <c:pt idx="14">
                    <c:v>45%</c:v>
                  </c:pt>
                  <c:pt idx="15">
                    <c:v>42%</c:v>
                  </c:pt>
                  <c:pt idx="16">
                    <c:v>39%</c:v>
                  </c:pt>
                  <c:pt idx="17">
                    <c:v>70%</c:v>
                  </c:pt>
                  <c:pt idx="18">
                    <c:v>40%</c:v>
                  </c:pt>
                  <c:pt idx="19">
                    <c:v>#DIV/0!</c:v>
                  </c:pt>
                  <c:pt idx="20">
                    <c:v>48%</c:v>
                  </c:pt>
                  <c:pt idx="21">
                    <c:v>#DIV/0!</c:v>
                  </c:pt>
                  <c:pt idx="22">
                    <c:v>49%</c:v>
                  </c:pt>
                  <c:pt idx="23">
                    <c:v>#DIV/0!</c:v>
                  </c:pt>
                  <c:pt idx="24">
                    <c:v>42%</c:v>
                  </c:pt>
                  <c:pt idx="25">
                    <c:v>34%</c:v>
                  </c:pt>
                  <c:pt idx="26">
                    <c:v>39%</c:v>
                  </c:pt>
                  <c:pt idx="27">
                    <c:v>43%</c:v>
                  </c:pt>
                </c15:dlblRangeCache>
              </c15:datalabelsRange>
            </c:ext>
            <c:ext xmlns:c15="http://schemas.microsoft.com/office/drawing/2012/chart" uri="{02D57815-91ED-43cb-92C2-25804820EDAC}">
              <c15:categoryFilterExceptions>
                <c15:categoryFilterException>
                  <c15:sqref>'03.2. data chart 01'!$K$8</c15:sqref>
                  <c15:dLbl>
                    <c:idx val="7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bg1"/>
                            </a:solidFill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4.2207775755113405E-2"/>
                            <c:h val="0.10480874823286047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C-8476-4ACF-83EE-47D0820D7CEF}"/>
                      </c:ext>
                    </c:extLst>
                  </c15:dLbl>
                </c15:categoryFilterException>
                <c15:categoryFilterException>
                  <c15:sqref>'03.2. data chart 01'!$M$8</c15:sqref>
                  <c15:dLbl>
                    <c:idx val="7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bg1"/>
                            </a:solidFill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3.0597634227892835E-2"/>
                            <c:h val="0.12881179353549368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D-8476-4ACF-83EE-47D0820D7CEF}"/>
                      </c:ext>
                    </c:extLst>
                  </c15:dLbl>
                </c15:categoryFilterException>
                <c15:categoryFilterException>
                  <c15:sqref>'03.2. data chart 01'!$O$8</c15:sqref>
                  <c15:dLbl>
                    <c:idx val="7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bg1"/>
                            </a:solidFill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3.5329714993109794E-2"/>
                            <c:h val="0.10972856486356869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E-8476-4ACF-83EE-47D0820D7CEF}"/>
                      </c:ext>
                    </c:extLst>
                  </c15:dLbl>
                </c15:categoryFilterException>
                <c15:categoryFilterException>
                  <c15:sqref>'03.2. data chart 01'!$Q$8</c15:sqref>
                  <c15:dLbl>
                    <c:idx val="7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bg1"/>
                            </a:solidFill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3.5329714993109794E-2"/>
                            <c:h val="0.10654802675158119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1F-8476-4ACF-83EE-47D0820D7CEF}"/>
                      </c:ext>
                    </c:extLst>
                  </c15:dLbl>
                </c15:categoryFilterException>
                <c15:categoryFilterException>
                  <c15:sqref>'03.2. data chart 01'!$S$8</c15:sqref>
                  <c15:dLbl>
                    <c:idx val="7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bg1"/>
                            </a:solidFill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3.6276131146153176E-2"/>
                            <c:h val="0.1192701791995312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0-8476-4ACF-83EE-47D0820D7CEF}"/>
                      </c:ext>
                    </c:extLst>
                  </c15:dLbl>
                </c15:categoryFilterException>
                <c15:categoryFilterException>
                  <c15:sqref>'03.2. data chart 01'!$U$8</c15:sqref>
                  <c15:dLbl>
                    <c:idx val="7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bg1"/>
                            </a:solidFill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2.7758385768762658E-2"/>
                            <c:h val="0.10654802675158119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1-8476-4ACF-83EE-47D0820D7CEF}"/>
                      </c:ext>
                    </c:extLst>
                  </c15:dLbl>
                </c15:categoryFilterException>
                <c15:categoryFilterException>
                  <c15:sqref>'03.2. data chart 01'!$W$8</c15:sqref>
                  <c15:dLbl>
                    <c:idx val="7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bg1"/>
                            </a:solidFill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3.6276131146153176E-2"/>
                            <c:h val="0.14153394598344368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2-8476-4ACF-83EE-47D0820D7CEF}"/>
                      </c:ext>
                    </c:extLst>
                  </c15:dLbl>
                </c15:categoryFilterException>
                <c15:categoryFilterException>
                  <c15:sqref>'03.2. data chart 01'!$Y$8</c15:sqref>
                  <c15:dLbl>
                    <c:idx val="7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bg1"/>
                            </a:solidFill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3.7222547299196572E-2"/>
                            <c:h val="0.13835340787145617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23-8476-4ACF-83EE-47D0820D7CEF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F-37D4-45AD-A25F-B29515E8C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34595216"/>
        <c:axId val="734593776"/>
      </c:barChart>
      <c:lineChart>
        <c:grouping val="standard"/>
        <c:varyColors val="0"/>
        <c:ser>
          <c:idx val="2"/>
          <c:order val="2"/>
          <c:tx>
            <c:strRef>
              <c:f>'03.2. data chart 01'!$B$9</c:f>
              <c:strCache>
                <c:ptCount val="1"/>
                <c:pt idx="0">
                  <c:v>Cộng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00FF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'03.2. data chart 01'!$C$5:$AD$6</c15:sqref>
                  </c15:fullRef>
                </c:ext>
              </c:extLst>
              <c:f>'03.2. data chart 01'!$C$5:$AD$6</c:f>
              <c:multiLvlStrCache>
                <c:ptCount val="11"/>
                <c:lvl>
                  <c:pt idx="0">
                    <c:v>KH</c:v>
                  </c:pt>
                  <c:pt idx="1">
                    <c:v>TT</c:v>
                  </c:pt>
                  <c:pt idx="2">
                    <c:v>KH</c:v>
                  </c:pt>
                  <c:pt idx="3">
                    <c:v>TT</c:v>
                  </c:pt>
                  <c:pt idx="4">
                    <c:v>KH</c:v>
                  </c:pt>
                  <c:pt idx="5">
                    <c:v>TT</c:v>
                  </c:pt>
                  <c:pt idx="6">
                    <c:v>KH</c:v>
                  </c:pt>
                  <c:pt idx="7">
                    <c:v>TT</c:v>
                  </c:pt>
                  <c:pt idx="8">
                    <c:v>KH</c:v>
                  </c:pt>
                  <c:pt idx="9">
                    <c:v>TT</c:v>
                  </c:pt>
                  <c:pt idx="10">
                    <c:v>TT</c:v>
                  </c:pt>
                </c:lvl>
                <c:lvl>
                  <c:pt idx="0">
                    <c:v>T01</c:v>
                  </c:pt>
                  <c:pt idx="2">
                    <c:v>T02</c:v>
                  </c:pt>
                  <c:pt idx="4">
                    <c:v>T03</c:v>
                  </c:pt>
                  <c:pt idx="6">
                    <c:v>T04</c:v>
                  </c:pt>
                  <c:pt idx="8">
                    <c:v>BQ 2025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'03.2. data chart 01'!$C$9:$AD$9</c15:sqref>
                  </c15:fullRef>
                </c:ext>
              </c:extLst>
              <c:f>('03.2. data chart 01'!$C$9:$J$9,'03.2. data chart 01'!$AA$9:$AB$9,'03.2. data chart 01'!$AD$9)</c:f>
              <c:numCache>
                <c:formatCode>#,##0</c:formatCode>
                <c:ptCount val="11"/>
                <c:pt idx="0">
                  <c:v>3047.23</c:v>
                </c:pt>
                <c:pt idx="1">
                  <c:v>3487.9992999999999</c:v>
                </c:pt>
                <c:pt idx="2">
                  <c:v>3649.23</c:v>
                </c:pt>
                <c:pt idx="3">
                  <c:v>5476.6750000000002</c:v>
                </c:pt>
                <c:pt idx="4">
                  <c:v>3614.08</c:v>
                </c:pt>
                <c:pt idx="5">
                  <c:v>4580.05</c:v>
                </c:pt>
                <c:pt idx="6">
                  <c:v>3882.18</c:v>
                </c:pt>
                <c:pt idx="7">
                  <c:v>3850.9250000000002</c:v>
                </c:pt>
                <c:pt idx="8">
                  <c:v>5000</c:v>
                </c:pt>
                <c:pt idx="9">
                  <c:v>4434.6230658730155</c:v>
                </c:pt>
                <c:pt idx="10">
                  <c:v>2913.1056833333332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7D4-45AD-A25F-B29515E8C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8732960"/>
        <c:axId val="932497184"/>
      </c:lineChart>
      <c:catAx>
        <c:axId val="734595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accent2">
                        <a:lumMod val="75000"/>
                      </a:schemeClr>
                    </a:solidFill>
                  </a:rPr>
                  <a:t>Đvt:</a:t>
                </a:r>
                <a:r>
                  <a:rPr lang="en-US" b="1" baseline="0">
                    <a:solidFill>
                      <a:schemeClr val="accent2">
                        <a:lumMod val="75000"/>
                      </a:schemeClr>
                    </a:solidFill>
                  </a:rPr>
                  <a:t> Tấn</a:t>
                </a:r>
                <a:endParaRPr lang="en-US" b="1">
                  <a:solidFill>
                    <a:schemeClr val="accent2">
                      <a:lumMod val="75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0.85582187778147389"/>
              <c:y val="9.740116922741001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FF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34593776"/>
        <c:crosses val="autoZero"/>
        <c:auto val="1"/>
        <c:lblAlgn val="ctr"/>
        <c:lblOffset val="100"/>
        <c:noMultiLvlLbl val="0"/>
      </c:catAx>
      <c:valAx>
        <c:axId val="734593776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734595216"/>
        <c:crosses val="autoZero"/>
        <c:crossBetween val="between"/>
      </c:valAx>
      <c:valAx>
        <c:axId val="932497184"/>
        <c:scaling>
          <c:orientation val="minMax"/>
        </c:scaling>
        <c:delete val="1"/>
        <c:axPos val="r"/>
        <c:numFmt formatCode="#,##0" sourceLinked="1"/>
        <c:majorTickMark val="out"/>
        <c:minorTickMark val="none"/>
        <c:tickLblPos val="none"/>
        <c:crossAx val="1238732960"/>
        <c:crosses val="max"/>
        <c:crossBetween val="between"/>
      </c:valAx>
      <c:catAx>
        <c:axId val="123873296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crossAx val="932497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 i="0" u="none" strike="noStrike" kern="1200" spc="0" baseline="0">
                <a:solidFill>
                  <a:srgbClr val="00B05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BĐ % LỢI NHUẬN GỘP XUẤT KHẨU - B2B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572845839638105E-2"/>
          <c:y val="0.1853220546718691"/>
          <c:w val="0.97393137326406898"/>
          <c:h val="0.652722720040653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'03.2. data chart 01'!$B$60</c:f>
              <c:strCache>
                <c:ptCount val="1"/>
                <c:pt idx="0">
                  <c:v>XK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660-4E1D-9071-966F30F79D4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660-4E1D-9071-966F30F79D4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660-4E1D-9071-966F30F79D4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0660-4E1D-9071-966F30F79D42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660-4E1D-9071-966F30F79D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'03.2. data chart 01'!$C$58:$AB$59</c15:sqref>
                  </c15:fullRef>
                </c:ext>
              </c:extLst>
              <c:f>'03.2. data chart 01'!$C$58:$AB$59</c:f>
              <c:multiLvlStrCache>
                <c:ptCount val="10"/>
                <c:lvl>
                  <c:pt idx="0">
                    <c:v>'24</c:v>
                  </c:pt>
                  <c:pt idx="1">
                    <c:v>'25</c:v>
                  </c:pt>
                  <c:pt idx="2">
                    <c:v>'24</c:v>
                  </c:pt>
                  <c:pt idx="3">
                    <c:v>'25</c:v>
                  </c:pt>
                  <c:pt idx="4">
                    <c:v>'24</c:v>
                  </c:pt>
                  <c:pt idx="5">
                    <c:v>'25</c:v>
                  </c:pt>
                  <c:pt idx="6">
                    <c:v>'24</c:v>
                  </c:pt>
                  <c:pt idx="7">
                    <c:v>'25</c:v>
                  </c:pt>
                  <c:pt idx="8">
                    <c:v>'24</c:v>
                  </c:pt>
                  <c:pt idx="9">
                    <c:v>'25</c:v>
                  </c:pt>
                </c:lvl>
                <c:lvl>
                  <c:pt idx="0">
                    <c:v>T01</c:v>
                  </c:pt>
                  <c:pt idx="2">
                    <c:v>T02</c:v>
                  </c:pt>
                  <c:pt idx="4">
                    <c:v>T03</c:v>
                  </c:pt>
                  <c:pt idx="6">
                    <c:v>T04</c:v>
                  </c:pt>
                  <c:pt idx="8">
                    <c:v>Bình quân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'03.2. data chart 01'!$C$60:$AB$60</c15:sqref>
                  </c15:fullRef>
                </c:ext>
              </c:extLst>
              <c:f>('03.2. data chart 01'!$C$60:$J$60,'03.2. data chart 01'!$AA$60:$AB$60)</c:f>
              <c:numCache>
                <c:formatCode>0%</c:formatCode>
                <c:ptCount val="10"/>
                <c:pt idx="0">
                  <c:v>0.25970653362731672</c:v>
                </c:pt>
                <c:pt idx="1">
                  <c:v>0.17510442075140906</c:v>
                </c:pt>
                <c:pt idx="2">
                  <c:v>0.17646057929276038</c:v>
                </c:pt>
                <c:pt idx="3">
                  <c:v>0.19069424005672045</c:v>
                </c:pt>
                <c:pt idx="4">
                  <c:v>0.12509243723640243</c:v>
                </c:pt>
                <c:pt idx="5">
                  <c:v>0.16377082910109309</c:v>
                </c:pt>
                <c:pt idx="6">
                  <c:v>0.17322429792138749</c:v>
                </c:pt>
                <c:pt idx="7">
                  <c:v>0.15850812552046153</c:v>
                </c:pt>
                <c:pt idx="8">
                  <c:v>0.12394491857034622</c:v>
                </c:pt>
                <c:pt idx="9">
                  <c:v>0.14549188625357121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0-473E-8BD6-D0C7CD604576}"/>
            </c:ext>
          </c:extLst>
        </c:ser>
        <c:ser>
          <c:idx val="1"/>
          <c:order val="1"/>
          <c:tx>
            <c:strRef>
              <c:f>'03.2. data chart 01'!$B$61</c:f>
              <c:strCache>
                <c:ptCount val="1"/>
                <c:pt idx="0">
                  <c:v>B2B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0660-4E1D-9071-966F30F79D4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660-4E1D-9071-966F30F79D4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660-4E1D-9071-966F30F79D4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660-4E1D-9071-966F30F79D42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0660-4E1D-9071-966F30F79D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'03.2. data chart 01'!$C$58:$AB$59</c15:sqref>
                  </c15:fullRef>
                </c:ext>
              </c:extLst>
              <c:f>'03.2. data chart 01'!$C$58:$AB$59</c:f>
              <c:multiLvlStrCache>
                <c:ptCount val="10"/>
                <c:lvl>
                  <c:pt idx="0">
                    <c:v>'24</c:v>
                  </c:pt>
                  <c:pt idx="1">
                    <c:v>'25</c:v>
                  </c:pt>
                  <c:pt idx="2">
                    <c:v>'24</c:v>
                  </c:pt>
                  <c:pt idx="3">
                    <c:v>'25</c:v>
                  </c:pt>
                  <c:pt idx="4">
                    <c:v>'24</c:v>
                  </c:pt>
                  <c:pt idx="5">
                    <c:v>'25</c:v>
                  </c:pt>
                  <c:pt idx="6">
                    <c:v>'24</c:v>
                  </c:pt>
                  <c:pt idx="7">
                    <c:v>'25</c:v>
                  </c:pt>
                  <c:pt idx="8">
                    <c:v>'24</c:v>
                  </c:pt>
                  <c:pt idx="9">
                    <c:v>'25</c:v>
                  </c:pt>
                </c:lvl>
                <c:lvl>
                  <c:pt idx="0">
                    <c:v>T01</c:v>
                  </c:pt>
                  <c:pt idx="2">
                    <c:v>T02</c:v>
                  </c:pt>
                  <c:pt idx="4">
                    <c:v>T03</c:v>
                  </c:pt>
                  <c:pt idx="6">
                    <c:v>T04</c:v>
                  </c:pt>
                  <c:pt idx="8">
                    <c:v>Bình quân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'03.2. data chart 01'!$C$61:$AB$61</c15:sqref>
                  </c15:fullRef>
                </c:ext>
              </c:extLst>
              <c:f>('03.2. data chart 01'!$C$61:$J$61,'03.2. data chart 01'!$AA$61:$AB$61)</c:f>
              <c:numCache>
                <c:formatCode>0%</c:formatCode>
                <c:ptCount val="10"/>
                <c:pt idx="0">
                  <c:v>0.26564219574678111</c:v>
                </c:pt>
                <c:pt idx="1">
                  <c:v>0.21155775061817098</c:v>
                </c:pt>
                <c:pt idx="2">
                  <c:v>0.24815775136411664</c:v>
                </c:pt>
                <c:pt idx="3">
                  <c:v>0.21707110878897382</c:v>
                </c:pt>
                <c:pt idx="4">
                  <c:v>0.22309115029751672</c:v>
                </c:pt>
                <c:pt idx="5">
                  <c:v>0.15002949660166304</c:v>
                </c:pt>
                <c:pt idx="6">
                  <c:v>0.21898652710741304</c:v>
                </c:pt>
                <c:pt idx="7">
                  <c:v>0.14106174340601929</c:v>
                </c:pt>
                <c:pt idx="8">
                  <c:v>0.20478713773037513</c:v>
                </c:pt>
                <c:pt idx="9">
                  <c:v>0.10348911547721366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0-473E-8BD6-D0C7CD60457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734595216"/>
        <c:axId val="734593776"/>
      </c:barChart>
      <c:catAx>
        <c:axId val="734595216"/>
        <c:scaling>
          <c:orientation val="minMax"/>
        </c:scaling>
        <c:delete val="0"/>
        <c:axPos val="b"/>
        <c:majorGridlines>
          <c:spPr>
            <a:ln w="0" cap="flat" cmpd="sng" algn="ctr">
              <a:solidFill>
                <a:schemeClr val="accent3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FF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34593776"/>
        <c:crosses val="autoZero"/>
        <c:auto val="1"/>
        <c:lblAlgn val="ctr"/>
        <c:lblOffset val="100"/>
        <c:noMultiLvlLbl val="0"/>
      </c:catAx>
      <c:valAx>
        <c:axId val="7345937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73459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0872056549167463"/>
          <c:y val="0.33590360914676642"/>
          <c:w val="0.13932186928684329"/>
          <c:h val="6.99920141986526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 i="0" u="none" strike="noStrike" kern="1200" spc="0" baseline="0">
                <a:solidFill>
                  <a:srgbClr val="00B05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SẢN LƯỢNG BÁN </a:t>
            </a:r>
            <a:r>
              <a:rPr lang="en-US" sz="1600" b="1" i="0" u="none" strike="noStrike" kern="1200" spc="0" baseline="0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XUẤT KHẨU - NỘI ĐỊA </a:t>
            </a:r>
            <a:r>
              <a:rPr lang="en-US" sz="1600" b="1" i="0" u="none" strike="noStrike" kern="1200" spc="0" baseline="0">
                <a:solidFill>
                  <a:srgbClr val="00B05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2025 </a:t>
            </a:r>
            <a:endParaRPr lang="en-US" sz="1600" b="1" i="0" u="none" strike="noStrike" kern="1200" spc="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'03.1. Chart XK-B2B'!$C$6</c:f>
              <c:strCache>
                <c:ptCount val="1"/>
                <c:pt idx="0">
                  <c:v>KH bán xuất khẩu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2264830056456376E-3"/>
                  <c:y val="0.13144325673380758"/>
                </c:manualLayout>
              </c:layout>
              <c:tx>
                <c:rich>
                  <a:bodyPr/>
                  <a:lstStyle/>
                  <a:p>
                    <a:fld id="{2F5F3EBD-C10A-4971-9DD0-1AFE5533DFAE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6FCFEE6C-1BA3-495E-8172-A1B52A3E4846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B-BE1D-498D-8461-AA6A8FD5F370}"/>
                </c:ext>
              </c:extLst>
            </c:dLbl>
            <c:dLbl>
              <c:idx val="1"/>
              <c:layout>
                <c:manualLayout>
                  <c:x val="0"/>
                  <c:y val="0.17160647406913754"/>
                </c:manualLayout>
              </c:layout>
              <c:tx>
                <c:rich>
                  <a:bodyPr/>
                  <a:lstStyle/>
                  <a:p>
                    <a:fld id="{F16C67B8-7B37-460D-9BB0-BB1577AEF3E2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7A37DAF9-688D-49C6-9877-984638081FF3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C-BE1D-498D-8461-AA6A8FD5F370}"/>
                </c:ext>
              </c:extLst>
            </c:dLbl>
            <c:dLbl>
              <c:idx val="2"/>
              <c:layout>
                <c:manualLayout>
                  <c:x val="0"/>
                  <c:y val="0.12414085358192924"/>
                </c:manualLayout>
              </c:layout>
              <c:tx>
                <c:rich>
                  <a:bodyPr/>
                  <a:lstStyle/>
                  <a:p>
                    <a:fld id="{0DB016B9-70CA-41D2-9738-019A97CB6A09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4185B377-A449-4CDF-9D0E-CCD899A9CC05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D-BE1D-498D-8461-AA6A8FD5F370}"/>
                </c:ext>
              </c:extLst>
            </c:dLbl>
            <c:dLbl>
              <c:idx val="3"/>
              <c:layout>
                <c:manualLayout>
                  <c:x val="3.2567041948401497E-3"/>
                  <c:y val="0.13144325673380763"/>
                </c:manualLayout>
              </c:layout>
              <c:tx>
                <c:rich>
                  <a:bodyPr/>
                  <a:lstStyle/>
                  <a:p>
                    <a:fld id="{903581E9-9F64-4ABB-8595-0A1DA43D8F2D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0FD7151E-0661-4B80-88E8-D680A1CF2573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E-BE1D-498D-8461-AA6A8FD5F370}"/>
                </c:ext>
              </c:extLst>
            </c:dLbl>
            <c:dLbl>
              <c:idx val="4"/>
              <c:layout>
                <c:manualLayout>
                  <c:x val="-1.1950840858071884E-16"/>
                  <c:y val="0.23226299461203395"/>
                </c:manualLayout>
              </c:layout>
              <c:tx>
                <c:rich>
                  <a:bodyPr/>
                  <a:lstStyle/>
                  <a:p>
                    <a:fld id="{1ECB87F0-AF0E-4064-9B28-B170CF4DFCA7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A8D53286-6F41-42FC-8D81-713895DB528C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F-BE1D-498D-8461-AA6A8FD5F370}"/>
                </c:ext>
              </c:extLst>
            </c:dLbl>
            <c:dLbl>
              <c:idx val="5"/>
              <c:layout>
                <c:manualLayout>
                  <c:x val="3.2567041948401497E-3"/>
                  <c:y val="0.18986253653358853"/>
                </c:manualLayout>
              </c:layout>
              <c:tx>
                <c:rich>
                  <a:bodyPr/>
                  <a:lstStyle/>
                  <a:p>
                    <a:fld id="{13E80139-020B-4A6A-87CF-FD0E24CCC37C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704778BC-7A8E-46B5-A1E5-D291A6D9DB2C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C8D-4846-821A-A6EE8C5FA862}"/>
                </c:ext>
              </c:extLst>
            </c:dLbl>
            <c:dLbl>
              <c:idx val="6"/>
              <c:layout>
                <c:manualLayout>
                  <c:x val="0"/>
                  <c:y val="0.18621133390794253"/>
                </c:manualLayout>
              </c:layout>
              <c:tx>
                <c:rich>
                  <a:bodyPr/>
                  <a:lstStyle/>
                  <a:p>
                    <a:fld id="{4E9946B4-2F15-4C6F-8E55-3DA0BF122D8A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3CC31381-18D3-46E1-9374-2661EDAA29EF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7E2-4F60-BDE7-9EF8EDC69287}"/>
                </c:ext>
              </c:extLst>
            </c:dLbl>
            <c:dLbl>
              <c:idx val="7"/>
              <c:layout>
                <c:manualLayout>
                  <c:x val="0"/>
                  <c:y val="0.15545391435521017"/>
                </c:manualLayout>
              </c:layout>
              <c:tx>
                <c:rich>
                  <a:bodyPr/>
                  <a:lstStyle/>
                  <a:p>
                    <a:fld id="{6D495267-1CE0-40D8-B0E7-726F645EE5AE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055DC68E-C54C-4428-9F4A-9D8E1CAF680F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1E0-4C34-A6F1-535BFB1F4046}"/>
                </c:ext>
              </c:extLst>
            </c:dLbl>
            <c:dLbl>
              <c:idx val="8"/>
              <c:layout>
                <c:manualLayout>
                  <c:x val="0"/>
                  <c:y val="0.23688215520793929"/>
                </c:manualLayout>
              </c:layout>
              <c:tx>
                <c:rich>
                  <a:bodyPr/>
                  <a:lstStyle/>
                  <a:p>
                    <a:fld id="{A072F00D-F55D-415D-87B5-238CA6EE3C48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C5D79F29-47EF-4168-ABA7-B166E31BCC65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253-4194-8B9A-25A97B6344BD}"/>
                </c:ext>
              </c:extLst>
            </c:dLbl>
            <c:dLbl>
              <c:idx val="9"/>
              <c:layout>
                <c:manualLayout>
                  <c:x val="1.6283520974199554E-3"/>
                  <c:y val="0.16430407091725946"/>
                </c:manualLayout>
              </c:layout>
              <c:tx>
                <c:rich>
                  <a:bodyPr/>
                  <a:lstStyle/>
                  <a:p>
                    <a:fld id="{4994EC95-7531-4E79-B503-8616B2A04D3C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3301718F-BC35-4492-AAF7-3BF8D77ED77C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7-BE1D-498D-8461-AA6A8FD5F370}"/>
                </c:ext>
              </c:extLst>
            </c:dLbl>
            <c:dLbl>
              <c:idx val="10"/>
              <c:layout>
                <c:manualLayout>
                  <c:x val="-1.1941110769683295E-16"/>
                  <c:y val="0.16065286934132036"/>
                </c:manualLayout>
              </c:layout>
              <c:tx>
                <c:rich>
                  <a:bodyPr/>
                  <a:lstStyle/>
                  <a:p>
                    <a:fld id="{E185AEFE-9DDB-4D46-A672-3B531444B2FF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38F1F038-CCD4-4F3F-B96F-5BC1BFCEB9AC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8-BE1D-498D-8461-AA6A8FD5F3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'03.1. Chart XK-B2B'!$D$5:$Q$5</c15:sqref>
                  </c15:fullRef>
                </c:ext>
              </c:extLst>
              <c:f>('03.1. Chart XK-B2B'!$D$5:$L$5,'03.1. Chart XK-B2B'!$P$5:$Q$5)</c:f>
              <c:strCach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BQ 25</c:v>
                </c:pt>
                <c:pt idx="10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'03.1. Chart XK-B2B'!$D$6:$Q$6</c15:sqref>
                  </c15:fullRef>
                </c:ext>
              </c:extLst>
              <c:f>('03.1. Chart XK-B2B'!$D$6:$L$6,'03.1. Chart XK-B2B'!$P$6:$Q$6)</c:f>
              <c:numCache>
                <c:formatCode>_(* #,##0_);_(* \(#,##0\);_(* "-"??_);_(@_)</c:formatCode>
                <c:ptCount val="11"/>
                <c:pt idx="0">
                  <c:v>1946.44</c:v>
                </c:pt>
                <c:pt idx="1">
                  <c:v>2386.44</c:v>
                </c:pt>
                <c:pt idx="2">
                  <c:v>2087.39</c:v>
                </c:pt>
                <c:pt idx="3">
                  <c:v>2054.39</c:v>
                </c:pt>
                <c:pt idx="4">
                  <c:v>3128.3900000000003</c:v>
                </c:pt>
                <c:pt idx="5">
                  <c:v>2863.3900000000003</c:v>
                </c:pt>
                <c:pt idx="6">
                  <c:v>3332.3900000000003</c:v>
                </c:pt>
                <c:pt idx="7">
                  <c:v>3004.3900000000003</c:v>
                </c:pt>
                <c:pt idx="8">
                  <c:v>3939.3900000000003</c:v>
                </c:pt>
                <c:pt idx="9" formatCode="General">
                  <c:v>2894</c:v>
                </c:pt>
                <c:pt idx="10" formatCode="General">
                  <c:v>2541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'03.1. Chart XK-B2B'!$D$9:$Q$9</c15:f>
                <c15:dlblRangeCache>
                  <c:ptCount val="14"/>
                  <c:pt idx="0">
                    <c:v>64%</c:v>
                  </c:pt>
                  <c:pt idx="1">
                    <c:v>65%</c:v>
                  </c:pt>
                  <c:pt idx="2">
                    <c:v>58%</c:v>
                  </c:pt>
                  <c:pt idx="3">
                    <c:v>53%</c:v>
                  </c:pt>
                  <c:pt idx="4">
                    <c:v>61%</c:v>
                  </c:pt>
                  <c:pt idx="5">
                    <c:v>58%</c:v>
                  </c:pt>
                  <c:pt idx="6">
                    <c:v>61%</c:v>
                  </c:pt>
                  <c:pt idx="7">
                    <c:v>55%</c:v>
                  </c:pt>
                  <c:pt idx="8">
                    <c:v>61%</c:v>
                  </c:pt>
                  <c:pt idx="9">
                    <c:v>60%</c:v>
                  </c:pt>
                  <c:pt idx="10">
                    <c:v>52%</c:v>
                  </c:pt>
                  <c:pt idx="11">
                    <c:v>51%</c:v>
                  </c:pt>
                  <c:pt idx="12">
                    <c:v>58%</c:v>
                  </c:pt>
                  <c:pt idx="13">
                    <c:v>61%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E1D-498D-8461-AA6A8FD5F370}"/>
            </c:ext>
          </c:extLst>
        </c:ser>
        <c:ser>
          <c:idx val="5"/>
          <c:order val="5"/>
          <c:tx>
            <c:strRef>
              <c:f>'03.1. Chart XK-B2B'!$C$11</c:f>
              <c:strCache>
                <c:ptCount val="1"/>
                <c:pt idx="0">
                  <c:v>TT bán xuất khẩu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0811848982852871"/>
                </c:manualLayout>
              </c:layout>
              <c:tx>
                <c:rich>
                  <a:bodyPr/>
                  <a:lstStyle/>
                  <a:p>
                    <a:fld id="{67D418E8-F66A-4F8A-A2C4-9560CA889C72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2F5BAFA4-9A01-415C-9AF5-DEFD8DF5373D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C318-491B-9B63-673EACB9BD83}"/>
                </c:ext>
              </c:extLst>
            </c:dLbl>
            <c:dLbl>
              <c:idx val="1"/>
              <c:layout>
                <c:manualLayout>
                  <c:x val="-2.9852776924208237E-17"/>
                  <c:y val="0.30304973080294523"/>
                </c:manualLayout>
              </c:layout>
              <c:tx>
                <c:rich>
                  <a:bodyPr/>
                  <a:lstStyle/>
                  <a:p>
                    <a:fld id="{4D27FC15-1760-43FD-8867-97F5296B4FBF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4E1E1EB7-057D-41F0-A848-A407930FCE64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F-C318-491B-9B63-673EACB9BD83}"/>
                </c:ext>
              </c:extLst>
            </c:dLbl>
            <c:dLbl>
              <c:idx val="2"/>
              <c:layout>
                <c:manualLayout>
                  <c:x val="0"/>
                  <c:y val="0.19716488510071128"/>
                </c:manualLayout>
              </c:layout>
              <c:tx>
                <c:rich>
                  <a:bodyPr/>
                  <a:lstStyle/>
                  <a:p>
                    <a:fld id="{8D186C19-8C65-426E-B2EC-A84C47C4E57D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7A59961A-87A3-4095-BFF8-761403CFF6F0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2-C318-491B-9B63-673EACB9BD83}"/>
                </c:ext>
              </c:extLst>
            </c:dLbl>
            <c:dLbl>
              <c:idx val="3"/>
              <c:layout>
                <c:manualLayout>
                  <c:x val="-1.6283520974201345E-3"/>
                  <c:y val="0.22272329613228506"/>
                </c:manualLayout>
              </c:layout>
              <c:tx>
                <c:rich>
                  <a:bodyPr/>
                  <a:lstStyle/>
                  <a:p>
                    <a:fld id="{0EB70FCC-FAC6-49E2-AC07-6BCB34D2A025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418B4103-72BC-4C60-90C5-74B84AE594EE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C318-491B-9B63-673EACB9BD83}"/>
                </c:ext>
              </c:extLst>
            </c:dLbl>
            <c:dLbl>
              <c:idx val="4"/>
              <c:layout>
                <c:manualLayout>
                  <c:x val="0"/>
                  <c:y val="0.23732810243604144"/>
                </c:manualLayout>
              </c:layout>
              <c:tx>
                <c:rich>
                  <a:bodyPr/>
                  <a:lstStyle/>
                  <a:p>
                    <a:fld id="{6BC35B84-8439-467A-9C80-BD0A4A44750F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B495FD4B-747C-4FAB-80A5-FF0B3A2D08DB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C318-491B-9B63-673EACB9BD83}"/>
                </c:ext>
              </c:extLst>
            </c:dLbl>
            <c:dLbl>
              <c:idx val="5"/>
              <c:layout>
                <c:manualLayout>
                  <c:x val="0"/>
                  <c:y val="0.16065291552842101"/>
                </c:manualLayout>
              </c:layout>
              <c:tx>
                <c:rich>
                  <a:bodyPr/>
                  <a:lstStyle/>
                  <a:p>
                    <a:fld id="{A8403A36-5EBF-4B96-8B81-EFE49ED87D87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FCF642E1-4F30-437D-8CE6-4521C89358BF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9C8D-4846-821A-A6EE8C5FA862}"/>
                </c:ext>
              </c:extLst>
            </c:dLbl>
            <c:dLbl>
              <c:idx val="6"/>
              <c:layout>
                <c:manualLayout>
                  <c:x val="0"/>
                  <c:y val="0.15700171290277509"/>
                </c:manualLayout>
              </c:layout>
              <c:tx>
                <c:rich>
                  <a:bodyPr/>
                  <a:lstStyle/>
                  <a:p>
                    <a:fld id="{BBB491F1-3576-4F95-9836-F4A32C2ED4F4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29AD65B1-8D28-4EE5-818A-EC05B8DBA832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97E2-4F60-BDE7-9EF8EDC69287}"/>
                </c:ext>
              </c:extLst>
            </c:dLbl>
            <c:dLbl>
              <c:idx val="7"/>
              <c:layout>
                <c:manualLayout>
                  <c:x val="-1.0893972790590569E-16"/>
                  <c:y val="0.16655776538058223"/>
                </c:manualLayout>
              </c:layout>
              <c:tx>
                <c:rich>
                  <a:bodyPr/>
                  <a:lstStyle/>
                  <a:p>
                    <a:fld id="{E79A1DAA-673C-4CA5-B363-A57A4D72B015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BE34E008-BCBF-4CEF-9346-333C6F9D67D5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A1E0-4C34-A6F1-535BFB1F4046}"/>
                </c:ext>
              </c:extLst>
            </c:dLbl>
            <c:dLbl>
              <c:idx val="8"/>
              <c:layout>
                <c:manualLayout>
                  <c:x val="-1.0893972790590569E-16"/>
                  <c:y val="8.5129524527853176E-2"/>
                </c:manualLayout>
              </c:layout>
              <c:tx>
                <c:rich>
                  <a:bodyPr/>
                  <a:lstStyle/>
                  <a:p>
                    <a:fld id="{F639E866-8D0B-44CD-9B89-C66A17DF1438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BCE09307-9D78-4953-B368-5FD2280317D8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253-4194-8B9A-25A97B6344BD}"/>
                </c:ext>
              </c:extLst>
            </c:dLbl>
            <c:dLbl>
              <c:idx val="9"/>
              <c:layout>
                <c:manualLayout>
                  <c:x val="1.6283520974199554E-3"/>
                  <c:y val="0.2117696914044678"/>
                </c:manualLayout>
              </c:layout>
              <c:tx>
                <c:rich>
                  <a:bodyPr/>
                  <a:lstStyle/>
                  <a:p>
                    <a:fld id="{6BBAF8C8-34A2-44B5-9090-1B8D6C275ED4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5DADAD19-5D17-4DB6-BEE4-83AB4CD5ECAB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C-C318-491B-9B63-673EACB9BD83}"/>
                </c:ext>
              </c:extLst>
            </c:dLbl>
            <c:dLbl>
              <c:idx val="10"/>
              <c:layout>
                <c:manualLayout>
                  <c:x val="-3.2567041948402689E-3"/>
                  <c:y val="0.11318724885411208"/>
                </c:manualLayout>
              </c:layout>
              <c:tx>
                <c:rich>
                  <a:bodyPr/>
                  <a:lstStyle/>
                  <a:p>
                    <a:fld id="{67B07606-0F63-4A46-8351-38CAB20C25EA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85BAA4B5-6F0D-49AC-BE0E-DE42F0EEFAE4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C318-491B-9B63-673EACB9BD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'03.1. Chart XK-B2B'!$D$5:$Q$5</c15:sqref>
                  </c15:fullRef>
                </c:ext>
              </c:extLst>
              <c:f>('03.1. Chart XK-B2B'!$D$5:$L$5,'03.1. Chart XK-B2B'!$P$5:$Q$5)</c:f>
              <c:strCach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BQ 25</c:v>
                </c:pt>
                <c:pt idx="10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'03.1. Chart XK-B2B'!$D$11:$Q$11</c15:sqref>
                  </c15:fullRef>
                </c:ext>
              </c:extLst>
              <c:f>('03.1. Chart XK-B2B'!$D$11:$L$11,'03.1. Chart XK-B2B'!$P$11:$Q$11)</c:f>
              <c:numCache>
                <c:formatCode>#,##0</c:formatCode>
                <c:ptCount val="11"/>
                <c:pt idx="0">
                  <c:v>2553.1</c:v>
                </c:pt>
                <c:pt idx="1">
                  <c:v>3944</c:v>
                </c:pt>
                <c:pt idx="2">
                  <c:v>3259.15</c:v>
                </c:pt>
                <c:pt idx="3">
                  <c:v>2811</c:v>
                </c:pt>
                <c:pt idx="4">
                  <c:v>3493</c:v>
                </c:pt>
                <c:pt idx="5">
                  <c:v>2248.125</c:v>
                </c:pt>
                <c:pt idx="6">
                  <c:v>2750.4</c:v>
                </c:pt>
                <c:pt idx="7">
                  <c:v>2986.3</c:v>
                </c:pt>
                <c:pt idx="8">
                  <c:v>794</c:v>
                </c:pt>
                <c:pt idx="9">
                  <c:v>2759.8972222222224</c:v>
                </c:pt>
                <c:pt idx="10">
                  <c:v>1664.6812499999999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'03.1. Chart XK-B2B'!$D$14:$Q$14</c15:f>
                <c15:dlblRangeCache>
                  <c:ptCount val="14"/>
                  <c:pt idx="0">
                    <c:v>73%</c:v>
                  </c:pt>
                  <c:pt idx="1">
                    <c:v>72%</c:v>
                  </c:pt>
                  <c:pt idx="2">
                    <c:v>71%</c:v>
                  </c:pt>
                  <c:pt idx="3">
                    <c:v>73%</c:v>
                  </c:pt>
                  <c:pt idx="4">
                    <c:v>76%</c:v>
                  </c:pt>
                  <c:pt idx="5">
                    <c:v>61%</c:v>
                  </c:pt>
                  <c:pt idx="6">
                    <c:v>60%</c:v>
                  </c:pt>
                  <c:pt idx="7">
                    <c:v>58%</c:v>
                  </c:pt>
                  <c:pt idx="8">
                    <c:v>30%</c:v>
                  </c:pt>
                  <c:pt idx="9">
                    <c:v>0%</c:v>
                  </c:pt>
                  <c:pt idx="10">
                    <c:v>0%</c:v>
                  </c:pt>
                  <c:pt idx="11">
                    <c:v>0%</c:v>
                  </c:pt>
                  <c:pt idx="12">
                    <c:v>65%</c:v>
                  </c:pt>
                  <c:pt idx="13">
                    <c:v>57%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BE1D-498D-8461-AA6A8FD5F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676989904"/>
        <c:axId val="676990864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'03.1. Chart XK-B2B'!$C$9</c15:sqref>
                        </c15:formulaRef>
                      </c:ext>
                    </c:extLst>
                    <c:strCache>
                      <c:ptCount val="1"/>
                      <c:pt idx="0">
                        <c:v>% KH XK</c:v>
                      </c:pt>
                    </c:strCache>
                  </c:strRef>
                </c:tx>
                <c:spPr>
                  <a:solidFill>
                    <a:srgbClr val="00B050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'03.1. Chart XK-B2B'!$D$5:$Q$5</c15:sqref>
                        </c15:fullRef>
                        <c15:formulaRef>
                          <c15:sqref>('03.1. Chart XK-B2B'!$D$5:$L$5,'03.1. Chart XK-B2B'!$P$5:$Q$5)</c15:sqref>
                        </c15:formulaRef>
                      </c:ext>
                    </c:extLst>
                    <c:strCach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BQ 25</c:v>
                      </c:pt>
                      <c:pt idx="10">
                        <c:v>BQ 24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'03.1. Chart XK-B2B'!$D$9:$Q$9</c15:sqref>
                        </c15:fullRef>
                        <c15:formulaRef>
                          <c15:sqref>('03.1. Chart XK-B2B'!$D$9:$L$9,'03.1. Chart XK-B2B'!$P$9:$Q$9)</c15:sqref>
                        </c15:formulaRef>
                      </c:ext>
                    </c:extLst>
                    <c:numCache>
                      <c:formatCode>0%</c:formatCode>
                      <c:ptCount val="11"/>
                      <c:pt idx="0">
                        <c:v>0.63875716634451618</c:v>
                      </c:pt>
                      <c:pt idx="1">
                        <c:v>0.65395713616297135</c:v>
                      </c:pt>
                      <c:pt idx="2">
                        <c:v>0.57757160881884184</c:v>
                      </c:pt>
                      <c:pt idx="3">
                        <c:v>0.52918463337609278</c:v>
                      </c:pt>
                      <c:pt idx="4">
                        <c:v>0.6103603955141762</c:v>
                      </c:pt>
                      <c:pt idx="5">
                        <c:v>0.57890352854598348</c:v>
                      </c:pt>
                      <c:pt idx="6">
                        <c:v>0.60929783534428061</c:v>
                      </c:pt>
                      <c:pt idx="7">
                        <c:v>0.55240653608471102</c:v>
                      </c:pt>
                      <c:pt idx="8">
                        <c:v>0.61068902279276915</c:v>
                      </c:pt>
                      <c:pt idx="9">
                        <c:v>0.57879999999999998</c:v>
                      </c:pt>
                      <c:pt idx="10">
                        <c:v>0.60979121670266379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E1D-498D-8461-AA6A8FD5F37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'03.1. Chart XK-B2B'!$C$10</c15:sqref>
                        </c15:formulaRef>
                      </c:ext>
                    </c:extLst>
                    <c:strCache>
                      <c:ptCount val="1"/>
                      <c:pt idx="0">
                        <c:v>% KH B2B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'03.1. Chart XK-B2B'!$D$5:$Q$5</c15:sqref>
                        </c15:fullRef>
                        <c15:formulaRef>
                          <c15:sqref>('03.1. Chart XK-B2B'!$D$5:$L$5,'03.1. Chart XK-B2B'!$P$5:$Q$5)</c15:sqref>
                        </c15:formulaRef>
                      </c:ext>
                    </c:extLst>
                    <c:strCach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BQ 25</c:v>
                      </c:pt>
                      <c:pt idx="10">
                        <c:v>BQ 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'03.1. Chart XK-B2B'!$D$10:$Q$10</c15:sqref>
                        </c15:fullRef>
                        <c15:formulaRef>
                          <c15:sqref>('03.1. Chart XK-B2B'!$D$10:$L$10,'03.1. Chart XK-B2B'!$P$10:$Q$10)</c15:sqref>
                        </c15:formulaRef>
                      </c:ext>
                    </c:extLst>
                    <c:numCache>
                      <c:formatCode>0%</c:formatCode>
                      <c:ptCount val="11"/>
                      <c:pt idx="0">
                        <c:v>0.36124283365548382</c:v>
                      </c:pt>
                      <c:pt idx="1">
                        <c:v>0.34604286383702865</c:v>
                      </c:pt>
                      <c:pt idx="2">
                        <c:v>0.42242839118115816</c:v>
                      </c:pt>
                      <c:pt idx="3">
                        <c:v>0.47081536662390722</c:v>
                      </c:pt>
                      <c:pt idx="4">
                        <c:v>0.38963960448582369</c:v>
                      </c:pt>
                      <c:pt idx="5">
                        <c:v>0.42109647145401646</c:v>
                      </c:pt>
                      <c:pt idx="6">
                        <c:v>0.39070216465571933</c:v>
                      </c:pt>
                      <c:pt idx="7">
                        <c:v>0.44759346391528904</c:v>
                      </c:pt>
                      <c:pt idx="8">
                        <c:v>0.38931097720723079</c:v>
                      </c:pt>
                      <c:pt idx="9">
                        <c:v>0.42120000000000002</c:v>
                      </c:pt>
                      <c:pt idx="10">
                        <c:v>0.39020878329733621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E1D-498D-8461-AA6A8FD5F370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'03.1. Chart XK-B2B'!$C$14</c15:sqref>
                        </c15:formulaRef>
                      </c:ext>
                    </c:extLst>
                    <c:strCache>
                      <c:ptCount val="1"/>
                      <c:pt idx="0">
                        <c:v>% TT XK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'03.1. Chart XK-B2B'!$D$5:$Q$5</c15:sqref>
                        </c15:fullRef>
                        <c15:formulaRef>
                          <c15:sqref>('03.1. Chart XK-B2B'!$D$5:$L$5,'03.1. Chart XK-B2B'!$P$5:$Q$5)</c15:sqref>
                        </c15:formulaRef>
                      </c:ext>
                    </c:extLst>
                    <c:strCach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BQ 25</c:v>
                      </c:pt>
                      <c:pt idx="10">
                        <c:v>BQ 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'03.1. Chart XK-B2B'!$D$14:$Q$14</c15:sqref>
                        </c15:fullRef>
                        <c15:formulaRef>
                          <c15:sqref>('03.1. Chart XK-B2B'!$D$14:$L$14,'03.1. Chart XK-B2B'!$P$14:$Q$14)</c15:sqref>
                        </c15:formulaRef>
                      </c:ext>
                    </c:extLst>
                    <c:numCache>
                      <c:formatCode>0%</c:formatCode>
                      <c:ptCount val="11"/>
                      <c:pt idx="0">
                        <c:v>0.73196689001629101</c:v>
                      </c:pt>
                      <c:pt idx="1">
                        <c:v>0.72014497847690429</c:v>
                      </c:pt>
                      <c:pt idx="2">
                        <c:v>0.71159703496686721</c:v>
                      </c:pt>
                      <c:pt idx="3">
                        <c:v>0.72995449145335212</c:v>
                      </c:pt>
                      <c:pt idx="4">
                        <c:v>0.7622103734235115</c:v>
                      </c:pt>
                      <c:pt idx="5">
                        <c:v>0.61203313289092254</c:v>
                      </c:pt>
                      <c:pt idx="6">
                        <c:v>0.60310180362392174</c:v>
                      </c:pt>
                      <c:pt idx="7">
                        <c:v>0.57546506626625826</c:v>
                      </c:pt>
                      <c:pt idx="8">
                        <c:v>0.29882843446643503</c:v>
                      </c:pt>
                      <c:pt idx="9">
                        <c:v>0.65265655152701085</c:v>
                      </c:pt>
                      <c:pt idx="10">
                        <c:v>0.57144553990062641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1D-498D-8461-AA6A8FD5F370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'03.1. Chart XK-B2B'!$C$15</c15:sqref>
                        </c15:formulaRef>
                      </c:ext>
                    </c:extLst>
                    <c:strCache>
                      <c:ptCount val="1"/>
                      <c:pt idx="0">
                        <c:v>% TT B2B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'03.1. Chart XK-B2B'!$D$5:$Q$5</c15:sqref>
                        </c15:fullRef>
                        <c15:formulaRef>
                          <c15:sqref>('03.1. Chart XK-B2B'!$D$5:$L$5,'03.1. Chart XK-B2B'!$P$5:$Q$5)</c15:sqref>
                        </c15:formulaRef>
                      </c:ext>
                    </c:extLst>
                    <c:strCach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BQ 25</c:v>
                      </c:pt>
                      <c:pt idx="10">
                        <c:v>BQ 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'03.1. Chart XK-B2B'!$D$15:$Q$15</c15:sqref>
                        </c15:fullRef>
                        <c15:formulaRef>
                          <c15:sqref>('03.1. Chart XK-B2B'!$D$15:$L$15,'03.1. Chart XK-B2B'!$P$15:$Q$15)</c15:sqref>
                        </c15:formulaRef>
                      </c:ext>
                    </c:extLst>
                    <c:numCache>
                      <c:formatCode>0%</c:formatCode>
                      <c:ptCount val="11"/>
                      <c:pt idx="0">
                        <c:v>0.26803310998370899</c:v>
                      </c:pt>
                      <c:pt idx="1">
                        <c:v>0.27985502152309566</c:v>
                      </c:pt>
                      <c:pt idx="2">
                        <c:v>0.28840296503313279</c:v>
                      </c:pt>
                      <c:pt idx="3">
                        <c:v>0.27004550854664788</c:v>
                      </c:pt>
                      <c:pt idx="4">
                        <c:v>0.23778962657648856</c:v>
                      </c:pt>
                      <c:pt idx="5">
                        <c:v>0.38796686710907741</c:v>
                      </c:pt>
                      <c:pt idx="6">
                        <c:v>0.39689819637607821</c:v>
                      </c:pt>
                      <c:pt idx="7">
                        <c:v>0.42453493373374179</c:v>
                      </c:pt>
                      <c:pt idx="8">
                        <c:v>0.70117156553356497</c:v>
                      </c:pt>
                      <c:pt idx="9">
                        <c:v>0.34734344847298909</c:v>
                      </c:pt>
                      <c:pt idx="10">
                        <c:v>0.42855446009937365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1D-498D-8461-AA6A8FD5F370}"/>
                  </c:ext>
                </c:extLst>
              </c15:ser>
            </c15:filteredBarSeries>
          </c:ext>
        </c:extLst>
      </c:barChart>
      <c:barChart>
        <c:barDir val="col"/>
        <c:grouping val="clustered"/>
        <c:varyColors val="0"/>
        <c:ser>
          <c:idx val="1"/>
          <c:order val="1"/>
          <c:tx>
            <c:strRef>
              <c:f>'03.1. Chart XK-B2B'!$C$7</c:f>
              <c:strCache>
                <c:ptCount val="1"/>
                <c:pt idx="0">
                  <c:v>KH bán nội địa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5.7823167629488612E-3"/>
                  <c:y val="9.4931240974416575E-2"/>
                </c:manualLayout>
              </c:layout>
              <c:tx>
                <c:rich>
                  <a:bodyPr/>
                  <a:lstStyle/>
                  <a:p>
                    <a:fld id="{F4091A77-389C-4F0F-9B4C-973985A57BF5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64FDD3EF-440D-4B4C-BE3B-28AA4F605309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9-BE1D-498D-8461-AA6A8FD5F370}"/>
                </c:ext>
              </c:extLst>
            </c:dLbl>
            <c:dLbl>
              <c:idx val="1"/>
              <c:layout>
                <c:manualLayout>
                  <c:x val="-2.9852776924208237E-17"/>
                  <c:y val="9.4931240974416575E-2"/>
                </c:manualLayout>
              </c:layout>
              <c:tx>
                <c:rich>
                  <a:bodyPr/>
                  <a:lstStyle/>
                  <a:p>
                    <a:fld id="{F20255C2-3187-4CB6-9D32-52413134FC8A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E6B12180-94AA-43B4-8632-0B866A4DC491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A-BE1D-498D-8461-AA6A8FD5F370}"/>
                </c:ext>
              </c:extLst>
            </c:dLbl>
            <c:dLbl>
              <c:idx val="2"/>
              <c:layout>
                <c:manualLayout>
                  <c:x val="0"/>
                  <c:y val="0.11683845043005103"/>
                </c:manualLayout>
              </c:layout>
              <c:tx>
                <c:rich>
                  <a:bodyPr/>
                  <a:lstStyle/>
                  <a:p>
                    <a:fld id="{1991240F-BE23-4273-A714-D5A20143A70B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749193C9-3859-459C-875B-CC57B8CCAFA0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BE1D-498D-8461-AA6A8FD5F370}"/>
                </c:ext>
              </c:extLst>
            </c:dLbl>
            <c:dLbl>
              <c:idx val="3"/>
              <c:layout>
                <c:manualLayout>
                  <c:x val="-1.6283520974200748E-3"/>
                  <c:y val="0.13874565988568577"/>
                </c:manualLayout>
              </c:layout>
              <c:tx>
                <c:rich>
                  <a:bodyPr/>
                  <a:lstStyle/>
                  <a:p>
                    <a:fld id="{141A4A68-EF34-4204-91E9-29EFE617AD6D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61C72416-9756-4F14-A29A-12613F73900A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C-BE1D-498D-8461-AA6A8FD5F370}"/>
                </c:ext>
              </c:extLst>
            </c:dLbl>
            <c:dLbl>
              <c:idx val="4"/>
              <c:layout>
                <c:manualLayout>
                  <c:x val="0"/>
                  <c:y val="0.13509445830974667"/>
                </c:manualLayout>
              </c:layout>
              <c:tx>
                <c:rich>
                  <a:bodyPr/>
                  <a:lstStyle/>
                  <a:p>
                    <a:fld id="{F6A0321C-D4EB-4C94-B95B-6662E68AB8DD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57643370-25FD-4662-B316-8EEE262CCA50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D-BE1D-498D-8461-AA6A8FD5F370}"/>
                </c:ext>
              </c:extLst>
            </c:dLbl>
            <c:dLbl>
              <c:idx val="5"/>
              <c:layout>
                <c:manualLayout>
                  <c:x val="0"/>
                  <c:y val="0.13509449714889948"/>
                </c:manualLayout>
              </c:layout>
              <c:tx>
                <c:rich>
                  <a:bodyPr/>
                  <a:lstStyle/>
                  <a:p>
                    <a:fld id="{5CA8914A-CC5E-48AE-8AF4-076BE5D65F75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AF73E893-BECC-4C79-BFFB-6F479868621D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9C8D-4846-821A-A6EE8C5FA862}"/>
                </c:ext>
              </c:extLst>
            </c:dLbl>
            <c:dLbl>
              <c:idx val="6"/>
              <c:layout>
                <c:manualLayout>
                  <c:x val="0"/>
                  <c:y val="0.14604810502583729"/>
                </c:manualLayout>
              </c:layout>
              <c:tx>
                <c:rich>
                  <a:bodyPr/>
                  <a:lstStyle/>
                  <a:p>
                    <a:fld id="{85296045-063C-427F-A9DD-2373B8FC0C39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D5D6C9B8-A834-4150-B9E2-BEE17AAA03CB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97E2-4F60-BDE7-9EF8EDC69287}"/>
                </c:ext>
              </c:extLst>
            </c:dLbl>
            <c:dLbl>
              <c:idx val="7"/>
              <c:layout>
                <c:manualLayout>
                  <c:x val="0"/>
                  <c:y val="0.15915519803033421"/>
                </c:manualLayout>
              </c:layout>
              <c:tx>
                <c:rich>
                  <a:bodyPr/>
                  <a:lstStyle/>
                  <a:p>
                    <a:fld id="{6D654E99-CE5F-4D3C-B265-92F1EF1ED38A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A96B10CC-B933-46E1-A856-9DCD8F32C392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A1E0-4C34-A6F1-535BFB1F4046}"/>
                </c:ext>
              </c:extLst>
            </c:dLbl>
            <c:dLbl>
              <c:idx val="8"/>
              <c:layout>
                <c:manualLayout>
                  <c:x val="-2.9711178105529812E-3"/>
                  <c:y val="0.17025904905570649"/>
                </c:manualLayout>
              </c:layout>
              <c:tx>
                <c:rich>
                  <a:bodyPr/>
                  <a:lstStyle/>
                  <a:p>
                    <a:fld id="{B15783C9-B429-4BE5-868C-667875307095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EFA946ED-B790-493D-9DB0-FA55CDB6B61A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3253-4194-8B9A-25A97B6344BD}"/>
                </c:ext>
              </c:extLst>
            </c:dLbl>
            <c:dLbl>
              <c:idx val="9"/>
              <c:layout>
                <c:manualLayout>
                  <c:x val="-1.6283520974201943E-3"/>
                  <c:y val="0.16065286934132036"/>
                </c:manualLayout>
              </c:layout>
              <c:tx>
                <c:rich>
                  <a:bodyPr/>
                  <a:lstStyle/>
                  <a:p>
                    <a:fld id="{1E042973-FBF8-4762-89E4-6F995E19C787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ED9DC91B-6BA7-4C74-ABB1-F911BC97889E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BE1D-498D-8461-AA6A8FD5F370}"/>
                </c:ext>
              </c:extLst>
            </c:dLbl>
            <c:dLbl>
              <c:idx val="10"/>
              <c:layout>
                <c:manualLayout>
                  <c:x val="-1.6283520974200748E-3"/>
                  <c:y val="0.12414085358192938"/>
                </c:manualLayout>
              </c:layout>
              <c:tx>
                <c:rich>
                  <a:bodyPr/>
                  <a:lstStyle/>
                  <a:p>
                    <a:fld id="{AD03B9CD-DCA6-4406-B205-35DED5F2C249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3EEF82EC-36CD-4DDE-A44B-50C63824574C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6-BE1D-498D-8461-AA6A8FD5F3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'03.1. Chart XK-B2B'!$D$5:$Q$5</c15:sqref>
                  </c15:fullRef>
                </c:ext>
              </c:extLst>
              <c:f>('03.1. Chart XK-B2B'!$D$5:$L$5,'03.1. Chart XK-B2B'!$P$5:$Q$5)</c:f>
              <c:strCach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BQ 25</c:v>
                </c:pt>
                <c:pt idx="10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'03.1. Chart XK-B2B'!$D$7:$Q$7</c15:sqref>
                  </c15:fullRef>
                </c:ext>
              </c:extLst>
              <c:f>('03.1. Chart XK-B2B'!$D$7:$L$7,'03.1. Chart XK-B2B'!$P$7:$Q$7)</c:f>
              <c:numCache>
                <c:formatCode>_(* #,##0_);_(* \(#,##0\);_(* "-"??_);_(@_)</c:formatCode>
                <c:ptCount val="11"/>
                <c:pt idx="0">
                  <c:v>1100.79</c:v>
                </c:pt>
                <c:pt idx="1">
                  <c:v>1262.79</c:v>
                </c:pt>
                <c:pt idx="2">
                  <c:v>1526.69</c:v>
                </c:pt>
                <c:pt idx="3">
                  <c:v>1827.79</c:v>
                </c:pt>
                <c:pt idx="4">
                  <c:v>1997.09</c:v>
                </c:pt>
                <c:pt idx="5">
                  <c:v>2082.84</c:v>
                </c:pt>
                <c:pt idx="6">
                  <c:v>2136.84</c:v>
                </c:pt>
                <c:pt idx="7">
                  <c:v>2434.34</c:v>
                </c:pt>
                <c:pt idx="8">
                  <c:v>2511.34</c:v>
                </c:pt>
                <c:pt idx="9" formatCode="General">
                  <c:v>2106</c:v>
                </c:pt>
                <c:pt idx="10" formatCode="General">
                  <c:v>1626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'03.1. Chart XK-B2B'!$D$10:$Q$10</c15:f>
                <c15:dlblRangeCache>
                  <c:ptCount val="14"/>
                  <c:pt idx="0">
                    <c:v>36%</c:v>
                  </c:pt>
                  <c:pt idx="1">
                    <c:v>35%</c:v>
                  </c:pt>
                  <c:pt idx="2">
                    <c:v>42%</c:v>
                  </c:pt>
                  <c:pt idx="3">
                    <c:v>47%</c:v>
                  </c:pt>
                  <c:pt idx="4">
                    <c:v>39%</c:v>
                  </c:pt>
                  <c:pt idx="5">
                    <c:v>42%</c:v>
                  </c:pt>
                  <c:pt idx="6">
                    <c:v>39%</c:v>
                  </c:pt>
                  <c:pt idx="7">
                    <c:v>45%</c:v>
                  </c:pt>
                  <c:pt idx="8">
                    <c:v>39%</c:v>
                  </c:pt>
                  <c:pt idx="9">
                    <c:v>40%</c:v>
                  </c:pt>
                  <c:pt idx="10">
                    <c:v>48%</c:v>
                  </c:pt>
                  <c:pt idx="11">
                    <c:v>49%</c:v>
                  </c:pt>
                  <c:pt idx="12">
                    <c:v>42%</c:v>
                  </c:pt>
                  <c:pt idx="13">
                    <c:v>39%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BE1D-498D-8461-AA6A8FD5F370}"/>
            </c:ext>
          </c:extLst>
        </c:ser>
        <c:ser>
          <c:idx val="6"/>
          <c:order val="6"/>
          <c:tx>
            <c:strRef>
              <c:f>'03.1. Chart XK-B2B'!$C$12</c:f>
              <c:strCache>
                <c:ptCount val="1"/>
                <c:pt idx="0">
                  <c:v>TT bán nội địa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6283520974200748E-3"/>
                  <c:y val="0.11318724885411208"/>
                </c:manualLayout>
              </c:layout>
              <c:tx>
                <c:rich>
                  <a:bodyPr/>
                  <a:lstStyle/>
                  <a:p>
                    <a:fld id="{1F5DD743-59F2-4ECE-91FF-1AFFA33FD77E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6AC04D50-CA86-4362-9587-03D720D5859D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C318-491B-9B63-673EACB9BD83}"/>
                </c:ext>
              </c:extLst>
            </c:dLbl>
            <c:dLbl>
              <c:idx val="1"/>
              <c:layout>
                <c:manualLayout>
                  <c:x val="0"/>
                  <c:y val="0.12415580338365749"/>
                </c:manualLayout>
              </c:layout>
              <c:tx>
                <c:rich>
                  <a:bodyPr/>
                  <a:lstStyle/>
                  <a:p>
                    <a:fld id="{915F1A1A-10EA-46B0-B22D-940C6282EB87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9DCB75C2-DFE8-4D66-AA04-CDE6AE916EAF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C318-491B-9B63-673EACB9BD83}"/>
                </c:ext>
              </c:extLst>
            </c:dLbl>
            <c:dLbl>
              <c:idx val="2"/>
              <c:layout>
                <c:manualLayout>
                  <c:x val="0"/>
                  <c:y val="0.11318724885411208"/>
                </c:manualLayout>
              </c:layout>
              <c:tx>
                <c:rich>
                  <a:bodyPr/>
                  <a:lstStyle/>
                  <a:p>
                    <a:fld id="{029E04A4-A789-4517-8579-CD00ADB2A4F1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D50B5258-D248-4DFC-B7D5-0E9BF357972F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C318-491B-9B63-673EACB9BD83}"/>
                </c:ext>
              </c:extLst>
            </c:dLbl>
            <c:dLbl>
              <c:idx val="3"/>
              <c:layout>
                <c:manualLayout>
                  <c:x val="-1.6283520974201345E-3"/>
                  <c:y val="0.10953604727817297"/>
                </c:manualLayout>
              </c:layout>
              <c:tx>
                <c:rich>
                  <a:bodyPr/>
                  <a:lstStyle/>
                  <a:p>
                    <a:fld id="{EE64E850-41CB-4611-BA88-ABC07CC16367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FC65668B-90AD-43E5-9161-B8BDD7E4AA41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C318-491B-9B63-673EACB9BD83}"/>
                </c:ext>
              </c:extLst>
            </c:dLbl>
            <c:dLbl>
              <c:idx val="4"/>
              <c:layout>
                <c:manualLayout>
                  <c:x val="0"/>
                  <c:y val="0.10953604727817297"/>
                </c:manualLayout>
              </c:layout>
              <c:tx>
                <c:rich>
                  <a:bodyPr/>
                  <a:lstStyle/>
                  <a:p>
                    <a:fld id="{75CDD10B-0080-4D52-B45F-9ACB0973A236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941FC5B1-849F-4983-AE92-A7C6E415AD8C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8-C318-491B-9B63-673EACB9BD83}"/>
                </c:ext>
              </c:extLst>
            </c:dLbl>
            <c:dLbl>
              <c:idx val="5"/>
              <c:layout>
                <c:manualLayout>
                  <c:x val="-1.1941110769683295E-16"/>
                  <c:y val="0.12414088927196157"/>
                </c:manualLayout>
              </c:layout>
              <c:tx>
                <c:rich>
                  <a:bodyPr/>
                  <a:lstStyle/>
                  <a:p>
                    <a:fld id="{0AE70EA4-6884-4082-A5AB-1DF188544517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201F15CF-9751-42C6-BA8C-7FAA6F1BAA87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9C8D-4846-821A-A6EE8C5FA862}"/>
                </c:ext>
              </c:extLst>
            </c:dLbl>
            <c:dLbl>
              <c:idx val="6"/>
              <c:layout>
                <c:manualLayout>
                  <c:x val="0"/>
                  <c:y val="0.13144329452325343"/>
                </c:manualLayout>
              </c:layout>
              <c:tx>
                <c:rich>
                  <a:bodyPr/>
                  <a:lstStyle/>
                  <a:p>
                    <a:fld id="{A3DED5DB-0675-47B0-B8D9-EF5F2530A057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CF683603-5F75-40E9-9DD2-B9F52EE6360E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97E2-4F60-BDE7-9EF8EDC69287}"/>
                </c:ext>
              </c:extLst>
            </c:dLbl>
            <c:dLbl>
              <c:idx val="7"/>
              <c:layout>
                <c:manualLayout>
                  <c:x val="0"/>
                  <c:y val="0.1480513470049622"/>
                </c:manualLayout>
              </c:layout>
              <c:tx>
                <c:rich>
                  <a:bodyPr/>
                  <a:lstStyle/>
                  <a:p>
                    <a:fld id="{367944AD-0B76-475E-828E-D5AF5C55F102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914E2590-6849-415C-AAE7-D7A9504F969B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A1E0-4C34-A6F1-535BFB1F404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9D9BBD9-48D6-4214-A9E6-EFAF2B278C9B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88DB8E4C-014E-4CCD-AB44-6D60C0E59CFA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3253-4194-8B9A-25A97B6344BD}"/>
                </c:ext>
              </c:extLst>
            </c:dLbl>
            <c:dLbl>
              <c:idx val="9"/>
              <c:layout>
                <c:manualLayout>
                  <c:x val="-1.6283520974200748E-3"/>
                  <c:y val="0.10953604727817297"/>
                </c:manualLayout>
              </c:layout>
              <c:tx>
                <c:rich>
                  <a:bodyPr/>
                  <a:lstStyle/>
                  <a:p>
                    <a:fld id="{3F842A98-54B6-4DBC-BFB3-952E4CAEF1C5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9B1A98B2-2873-482A-9BBF-01F64410EEED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C318-491B-9B63-673EACB9BD83}"/>
                </c:ext>
              </c:extLst>
            </c:dLbl>
            <c:dLbl>
              <c:idx val="10"/>
              <c:layout>
                <c:manualLayout>
                  <c:x val="0"/>
                  <c:y val="0.10953604727817297"/>
                </c:manualLayout>
              </c:layout>
              <c:tx>
                <c:rich>
                  <a:bodyPr/>
                  <a:lstStyle/>
                  <a:p>
                    <a:fld id="{A346E0E7-EECB-478E-9F98-9E94B2D750A0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92123967-7F17-4E6C-8F67-0FF9F7799075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1-C318-491B-9B63-673EACB9BD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'03.1. Chart XK-B2B'!$D$5:$Q$5</c15:sqref>
                  </c15:fullRef>
                </c:ext>
              </c:extLst>
              <c:f>('03.1. Chart XK-B2B'!$D$5:$L$5,'03.1. Chart XK-B2B'!$P$5:$Q$5)</c:f>
              <c:strCach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BQ 25</c:v>
                </c:pt>
                <c:pt idx="10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'03.1. Chart XK-B2B'!$D$12:$Q$12</c15:sqref>
                  </c15:fullRef>
                </c:ext>
              </c:extLst>
              <c:f>('03.1. Chart XK-B2B'!$D$12:$L$12,'03.1. Chart XK-B2B'!$P$12:$Q$12)</c:f>
              <c:numCache>
                <c:formatCode>#,##0</c:formatCode>
                <c:ptCount val="11"/>
                <c:pt idx="0">
                  <c:v>934.89930000000004</c:v>
                </c:pt>
                <c:pt idx="1">
                  <c:v>1532.675</c:v>
                </c:pt>
                <c:pt idx="2">
                  <c:v>1320.8999999999999</c:v>
                </c:pt>
                <c:pt idx="3">
                  <c:v>1039.925</c:v>
                </c:pt>
                <c:pt idx="4">
                  <c:v>1089.7242999999999</c:v>
                </c:pt>
                <c:pt idx="5">
                  <c:v>1425.0830000000001</c:v>
                </c:pt>
                <c:pt idx="6">
                  <c:v>1810.0240999999999</c:v>
                </c:pt>
                <c:pt idx="7">
                  <c:v>2203.0680000000002</c:v>
                </c:pt>
                <c:pt idx="8">
                  <c:v>1863.0430000000001</c:v>
                </c:pt>
                <c:pt idx="9">
                  <c:v>1468.8157444444444</c:v>
                </c:pt>
                <c:pt idx="10">
                  <c:v>1248.4244333333336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'03.1. Chart XK-B2B'!$D$15:$Q$15</c15:f>
                <c15:dlblRangeCache>
                  <c:ptCount val="14"/>
                  <c:pt idx="0">
                    <c:v>27%</c:v>
                  </c:pt>
                  <c:pt idx="1">
                    <c:v>28%</c:v>
                  </c:pt>
                  <c:pt idx="2">
                    <c:v>29%</c:v>
                  </c:pt>
                  <c:pt idx="3">
                    <c:v>27%</c:v>
                  </c:pt>
                  <c:pt idx="4">
                    <c:v>24%</c:v>
                  </c:pt>
                  <c:pt idx="5">
                    <c:v>39%</c:v>
                  </c:pt>
                  <c:pt idx="6">
                    <c:v>40%</c:v>
                  </c:pt>
                  <c:pt idx="7">
                    <c:v>42%</c:v>
                  </c:pt>
                  <c:pt idx="8">
                    <c:v>70%</c:v>
                  </c:pt>
                  <c:pt idx="9">
                    <c:v>0%</c:v>
                  </c:pt>
                  <c:pt idx="10">
                    <c:v>0%</c:v>
                  </c:pt>
                  <c:pt idx="11">
                    <c:v>0%</c:v>
                  </c:pt>
                  <c:pt idx="12">
                    <c:v>35%</c:v>
                  </c:pt>
                  <c:pt idx="13">
                    <c:v>43%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BE1D-498D-8461-AA6A8FD5F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620724576"/>
        <c:axId val="620735616"/>
      </c:barChart>
      <c:lineChart>
        <c:grouping val="standard"/>
        <c:varyColors val="0"/>
        <c:ser>
          <c:idx val="2"/>
          <c:order val="2"/>
          <c:tx>
            <c:strRef>
              <c:f>'03.1. Chart XK-B2B'!$C$8</c:f>
              <c:strCache>
                <c:ptCount val="1"/>
                <c:pt idx="0">
                  <c:v>Cộng KH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5.8791716585702092E-2"/>
                  <c:y val="-6.97471499784234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C318-491B-9B63-673EACB9BD83}"/>
                </c:ext>
              </c:extLst>
            </c:dLbl>
            <c:dLbl>
              <c:idx val="1"/>
              <c:layout>
                <c:manualLayout>
                  <c:x val="-6.2048420780542242E-2"/>
                  <c:y val="-8.07007547062407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C318-491B-9B63-673EACB9BD83}"/>
                </c:ext>
              </c:extLst>
            </c:dLbl>
            <c:dLbl>
              <c:idx val="2"/>
              <c:layout>
                <c:manualLayout>
                  <c:x val="-6.042006868312217E-2"/>
                  <c:y val="-3.68863357949715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C318-491B-9B63-673EACB9BD83}"/>
                </c:ext>
              </c:extLst>
            </c:dLbl>
            <c:dLbl>
              <c:idx val="3"/>
              <c:layout>
                <c:manualLayout>
                  <c:x val="-5.8791716585702092E-2"/>
                  <c:y val="6.9280831162976701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0-C318-491B-9B63-673EACB9BD83}"/>
                </c:ext>
              </c:extLst>
            </c:dLbl>
            <c:dLbl>
              <c:idx val="4"/>
              <c:layout>
                <c:manualLayout>
                  <c:x val="-6.2048420780542242E-2"/>
                  <c:y val="-3.32351342190324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C318-491B-9B63-673EACB9BD83}"/>
                </c:ext>
              </c:extLst>
            </c:dLbl>
            <c:dLbl>
              <c:idx val="5"/>
              <c:layout>
                <c:manualLayout>
                  <c:x val="-5.716336448828202E-2"/>
                  <c:y val="-4.0255227688420743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DDA-4A39-AB3B-7C19644CC6BA}"/>
                </c:ext>
              </c:extLst>
            </c:dLbl>
            <c:dLbl>
              <c:idx val="6"/>
              <c:layout>
                <c:manualLayout>
                  <c:x val="-5.064995609860172E-2"/>
                  <c:y val="-2.593273852271766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7E2-4F60-BDE7-9EF8EDC69287}"/>
                </c:ext>
              </c:extLst>
            </c:dLbl>
            <c:dLbl>
              <c:idx val="7"/>
              <c:layout>
                <c:manualLayout>
                  <c:x val="-5.2150603856300479E-2"/>
                  <c:y val="-4.0807381117391314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6F8-4146-8F13-12CACDD34E8D}"/>
                </c:ext>
              </c:extLst>
            </c:dLbl>
            <c:dLbl>
              <c:idx val="8"/>
              <c:layout>
                <c:manualLayout>
                  <c:x val="-4.3237250424641861E-2"/>
                  <c:y val="-3.3691007512731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253-4194-8B9A-25A97B6344BD}"/>
                </c:ext>
              </c:extLst>
            </c:dLbl>
            <c:dLbl>
              <c:idx val="9"/>
              <c:layout>
                <c:manualLayout>
                  <c:x val="-5.8791716585702092E-2"/>
                  <c:y val="-1.13279247633978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2-C318-491B-9B63-673EACB9BD83}"/>
                </c:ext>
              </c:extLst>
            </c:dLbl>
            <c:dLbl>
              <c:idx val="10"/>
              <c:layout>
                <c:manualLayout>
                  <c:x val="-6.204842078054236E-2"/>
                  <c:y val="-3.32351342190324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C318-491B-9B63-673EACB9BD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'03.1. Chart XK-B2B'!$D$5:$Q$5</c15:sqref>
                  </c15:fullRef>
                </c:ext>
              </c:extLst>
              <c:f>('03.1. Chart XK-B2B'!$D$5:$L$5,'03.1. Chart XK-B2B'!$P$5:$Q$5)</c:f>
              <c:strCach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BQ 25</c:v>
                </c:pt>
                <c:pt idx="10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'03.1. Chart XK-B2B'!$D$8:$Q$8</c15:sqref>
                  </c15:fullRef>
                </c:ext>
              </c:extLst>
              <c:f>('03.1. Chart XK-B2B'!$D$8:$L$8,'03.1. Chart XK-B2B'!$P$8:$Q$8)</c:f>
              <c:numCache>
                <c:formatCode>_(* #,##0_);_(* \(#,##0\);_(* "-"??_);_(@_)</c:formatCode>
                <c:ptCount val="11"/>
                <c:pt idx="0">
                  <c:v>3047.23</c:v>
                </c:pt>
                <c:pt idx="1">
                  <c:v>3649.23</c:v>
                </c:pt>
                <c:pt idx="2">
                  <c:v>3614.08</c:v>
                </c:pt>
                <c:pt idx="3">
                  <c:v>3882.18</c:v>
                </c:pt>
                <c:pt idx="4">
                  <c:v>5125.4800000000005</c:v>
                </c:pt>
                <c:pt idx="5">
                  <c:v>4946.2300000000005</c:v>
                </c:pt>
                <c:pt idx="6">
                  <c:v>5469.2300000000005</c:v>
                </c:pt>
                <c:pt idx="7">
                  <c:v>5438.7300000000005</c:v>
                </c:pt>
                <c:pt idx="8">
                  <c:v>6450.7300000000005</c:v>
                </c:pt>
                <c:pt idx="9">
                  <c:v>5000</c:v>
                </c:pt>
                <c:pt idx="10">
                  <c:v>4167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1D-498D-8461-AA6A8FD5F370}"/>
            </c:ext>
          </c:extLst>
        </c:ser>
        <c:ser>
          <c:idx val="7"/>
          <c:order val="7"/>
          <c:tx>
            <c:strRef>
              <c:f>'03.1. Chart XK-B2B'!$C$13</c:f>
              <c:strCache>
                <c:ptCount val="1"/>
                <c:pt idx="0">
                  <c:v>Cộng TT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8850562922602243E-3"/>
                  <c:y val="-6.57216283669037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C318-491B-9B63-673EACB9BD83}"/>
                </c:ext>
              </c:extLst>
            </c:dLbl>
            <c:dLbl>
              <c:idx val="1"/>
              <c:layout>
                <c:manualLayout>
                  <c:x val="-6.5134083896802994E-3"/>
                  <c:y val="-0.1095360472781730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C318-491B-9B63-673EACB9BD83}"/>
                </c:ext>
              </c:extLst>
            </c:dLbl>
            <c:dLbl>
              <c:idx val="2"/>
              <c:layout>
                <c:manualLayout>
                  <c:x val="-6.5134083896802994E-3"/>
                  <c:y val="-0.1022336441262947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C318-491B-9B63-673EACB9BD83}"/>
                </c:ext>
              </c:extLst>
            </c:dLbl>
            <c:dLbl>
              <c:idx val="3"/>
              <c:layout>
                <c:manualLayout>
                  <c:x val="-8.1417604871004343E-3"/>
                  <c:y val="-8.76288378225384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C318-491B-9B63-673EACB9BD83}"/>
                </c:ext>
              </c:extLst>
            </c:dLbl>
            <c:dLbl>
              <c:idx val="4"/>
              <c:layout>
                <c:manualLayout>
                  <c:x val="-8.1417604871003735E-3"/>
                  <c:y val="-0.11683845043005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4-C318-491B-9B63-673EACB9BD83}"/>
                </c:ext>
              </c:extLst>
            </c:dLbl>
            <c:dLbl>
              <c:idx val="5"/>
              <c:layout>
                <c:manualLayout>
                  <c:x val="-8.1417604871003735E-3"/>
                  <c:y val="-2.19072157538756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DDA-4A39-AB3B-7C19644CC6BA}"/>
                </c:ext>
              </c:extLst>
            </c:dLbl>
            <c:dLbl>
              <c:idx val="6"/>
              <c:layout>
                <c:manualLayout>
                  <c:x val="-9.7701125845205683E-3"/>
                  <c:y val="-2.92096210051674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7E2-4F60-BDE7-9EF8EDC69287}"/>
                </c:ext>
              </c:extLst>
            </c:dLbl>
            <c:dLbl>
              <c:idx val="7"/>
              <c:layout>
                <c:manualLayout>
                  <c:x val="-1.0398912336935053E-2"/>
                  <c:y val="1.11038510253720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6F8-4146-8F13-12CACDD34E8D}"/>
                </c:ext>
              </c:extLst>
            </c:dLbl>
            <c:dLbl>
              <c:idx val="8"/>
              <c:layout>
                <c:manualLayout>
                  <c:x val="-1.3370030147487926E-2"/>
                  <c:y val="2.22077020507442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253-4194-8B9A-25A97B6344BD}"/>
                </c:ext>
              </c:extLst>
            </c:dLbl>
            <c:dLbl>
              <c:idx val="9"/>
              <c:layout>
                <c:manualLayout>
                  <c:x val="-8.1417604871004932E-3"/>
                  <c:y val="-9.1280039398477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5-C318-491B-9B63-673EACB9BD83}"/>
                </c:ext>
              </c:extLst>
            </c:dLbl>
            <c:dLbl>
              <c:idx val="10"/>
              <c:layout>
                <c:manualLayout>
                  <c:x val="-6.5134083896802994E-3"/>
                  <c:y val="-1.82560078796955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C318-491B-9B63-673EACB9BD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'03.1. Chart XK-B2B'!$D$5:$Q$5</c15:sqref>
                  </c15:fullRef>
                </c:ext>
              </c:extLst>
              <c:f>('03.1. Chart XK-B2B'!$D$5:$L$5,'03.1. Chart XK-B2B'!$P$5:$Q$5)</c:f>
              <c:strCach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BQ 25</c:v>
                </c:pt>
                <c:pt idx="10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'03.1. Chart XK-B2B'!$D$13:$Q$13</c15:sqref>
                  </c15:fullRef>
                </c:ext>
              </c:extLst>
              <c:f>('03.1. Chart XK-B2B'!$D$13:$L$13,'03.1. Chart XK-B2B'!$P$13:$Q$13)</c:f>
              <c:numCache>
                <c:formatCode>_(* #,##0_);_(* \(#,##0\);_(* "-"??_);_(@_)</c:formatCode>
                <c:ptCount val="11"/>
                <c:pt idx="0" formatCode="#,##0">
                  <c:v>3487.9992999999999</c:v>
                </c:pt>
                <c:pt idx="1">
                  <c:v>5476.6750000000002</c:v>
                </c:pt>
                <c:pt idx="2">
                  <c:v>4580.05</c:v>
                </c:pt>
                <c:pt idx="3">
                  <c:v>3850.9250000000002</c:v>
                </c:pt>
                <c:pt idx="4">
                  <c:v>4582.7242999999999</c:v>
                </c:pt>
                <c:pt idx="5">
                  <c:v>3673.2080000000001</c:v>
                </c:pt>
                <c:pt idx="6">
                  <c:v>4560.4241000000002</c:v>
                </c:pt>
                <c:pt idx="7">
                  <c:v>5189.3680000000004</c:v>
                </c:pt>
                <c:pt idx="8">
                  <c:v>2657.0430000000001</c:v>
                </c:pt>
                <c:pt idx="9">
                  <c:v>4228.7129666666669</c:v>
                </c:pt>
                <c:pt idx="10">
                  <c:v>2913.1056833333332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1D-498D-8461-AA6A8FD5F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0724576"/>
        <c:axId val="620735616"/>
      </c:lineChart>
      <c:catAx>
        <c:axId val="67698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90864"/>
        <c:crosses val="autoZero"/>
        <c:auto val="1"/>
        <c:lblAlgn val="ctr"/>
        <c:lblOffset val="100"/>
        <c:noMultiLvlLbl val="0"/>
      </c:catAx>
      <c:valAx>
        <c:axId val="676990864"/>
        <c:scaling>
          <c:orientation val="minMax"/>
          <c:max val="5000"/>
          <c:min val="0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89904"/>
        <c:crosses val="autoZero"/>
        <c:crossBetween val="between"/>
      </c:valAx>
      <c:valAx>
        <c:axId val="620735616"/>
        <c:scaling>
          <c:orientation val="minMax"/>
          <c:max val="8000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724576"/>
        <c:crosses val="max"/>
        <c:crossBetween val="between"/>
      </c:valAx>
      <c:catAx>
        <c:axId val="620724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0735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FF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6350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00B05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% LỢI NHUẬN GỘP </a:t>
            </a:r>
            <a:r>
              <a:rPr lang="en-US" sz="1400" b="1" i="0" u="none" strike="noStrike" kern="1200" spc="0" baseline="0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XUẤT KHẨU - NỘI ĐỊA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'03.1. Chart XK-B2B'!$B$52:$C$52</c:f>
              <c:strCache>
                <c:ptCount val="2"/>
                <c:pt idx="1">
                  <c:v>Nội địa 2024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'03.1. Chart XK-B2B'!$D$50:$P$50</c15:sqref>
                  </c15:fullRef>
                </c:ext>
              </c:extLst>
              <c:f>('03.1. Chart XK-B2B'!$D$50:$K$50,'03.1. Chart XK-B2B'!$P$50)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Bình quân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'03.1. Chart XK-B2B'!$D$52:$P$52</c15:sqref>
                  </c15:fullRef>
                </c:ext>
              </c:extLst>
              <c:f>('03.1. Chart XK-B2B'!$D$52:$K$52,'03.1. Chart XK-B2B'!$P$52)</c:f>
              <c:numCache>
                <c:formatCode>0%</c:formatCode>
                <c:ptCount val="9"/>
                <c:pt idx="0">
                  <c:v>0.26564219574678111</c:v>
                </c:pt>
                <c:pt idx="1">
                  <c:v>0.24815775136411664</c:v>
                </c:pt>
                <c:pt idx="2">
                  <c:v>0.22309115029751672</c:v>
                </c:pt>
                <c:pt idx="3">
                  <c:v>0.21898652710741304</c:v>
                </c:pt>
                <c:pt idx="4">
                  <c:v>0.19941571242268782</c:v>
                </c:pt>
                <c:pt idx="5">
                  <c:v>0.16514690043615599</c:v>
                </c:pt>
                <c:pt idx="6">
                  <c:v>0.14512295506931064</c:v>
                </c:pt>
                <c:pt idx="7">
                  <c:v>0.17098660113380226</c:v>
                </c:pt>
                <c:pt idx="8">
                  <c:v>0.20478713773037513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4D-45A8-984A-DE9F58BD14A4}"/>
            </c:ext>
          </c:extLst>
        </c:ser>
        <c:ser>
          <c:idx val="4"/>
          <c:order val="4"/>
          <c:tx>
            <c:strRef>
              <c:f>'03.1. Chart XK-B2B'!$B$55:$C$55</c:f>
              <c:strCache>
                <c:ptCount val="2"/>
                <c:pt idx="1">
                  <c:v>Nội địa 2025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6.093189333624037E-3"/>
                  <c:y val="-0.1285845413434908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AFE-45FC-8B06-2E2F9E69EDF0}"/>
                </c:ext>
              </c:extLst>
            </c:dLbl>
            <c:dLbl>
              <c:idx val="7"/>
              <c:layout>
                <c:manualLayout>
                  <c:x val="-2.0302143858433631E-3"/>
                  <c:y val="1.220874604809871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accent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BFB-472E-9054-2C9116C2D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'03.1. Chart XK-B2B'!$D$50:$P$50</c15:sqref>
                  </c15:fullRef>
                </c:ext>
              </c:extLst>
              <c:f>('03.1. Chart XK-B2B'!$D$50:$K$50,'03.1. Chart XK-B2B'!$P$50)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Bình quân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'03.1. Chart XK-B2B'!$D$55:$P$55</c15:sqref>
                  </c15:fullRef>
                </c:ext>
              </c:extLst>
              <c:f>('03.1. Chart XK-B2B'!$D$55:$K$55,'03.1. Chart XK-B2B'!$P$55)</c:f>
              <c:numCache>
                <c:formatCode>0%</c:formatCode>
                <c:ptCount val="9"/>
                <c:pt idx="0">
                  <c:v>0.21155775061817098</c:v>
                </c:pt>
                <c:pt idx="1">
                  <c:v>0.21707110878897382</c:v>
                </c:pt>
                <c:pt idx="2">
                  <c:v>0.15002949660166304</c:v>
                </c:pt>
                <c:pt idx="3">
                  <c:v>0.14106174340601929</c:v>
                </c:pt>
                <c:pt idx="4">
                  <c:v>0.11865867868490293</c:v>
                </c:pt>
                <c:pt idx="5">
                  <c:v>0.11099989565385845</c:v>
                </c:pt>
                <c:pt idx="6" formatCode="0.00%">
                  <c:v>2.0089104004967665E-4</c:v>
                </c:pt>
                <c:pt idx="7">
                  <c:v>7.3426932680074719E-2</c:v>
                </c:pt>
                <c:pt idx="8">
                  <c:v>0.108129925928706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4D-45A8-984A-DE9F58BD14A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062012192"/>
        <c:axId val="1062007392"/>
      </c:barChart>
      <c:barChart>
        <c:barDir val="col"/>
        <c:grouping val="clustered"/>
        <c:varyColors val="0"/>
        <c:ser>
          <c:idx val="0"/>
          <c:order val="0"/>
          <c:tx>
            <c:strRef>
              <c:f>'03.1. Chart XK-B2B'!$B$51:$C$51</c:f>
              <c:strCache>
                <c:ptCount val="2"/>
                <c:pt idx="1">
                  <c:v>Xuât khẩu 2024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4"/>
              <c:layout>
                <c:manualLayout>
                  <c:x val="-1.4894290755408002E-16"/>
                  <c:y val="2.401478790488064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863-4704-BC3A-B801D4663C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'03.1. Chart XK-B2B'!$D$50:$P$50</c15:sqref>
                  </c15:fullRef>
                </c:ext>
              </c:extLst>
              <c:f>('03.1. Chart XK-B2B'!$D$50:$K$50,'03.1. Chart XK-B2B'!$P$50)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Bình quân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'03.1. Chart XK-B2B'!$D$51:$P$51</c15:sqref>
                  </c15:fullRef>
                </c:ext>
              </c:extLst>
              <c:f>('03.1. Chart XK-B2B'!$D$51:$K$51,'03.1. Chart XK-B2B'!$P$51)</c:f>
              <c:numCache>
                <c:formatCode>0%</c:formatCode>
                <c:ptCount val="9"/>
                <c:pt idx="0">
                  <c:v>0.25970653362731672</c:v>
                </c:pt>
                <c:pt idx="1">
                  <c:v>0.17646057929276038</c:v>
                </c:pt>
                <c:pt idx="2">
                  <c:v>0.12509243723640243</c:v>
                </c:pt>
                <c:pt idx="3">
                  <c:v>0.17322429792138749</c:v>
                </c:pt>
                <c:pt idx="4">
                  <c:v>1.4312599285364805E-2</c:v>
                </c:pt>
                <c:pt idx="5">
                  <c:v>0.19060901681326919</c:v>
                </c:pt>
                <c:pt idx="6">
                  <c:v>8.5802928713318988E-2</c:v>
                </c:pt>
                <c:pt idx="7">
                  <c:v>5.9290999491207842E-2</c:v>
                </c:pt>
                <c:pt idx="8">
                  <c:v>0.12394491857034622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4D-45A8-984A-DE9F58BD14A4}"/>
            </c:ext>
          </c:extLst>
        </c:ser>
        <c:ser>
          <c:idx val="3"/>
          <c:order val="3"/>
          <c:tx>
            <c:strRef>
              <c:f>'03.1. Chart XK-B2B'!$B$54:$C$54</c:f>
              <c:strCache>
                <c:ptCount val="2"/>
                <c:pt idx="1">
                  <c:v>Xuât khẩu 2025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'03.1. Chart XK-B2B'!$D$50:$P$50</c15:sqref>
                  </c15:fullRef>
                </c:ext>
              </c:extLst>
              <c:f>('03.1. Chart XK-B2B'!$D$50:$K$50,'03.1. Chart XK-B2B'!$P$50)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Bình quân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'03.1. Chart XK-B2B'!$D$54:$P$54</c15:sqref>
                  </c15:fullRef>
                </c:ext>
              </c:extLst>
              <c:f>('03.1. Chart XK-B2B'!$D$54:$K$54,'03.1. Chart XK-B2B'!$P$54)</c:f>
              <c:numCache>
                <c:formatCode>0%</c:formatCode>
                <c:ptCount val="9"/>
                <c:pt idx="0">
                  <c:v>0.17510442075140906</c:v>
                </c:pt>
                <c:pt idx="1">
                  <c:v>0.19069424005672045</c:v>
                </c:pt>
                <c:pt idx="2">
                  <c:v>0.16377082910109309</c:v>
                </c:pt>
                <c:pt idx="3">
                  <c:v>0.15850812552046153</c:v>
                </c:pt>
                <c:pt idx="4">
                  <c:v>0.16706575989158043</c:v>
                </c:pt>
                <c:pt idx="5">
                  <c:v>0.11233662295005312</c:v>
                </c:pt>
                <c:pt idx="6">
                  <c:v>0.11022657540260901</c:v>
                </c:pt>
                <c:pt idx="7">
                  <c:v>0.12119967407575975</c:v>
                </c:pt>
                <c:pt idx="8">
                  <c:v>0.15616393445942589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4D-45A8-984A-DE9F58BD14A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68830800"/>
        <c:axId val="1168828400"/>
      </c:barChart>
      <c:lineChart>
        <c:grouping val="standard"/>
        <c:varyColors val="0"/>
        <c:ser>
          <c:idx val="2"/>
          <c:order val="2"/>
          <c:tx>
            <c:strRef>
              <c:f>'03.1. Chart XK-B2B'!$B$53:$C$53</c:f>
              <c:strCache>
                <c:ptCount val="2"/>
                <c:pt idx="1">
                  <c:v>Cộng 2024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'03.1. Chart XK-B2B'!$D$50:$P$50</c15:sqref>
                  </c15:fullRef>
                </c:ext>
              </c:extLst>
              <c:f>('03.1. Chart XK-B2B'!$D$50:$K$50,'03.1. Chart XK-B2B'!$P$50)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Bình quân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'03.1. Chart XK-B2B'!$D$53:$P$53</c15:sqref>
                  </c15:fullRef>
                </c:ext>
              </c:extLst>
              <c:f>('03.1. Chart XK-B2B'!$D$53:$K$53,'03.1. Chart XK-B2B'!$P$53)</c:f>
              <c:numCache>
                <c:formatCode>0%</c:formatCode>
                <c:ptCount val="9"/>
                <c:pt idx="0">
                  <c:v>0.52534872937409782</c:v>
                </c:pt>
                <c:pt idx="1">
                  <c:v>0.42461833065687704</c:v>
                </c:pt>
                <c:pt idx="2">
                  <c:v>0.34818358753391915</c:v>
                </c:pt>
                <c:pt idx="3">
                  <c:v>0.39221082502880056</c:v>
                </c:pt>
                <c:pt idx="4">
                  <c:v>0.21372831170805262</c:v>
                </c:pt>
                <c:pt idx="5">
                  <c:v>0.35575591724942518</c:v>
                </c:pt>
                <c:pt idx="6">
                  <c:v>0.23092588378262963</c:v>
                </c:pt>
                <c:pt idx="7">
                  <c:v>0.2302776006250101</c:v>
                </c:pt>
                <c:pt idx="8">
                  <c:v>0.32873205630072133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4D-45A8-984A-DE9F58BD14A4}"/>
            </c:ext>
          </c:extLst>
        </c:ser>
        <c:ser>
          <c:idx val="5"/>
          <c:order val="5"/>
          <c:tx>
            <c:strRef>
              <c:f>'03.1. Chart XK-B2B'!$B$56:$C$56</c:f>
              <c:strCache>
                <c:ptCount val="2"/>
                <c:pt idx="1">
                  <c:v>Cộng 2025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'03.1. Chart XK-B2B'!$D$50:$P$50</c15:sqref>
                  </c15:fullRef>
                </c:ext>
              </c:extLst>
              <c:f>('03.1. Chart XK-B2B'!$D$50:$K$50,'03.1. Chart XK-B2B'!$P$50)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Bình quân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'03.1. Chart XK-B2B'!$D$56:$P$56</c15:sqref>
                  </c15:fullRef>
                </c:ext>
              </c:extLst>
              <c:f>('03.1. Chart XK-B2B'!$D$56:$K$56,'03.1. Chart XK-B2B'!$P$56)</c:f>
              <c:numCache>
                <c:formatCode>0%</c:formatCode>
                <c:ptCount val="9"/>
                <c:pt idx="0">
                  <c:v>0.38666217136958003</c:v>
                </c:pt>
                <c:pt idx="1">
                  <c:v>0.40776534884569426</c:v>
                </c:pt>
                <c:pt idx="2">
                  <c:v>0.31380032570275612</c:v>
                </c:pt>
                <c:pt idx="3">
                  <c:v>0.29956986892648085</c:v>
                </c:pt>
                <c:pt idx="4">
                  <c:v>0.28572443857648333</c:v>
                </c:pt>
                <c:pt idx="5">
                  <c:v>0.22333651860391157</c:v>
                </c:pt>
                <c:pt idx="6">
                  <c:v>0.11042746644265869</c:v>
                </c:pt>
                <c:pt idx="7">
                  <c:v>0.19462660675583449</c:v>
                </c:pt>
                <c:pt idx="8">
                  <c:v>0.26429386038813191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4D-45A8-984A-DE9F58BD14A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68830800"/>
        <c:axId val="1168828400"/>
      </c:lineChart>
      <c:catAx>
        <c:axId val="106201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007392"/>
        <c:crosses val="autoZero"/>
        <c:auto val="1"/>
        <c:lblAlgn val="ctr"/>
        <c:lblOffset val="100"/>
        <c:noMultiLvlLbl val="0"/>
      </c:catAx>
      <c:valAx>
        <c:axId val="106200739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012192"/>
        <c:crosses val="autoZero"/>
        <c:crossBetween val="between"/>
      </c:valAx>
      <c:valAx>
        <c:axId val="1168828400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830800"/>
        <c:crosses val="max"/>
        <c:crossBetween val="between"/>
      </c:valAx>
      <c:catAx>
        <c:axId val="1168830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88284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6350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0" baseline="0">
                <a:solidFill>
                  <a:srgbClr val="00B05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SẢN LƯỢNG BÁN 2025 XUẤT KHẨU - B2B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506465224495643E-2"/>
          <c:y val="0.15985671814408234"/>
          <c:w val="0.91816199660433939"/>
          <c:h val="0.7722911685325952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'03.2. data chart 01'!$D$14:$D$15</c:f>
              <c:strCache>
                <c:ptCount val="2"/>
                <c:pt idx="0">
                  <c:v>KH</c:v>
                </c:pt>
                <c:pt idx="1">
                  <c:v>XK</c:v>
                </c:pt>
              </c:strCache>
            </c:strRef>
          </c:tx>
          <c:spPr>
            <a:solidFill>
              <a:srgbClr val="87E187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BA11216-5698-4A3C-BCAD-4E1D4875D3C8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B0F6A93E-82CB-4BDB-BE8B-91526D75A507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1C2-4384-AA84-43E91D0A0526}"/>
                </c:ext>
              </c:extLst>
            </c:dLbl>
            <c:dLbl>
              <c:idx val="1"/>
              <c:layout>
                <c:manualLayout>
                  <c:x val="-2.6050071723803278E-17"/>
                  <c:y val="0.1521854316455476"/>
                </c:manualLayout>
              </c:layout>
              <c:tx>
                <c:rich>
                  <a:bodyPr/>
                  <a:lstStyle/>
                  <a:p>
                    <a:fld id="{76FD7816-A2ED-4CC8-90E2-6ADE1B2B004D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A2DFBF4D-F8F8-4489-9B80-30C84CCF67ED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1C2-4384-AA84-43E91D0A052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FE66CF0-B408-4838-B7BE-D6A35FFA7926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E1D2E75A-C95A-407D-92B4-FB66FA3A136A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81C2-4384-AA84-43E91D0A0526}"/>
                </c:ext>
              </c:extLst>
            </c:dLbl>
            <c:dLbl>
              <c:idx val="3"/>
              <c:layout>
                <c:manualLayout>
                  <c:x val="-6.1807957984746443E-4"/>
                  <c:y val="9.6890755035787354E-2"/>
                </c:manualLayout>
              </c:layout>
              <c:tx>
                <c:rich>
                  <a:bodyPr/>
                  <a:lstStyle/>
                  <a:p>
                    <a:fld id="{E110EFC1-B653-4787-AC29-9081DD95F5F6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8DC28E6A-CAC4-4623-8964-7F9D3A54D2B7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81C2-4384-AA84-43E91D0A0526}"/>
                </c:ext>
              </c:extLst>
            </c:dLbl>
            <c:dLbl>
              <c:idx val="4"/>
              <c:layout>
                <c:manualLayout>
                  <c:x val="1.2063580960971561E-3"/>
                  <c:y val="0.17669800556529153"/>
                </c:manualLayout>
              </c:layout>
              <c:tx>
                <c:rich>
                  <a:bodyPr/>
                  <a:lstStyle/>
                  <a:p>
                    <a:fld id="{1A606D39-0650-4992-BA1B-AF539D9AA9EB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81DB1FAB-04E0-4474-B7D9-D66AF480B3F5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81C2-4384-AA84-43E91D0A0526}"/>
                </c:ext>
              </c:extLst>
            </c:dLbl>
            <c:dLbl>
              <c:idx val="5"/>
              <c:layout>
                <c:manualLayout>
                  <c:x val="0"/>
                  <c:y val="0.12172195903399484"/>
                </c:manualLayout>
              </c:layout>
              <c:tx>
                <c:rich>
                  <a:bodyPr/>
                  <a:lstStyle/>
                  <a:p>
                    <a:fld id="{ED80F054-A623-4DC8-BD1F-9DE286E4C747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86393CE6-69CA-41DA-A32C-81DC2DC5F931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81C2-4384-AA84-43E91D0A0526}"/>
                </c:ext>
              </c:extLst>
            </c:dLbl>
            <c:dLbl>
              <c:idx val="6"/>
              <c:layout>
                <c:manualLayout>
                  <c:x val="1.4047263178351465E-3"/>
                  <c:y val="0.13216422031800934"/>
                </c:manualLayout>
              </c:layout>
              <c:tx>
                <c:rich>
                  <a:bodyPr/>
                  <a:lstStyle/>
                  <a:p>
                    <a:fld id="{3223DD32-84A7-43CE-BDC4-6C87D3FE8E04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D643980D-6C34-48EE-AEC7-AE05D115F21B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81C2-4384-AA84-43E91D0A05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'03.2. data chart 01'!$B$16:$B$29</c15:sqref>
                  </c15:fullRef>
                </c:ext>
              </c:extLst>
              <c:f>('03.2. data chart 01'!$B$16:$B$20,'03.2. data chart 01'!$B$28:$B$29)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Bình Quân 2025</c:v>
                </c:pt>
                <c:pt idx="6">
                  <c:v>Bình Quân 2024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'03.2. data chart 01'!$D$16:$D$29</c15:sqref>
                  </c15:fullRef>
                </c:ext>
              </c:extLst>
              <c:f>('03.2. data chart 01'!$D$16:$D$20,'03.2. data chart 01'!$D$28:$D$29)</c:f>
              <c:numCache>
                <c:formatCode>_(* #,##0_);_(* \(#,##0\);_(* "-"??_);_(@_)</c:formatCode>
                <c:ptCount val="7"/>
                <c:pt idx="0">
                  <c:v>1946.44</c:v>
                </c:pt>
                <c:pt idx="1">
                  <c:v>2386.44</c:v>
                </c:pt>
                <c:pt idx="2">
                  <c:v>2087.39</c:v>
                </c:pt>
                <c:pt idx="3">
                  <c:v>2054.39</c:v>
                </c:pt>
                <c:pt idx="4">
                  <c:v>3128.3900000000003</c:v>
                </c:pt>
                <c:pt idx="5">
                  <c:v>2894.2333333333331</c:v>
                </c:pt>
                <c:pt idx="6">
                  <c:v>2541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'03.2. data chart 01'!$G$16:$G$29</c15:f>
                <c15:dlblRangeCache>
                  <c:ptCount val="14"/>
                  <c:pt idx="0">
                    <c:v>64%</c:v>
                  </c:pt>
                  <c:pt idx="1">
                    <c:v>65%</c:v>
                  </c:pt>
                  <c:pt idx="2">
                    <c:v>58%</c:v>
                  </c:pt>
                  <c:pt idx="3">
                    <c:v>53%</c:v>
                  </c:pt>
                  <c:pt idx="4">
                    <c:v>61%</c:v>
                  </c:pt>
                  <c:pt idx="5">
                    <c:v>58%</c:v>
                  </c:pt>
                  <c:pt idx="6">
                    <c:v>61%</c:v>
                  </c:pt>
                  <c:pt idx="7">
                    <c:v>55%</c:v>
                  </c:pt>
                  <c:pt idx="8">
                    <c:v>61%</c:v>
                  </c:pt>
                  <c:pt idx="9">
                    <c:v>60%</c:v>
                  </c:pt>
                  <c:pt idx="10">
                    <c:v>52%</c:v>
                  </c:pt>
                  <c:pt idx="11">
                    <c:v>51%</c:v>
                  </c:pt>
                  <c:pt idx="12">
                    <c:v>58%</c:v>
                  </c:pt>
                  <c:pt idx="13">
                    <c:v>61%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7-81C2-4384-AA84-43E91D0A0526}"/>
            </c:ext>
          </c:extLst>
        </c:ser>
        <c:ser>
          <c:idx val="6"/>
          <c:order val="5"/>
          <c:tx>
            <c:strRef>
              <c:f>'03.2. data chart 01'!$I$14:$I$15</c:f>
              <c:strCache>
                <c:ptCount val="2"/>
                <c:pt idx="0">
                  <c:v>TT</c:v>
                </c:pt>
                <c:pt idx="1">
                  <c:v>XK</c:v>
                </c:pt>
              </c:strCache>
            </c:strRef>
          </c:tx>
          <c:spPr>
            <a:solidFill>
              <a:srgbClr val="30C23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5753018325912394E-17"/>
                  <c:y val="0.14608723536336191"/>
                </c:manualLayout>
              </c:layout>
              <c:tx>
                <c:rich>
                  <a:bodyPr/>
                  <a:lstStyle/>
                  <a:p>
                    <a:fld id="{1F285184-E7C8-4641-A5CF-EEC12AC4F528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7663EF62-B190-4C9D-BF38-C11BFA474C9F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81C2-4384-AA84-43E91D0A0526}"/>
                </c:ext>
              </c:extLst>
            </c:dLbl>
            <c:dLbl>
              <c:idx val="1"/>
              <c:layout>
                <c:manualLayout>
                  <c:x val="-1.4047263178351465E-3"/>
                  <c:y val="0.21918306435146287"/>
                </c:manualLayout>
              </c:layout>
              <c:tx>
                <c:rich>
                  <a:bodyPr/>
                  <a:lstStyle/>
                  <a:p>
                    <a:fld id="{08E61731-171F-4B93-BE28-19825C27E04C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ACB32A6B-8702-41BC-ABD0-4287DFCB05DA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81C2-4384-AA84-43E91D0A0526}"/>
                </c:ext>
              </c:extLst>
            </c:dLbl>
            <c:dLbl>
              <c:idx val="2"/>
              <c:layout>
                <c:manualLayout>
                  <c:x val="-1.4047263178351979E-3"/>
                  <c:y val="0.19829854178343409"/>
                </c:manualLayout>
              </c:layout>
              <c:tx>
                <c:rich>
                  <a:bodyPr/>
                  <a:lstStyle/>
                  <a:p>
                    <a:fld id="{4EF632C0-1057-450A-8A5D-8CBEA090C05B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13D5F9B7-0002-4DBB-AD1D-B7B654C77DBE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81C2-4384-AA84-43E91D0A0526}"/>
                </c:ext>
              </c:extLst>
            </c:dLbl>
            <c:dLbl>
              <c:idx val="3"/>
              <c:layout>
                <c:manualLayout>
                  <c:x val="0"/>
                  <c:y val="0.18785628049941966"/>
                </c:manualLayout>
              </c:layout>
              <c:tx>
                <c:rich>
                  <a:bodyPr/>
                  <a:lstStyle/>
                  <a:p>
                    <a:fld id="{7AA627C2-B1E3-49D9-9BD3-C38EB41DC3F6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C49A5970-A6E2-461B-9666-EE282956F804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81C2-4384-AA84-43E91D0A0526}"/>
                </c:ext>
              </c:extLst>
            </c:dLbl>
            <c:dLbl>
              <c:idx val="4"/>
              <c:layout>
                <c:manualLayout>
                  <c:x val="-8.8465238422474818E-17"/>
                  <c:y val="0.25149800792119709"/>
                </c:manualLayout>
              </c:layout>
              <c:tx>
                <c:rich>
                  <a:bodyPr/>
                  <a:lstStyle/>
                  <a:p>
                    <a:fld id="{B3B8B3C4-16D9-469A-B134-A431CBE6E43A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5D942C4C-0B45-4186-BF08-3127FC4CD2F0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81C2-4384-AA84-43E91D0A0526}"/>
                </c:ext>
              </c:extLst>
            </c:dLbl>
            <c:dLbl>
              <c:idx val="5"/>
              <c:layout>
                <c:manualLayout>
                  <c:x val="-1.0301207330364958E-16"/>
                  <c:y val="0.17537955975316796"/>
                </c:manualLayout>
              </c:layout>
              <c:tx>
                <c:rich>
                  <a:bodyPr/>
                  <a:lstStyle/>
                  <a:p>
                    <a:fld id="{017E3D0A-7A99-4C94-B30A-60CAB4CBBDE5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1F308BAD-D065-4081-935F-0087C836FCCC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81C2-4384-AA84-43E91D0A0526}"/>
                </c:ext>
              </c:extLst>
            </c:dLbl>
            <c:dLbl>
              <c:idx val="6"/>
              <c:layout>
                <c:manualLayout>
                  <c:x val="-1.4047263178352495E-3"/>
                  <c:y val="0.10209270042084231"/>
                </c:manualLayout>
              </c:layout>
              <c:tx>
                <c:rich>
                  <a:bodyPr/>
                  <a:lstStyle/>
                  <a:p>
                    <a:fld id="{573E31B4-950C-400B-9FF4-B9317CCC3EC1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3B6D2798-183D-41B6-908F-848B16AE4BDE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81C2-4384-AA84-43E91D0A05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'03.2. data chart 01'!$B$16:$B$29</c15:sqref>
                  </c15:fullRef>
                </c:ext>
              </c:extLst>
              <c:f>('03.2. data chart 01'!$B$16:$B$20,'03.2. data chart 01'!$B$28:$B$29)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Bình Quân 2025</c:v>
                </c:pt>
                <c:pt idx="6">
                  <c:v>Bình Quân 2024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'03.2. data chart 01'!$I$16:$I$29</c15:sqref>
                  </c15:fullRef>
                </c:ext>
              </c:extLst>
              <c:f>('03.2. data chart 01'!$I$16:$I$20,'03.2. data chart 01'!$I$28:$I$29)</c:f>
              <c:numCache>
                <c:formatCode>_(* #,##0_);_(* \(#,##0\);_(* "-"??_);_(@_)</c:formatCode>
                <c:ptCount val="7"/>
                <c:pt idx="0">
                  <c:v>2421.1</c:v>
                </c:pt>
                <c:pt idx="1">
                  <c:v>3944</c:v>
                </c:pt>
                <c:pt idx="2">
                  <c:v>3259.15</c:v>
                </c:pt>
                <c:pt idx="3">
                  <c:v>2811</c:v>
                </c:pt>
                <c:pt idx="4">
                  <c:v>3493</c:v>
                </c:pt>
                <c:pt idx="5">
                  <c:v>3238.6000000000004</c:v>
                </c:pt>
                <c:pt idx="6">
                  <c:v>1664.6812499999999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'03.2. data chart 01'!$L$16:$L$29</c15:f>
                <c15:dlblRangeCache>
                  <c:ptCount val="14"/>
                  <c:pt idx="0">
                    <c:v>69%</c:v>
                  </c:pt>
                  <c:pt idx="1">
                    <c:v>72%</c:v>
                  </c:pt>
                  <c:pt idx="2">
                    <c:v>71%</c:v>
                  </c:pt>
                  <c:pt idx="3">
                    <c:v>73%</c:v>
                  </c:pt>
                  <c:pt idx="4">
                    <c:v>76%</c:v>
                  </c:pt>
                  <c:pt idx="5">
                    <c:v>0%</c:v>
                  </c:pt>
                  <c:pt idx="6">
                    <c:v>0%</c:v>
                  </c:pt>
                  <c:pt idx="7">
                    <c:v>0%</c:v>
                  </c:pt>
                  <c:pt idx="8">
                    <c:v>0%</c:v>
                  </c:pt>
                  <c:pt idx="9">
                    <c:v>0%</c:v>
                  </c:pt>
                  <c:pt idx="10">
                    <c:v>0%</c:v>
                  </c:pt>
                  <c:pt idx="11">
                    <c:v>0%</c:v>
                  </c:pt>
                  <c:pt idx="12">
                    <c:v>72%</c:v>
                  </c:pt>
                  <c:pt idx="13">
                    <c:v>57%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81C2-4384-AA84-43E91D0A0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9"/>
        <c:overlap val="-29"/>
        <c:axId val="41240368"/>
        <c:axId val="41240848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'03.2. data chart 01'!$F$14:$F$15</c15:sqref>
                        </c15:formulaRef>
                      </c:ext>
                    </c:extLst>
                    <c:strCache>
                      <c:ptCount val="2"/>
                      <c:pt idx="0">
                        <c:v>KH</c:v>
                      </c:pt>
                      <c:pt idx="1">
                        <c:v>%B2B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'03.2. data chart 01'!$B$16:$B$29</c15:sqref>
                        </c15:fullRef>
                        <c15:formulaRef>
                          <c15:sqref>('03.2. data chart 01'!$B$16:$B$20,'03.2. data chart 01'!$B$28:$B$29)</c15:sqref>
                        </c15:formulaRef>
                      </c:ext>
                    </c:extLst>
                    <c:strCach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Bình Quân 2025</c:v>
                      </c:pt>
                      <c:pt idx="6">
                        <c:v>Bình Quân 2024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'03.2. data chart 01'!$F$16:$F$29</c15:sqref>
                        </c15:fullRef>
                        <c15:formulaRef>
                          <c15:sqref>('03.2. data chart 01'!$F$16:$F$20,'03.2. data chart 01'!$F$28:$F$29)</c15:sqref>
                        </c15:formulaRef>
                      </c:ext>
                    </c:extLst>
                    <c:numCache>
                      <c:formatCode>0%</c:formatCode>
                      <c:ptCount val="7"/>
                      <c:pt idx="0">
                        <c:v>0.36124283365548382</c:v>
                      </c:pt>
                      <c:pt idx="1">
                        <c:v>0.34604286383702865</c:v>
                      </c:pt>
                      <c:pt idx="2">
                        <c:v>0.42242839118115816</c:v>
                      </c:pt>
                      <c:pt idx="3">
                        <c:v>0.47081536662390722</c:v>
                      </c:pt>
                      <c:pt idx="4">
                        <c:v>0.38963960448582369</c:v>
                      </c:pt>
                      <c:pt idx="5">
                        <c:v>0.42115333333333338</c:v>
                      </c:pt>
                      <c:pt idx="6">
                        <c:v>0.39020878329733621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1-81C2-4384-AA84-43E91D0A0526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'03.2. data chart 01'!$G$14:$G$15</c15:sqref>
                        </c15:formulaRef>
                      </c:ext>
                    </c:extLst>
                    <c:strCache>
                      <c:ptCount val="2"/>
                      <c:pt idx="0">
                        <c:v>KH</c:v>
                      </c:pt>
                      <c:pt idx="1">
                        <c:v>%XK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'03.2. data chart 01'!$B$16:$B$29</c15:sqref>
                        </c15:fullRef>
                        <c15:formulaRef>
                          <c15:sqref>('03.2. data chart 01'!$B$16:$B$20,'03.2. data chart 01'!$B$28:$B$29)</c15:sqref>
                        </c15:formulaRef>
                      </c:ext>
                    </c:extLst>
                    <c:strCach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Bình Quân 2025</c:v>
                      </c:pt>
                      <c:pt idx="6">
                        <c:v>Bình Quân 2024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'03.2. data chart 01'!$G$16:$G$29</c15:sqref>
                        </c15:fullRef>
                        <c15:formulaRef>
                          <c15:sqref>('03.2. data chart 01'!$G$16:$G$20,'03.2. data chart 01'!$G$28:$G$29)</c15:sqref>
                        </c15:formulaRef>
                      </c:ext>
                    </c:extLst>
                    <c:numCache>
                      <c:formatCode>0%</c:formatCode>
                      <c:ptCount val="7"/>
                      <c:pt idx="0">
                        <c:v>0.63875716634451618</c:v>
                      </c:pt>
                      <c:pt idx="1">
                        <c:v>0.65395713616297135</c:v>
                      </c:pt>
                      <c:pt idx="2">
                        <c:v>0.57757160881884184</c:v>
                      </c:pt>
                      <c:pt idx="3">
                        <c:v>0.52918463337609278</c:v>
                      </c:pt>
                      <c:pt idx="4">
                        <c:v>0.6103603955141762</c:v>
                      </c:pt>
                      <c:pt idx="5">
                        <c:v>0.57884666666666662</c:v>
                      </c:pt>
                      <c:pt idx="6">
                        <c:v>0.60979121670266379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1C2-4384-AA84-43E91D0A0526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'03.2. data chart 01'!$K$14:$K$15</c15:sqref>
                        </c15:formulaRef>
                      </c:ext>
                    </c:extLst>
                    <c:strCache>
                      <c:ptCount val="2"/>
                      <c:pt idx="0">
                        <c:v>TT</c:v>
                      </c:pt>
                      <c:pt idx="1">
                        <c:v>%B2B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'03.2. data chart 01'!$B$16:$B$29</c15:sqref>
                        </c15:fullRef>
                        <c15:formulaRef>
                          <c15:sqref>('03.2. data chart 01'!$B$16:$B$20,'03.2. data chart 01'!$B$28:$B$29)</c15:sqref>
                        </c15:formulaRef>
                      </c:ext>
                    </c:extLst>
                    <c:strCach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Bình Quân 2025</c:v>
                      </c:pt>
                      <c:pt idx="6">
                        <c:v>Bình Quân 2024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'03.2. data chart 01'!$K$16:$K$29</c15:sqref>
                        </c15:fullRef>
                        <c15:formulaRef>
                          <c15:sqref>('03.2. data chart 01'!$K$16:$K$20,'03.2. data chart 01'!$K$28:$K$29)</c15:sqref>
                        </c15:formulaRef>
                      </c:ext>
                    </c:extLst>
                    <c:numCache>
                      <c:formatCode>0%</c:formatCode>
                      <c:ptCount val="7"/>
                      <c:pt idx="0">
                        <c:v>0.30587715427580509</c:v>
                      </c:pt>
                      <c:pt idx="1">
                        <c:v>0.27985502152309566</c:v>
                      </c:pt>
                      <c:pt idx="2">
                        <c:v>0.28840296503313279</c:v>
                      </c:pt>
                      <c:pt idx="3">
                        <c:v>0.27004550854664788</c:v>
                      </c:pt>
                      <c:pt idx="4">
                        <c:v>0.23715057898480224</c:v>
                      </c:pt>
                      <c:pt idx="5">
                        <c:v>0.27737542065545695</c:v>
                      </c:pt>
                      <c:pt idx="6">
                        <c:v>0.42855446009937365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1C2-4384-AA84-43E91D0A0526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'03.2. data chart 01'!$L$14:$L$15</c15:sqref>
                        </c15:formulaRef>
                      </c:ext>
                    </c:extLst>
                    <c:strCache>
                      <c:ptCount val="2"/>
                      <c:pt idx="0">
                        <c:v>TT</c:v>
                      </c:pt>
                      <c:pt idx="1">
                        <c:v>%XK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'03.2. data chart 01'!$B$16:$B$29</c15:sqref>
                        </c15:fullRef>
                        <c15:formulaRef>
                          <c15:sqref>('03.2. data chart 01'!$B$16:$B$20,'03.2. data chart 01'!$B$28:$B$29)</c15:sqref>
                        </c15:formulaRef>
                      </c:ext>
                    </c:extLst>
                    <c:strCach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Bình Quân 2025</c:v>
                      </c:pt>
                      <c:pt idx="6">
                        <c:v>Bình Quân 2024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'03.2. data chart 01'!$L$16:$L$29</c15:sqref>
                        </c15:fullRef>
                        <c15:formulaRef>
                          <c15:sqref>('03.2. data chart 01'!$L$16:$L$20,'03.2. data chart 01'!$L$28:$L$29)</c15:sqref>
                        </c15:formulaRef>
                      </c:ext>
                    </c:extLst>
                    <c:numCache>
                      <c:formatCode>0%</c:formatCode>
                      <c:ptCount val="7"/>
                      <c:pt idx="0">
                        <c:v>0.69412284572419491</c:v>
                      </c:pt>
                      <c:pt idx="1">
                        <c:v>0.72014497847690429</c:v>
                      </c:pt>
                      <c:pt idx="2">
                        <c:v>0.71159703496686721</c:v>
                      </c:pt>
                      <c:pt idx="3">
                        <c:v>0.72995449145335212</c:v>
                      </c:pt>
                      <c:pt idx="4">
                        <c:v>0.7628494210151977</c:v>
                      </c:pt>
                      <c:pt idx="5">
                        <c:v>0.72262457934454305</c:v>
                      </c:pt>
                      <c:pt idx="6">
                        <c:v>0.57144553990062641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1C2-4384-AA84-43E91D0A0526}"/>
                  </c:ext>
                </c:extLst>
              </c15:ser>
            </c15:filteredBarSeries>
          </c:ext>
        </c:extLst>
      </c:barChart>
      <c:barChart>
        <c:barDir val="col"/>
        <c:grouping val="clustered"/>
        <c:varyColors val="0"/>
        <c:ser>
          <c:idx val="0"/>
          <c:order val="1"/>
          <c:tx>
            <c:strRef>
              <c:f>'03.2. data chart 01'!$C$14:$C$15</c:f>
              <c:strCache>
                <c:ptCount val="2"/>
                <c:pt idx="0">
                  <c:v>KH</c:v>
                </c:pt>
                <c:pt idx="1">
                  <c:v>B2B</c:v>
                </c:pt>
              </c:strCache>
            </c:strRef>
          </c:tx>
          <c:spPr>
            <a:solidFill>
              <a:srgbClr val="FF996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C850A9A-D945-48E0-A486-D355BF6DAE2A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B73DDCE4-EC9B-40AA-8EF4-3C487A8A59F5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81C2-4384-AA84-43E91D0A052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0000B53-7847-4A0E-AD6C-736B9C9AB9EA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D20F51DB-7117-4960-83B0-2CF086617262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81C2-4384-AA84-43E91D0A0526}"/>
                </c:ext>
              </c:extLst>
            </c:dLbl>
            <c:dLbl>
              <c:idx val="2"/>
              <c:layout>
                <c:manualLayout>
                  <c:x val="5.2100143447606557E-17"/>
                  <c:y val="0.12385209552350021"/>
                </c:manualLayout>
              </c:layout>
              <c:tx>
                <c:rich>
                  <a:bodyPr/>
                  <a:lstStyle/>
                  <a:p>
                    <a:fld id="{26416EE7-6C63-4CEB-930E-B6184B56B530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43FCC6F8-AFE2-4DC9-A296-A89F4B9D4555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81C2-4384-AA84-43E91D0A0526}"/>
                </c:ext>
              </c:extLst>
            </c:dLbl>
            <c:dLbl>
              <c:idx val="3"/>
              <c:layout>
                <c:manualLayout>
                  <c:x val="0"/>
                  <c:y val="0.16508338049708987"/>
                </c:manualLayout>
              </c:layout>
              <c:tx>
                <c:rich>
                  <a:bodyPr/>
                  <a:lstStyle/>
                  <a:p>
                    <a:fld id="{AA35A247-30C8-4F48-AF51-79E1EDD5B93C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E6A1935D-21F1-4D80-84DB-3C3AF6F1B8B6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81C2-4384-AA84-43E91D0A052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C14E554-7C6F-4C9B-A6B0-00BD6A733F11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1176238A-DDDD-4F5D-9038-4CA58D0986FE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81C2-4384-AA84-43E91D0A0526}"/>
                </c:ext>
              </c:extLst>
            </c:dLbl>
            <c:dLbl>
              <c:idx val="5"/>
              <c:layout>
                <c:manualLayout>
                  <c:x val="-1.0420028689521311E-16"/>
                  <c:y val="0.1663520997065715"/>
                </c:manualLayout>
              </c:layout>
              <c:tx>
                <c:rich>
                  <a:bodyPr/>
                  <a:lstStyle/>
                  <a:p>
                    <a:fld id="{EA7EA3A1-6DD7-4FC9-A0C1-85CAECF08879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FDDA8621-B098-4DA2-A2B3-BE3611FB5C7D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81C2-4384-AA84-43E91D0A0526}"/>
                </c:ext>
              </c:extLst>
            </c:dLbl>
            <c:dLbl>
              <c:idx val="6"/>
              <c:layout>
                <c:manualLayout>
                  <c:x val="-1.0420028689521311E-16"/>
                  <c:y val="0.13801876358452397"/>
                </c:manualLayout>
              </c:layout>
              <c:tx>
                <c:rich>
                  <a:bodyPr/>
                  <a:lstStyle/>
                  <a:p>
                    <a:fld id="{B1E2136D-23E3-4BE4-B087-6243073FCFA8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54B2BC5C-CB3F-4939-B214-08C1FC7FC1B4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81C2-4384-AA84-43E91D0A05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'03.2. data chart 01'!$B$16:$B$29</c15:sqref>
                  </c15:fullRef>
                </c:ext>
              </c:extLst>
              <c:f>('03.2. data chart 01'!$B$16:$B$20,'03.2. data chart 01'!$B$28:$B$29)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Bình Quân 2025</c:v>
                </c:pt>
                <c:pt idx="6">
                  <c:v>Bình Quân 2024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'03.2. data chart 01'!$C$16:$C$29</c15:sqref>
                  </c15:fullRef>
                </c:ext>
              </c:extLst>
              <c:f>('03.2. data chart 01'!$C$16:$C$20,'03.2. data chart 01'!$C$28:$C$29)</c:f>
              <c:numCache>
                <c:formatCode>_(* #,##0_);_(* \(#,##0\);_(* "-"??_);_(@_)</c:formatCode>
                <c:ptCount val="7"/>
                <c:pt idx="0">
                  <c:v>1100.79</c:v>
                </c:pt>
                <c:pt idx="1">
                  <c:v>1262.79</c:v>
                </c:pt>
                <c:pt idx="2">
                  <c:v>1526.69</c:v>
                </c:pt>
                <c:pt idx="3">
                  <c:v>1827.79</c:v>
                </c:pt>
                <c:pt idx="4">
                  <c:v>1997.09</c:v>
                </c:pt>
                <c:pt idx="5">
                  <c:v>2105.7666666666669</c:v>
                </c:pt>
                <c:pt idx="6">
                  <c:v>1626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'03.2. data chart 01'!$F$16:$F$29</c15:f>
                <c15:dlblRangeCache>
                  <c:ptCount val="14"/>
                  <c:pt idx="0">
                    <c:v>36%</c:v>
                  </c:pt>
                  <c:pt idx="1">
                    <c:v>35%</c:v>
                  </c:pt>
                  <c:pt idx="2">
                    <c:v>42%</c:v>
                  </c:pt>
                  <c:pt idx="3">
                    <c:v>47%</c:v>
                  </c:pt>
                  <c:pt idx="4">
                    <c:v>39%</c:v>
                  </c:pt>
                  <c:pt idx="5">
                    <c:v>42%</c:v>
                  </c:pt>
                  <c:pt idx="6">
                    <c:v>39%</c:v>
                  </c:pt>
                  <c:pt idx="7">
                    <c:v>45%</c:v>
                  </c:pt>
                  <c:pt idx="8">
                    <c:v>39%</c:v>
                  </c:pt>
                  <c:pt idx="9">
                    <c:v>40%</c:v>
                  </c:pt>
                  <c:pt idx="10">
                    <c:v>48%</c:v>
                  </c:pt>
                  <c:pt idx="11">
                    <c:v>49%</c:v>
                  </c:pt>
                  <c:pt idx="12">
                    <c:v>42%</c:v>
                  </c:pt>
                  <c:pt idx="13">
                    <c:v>39%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81C2-4384-AA84-43E91D0A0526}"/>
            </c:ext>
          </c:extLst>
        </c:ser>
        <c:ser>
          <c:idx val="5"/>
          <c:order val="6"/>
          <c:tx>
            <c:strRef>
              <c:f>'03.2. data chart 01'!$H$14:$H$15</c:f>
              <c:strCache>
                <c:ptCount val="2"/>
                <c:pt idx="0">
                  <c:v>TT</c:v>
                </c:pt>
                <c:pt idx="1">
                  <c:v>B2B</c:v>
                </c:pt>
              </c:strCache>
            </c:strRef>
          </c:tx>
          <c:spPr>
            <a:solidFill>
              <a:srgbClr val="D4611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2.3044595738364697E-3"/>
                  <c:y val="0.13431318124788916"/>
                </c:manualLayout>
              </c:layout>
              <c:tx>
                <c:rich>
                  <a:bodyPr/>
                  <a:lstStyle/>
                  <a:p>
                    <a:fld id="{09734529-EE9A-4E8C-998D-295F2A3B0978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34F1D697-97A4-4054-956B-F03F34BACBED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4.8810044337473192E-2"/>
                      <c:h val="0.1258443529374363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81C2-4384-AA84-43E91D0A0526}"/>
                </c:ext>
              </c:extLst>
            </c:dLbl>
            <c:dLbl>
              <c:idx val="1"/>
              <c:layout>
                <c:manualLayout>
                  <c:x val="5.7603583516860726E-4"/>
                  <c:y val="0.16314772767202043"/>
                </c:manualLayout>
              </c:layout>
              <c:tx>
                <c:rich>
                  <a:bodyPr rot="0" spcFirstLastPara="1" vertOverflow="overflow" horzOverflow="overflow" vert="horz" wrap="square" lIns="72000" tIns="216000" rIns="72000" bIns="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ln>
                          <a:noFill/>
                        </a:ln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E73A98F-C6A1-47BF-B729-D8FCEEFE3300}" type="CELLRANGE">
                      <a:rPr lang="en-US"/>
                      <a:pPr>
                        <a:defRPr b="1">
                          <a:ln>
                            <a:noFill/>
                          </a:ln>
                          <a:solidFill>
                            <a:schemeClr val="bg1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b="1">
                        <a:ln>
                          <a:noFill/>
                        </a:ln>
                        <a:solidFill>
                          <a:schemeClr val="bg1"/>
                        </a:solidFill>
                      </a:defRPr>
                    </a:pPr>
                    <a:fld id="{F8D97DF4-FDC9-4E99-A48E-564240778FA7}" type="VALUE">
                      <a:rPr lang="en-US"/>
                      <a:pPr>
                        <a:defRPr b="1">
                          <a:ln>
                            <a:noFill/>
                          </a:ln>
                          <a:solidFill>
                            <a:schemeClr val="bg1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overflow" horzOverflow="overflow" vert="horz" wrap="square" lIns="72000" tIns="216000" rIns="72000" bIns="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ln>
                        <a:noFill/>
                      </a:ln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6.1343292216146011E-2"/>
                      <c:h val="0.13343017320175901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81C2-4384-AA84-43E91D0A0526}"/>
                </c:ext>
              </c:extLst>
            </c:dLbl>
            <c:dLbl>
              <c:idx val="2"/>
              <c:layout>
                <c:manualLayout>
                  <c:x val="8.2870897002941145E-4"/>
                  <c:y val="0.1245165460247586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A3A8EAA-D9C6-4004-B3F9-2AE6DEC5D3CC}" type="CELLRANGE">
                      <a:rPr lang="en-US" b="1">
                        <a:solidFill>
                          <a:schemeClr val="bg1"/>
                        </a:solidFill>
                      </a:rPr>
                      <a:pPr>
                        <a:defRPr b="1">
                          <a:solidFill>
                            <a:schemeClr val="bg1"/>
                          </a:solidFill>
                        </a:defRPr>
                      </a:pPr>
                      <a:t>[CELLRANGE]</a:t>
                    </a:fld>
                    <a:endParaRPr lang="en-US" b="1" baseline="0">
                      <a:solidFill>
                        <a:schemeClr val="bg1"/>
                      </a:solidFill>
                    </a:endParaRPr>
                  </a:p>
                  <a:p>
                    <a:pPr>
                      <a:defRPr b="1">
                        <a:solidFill>
                          <a:schemeClr val="bg1"/>
                        </a:solidFill>
                      </a:defRPr>
                    </a:pPr>
                    <a:fld id="{99E8AB4B-B793-492C-A270-32F8F447CE8C}" type="VALUE">
                      <a:rPr lang="en-US" b="1">
                        <a:solidFill>
                          <a:schemeClr val="bg1"/>
                        </a:solidFill>
                      </a:rPr>
                      <a:pPr>
                        <a:defRPr b="1">
                          <a:solidFill>
                            <a:schemeClr val="bg1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4.8253420412065054E-2"/>
                      <c:h val="9.1378634322044044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81C2-4384-AA84-43E91D0A0526}"/>
                </c:ext>
              </c:extLst>
            </c:dLbl>
            <c:dLbl>
              <c:idx val="3"/>
              <c:layout>
                <c:manualLayout>
                  <c:x val="5.7604839868389309E-4"/>
                  <c:y val="0.14328563969813368"/>
                </c:manualLayout>
              </c:layout>
              <c:tx>
                <c:rich>
                  <a:bodyPr rot="0" spcFirstLastPara="1" vertOverflow="overflow" horzOverflow="overflow" vert="horz" wrap="square" lIns="72000" tIns="216000" rIns="72000" bIns="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ln>
                          <a:noFill/>
                        </a:ln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8382222-DE8F-4E80-806A-303010407EB7}" type="CELLRANGE">
                      <a:rPr lang="en-US"/>
                      <a:pPr>
                        <a:defRPr b="1">
                          <a:ln>
                            <a:noFill/>
                          </a:ln>
                          <a:solidFill>
                            <a:schemeClr val="bg1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b="1">
                        <a:ln>
                          <a:noFill/>
                        </a:ln>
                        <a:solidFill>
                          <a:schemeClr val="bg1"/>
                        </a:solidFill>
                      </a:defRPr>
                    </a:pPr>
                    <a:fld id="{12DEC2D1-4807-4121-B4B1-8CA9BB83EECC}" type="VALUE">
                      <a:rPr lang="en-US"/>
                      <a:pPr>
                        <a:defRPr b="1">
                          <a:ln>
                            <a:noFill/>
                          </a:ln>
                          <a:solidFill>
                            <a:schemeClr val="bg1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overflow" horzOverflow="overflow" vert="horz" wrap="square" lIns="72000" tIns="216000" rIns="72000" bIns="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ln>
                        <a:noFill/>
                      </a:ln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6.1343325985546253E-2"/>
                      <c:h val="0.1682377108151404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81C2-4384-AA84-43E91D0A0526}"/>
                </c:ext>
              </c:extLst>
            </c:dLbl>
            <c:dLbl>
              <c:idx val="4"/>
              <c:layout>
                <c:manualLayout>
                  <c:x val="0"/>
                  <c:y val="0.14960000471181104"/>
                </c:manualLayout>
              </c:layout>
              <c:tx>
                <c:rich>
                  <a:bodyPr rot="0" spcFirstLastPara="1" vertOverflow="overflow" horzOverflow="overflow" vert="horz" wrap="square" lIns="72000" tIns="216000" rIns="72000" bIns="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ln>
                          <a:noFill/>
                        </a:ln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92252FC-AFF4-4711-99EE-63563AEAD00C}" type="CELLRANGE">
                      <a:rPr lang="en-US" baseline="0"/>
                      <a:pPr>
                        <a:defRPr b="1">
                          <a:ln>
                            <a:noFill/>
                          </a:ln>
                          <a:solidFill>
                            <a:schemeClr val="bg1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
</a:t>
                    </a:r>
                    <a:fld id="{F5206DF4-76AF-4E01-AD9C-6043AC9DBADB}" type="VALUE">
                      <a:rPr lang="en-US" baseline="0"/>
                      <a:pPr>
                        <a:defRPr b="1">
                          <a:ln>
                            <a:noFill/>
                          </a:ln>
                          <a:solidFill>
                            <a:schemeClr val="bg1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overflow" horzOverflow="overflow" vert="horz" wrap="square" lIns="72000" tIns="216000" rIns="72000" bIns="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ln>
                        <a:noFill/>
                      </a:ln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81C2-4384-AA84-43E91D0A0526}"/>
                </c:ext>
              </c:extLst>
            </c:dLbl>
            <c:dLbl>
              <c:idx val="5"/>
              <c:layout>
                <c:manualLayout>
                  <c:x val="5.7615900705527317E-4"/>
                  <c:y val="0.17605597709828469"/>
                </c:manualLayout>
              </c:layout>
              <c:tx>
                <c:rich>
                  <a:bodyPr/>
                  <a:lstStyle/>
                  <a:p>
                    <a:fld id="{D9CEAAA6-61AD-4AE9-BA03-96A2D341F7D5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A7CFA0DF-3009-454C-9B5E-1D283CC2EC70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81C2-4384-AA84-43E91D0A0526}"/>
                </c:ext>
              </c:extLst>
            </c:dLbl>
            <c:dLbl>
              <c:idx val="6"/>
              <c:layout>
                <c:manualLayout>
                  <c:x val="-5.9938676506692652E-4"/>
                  <c:y val="0.14753257039961507"/>
                </c:manualLayout>
              </c:layout>
              <c:tx>
                <c:rich>
                  <a:bodyPr rot="0" spcFirstLastPara="1" vertOverflow="overflow" horzOverflow="overflow" vert="horz" wrap="square" lIns="72000" tIns="216000" rIns="72000" bIns="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ln>
                          <a:noFill/>
                        </a:ln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BF5D2B6-6D88-49D2-AAFC-A985390E8876}" type="CELLRANGE">
                      <a:rPr lang="en-US"/>
                      <a:pPr>
                        <a:defRPr b="1">
                          <a:ln>
                            <a:noFill/>
                          </a:ln>
                          <a:solidFill>
                            <a:schemeClr val="bg1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b="1">
                        <a:ln>
                          <a:noFill/>
                        </a:ln>
                        <a:solidFill>
                          <a:schemeClr val="bg1"/>
                        </a:solidFill>
                      </a:defRPr>
                    </a:pPr>
                    <a:fld id="{AB8826AD-B5A0-4B79-8E31-F8223F1BE56E}" type="VALUE">
                      <a:rPr lang="en-US"/>
                      <a:pPr>
                        <a:defRPr b="1">
                          <a:ln>
                            <a:noFill/>
                          </a:ln>
                          <a:solidFill>
                            <a:schemeClr val="bg1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overflow" horzOverflow="overflow" vert="horz" wrap="square" lIns="72000" tIns="216000" rIns="72000" bIns="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ln>
                        <a:noFill/>
                      </a:ln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5.6511035632116846E-2"/>
                      <c:h val="0.1342871745194968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81C2-4384-AA84-43E91D0A05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72000" tIns="216000" rIns="72000" bIns="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ln>
                      <a:noFill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'03.2. data chart 01'!$B$16:$B$29</c15:sqref>
                  </c15:fullRef>
                </c:ext>
              </c:extLst>
              <c:f>('03.2. data chart 01'!$B$16:$B$20,'03.2. data chart 01'!$B$28:$B$29)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Bình Quân 2025</c:v>
                </c:pt>
                <c:pt idx="6">
                  <c:v>Bình Quân 2024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'03.2. data chart 01'!$H$16:$H$29</c15:sqref>
                  </c15:fullRef>
                </c:ext>
              </c:extLst>
              <c:f>('03.2. data chart 01'!$H$16:$H$20,'03.2. data chart 01'!$H$28:$H$29)</c:f>
              <c:numCache>
                <c:formatCode>_(* #,##0_);_(* \(#,##0\);_(* "-"??_);_(@_)</c:formatCode>
                <c:ptCount val="7"/>
                <c:pt idx="0">
                  <c:v>1066.8993</c:v>
                </c:pt>
                <c:pt idx="1">
                  <c:v>1532.675</c:v>
                </c:pt>
                <c:pt idx="2">
                  <c:v>1320.8999999999999</c:v>
                </c:pt>
                <c:pt idx="3">
                  <c:v>1039.925</c:v>
                </c:pt>
                <c:pt idx="4">
                  <c:v>1085.8852999999999</c:v>
                </c:pt>
                <c:pt idx="5">
                  <c:v>1243.1185750000002</c:v>
                </c:pt>
                <c:pt idx="6">
                  <c:v>1248.4244333333336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'03.2. data chart 01'!$K$16:$K$29</c15:f>
                <c15:dlblRangeCache>
                  <c:ptCount val="14"/>
                  <c:pt idx="0">
                    <c:v>31%</c:v>
                  </c:pt>
                  <c:pt idx="1">
                    <c:v>28%</c:v>
                  </c:pt>
                  <c:pt idx="2">
                    <c:v>29%</c:v>
                  </c:pt>
                  <c:pt idx="3">
                    <c:v>27%</c:v>
                  </c:pt>
                  <c:pt idx="4">
                    <c:v>24%</c:v>
                  </c:pt>
                  <c:pt idx="5">
                    <c:v>0%</c:v>
                  </c:pt>
                  <c:pt idx="6">
                    <c:v>0%</c:v>
                  </c:pt>
                  <c:pt idx="7">
                    <c:v>0%</c:v>
                  </c:pt>
                  <c:pt idx="8">
                    <c:v>0%</c:v>
                  </c:pt>
                  <c:pt idx="9">
                    <c:v>0%</c:v>
                  </c:pt>
                  <c:pt idx="10">
                    <c:v>0%</c:v>
                  </c:pt>
                  <c:pt idx="11">
                    <c:v>0%</c:v>
                  </c:pt>
                  <c:pt idx="12">
                    <c:v>28%</c:v>
                  </c:pt>
                  <c:pt idx="13">
                    <c:v>43%</c:v>
                  </c:pt>
                </c15:dlblRangeCache>
              </c15:datalabelsRange>
            </c:ext>
            <c:ext xmlns:c15="http://schemas.microsoft.com/office/drawing/2012/chart" uri="{02D57815-91ED-43cb-92C2-25804820EDAC}">
              <c15:categoryFilterExceptions>
                <c15:categoryFilterException>
                  <c15:sqref>'03.2. data chart 01'!$H$21</c15:sqref>
                  <c15:dLbl>
                    <c:idx val="4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overflow" horzOverflow="overflow" vert="horz" wrap="square" lIns="72000" tIns="216000" rIns="72000" bIns="0" anchor="ctr" anchorCtr="1">
                        <a:noAutofit/>
                      </a:bodyPr>
                      <a:lstStyle/>
                      <a:p>
                        <a:pPr>
                          <a:defRPr sz="900" b="1" i="0" u="none" strike="noStrike" kern="1200" baseline="0">
                            <a:ln>
                              <a:noFill/>
                            </a:ln>
                            <a:solidFill>
                              <a:schemeClr val="bg1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spPr xmlns:c15="http://schemas.microsoft.com/office/drawing/2012/chart">
                          <a:prstGeom prst="rec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0-987D-46CD-938E-6169B362CF55}"/>
                      </c:ext>
                    </c:extLst>
                  </c15:dLbl>
                </c15:categoryFilterException>
                <c15:categoryFilterException>
                  <c15:sqref>'03.2. data chart 01'!$H$22</c15:sqref>
                  <c15:dLbl>
                    <c:idx val="4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overflow" horzOverflow="overflow" vert="horz" wrap="square" lIns="72000" tIns="216000" rIns="72000" bIns="0" anchor="ctr" anchorCtr="1">
                        <a:noAutofit/>
                      </a:bodyPr>
                      <a:lstStyle/>
                      <a:p>
                        <a:pPr>
                          <a:defRPr sz="900" b="1" i="0" u="none" strike="noStrike" kern="1200" baseline="0">
                            <a:ln>
                              <a:noFill/>
                            </a:ln>
                            <a:solidFill>
                              <a:schemeClr val="bg1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spPr xmlns:c15="http://schemas.microsoft.com/office/drawing/2012/chart">
                          <a:prstGeom prst="rec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1-987D-46CD-938E-6169B362CF55}"/>
                      </c:ext>
                    </c:extLst>
                  </c15:dLbl>
                </c15:categoryFilterException>
                <c15:categoryFilterException>
                  <c15:sqref>'03.2. data chart 01'!$H$23</c15:sqref>
                  <c15:dLbl>
                    <c:idx val="4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overflow" horzOverflow="overflow" vert="horz" wrap="square" lIns="72000" tIns="216000" rIns="72000" bIns="0" anchor="ctr" anchorCtr="1">
                        <a:noAutofit/>
                      </a:bodyPr>
                      <a:lstStyle/>
                      <a:p>
                        <a:pPr>
                          <a:defRPr sz="900" b="1" i="0" u="none" strike="noStrike" kern="1200" baseline="0">
                            <a:ln>
                              <a:noFill/>
                            </a:ln>
                            <a:solidFill>
                              <a:schemeClr val="bg1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spPr xmlns:c15="http://schemas.microsoft.com/office/drawing/2012/chart">
                          <a:prstGeom prst="rec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2-987D-46CD-938E-6169B362CF55}"/>
                      </c:ext>
                    </c:extLst>
                  </c15:dLbl>
                </c15:categoryFilterException>
                <c15:categoryFilterException>
                  <c15:sqref>'03.2. data chart 01'!$H$24</c15:sqref>
                  <c15:dLbl>
                    <c:idx val="4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overflow" horzOverflow="overflow" vert="horz" wrap="square" lIns="72000" tIns="216000" rIns="72000" bIns="0" anchor="ctr" anchorCtr="1">
                        <a:noAutofit/>
                      </a:bodyPr>
                      <a:lstStyle/>
                      <a:p>
                        <a:pPr>
                          <a:defRPr sz="900" b="1" i="0" u="none" strike="noStrike" kern="1200" baseline="0">
                            <a:ln>
                              <a:noFill/>
                            </a:ln>
                            <a:solidFill>
                              <a:schemeClr val="bg1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spPr xmlns:c15="http://schemas.microsoft.com/office/drawing/2012/chart">
                          <a:prstGeom prst="rec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3-987D-46CD-938E-6169B362CF55}"/>
                      </c:ext>
                    </c:extLst>
                  </c15:dLbl>
                </c15:categoryFilterException>
                <c15:categoryFilterException>
                  <c15:sqref>'03.2. data chart 01'!$H$25</c15:sqref>
                  <c15:dLbl>
                    <c:idx val="4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overflow" horzOverflow="overflow" vert="horz" wrap="square" lIns="72000" tIns="216000" rIns="72000" bIns="0" anchor="ctr" anchorCtr="1">
                        <a:noAutofit/>
                      </a:bodyPr>
                      <a:lstStyle/>
                      <a:p>
                        <a:pPr>
                          <a:defRPr sz="900" b="1" i="0" u="none" strike="noStrike" kern="1200" baseline="0">
                            <a:ln>
                              <a:noFill/>
                            </a:ln>
                            <a:solidFill>
                              <a:schemeClr val="bg1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spPr xmlns:c15="http://schemas.microsoft.com/office/drawing/2012/chart">
                          <a:prstGeom prst="rec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4-987D-46CD-938E-6169B362CF55}"/>
                      </c:ext>
                    </c:extLst>
                  </c15:dLbl>
                </c15:categoryFilterException>
                <c15:categoryFilterException>
                  <c15:sqref>'03.2. data chart 01'!$H$26</c15:sqref>
                  <c15:dLbl>
                    <c:idx val="4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overflow" horzOverflow="overflow" vert="horz" wrap="square" lIns="72000" tIns="216000" rIns="72000" bIns="0" anchor="ctr" anchorCtr="1">
                        <a:noAutofit/>
                      </a:bodyPr>
                      <a:lstStyle/>
                      <a:p>
                        <a:pPr>
                          <a:defRPr sz="900" b="1" i="0" u="none" strike="noStrike" kern="1200" baseline="0">
                            <a:ln>
                              <a:noFill/>
                            </a:ln>
                            <a:solidFill>
                              <a:schemeClr val="bg1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spPr xmlns:c15="http://schemas.microsoft.com/office/drawing/2012/chart">
                          <a:prstGeom prst="rec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5-987D-46CD-938E-6169B362CF55}"/>
                      </c:ext>
                    </c:extLst>
                  </c15:dLbl>
                </c15:categoryFilterException>
                <c15:categoryFilterException>
                  <c15:sqref>'03.2. data chart 01'!$H$27</c15:sqref>
                  <c15:dLbl>
                    <c:idx val="4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overflow" horzOverflow="overflow" vert="horz" wrap="square" lIns="72000" tIns="216000" rIns="72000" bIns="0" anchor="ctr" anchorCtr="1">
                        <a:noAutofit/>
                      </a:bodyPr>
                      <a:lstStyle/>
                      <a:p>
                        <a:pPr>
                          <a:defRPr sz="900" b="1" i="0" u="none" strike="noStrike" kern="1200" baseline="0">
                            <a:ln>
                              <a:noFill/>
                            </a:ln>
                            <a:solidFill>
                              <a:schemeClr val="bg1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spPr xmlns:c15="http://schemas.microsoft.com/office/drawing/2012/chart">
                          <a:prstGeom prst="rec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6-987D-46CD-938E-6169B362CF55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F-81C2-4384-AA84-43E91D0A0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9"/>
        <c:overlap val="-27"/>
        <c:axId val="681775824"/>
        <c:axId val="681773424"/>
      </c:barChart>
      <c:lineChart>
        <c:grouping val="standard"/>
        <c:varyColors val="0"/>
        <c:ser>
          <c:idx val="2"/>
          <c:order val="2"/>
          <c:tx>
            <c:strRef>
              <c:f>'03.2. data chart 01'!$E$14:$E$15</c:f>
              <c:strCache>
                <c:ptCount val="2"/>
                <c:pt idx="0">
                  <c:v>KH</c:v>
                </c:pt>
                <c:pt idx="1">
                  <c:v>Tổng cộng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5.7007465379424825E-2"/>
                  <c:y val="0.111710312832379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1C2-4384-AA84-43E91D0A0526}"/>
                </c:ext>
              </c:extLst>
            </c:dLbl>
            <c:dLbl>
              <c:idx val="1"/>
              <c:layout>
                <c:manualLayout>
                  <c:x val="-5.8021247258277529E-2"/>
                  <c:y val="0.1302722733207618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1C2-4384-AA84-43E91D0A0526}"/>
                </c:ext>
              </c:extLst>
            </c:dLbl>
            <c:dLbl>
              <c:idx val="2"/>
              <c:layout>
                <c:manualLayout>
                  <c:x val="-5.7007510781313241E-2"/>
                  <c:y val="0.15381589537991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1C2-4384-AA84-43E91D0A0526}"/>
                </c:ext>
              </c:extLst>
            </c:dLbl>
            <c:dLbl>
              <c:idx val="3"/>
              <c:layout>
                <c:manualLayout>
                  <c:x val="-5.7007510781313241E-2"/>
                  <c:y val="0.2039732525690175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1C2-4384-AA84-43E91D0A0526}"/>
                </c:ext>
              </c:extLst>
            </c:dLbl>
            <c:dLbl>
              <c:idx val="4"/>
              <c:layout>
                <c:manualLayout>
                  <c:x val="-5.0920375236260959E-2"/>
                  <c:y val="0.2108000066393702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1C2-4384-AA84-43E91D0A0526}"/>
                </c:ext>
              </c:extLst>
            </c:dLbl>
            <c:dLbl>
              <c:idx val="5"/>
              <c:layout>
                <c:manualLayout>
                  <c:x val="-5.7007510781313241E-2"/>
                  <c:y val="0.247442962132906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1C2-4384-AA84-43E91D0A0526}"/>
                </c:ext>
              </c:extLst>
            </c:dLbl>
            <c:dLbl>
              <c:idx val="6"/>
              <c:layout>
                <c:manualLayout>
                  <c:x val="-5.5739540291698607E-2"/>
                  <c:y val="0.167076180544230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1C2-4384-AA84-43E91D0A05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'03.2. data chart 01'!$B$16:$B$29</c15:sqref>
                  </c15:fullRef>
                </c:ext>
              </c:extLst>
              <c:f>('03.2. data chart 01'!$B$16:$B$20,'03.2. data chart 01'!$B$28:$B$29)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Bình Quân 2025</c:v>
                </c:pt>
                <c:pt idx="6">
                  <c:v>Bình Quân 2024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'03.2. data chart 01'!$E$16:$E$29</c15:sqref>
                  </c15:fullRef>
                </c:ext>
              </c:extLst>
              <c:f>('03.2. data chart 01'!$E$16:$E$20,'03.2. data chart 01'!$E$28:$E$29)</c:f>
              <c:numCache>
                <c:formatCode>_(* #,##0_);_(* \(#,##0\);_(* "-"??_);_(@_)</c:formatCode>
                <c:ptCount val="7"/>
                <c:pt idx="0">
                  <c:v>3047.23</c:v>
                </c:pt>
                <c:pt idx="1">
                  <c:v>3649.23</c:v>
                </c:pt>
                <c:pt idx="2">
                  <c:v>3614.08</c:v>
                </c:pt>
                <c:pt idx="3">
                  <c:v>3882.18</c:v>
                </c:pt>
                <c:pt idx="4">
                  <c:v>5125.4800000000005</c:v>
                </c:pt>
                <c:pt idx="5">
                  <c:v>5000</c:v>
                </c:pt>
                <c:pt idx="6">
                  <c:v>4167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1C2-4384-AA84-43E91D0A0526}"/>
            </c:ext>
          </c:extLst>
        </c:ser>
        <c:ser>
          <c:idx val="7"/>
          <c:order val="7"/>
          <c:tx>
            <c:strRef>
              <c:f>'03.2. data chart 01'!$J$14:$J$15</c:f>
              <c:strCache>
                <c:ptCount val="2"/>
                <c:pt idx="0">
                  <c:v>TT</c:v>
                </c:pt>
                <c:pt idx="1">
                  <c:v>Tổng cộng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4218809019935978E-3"/>
                  <c:y val="0.1144597911273667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1C2-4384-AA84-43E91D0A0526}"/>
                </c:ext>
              </c:extLst>
            </c:dLbl>
            <c:dLbl>
              <c:idx val="1"/>
              <c:layout>
                <c:manualLayout>
                  <c:x val="-1.9146309103721561E-4"/>
                  <c:y val="0.1735975234574025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1C2-4384-AA84-43E91D0A0526}"/>
                </c:ext>
              </c:extLst>
            </c:dLbl>
            <c:dLbl>
              <c:idx val="2"/>
              <c:layout>
                <c:manualLayout>
                  <c:x val="-5.0221463597577946E-3"/>
                  <c:y val="0.141519994244093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1C2-4384-AA84-43E91D0A0526}"/>
                </c:ext>
              </c:extLst>
            </c:dLbl>
            <c:dLbl>
              <c:idx val="3"/>
              <c:layout>
                <c:manualLayout>
                  <c:x val="-3.2215302438498403E-3"/>
                  <c:y val="0.1129177706331701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81C2-4384-AA84-43E91D0A0526}"/>
                </c:ext>
              </c:extLst>
            </c:dLbl>
            <c:dLbl>
              <c:idx val="4"/>
              <c:layout>
                <c:manualLayout>
                  <c:x val="-8.8465238422474818E-17"/>
                  <c:y val="9.52000029984252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81C2-4384-AA84-43E91D0A0526}"/>
                </c:ext>
              </c:extLst>
            </c:dLbl>
            <c:dLbl>
              <c:idx val="5"/>
              <c:layout>
                <c:manualLayout>
                  <c:x val="-4.8322324624621334E-3"/>
                  <c:y val="0.1363319095313986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81C2-4384-AA84-43E91D0A0526}"/>
                </c:ext>
              </c:extLst>
            </c:dLbl>
            <c:dLbl>
              <c:idx val="6"/>
              <c:layout>
                <c:manualLayout>
                  <c:x val="-1.4047263178351465E-3"/>
                  <c:y val="0.1140760859883216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1C2-4384-AA84-43E91D0A05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'03.2. data chart 01'!$B$16:$B$29</c15:sqref>
                  </c15:fullRef>
                </c:ext>
              </c:extLst>
              <c:f>('03.2. data chart 01'!$B$16:$B$20,'03.2. data chart 01'!$B$28:$B$29)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Bình Quân 2025</c:v>
                </c:pt>
                <c:pt idx="6">
                  <c:v>Bình Quân 2024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'03.2. data chart 01'!$J$16:$J$29</c15:sqref>
                  </c15:fullRef>
                </c:ext>
              </c:extLst>
              <c:f>('03.2. data chart 01'!$J$16:$J$20,'03.2. data chart 01'!$J$28:$J$29)</c:f>
              <c:numCache>
                <c:formatCode>_(* #,##0_);_(* \(#,##0\);_(* "-"??_);_(@_)</c:formatCode>
                <c:ptCount val="7"/>
                <c:pt idx="0">
                  <c:v>3487.9992999999999</c:v>
                </c:pt>
                <c:pt idx="1">
                  <c:v>5476.6750000000002</c:v>
                </c:pt>
                <c:pt idx="2">
                  <c:v>4580.05</c:v>
                </c:pt>
                <c:pt idx="3">
                  <c:v>3850.9250000000002</c:v>
                </c:pt>
                <c:pt idx="4">
                  <c:v>4578.8852999999999</c:v>
                </c:pt>
                <c:pt idx="5">
                  <c:v>4481.7185750000008</c:v>
                </c:pt>
                <c:pt idx="6">
                  <c:v>2913.1056833333332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1C2-4384-AA84-43E91D0A0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40368"/>
        <c:axId val="41240848"/>
      </c:lineChart>
      <c:lineChart>
        <c:grouping val="standard"/>
        <c:varyColors val="0"/>
        <c:ser>
          <c:idx val="10"/>
          <c:order val="10"/>
          <c:tx>
            <c:strRef>
              <c:f>'03.2. data chart 01'!$M$15</c:f>
              <c:strCache>
                <c:ptCount val="1"/>
                <c:pt idx="0">
                  <c:v>inv.value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Lit>
              <c:ptCount val="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Bình Quân 2025</c:v>
              </c:pt>
              <c:pt idx="13">
                <c:v>Bình Quân 2024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'03.2. data chart 01'!$M$16</c15:sqref>
                  </c15:fullRef>
                </c:ext>
              </c:extLst>
              <c:f>'03.2. data chart 01'!$M$16</c:f>
              <c:numCache>
                <c:formatCode>_(* #,##0_);_(* \(#,##0\);_(* "-"??_);_(@_)</c:formatCode>
                <c:ptCount val="1"/>
                <c:pt idx="0">
                  <c:v>3944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1C2-4384-AA84-43E91D0A0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1775824"/>
        <c:axId val="681773424"/>
      </c:lineChart>
      <c:catAx>
        <c:axId val="41240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40848"/>
        <c:crosses val="autoZero"/>
        <c:auto val="1"/>
        <c:lblAlgn val="ctr"/>
        <c:lblOffset val="100"/>
        <c:noMultiLvlLbl val="0"/>
      </c:catAx>
      <c:valAx>
        <c:axId val="41240848"/>
        <c:scaling>
          <c:orientation val="minMax"/>
          <c:max val="5600"/>
          <c:min val="0"/>
        </c:scaling>
        <c:delete val="1"/>
        <c:axPos val="l"/>
        <c:numFmt formatCode="_(* #,##0_);_(* \(#,##0\);_(* &quot;-&quot;??_);_(@_)" sourceLinked="1"/>
        <c:majorTickMark val="out"/>
        <c:minorTickMark val="none"/>
        <c:tickLblPos val="nextTo"/>
        <c:crossAx val="41240368"/>
        <c:crosses val="autoZero"/>
        <c:crossBetween val="between"/>
      </c:valAx>
      <c:valAx>
        <c:axId val="681773424"/>
        <c:scaling>
          <c:orientation val="minMax"/>
          <c:max val="8000"/>
          <c:min val="0"/>
        </c:scaling>
        <c:delete val="1"/>
        <c:axPos val="r"/>
        <c:numFmt formatCode="_(* #,##0_);_(* \(#,##0\);_(* &quot;-&quot;??_);_(@_)" sourceLinked="1"/>
        <c:majorTickMark val="out"/>
        <c:minorTickMark val="none"/>
        <c:tickLblPos val="nextTo"/>
        <c:crossAx val="681775824"/>
        <c:crosses val="max"/>
        <c:crossBetween val="between"/>
      </c:valAx>
      <c:catAx>
        <c:axId val="6817758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681773424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0" baseline="0">
                <a:solidFill>
                  <a:srgbClr val="00B05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% LỢI NHUẬN GỘP XUẤT KHẨU - B2B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932895264265197E-2"/>
          <c:y val="0.1063128008034832"/>
          <c:w val="0.92271852670061316"/>
          <c:h val="0.72522717928019342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'03.2. data chart 01'!$D$64:$D$65</c:f>
              <c:strCache>
                <c:ptCount val="2"/>
                <c:pt idx="0">
                  <c:v>2024</c:v>
                </c:pt>
                <c:pt idx="1">
                  <c:v>B2B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3.8653936028344598E-3"/>
                  <c:y val="0.2483630104764095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D1E-48CB-AA2E-DACCBBC476F8}"/>
                </c:ext>
              </c:extLst>
            </c:dLbl>
            <c:dLbl>
              <c:idx val="3"/>
              <c:layout>
                <c:manualLayout>
                  <c:x val="-1.4172946149976336E-16"/>
                  <c:y val="0.2193075578772997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D1E-48CB-AA2E-DACCBBC476F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'03.2. data chart 01'!$B$66:$B$78</c15:sqref>
                  </c15:fullRef>
                </c:ext>
              </c:extLst>
              <c:f>('03.2. data chart 01'!$B$66:$B$70,'03.2. data chart 01'!$B$78)</c:f>
              <c:strCache>
                <c:ptCount val="6"/>
                <c:pt idx="0">
                  <c:v>T01</c:v>
                </c:pt>
                <c:pt idx="1">
                  <c:v>T02</c:v>
                </c:pt>
                <c:pt idx="2">
                  <c:v>T03</c:v>
                </c:pt>
                <c:pt idx="3">
                  <c:v>T04</c:v>
                </c:pt>
                <c:pt idx="4">
                  <c:v>T05</c:v>
                </c:pt>
                <c:pt idx="5">
                  <c:v>Bình Quân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'03.2. data chart 01'!$D$66:$D$78</c15:sqref>
                  </c15:fullRef>
                </c:ext>
              </c:extLst>
              <c:f>('03.2. data chart 01'!$D$66:$D$70,'03.2. data chart 01'!$D$78)</c:f>
              <c:numCache>
                <c:formatCode>0%</c:formatCode>
                <c:ptCount val="6"/>
                <c:pt idx="0">
                  <c:v>0.26564219574678111</c:v>
                </c:pt>
                <c:pt idx="1">
                  <c:v>0.24815775136411664</c:v>
                </c:pt>
                <c:pt idx="2">
                  <c:v>0.22309115029751672</c:v>
                </c:pt>
                <c:pt idx="3">
                  <c:v>0.21898652710741304</c:v>
                </c:pt>
                <c:pt idx="4">
                  <c:v>0.19941571242268782</c:v>
                </c:pt>
                <c:pt idx="5">
                  <c:v>0.20478713773037513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1E-48CB-AA2E-DACCBBC476F8}"/>
            </c:ext>
          </c:extLst>
        </c:ser>
        <c:ser>
          <c:idx val="3"/>
          <c:order val="3"/>
          <c:tx>
            <c:strRef>
              <c:f>'03.2. data chart 01'!$F$64:$F$65</c:f>
              <c:strCache>
                <c:ptCount val="2"/>
                <c:pt idx="0">
                  <c:v>2025</c:v>
                </c:pt>
                <c:pt idx="1">
                  <c:v>B2B</c:v>
                </c:pt>
              </c:strCache>
            </c:strRef>
          </c:tx>
          <c:spPr>
            <a:solidFill>
              <a:srgbClr val="D4611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771618268747042E-17"/>
                  <c:y val="0.2339223136585630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D1E-48CB-AA2E-DACCBBC476F8}"/>
                </c:ext>
              </c:extLst>
            </c:dLbl>
            <c:dLbl>
              <c:idx val="1"/>
              <c:layout>
                <c:manualLayout>
                  <c:x val="1.9326968014172299E-3"/>
                  <c:y val="0.28322505145070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D1E-48CB-AA2E-DACCBBC476F8}"/>
                </c:ext>
              </c:extLst>
            </c:dLbl>
            <c:dLbl>
              <c:idx val="2"/>
              <c:layout>
                <c:manualLayout>
                  <c:x val="1.932696801417159E-3"/>
                  <c:y val="0.1390495022107950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D1E-48CB-AA2E-DACCBBC476F8}"/>
                </c:ext>
              </c:extLst>
            </c:dLbl>
            <c:dLbl>
              <c:idx val="3"/>
              <c:layout>
                <c:manualLayout>
                  <c:x val="3.8653936028344598E-3"/>
                  <c:y val="0.109764393227530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D1E-48CB-AA2E-DACCBBC476F8}"/>
                </c:ext>
              </c:extLst>
            </c:dLbl>
            <c:dLbl>
              <c:idx val="4"/>
              <c:layout>
                <c:manualLayout>
                  <c:x val="1.2411395341838101E-3"/>
                  <c:y val="0.1193191159721178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D1E-48CB-AA2E-DACCBBC476F8}"/>
                </c:ext>
              </c:extLst>
            </c:dLbl>
            <c:dLbl>
              <c:idx val="5"/>
              <c:layout>
                <c:manualLayout>
                  <c:x val="0"/>
                  <c:y val="0.22185228314319158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D1E-48CB-AA2E-DACCBBC476F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'03.2. data chart 01'!$B$66:$B$78</c15:sqref>
                  </c15:fullRef>
                </c:ext>
              </c:extLst>
              <c:f>('03.2. data chart 01'!$B$66:$B$70,'03.2. data chart 01'!$B$78)</c:f>
              <c:strCache>
                <c:ptCount val="6"/>
                <c:pt idx="0">
                  <c:v>T01</c:v>
                </c:pt>
                <c:pt idx="1">
                  <c:v>T02</c:v>
                </c:pt>
                <c:pt idx="2">
                  <c:v>T03</c:v>
                </c:pt>
                <c:pt idx="3">
                  <c:v>T04</c:v>
                </c:pt>
                <c:pt idx="4">
                  <c:v>T05</c:v>
                </c:pt>
                <c:pt idx="5">
                  <c:v>Bình Quân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'03.2. data chart 01'!$F$66:$F$78</c15:sqref>
                  </c15:fullRef>
                </c:ext>
              </c:extLst>
              <c:f>('03.2. data chart 01'!$F$66:$F$70,'03.2. data chart 01'!$F$78)</c:f>
              <c:numCache>
                <c:formatCode>0%</c:formatCode>
                <c:ptCount val="6"/>
                <c:pt idx="0">
                  <c:v>0.20637215697708672</c:v>
                </c:pt>
                <c:pt idx="1">
                  <c:v>0.21707110878897382</c:v>
                </c:pt>
                <c:pt idx="2">
                  <c:v>0.15036654578380745</c:v>
                </c:pt>
                <c:pt idx="3">
                  <c:v>0.14143109683209201</c:v>
                </c:pt>
                <c:pt idx="4">
                  <c:v>0.11865867868490296</c:v>
                </c:pt>
                <c:pt idx="5">
                  <c:v>0.10348911547721366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1E-48CB-AA2E-DACCBBC47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9"/>
        <c:overlap val="-17"/>
        <c:axId val="489824176"/>
        <c:axId val="489815056"/>
      </c:barChart>
      <c:barChart>
        <c:barDir val="col"/>
        <c:grouping val="clustered"/>
        <c:varyColors val="0"/>
        <c:ser>
          <c:idx val="0"/>
          <c:order val="0"/>
          <c:tx>
            <c:strRef>
              <c:f>'03.2. data chart 01'!$C$64:$C$65</c:f>
              <c:strCache>
                <c:ptCount val="2"/>
                <c:pt idx="0">
                  <c:v>2024</c:v>
                </c:pt>
                <c:pt idx="1">
                  <c:v>XK</c:v>
                </c:pt>
              </c:strCache>
            </c:strRef>
          </c:tx>
          <c:spPr>
            <a:solidFill>
              <a:srgbClr val="87E18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'03.2. data chart 01'!$B$66:$B$78</c15:sqref>
                  </c15:fullRef>
                </c:ext>
              </c:extLst>
              <c:f>('03.2. data chart 01'!$B$66:$B$70,'03.2. data chart 01'!$B$78)</c:f>
              <c:strCache>
                <c:ptCount val="6"/>
                <c:pt idx="0">
                  <c:v>T01</c:v>
                </c:pt>
                <c:pt idx="1">
                  <c:v>T02</c:v>
                </c:pt>
                <c:pt idx="2">
                  <c:v>T03</c:v>
                </c:pt>
                <c:pt idx="3">
                  <c:v>T04</c:v>
                </c:pt>
                <c:pt idx="4">
                  <c:v>T05</c:v>
                </c:pt>
                <c:pt idx="5">
                  <c:v>Bình Quân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'03.2. data chart 01'!$C$66:$C$78</c15:sqref>
                  </c15:fullRef>
                </c:ext>
              </c:extLst>
              <c:f>('03.2. data chart 01'!$C$66:$C$70,'03.2. data chart 01'!$C$78)</c:f>
              <c:numCache>
                <c:formatCode>0%</c:formatCode>
                <c:ptCount val="6"/>
                <c:pt idx="0">
                  <c:v>0.25970653362731672</c:v>
                </c:pt>
                <c:pt idx="1">
                  <c:v>0.17646057929276038</c:v>
                </c:pt>
                <c:pt idx="2">
                  <c:v>0.12509243723640243</c:v>
                </c:pt>
                <c:pt idx="3">
                  <c:v>0.17322429792138749</c:v>
                </c:pt>
                <c:pt idx="4">
                  <c:v>1.4312599285364805E-2</c:v>
                </c:pt>
                <c:pt idx="5">
                  <c:v>0.12394491857034622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D1E-48CB-AA2E-DACCBBC476F8}"/>
            </c:ext>
          </c:extLst>
        </c:ser>
        <c:ser>
          <c:idx val="2"/>
          <c:order val="2"/>
          <c:tx>
            <c:strRef>
              <c:f>'03.2. data chart 01'!$E$64:$E$65</c:f>
              <c:strCache>
                <c:ptCount val="2"/>
                <c:pt idx="0">
                  <c:v>2025</c:v>
                </c:pt>
                <c:pt idx="1">
                  <c:v>XK</c:v>
                </c:pt>
              </c:strCache>
            </c:strRef>
          </c:tx>
          <c:spPr>
            <a:solidFill>
              <a:srgbClr val="30C23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'03.2. data chart 01'!$B$66:$B$78</c15:sqref>
                  </c15:fullRef>
                </c:ext>
              </c:extLst>
              <c:f>('03.2. data chart 01'!$B$66:$B$70,'03.2. data chart 01'!$B$78)</c:f>
              <c:strCache>
                <c:ptCount val="6"/>
                <c:pt idx="0">
                  <c:v>T01</c:v>
                </c:pt>
                <c:pt idx="1">
                  <c:v>T02</c:v>
                </c:pt>
                <c:pt idx="2">
                  <c:v>T03</c:v>
                </c:pt>
                <c:pt idx="3">
                  <c:v>T04</c:v>
                </c:pt>
                <c:pt idx="4">
                  <c:v>T05</c:v>
                </c:pt>
                <c:pt idx="5">
                  <c:v>Bình Quân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'03.2. data chart 01'!$E$66:$E$78</c15:sqref>
                  </c15:fullRef>
                </c:ext>
              </c:extLst>
              <c:f>('03.2. data chart 01'!$E$66:$E$70,'03.2. data chart 01'!$E$78)</c:f>
              <c:numCache>
                <c:formatCode>0%</c:formatCode>
                <c:ptCount val="6"/>
                <c:pt idx="0">
                  <c:v>0.16877576226838464</c:v>
                </c:pt>
                <c:pt idx="1">
                  <c:v>0.19060821313873022</c:v>
                </c:pt>
                <c:pt idx="2">
                  <c:v>0.16397205243855864</c:v>
                </c:pt>
                <c:pt idx="3">
                  <c:v>0.15813101520187109</c:v>
                </c:pt>
                <c:pt idx="4">
                  <c:v>0.16705803905321437</c:v>
                </c:pt>
                <c:pt idx="5">
                  <c:v>0.14549188625357121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D1E-48CB-AA2E-DACCBBC47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9"/>
        <c:overlap val="-17"/>
        <c:axId val="1181015792"/>
        <c:axId val="343922176"/>
      </c:barChart>
      <c:lineChart>
        <c:grouping val="standard"/>
        <c:varyColors val="0"/>
        <c:ser>
          <c:idx val="4"/>
          <c:order val="4"/>
          <c:tx>
            <c:strRef>
              <c:f>'03.2. data chart 01'!$G$65</c:f>
              <c:strCache>
                <c:ptCount val="1"/>
                <c:pt idx="0">
                  <c:v>inv.value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Lit>
              <c:ptCount val="6"/>
              <c:pt idx="0">
                <c:v>T01</c:v>
              </c:pt>
              <c:pt idx="1">
                <c:v>T02</c:v>
              </c:pt>
              <c:pt idx="2">
                <c:v>T03</c:v>
              </c:pt>
              <c:pt idx="3">
                <c:v>T04</c:v>
              </c:pt>
              <c:pt idx="4">
                <c:v>T05</c:v>
              </c:pt>
              <c:pt idx="5">
                <c:v>T06</c:v>
              </c:pt>
              <c:pt idx="6">
                <c:v>T07</c:v>
              </c:pt>
              <c:pt idx="7">
                <c:v>T08</c:v>
              </c:pt>
              <c:pt idx="8">
                <c:v>T09</c:v>
              </c:pt>
              <c:pt idx="9">
                <c:v>T10</c:v>
              </c:pt>
              <c:pt idx="10">
                <c:v>T11</c:v>
              </c:pt>
              <c:pt idx="11">
                <c:v>T12</c:v>
              </c:pt>
              <c:pt idx="12">
                <c:v>Bình Quân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'03.2. data chart 01'!$G$66</c15:sqref>
                  </c15:fullRef>
                </c:ext>
              </c:extLst>
              <c:f>'03.2. data chart 01'!$G$66</c:f>
              <c:numCache>
                <c:formatCode>0%</c:formatCode>
                <c:ptCount val="1"/>
                <c:pt idx="0">
                  <c:v>0.26564219574678111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D1E-48CB-AA2E-DACCBBC47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015792"/>
        <c:axId val="343922176"/>
      </c:lineChart>
      <c:catAx>
        <c:axId val="48982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815056"/>
        <c:crosses val="autoZero"/>
        <c:auto val="1"/>
        <c:lblAlgn val="ctr"/>
        <c:lblOffset val="100"/>
        <c:noMultiLvlLbl val="0"/>
      </c:catAx>
      <c:valAx>
        <c:axId val="48981505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824176"/>
        <c:crosses val="autoZero"/>
        <c:crossBetween val="between"/>
      </c:valAx>
      <c:valAx>
        <c:axId val="343922176"/>
        <c:scaling>
          <c:orientation val="minMax"/>
          <c:max val="0.70000000000000007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015792"/>
        <c:crosses val="max"/>
        <c:crossBetween val="between"/>
      </c:valAx>
      <c:catAx>
        <c:axId val="1181015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439221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6350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'04.1. Chart Nhóm hàng'!$B$15</c:f>
          <c:strCache>
            <c:ptCount val="1"/>
            <c:pt idx="0">
              <c:v>% LỢI NHUẬN GỘP / DOANH THU EXW T9.25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rgbClr val="00B050"/>
              </a:solidFill>
              <a:latin typeface="ARiAL (Body)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'04.1. Chart Nhóm hàng'!$C$17</c:f>
              <c:strCache>
                <c:ptCount val="1"/>
                <c:pt idx="0">
                  <c:v>BQ 2024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1FB7-4979-BF0E-16F58E78D2E5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1FB7-4979-BF0E-16F58E78D2E5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1FB7-4979-BF0E-16F58E78D2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'04.1. Chart Nhóm hàng'!$B$18:$B$25</c15:sqref>
                  </c15:fullRef>
                </c:ext>
              </c:extLst>
              <c:f>'04.1. Chart Nhóm hàng'!$B$18:$B$22</c:f>
              <c:strCache>
                <c:ptCount val="5"/>
                <c:pt idx="0">
                  <c:v>rPET</c:v>
                </c:pt>
                <c:pt idx="1">
                  <c:v>rHDPE thổi</c:v>
                </c:pt>
                <c:pt idx="2">
                  <c:v>Xơ sợi</c:v>
                </c:pt>
                <c:pt idx="3">
                  <c:v>rPP</c:v>
                </c:pt>
                <c:pt idx="4">
                  <c:v>rHDPE ép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'04.1. Chart Nhóm hàng'!$C$18:$C$25</c15:sqref>
                  </c15:fullRef>
                </c:ext>
              </c:extLst>
              <c:f>'04.1. Chart Nhóm hàng'!$C$18:$C$22</c:f>
              <c:numCache>
                <c:formatCode>0%</c:formatCode>
                <c:ptCount val="5"/>
                <c:pt idx="0">
                  <c:v>0.17199999999999999</c:v>
                </c:pt>
                <c:pt idx="1">
                  <c:v>0.223</c:v>
                </c:pt>
                <c:pt idx="2">
                  <c:v>-0.30099999999999999</c:v>
                </c:pt>
                <c:pt idx="3">
                  <c:v>-2.9000000000000001E-2</c:v>
                </c:pt>
                <c:pt idx="4">
                  <c:v>-0.17899999999999999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B9-47B3-8C5F-3BE046CF29E6}"/>
            </c:ext>
          </c:extLst>
        </c:ser>
        <c:ser>
          <c:idx val="1"/>
          <c:order val="1"/>
          <c:tx>
            <c:strRef>
              <c:f>'04.1. Chart Nhóm hàng'!$D$17</c:f>
              <c:strCache>
                <c:ptCount val="1"/>
                <c:pt idx="0">
                  <c:v>TT T9/25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dLbls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EE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29CF-4116-B41F-A3622494F903}"/>
                </c:ext>
              </c:extLst>
            </c:dLbl>
            <c:dLbl>
              <c:idx val="3"/>
              <c:layout>
                <c:manualLayout>
                  <c:x val="-8.6989900581488925E-17"/>
                  <c:y val="-4.245283018867924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FB7-4979-BF0E-16F58E78D2E5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1FB7-4979-BF0E-16F58E78D2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CC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'04.1. Chart Nhóm hàng'!$B$18:$B$25</c15:sqref>
                  </c15:fullRef>
                </c:ext>
              </c:extLst>
              <c:f>'04.1. Chart Nhóm hàng'!$B$18:$B$22</c:f>
              <c:strCache>
                <c:ptCount val="5"/>
                <c:pt idx="0">
                  <c:v>rPET</c:v>
                </c:pt>
                <c:pt idx="1">
                  <c:v>rHDPE thổi</c:v>
                </c:pt>
                <c:pt idx="2">
                  <c:v>Xơ sợi</c:v>
                </c:pt>
                <c:pt idx="3">
                  <c:v>rPP</c:v>
                </c:pt>
                <c:pt idx="4">
                  <c:v>rHDPE ép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'04.1. Chart Nhóm hàng'!$D$18:$D$25</c15:sqref>
                  </c15:fullRef>
                </c:ext>
              </c:extLst>
              <c:f>'04.1. Chart Nhóm hàng'!$D$18:$D$22</c:f>
              <c:numCache>
                <c:formatCode>0%</c:formatCode>
                <c:ptCount val="5"/>
                <c:pt idx="0">
                  <c:v>0.13441396251988641</c:v>
                </c:pt>
                <c:pt idx="1">
                  <c:v>0.14298781172938352</c:v>
                </c:pt>
                <c:pt idx="2">
                  <c:v>-0.5122339881402872</c:v>
                </c:pt>
                <c:pt idx="3">
                  <c:v>-0.22267367341669267</c:v>
                </c:pt>
                <c:pt idx="4">
                  <c:v>-0.65412703623856794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B9-47B3-8C5F-3BE046CF29E6}"/>
            </c:ext>
          </c:extLst>
        </c:ser>
        <c:ser>
          <c:idx val="2"/>
          <c:order val="2"/>
          <c:tx>
            <c:strRef>
              <c:f>'04.1. Chart Nhóm hàng'!$E$17</c:f>
              <c:strCache>
                <c:ptCount val="1"/>
                <c:pt idx="0">
                  <c:v>BQ 2025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1FB7-4979-BF0E-16F58E78D2E5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1FB7-4979-BF0E-16F58E78D2E5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1FB7-4979-BF0E-16F58E78D2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'04.1. Chart Nhóm hàng'!$B$18:$B$25</c15:sqref>
                  </c15:fullRef>
                </c:ext>
              </c:extLst>
              <c:f>'04.1. Chart Nhóm hàng'!$B$18:$B$22</c:f>
              <c:strCache>
                <c:ptCount val="5"/>
                <c:pt idx="0">
                  <c:v>rPET</c:v>
                </c:pt>
                <c:pt idx="1">
                  <c:v>rHDPE thổi</c:v>
                </c:pt>
                <c:pt idx="2">
                  <c:v>Xơ sợi</c:v>
                </c:pt>
                <c:pt idx="3">
                  <c:v>rPP</c:v>
                </c:pt>
                <c:pt idx="4">
                  <c:v>rHDPE ép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'04.1. Chart Nhóm hàng'!$E$18:$E$25</c15:sqref>
                  </c15:fullRef>
                </c:ext>
              </c:extLst>
              <c:f>'04.1. Chart Nhóm hàng'!$E$18:$E$22</c:f>
              <c:numCache>
                <c:formatCode>0%</c:formatCode>
                <c:ptCount val="5"/>
                <c:pt idx="0">
                  <c:v>0.16456455504265027</c:v>
                </c:pt>
                <c:pt idx="1">
                  <c:v>0.14416974463185089</c:v>
                </c:pt>
                <c:pt idx="2">
                  <c:v>-0.49988306098223928</c:v>
                </c:pt>
                <c:pt idx="3">
                  <c:v>-0.16228335070621647</c:v>
                </c:pt>
                <c:pt idx="4">
                  <c:v>-0.51078455568482806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B9-47B3-8C5F-3BE046CF29E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499284080"/>
        <c:axId val="1499286480"/>
      </c:barChart>
      <c:catAx>
        <c:axId val="149928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286480"/>
        <c:crosses val="autoZero"/>
        <c:auto val="1"/>
        <c:lblAlgn val="ctr"/>
        <c:lblOffset val="100"/>
        <c:noMultiLvlLbl val="0"/>
      </c:catAx>
      <c:valAx>
        <c:axId val="149928648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49928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CC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30935466696556169"/>
          <c:y val="0.85767122270093599"/>
          <c:w val="0.35756587366081022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3175" cap="flat" cmpd="sng" algn="ctr">
      <a:solidFill>
        <a:srgbClr val="00CC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'04.1. Chart Nhóm hàng'!$B$47</c:f>
          <c:strCache>
            <c:ptCount val="1"/>
            <c:pt idx="0">
              <c:v>SẢN LƯỢNG BÁN THEO NHÓM HÀNG
 T9.25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rgbClr val="00B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3386165812335043E-2"/>
          <c:y val="0.25617021276595747"/>
          <c:w val="0.95088905179409644"/>
          <c:h val="0.53074812456953524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'04.1. Chart Nhóm hàng'!$H$36</c:f>
              <c:strCache>
                <c:ptCount val="1"/>
                <c:pt idx="0">
                  <c:v>TT T9.24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6148864556802683E-2"/>
                  <c:y val="9.456264775413711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E6-41FF-85C2-901460AB6AF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noFill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'04.1. Chart Nhóm hàng'!$G$37:$G$44</c15:sqref>
                  </c15:fullRef>
                </c:ext>
              </c:extLst>
              <c:f>'04.1. Chart Nhóm hàng'!$G$37:$G$41</c:f>
              <c:strCache>
                <c:ptCount val="5"/>
                <c:pt idx="0">
                  <c:v>rPET</c:v>
                </c:pt>
                <c:pt idx="1">
                  <c:v>rHDPE ép</c:v>
                </c:pt>
                <c:pt idx="2">
                  <c:v>rHDPE thổi</c:v>
                </c:pt>
                <c:pt idx="3">
                  <c:v>Xơ sợi</c:v>
                </c:pt>
                <c:pt idx="4">
                  <c:v>rPP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'04.1. Chart Nhóm hàng'!$H$37:$H$44</c15:sqref>
                  </c15:fullRef>
                </c:ext>
              </c:extLst>
              <c:f>'04.1. Chart Nhóm hàng'!$H$37:$H$41</c:f>
              <c:numCache>
                <c:formatCode>#,##0</c:formatCode>
                <c:ptCount val="5"/>
                <c:pt idx="0">
                  <c:v>4320.3</c:v>
                </c:pt>
                <c:pt idx="1">
                  <c:v>10.25</c:v>
                </c:pt>
                <c:pt idx="2">
                  <c:v>133.02500000000001</c:v>
                </c:pt>
                <c:pt idx="3">
                  <c:v>220</c:v>
                </c:pt>
                <c:pt idx="4">
                  <c:v>2.5000000000000001E-2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0D-4AE6-967B-89299274EF73}"/>
            </c:ext>
          </c:extLst>
        </c:ser>
        <c:ser>
          <c:idx val="2"/>
          <c:order val="2"/>
          <c:tx>
            <c:strRef>
              <c:f>'04.1. Chart Nhóm hàng'!$I$36</c:f>
              <c:strCache>
                <c:ptCount val="1"/>
                <c:pt idx="0">
                  <c:v>KH T9.25</c:v>
                </c:pt>
              </c:strCache>
            </c:strRef>
          </c:tx>
          <c:spPr>
            <a:solidFill>
              <a:srgbClr val="CB3935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4.6139613019436218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DF5-46CE-8D96-A40FF1CE90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noFill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'04.1. Chart Nhóm hàng'!$G$37:$G$44</c15:sqref>
                  </c15:fullRef>
                </c:ext>
              </c:extLst>
              <c:f>'04.1. Chart Nhóm hàng'!$G$37:$G$41</c:f>
              <c:strCache>
                <c:ptCount val="5"/>
                <c:pt idx="0">
                  <c:v>rPET</c:v>
                </c:pt>
                <c:pt idx="1">
                  <c:v>rHDPE ép</c:v>
                </c:pt>
                <c:pt idx="2">
                  <c:v>rHDPE thổi</c:v>
                </c:pt>
                <c:pt idx="3">
                  <c:v>Xơ sợi</c:v>
                </c:pt>
                <c:pt idx="4">
                  <c:v>rPP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'04.1. Chart Nhóm hàng'!$I$37:$I$44</c15:sqref>
                  </c15:fullRef>
                </c:ext>
              </c:extLst>
              <c:f>'04.1. Chart Nhóm hàng'!$I$37:$I$41</c:f>
              <c:numCache>
                <c:formatCode>#,##0</c:formatCode>
                <c:ptCount val="5"/>
                <c:pt idx="0">
                  <c:v>5075.54</c:v>
                </c:pt>
                <c:pt idx="1">
                  <c:v>150.25</c:v>
                </c:pt>
                <c:pt idx="2">
                  <c:v>803.5</c:v>
                </c:pt>
                <c:pt idx="3">
                  <c:v>320</c:v>
                </c:pt>
                <c:pt idx="4">
                  <c:v>101.44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70D-4AE6-967B-89299274EF73}"/>
            </c:ext>
          </c:extLst>
        </c:ser>
        <c:ser>
          <c:idx val="3"/>
          <c:order val="3"/>
          <c:tx>
            <c:strRef>
              <c:f>'04.1. Chart Nhóm hàng'!$J$36</c:f>
              <c:strCache>
                <c:ptCount val="1"/>
                <c:pt idx="0">
                  <c:v>TT T9.25</c:v>
                </c:pt>
              </c:strCache>
            </c:strRef>
          </c:tx>
          <c:spPr>
            <a:solidFill>
              <a:srgbClr val="00CC00"/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4.6139613019436218E-3"/>
                  <c:y val="4.728132387706855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07-4D0F-B655-720360EB80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noFill/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rPET</c:v>
              </c:pt>
              <c:pt idx="1">
                <c:v>rHDPE ép</c:v>
              </c:pt>
              <c:pt idx="2">
                <c:v>rHDPE thổi</c:v>
              </c:pt>
              <c:pt idx="3">
                <c:v>Xơ sợi</c:v>
              </c:pt>
              <c:pt idx="4">
                <c:v>rPP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'04.1. Chart Nhóm hàng'!$J$37:$J$44</c15:sqref>
                  </c15:fullRef>
                </c:ext>
              </c:extLst>
              <c:f>'04.1. Chart Nhóm hàng'!$J$37:$J$41</c:f>
              <c:numCache>
                <c:formatCode>_(* #,##0_);_(* \(#,##0\);_(* "-"??_);_(@_)</c:formatCode>
                <c:ptCount val="5"/>
                <c:pt idx="0">
                  <c:v>1787</c:v>
                </c:pt>
                <c:pt idx="1">
                  <c:v>353.75</c:v>
                </c:pt>
                <c:pt idx="2">
                  <c:v>254.375</c:v>
                </c:pt>
                <c:pt idx="3">
                  <c:v>202.65</c:v>
                </c:pt>
                <c:pt idx="4">
                  <c:v>51.55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70D-4AE6-967B-89299274EF7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02346432"/>
        <c:axId val="13023493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'04.1. Chart Nhóm hàng'!$G$36</c15:sqref>
                        </c15:formulaRef>
                      </c:ext>
                    </c:extLst>
                    <c:strCache>
                      <c:ptCount val="1"/>
                      <c:pt idx="0">
                        <c:v>Nhóm hàng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noFill/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'04.1. Chart Nhóm hàng'!$G$37:$G$44</c15:sqref>
                        </c15:fullRef>
                        <c15:formulaRef>
                          <c15:sqref>'04.1. Chart Nhóm hàng'!$G$37:$G$41</c15:sqref>
                        </c15:formulaRef>
                      </c:ext>
                    </c:extLst>
                    <c:strCache>
                      <c:ptCount val="5"/>
                      <c:pt idx="0">
                        <c:v>rPET</c:v>
                      </c:pt>
                      <c:pt idx="1">
                        <c:v>rHDPE ép</c:v>
                      </c:pt>
                      <c:pt idx="2">
                        <c:v>rHDPE thổi</c:v>
                      </c:pt>
                      <c:pt idx="3">
                        <c:v>Xơ sợi</c:v>
                      </c:pt>
                      <c:pt idx="4">
                        <c:v>rPP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'04.1. Chart Nhóm hàng'!$G$37:$G$44</c15:sqref>
                        </c15:fullRef>
                        <c15:formulaRef>
                          <c15:sqref>'04.1. Chart Nhóm hàng'!$G$37:$G$41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370D-4AE6-967B-89299274EF73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strRef>
              <c:f>'04.1. Chart Nhóm hàng'!$K$36</c:f>
              <c:strCache>
                <c:ptCount val="1"/>
                <c:pt idx="0">
                  <c:v>% TT sv KH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1.3436799901762589E-3"/>
                  <c:y val="-0.5075903278047690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70D-4AE6-967B-89299274EF73}"/>
                </c:ext>
              </c:extLst>
            </c:dLbl>
            <c:dLbl>
              <c:idx val="1"/>
              <c:layout>
                <c:manualLayout>
                  <c:x val="7.0678984369025354E-3"/>
                  <c:y val="-9.2226875895832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70D-4AE6-967B-89299274EF73}"/>
                </c:ext>
              </c:extLst>
            </c:dLbl>
            <c:dLbl>
              <c:idx val="2"/>
              <c:layout>
                <c:manualLayout>
                  <c:x val="1.1716555274620615E-4"/>
                  <c:y val="8.11835222724818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DF5-46CE-8D96-A40FF1CE9058}"/>
                </c:ext>
              </c:extLst>
            </c:dLbl>
            <c:dLbl>
              <c:idx val="3"/>
              <c:layout>
                <c:manualLayout>
                  <c:x val="2.3069806509718109E-3"/>
                  <c:y val="-3.30969267139479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70D-4AE6-967B-89299274EF73}"/>
                </c:ext>
              </c:extLst>
            </c:dLbl>
            <c:dLbl>
              <c:idx val="4"/>
              <c:layout>
                <c:manualLayout>
                  <c:x val="4.9409349375144301E-5"/>
                  <c:y val="-8.11909681502579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DF5-46CE-8D96-A40FF1CE9058}"/>
                </c:ext>
              </c:extLst>
            </c:dLbl>
            <c:spPr>
              <a:noFill/>
              <a:ln w="3175">
                <a:solidFill>
                  <a:srgbClr val="FF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5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'04.1. Chart Nhóm hàng'!$K$37:$K$44</c15:sqref>
                  </c15:fullRef>
                </c:ext>
              </c:extLst>
              <c:f>'04.1. Chart Nhóm hàng'!$K$37:$K$41</c:f>
              <c:numCache>
                <c:formatCode>0%</c:formatCode>
                <c:ptCount val="5"/>
                <c:pt idx="0" formatCode="0.0%">
                  <c:v>0.35208076382020437</c:v>
                </c:pt>
                <c:pt idx="1">
                  <c:v>2.3544093178036607</c:v>
                </c:pt>
                <c:pt idx="2">
                  <c:v>0.31658369632856254</c:v>
                </c:pt>
                <c:pt idx="3">
                  <c:v>0.63328125000000002</c:v>
                </c:pt>
                <c:pt idx="4">
                  <c:v>0.5081821766561514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'04.1. Chart Nhóm hàng'!$K$42</c15:sqref>
                  <c15:dLbl>
                    <c:idx val="4"/>
                    <c:layout>
                      <c:manualLayout>
                        <c:x val="-4.6910179749097029E-3"/>
                        <c:y val="-7.6733421974533714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19DD-44C0-A83A-0146AED366FF}"/>
                      </c:ext>
                    </c:extLst>
                  </c15:dLbl>
                </c15:categoryFilterException>
                <c15:categoryFilterException>
                  <c15:sqref>'04.1. Chart Nhóm hàng'!$K$43</c15:sqref>
                  <c15:dLbl>
                    <c:idx val="4"/>
                    <c:layout>
                      <c:manualLayout>
                        <c:x val="-7.038121867019939E-3"/>
                        <c:y val="-4.2352941176470586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19DD-44C0-A83A-0146AED366FF}"/>
                      </c:ext>
                    </c:extLst>
                  </c15:dLbl>
                </c15:categoryFilterException>
                <c15:categoryFilterException>
                  <c15:sqref>'04.1. Chart Nhóm hàng'!$K$44</c15:sqref>
                  <c15:dLbl>
                    <c:idx val="4"/>
                    <c:layout>
                      <c:manualLayout>
                        <c:x val="4.6910179749097029E-3"/>
                        <c:y val="-8.1529260847942167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19DD-44C0-A83A-0146AED366FF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0-370D-4AE6-967B-89299274EF7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38398416"/>
        <c:axId val="2038404176"/>
      </c:lineChart>
      <c:catAx>
        <c:axId val="1302346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FF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02349312"/>
        <c:crosses val="autoZero"/>
        <c:auto val="1"/>
        <c:lblAlgn val="ctr"/>
        <c:lblOffset val="100"/>
        <c:noMultiLvlLbl val="0"/>
      </c:catAx>
      <c:valAx>
        <c:axId val="1302349312"/>
        <c:scaling>
          <c:orientation val="minMax"/>
          <c:max val="4500"/>
        </c:scaling>
        <c:delete val="0"/>
        <c:axPos val="l"/>
        <c:numFmt formatCode="#,##0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02346432"/>
        <c:crosses val="autoZero"/>
        <c:crossBetween val="between"/>
      </c:valAx>
      <c:valAx>
        <c:axId val="2038404176"/>
        <c:scaling>
          <c:orientation val="minMax"/>
          <c:max val="8"/>
          <c:min val="-1"/>
        </c:scaling>
        <c:delete val="0"/>
        <c:axPos val="r"/>
        <c:numFmt formatCode="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38398416"/>
        <c:crosses val="max"/>
        <c:crossBetween val="between"/>
      </c:valAx>
      <c:catAx>
        <c:axId val="203839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38404176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CC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'04.1. Chart Nhóm hàng'!$J$47</c:f>
          <c:strCache>
            <c:ptCount val="1"/>
            <c:pt idx="0">
              <c:v>CƠ CẤU SẢN LƯỢNG BÁN T9.25</c:v>
            </c:pt>
          </c:strCache>
        </c:strRef>
      </c:tx>
      <c:layout>
        <c:manualLayout>
          <c:xMode val="edge"/>
          <c:yMode val="edge"/>
          <c:x val="0.16950898747048296"/>
          <c:y val="4.597701149425287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rgbClr val="00B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106960345478882E-2"/>
          <c:y val="0.20964335340435392"/>
          <c:w val="0.61602736157446703"/>
          <c:h val="0.68716385451818518"/>
        </c:manualLayout>
      </c:layout>
      <c:doughnutChart>
        <c:varyColors val="1"/>
        <c:ser>
          <c:idx val="0"/>
          <c:order val="0"/>
          <c:tx>
            <c:strRef>
              <c:f>'04.1. Chart Nhóm hàng'!$L$36</c:f>
              <c:strCache>
                <c:ptCount val="1"/>
                <c:pt idx="0">
                  <c:v>Cơ cấu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rgbClr val="00B050"/>
              </a:solidFill>
            </c:spPr>
            <c:extLst>
              <c:ext xmlns:c16="http://schemas.microsoft.com/office/drawing/2014/chart" uri="{C3380CC4-5D6E-409C-BE32-E72D297353CC}">
                <c16:uniqueId val="{00000001-6C4B-4682-A401-47385FD48FD5}"/>
              </c:ext>
            </c:extLst>
          </c:dPt>
          <c:dLbls>
            <c:dLbl>
              <c:idx val="0"/>
              <c:layout>
                <c:manualLayout>
                  <c:x val="7.3239025225488349E-2"/>
                  <c:y val="-0.3705315423807318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5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3433519775167796"/>
                      <c:h val="8.93220935618341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C4B-4682-A401-47385FD48FD5}"/>
                </c:ext>
              </c:extLst>
            </c:dLbl>
            <c:dLbl>
              <c:idx val="1"/>
              <c:layout>
                <c:manualLayout>
                  <c:x val="0.26757908719239099"/>
                  <c:y val="-8.742325150532653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5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1547207638612873"/>
                      <c:h val="7.929411764705880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6C4B-4682-A401-47385FD48FD5}"/>
                </c:ext>
              </c:extLst>
            </c:dLbl>
            <c:dLbl>
              <c:idx val="2"/>
              <c:layout>
                <c:manualLayout>
                  <c:x val="0.21578111979448239"/>
                  <c:y val="-9.176470588235294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5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9900345955761498"/>
                      <c:h val="6.418823529411764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6C4B-4682-A401-47385FD48FD5}"/>
                </c:ext>
              </c:extLst>
            </c:dLbl>
            <c:dLbl>
              <c:idx val="3"/>
              <c:layout>
                <c:manualLayout>
                  <c:x val="0.20994535769958836"/>
                  <c:y val="-6.456563223714682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5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0849581698227285"/>
                      <c:h val="7.481241315423806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C4B-4682-A401-47385FD48FD5}"/>
                </c:ext>
              </c:extLst>
            </c:dLbl>
            <c:dLbl>
              <c:idx val="4"/>
              <c:layout>
                <c:manualLayout>
                  <c:x val="0.19087556762755153"/>
                  <c:y val="-1.106456692913385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5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8370363369188845"/>
                      <c:h val="8.642853172765167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C4B-4682-A401-47385FD48F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'04.1. Chart Nhóm hàng'!$G$37:$G$44</c15:sqref>
                  </c15:fullRef>
                </c:ext>
              </c:extLst>
              <c:f>'04.1. Chart Nhóm hàng'!$G$37:$G$41</c:f>
              <c:strCache>
                <c:ptCount val="5"/>
                <c:pt idx="0">
                  <c:v>rPET</c:v>
                </c:pt>
                <c:pt idx="1">
                  <c:v>rHDPE ép</c:v>
                </c:pt>
                <c:pt idx="2">
                  <c:v>rHDPE thổi</c:v>
                </c:pt>
                <c:pt idx="3">
                  <c:v>Xơ sợi</c:v>
                </c:pt>
                <c:pt idx="4">
                  <c:v>rPP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'04.1. Chart Nhóm hàng'!$L$37:$L$44</c15:sqref>
                  </c15:fullRef>
                </c:ext>
              </c:extLst>
              <c:f>'04.1. Chart Nhóm hàng'!$L$37:$L$41</c:f>
              <c:numCache>
                <c:formatCode>0.0%</c:formatCode>
                <c:ptCount val="5"/>
                <c:pt idx="0">
                  <c:v>0.67451143215724751</c:v>
                </c:pt>
                <c:pt idx="1">
                  <c:v>0.1335245770149</c:v>
                </c:pt>
                <c:pt idx="2">
                  <c:v>9.6015022694459898E-2</c:v>
                </c:pt>
                <c:pt idx="3">
                  <c:v>7.6491181716097492E-2</c:v>
                </c:pt>
                <c:pt idx="4">
                  <c:v>1.9457786417294967E-2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'04.1. Chart Nhóm hàng'!$L$43</c15:sqref>
                  <c15:dLbl>
                    <c:idx val="4"/>
                    <c:layout>
                      <c:manualLayout>
                        <c:x val="0.17985738866898451"/>
                        <c:y val="-0.12235294117647059"/>
                      </c:manualLayout>
                    </c:layout>
                    <c:showLegendKey val="1"/>
                    <c:showVal val="1"/>
                    <c:showCatName val="1"/>
                    <c:showSerName val="0"/>
                    <c:showPercent val="0"/>
                    <c:showBubbleSize val="0"/>
                    <c:separator> </c:separator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8220-4E15-88C4-E52B610EE698}"/>
                      </c:ext>
                    </c:extLst>
                  </c15:dLbl>
                </c15:categoryFilterException>
                <c15:categoryFilterException>
                  <c15:sqref>'04.1. Chart Nhóm hàng'!$L$44</c15:sqref>
                  <c15:dLbl>
                    <c:idx val="4"/>
                    <c:layout>
                      <c:manualLayout>
                        <c:x val="0.19780726073379476"/>
                        <c:y val="-4.767522000926363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0">
                        <a:noAutofit/>
                      </a:bodyPr>
                      <a:lstStyle/>
                      <a:p>
                        <a:pPr algn="l">
                          <a:defRPr sz="1050" b="1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1"/>
                    <c:showVal val="1"/>
                    <c:showCatName val="1"/>
                    <c:showSerName val="0"/>
                    <c:showPercent val="0"/>
                    <c:showBubbleSize val="0"/>
                    <c:separator> </c:separator>
                    <c:extLst>
                      <c:ext uri="{CE6537A1-D6FC-4f65-9D91-7224C49458BB}">
                        <c15:layout>
                          <c:manualLayout>
                            <c:w val="0.29574010145533008"/>
                            <c:h val="9.952941176470586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3-8220-4E15-88C4-E52B610EE698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A-6C4B-4682-A401-47385FD48FD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82"/>
        <c:holeSize val="48"/>
      </c:doughnutChart>
      <c:spPr>
        <a:noFill/>
        <a:ln>
          <a:noFill/>
        </a:ln>
        <a:effectLst/>
      </c:spPr>
    </c:plotArea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CC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(Body)"/>
                <a:ea typeface="+mn-ea"/>
                <a:cs typeface="+mn-cs"/>
              </a:defRPr>
            </a:pPr>
            <a:r>
              <a:rPr lang="en-US" sz="1100" b="1">
                <a:solidFill>
                  <a:srgbClr val="00B050"/>
                </a:solidFill>
                <a:latin typeface="ARiAL (Body)"/>
              </a:rPr>
              <a:t>CƠ</a:t>
            </a:r>
            <a:r>
              <a:rPr lang="en-US" sz="1100" b="1" baseline="0">
                <a:solidFill>
                  <a:srgbClr val="00B050"/>
                </a:solidFill>
                <a:latin typeface="ARiAL (Body)"/>
              </a:rPr>
              <a:t> CẤU </a:t>
            </a:r>
            <a:r>
              <a:rPr lang="en-US" sz="1100" b="1">
                <a:solidFill>
                  <a:srgbClr val="00B050"/>
                </a:solidFill>
                <a:latin typeface="ARiAL (Body)"/>
              </a:rPr>
              <a:t>SẢN LƯỢNG </a:t>
            </a:r>
            <a:r>
              <a:rPr lang="en-US" sz="1100" b="1" baseline="0">
                <a:solidFill>
                  <a:srgbClr val="00B050"/>
                </a:solidFill>
                <a:latin typeface="ARiAL (Body)"/>
              </a:rPr>
              <a:t>BÁN</a:t>
            </a:r>
          </a:p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(Body)"/>
                <a:ea typeface="+mn-ea"/>
                <a:cs typeface="+mn-cs"/>
              </a:defRPr>
            </a:pPr>
            <a:r>
              <a:rPr lang="en-US" sz="1100" b="1" baseline="0">
                <a:solidFill>
                  <a:srgbClr val="00B050"/>
                </a:solidFill>
                <a:latin typeface="ARiAL (Body)"/>
              </a:rPr>
              <a:t>2025</a:t>
            </a:r>
            <a:endParaRPr lang="vi-VN" sz="1100" b="1">
              <a:solidFill>
                <a:srgbClr val="00B050"/>
              </a:solidFill>
              <a:latin typeface="ARiAL (Body)"/>
            </a:endParaRPr>
          </a:p>
        </c:rich>
      </c:tx>
      <c:layout>
        <c:manualLayout>
          <c:xMode val="edge"/>
          <c:yMode val="edge"/>
          <c:x val="0.16950898747048296"/>
          <c:y val="4.5977011494252873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2924529685185993E-2"/>
          <c:y val="0.2567581552305962"/>
          <c:w val="0.55199307443077295"/>
          <c:h val="0.68281543307086612"/>
        </c:manualLayout>
      </c:layout>
      <c:doughnutChart>
        <c:varyColors val="1"/>
        <c:ser>
          <c:idx val="0"/>
          <c:order val="0"/>
          <c:tx>
            <c:strRef>
              <c:f>'04.1. Chart Nhóm hàng'!$O$36</c:f>
              <c:strCache>
                <c:ptCount val="1"/>
                <c:pt idx="0">
                  <c:v>Cơ cấu</c:v>
                </c:pt>
              </c:strCache>
            </c:strRef>
          </c:tx>
          <c:dPt>
            <c:idx val="0"/>
            <c:bubble3D val="0"/>
            <c:spPr>
              <a:solidFill>
                <a:srgbClr val="00B050"/>
              </a:solidFill>
            </c:spPr>
            <c:extLst>
              <c:ext xmlns:c16="http://schemas.microsoft.com/office/drawing/2014/chart" uri="{C3380CC4-5D6E-409C-BE32-E72D297353CC}">
                <c16:uniqueId val="{00000001-CACC-46B9-B692-8CCDD77E7C6E}"/>
              </c:ext>
            </c:extLst>
          </c:dPt>
          <c:dLbls>
            <c:dLbl>
              <c:idx val="0"/>
              <c:layout>
                <c:manualLayout>
                  <c:x val="0.13863600644233834"/>
                  <c:y val="-0.3562795738767948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5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5193003401404684"/>
                      <c:h val="8.835497915701712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ACC-46B9-B692-8CCDD77E7C6E}"/>
                </c:ext>
              </c:extLst>
            </c:dLbl>
            <c:dLbl>
              <c:idx val="1"/>
              <c:layout>
                <c:manualLayout>
                  <c:x val="0.22484914287197361"/>
                  <c:y val="-0.150371735447962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5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0282291529201311"/>
                      <c:h val="8.39999999999999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ACC-46B9-B692-8CCDD77E7C6E}"/>
                </c:ext>
              </c:extLst>
            </c:dLbl>
            <c:dLbl>
              <c:idx val="2"/>
              <c:layout>
                <c:manualLayout>
                  <c:x val="0.23684357081004914"/>
                  <c:y val="-0.1182033799225519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5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3930235748176008"/>
                      <c:h val="9.286037963480152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CACC-46B9-B692-8CCDD77E7C6E}"/>
                </c:ext>
              </c:extLst>
            </c:dLbl>
            <c:dLbl>
              <c:idx val="3"/>
              <c:layout>
                <c:manualLayout>
                  <c:x val="0.19599574355802202"/>
                  <c:y val="-6.095921520448242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5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5945147843590172"/>
                      <c:h val="6.971426444034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ACC-46B9-B692-8CCDD77E7C6E}"/>
                </c:ext>
              </c:extLst>
            </c:dLbl>
            <c:dLbl>
              <c:idx val="4"/>
              <c:layout>
                <c:manualLayout>
                  <c:x val="0.21019743719513162"/>
                  <c:y val="8.7472310642020806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5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0"/>
              <c:showPercent val="0"/>
              <c:showBubbleSize val="0"/>
              <c:separator> </c:separator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0.27776741594451532"/>
                      <c:h val="8.16666666666666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1921-4441-BAA5-E4674ADD34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'04.1. Chart Nhóm hàng'!$G$37:$G$44</c15:sqref>
                  </c15:fullRef>
                </c:ext>
              </c:extLst>
              <c:f>'04.1. Chart Nhóm hàng'!$G$37:$G$41</c:f>
              <c:strCache>
                <c:ptCount val="5"/>
                <c:pt idx="0">
                  <c:v>rPET</c:v>
                </c:pt>
                <c:pt idx="1">
                  <c:v>rHDPE ép</c:v>
                </c:pt>
                <c:pt idx="2">
                  <c:v>rHDPE thổi</c:v>
                </c:pt>
                <c:pt idx="3">
                  <c:v>Xơ sợi</c:v>
                </c:pt>
                <c:pt idx="4">
                  <c:v>rPP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'04.1. Chart Nhóm hàng'!$O$37:$O$44</c15:sqref>
                  </c15:fullRef>
                </c:ext>
              </c:extLst>
              <c:f>'04.1. Chart Nhóm hàng'!$O$37:$O$41</c:f>
              <c:numCache>
                <c:formatCode>0.0%</c:formatCode>
                <c:ptCount val="5"/>
                <c:pt idx="0">
                  <c:v>0.87129095440168502</c:v>
                </c:pt>
                <c:pt idx="1">
                  <c:v>5.7082897698387459E-2</c:v>
                </c:pt>
                <c:pt idx="2">
                  <c:v>3.1578821733873622E-2</c:v>
                </c:pt>
                <c:pt idx="3">
                  <c:v>5.873677926696276E-3</c:v>
                </c:pt>
                <c:pt idx="4">
                  <c:v>3.4173648239357861E-2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'04.1. Chart Nhóm hàng'!$O$43</c15:sqref>
                  <c15:dLbl>
                    <c:idx val="4"/>
                    <c:layout>
                      <c:manualLayout>
                        <c:x val="0.18373554691386329"/>
                        <c:y val="-8.9901900560302297E-2"/>
                      </c:manualLayout>
                    </c:layout>
                    <c:showLegendKey val="1"/>
                    <c:showVal val="1"/>
                    <c:showCatName val="1"/>
                    <c:showSerName val="0"/>
                    <c:showPercent val="0"/>
                    <c:showBubbleSize val="0"/>
                    <c:separator> </c:separator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D86B-46E4-AD0E-A613C559CC6D}"/>
                      </c:ext>
                    </c:extLst>
                  </c15:dLbl>
                </c15:categoryFilterException>
                <c15:categoryFilterException>
                  <c15:sqref>'04.1. Chart Nhóm hàng'!$O$44</c15:sqref>
                  <c15:dLbl>
                    <c:idx val="4"/>
                    <c:layout>
                      <c:manualLayout>
                        <c:x val="0.22832538134230757"/>
                        <c:y val="7.0921985815602835E-3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0">
                        <a:noAutofit/>
                      </a:bodyPr>
                      <a:lstStyle/>
                      <a:p>
                        <a:pPr algn="l">
                          <a:defRPr sz="1050" b="1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1"/>
                    <c:showVal val="1"/>
                    <c:showCatName val="1"/>
                    <c:showSerName val="0"/>
                    <c:showPercent val="0"/>
                    <c:showBubbleSize val="0"/>
                    <c:separator> </c:separator>
                    <c:extLst>
                      <c:ext uri="{CE6537A1-D6FC-4f65-9D91-7224C49458BB}">
                        <c15:layout>
                          <c:manualLayout>
                            <c:w val="0.34392849573561546"/>
                            <c:h val="9.5271867612293143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3-D86B-46E4-AD0E-A613C559CC6D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8-CACC-46B9-B692-8CCDD77E7C6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82"/>
        <c:holeSize val="48"/>
      </c:doughnutChart>
      <c:spPr>
        <a:noFill/>
        <a:ln>
          <a:noFill/>
        </a:ln>
        <a:effectLst/>
      </c:spPr>
    </c:plotArea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CC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(Body)"/>
                <a:ea typeface="+mn-ea"/>
                <a:cs typeface="+mn-cs"/>
              </a:defRPr>
            </a:pPr>
            <a:r>
              <a:rPr lang="en-US" sz="1100" b="1">
                <a:solidFill>
                  <a:srgbClr val="00B050"/>
                </a:solidFill>
                <a:latin typeface="ARiAL (Body)"/>
              </a:rPr>
              <a:t>CƠ</a:t>
            </a:r>
            <a:r>
              <a:rPr lang="en-US" sz="1100" b="1" baseline="0">
                <a:solidFill>
                  <a:srgbClr val="00B050"/>
                </a:solidFill>
                <a:latin typeface="ARiAL (Body)"/>
              </a:rPr>
              <a:t> CẤU </a:t>
            </a:r>
            <a:r>
              <a:rPr lang="en-US" sz="1100" b="1">
                <a:solidFill>
                  <a:srgbClr val="00B050"/>
                </a:solidFill>
                <a:latin typeface="ARiAL (Body)"/>
              </a:rPr>
              <a:t>DOANH THU </a:t>
            </a:r>
            <a:r>
              <a:rPr lang="en-US" sz="1100" b="1" baseline="0">
                <a:solidFill>
                  <a:srgbClr val="00B050"/>
                </a:solidFill>
                <a:latin typeface="ARiAL (Body)"/>
              </a:rPr>
              <a:t>2025</a:t>
            </a:r>
            <a:endParaRPr lang="vi-VN" sz="1100" b="1">
              <a:solidFill>
                <a:srgbClr val="00B050"/>
              </a:solidFill>
              <a:latin typeface="ARiAL (Body)"/>
            </a:endParaRPr>
          </a:p>
        </c:rich>
      </c:tx>
      <c:layout>
        <c:manualLayout>
          <c:xMode val="edge"/>
          <c:yMode val="edge"/>
          <c:x val="0.24641915283539309"/>
          <c:y val="4.947088344726139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1.7769061907298548E-2"/>
          <c:y val="0.1875040767833015"/>
          <c:w val="0.52044652074916686"/>
          <c:h val="0.77157293947724004"/>
        </c:manualLayout>
      </c:layout>
      <c:doughnutChart>
        <c:varyColors val="1"/>
        <c:ser>
          <c:idx val="0"/>
          <c:order val="0"/>
          <c:tx>
            <c:strRef>
              <c:f>'04.1. Chart Nhóm hàng'!$B$69:$B$76</c:f>
              <c:strCache>
                <c:ptCount val="8"/>
                <c:pt idx="0">
                  <c:v>rPET</c:v>
                </c:pt>
                <c:pt idx="1">
                  <c:v>rHDPE thổi</c:v>
                </c:pt>
                <c:pt idx="2">
                  <c:v>rHDPE ép</c:v>
                </c:pt>
                <c:pt idx="3">
                  <c:v>rPP</c:v>
                </c:pt>
                <c:pt idx="4">
                  <c:v>Xơ sợi</c:v>
                </c:pt>
                <c:pt idx="5">
                  <c:v>Phó sản</c:v>
                </c:pt>
                <c:pt idx="6">
                  <c:v>Dây đai</c:v>
                </c:pt>
                <c:pt idx="7">
                  <c:v>Khác</c:v>
                </c:pt>
              </c:strCache>
            </c:strRef>
          </c:tx>
          <c:dPt>
            <c:idx val="0"/>
            <c:bubble3D val="0"/>
            <c:spPr>
              <a:solidFill>
                <a:srgbClr val="00B050"/>
              </a:solidFill>
            </c:spPr>
            <c:extLst>
              <c:ext xmlns:c16="http://schemas.microsoft.com/office/drawing/2014/chart" uri="{C3380CC4-5D6E-409C-BE32-E72D297353CC}">
                <c16:uniqueId val="{00000001-E539-4335-B577-14FF1BF33974}"/>
              </c:ext>
            </c:extLst>
          </c:dPt>
          <c:dLbls>
            <c:dLbl>
              <c:idx val="0"/>
              <c:layout>
                <c:manualLayout>
                  <c:x val="7.664801449432497E-2"/>
                  <c:y val="-0.3807126217211014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5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6285766365434871"/>
                      <c:h val="9.846153846153844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539-4335-B577-14FF1BF33974}"/>
                </c:ext>
              </c:extLst>
            </c:dLbl>
            <c:dLbl>
              <c:idx val="1"/>
              <c:layout>
                <c:manualLayout>
                  <c:x val="0.26251840468142812"/>
                  <c:y val="-0.1335766202301635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5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1898629777502857"/>
                      <c:h val="7.86761229314420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E539-4335-B577-14FF1BF33974}"/>
                </c:ext>
              </c:extLst>
            </c:dLbl>
            <c:dLbl>
              <c:idx val="2"/>
              <c:layout>
                <c:manualLayout>
                  <c:x val="0.25037720757966458"/>
                  <c:y val="-9.467432325397200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5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2136985827806036"/>
                      <c:h val="8.07100591715976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F776-4FF3-836E-E3537A352EF7}"/>
                </c:ext>
              </c:extLst>
            </c:dLbl>
            <c:dLbl>
              <c:idx val="3"/>
              <c:layout>
                <c:manualLayout>
                  <c:x val="0.25317566197926727"/>
                  <c:y val="6.8516050878255602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5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2879144294273766"/>
                      <c:h val="7.86763267017658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E539-4335-B577-14FF1BF33974}"/>
                </c:ext>
              </c:extLst>
            </c:dLbl>
            <c:dLbl>
              <c:idx val="4"/>
              <c:layout>
                <c:manualLayout>
                  <c:x val="0.24044492940837517"/>
                  <c:y val="-2.3668441140418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5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0789943854918467"/>
                      <c:h val="9.556213017751477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F776-4FF3-836E-E3537A352E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'04.1. Chart Nhóm hàng'!$G$37:$G$44</c15:sqref>
                  </c15:fullRef>
                </c:ext>
              </c:extLst>
              <c:f>'04.1. Chart Nhóm hàng'!$G$37:$G$41</c:f>
              <c:strCache>
                <c:ptCount val="5"/>
                <c:pt idx="0">
                  <c:v>rPET</c:v>
                </c:pt>
                <c:pt idx="1">
                  <c:v>rHDPE ép</c:v>
                </c:pt>
                <c:pt idx="2">
                  <c:v>rHDPE thổi</c:v>
                </c:pt>
                <c:pt idx="3">
                  <c:v>Xơ sợi</c:v>
                </c:pt>
                <c:pt idx="4">
                  <c:v>rPP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'04.1. Chart Nhóm hàng'!$D$69:$D$76</c15:sqref>
                  </c15:fullRef>
                </c:ext>
              </c:extLst>
              <c:f>'04.1. Chart Nhóm hàng'!$D$69:$D$73</c:f>
              <c:numCache>
                <c:formatCode>0.0%</c:formatCode>
                <c:ptCount val="5"/>
                <c:pt idx="0">
                  <c:v>0.89811072701733963</c:v>
                </c:pt>
                <c:pt idx="1">
                  <c:v>6.1010068533796341E-2</c:v>
                </c:pt>
                <c:pt idx="2">
                  <c:v>1.7473811474540298E-2</c:v>
                </c:pt>
                <c:pt idx="3">
                  <c:v>4.240076334050046E-3</c:v>
                </c:pt>
                <c:pt idx="4">
                  <c:v>1.9165316640273645E-2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'04.1. Chart Nhóm hàng'!$D$74</c15:sqref>
                  <c15:dLbl>
                    <c:idx val="4"/>
                    <c:layout>
                      <c:manualLayout>
                        <c:x val="0.21058726843885867"/>
                        <c:y val="1.0645296556865249E-2"/>
                      </c:manualLayout>
                    </c:layout>
                    <c:showLegendKey val="1"/>
                    <c:showVal val="1"/>
                    <c:showCatName val="1"/>
                    <c:showSerName val="0"/>
                    <c:showPercent val="0"/>
                    <c:showBubbleSize val="0"/>
                    <c:separator> </c:separator>
                    <c:extLst>
                      <c:ext uri="{CE6537A1-D6FC-4f65-9D91-7224C49458BB}">
                        <c15:layout>
                          <c:manualLayout>
                            <c:w val="0.26304350020258471"/>
                            <c:h val="7.4799054373522453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2-A427-4439-8096-7D5CEFCE1457}"/>
                      </c:ext>
                    </c:extLst>
                  </c15:dLbl>
                </c15:categoryFilterException>
                <c15:categoryFilterException>
                  <c15:sqref>'04.1. Chart Nhóm hàng'!$D$76</c15:sqref>
                  <c15:dLbl>
                    <c:idx val="4"/>
                    <c:layout>
                      <c:manualLayout>
                        <c:x val="0.23805507132279893"/>
                        <c:y val="-8.5106196831779002E-2"/>
                      </c:manualLayout>
                    </c:layout>
                    <c:numFmt formatCode="0.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0">
                        <a:noAutofit/>
                      </a:bodyPr>
                      <a:lstStyle/>
                      <a:p>
                        <a:pPr algn="l">
                          <a:defRPr sz="1050" b="1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1"/>
                    <c:showVal val="1"/>
                    <c:showCatName val="1"/>
                    <c:showSerName val="0"/>
                    <c:showPercent val="0"/>
                    <c:showBubbleSize val="0"/>
                    <c:separator> </c:separator>
                    <c:extLst>
                      <c:ext uri="{CE6537A1-D6FC-4f65-9D91-7224C49458BB}">
                        <c15:layout>
                          <c:manualLayout>
                            <c:w val="0.31548886360785366"/>
                            <c:h val="7.1631205673758858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3-A427-4439-8096-7D5CEFCE1457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6-E539-4335-B577-14FF1BF3397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82"/>
        <c:holeSize val="48"/>
      </c:doughnutChart>
      <c:spPr>
        <a:noFill/>
        <a:ln>
          <a:noFill/>
        </a:ln>
        <a:effectLst/>
      </c:spPr>
    </c:plotArea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CC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'04.2 Bubble_Nhóm hàng'!$B$20</c:f>
          <c:strCache>
            <c:ptCount val="1"/>
            <c:pt idx="0">
              <c:v>SẢN LƯỢNG - LỢI NHUẬN THEO NHÓM HÀNG T9/25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30C23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1"/>
        <c:ser>
          <c:idx val="0"/>
          <c:order val="0"/>
          <c:tx>
            <c:strRef>
              <c:f>'04.2 Bubble_Nhóm hàng'!$C$5</c:f>
              <c:strCache>
                <c:ptCount val="1"/>
                <c:pt idx="0">
                  <c:v>Nhóm hàng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30C23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422-4D0B-AE9D-264B1D2A3393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422-4D0B-AE9D-264B1D2A339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422-4D0B-AE9D-264B1D2A3393}"/>
              </c:ext>
            </c:extLst>
          </c:dPt>
          <c:dPt>
            <c:idx val="3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422-4D0B-AE9D-264B1D2A3393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422-4D0B-AE9D-264B1D2A3393}"/>
              </c:ext>
            </c:extLst>
          </c:dPt>
          <c:dLbls>
            <c:dLbl>
              <c:idx val="0"/>
              <c:layout>
                <c:manualLayout>
                  <c:x val="-6.3359919731287948E-2"/>
                  <c:y val="-7.4856180268104396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E244947-08FA-49A4-A4D9-63CD5CBFF2C7}" type="CELLRANGE">
                      <a:rPr lang="en-US" sz="1000">
                        <a:solidFill>
                          <a:schemeClr val="bg1"/>
                        </a:solidFill>
                      </a:rPr>
                      <a:pPr>
                        <a:defRPr sz="1000" b="1">
                          <a:solidFill>
                            <a:schemeClr val="bg1"/>
                          </a:solidFill>
                        </a:defRPr>
                      </a:pPr>
                      <a:t>[CELLRANGE]</a:t>
                    </a:fld>
                    <a:endParaRPr lang="en-US" sz="1000" baseline="0">
                      <a:solidFill>
                        <a:schemeClr val="bg1"/>
                      </a:solidFill>
                    </a:endParaRPr>
                  </a:p>
                  <a:p>
                    <a:pPr>
                      <a:defRPr sz="1000" b="1">
                        <a:solidFill>
                          <a:schemeClr val="bg1"/>
                        </a:solidFill>
                      </a:defRPr>
                    </a:pPr>
                    <a:fld id="{F79EB3D5-5B79-46A4-A751-641352E2A485}" type="XVALUE">
                      <a:rPr lang="en-US" sz="1000">
                        <a:solidFill>
                          <a:schemeClr val="bg1"/>
                        </a:solidFill>
                      </a:rPr>
                      <a:pPr>
                        <a:defRPr sz="1000" b="1">
                          <a:solidFill>
                            <a:schemeClr val="bg1"/>
                          </a:solidFill>
                        </a:defRPr>
                      </a:pPr>
                      <a:t>[X VALUE]</a:t>
                    </a:fld>
                    <a:endParaRPr lang="en-US" sz="1000" baseline="0">
                      <a:solidFill>
                        <a:schemeClr val="bg1"/>
                      </a:solidFill>
                    </a:endParaRPr>
                  </a:p>
                  <a:p>
                    <a:pPr>
                      <a:defRPr sz="1000" b="1">
                        <a:solidFill>
                          <a:schemeClr val="bg1"/>
                        </a:solidFill>
                      </a:defRPr>
                    </a:pPr>
                    <a:fld id="{0FEDE682-0B9D-4C66-A561-2D015587E949}" type="YVALUE">
                      <a:rPr lang="en-US" sz="1000">
                        <a:solidFill>
                          <a:schemeClr val="bg1"/>
                        </a:solidFill>
                      </a:rPr>
                      <a:pPr>
                        <a:defRPr sz="1000" b="1">
                          <a:solidFill>
                            <a:schemeClr val="bg1"/>
                          </a:solidFill>
                        </a:defRPr>
                      </a:pPr>
                      <a:t>[Y VALUE]</a:t>
                    </a:fld>
                    <a:endParaRPr lang="en-US" sz="1000" baseline="0">
                      <a:solidFill>
                        <a:schemeClr val="bg1"/>
                      </a:solidFill>
                    </a:endParaRPr>
                  </a:p>
                  <a:p>
                    <a:pPr>
                      <a:defRPr sz="1000" b="1">
                        <a:solidFill>
                          <a:schemeClr val="bg1"/>
                        </a:solidFill>
                      </a:defRPr>
                    </a:pPr>
                    <a:fld id="{C8638F7F-C592-4C27-BE96-F67154C4FBF9}" type="BUBBLESIZE">
                      <a:rPr lang="en-US" sz="1000">
                        <a:solidFill>
                          <a:schemeClr val="bg1"/>
                        </a:solidFill>
                      </a:rPr>
                      <a:pPr>
                        <a:defRPr sz="1000" b="1">
                          <a:solidFill>
                            <a:schemeClr val="bg1"/>
                          </a:solidFill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422-4D0B-AE9D-264B1D2A3393}"/>
                </c:ext>
              </c:extLst>
            </c:dLbl>
            <c:dLbl>
              <c:idx val="1"/>
              <c:layout>
                <c:manualLayout>
                  <c:x val="-4.8254508256154412E-2"/>
                  <c:y val="-4.676377172038079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F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305752D-38ED-4946-92C9-66F99FCB2EDA}" type="CELLRANGE">
                      <a:rPr lang="en-US" sz="1000" baseline="0">
                        <a:solidFill>
                          <a:srgbClr val="00B0F0"/>
                        </a:solidFill>
                      </a:rPr>
                      <a:pPr>
                        <a:defRPr sz="1000" b="1">
                          <a:solidFill>
                            <a:srgbClr val="00B0F0"/>
                          </a:solidFill>
                        </a:defRPr>
                      </a:pPr>
                      <a:t>[CELLRANGE]</a:t>
                    </a:fld>
                    <a:r>
                      <a:rPr lang="en-US" sz="1000" baseline="0">
                        <a:solidFill>
                          <a:srgbClr val="00B0F0"/>
                        </a:solidFill>
                      </a:rPr>
                      <a:t> </a:t>
                    </a:r>
                    <a:fld id="{3C7E8CE2-473B-4F26-8377-99F34E8F53AE}" type="XVALUE">
                      <a:rPr lang="en-US" sz="1000" baseline="0">
                        <a:solidFill>
                          <a:srgbClr val="00B0F0"/>
                        </a:solidFill>
                      </a:rPr>
                      <a:pPr>
                        <a:defRPr sz="1000" b="1">
                          <a:solidFill>
                            <a:srgbClr val="00B0F0"/>
                          </a:solidFill>
                        </a:defRPr>
                      </a:pPr>
                      <a:t>[X VALUE]</a:t>
                    </a:fld>
                    <a:r>
                      <a:rPr lang="en-US" sz="1000" baseline="0">
                        <a:solidFill>
                          <a:srgbClr val="00B0F0"/>
                        </a:solidFill>
                      </a:rPr>
                      <a:t> </a:t>
                    </a:r>
                    <a:fld id="{121033E8-9231-4E5C-A653-68F38348B8A2}" type="YVALUE">
                      <a:rPr lang="en-US" sz="1000" baseline="0">
                        <a:solidFill>
                          <a:srgbClr val="00B0F0"/>
                        </a:solidFill>
                      </a:rPr>
                      <a:pPr>
                        <a:defRPr sz="1000" b="1">
                          <a:solidFill>
                            <a:srgbClr val="00B0F0"/>
                          </a:solidFill>
                        </a:defRPr>
                      </a:pPr>
                      <a:t>[Y VALUE]</a:t>
                    </a:fld>
                    <a:r>
                      <a:rPr lang="en-US" sz="1000" baseline="0">
                        <a:solidFill>
                          <a:srgbClr val="00B0F0"/>
                        </a:solidFill>
                      </a:rPr>
                      <a:t> </a:t>
                    </a:r>
                    <a:fld id="{E4B4CEF2-6DE6-4871-A2B1-052F6531D5EE}" type="BUBBLESIZE">
                      <a:rPr lang="en-US" sz="1000" baseline="0">
                        <a:solidFill>
                          <a:srgbClr val="00B0F0"/>
                        </a:solidFill>
                      </a:rPr>
                      <a:pPr>
                        <a:defRPr sz="1000" b="1">
                          <a:solidFill>
                            <a:srgbClr val="00B0F0"/>
                          </a:solidFill>
                        </a:defRPr>
                      </a:pPr>
                      <a:t>[BUBBLE SIZE]</a:t>
                    </a:fld>
                    <a:endParaRPr lang="en-US" sz="1000" baseline="0">
                      <a:solidFill>
                        <a:srgbClr val="00B0F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7818815331010455"/>
                      <c:h val="0.112745066380173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422-4D0B-AE9D-264B1D2A3393}"/>
                </c:ext>
              </c:extLst>
            </c:dLbl>
            <c:dLbl>
              <c:idx val="2"/>
              <c:layout>
                <c:manualLayout>
                  <c:x val="3.7313968040990395E-2"/>
                  <c:y val="4.686491720180546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sz="1000" b="1" i="0" u="none" strike="noStrike" kern="1200" baseline="0">
                        <a:solidFill>
                          <a:schemeClr val="accent2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86329F1-6A95-43C3-8D78-7FFA537A1B80}" type="CELLRANGE">
                      <a:rPr lang="en-US" sz="1000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 algn="l">
                        <a:defRPr sz="1000" b="1">
                          <a:solidFill>
                            <a:schemeClr val="accent2">
                              <a:lumMod val="75000"/>
                            </a:schemeClr>
                          </a:solidFill>
                        </a:defRPr>
                      </a:pPr>
                      <a:t>[CELLRANGE]</a:t>
                    </a:fld>
                    <a:r>
                      <a:rPr lang="en-US" sz="1000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t> </a:t>
                    </a:r>
                    <a:fld id="{75D74459-5EA4-4DF8-85E6-02F7CAFB008C}" type="XVALUE">
                      <a:rPr lang="en-US" sz="1000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 algn="l">
                        <a:defRPr sz="1000" b="1">
                          <a:solidFill>
                            <a:schemeClr val="accent2">
                              <a:lumMod val="75000"/>
                            </a:schemeClr>
                          </a:solidFill>
                        </a:defRPr>
                      </a:pPr>
                      <a:t>[X VALUE]</a:t>
                    </a:fld>
                    <a:r>
                      <a:rPr lang="en-US" sz="1000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t> </a:t>
                    </a:r>
                    <a:fld id="{5CAE47D5-E382-476D-9663-FF79651F8874}" type="YVALUE">
                      <a:rPr lang="en-US" sz="1000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 algn="l">
                        <a:defRPr sz="1000" b="1">
                          <a:solidFill>
                            <a:schemeClr val="accent2">
                              <a:lumMod val="75000"/>
                            </a:schemeClr>
                          </a:solidFill>
                        </a:defRPr>
                      </a:pPr>
                      <a:t>[Y VALUE]</a:t>
                    </a:fld>
                    <a:r>
                      <a:rPr lang="en-US" sz="1000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t> </a:t>
                    </a:r>
                    <a:fld id="{0C7BFB49-5F94-49DE-887C-17467200D460}" type="BUBBLESIZE">
                      <a:rPr lang="en-US" sz="1000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 algn="l">
                        <a:defRPr sz="1000" b="1">
                          <a:solidFill>
                            <a:schemeClr val="accent2">
                              <a:lumMod val="75000"/>
                            </a:schemeClr>
                          </a:solidFill>
                        </a:defRPr>
                      </a:pPr>
                      <a:t>[BUBBLE SIZE]</a:t>
                    </a:fld>
                    <a:endParaRPr lang="en-US" sz="1000" baseline="0">
                      <a:solidFill>
                        <a:schemeClr val="accent2">
                          <a:lumMod val="7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00" b="1" i="0" u="none" strike="noStrike" kern="1200" baseline="0">
                      <a:solidFill>
                        <a:schemeClr val="accent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46295669487307117"/>
                      <c:h val="5.5686112855983134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E422-4D0B-AE9D-264B1D2A3393}"/>
                </c:ext>
              </c:extLst>
            </c:dLbl>
            <c:dLbl>
              <c:idx val="3"/>
              <c:layout>
                <c:manualLayout>
                  <c:x val="7.5805546728183637E-4"/>
                  <c:y val="-1.813358773191325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sz="1050" b="1" i="0" u="none" strike="noStrike" kern="1200" baseline="0">
                        <a:solidFill>
                          <a:srgbClr val="7030A0"/>
                        </a:solidFill>
                        <a:latin typeface="Arial" panose="020B0604020202020204" pitchFamily="34" charset="0"/>
                        <a:ea typeface="+mn-ea"/>
                        <a:cs typeface="Arial" panose="020B0604020202020204" pitchFamily="34" charset="0"/>
                      </a:defRPr>
                    </a:pPr>
                    <a:fld id="{445BA4D5-42BA-41E3-9552-019788E3C9ED}" type="CELLRANGE">
                      <a:rPr lang="en-US" sz="1050" baseline="0">
                        <a:solidFill>
                          <a:srgbClr val="7030A0"/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pPr algn="l">
                        <a:defRPr sz="1050" b="1">
                          <a:solidFill>
                            <a:srgbClr val="7030A0"/>
                          </a:solidFill>
                          <a:latin typeface="Arial" panose="020B0604020202020204" pitchFamily="34" charset="0"/>
                          <a:cs typeface="Arial" panose="020B0604020202020204" pitchFamily="34" charset="0"/>
                        </a:defRPr>
                      </a:pPr>
                      <a:t>[CELLRANGE]</a:t>
                    </a:fld>
                    <a:r>
                      <a:rPr lang="en-US" sz="1050" baseline="0">
                        <a:solidFill>
                          <a:srgbClr val="7030A0"/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 </a:t>
                    </a:r>
                    <a:fld id="{DB6F19C9-BBD1-4489-87ED-9C83CED4A918}" type="XVALUE">
                      <a:rPr lang="en-US" sz="1050" baseline="0">
                        <a:solidFill>
                          <a:srgbClr val="7030A0"/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pPr algn="l">
                        <a:defRPr sz="1050" b="1">
                          <a:solidFill>
                            <a:srgbClr val="7030A0"/>
                          </a:solidFill>
                          <a:latin typeface="Arial" panose="020B0604020202020204" pitchFamily="34" charset="0"/>
                          <a:cs typeface="Arial" panose="020B0604020202020204" pitchFamily="34" charset="0"/>
                        </a:defRPr>
                      </a:pPr>
                      <a:t>[X VALUE]</a:t>
                    </a:fld>
                    <a:r>
                      <a:rPr lang="en-US" sz="1050" baseline="0">
                        <a:solidFill>
                          <a:srgbClr val="7030A0"/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 </a:t>
                    </a:r>
                    <a:fld id="{82C1B8E1-2747-4A03-B879-1DF16E8009D3}" type="YVALUE">
                      <a:rPr lang="en-US" sz="1050" baseline="0">
                        <a:solidFill>
                          <a:srgbClr val="7030A0"/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pPr algn="l">
                        <a:defRPr sz="1050" b="1">
                          <a:solidFill>
                            <a:srgbClr val="7030A0"/>
                          </a:solidFill>
                          <a:latin typeface="Arial" panose="020B0604020202020204" pitchFamily="34" charset="0"/>
                          <a:cs typeface="Arial" panose="020B0604020202020204" pitchFamily="34" charset="0"/>
                        </a:defRPr>
                      </a:pPr>
                      <a:t>[Y VALUE]</a:t>
                    </a:fld>
                    <a:r>
                      <a:rPr lang="en-US" sz="1050" baseline="0">
                        <a:solidFill>
                          <a:srgbClr val="7030A0"/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 </a:t>
                    </a:r>
                    <a:fld id="{95BECC7A-999E-4BE6-8B3B-BC6F3EEDF9D3}" type="BUBBLESIZE">
                      <a:rPr lang="en-US" sz="1050" baseline="0">
                        <a:solidFill>
                          <a:srgbClr val="7030A0"/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pPr algn="l">
                        <a:defRPr sz="1050" b="1">
                          <a:solidFill>
                            <a:srgbClr val="7030A0"/>
                          </a:solidFill>
                          <a:latin typeface="Arial" panose="020B0604020202020204" pitchFamily="34" charset="0"/>
                          <a:cs typeface="Arial" panose="020B0604020202020204" pitchFamily="34" charset="0"/>
                        </a:defRPr>
                      </a:pPr>
                      <a:t>[BUBBLE SIZE]</a:t>
                    </a:fld>
                    <a:endParaRPr lang="en-US" sz="1050" baseline="0">
                      <a:solidFill>
                        <a:srgbClr val="7030A0"/>
                      </a:solidFill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50" b="1" i="0" u="none" strike="noStrike" kern="1200" baseline="0">
                      <a:solidFill>
                        <a:srgbClr val="7030A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43529709010588918"/>
                      <c:h val="6.9219575401176126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E422-4D0B-AE9D-264B1D2A3393}"/>
                </c:ext>
              </c:extLst>
            </c:dLbl>
            <c:dLbl>
              <c:idx val="4"/>
              <c:layout>
                <c:manualLayout>
                  <c:x val="8.7559368980222721E-2"/>
                  <c:y val="-2.8335492873517394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sz="1000" b="1" i="0" u="none" strike="noStrike" kern="1200" baseline="0">
                        <a:solidFill>
                          <a:schemeClr val="accent4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097101A-DA26-4E2A-836D-A808D665BBBC}" type="CELLRANGE">
                      <a:rPr lang="en-US" sz="100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pPr algn="l">
                        <a:defRPr sz="1000" b="1">
                          <a:solidFill>
                            <a:schemeClr val="accent4">
                              <a:lumMod val="75000"/>
                            </a:schemeClr>
                          </a:solidFill>
                        </a:defRPr>
                      </a:pPr>
                      <a:t>[CELLRANGE]</a:t>
                    </a:fld>
                    <a:r>
                      <a:rPr lang="en-US" sz="100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t> </a:t>
                    </a:r>
                    <a:fld id="{6C6FCB3C-8827-4A40-8674-B995B2DCA6F1}" type="XVALUE">
                      <a:rPr lang="en-US" sz="100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pPr algn="l">
                        <a:defRPr sz="1000" b="1">
                          <a:solidFill>
                            <a:schemeClr val="accent4">
                              <a:lumMod val="75000"/>
                            </a:schemeClr>
                          </a:solidFill>
                        </a:defRPr>
                      </a:pPr>
                      <a:t>[X VALUE]</a:t>
                    </a:fld>
                    <a:r>
                      <a:rPr lang="en-US" sz="100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t> </a:t>
                    </a:r>
                    <a:fld id="{7C1FC436-E325-4174-8182-948400495149}" type="YVALUE">
                      <a:rPr lang="en-US" sz="100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pPr algn="l">
                        <a:defRPr sz="1000" b="1">
                          <a:solidFill>
                            <a:schemeClr val="accent4">
                              <a:lumMod val="75000"/>
                            </a:schemeClr>
                          </a:solidFill>
                        </a:defRPr>
                      </a:pPr>
                      <a:t>[Y VALUE]</a:t>
                    </a:fld>
                    <a:r>
                      <a:rPr lang="en-US" sz="100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t> </a:t>
                    </a:r>
                    <a:fld id="{3135E21A-41E0-4783-BBFF-146D6882317F}" type="BUBBLESIZE">
                      <a:rPr lang="en-US" sz="100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pPr algn="l">
                        <a:defRPr sz="1000" b="1">
                          <a:solidFill>
                            <a:schemeClr val="accent4">
                              <a:lumMod val="75000"/>
                            </a:schemeClr>
                          </a:solidFill>
                        </a:defRPr>
                      </a:pPr>
                      <a:t>[BUBBLE SIZE]</a:t>
                    </a:fld>
                    <a:endParaRPr lang="en-US" sz="1000" baseline="0">
                      <a:solidFill>
                        <a:schemeClr val="accent4">
                          <a:lumMod val="7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00" b="1" i="0" u="none" strike="noStrike" kern="1200" baseline="0">
                      <a:solidFill>
                        <a:schemeClr val="accent4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49764438637995362"/>
                      <c:h val="6.5520354259515023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422-4D0B-AE9D-264B1D2A33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'04.2 Bubble_Nhóm hàng'!$F$6:$F$10</c:f>
              <c:numCache>
                <c:formatCode>"~ "#,##0\ "ngàn $"</c:formatCode>
                <c:ptCount val="5"/>
                <c:pt idx="0">
                  <c:v>292.20952831328344</c:v>
                </c:pt>
                <c:pt idx="1">
                  <c:v>43.419450738738206</c:v>
                </c:pt>
                <c:pt idx="2">
                  <c:v>-139.19432925714284</c:v>
                </c:pt>
                <c:pt idx="3">
                  <c:v>-10.017332876190476</c:v>
                </c:pt>
                <c:pt idx="4" formatCode="&quot;~ &quot;#,##0.0\ &quot;ngàn $&quot;">
                  <c:v>-70.389145714285718</c:v>
                </c:pt>
              </c:numCache>
            </c:numRef>
          </c:xVal>
          <c:yVal>
            <c:numRef>
              <c:f>'04.2 Bubble_Nhóm hàng'!$G$6:$G$10</c:f>
              <c:numCache>
                <c:formatCode>"LNG: "0.0%</c:formatCode>
                <c:ptCount val="5"/>
                <c:pt idx="0">
                  <c:v>0.13441396251988638</c:v>
                </c:pt>
                <c:pt idx="1">
                  <c:v>0.14298781172938352</c:v>
                </c:pt>
                <c:pt idx="2">
                  <c:v>-0.65412703623856783</c:v>
                </c:pt>
                <c:pt idx="3">
                  <c:v>-0.2226736734166927</c:v>
                </c:pt>
                <c:pt idx="4">
                  <c:v>-0.51223398814028731</c:v>
                </c:pt>
              </c:numCache>
            </c:numRef>
          </c:yVal>
          <c:bubbleSize>
            <c:numRef>
              <c:f>'04.2 Bubble_Nhóm hàng'!$D$6:$D$10</c:f>
              <c:numCache>
                <c:formatCode>#,##0\ "tấn"</c:formatCode>
                <c:ptCount val="5"/>
                <c:pt idx="0">
                  <c:v>1787</c:v>
                </c:pt>
                <c:pt idx="1">
                  <c:v>254</c:v>
                </c:pt>
                <c:pt idx="2">
                  <c:v>354</c:v>
                </c:pt>
                <c:pt idx="3">
                  <c:v>52</c:v>
                </c:pt>
                <c:pt idx="4">
                  <c:v>203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'04.2 Bubble_Nhóm hàng'!$B$6:$B$11</c15:f>
                <c15:dlblRangeCache>
                  <c:ptCount val="6"/>
                  <c:pt idx="0">
                    <c:v>1. rPET</c:v>
                  </c:pt>
                  <c:pt idx="1">
                    <c:v>2. rHDPE thổi</c:v>
                  </c:pt>
                  <c:pt idx="2">
                    <c:v>5. rHDPE ép</c:v>
                  </c:pt>
                  <c:pt idx="3">
                    <c:v>3. rPP</c:v>
                  </c:pt>
                  <c:pt idx="4">
                    <c:v>4. Xơ sợi</c:v>
                  </c:pt>
                  <c:pt idx="5">
                    <c:v>. Dây đai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E422-4D0B-AE9D-264B1D2A3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200"/>
        <c:showNegBubbles val="0"/>
        <c:axId val="896235808"/>
        <c:axId val="1573174160"/>
      </c:bubbleChart>
      <c:valAx>
        <c:axId val="896235808"/>
        <c:scaling>
          <c:orientation val="minMax"/>
          <c:max val="850"/>
          <c:min val="-16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00FF"/>
                    </a:solidFill>
                  </a:rPr>
                  <a:t>Lợi nhuận gộp</a:t>
                </a:r>
              </a:p>
            </c:rich>
          </c:tx>
          <c:layout>
            <c:manualLayout>
              <c:xMode val="edge"/>
              <c:yMode val="edge"/>
              <c:x val="0.45195406627983159"/>
              <c:y val="0.927026811521977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174160"/>
        <c:crosses val="autoZero"/>
        <c:crossBetween val="midCat"/>
      </c:valAx>
      <c:valAx>
        <c:axId val="1573174160"/>
        <c:scaling>
          <c:orientation val="minMax"/>
          <c:max val="0.60000000000000009"/>
          <c:min val="-0.7000000000000000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00FF"/>
                    </a:solidFill>
                  </a:rPr>
                  <a:t>% Lợi nhuận gộp</a:t>
                </a:r>
              </a:p>
            </c:rich>
          </c:tx>
          <c:layout>
            <c:manualLayout>
              <c:xMode val="edge"/>
              <c:yMode val="edge"/>
              <c:x val="1.4046867834900428E-2"/>
              <c:y val="0.232182485316164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235808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20000"/>
        <a:lumOff val="80000"/>
      </a:schemeClr>
    </a:solidFill>
    <a:ln w="6350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30C230"/>
                </a:solidFill>
                <a:latin typeface="+mn-lt"/>
                <a:ea typeface="+mn-ea"/>
                <a:cs typeface="+mn-cs"/>
              </a:defRPr>
            </a:pPr>
            <a:r>
              <a:rPr lang="vi-VN"/>
              <a:t>LŨY KẾ SẢN LƯỢNG - LỢI NHUẬN </a:t>
            </a:r>
            <a:r>
              <a:rPr lang="en-US"/>
              <a:t>GỘP</a:t>
            </a:r>
            <a:r>
              <a:rPr lang="en-US" baseline="0"/>
              <a:t> </a:t>
            </a:r>
            <a:r>
              <a:rPr lang="vi-VN"/>
              <a:t>THEO NHÓM HÀNG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30C23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1"/>
        <c:ser>
          <c:idx val="0"/>
          <c:order val="0"/>
          <c:tx>
            <c:strRef>
              <c:f>'04.2 Bubble_Nhóm hàng'!$M$5</c:f>
              <c:strCache>
                <c:ptCount val="1"/>
                <c:pt idx="0">
                  <c:v>Nhóm hàng</c:v>
                </c:pt>
              </c:strCache>
            </c:strRef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30C23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873-46B2-9355-7F62E0F530F7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873-46B2-9355-7F62E0F530F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873-46B2-9355-7F62E0F530F7}"/>
              </c:ext>
            </c:extLst>
          </c:dPt>
          <c:dPt>
            <c:idx val="3"/>
            <c:invertIfNegative val="0"/>
            <c:bubble3D val="0"/>
            <c:spPr>
              <a:solidFill>
                <a:srgbClr val="7030A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873-46B2-9355-7F62E0F530F7}"/>
              </c:ext>
            </c:extLst>
          </c:dPt>
          <c:dPt>
            <c:idx val="4"/>
            <c:invertIfNegative val="0"/>
            <c:bubble3D val="0"/>
            <c:spPr>
              <a:solidFill>
                <a:srgbClr val="FFC00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873-46B2-9355-7F62E0F530F7}"/>
              </c:ext>
            </c:extLst>
          </c:dPt>
          <c:dLbls>
            <c:dLbl>
              <c:idx val="0"/>
              <c:layout>
                <c:manualLayout>
                  <c:x val="-0.11561492014813603"/>
                  <c:y val="-1.699499081316702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53F2E05-38A6-4786-8035-C850E58D640F}" type="CELLRANGE">
                      <a:rPr lang="en-US" sz="1000"/>
                      <a:pPr>
                        <a:defRPr sz="1000" b="1">
                          <a:solidFill>
                            <a:schemeClr val="bg1"/>
                          </a:solidFill>
                        </a:defRPr>
                      </a:pPr>
                      <a:t>[CELLRANGE]</a:t>
                    </a:fld>
                    <a:endParaRPr lang="en-US" sz="1000" baseline="0"/>
                  </a:p>
                  <a:p>
                    <a:pPr>
                      <a:defRPr sz="1000" b="1">
                        <a:solidFill>
                          <a:schemeClr val="bg1"/>
                        </a:solidFill>
                      </a:defRPr>
                    </a:pPr>
                    <a:fld id="{C23F218C-9430-422C-BA30-8E16981B6E5C}" type="XVALUE">
                      <a:rPr lang="en-US" sz="1000"/>
                      <a:pPr>
                        <a:defRPr sz="1000" b="1">
                          <a:solidFill>
                            <a:schemeClr val="bg1"/>
                          </a:solidFill>
                        </a:defRPr>
                      </a:pPr>
                      <a:t>[X VALUE]</a:t>
                    </a:fld>
                    <a:endParaRPr lang="en-US" sz="1000" baseline="0"/>
                  </a:p>
                  <a:p>
                    <a:pPr>
                      <a:defRPr sz="1000" b="1">
                        <a:solidFill>
                          <a:schemeClr val="bg1"/>
                        </a:solidFill>
                      </a:defRPr>
                    </a:pPr>
                    <a:fld id="{C16E9AF6-7043-49DB-92CE-DA6567110AC6}" type="YVALUE">
                      <a:rPr lang="en-US" sz="1000"/>
                      <a:pPr>
                        <a:defRPr sz="1000" b="1">
                          <a:solidFill>
                            <a:schemeClr val="bg1"/>
                          </a:solidFill>
                        </a:defRPr>
                      </a:pPr>
                      <a:t>[Y VALUE]</a:t>
                    </a:fld>
                    <a:endParaRPr lang="en-US" sz="1000" baseline="0"/>
                  </a:p>
                  <a:p>
                    <a:pPr>
                      <a:defRPr sz="1000" b="1">
                        <a:solidFill>
                          <a:schemeClr val="bg1"/>
                        </a:solidFill>
                      </a:defRPr>
                    </a:pPr>
                    <a:fld id="{0B27E9DC-80C0-41F8-9BE7-BB97A0835A85}" type="BUBBLESIZE">
                      <a:rPr lang="en-US" sz="1000"/>
                      <a:pPr>
                        <a:defRPr sz="1000" b="1">
                          <a:solidFill>
                            <a:schemeClr val="bg1"/>
                          </a:solidFill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873-46B2-9355-7F62E0F530F7}"/>
                </c:ext>
              </c:extLst>
            </c:dLbl>
            <c:dLbl>
              <c:idx val="1"/>
              <c:layout>
                <c:manualLayout>
                  <c:x val="-4.1391251923767115E-2"/>
                  <c:y val="-8.037365752104119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F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136F3E9-98A1-4933-817A-3176D38AFFD1}" type="CELLRANGE">
                      <a:rPr lang="en-US" sz="1000">
                        <a:solidFill>
                          <a:srgbClr val="00B0F0"/>
                        </a:solidFill>
                      </a:rPr>
                      <a:pPr>
                        <a:defRPr sz="1000" b="1">
                          <a:solidFill>
                            <a:srgbClr val="00B0F0"/>
                          </a:solidFill>
                        </a:defRPr>
                      </a:pPr>
                      <a:t>[CELLRANGE]</a:t>
                    </a:fld>
                    <a:endParaRPr lang="en-US" sz="1000" baseline="0">
                      <a:solidFill>
                        <a:srgbClr val="00B0F0"/>
                      </a:solidFill>
                    </a:endParaRPr>
                  </a:p>
                  <a:p>
                    <a:pPr>
                      <a:defRPr sz="1000" b="1">
                        <a:solidFill>
                          <a:srgbClr val="00B0F0"/>
                        </a:solidFill>
                      </a:defRPr>
                    </a:pPr>
                    <a:fld id="{BC4E6D16-86AB-485E-9C85-948056F3B489}" type="XVALUE">
                      <a:rPr lang="en-US" sz="1000">
                        <a:solidFill>
                          <a:srgbClr val="00B0F0"/>
                        </a:solidFill>
                      </a:rPr>
                      <a:pPr>
                        <a:defRPr sz="1000" b="1">
                          <a:solidFill>
                            <a:srgbClr val="00B0F0"/>
                          </a:solidFill>
                        </a:defRPr>
                      </a:pPr>
                      <a:t>[X VALUE]</a:t>
                    </a:fld>
                    <a:endParaRPr lang="en-US" sz="1000" baseline="0">
                      <a:solidFill>
                        <a:srgbClr val="00B0F0"/>
                      </a:solidFill>
                    </a:endParaRPr>
                  </a:p>
                  <a:p>
                    <a:pPr>
                      <a:defRPr sz="1000" b="1">
                        <a:solidFill>
                          <a:srgbClr val="00B0F0"/>
                        </a:solidFill>
                      </a:defRPr>
                    </a:pPr>
                    <a:fld id="{62086987-35DA-4340-923A-B3B05DFD1099}" type="YVALUE">
                      <a:rPr lang="en-US" sz="1000">
                        <a:solidFill>
                          <a:srgbClr val="00B0F0"/>
                        </a:solidFill>
                      </a:rPr>
                      <a:pPr>
                        <a:defRPr sz="1000" b="1">
                          <a:solidFill>
                            <a:srgbClr val="00B0F0"/>
                          </a:solidFill>
                        </a:defRPr>
                      </a:pPr>
                      <a:t>[Y VALUE]</a:t>
                    </a:fld>
                    <a:endParaRPr lang="en-US" sz="1000" baseline="0">
                      <a:solidFill>
                        <a:srgbClr val="00B0F0"/>
                      </a:solidFill>
                    </a:endParaRPr>
                  </a:p>
                  <a:p>
                    <a:pPr>
                      <a:defRPr sz="1000" b="1">
                        <a:solidFill>
                          <a:srgbClr val="00B0F0"/>
                        </a:solidFill>
                      </a:defRPr>
                    </a:pPr>
                    <a:fld id="{F3FF6CA4-0F91-44B9-B20B-C6113ADE3BBD}" type="BUBBLESIZE">
                      <a:rPr lang="en-US" sz="1000">
                        <a:solidFill>
                          <a:srgbClr val="00B0F0"/>
                        </a:solidFill>
                      </a:rPr>
                      <a:pPr>
                        <a:defRPr sz="1000" b="1">
                          <a:solidFill>
                            <a:srgbClr val="00B0F0"/>
                          </a:solidFill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0396280655603158"/>
                      <c:h val="0.2092527607744405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8873-46B2-9355-7F62E0F530F7}"/>
                </c:ext>
              </c:extLst>
            </c:dLbl>
            <c:dLbl>
              <c:idx val="2"/>
              <c:layout>
                <c:manualLayout>
                  <c:x val="1.1634867249633996E-2"/>
                  <c:y val="2.16316156682946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sz="1000" b="1" i="0" u="none" strike="noStrike" kern="1200" baseline="0">
                        <a:solidFill>
                          <a:schemeClr val="accent2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71E483F-DD6F-4523-866F-D79699A914D1}" type="CELLRANGE">
                      <a:rPr lang="en-US" sz="1000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 algn="l">
                        <a:defRPr sz="1000" b="1">
                          <a:solidFill>
                            <a:schemeClr val="accent2">
                              <a:lumMod val="75000"/>
                            </a:schemeClr>
                          </a:solidFill>
                        </a:defRPr>
                      </a:pPr>
                      <a:t>[CELLRANGE]</a:t>
                    </a:fld>
                    <a:r>
                      <a:rPr lang="en-US" sz="1000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t> </a:t>
                    </a:r>
                    <a:fld id="{CDC1DA8F-E4CD-49D9-A937-51BDD46988E8}" type="XVALUE">
                      <a:rPr lang="en-US" sz="1000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 algn="l">
                        <a:defRPr sz="1000" b="1">
                          <a:solidFill>
                            <a:schemeClr val="accent2">
                              <a:lumMod val="75000"/>
                            </a:schemeClr>
                          </a:solidFill>
                        </a:defRPr>
                      </a:pPr>
                      <a:t>[X VALUE]</a:t>
                    </a:fld>
                    <a:r>
                      <a:rPr lang="en-US" sz="1000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t> </a:t>
                    </a:r>
                    <a:fld id="{DC7ADBF3-E76F-452B-909E-91DEF7756F10}" type="YVALUE">
                      <a:rPr lang="en-US" sz="1000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 algn="l">
                        <a:defRPr sz="1000" b="1">
                          <a:solidFill>
                            <a:schemeClr val="accent2">
                              <a:lumMod val="75000"/>
                            </a:schemeClr>
                          </a:solidFill>
                        </a:defRPr>
                      </a:pPr>
                      <a:t>[Y VALUE]</a:t>
                    </a:fld>
                    <a:r>
                      <a:rPr lang="en-US" sz="1000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t> </a:t>
                    </a:r>
                    <a:fld id="{83D43BA9-7287-4BF8-AAC1-A6FCFD889C2E}" type="BUBBLESIZE">
                      <a:rPr lang="en-US" sz="1000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 algn="l">
                        <a:defRPr sz="1000" b="1">
                          <a:solidFill>
                            <a:schemeClr val="accent2">
                              <a:lumMod val="75000"/>
                            </a:schemeClr>
                          </a:solidFill>
                        </a:defRPr>
                      </a:pPr>
                      <a:t>[BUBBLE SIZE]</a:t>
                    </a:fld>
                    <a:endParaRPr lang="en-US" sz="1000" baseline="0">
                      <a:solidFill>
                        <a:schemeClr val="accent2">
                          <a:lumMod val="7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00" b="1" i="0" u="none" strike="noStrike" kern="1200" baseline="0">
                      <a:solidFill>
                        <a:schemeClr val="accent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4730731096342507"/>
                      <c:h val="6.8607737403113364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8873-46B2-9355-7F62E0F530F7}"/>
                </c:ext>
              </c:extLst>
            </c:dLbl>
            <c:dLbl>
              <c:idx val="3"/>
              <c:layout>
                <c:manualLayout>
                  <c:x val="-4.1325866401705083E-3"/>
                  <c:y val="4.9284951908456325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sz="1000" b="1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C15A523-F12B-4D9D-A07F-DA6F8B02B356}" type="CELLRANGE">
                      <a:rPr lang="en-US" sz="1000" baseline="0">
                        <a:solidFill>
                          <a:srgbClr val="7030A0"/>
                        </a:solidFill>
                      </a:rPr>
                      <a:pPr algn="l">
                        <a:defRPr sz="1000" b="1">
                          <a:solidFill>
                            <a:srgbClr val="7030A0"/>
                          </a:solidFill>
                        </a:defRPr>
                      </a:pPr>
                      <a:t>[CELLRANGE]</a:t>
                    </a:fld>
                    <a:r>
                      <a:rPr lang="en-US" sz="1000" baseline="0">
                        <a:solidFill>
                          <a:srgbClr val="7030A0"/>
                        </a:solidFill>
                      </a:rPr>
                      <a:t> </a:t>
                    </a:r>
                    <a:fld id="{8DD88E95-615B-401B-B468-5F650112D56F}" type="XVALUE">
                      <a:rPr lang="en-US" sz="1000" baseline="0">
                        <a:solidFill>
                          <a:srgbClr val="7030A0"/>
                        </a:solidFill>
                      </a:rPr>
                      <a:pPr algn="l">
                        <a:defRPr sz="1000" b="1">
                          <a:solidFill>
                            <a:srgbClr val="7030A0"/>
                          </a:solidFill>
                        </a:defRPr>
                      </a:pPr>
                      <a:t>[X VALUE]</a:t>
                    </a:fld>
                    <a:r>
                      <a:rPr lang="en-US" sz="1000" baseline="0">
                        <a:solidFill>
                          <a:srgbClr val="7030A0"/>
                        </a:solidFill>
                      </a:rPr>
                      <a:t> </a:t>
                    </a:r>
                    <a:fld id="{9DB8B202-9DFC-4E85-BA9D-2C15C513B82F}" type="YVALUE">
                      <a:rPr lang="en-US" sz="1000" baseline="0">
                        <a:solidFill>
                          <a:srgbClr val="7030A0"/>
                        </a:solidFill>
                      </a:rPr>
                      <a:pPr algn="l">
                        <a:defRPr sz="1000" b="1">
                          <a:solidFill>
                            <a:srgbClr val="7030A0"/>
                          </a:solidFill>
                        </a:defRPr>
                      </a:pPr>
                      <a:t>[Y VALUE]</a:t>
                    </a:fld>
                    <a:r>
                      <a:rPr lang="en-US" sz="1000" baseline="0">
                        <a:solidFill>
                          <a:srgbClr val="7030A0"/>
                        </a:solidFill>
                      </a:rPr>
                      <a:t> </a:t>
                    </a:r>
                    <a:fld id="{CA4F8081-32F5-44E4-A335-915CB24FD5E5}" type="BUBBLESIZE">
                      <a:rPr lang="en-US" sz="1000" baseline="0">
                        <a:solidFill>
                          <a:srgbClr val="7030A0"/>
                        </a:solidFill>
                      </a:rPr>
                      <a:pPr algn="l">
                        <a:defRPr sz="1000" b="1">
                          <a:solidFill>
                            <a:srgbClr val="7030A0"/>
                          </a:solidFill>
                        </a:defRPr>
                      </a:pPr>
                      <a:t>[BUBBLE SIZE]</a:t>
                    </a:fld>
                    <a:endParaRPr lang="en-US" sz="1000" baseline="0">
                      <a:solidFill>
                        <a:srgbClr val="7030A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00" b="1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4129438339859749"/>
                      <c:h val="4.7311475897786961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8873-46B2-9355-7F62E0F530F7}"/>
                </c:ext>
              </c:extLst>
            </c:dLbl>
            <c:dLbl>
              <c:idx val="4"/>
              <c:layout>
                <c:manualLayout>
                  <c:x val="2.2756301190994341E-2"/>
                  <c:y val="-7.530477994048212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sz="1000" b="1" i="0" u="none" strike="noStrike" kern="1200" baseline="0">
                        <a:solidFill>
                          <a:schemeClr val="accent4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5B56166-B4CE-4990-8B6B-5F8E8A09A2EF}" type="CELLRANGE">
                      <a:rPr lang="en-US" sz="100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pPr algn="l">
                        <a:defRPr sz="1000" b="1">
                          <a:solidFill>
                            <a:schemeClr val="accent4">
                              <a:lumMod val="75000"/>
                            </a:schemeClr>
                          </a:solidFill>
                        </a:defRPr>
                      </a:pPr>
                      <a:t>[CELLRANGE]</a:t>
                    </a:fld>
                    <a:r>
                      <a:rPr lang="en-US" sz="100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t> </a:t>
                    </a:r>
                    <a:fld id="{E68EEFFA-69DE-4CC1-8A11-5161B4CDCA91}" type="XVALUE">
                      <a:rPr lang="en-US" sz="100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pPr algn="l">
                        <a:defRPr sz="1000" b="1">
                          <a:solidFill>
                            <a:schemeClr val="accent4">
                              <a:lumMod val="75000"/>
                            </a:schemeClr>
                          </a:solidFill>
                        </a:defRPr>
                      </a:pPr>
                      <a:t>[X VALUE]</a:t>
                    </a:fld>
                    <a:r>
                      <a:rPr lang="en-US" sz="100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t> </a:t>
                    </a:r>
                    <a:fld id="{7BFD567D-0B3E-4C8E-8B8A-DD41F13F4976}" type="YVALUE">
                      <a:rPr lang="en-US" sz="100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pPr algn="l">
                        <a:defRPr sz="1000" b="1">
                          <a:solidFill>
                            <a:schemeClr val="accent4">
                              <a:lumMod val="75000"/>
                            </a:schemeClr>
                          </a:solidFill>
                        </a:defRPr>
                      </a:pPr>
                      <a:t>[Y VALUE]</a:t>
                    </a:fld>
                    <a:r>
                      <a:rPr lang="en-US" sz="100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t> </a:t>
                    </a:r>
                    <a:fld id="{EA6BE975-9F6A-4F6A-95D6-77F2DD270163}" type="BUBBLESIZE">
                      <a:rPr lang="en-US" sz="100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pPr algn="l">
                        <a:defRPr sz="1000" b="1">
                          <a:solidFill>
                            <a:schemeClr val="accent4">
                              <a:lumMod val="75000"/>
                            </a:schemeClr>
                          </a:solidFill>
                        </a:defRPr>
                      </a:pPr>
                      <a:t>[BUBBLE SIZE]</a:t>
                    </a:fld>
                    <a:endParaRPr lang="en-US" sz="1000" baseline="0">
                      <a:solidFill>
                        <a:schemeClr val="accent4">
                          <a:lumMod val="7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00" b="1" i="0" u="none" strike="noStrike" kern="1200" baseline="0">
                      <a:solidFill>
                        <a:schemeClr val="accent4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48241574696704531"/>
                      <c:h val="5.3020324910696824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8873-46B2-9355-7F62E0F530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'04.2 Bubble_Nhóm hàng'!$P$6:$P$10</c:f>
              <c:numCache>
                <c:formatCode>"LNG: "#,##0\ "ngàn $"</c:formatCode>
                <c:ptCount val="5"/>
                <c:pt idx="0">
                  <c:v>6743</c:v>
                </c:pt>
                <c:pt idx="1">
                  <c:v>401</c:v>
                </c:pt>
                <c:pt idx="2">
                  <c:v>-407</c:v>
                </c:pt>
                <c:pt idx="3">
                  <c:v>-31</c:v>
                </c:pt>
                <c:pt idx="4">
                  <c:v>-437</c:v>
                </c:pt>
              </c:numCache>
            </c:numRef>
          </c:xVal>
          <c:yVal>
            <c:numRef>
              <c:f>'04.2 Bubble_Nhóm hàng'!$Q$6:$Q$10</c:f>
              <c:numCache>
                <c:formatCode>"~ "0.0%</c:formatCode>
                <c:ptCount val="5"/>
                <c:pt idx="0">
                  <c:v>0.16455974228816869</c:v>
                </c:pt>
                <c:pt idx="1">
                  <c:v>0.14403735632183909</c:v>
                </c:pt>
                <c:pt idx="2">
                  <c:v>-0.51066499372647423</c:v>
                </c:pt>
                <c:pt idx="3">
                  <c:v>-0.16062176165803108</c:v>
                </c:pt>
                <c:pt idx="4">
                  <c:v>-0.5</c:v>
                </c:pt>
              </c:numCache>
            </c:numRef>
          </c:yVal>
          <c:bubbleSize>
            <c:numRef>
              <c:f>'04.2 Bubble_Nhóm hàng'!$N$6:$N$10</c:f>
              <c:numCache>
                <c:formatCode>#,##0\ "tấn"</c:formatCode>
                <c:ptCount val="5"/>
                <c:pt idx="0">
                  <c:v>33150</c:v>
                </c:pt>
                <c:pt idx="1">
                  <c:v>2172</c:v>
                </c:pt>
                <c:pt idx="2">
                  <c:v>1201</c:v>
                </c:pt>
                <c:pt idx="3">
                  <c:v>223</c:v>
                </c:pt>
                <c:pt idx="4">
                  <c:v>1300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'04.2 Bubble_Nhóm hàng'!$L$6:$L$11</c15:f>
                <c15:dlblRangeCache>
                  <c:ptCount val="6"/>
                  <c:pt idx="0">
                    <c:v>1. rPET</c:v>
                  </c:pt>
                  <c:pt idx="1">
                    <c:v>2. rHDPE thổi</c:v>
                  </c:pt>
                  <c:pt idx="2">
                    <c:v>5. rHDPE ép</c:v>
                  </c:pt>
                  <c:pt idx="3">
                    <c:v>3. rPP</c:v>
                  </c:pt>
                  <c:pt idx="4">
                    <c:v>4. Xơ sợi</c:v>
                  </c:pt>
                  <c:pt idx="5">
                    <c:v>. Dây đai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8873-46B2-9355-7F62E0F53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250"/>
        <c:showNegBubbles val="0"/>
        <c:axId val="896235808"/>
        <c:axId val="1573174160"/>
      </c:bubbleChart>
      <c:valAx>
        <c:axId val="896235808"/>
        <c:scaling>
          <c:orientation val="minMax"/>
          <c:max val="8000"/>
          <c:min val="-6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00FF"/>
                    </a:solidFill>
                  </a:rPr>
                  <a:t>Lợi nhuận gộp</a:t>
                </a:r>
              </a:p>
            </c:rich>
          </c:tx>
          <c:layout>
            <c:manualLayout>
              <c:xMode val="edge"/>
              <c:yMode val="edge"/>
              <c:x val="0.45405417388519859"/>
              <c:y val="0.90884253392376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174160"/>
        <c:crosses val="autoZero"/>
        <c:crossBetween val="midCat"/>
      </c:valAx>
      <c:valAx>
        <c:axId val="1573174160"/>
        <c:scaling>
          <c:orientation val="minMax"/>
          <c:max val="0.5"/>
          <c:min val="-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00FF"/>
                    </a:solidFill>
                  </a:rPr>
                  <a:t>% Lợi nhuận gộp</a:t>
                </a:r>
              </a:p>
            </c:rich>
          </c:tx>
          <c:layout>
            <c:manualLayout>
              <c:xMode val="edge"/>
              <c:yMode val="edge"/>
              <c:x val="2.2011005502751375E-2"/>
              <c:y val="0.228616422947131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235808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20000"/>
        <a:lumOff val="80000"/>
      </a:schemeClr>
    </a:solidFill>
    <a:ln w="6350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B050"/>
                </a:solidFill>
              </a:rPr>
              <a:t>CƠ</a:t>
            </a:r>
            <a:r>
              <a:rPr lang="en-US" b="1" baseline="0">
                <a:solidFill>
                  <a:srgbClr val="00B050"/>
                </a:solidFill>
              </a:rPr>
              <a:t> CẤU </a:t>
            </a:r>
            <a:r>
              <a:rPr lang="en-US" b="1">
                <a:solidFill>
                  <a:srgbClr val="00B050"/>
                </a:solidFill>
              </a:rPr>
              <a:t>SẢN LƯỢNG </a:t>
            </a:r>
            <a:r>
              <a:rPr lang="en-US" b="1" baseline="0">
                <a:solidFill>
                  <a:srgbClr val="00B050"/>
                </a:solidFill>
              </a:rPr>
              <a:t>BÁN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rgbClr val="00B050"/>
                </a:solidFill>
              </a:rPr>
              <a:t>2025</a:t>
            </a:r>
            <a:endParaRPr lang="vi-VN" b="1">
              <a:solidFill>
                <a:srgbClr val="00B050"/>
              </a:solidFill>
            </a:endParaRPr>
          </a:p>
        </c:rich>
      </c:tx>
      <c:layout>
        <c:manualLayout>
          <c:xMode val="edge"/>
          <c:yMode val="edge"/>
          <c:x val="0.16950898747048296"/>
          <c:y val="4.5977011494252873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2924529685185993E-2"/>
          <c:y val="0.2567581552305962"/>
          <c:w val="0.55199307443077295"/>
          <c:h val="0.68281543307086612"/>
        </c:manualLayout>
      </c:layout>
      <c:doughnutChart>
        <c:varyColors val="1"/>
        <c:ser>
          <c:idx val="0"/>
          <c:order val="0"/>
          <c:tx>
            <c:strRef>
              <c:f>'04.1. Chart Nhóm hàng'!$O$36</c:f>
              <c:strCache>
                <c:ptCount val="1"/>
                <c:pt idx="0">
                  <c:v>Cơ cấu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'04.1. Chart Nhóm hàng'!$G$37:$G$44</c:f>
              <c:strCache>
                <c:ptCount val="8"/>
                <c:pt idx="0">
                  <c:v>rPET</c:v>
                </c:pt>
                <c:pt idx="1">
                  <c:v>rHDPE ép</c:v>
                </c:pt>
                <c:pt idx="2">
                  <c:v>rHDPE thổi</c:v>
                </c:pt>
                <c:pt idx="3">
                  <c:v>Xơ sợi</c:v>
                </c:pt>
                <c:pt idx="4">
                  <c:v>rPP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strCache>
            </c:strRef>
          </c:cat>
          <c:val>
            <c:numRef>
              <c:f>'04.1. Chart Nhóm hàng'!$O$37:$O$44</c:f>
              <c:numCache>
                <c:formatCode>0.0%</c:formatCode>
                <c:ptCount val="8"/>
                <c:pt idx="0">
                  <c:v>0.87129095440168502</c:v>
                </c:pt>
                <c:pt idx="1">
                  <c:v>5.7082897698387459E-2</c:v>
                </c:pt>
                <c:pt idx="2">
                  <c:v>3.1578821733873622E-2</c:v>
                </c:pt>
                <c:pt idx="3">
                  <c:v>5.873677926696276E-3</c:v>
                </c:pt>
                <c:pt idx="4">
                  <c:v>3.4173648239357861E-2</c:v>
                </c:pt>
                <c:pt idx="5">
                  <c:v>2.9704685456602885E-2</c:v>
                </c:pt>
                <c:pt idx="6">
                  <c:v>3.0120751332336645E-2</c:v>
                </c:pt>
                <c:pt idx="7">
                  <c:v>5.2716571507214318E-3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8C-43DF-8637-F9269FE5431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82"/>
        <c:holeSize val="48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CC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'05.2. Chart _SKU'!$B$34</c:f>
          <c:strCache>
            <c:ptCount val="1"/>
            <c:pt idx="0">
              <c:v>% LỢI NHUẬN GỘP THEO SKU_rPET_T9.25</c:v>
            </c:pt>
          </c:strCache>
        </c:strRef>
      </c:tx>
      <c:layout>
        <c:manualLayout>
          <c:xMode val="edge"/>
          <c:yMode val="edge"/>
          <c:x val="0.1892741094097824"/>
          <c:y val="2.03665987780040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B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6912665988595248E-2"/>
          <c:y val="0.14700618735929497"/>
          <c:w val="0.95897436499834954"/>
          <c:h val="0.661248937569158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'05.2. Chart _SKU'!$K$20</c:f>
              <c:strCache>
                <c:ptCount val="1"/>
                <c:pt idx="0">
                  <c:v>BQ 2024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'05.2. Chart _SKU'!$H$21:$H$32</c15:sqref>
                  </c15:fullRef>
                </c:ext>
              </c:extLst>
              <c:f>'05.2. Chart _SKU'!$H$21:$H$24</c:f>
              <c:strCache>
                <c:ptCount val="4"/>
                <c:pt idx="0">
                  <c:v>iSS84G</c:v>
                </c:pt>
                <c:pt idx="1">
                  <c:v>iSS01G</c:v>
                </c:pt>
                <c:pt idx="2">
                  <c:v>WSS01G</c:v>
                </c:pt>
                <c:pt idx="3">
                  <c:v>WSS03G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'05.2. Chart _SKU'!$K$21:$K$32</c15:sqref>
                  </c15:fullRef>
                </c:ext>
              </c:extLst>
              <c:f>'05.2. Chart _SKU'!$K$21:$K$24</c:f>
              <c:numCache>
                <c:formatCode>0.0%</c:formatCode>
                <c:ptCount val="4"/>
                <c:pt idx="0">
                  <c:v>0.20341031450186756</c:v>
                </c:pt>
                <c:pt idx="1">
                  <c:v>0.19183363300359785</c:v>
                </c:pt>
                <c:pt idx="2">
                  <c:v>0.13491231465767164</c:v>
                </c:pt>
                <c:pt idx="3">
                  <c:v>8.0756634548876896E-2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B-4306-9DEB-C7793422A000}"/>
            </c:ext>
          </c:extLst>
        </c:ser>
        <c:ser>
          <c:idx val="2"/>
          <c:order val="1"/>
          <c:tx>
            <c:strRef>
              <c:f>'05.2. Chart _SKU'!$I$20</c:f>
              <c:strCache>
                <c:ptCount val="1"/>
                <c:pt idx="0">
                  <c:v>TT T9.25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'05.2. Chart _SKU'!$H$21:$H$32</c15:sqref>
                  </c15:fullRef>
                </c:ext>
              </c:extLst>
              <c:f>'05.2. Chart _SKU'!$H$21:$H$24</c:f>
              <c:strCache>
                <c:ptCount val="4"/>
                <c:pt idx="0">
                  <c:v>iSS84G</c:v>
                </c:pt>
                <c:pt idx="1">
                  <c:v>iSS01G</c:v>
                </c:pt>
                <c:pt idx="2">
                  <c:v>WSS01G</c:v>
                </c:pt>
                <c:pt idx="3">
                  <c:v>WSS03G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'05.2. Chart _SKU'!$I$21:$I$32</c15:sqref>
                  </c15:fullRef>
                </c:ext>
              </c:extLst>
              <c:f>'05.2. Chart _SKU'!$I$21:$I$24</c:f>
              <c:numCache>
                <c:formatCode>0.0%</c:formatCode>
                <c:ptCount val="4"/>
                <c:pt idx="0">
                  <c:v>6.2286803688537479E-2</c:v>
                </c:pt>
                <c:pt idx="1">
                  <c:v>0.21583425048883109</c:v>
                </c:pt>
                <c:pt idx="2">
                  <c:v>0.1510233714654407</c:v>
                </c:pt>
                <c:pt idx="3">
                  <c:v>8.9497508910397497E-2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5B-4306-9DEB-C7793422A000}"/>
            </c:ext>
          </c:extLst>
        </c:ser>
        <c:ser>
          <c:idx val="4"/>
          <c:order val="4"/>
          <c:tx>
            <c:strRef>
              <c:f>'05.2. Chart _SKU'!$M$20</c:f>
              <c:strCache>
                <c:ptCount val="1"/>
                <c:pt idx="0">
                  <c:v>BQ 2025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9444444444444445E-2"/>
                  <c:y val="9.259259259259258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25B-4306-9DEB-C7793422A0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'05.2. Chart _SKU'!$H$21:$H$32</c15:sqref>
                  </c15:fullRef>
                </c:ext>
              </c:extLst>
              <c:f>'05.2. Chart _SKU'!$H$21:$H$24</c:f>
              <c:strCache>
                <c:ptCount val="4"/>
                <c:pt idx="0">
                  <c:v>iSS84G</c:v>
                </c:pt>
                <c:pt idx="1">
                  <c:v>iSS01G</c:v>
                </c:pt>
                <c:pt idx="2">
                  <c:v>WSS01G</c:v>
                </c:pt>
                <c:pt idx="3">
                  <c:v>WSS03G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'05.2. Chart _SKU'!$M$21:$M$32</c15:sqref>
                  </c15:fullRef>
                </c:ext>
              </c:extLst>
              <c:f>'05.2. Chart _SKU'!$M$21:$M$24</c:f>
              <c:numCache>
                <c:formatCode>0.0%</c:formatCode>
                <c:ptCount val="4"/>
                <c:pt idx="0">
                  <c:v>0.20341031450186756</c:v>
                </c:pt>
                <c:pt idx="1">
                  <c:v>0.19183363300359785</c:v>
                </c:pt>
                <c:pt idx="2">
                  <c:v>0.13491231465767164</c:v>
                </c:pt>
                <c:pt idx="3">
                  <c:v>8.0756634548876896E-2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5B-4306-9DEB-C7793422A00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229951184"/>
        <c:axId val="1099594720"/>
      </c:barChart>
      <c:lineChart>
        <c:grouping val="standard"/>
        <c:varyColors val="0"/>
        <c:ser>
          <c:idx val="3"/>
          <c:order val="2"/>
          <c:tx>
            <c:strRef>
              <c:f>'05.2. Chart _SKU'!$J$20</c:f>
              <c:strCache>
                <c:ptCount val="1"/>
                <c:pt idx="0">
                  <c:v>SL bán T9.25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3.2678199529268641E-2"/>
                  <c:y val="-0.2829425593947398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D42-4DDA-BC2D-C1D0662AD895}"/>
                </c:ext>
              </c:extLst>
            </c:dLbl>
            <c:dLbl>
              <c:idx val="1"/>
              <c:layout>
                <c:manualLayout>
                  <c:x val="-4.4819500544070398E-2"/>
                  <c:y val="-0.2965288154946197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25B-4306-9DEB-C7793422A000}"/>
                </c:ext>
              </c:extLst>
            </c:dLbl>
            <c:dLbl>
              <c:idx val="2"/>
              <c:layout>
                <c:manualLayout>
                  <c:x val="-4.5961559803422723E-2"/>
                  <c:y val="2.73717439768121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D42-4DDA-BC2D-C1D0662AD895}"/>
                </c:ext>
              </c:extLst>
            </c:dLbl>
            <c:dLbl>
              <c:idx val="3"/>
              <c:layout>
                <c:manualLayout>
                  <c:x val="-3.4708655360890892E-2"/>
                  <c:y val="-2.02382231899232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D42-4DDA-BC2D-C1D0662AD895}"/>
                </c:ext>
              </c:extLst>
            </c:dLbl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'05.2. Chart _SKU'!$H$21:$H$32</c15:sqref>
                  </c15:fullRef>
                </c:ext>
              </c:extLst>
              <c:f>'05.2. Chart _SKU'!$H$21:$H$24</c:f>
              <c:strCache>
                <c:ptCount val="4"/>
                <c:pt idx="0">
                  <c:v>iSS84G</c:v>
                </c:pt>
                <c:pt idx="1">
                  <c:v>iSS01G</c:v>
                </c:pt>
                <c:pt idx="2">
                  <c:v>WSS01G</c:v>
                </c:pt>
                <c:pt idx="3">
                  <c:v>WSS03G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'05.2. Chart _SKU'!$J$21:$J$32</c15:sqref>
                  </c15:fullRef>
                </c:ext>
              </c:extLst>
              <c:f>'05.2. Chart _SKU'!$J$21:$J$24</c:f>
              <c:numCache>
                <c:formatCode>_(* #,##0_);_(* \(#,##0\);_(* "-"??_);_(@_)</c:formatCode>
                <c:ptCount val="4"/>
                <c:pt idx="0">
                  <c:v>236.5</c:v>
                </c:pt>
                <c:pt idx="1">
                  <c:v>3.3</c:v>
                </c:pt>
                <c:pt idx="2">
                  <c:v>1195.0999999999999</c:v>
                </c:pt>
                <c:pt idx="3">
                  <c:v>67.099999999999994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5B-4306-9DEB-C7793422A000}"/>
            </c:ext>
          </c:extLst>
        </c:ser>
        <c:ser>
          <c:idx val="1"/>
          <c:order val="3"/>
          <c:tx>
            <c:strRef>
              <c:f>'05.2. Chart _SKU'!$L$20</c:f>
              <c:strCache>
                <c:ptCount val="1"/>
                <c:pt idx="0">
                  <c:v>SL bán BQ 2024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8.0296973795978138E-2"/>
                  <c:y val="-0.4936413719936066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25B-4306-9DEB-C7793422A000}"/>
                </c:ext>
              </c:extLst>
            </c:dLbl>
            <c:dLbl>
              <c:idx val="1"/>
              <c:layout>
                <c:manualLayout>
                  <c:x val="-9.4768059891716383E-2"/>
                  <c:y val="-0.4102493871932932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25B-4306-9DEB-C7793422A000}"/>
                </c:ext>
              </c:extLst>
            </c:dLbl>
            <c:dLbl>
              <c:idx val="2"/>
              <c:layout>
                <c:manualLayout>
                  <c:x val="-0.1025035265114793"/>
                  <c:y val="-0.1958898323203676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25B-4306-9DEB-C7793422A000}"/>
                </c:ext>
              </c:extLst>
            </c:dLbl>
            <c:dLbl>
              <c:idx val="3"/>
              <c:layout>
                <c:manualLayout>
                  <c:x val="-9.20942976257033E-2"/>
                  <c:y val="-0.1549158597033796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25B-4306-9DEB-C7793422A000}"/>
                </c:ext>
              </c:extLst>
            </c:dLbl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bg1">
                    <a:lumMod val="7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'05.2. Chart _SKU'!$H$21:$H$32</c15:sqref>
                  </c15:fullRef>
                </c:ext>
              </c:extLst>
              <c:f>'05.2. Chart _SKU'!$H$21:$H$24</c:f>
              <c:strCache>
                <c:ptCount val="4"/>
                <c:pt idx="0">
                  <c:v>iSS84G</c:v>
                </c:pt>
                <c:pt idx="1">
                  <c:v>iSS01G</c:v>
                </c:pt>
                <c:pt idx="2">
                  <c:v>WSS01G</c:v>
                </c:pt>
                <c:pt idx="3">
                  <c:v>WSS03G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'05.2. Chart _SKU'!$L$21:$L$32</c15:sqref>
                  </c15:fullRef>
                </c:ext>
              </c:extLst>
              <c:f>'05.2. Chart _SKU'!$L$21:$L$24</c:f>
              <c:numCache>
                <c:formatCode>#,##0</c:formatCode>
                <c:ptCount val="4"/>
                <c:pt idx="0">
                  <c:v>3.6687499999999997</c:v>
                </c:pt>
                <c:pt idx="1">
                  <c:v>325.7</c:v>
                </c:pt>
                <c:pt idx="2">
                  <c:v>1331.2083333333333</c:v>
                </c:pt>
                <c:pt idx="3">
                  <c:v>309.89166666666665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5B-4306-9DEB-C7793422A000}"/>
            </c:ext>
          </c:extLst>
        </c:ser>
        <c:ser>
          <c:idx val="5"/>
          <c:order val="5"/>
          <c:tx>
            <c:strRef>
              <c:f>'05.2. Chart _SKU'!$N$20</c:f>
              <c:strCache>
                <c:ptCount val="1"/>
                <c:pt idx="0">
                  <c:v>SL bán BQ 2025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1.9581997586407385E-2"/>
                  <c:y val="-0.2801861476214085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25B-4306-9DEB-C7793422A000}"/>
                </c:ext>
              </c:extLst>
            </c:dLbl>
            <c:dLbl>
              <c:idx val="1"/>
              <c:layout>
                <c:manualLayout>
                  <c:x val="1.9870086178797097E-2"/>
                  <c:y val="1.11218205415350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25B-4306-9DEB-C7793422A000}"/>
                </c:ext>
              </c:extLst>
            </c:dLbl>
            <c:dLbl>
              <c:idx val="2"/>
              <c:layout>
                <c:manualLayout>
                  <c:x val="2.3837810532331419E-2"/>
                  <c:y val="0.3401224449266420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25B-4306-9DEB-C7793422A000}"/>
                </c:ext>
              </c:extLst>
            </c:dLbl>
            <c:dLbl>
              <c:idx val="3"/>
              <c:layout>
                <c:manualLayout>
                  <c:x val="2.6091997104805455E-2"/>
                  <c:y val="-0.1216506545272576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25B-4306-9DEB-C7793422A000}"/>
                </c:ext>
              </c:extLst>
            </c:dLbl>
            <c:spPr>
              <a:solidFill>
                <a:schemeClr val="accent2">
                  <a:lumMod val="40000"/>
                  <a:lumOff val="60000"/>
                </a:schemeClr>
              </a:solidFill>
              <a:ln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'05.2. Chart _SKU'!$H$21:$H$32</c15:sqref>
                  </c15:fullRef>
                </c:ext>
              </c:extLst>
              <c:f>'05.2. Chart _SKU'!$H$21:$H$24</c:f>
              <c:strCache>
                <c:ptCount val="4"/>
                <c:pt idx="0">
                  <c:v>iSS84G</c:v>
                </c:pt>
                <c:pt idx="1">
                  <c:v>iSS01G</c:v>
                </c:pt>
                <c:pt idx="2">
                  <c:v>WSS01G</c:v>
                </c:pt>
                <c:pt idx="3">
                  <c:v>WSS03G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'05.2. Chart _SKU'!$N$21:$N$32</c15:sqref>
                  </c15:fullRef>
                </c:ext>
              </c:extLst>
              <c:f>'05.2. Chart _SKU'!$N$21:$N$24</c:f>
              <c:numCache>
                <c:formatCode>_(* #,##0_);_(* \(#,##0\);_(* "-"??_);_(@_)</c:formatCode>
                <c:ptCount val="4"/>
                <c:pt idx="0">
                  <c:v>2181.2969499999999</c:v>
                </c:pt>
                <c:pt idx="1">
                  <c:v>5284.0678999999991</c:v>
                </c:pt>
                <c:pt idx="2">
                  <c:v>8143.1124999999993</c:v>
                </c:pt>
                <c:pt idx="3">
                  <c:v>705.52499999999998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5B-4306-9DEB-C7793422A00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28619392"/>
        <c:axId val="1096621456"/>
      </c:lineChart>
      <c:catAx>
        <c:axId val="122995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594720"/>
        <c:crosses val="autoZero"/>
        <c:auto val="1"/>
        <c:lblAlgn val="ctr"/>
        <c:lblOffset val="100"/>
        <c:noMultiLvlLbl val="0"/>
      </c:catAx>
      <c:valAx>
        <c:axId val="1099594720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951184"/>
        <c:crosses val="autoZero"/>
        <c:crossBetween val="between"/>
      </c:valAx>
      <c:valAx>
        <c:axId val="1096621456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619392"/>
        <c:crosses val="max"/>
        <c:crossBetween val="between"/>
      </c:valAx>
      <c:catAx>
        <c:axId val="1228619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66214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0000FF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CC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30C230"/>
                </a:solidFill>
                <a:latin typeface="+mn-lt"/>
                <a:ea typeface="+mn-ea"/>
                <a:cs typeface="+mn-cs"/>
              </a:defRPr>
            </a:pPr>
            <a:r>
              <a:rPr lang="vi-VN"/>
              <a:t>LŨY KẾ SẢN LƯỢNG - LỢI NHUẬN </a:t>
            </a:r>
            <a:r>
              <a:rPr lang="en-US"/>
              <a:t>GỘP</a:t>
            </a:r>
            <a:r>
              <a:rPr lang="en-US" baseline="0"/>
              <a:t> </a:t>
            </a:r>
            <a:r>
              <a:rPr lang="vi-VN"/>
              <a:t>THEO </a:t>
            </a:r>
            <a:r>
              <a:rPr lang="en-US" sz="1600"/>
              <a:t>SKU</a:t>
            </a:r>
            <a:r>
              <a:rPr lang="vi-VN"/>
              <a:t>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30C23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966714014762752E-2"/>
          <c:y val="0.14296564195298372"/>
          <c:w val="0.90102189781021902"/>
          <c:h val="0.76226025544275322"/>
        </c:manualLayout>
      </c:layout>
      <c:bubbleChart>
        <c:varyColors val="1"/>
        <c:ser>
          <c:idx val="0"/>
          <c:order val="0"/>
          <c:tx>
            <c:strRef>
              <c:f>'05.2. Chart _SKU'!$D$57</c:f>
              <c:strCache>
                <c:ptCount val="1"/>
                <c:pt idx="0">
                  <c:v>SKU</c:v>
                </c:pt>
              </c:strCache>
            </c:strRef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795-44F9-9A42-EE9BA375F5E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795-44F9-9A42-EE9BA375F5ED}"/>
              </c:ext>
            </c:extLst>
          </c:dPt>
          <c:dPt>
            <c:idx val="2"/>
            <c:invertIfNegative val="0"/>
            <c:bubble3D val="0"/>
            <c:spPr>
              <a:solidFill>
                <a:srgbClr val="30C23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795-44F9-9A42-EE9BA375F5ED}"/>
              </c:ext>
            </c:extLst>
          </c:dPt>
          <c:dPt>
            <c:idx val="3"/>
            <c:invertIfNegative val="0"/>
            <c:bubble3D val="0"/>
            <c:spPr>
              <a:solidFill>
                <a:srgbClr val="7030A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795-44F9-9A42-EE9BA375F5E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795-44F9-9A42-EE9BA375F5ED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795-44F9-9A42-EE9BA375F5ED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795-44F9-9A42-EE9BA375F5ED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1795-44F9-9A42-EE9BA375F5ED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795-44F9-9A42-EE9BA375F5ED}"/>
              </c:ext>
            </c:extLst>
          </c:dPt>
          <c:dLbls>
            <c:dLbl>
              <c:idx val="0"/>
              <c:layout>
                <c:manualLayout>
                  <c:x val="-0.12054162063566611"/>
                  <c:y val="-0.1708544373392761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F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F7AB663-30FF-4568-856C-7E54CB8957D4}" type="CELLRANGE">
                      <a:rPr lang="en-US" sz="1000">
                        <a:solidFill>
                          <a:srgbClr val="00B0F0"/>
                        </a:solidFill>
                      </a:rPr>
                      <a:pPr>
                        <a:defRPr sz="1000" b="1">
                          <a:solidFill>
                            <a:srgbClr val="00B0F0"/>
                          </a:solidFill>
                        </a:defRPr>
                      </a:pPr>
                      <a:t>[CELLRANGE]</a:t>
                    </a:fld>
                    <a:endParaRPr lang="en-US" sz="1000" baseline="0">
                      <a:solidFill>
                        <a:srgbClr val="00B0F0"/>
                      </a:solidFill>
                    </a:endParaRPr>
                  </a:p>
                  <a:p>
                    <a:pPr>
                      <a:defRPr sz="1000" b="1">
                        <a:solidFill>
                          <a:srgbClr val="00B0F0"/>
                        </a:solidFill>
                      </a:defRPr>
                    </a:pPr>
                    <a:fld id="{B14639A2-7408-4311-9AE6-35087E8A7A1B}" type="XVALUE">
                      <a:rPr lang="en-US" sz="1000">
                        <a:solidFill>
                          <a:srgbClr val="00B0F0"/>
                        </a:solidFill>
                      </a:rPr>
                      <a:pPr>
                        <a:defRPr sz="1000" b="1">
                          <a:solidFill>
                            <a:srgbClr val="00B0F0"/>
                          </a:solidFill>
                        </a:defRPr>
                      </a:pPr>
                      <a:t>[X VALUE]</a:t>
                    </a:fld>
                    <a:endParaRPr lang="en-US" sz="1000" baseline="0">
                      <a:solidFill>
                        <a:srgbClr val="00B0F0"/>
                      </a:solidFill>
                    </a:endParaRPr>
                  </a:p>
                  <a:p>
                    <a:pPr>
                      <a:defRPr sz="1000" b="1">
                        <a:solidFill>
                          <a:srgbClr val="00B0F0"/>
                        </a:solidFill>
                      </a:defRPr>
                    </a:pPr>
                    <a:fld id="{81C73DCA-5C74-4DA0-B121-EDEA36CAE9E9}" type="YVALUE">
                      <a:rPr lang="en-US" sz="1000">
                        <a:solidFill>
                          <a:srgbClr val="00B0F0"/>
                        </a:solidFill>
                      </a:rPr>
                      <a:pPr>
                        <a:defRPr sz="1000" b="1">
                          <a:solidFill>
                            <a:srgbClr val="00B0F0"/>
                          </a:solidFill>
                        </a:defRPr>
                      </a:pPr>
                      <a:t>[Y VALUE]</a:t>
                    </a:fld>
                    <a:endParaRPr lang="en-US" sz="1000" baseline="0">
                      <a:solidFill>
                        <a:srgbClr val="00B0F0"/>
                      </a:solidFill>
                    </a:endParaRPr>
                  </a:p>
                  <a:p>
                    <a:pPr>
                      <a:defRPr sz="1000" b="1">
                        <a:solidFill>
                          <a:srgbClr val="00B0F0"/>
                        </a:solidFill>
                      </a:defRPr>
                    </a:pPr>
                    <a:fld id="{306C3226-F806-4A7E-89A4-90208175927D}" type="BUBBLESIZE">
                      <a:rPr lang="en-US" sz="1000">
                        <a:solidFill>
                          <a:srgbClr val="00B0F0"/>
                        </a:solidFill>
                      </a:rPr>
                      <a:pPr>
                        <a:defRPr sz="1000" b="1">
                          <a:solidFill>
                            <a:srgbClr val="00B0F0"/>
                          </a:solidFill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795-44F9-9A42-EE9BA375F5ED}"/>
                </c:ext>
              </c:extLst>
            </c:dLbl>
            <c:dLbl>
              <c:idx val="1"/>
              <c:layout>
                <c:manualLayout>
                  <c:x val="-5.5932811487640108E-2"/>
                  <c:y val="-0.2425013652376065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accent2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2FC00E4-90A1-42E2-BFA3-E823B7C614D8}" type="CELLRANGE">
                      <a:rPr lang="en-US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>
                        <a:defRPr sz="1000" b="1">
                          <a:solidFill>
                            <a:schemeClr val="accent2">
                              <a:lumMod val="75000"/>
                            </a:schemeClr>
                          </a:solidFill>
                        </a:defRPr>
                      </a:pPr>
                      <a:t>[CELLRANGE]</a:t>
                    </a:fld>
                    <a:endParaRPr lang="en-US" baseline="0">
                      <a:solidFill>
                        <a:schemeClr val="accent2">
                          <a:lumMod val="75000"/>
                        </a:schemeClr>
                      </a:solidFill>
                    </a:endParaRPr>
                  </a:p>
                  <a:p>
                    <a:pPr>
                      <a:defRPr sz="1000" b="1">
                        <a:solidFill>
                          <a:schemeClr val="accent2">
                            <a:lumMod val="75000"/>
                          </a:schemeClr>
                        </a:solidFill>
                      </a:defRPr>
                    </a:pPr>
                    <a:fld id="{54B9F4B5-8247-43F8-9160-C3AF4F588087}" type="XVALUE">
                      <a:rPr lang="en-US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>
                        <a:defRPr sz="1000" b="1">
                          <a:solidFill>
                            <a:schemeClr val="accent2">
                              <a:lumMod val="75000"/>
                            </a:schemeClr>
                          </a:solidFill>
                        </a:defRPr>
                      </a:pPr>
                      <a:t>[X VALUE]</a:t>
                    </a:fld>
                    <a:endParaRPr lang="en-US" baseline="0">
                      <a:solidFill>
                        <a:schemeClr val="accent2">
                          <a:lumMod val="75000"/>
                        </a:schemeClr>
                      </a:solidFill>
                    </a:endParaRPr>
                  </a:p>
                  <a:p>
                    <a:pPr>
                      <a:defRPr sz="1000" b="1">
                        <a:solidFill>
                          <a:schemeClr val="accent2">
                            <a:lumMod val="75000"/>
                          </a:schemeClr>
                        </a:solidFill>
                      </a:defRPr>
                    </a:pPr>
                    <a:fld id="{FD5E6397-2EA1-4DB1-9D40-3220EA7E9292}" type="YVALUE">
                      <a:rPr lang="en-US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>
                        <a:defRPr sz="1000" b="1">
                          <a:solidFill>
                            <a:schemeClr val="accent2">
                              <a:lumMod val="75000"/>
                            </a:schemeClr>
                          </a:solidFill>
                        </a:defRPr>
                      </a:pPr>
                      <a:t>[Y VALUE]</a:t>
                    </a:fld>
                    <a:endParaRPr lang="en-US" baseline="0">
                      <a:solidFill>
                        <a:schemeClr val="accent2">
                          <a:lumMod val="75000"/>
                        </a:schemeClr>
                      </a:solidFill>
                    </a:endParaRPr>
                  </a:p>
                  <a:p>
                    <a:pPr>
                      <a:defRPr sz="1000" b="1">
                        <a:solidFill>
                          <a:schemeClr val="accent2">
                            <a:lumMod val="75000"/>
                          </a:schemeClr>
                        </a:solidFill>
                      </a:defRPr>
                    </a:pPr>
                    <a:fld id="{3D8F2A17-3E57-4540-9EC3-3A118034CCDE}" type="BUBBLESIZE">
                      <a:rPr lang="en-US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>
                        <a:defRPr sz="1000" b="1">
                          <a:solidFill>
                            <a:schemeClr val="accent2">
                              <a:lumMod val="75000"/>
                            </a:schemeClr>
                          </a:solidFill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444576011539673"/>
                      <c:h val="0.2438014271132925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1795-44F9-9A42-EE9BA375F5ED}"/>
                </c:ext>
              </c:extLst>
            </c:dLbl>
            <c:dLbl>
              <c:idx val="2"/>
              <c:layout>
                <c:manualLayout>
                  <c:x val="-9.1868854752576237E-2"/>
                  <c:y val="-6.6594601797368884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4852B53-572D-4D25-99DF-486ED6A7CDAD}" type="CELLRANGE">
                      <a:rPr lang="en-US" sz="1000">
                        <a:solidFill>
                          <a:schemeClr val="bg1"/>
                        </a:solidFill>
                      </a:rPr>
                      <a:pPr>
                        <a:defRPr sz="1000" b="1">
                          <a:solidFill>
                            <a:schemeClr val="bg1"/>
                          </a:solidFill>
                        </a:defRPr>
                      </a:pPr>
                      <a:t>[CELLRANGE]</a:t>
                    </a:fld>
                    <a:endParaRPr lang="en-US" sz="1000" baseline="0">
                      <a:solidFill>
                        <a:schemeClr val="bg1"/>
                      </a:solidFill>
                    </a:endParaRPr>
                  </a:p>
                  <a:p>
                    <a:pPr>
                      <a:defRPr sz="1000" b="1">
                        <a:solidFill>
                          <a:schemeClr val="bg1"/>
                        </a:solidFill>
                      </a:defRPr>
                    </a:pPr>
                    <a:fld id="{AFAE9A7B-15A9-45D1-A730-CB0C2299AB6D}" type="XVALUE">
                      <a:rPr lang="en-US" sz="1000">
                        <a:solidFill>
                          <a:schemeClr val="bg1"/>
                        </a:solidFill>
                      </a:rPr>
                      <a:pPr>
                        <a:defRPr sz="1000" b="1">
                          <a:solidFill>
                            <a:schemeClr val="bg1"/>
                          </a:solidFill>
                        </a:defRPr>
                      </a:pPr>
                      <a:t>[X VALUE]</a:t>
                    </a:fld>
                    <a:endParaRPr lang="en-US" sz="1000" baseline="0">
                      <a:solidFill>
                        <a:schemeClr val="bg1"/>
                      </a:solidFill>
                    </a:endParaRPr>
                  </a:p>
                  <a:p>
                    <a:pPr>
                      <a:defRPr sz="1000" b="1">
                        <a:solidFill>
                          <a:schemeClr val="bg1"/>
                        </a:solidFill>
                      </a:defRPr>
                    </a:pPr>
                    <a:fld id="{E26376C6-F6E4-4643-A175-E7E81F2F262E}" type="YVALUE">
                      <a:rPr lang="en-US" sz="1000">
                        <a:solidFill>
                          <a:schemeClr val="bg1"/>
                        </a:solidFill>
                      </a:rPr>
                      <a:pPr>
                        <a:defRPr sz="1000" b="1">
                          <a:solidFill>
                            <a:schemeClr val="bg1"/>
                          </a:solidFill>
                        </a:defRPr>
                      </a:pPr>
                      <a:t>[Y VALUE]</a:t>
                    </a:fld>
                    <a:endParaRPr lang="en-US" sz="1000" baseline="0">
                      <a:solidFill>
                        <a:schemeClr val="bg1"/>
                      </a:solidFill>
                    </a:endParaRPr>
                  </a:p>
                  <a:p>
                    <a:pPr>
                      <a:defRPr sz="1000" b="1">
                        <a:solidFill>
                          <a:schemeClr val="bg1"/>
                        </a:solidFill>
                      </a:defRPr>
                    </a:pPr>
                    <a:fld id="{5FD9F661-9A49-4BE5-8D0E-076C9D1D58C1}" type="BUBBLESIZE">
                      <a:rPr lang="en-US" sz="1000">
                        <a:solidFill>
                          <a:schemeClr val="bg1"/>
                        </a:solidFill>
                      </a:rPr>
                      <a:pPr>
                        <a:defRPr sz="1000" b="1">
                          <a:solidFill>
                            <a:schemeClr val="bg1"/>
                          </a:solidFill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7364241278149345"/>
                      <c:h val="0.2068913203704263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1795-44F9-9A42-EE9BA375F5ED}"/>
                </c:ext>
              </c:extLst>
            </c:dLbl>
            <c:dLbl>
              <c:idx val="3"/>
              <c:layout>
                <c:manualLayout>
                  <c:x val="-6.4303300125219814E-2"/>
                  <c:y val="-0.13087989059841415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A9DB8D4-05A9-4C15-B4A4-7C3E3914BB24}" type="CELLRANGE">
                      <a:rPr lang="en-US" sz="1000">
                        <a:solidFill>
                          <a:srgbClr val="7030A0"/>
                        </a:solidFill>
                      </a:rPr>
                      <a:pPr>
                        <a:defRPr sz="1000" b="1">
                          <a:solidFill>
                            <a:srgbClr val="7030A0"/>
                          </a:solidFill>
                        </a:defRPr>
                      </a:pPr>
                      <a:t>[CELLRANGE]</a:t>
                    </a:fld>
                    <a:endParaRPr lang="en-US" sz="1000" baseline="0">
                      <a:solidFill>
                        <a:srgbClr val="7030A0"/>
                      </a:solidFill>
                    </a:endParaRPr>
                  </a:p>
                  <a:p>
                    <a:pPr>
                      <a:defRPr sz="1000" b="1">
                        <a:solidFill>
                          <a:srgbClr val="7030A0"/>
                        </a:solidFill>
                      </a:defRPr>
                    </a:pPr>
                    <a:fld id="{E8AD421A-AB2E-43E5-8C07-20D4C084C9D2}" type="XVALUE">
                      <a:rPr lang="en-US" sz="1000">
                        <a:solidFill>
                          <a:srgbClr val="7030A0"/>
                        </a:solidFill>
                      </a:rPr>
                      <a:pPr>
                        <a:defRPr sz="1000" b="1">
                          <a:solidFill>
                            <a:srgbClr val="7030A0"/>
                          </a:solidFill>
                        </a:defRPr>
                      </a:pPr>
                      <a:t>[X VALUE]</a:t>
                    </a:fld>
                    <a:endParaRPr lang="en-US" sz="1000" baseline="0">
                      <a:solidFill>
                        <a:srgbClr val="7030A0"/>
                      </a:solidFill>
                    </a:endParaRPr>
                  </a:p>
                  <a:p>
                    <a:pPr>
                      <a:defRPr sz="1000" b="1">
                        <a:solidFill>
                          <a:srgbClr val="7030A0"/>
                        </a:solidFill>
                      </a:defRPr>
                    </a:pPr>
                    <a:fld id="{07C86C34-D350-4359-9277-1291D3C0C98A}" type="YVALUE">
                      <a:rPr lang="en-US" sz="1000">
                        <a:solidFill>
                          <a:srgbClr val="7030A0"/>
                        </a:solidFill>
                      </a:rPr>
                      <a:pPr>
                        <a:defRPr sz="1000" b="1">
                          <a:solidFill>
                            <a:srgbClr val="7030A0"/>
                          </a:solidFill>
                        </a:defRPr>
                      </a:pPr>
                      <a:t>[Y VALUE]</a:t>
                    </a:fld>
                    <a:endParaRPr lang="en-US" sz="1000" baseline="0">
                      <a:solidFill>
                        <a:srgbClr val="7030A0"/>
                      </a:solidFill>
                    </a:endParaRPr>
                  </a:p>
                  <a:p>
                    <a:pPr>
                      <a:defRPr sz="1000" b="1">
                        <a:solidFill>
                          <a:srgbClr val="7030A0"/>
                        </a:solidFill>
                      </a:defRPr>
                    </a:pPr>
                    <a:fld id="{D365DD87-FDC2-4CBA-A855-275C9D2E4330}" type="BUBBLESIZE">
                      <a:rPr lang="en-US" sz="1000">
                        <a:solidFill>
                          <a:srgbClr val="7030A0"/>
                        </a:solidFill>
                      </a:rPr>
                      <a:pPr>
                        <a:defRPr sz="1000" b="1">
                          <a:solidFill>
                            <a:srgbClr val="7030A0"/>
                          </a:solidFill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1795-44F9-9A42-EE9BA375F5E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4F20F8E-50EA-4F51-A29F-8AA9CD05B54D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B0B0B15B-FFE8-478D-B5AD-CEB302479FED}" type="XVALUE">
                      <a:rPr lang="en-US"/>
                      <a:pPr/>
                      <a:t>[X VALUE]</a:t>
                    </a:fld>
                    <a:endParaRPr lang="en-US" baseline="0"/>
                  </a:p>
                  <a:p>
                    <a:fld id="{773BC69F-BA09-4F0B-B126-AB8D7AA37F4C}" type="YVALUE">
                      <a:rPr lang="en-US"/>
                      <a:pPr/>
                      <a:t>[Y VALUE]</a:t>
                    </a:fld>
                    <a:endParaRPr lang="en-US" baseline="0"/>
                  </a:p>
                  <a:p>
                    <a:fld id="{1E31FACC-5C85-4204-9327-5A3F0AABBEAC}" type="BUBBLESIZE">
                      <a:rPr lang="en-US"/>
                      <a:pPr/>
                      <a:t>[BUBBLE SIZE]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1795-44F9-9A42-EE9BA375F5E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4565D15-5F93-4990-8AD8-44C49B7487EB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95B416A1-4227-404E-A4E4-940BF5E867FB}" type="XVALUE">
                      <a:rPr lang="en-US"/>
                      <a:pPr/>
                      <a:t>[X VALUE]</a:t>
                    </a:fld>
                    <a:endParaRPr lang="en-US" baseline="0"/>
                  </a:p>
                  <a:p>
                    <a:fld id="{B1A8433C-6B62-48F5-826E-0564647226A2}" type="YVALUE">
                      <a:rPr lang="en-US"/>
                      <a:pPr/>
                      <a:t>[Y VALUE]</a:t>
                    </a:fld>
                    <a:endParaRPr lang="en-US" baseline="0"/>
                  </a:p>
                  <a:p>
                    <a:fld id="{F1F60D02-E940-4869-BA98-D8F2A13CDC34}" type="BUBBLESIZE">
                      <a:rPr lang="en-US"/>
                      <a:pPr/>
                      <a:t>[BUBBLE SIZE]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1795-44F9-9A42-EE9BA375F5E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E36F51E-B3AA-4747-BBD6-45C23037EFC7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5D0279F9-9A9B-4EBB-8C6E-51F2B3974592}" type="XVALUE">
                      <a:rPr lang="en-US"/>
                      <a:pPr/>
                      <a:t>[X VALUE]</a:t>
                    </a:fld>
                    <a:endParaRPr lang="en-US" baseline="0"/>
                  </a:p>
                  <a:p>
                    <a:fld id="{B669B249-510E-4622-AD20-02D20B33E373}" type="YVALUE">
                      <a:rPr lang="en-US"/>
                      <a:pPr/>
                      <a:t>[Y VALUE]</a:t>
                    </a:fld>
                    <a:endParaRPr lang="en-US" baseline="0"/>
                  </a:p>
                  <a:p>
                    <a:fld id="{E44E1A46-A66E-4D3E-8C75-83AB07A35A7D}" type="BUBBLESIZE">
                      <a:rPr lang="en-US"/>
                      <a:pPr/>
                      <a:t>[BUBBLE SIZE]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1795-44F9-9A42-EE9BA375F5E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E1E6735-0096-404E-8A61-E3B70BC3BB99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2ACA37F3-8B51-4A52-9CE5-3C1B82A6DCD7}" type="XVALUE">
                      <a:rPr lang="en-US"/>
                      <a:pPr/>
                      <a:t>[X VALUE]</a:t>
                    </a:fld>
                    <a:endParaRPr lang="en-US" baseline="0"/>
                  </a:p>
                  <a:p>
                    <a:fld id="{B895433C-AC1D-469F-A036-47CCE501DAB0}" type="YVALUE">
                      <a:rPr lang="en-US"/>
                      <a:pPr/>
                      <a:t>[Y VALUE]</a:t>
                    </a:fld>
                    <a:endParaRPr lang="en-US" baseline="0"/>
                  </a:p>
                  <a:p>
                    <a:fld id="{D60E3602-5AC4-4A3D-A6A9-3AB1D6F1B50E}" type="BUBBLESIZE">
                      <a:rPr lang="en-US"/>
                      <a:pPr/>
                      <a:t>[BUBBLE SIZE]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1795-44F9-9A42-EE9BA375F5E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1795-44F9-9A42-EE9BA375F5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1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'05.2. Chart _SKU'!$G$58:$G$66</c:f>
              <c:numCache>
                <c:formatCode>"LNG: "#,##0\ "ngàn $"</c:formatCode>
                <c:ptCount val="9"/>
                <c:pt idx="0">
                  <c:v>1246</c:v>
                </c:pt>
                <c:pt idx="1">
                  <c:v>2585</c:v>
                </c:pt>
                <c:pt idx="2">
                  <c:v>2714</c:v>
                </c:pt>
                <c:pt idx="3">
                  <c:v>124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'05.2. Chart _SKU'!$H$58:$H$66</c:f>
              <c:numCache>
                <c:formatCode>"~ "0.0%</c:formatCode>
                <c:ptCount val="9"/>
                <c:pt idx="0">
                  <c:v>0.20349501878164297</c:v>
                </c:pt>
                <c:pt idx="1">
                  <c:v>0.19185097224283806</c:v>
                </c:pt>
                <c:pt idx="2">
                  <c:v>0.13493760254561726</c:v>
                </c:pt>
                <c:pt idx="3">
                  <c:v>8.0519480519480519E-2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bubbleSize>
            <c:numRef>
              <c:f>'05.2. Chart _SKU'!$E$58:$E$66</c:f>
              <c:numCache>
                <c:formatCode>#,##0\ "tấn"</c:formatCode>
                <c:ptCount val="9"/>
                <c:pt idx="0">
                  <c:v>4363</c:v>
                </c:pt>
                <c:pt idx="1">
                  <c:v>10568</c:v>
                </c:pt>
                <c:pt idx="2">
                  <c:v>16286</c:v>
                </c:pt>
                <c:pt idx="3">
                  <c:v>1411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'05.2. Chart _SKU'!$C$58:$C$66</c15:f>
                <c15:dlblRangeCache>
                  <c:ptCount val="9"/>
                  <c:pt idx="0">
                    <c:v>1. iSS84G</c:v>
                  </c:pt>
                  <c:pt idx="1">
                    <c:v>2. iSS01G</c:v>
                  </c:pt>
                  <c:pt idx="2">
                    <c:v>3. WSS01G</c:v>
                  </c:pt>
                  <c:pt idx="3">
                    <c:v>4. WSS03G</c:v>
                  </c:pt>
                  <c:pt idx="4">
                    <c:v>-</c:v>
                  </c:pt>
                  <c:pt idx="5">
                    <c:v>-</c:v>
                  </c:pt>
                  <c:pt idx="6">
                    <c:v>-</c:v>
                  </c:pt>
                  <c:pt idx="7">
                    <c:v>-</c:v>
                  </c:pt>
                  <c:pt idx="8">
                    <c:v>-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1795-44F9-9A42-EE9BA375F5E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200"/>
        <c:showNegBubbles val="0"/>
        <c:axId val="896235808"/>
        <c:axId val="1573174160"/>
      </c:bubbleChart>
      <c:valAx>
        <c:axId val="896235808"/>
        <c:scaling>
          <c:orientation val="minMax"/>
          <c:max val="2900"/>
          <c:min val="-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00FF"/>
                    </a:solidFill>
                  </a:rPr>
                  <a:t>Lợi nhuận gộp</a:t>
                </a:r>
              </a:p>
            </c:rich>
          </c:tx>
          <c:layout>
            <c:manualLayout>
              <c:xMode val="edge"/>
              <c:yMode val="edge"/>
              <c:x val="0.45405417388519859"/>
              <c:y val="0.90884253392376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174160"/>
        <c:crosses val="autoZero"/>
        <c:crossBetween val="midCat"/>
      </c:valAx>
      <c:valAx>
        <c:axId val="1573174160"/>
        <c:scaling>
          <c:orientation val="minMax"/>
          <c:max val="0.5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00FF"/>
                    </a:solidFill>
                  </a:rPr>
                  <a:t>% Lợi nhuận gộp</a:t>
                </a:r>
              </a:p>
            </c:rich>
          </c:tx>
          <c:layout>
            <c:manualLayout>
              <c:xMode val="edge"/>
              <c:yMode val="edge"/>
              <c:x val="5.326907129309567E-3"/>
              <c:y val="0.293715880451652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00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235808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20000"/>
        <a:lumOff val="80000"/>
      </a:schemeClr>
    </a:solidFill>
    <a:ln w="6350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r>
              <a:rPr lang="vi-VN"/>
              <a:t>LŨY KẾ SẢN LƯỢNG _ LỢI NHUẬN GỘP </a:t>
            </a:r>
            <a:r>
              <a:rPr lang="en-US" sz="1600">
                <a:solidFill>
                  <a:srgbClr val="FF0000"/>
                </a:solidFill>
              </a:rPr>
              <a:t>rPET</a:t>
            </a:r>
            <a:r>
              <a:rPr lang="en-US"/>
              <a:t> </a:t>
            </a:r>
            <a:r>
              <a:rPr lang="vi-VN"/>
              <a:t>THEO </a:t>
            </a:r>
            <a:r>
              <a:rPr lang="vi-VN">
                <a:solidFill>
                  <a:srgbClr val="FF0000"/>
                </a:solidFill>
              </a:rPr>
              <a:t>KHÁCH HÀNG 2025</a:t>
            </a:r>
          </a:p>
        </c:rich>
      </c:tx>
      <c:layout>
        <c:manualLayout>
          <c:xMode val="edge"/>
          <c:yMode val="edge"/>
          <c:x val="0.12124215117643297"/>
          <c:y val="2.014685777643816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4865703923960863E-2"/>
          <c:y val="0.1804203802514944"/>
          <c:w val="0.91237648560049911"/>
          <c:h val="0.80251157762845948"/>
        </c:manualLayout>
      </c:layout>
      <c:bubbleChart>
        <c:varyColors val="1"/>
        <c:ser>
          <c:idx val="0"/>
          <c:order val="0"/>
          <c:tx>
            <c:strRef>
              <c:f>'6.3 Chart_KH'!$D$6</c:f>
              <c:strCache>
                <c:ptCount val="1"/>
                <c:pt idx="0">
                  <c:v>Khách hàng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EF8-45B0-BA65-F592FC8F0753}"/>
              </c:ext>
            </c:extLst>
          </c:dPt>
          <c:dPt>
            <c:idx val="1"/>
            <c:invertIfNegative val="0"/>
            <c:bubble3D val="0"/>
            <c:spPr>
              <a:solidFill>
                <a:srgbClr val="15FF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EF8-45B0-BA65-F592FC8F0753}"/>
              </c:ext>
            </c:extLst>
          </c:dPt>
          <c:dPt>
            <c:idx val="2"/>
            <c:invertIfNegative val="0"/>
            <c:bubble3D val="0"/>
            <c:spPr>
              <a:solidFill>
                <a:srgbClr val="FF00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EF8-45B0-BA65-F592FC8F0753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EF8-45B0-BA65-F592FC8F0753}"/>
              </c:ext>
            </c:extLst>
          </c:dPt>
          <c:dPt>
            <c:idx val="4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EF8-45B0-BA65-F592FC8F0753}"/>
              </c:ext>
            </c:extLst>
          </c:dPt>
          <c:dPt>
            <c:idx val="5"/>
            <c:invertIfNegative val="0"/>
            <c:bubble3D val="0"/>
            <c:spPr>
              <a:solidFill>
                <a:srgbClr val="FF9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EF8-45B0-BA65-F592FC8F0753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EF8-45B0-BA65-F592FC8F0753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EF8-45B0-BA65-F592FC8F0753}"/>
              </c:ext>
            </c:extLst>
          </c:dPt>
          <c:dPt>
            <c:idx val="8"/>
            <c:invertIfNegative val="0"/>
            <c:bubble3D val="0"/>
            <c:spPr>
              <a:solidFill>
                <a:srgbClr val="00CC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EF8-45B0-BA65-F592FC8F0753}"/>
              </c:ext>
            </c:extLst>
          </c:dPt>
          <c:dPt>
            <c:idx val="9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EF8-45B0-BA65-F592FC8F0753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EF8-45B0-BA65-F592FC8F0753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EF8-45B0-BA65-F592FC8F0753}"/>
              </c:ext>
            </c:extLst>
          </c:dPt>
          <c:dLbls>
            <c:dLbl>
              <c:idx val="0"/>
              <c:layout>
                <c:manualLayout>
                  <c:x val="-8.418337656377041E-2"/>
                  <c:y val="-2.2959201661059449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 b="1">
                        <a:solidFill>
                          <a:schemeClr val="bg1"/>
                        </a:solidFill>
                      </a:defRPr>
                    </a:pPr>
                    <a:fld id="{27DC9A4F-77E0-452E-BC1F-5875E72999F2}" type="CELLRANGE">
                      <a:rPr lang="en-US" b="1">
                        <a:solidFill>
                          <a:schemeClr val="bg1"/>
                        </a:solidFill>
                      </a:rPr>
                      <a:pPr>
                        <a:defRPr b="1">
                          <a:solidFill>
                            <a:schemeClr val="bg1"/>
                          </a:solidFill>
                        </a:defRPr>
                      </a:pPr>
                      <a:t>[CELLRANGE]</a:t>
                    </a:fld>
                    <a:endParaRPr lang="en-US" b="1" baseline="0">
                      <a:solidFill>
                        <a:schemeClr val="bg1"/>
                      </a:solidFill>
                    </a:endParaRPr>
                  </a:p>
                  <a:p>
                    <a:pPr>
                      <a:defRPr b="1">
                        <a:solidFill>
                          <a:schemeClr val="bg1"/>
                        </a:solidFill>
                      </a:defRPr>
                    </a:pPr>
                    <a:fld id="{15965F88-3C49-4316-BA82-3080A471A15B}" type="XVALUE">
                      <a:rPr lang="en-US" b="1">
                        <a:solidFill>
                          <a:schemeClr val="bg1"/>
                        </a:solidFill>
                      </a:rPr>
                      <a:pPr>
                        <a:defRPr b="1">
                          <a:solidFill>
                            <a:schemeClr val="bg1"/>
                          </a:solidFill>
                        </a:defRPr>
                      </a:pPr>
                      <a:t>[X VALUE]</a:t>
                    </a:fld>
                    <a:endParaRPr lang="en-US" b="1" baseline="0">
                      <a:solidFill>
                        <a:schemeClr val="bg1"/>
                      </a:solidFill>
                    </a:endParaRPr>
                  </a:p>
                  <a:p>
                    <a:pPr>
                      <a:defRPr b="1">
                        <a:solidFill>
                          <a:schemeClr val="bg1"/>
                        </a:solidFill>
                      </a:defRPr>
                    </a:pPr>
                    <a:fld id="{5545914C-BBF8-4F35-9D12-A066594CE5D2}" type="YVALUE">
                      <a:rPr lang="en-US" b="1">
                        <a:solidFill>
                          <a:schemeClr val="bg1"/>
                        </a:solidFill>
                      </a:rPr>
                      <a:pPr>
                        <a:defRPr b="1">
                          <a:solidFill>
                            <a:schemeClr val="bg1"/>
                          </a:solidFill>
                        </a:defRPr>
                      </a:pPr>
                      <a:t>[Y VALUE]</a:t>
                    </a:fld>
                    <a:endParaRPr lang="en-US" b="1" baseline="0">
                      <a:solidFill>
                        <a:schemeClr val="bg1"/>
                      </a:solidFill>
                    </a:endParaRPr>
                  </a:p>
                  <a:p>
                    <a:pPr>
                      <a:defRPr b="1">
                        <a:solidFill>
                          <a:schemeClr val="bg1"/>
                        </a:solidFill>
                      </a:defRPr>
                    </a:pPr>
                    <a:fld id="{A0F21F3F-DE09-4EBA-B7E4-6E37B8832E47}" type="BUBBLESIZE">
                      <a:rPr lang="en-US" b="1">
                        <a:solidFill>
                          <a:schemeClr val="bg1"/>
                        </a:solidFill>
                      </a:rPr>
                      <a:pPr>
                        <a:defRPr b="1">
                          <a:solidFill>
                            <a:schemeClr val="bg1"/>
                          </a:solidFill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EF8-45B0-BA65-F592FC8F0753}"/>
                </c:ext>
              </c:extLst>
            </c:dLbl>
            <c:dLbl>
              <c:idx val="1"/>
              <c:layout>
                <c:manualLayout>
                  <c:x val="-0.18211565933444815"/>
                  <c:y val="7.254940464501837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 b="1">
                        <a:solidFill>
                          <a:srgbClr val="00B050"/>
                        </a:solidFill>
                      </a:defRPr>
                    </a:pPr>
                    <a:fld id="{2C73E94F-1059-4F1B-8442-F795B36DE622}" type="CELLRANGE">
                      <a:rPr lang="en-US">
                        <a:solidFill>
                          <a:srgbClr val="00B050"/>
                        </a:solidFill>
                      </a:rPr>
                      <a:pPr>
                        <a:defRPr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endParaRPr lang="en-US" baseline="0">
                      <a:solidFill>
                        <a:srgbClr val="00B050"/>
                      </a:solidFill>
                    </a:endParaRPr>
                  </a:p>
                  <a:p>
                    <a:pPr>
                      <a:defRPr b="1">
                        <a:solidFill>
                          <a:srgbClr val="00B050"/>
                        </a:solidFill>
                      </a:defRPr>
                    </a:pPr>
                    <a:fld id="{419E2658-0CD2-4711-9A8A-BA0532B1D544}" type="XVALUE">
                      <a:rPr lang="en-US">
                        <a:solidFill>
                          <a:srgbClr val="00B050"/>
                        </a:solidFill>
                      </a:rPr>
                      <a:pPr>
                        <a:defRPr b="1">
                          <a:solidFill>
                            <a:srgbClr val="00B050"/>
                          </a:solidFill>
                        </a:defRPr>
                      </a:pPr>
                      <a:t>[X VALUE]</a:t>
                    </a:fld>
                    <a:endParaRPr lang="en-US" baseline="0">
                      <a:solidFill>
                        <a:srgbClr val="00B050"/>
                      </a:solidFill>
                    </a:endParaRPr>
                  </a:p>
                  <a:p>
                    <a:pPr>
                      <a:defRPr b="1">
                        <a:solidFill>
                          <a:srgbClr val="00B050"/>
                        </a:solidFill>
                      </a:defRPr>
                    </a:pPr>
                    <a:fld id="{7D18D4CB-7671-47D9-A6E4-2A43C6EB844E}" type="YVALUE">
                      <a:rPr lang="en-US">
                        <a:solidFill>
                          <a:srgbClr val="00B050"/>
                        </a:solidFill>
                      </a:rPr>
                      <a:pPr>
                        <a:defRPr b="1">
                          <a:solidFill>
                            <a:srgbClr val="00B050"/>
                          </a:solidFill>
                        </a:defRPr>
                      </a:pPr>
                      <a:t>[Y VALUE]</a:t>
                    </a:fld>
                    <a:endParaRPr lang="en-US" baseline="0">
                      <a:solidFill>
                        <a:srgbClr val="00B050"/>
                      </a:solidFill>
                    </a:endParaRPr>
                  </a:p>
                  <a:p>
                    <a:pPr>
                      <a:defRPr b="1">
                        <a:solidFill>
                          <a:srgbClr val="00B050"/>
                        </a:solidFill>
                      </a:defRPr>
                    </a:pPr>
                    <a:fld id="{72FE986F-FC8F-4199-B6AD-DDFDB352E2B9}" type="BUBBLESIZE">
                      <a:rPr lang="en-US">
                        <a:solidFill>
                          <a:srgbClr val="00B050"/>
                        </a:solidFill>
                      </a:rPr>
                      <a:pPr>
                        <a:defRPr b="1">
                          <a:solidFill>
                            <a:srgbClr val="00B050"/>
                          </a:solidFill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2141933652479803"/>
                      <c:h val="0.1566462561960357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EF8-45B0-BA65-F592FC8F0753}"/>
                </c:ext>
              </c:extLst>
            </c:dLbl>
            <c:dLbl>
              <c:idx val="2"/>
              <c:layout>
                <c:manualLayout>
                  <c:x val="5.5528073808413306E-3"/>
                  <c:y val="4.6069943053001765E-2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1">
                        <a:solidFill>
                          <a:srgbClr val="FF00FF"/>
                        </a:solidFill>
                      </a:defRPr>
                    </a:pPr>
                    <a:fld id="{9CA58782-6A58-4588-89A3-A6FA5FDB8445}" type="CELLRANGE">
                      <a:rPr lang="en-US" baseline="0">
                        <a:solidFill>
                          <a:srgbClr val="FF00FF"/>
                        </a:solidFill>
                      </a:rPr>
                      <a:pPr algn="l">
                        <a:defRPr b="1">
                          <a:solidFill>
                            <a:srgbClr val="FF00FF"/>
                          </a:solidFill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rgbClr val="FF00FF"/>
                        </a:solidFill>
                      </a:rPr>
                      <a:t> </a:t>
                    </a:r>
                    <a:fld id="{BC83F278-8314-461A-98B4-67B0F9EF2D12}" type="XVALUE">
                      <a:rPr lang="en-US" baseline="0">
                        <a:solidFill>
                          <a:srgbClr val="FF00FF"/>
                        </a:solidFill>
                      </a:rPr>
                      <a:pPr algn="l">
                        <a:defRPr b="1">
                          <a:solidFill>
                            <a:srgbClr val="FF00FF"/>
                          </a:solidFill>
                        </a:defRPr>
                      </a:pPr>
                      <a:t>[X VALUE]</a:t>
                    </a:fld>
                    <a:r>
                      <a:rPr lang="en-US" baseline="0">
                        <a:solidFill>
                          <a:srgbClr val="FF00FF"/>
                        </a:solidFill>
                      </a:rPr>
                      <a:t> </a:t>
                    </a:r>
                    <a:fld id="{AA16A712-DBAB-4C7F-BABB-B76AFAE2FD87}" type="YVALUE">
                      <a:rPr lang="en-US" baseline="0">
                        <a:solidFill>
                          <a:srgbClr val="FF00FF"/>
                        </a:solidFill>
                      </a:rPr>
                      <a:pPr algn="l">
                        <a:defRPr b="1">
                          <a:solidFill>
                            <a:srgbClr val="FF00FF"/>
                          </a:solidFill>
                        </a:defRPr>
                      </a:pPr>
                      <a:t>[Y VALUE]</a:t>
                    </a:fld>
                    <a:r>
                      <a:rPr lang="en-US" baseline="0">
                        <a:solidFill>
                          <a:srgbClr val="FF00FF"/>
                        </a:solidFill>
                      </a:rPr>
                      <a:t> </a:t>
                    </a:r>
                    <a:fld id="{2E9F565E-2031-4E7D-93E4-40A13C2314BF}" type="BUBBLESIZE">
                      <a:rPr lang="en-US" baseline="0">
                        <a:solidFill>
                          <a:srgbClr val="FF00FF"/>
                        </a:solidFill>
                      </a:rPr>
                      <a:pPr algn="l">
                        <a:defRPr b="1">
                          <a:solidFill>
                            <a:srgbClr val="FF00FF"/>
                          </a:solidFill>
                        </a:defRPr>
                      </a:pPr>
                      <a:t>[BUBBLE SIZE]</a:t>
                    </a:fld>
                    <a:endParaRPr lang="en-US" baseline="0">
                      <a:solidFill>
                        <a:srgbClr val="FF00FF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3421954117600755"/>
                      <c:h val="5.618127830242009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BEF8-45B0-BA65-F592FC8F0753}"/>
                </c:ext>
              </c:extLst>
            </c:dLbl>
            <c:dLbl>
              <c:idx val="3"/>
              <c:layout>
                <c:manualLayout>
                  <c:x val="-9.2707667805199512E-2"/>
                  <c:y val="-0.16620870461281628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 b="1">
                        <a:solidFill>
                          <a:srgbClr val="FF0000"/>
                        </a:solidFill>
                      </a:defRPr>
                    </a:pPr>
                    <a:fld id="{DACDD67F-3284-4E69-92C5-99BD2DF33115}" type="CELLRANGE">
                      <a:rPr lang="en-US" b="1">
                        <a:solidFill>
                          <a:srgbClr val="FF0000"/>
                        </a:solidFill>
                      </a:rPr>
                      <a:pPr>
                        <a:defRPr b="1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en-US" b="1" baseline="0">
                      <a:solidFill>
                        <a:srgbClr val="FF0000"/>
                      </a:solidFill>
                    </a:endParaRPr>
                  </a:p>
                  <a:p>
                    <a:pPr>
                      <a:defRPr b="1">
                        <a:solidFill>
                          <a:srgbClr val="FF0000"/>
                        </a:solidFill>
                      </a:defRPr>
                    </a:pPr>
                    <a:fld id="{CD9D08CA-FA23-4B58-96FA-BBDD7BD9FB6B}" type="XVALUE">
                      <a:rPr lang="en-US" b="1">
                        <a:solidFill>
                          <a:srgbClr val="FF0000"/>
                        </a:solidFill>
                      </a:rPr>
                      <a:pPr>
                        <a:defRPr b="1">
                          <a:solidFill>
                            <a:srgbClr val="FF0000"/>
                          </a:solidFill>
                        </a:defRPr>
                      </a:pPr>
                      <a:t>[X VALUE]</a:t>
                    </a:fld>
                    <a:endParaRPr lang="en-US" b="1" baseline="0">
                      <a:solidFill>
                        <a:srgbClr val="FF0000"/>
                      </a:solidFill>
                    </a:endParaRPr>
                  </a:p>
                  <a:p>
                    <a:pPr>
                      <a:defRPr b="1">
                        <a:solidFill>
                          <a:srgbClr val="FF0000"/>
                        </a:solidFill>
                      </a:defRPr>
                    </a:pPr>
                    <a:fld id="{FF92F444-6F50-49FF-A975-4101B2A59D27}" type="YVALUE">
                      <a:rPr lang="en-US" b="1">
                        <a:solidFill>
                          <a:srgbClr val="FF0000"/>
                        </a:solidFill>
                      </a:rPr>
                      <a:pPr>
                        <a:defRPr b="1">
                          <a:solidFill>
                            <a:srgbClr val="FF0000"/>
                          </a:solidFill>
                        </a:defRPr>
                      </a:pPr>
                      <a:t>[Y VALUE]</a:t>
                    </a:fld>
                    <a:endParaRPr lang="en-US" b="1" baseline="0">
                      <a:solidFill>
                        <a:srgbClr val="FF0000"/>
                      </a:solidFill>
                    </a:endParaRPr>
                  </a:p>
                  <a:p>
                    <a:pPr>
                      <a:defRPr b="1">
                        <a:solidFill>
                          <a:srgbClr val="FF0000"/>
                        </a:solidFill>
                      </a:defRPr>
                    </a:pPr>
                    <a:fld id="{2654A73D-714A-45E7-BA39-FE038F42B82B}" type="BUBBLESIZE">
                      <a:rPr lang="en-US" b="1">
                        <a:solidFill>
                          <a:srgbClr val="FF0000"/>
                        </a:solidFill>
                      </a:rPr>
                      <a:pPr>
                        <a:defRPr b="1">
                          <a:solidFill>
                            <a:srgbClr val="FF0000"/>
                          </a:solidFill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1802980086700435"/>
                      <c:h val="0.2118697412771145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BEF8-45B0-BA65-F592FC8F0753}"/>
                </c:ext>
              </c:extLst>
            </c:dLbl>
            <c:dLbl>
              <c:idx val="4"/>
              <c:layout>
                <c:manualLayout>
                  <c:x val="-6.1581780515764593E-2"/>
                  <c:y val="9.8408340325258289E-2"/>
                </c:manualLayout>
              </c:layout>
              <c:tx>
                <c:rich>
                  <a:bodyPr wrap="square" lIns="38100" tIns="19050" rIns="38100" bIns="19050" anchor="ctr" anchorCtr="0">
                    <a:spAutoFit/>
                  </a:bodyPr>
                  <a:lstStyle/>
                  <a:p>
                    <a:pPr algn="l">
                      <a:defRPr b="1">
                        <a:solidFill>
                          <a:srgbClr val="7030A0"/>
                        </a:solidFill>
                      </a:defRPr>
                    </a:pPr>
                    <a:fld id="{4F137D4A-2AB9-4101-A0AF-B50A38FCE796}" type="CELLRANGE">
                      <a:rPr lang="en-US" b="1" baseline="0">
                        <a:solidFill>
                          <a:srgbClr val="7030A0"/>
                        </a:solidFill>
                      </a:rPr>
                      <a:pPr algn="l">
                        <a:defRPr b="1">
                          <a:solidFill>
                            <a:srgbClr val="7030A0"/>
                          </a:solidFill>
                        </a:defRPr>
                      </a:pPr>
                      <a:t>[CELLRANGE]</a:t>
                    </a:fld>
                    <a:r>
                      <a:rPr lang="en-US" b="1" baseline="0">
                        <a:solidFill>
                          <a:srgbClr val="7030A0"/>
                        </a:solidFill>
                      </a:rPr>
                      <a:t> </a:t>
                    </a:r>
                    <a:fld id="{974CA4F7-709B-4A1C-B026-7FAFB53B60B5}" type="XVALUE">
                      <a:rPr lang="en-US" b="1" baseline="0">
                        <a:solidFill>
                          <a:srgbClr val="7030A0"/>
                        </a:solidFill>
                      </a:rPr>
                      <a:pPr algn="l">
                        <a:defRPr b="1">
                          <a:solidFill>
                            <a:srgbClr val="7030A0"/>
                          </a:solidFill>
                        </a:defRPr>
                      </a:pPr>
                      <a:t>[X VALUE]</a:t>
                    </a:fld>
                    <a:r>
                      <a:rPr lang="en-US" b="1" baseline="0">
                        <a:solidFill>
                          <a:srgbClr val="7030A0"/>
                        </a:solidFill>
                      </a:rPr>
                      <a:t> </a:t>
                    </a:r>
                    <a:fld id="{E322A601-7A29-4074-846F-F70090F213A6}" type="YVALUE">
                      <a:rPr lang="en-US" b="1" baseline="0">
                        <a:solidFill>
                          <a:srgbClr val="7030A0"/>
                        </a:solidFill>
                      </a:rPr>
                      <a:pPr algn="l">
                        <a:defRPr b="1">
                          <a:solidFill>
                            <a:srgbClr val="7030A0"/>
                          </a:solidFill>
                        </a:defRPr>
                      </a:pPr>
                      <a:t>[Y VALUE]</a:t>
                    </a:fld>
                    <a:r>
                      <a:rPr lang="en-US" b="1" baseline="0">
                        <a:solidFill>
                          <a:srgbClr val="7030A0"/>
                        </a:solidFill>
                      </a:rPr>
                      <a:t> </a:t>
                    </a:r>
                    <a:fld id="{633A75AD-4817-49FE-9BFF-4AF0D4453E60}" type="BUBBLESIZE">
                      <a:rPr lang="en-US" b="1" baseline="0">
                        <a:solidFill>
                          <a:srgbClr val="7030A0"/>
                        </a:solidFill>
                      </a:rPr>
                      <a:pPr algn="l">
                        <a:defRPr b="1">
                          <a:solidFill>
                            <a:srgbClr val="7030A0"/>
                          </a:solidFill>
                        </a:defRPr>
                      </a:pPr>
                      <a:t>[BUBBLE SIZE]</a:t>
                    </a:fld>
                    <a:endParaRPr lang="en-US" b="1" baseline="0">
                      <a:solidFill>
                        <a:srgbClr val="7030A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8545609419314755"/>
                      <c:h val="7.568603063266071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BEF8-45B0-BA65-F592FC8F0753}"/>
                </c:ext>
              </c:extLst>
            </c:dLbl>
            <c:dLbl>
              <c:idx val="5"/>
              <c:layout>
                <c:manualLayout>
                  <c:x val="1.5019234199193286E-2"/>
                  <c:y val="1.6055483156898798E-2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1">
                        <a:solidFill>
                          <a:srgbClr val="D46112"/>
                        </a:solidFill>
                      </a:defRPr>
                    </a:pPr>
                    <a:fld id="{BE8803C3-B585-4A73-9111-0F574900B3F4}" type="CELLRANGE">
                      <a:rPr lang="en-US" b="1" baseline="0">
                        <a:solidFill>
                          <a:srgbClr val="D46112"/>
                        </a:solidFill>
                      </a:rPr>
                      <a:pPr algn="l">
                        <a:defRPr b="1">
                          <a:solidFill>
                            <a:srgbClr val="D46112"/>
                          </a:solidFill>
                        </a:defRPr>
                      </a:pPr>
                      <a:t>[CELLRANGE]</a:t>
                    </a:fld>
                    <a:r>
                      <a:rPr lang="en-US" b="1" baseline="0">
                        <a:solidFill>
                          <a:srgbClr val="D46112"/>
                        </a:solidFill>
                      </a:rPr>
                      <a:t> </a:t>
                    </a:r>
                    <a:fld id="{31B73B0C-AB48-47CC-94E1-8024E22CF633}" type="XVALUE">
                      <a:rPr lang="en-US" b="1" baseline="0">
                        <a:solidFill>
                          <a:srgbClr val="D46112"/>
                        </a:solidFill>
                      </a:rPr>
                      <a:pPr algn="l">
                        <a:defRPr b="1">
                          <a:solidFill>
                            <a:srgbClr val="D46112"/>
                          </a:solidFill>
                        </a:defRPr>
                      </a:pPr>
                      <a:t>[X VALUE]</a:t>
                    </a:fld>
                    <a:r>
                      <a:rPr lang="en-US" b="1" baseline="0">
                        <a:solidFill>
                          <a:srgbClr val="D46112"/>
                        </a:solidFill>
                      </a:rPr>
                      <a:t> </a:t>
                    </a:r>
                    <a:fld id="{92AEA1E9-03D7-4991-A271-2B59E4D63A3B}" type="YVALUE">
                      <a:rPr lang="en-US" b="1" baseline="0">
                        <a:solidFill>
                          <a:srgbClr val="D46112"/>
                        </a:solidFill>
                      </a:rPr>
                      <a:pPr algn="l">
                        <a:defRPr b="1">
                          <a:solidFill>
                            <a:srgbClr val="D46112"/>
                          </a:solidFill>
                        </a:defRPr>
                      </a:pPr>
                      <a:t>[Y VALUE]</a:t>
                    </a:fld>
                    <a:r>
                      <a:rPr lang="en-US" b="1" baseline="0">
                        <a:solidFill>
                          <a:srgbClr val="D46112"/>
                        </a:solidFill>
                      </a:rPr>
                      <a:t> </a:t>
                    </a:r>
                    <a:fld id="{17FD8062-348D-41AA-A66A-C8235A6B943B}" type="BUBBLESIZE">
                      <a:rPr lang="en-US" b="1" baseline="0">
                        <a:solidFill>
                          <a:srgbClr val="D46112"/>
                        </a:solidFill>
                      </a:rPr>
                      <a:pPr algn="l">
                        <a:defRPr b="1">
                          <a:solidFill>
                            <a:srgbClr val="D46112"/>
                          </a:solidFill>
                        </a:defRPr>
                      </a:pPr>
                      <a:t>[BUBBLE SIZE]</a:t>
                    </a:fld>
                    <a:endParaRPr lang="en-US" b="1" baseline="0">
                      <a:solidFill>
                        <a:srgbClr val="D46112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1025184073044737"/>
                      <c:h val="6.0721328644280599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BEF8-45B0-BA65-F592FC8F0753}"/>
                </c:ext>
              </c:extLst>
            </c:dLbl>
            <c:dLbl>
              <c:idx val="6"/>
              <c:layout>
                <c:manualLayout>
                  <c:x val="-7.0784281380340611E-2"/>
                  <c:y val="-0.12386358902952085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 b="1">
                        <a:solidFill>
                          <a:srgbClr val="0070C0"/>
                        </a:solidFill>
                      </a:defRPr>
                    </a:pPr>
                    <a:fld id="{7C7B4A11-E4C2-498C-A507-EF8F884D32CA}" type="CELLRANGE">
                      <a:rPr lang="en-US" b="1">
                        <a:solidFill>
                          <a:srgbClr val="0070C0"/>
                        </a:solidFill>
                      </a:rPr>
                      <a:pPr>
                        <a:defRPr b="1">
                          <a:solidFill>
                            <a:srgbClr val="0070C0"/>
                          </a:solidFill>
                        </a:defRPr>
                      </a:pPr>
                      <a:t>[CELLRANGE]</a:t>
                    </a:fld>
                    <a:endParaRPr lang="en-US" b="1" baseline="0">
                      <a:solidFill>
                        <a:srgbClr val="0070C0"/>
                      </a:solidFill>
                    </a:endParaRPr>
                  </a:p>
                  <a:p>
                    <a:pPr>
                      <a:defRPr b="1">
                        <a:solidFill>
                          <a:srgbClr val="0070C0"/>
                        </a:solidFill>
                      </a:defRPr>
                    </a:pPr>
                    <a:fld id="{31CA586D-537E-48BD-A905-7C891A68E989}" type="XVALUE">
                      <a:rPr lang="en-US" b="1">
                        <a:solidFill>
                          <a:srgbClr val="0070C0"/>
                        </a:solidFill>
                      </a:rPr>
                      <a:pPr>
                        <a:defRPr b="1">
                          <a:solidFill>
                            <a:srgbClr val="0070C0"/>
                          </a:solidFill>
                        </a:defRPr>
                      </a:pPr>
                      <a:t>[X VALUE]</a:t>
                    </a:fld>
                    <a:endParaRPr lang="en-US" b="1" baseline="0">
                      <a:solidFill>
                        <a:srgbClr val="0070C0"/>
                      </a:solidFill>
                    </a:endParaRPr>
                  </a:p>
                  <a:p>
                    <a:pPr>
                      <a:defRPr b="1">
                        <a:solidFill>
                          <a:srgbClr val="0070C0"/>
                        </a:solidFill>
                      </a:defRPr>
                    </a:pPr>
                    <a:fld id="{6744795E-D9E7-482D-8DBF-FDB1CDFFBE4D}" type="YVALUE">
                      <a:rPr lang="en-US" b="1">
                        <a:solidFill>
                          <a:srgbClr val="0070C0"/>
                        </a:solidFill>
                      </a:rPr>
                      <a:pPr>
                        <a:defRPr b="1">
                          <a:solidFill>
                            <a:srgbClr val="0070C0"/>
                          </a:solidFill>
                        </a:defRPr>
                      </a:pPr>
                      <a:t>[Y VALUE]</a:t>
                    </a:fld>
                    <a:endParaRPr lang="en-US" b="1" baseline="0">
                      <a:solidFill>
                        <a:srgbClr val="0070C0"/>
                      </a:solidFill>
                    </a:endParaRPr>
                  </a:p>
                  <a:p>
                    <a:pPr>
                      <a:defRPr b="1">
                        <a:solidFill>
                          <a:srgbClr val="0070C0"/>
                        </a:solidFill>
                      </a:defRPr>
                    </a:pPr>
                    <a:fld id="{94D1AFEC-1E0A-4A6E-809B-CAA79A62F78B}" type="BUBBLESIZE">
                      <a:rPr lang="en-US" b="1">
                        <a:solidFill>
                          <a:srgbClr val="0070C0"/>
                        </a:solidFill>
                      </a:rPr>
                      <a:pPr>
                        <a:defRPr b="1">
                          <a:solidFill>
                            <a:srgbClr val="0070C0"/>
                          </a:solidFill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BEF8-45B0-BA65-F592FC8F0753}"/>
                </c:ext>
              </c:extLst>
            </c:dLbl>
            <c:dLbl>
              <c:idx val="7"/>
              <c:layout>
                <c:manualLayout>
                  <c:x val="-9.0245824286337525E-2"/>
                  <c:y val="-0.16248127056667322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 b="1">
                        <a:solidFill>
                          <a:schemeClr val="accent2">
                            <a:lumMod val="50000"/>
                          </a:schemeClr>
                        </a:solidFill>
                      </a:defRPr>
                    </a:pPr>
                    <a:fld id="{A45E2BAD-7E1E-465C-9747-8A6B6B1FCA01}" type="CELLRANGE">
                      <a:rPr lang="en-US" b="1">
                        <a:solidFill>
                          <a:schemeClr val="accent2">
                            <a:lumMod val="50000"/>
                          </a:schemeClr>
                        </a:solidFill>
                      </a:rPr>
                      <a:pPr>
                        <a:defRPr b="1">
                          <a:solidFill>
                            <a:schemeClr val="accent2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endParaRPr lang="en-US" b="1" baseline="0">
                      <a:solidFill>
                        <a:schemeClr val="accent2">
                          <a:lumMod val="50000"/>
                        </a:schemeClr>
                      </a:solidFill>
                    </a:endParaRPr>
                  </a:p>
                  <a:p>
                    <a:pPr>
                      <a:defRPr b="1">
                        <a:solidFill>
                          <a:schemeClr val="accent2">
                            <a:lumMod val="50000"/>
                          </a:schemeClr>
                        </a:solidFill>
                      </a:defRPr>
                    </a:pPr>
                    <a:fld id="{CBB5F7CA-71A5-4724-B6AD-B4C2A549E32C}" type="XVALUE">
                      <a:rPr lang="en-US" b="1">
                        <a:solidFill>
                          <a:schemeClr val="accent2">
                            <a:lumMod val="50000"/>
                          </a:schemeClr>
                        </a:solidFill>
                      </a:rPr>
                      <a:pPr>
                        <a:defRPr b="1">
                          <a:solidFill>
                            <a:schemeClr val="accent2">
                              <a:lumMod val="50000"/>
                            </a:schemeClr>
                          </a:solidFill>
                        </a:defRPr>
                      </a:pPr>
                      <a:t>[X VALUE]</a:t>
                    </a:fld>
                    <a:endParaRPr lang="en-US" b="1" baseline="0">
                      <a:solidFill>
                        <a:schemeClr val="accent2">
                          <a:lumMod val="50000"/>
                        </a:schemeClr>
                      </a:solidFill>
                    </a:endParaRPr>
                  </a:p>
                  <a:p>
                    <a:pPr>
                      <a:defRPr b="1">
                        <a:solidFill>
                          <a:schemeClr val="accent2">
                            <a:lumMod val="50000"/>
                          </a:schemeClr>
                        </a:solidFill>
                      </a:defRPr>
                    </a:pPr>
                    <a:fld id="{2E79DE58-6B0A-4691-946B-E10AA90E0EBA}" type="YVALUE">
                      <a:rPr lang="en-US" b="1">
                        <a:solidFill>
                          <a:schemeClr val="accent2">
                            <a:lumMod val="50000"/>
                          </a:schemeClr>
                        </a:solidFill>
                      </a:rPr>
                      <a:pPr>
                        <a:defRPr b="1">
                          <a:solidFill>
                            <a:schemeClr val="accent2">
                              <a:lumMod val="50000"/>
                            </a:schemeClr>
                          </a:solidFill>
                        </a:defRPr>
                      </a:pPr>
                      <a:t>[Y VALUE]</a:t>
                    </a:fld>
                    <a:endParaRPr lang="en-US" b="1" baseline="0">
                      <a:solidFill>
                        <a:schemeClr val="accent2">
                          <a:lumMod val="50000"/>
                        </a:schemeClr>
                      </a:solidFill>
                    </a:endParaRPr>
                  </a:p>
                  <a:p>
                    <a:pPr>
                      <a:defRPr b="1">
                        <a:solidFill>
                          <a:schemeClr val="accent2">
                            <a:lumMod val="50000"/>
                          </a:schemeClr>
                        </a:solidFill>
                      </a:defRPr>
                    </a:pPr>
                    <a:fld id="{B64768AC-7095-48A9-A00A-BD370BBD2EF3}" type="BUBBLESIZE">
                      <a:rPr lang="en-US" b="1">
                        <a:solidFill>
                          <a:schemeClr val="accent2">
                            <a:lumMod val="50000"/>
                          </a:schemeClr>
                        </a:solidFill>
                      </a:rPr>
                      <a:pPr>
                        <a:defRPr b="1">
                          <a:solidFill>
                            <a:schemeClr val="accent2">
                              <a:lumMod val="50000"/>
                            </a:schemeClr>
                          </a:solidFill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9.7584776596074285E-2"/>
                      <c:h val="0.1680122708866483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BEF8-45B0-BA65-F592FC8F0753}"/>
                </c:ext>
              </c:extLst>
            </c:dLbl>
            <c:dLbl>
              <c:idx val="8"/>
              <c:layout>
                <c:manualLayout>
                  <c:x val="-0.11649732289332329"/>
                  <c:y val="-5.4724012371891359E-17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 b="1">
                        <a:solidFill>
                          <a:schemeClr val="bg1"/>
                        </a:solidFill>
                      </a:defRPr>
                    </a:pPr>
                    <a:fld id="{DED3BC92-0987-4E1D-9765-BA67A23261C1}" type="CELLRANGE">
                      <a:rPr lang="en-US">
                        <a:solidFill>
                          <a:schemeClr val="bg1"/>
                        </a:solidFill>
                      </a:rPr>
                      <a:pPr>
                        <a:defRPr b="1">
                          <a:solidFill>
                            <a:schemeClr val="bg1"/>
                          </a:solidFill>
                        </a:defRPr>
                      </a:pPr>
                      <a:t>[CELLRANGE]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  <a:p>
                    <a:pPr>
                      <a:defRPr b="1">
                        <a:solidFill>
                          <a:schemeClr val="bg1"/>
                        </a:solidFill>
                      </a:defRPr>
                    </a:pPr>
                    <a:fld id="{5AF4D8C0-4314-496C-81E9-19A3E0E251EB}" type="XVALUE">
                      <a:rPr lang="en-US">
                        <a:solidFill>
                          <a:schemeClr val="bg1"/>
                        </a:solidFill>
                      </a:rPr>
                      <a:pPr>
                        <a:defRPr b="1">
                          <a:solidFill>
                            <a:schemeClr val="bg1"/>
                          </a:solidFill>
                        </a:defRPr>
                      </a:pPr>
                      <a:t>[X VALUE]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  <a:p>
                    <a:pPr>
                      <a:defRPr b="1">
                        <a:solidFill>
                          <a:schemeClr val="bg1"/>
                        </a:solidFill>
                      </a:defRPr>
                    </a:pPr>
                    <a:fld id="{278EECAF-7778-4845-8CAD-7D18ABBA9D1B}" type="YVALUE">
                      <a:rPr lang="en-US">
                        <a:solidFill>
                          <a:schemeClr val="bg1"/>
                        </a:solidFill>
                      </a:rPr>
                      <a:pPr>
                        <a:defRPr b="1">
                          <a:solidFill>
                            <a:schemeClr val="bg1"/>
                          </a:solidFill>
                        </a:defRPr>
                      </a:pPr>
                      <a:t>[Y VALUE]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  <a:p>
                    <a:pPr>
                      <a:defRPr b="1">
                        <a:solidFill>
                          <a:schemeClr val="bg1"/>
                        </a:solidFill>
                      </a:defRPr>
                    </a:pPr>
                    <a:fld id="{1936071A-6A3E-45ED-BDB8-89050BE0F7F0}" type="BUBBLESIZE">
                      <a:rPr lang="en-US">
                        <a:solidFill>
                          <a:schemeClr val="bg1"/>
                        </a:solidFill>
                      </a:rPr>
                      <a:pPr>
                        <a:defRPr b="1">
                          <a:solidFill>
                            <a:schemeClr val="bg1"/>
                          </a:solidFill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BEF8-45B0-BA65-F592FC8F0753}"/>
                </c:ext>
              </c:extLst>
            </c:dLbl>
            <c:dLbl>
              <c:idx val="9"/>
              <c:layout>
                <c:manualLayout>
                  <c:x val="-0.17010333881247033"/>
                  <c:y val="-9.5682501145485654E-2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ctr">
                      <a:defRPr b="1">
                        <a:solidFill>
                          <a:srgbClr val="00B0F0"/>
                        </a:solidFill>
                      </a:defRPr>
                    </a:pPr>
                    <a:fld id="{59B1A20C-7075-4ABF-8EC9-E1C741806043}" type="CELLRANGE">
                      <a:rPr lang="en-US" baseline="0">
                        <a:solidFill>
                          <a:srgbClr val="00B0F0"/>
                        </a:solidFill>
                      </a:rPr>
                      <a:pPr algn="ctr">
                        <a:defRPr b="1">
                          <a:solidFill>
                            <a:srgbClr val="00B0F0"/>
                          </a:solidFill>
                        </a:defRPr>
                      </a:pPr>
                      <a:t>[CELLRANGE]</a:t>
                    </a:fld>
                    <a:endParaRPr lang="en-US" baseline="0">
                      <a:solidFill>
                        <a:srgbClr val="00B0F0"/>
                      </a:solidFill>
                    </a:endParaRPr>
                  </a:p>
                  <a:p>
                    <a:pPr algn="ctr">
                      <a:defRPr b="1">
                        <a:solidFill>
                          <a:srgbClr val="00B0F0"/>
                        </a:solidFill>
                      </a:defRPr>
                    </a:pPr>
                    <a:fld id="{C39D6F54-7E7F-42FD-980A-E4F1BCD38717}" type="XVALUE">
                      <a:rPr lang="en-US" baseline="0">
                        <a:solidFill>
                          <a:srgbClr val="00B0F0"/>
                        </a:solidFill>
                      </a:rPr>
                      <a:pPr algn="ctr">
                        <a:defRPr b="1">
                          <a:solidFill>
                            <a:srgbClr val="00B0F0"/>
                          </a:solidFill>
                        </a:defRPr>
                      </a:pPr>
                      <a:t>[X VALUE]</a:t>
                    </a:fld>
                    <a:endParaRPr lang="en-US" baseline="0">
                      <a:solidFill>
                        <a:srgbClr val="00B0F0"/>
                      </a:solidFill>
                    </a:endParaRPr>
                  </a:p>
                  <a:p>
                    <a:pPr algn="ctr">
                      <a:defRPr b="1">
                        <a:solidFill>
                          <a:srgbClr val="00B0F0"/>
                        </a:solidFill>
                      </a:defRPr>
                    </a:pPr>
                    <a:fld id="{DB0C5C17-5931-4704-ABA5-A11D5C4E17E5}" type="YVALUE">
                      <a:rPr lang="en-US" baseline="0">
                        <a:solidFill>
                          <a:srgbClr val="00B0F0"/>
                        </a:solidFill>
                      </a:rPr>
                      <a:pPr algn="ctr">
                        <a:defRPr b="1">
                          <a:solidFill>
                            <a:srgbClr val="00B0F0"/>
                          </a:solidFill>
                        </a:defRPr>
                      </a:pPr>
                      <a:t>[Y VALUE]</a:t>
                    </a:fld>
                    <a:endParaRPr lang="en-US" baseline="0">
                      <a:solidFill>
                        <a:srgbClr val="00B0F0"/>
                      </a:solidFill>
                    </a:endParaRPr>
                  </a:p>
                  <a:p>
                    <a:pPr algn="ctr">
                      <a:defRPr b="1">
                        <a:solidFill>
                          <a:srgbClr val="00B0F0"/>
                        </a:solidFill>
                      </a:defRPr>
                    </a:pPr>
                    <a:fld id="{40B3309D-7C79-4CF1-A362-B49AFDB8B2E3}" type="BUBBLESIZE">
                      <a:rPr lang="en-US" baseline="0">
                        <a:solidFill>
                          <a:srgbClr val="00B0F0"/>
                        </a:solidFill>
                      </a:rPr>
                      <a:pPr algn="ctr">
                        <a:defRPr b="1">
                          <a:solidFill>
                            <a:srgbClr val="00B0F0"/>
                          </a:solidFill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135974567649198"/>
                      <c:h val="0.1702292756365626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BEF8-45B0-BA65-F592FC8F0753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BEF8-45B0-BA65-F592FC8F0753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BEF8-45B0-BA65-F592FC8F0753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BEF8-45B0-BA65-F592FC8F07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1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'6.3 Chart_KH'!$G$7:$G$19</c:f>
              <c:numCache>
                <c:formatCode>"LNG: "#,##0\ "ngàn $"</c:formatCode>
                <c:ptCount val="13"/>
                <c:pt idx="0">
                  <c:v>1825</c:v>
                </c:pt>
                <c:pt idx="1">
                  <c:v>105</c:v>
                </c:pt>
                <c:pt idx="2">
                  <c:v>23</c:v>
                </c:pt>
                <c:pt idx="3">
                  <c:v>943</c:v>
                </c:pt>
                <c:pt idx="4">
                  <c:v>169</c:v>
                </c:pt>
                <c:pt idx="5">
                  <c:v>17</c:v>
                </c:pt>
                <c:pt idx="6">
                  <c:v>207</c:v>
                </c:pt>
                <c:pt idx="7">
                  <c:v>594</c:v>
                </c:pt>
                <c:pt idx="8">
                  <c:v>1405</c:v>
                </c:pt>
                <c:pt idx="9">
                  <c:v>22</c:v>
                </c:pt>
              </c:numCache>
            </c:numRef>
          </c:xVal>
          <c:yVal>
            <c:numRef>
              <c:f>'6.3 Chart_KH'!$H$7:$H$19</c:f>
              <c:numCache>
                <c:formatCode>"~ "0.0%</c:formatCode>
                <c:ptCount val="13"/>
                <c:pt idx="0">
                  <c:v>0.12289562289562289</c:v>
                </c:pt>
                <c:pt idx="1">
                  <c:v>0.17647058823529413</c:v>
                </c:pt>
                <c:pt idx="2">
                  <c:v>5.0328227571115977E-2</c:v>
                </c:pt>
                <c:pt idx="3">
                  <c:v>0.20607517482517482</c:v>
                </c:pt>
                <c:pt idx="4">
                  <c:v>0.15184186882300091</c:v>
                </c:pt>
                <c:pt idx="5">
                  <c:v>6.8273092369477914E-2</c:v>
                </c:pt>
                <c:pt idx="6">
                  <c:v>0.21584984358706985</c:v>
                </c:pt>
                <c:pt idx="7">
                  <c:v>0.17710196779964221</c:v>
                </c:pt>
                <c:pt idx="8">
                  <c:v>0.18287127424183261</c:v>
                </c:pt>
                <c:pt idx="9">
                  <c:v>0.17460317460317459</c:v>
                </c:pt>
              </c:numCache>
            </c:numRef>
          </c:yVal>
          <c:bubbleSize>
            <c:numRef>
              <c:f>'6.3 Chart_KH'!$E$7:$E$19</c:f>
              <c:numCache>
                <c:formatCode>#,##0\ "tấn"</c:formatCode>
                <c:ptCount val="13"/>
                <c:pt idx="0">
                  <c:v>12122</c:v>
                </c:pt>
                <c:pt idx="1">
                  <c:v>425.15</c:v>
                </c:pt>
                <c:pt idx="2">
                  <c:v>440</c:v>
                </c:pt>
                <c:pt idx="3">
                  <c:v>3260.0329999999999</c:v>
                </c:pt>
                <c:pt idx="4">
                  <c:v>889.9</c:v>
                </c:pt>
                <c:pt idx="5">
                  <c:v>220</c:v>
                </c:pt>
                <c:pt idx="6">
                  <c:v>688.6</c:v>
                </c:pt>
                <c:pt idx="7">
                  <c:v>2643.2</c:v>
                </c:pt>
                <c:pt idx="8">
                  <c:v>6160</c:v>
                </c:pt>
                <c:pt idx="9">
                  <c:v>100.1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'6.3 Chart_KH'!$C$7:$C$16</c15:f>
                <c15:dlblRangeCache>
                  <c:ptCount val="10"/>
                  <c:pt idx="0">
                    <c:v>8. Niagara</c:v>
                  </c:pt>
                  <c:pt idx="1">
                    <c:v>5. La vie</c:v>
                  </c:pt>
                  <c:pt idx="2">
                    <c:v>10. Premium Water</c:v>
                  </c:pt>
                  <c:pt idx="3">
                    <c:v>2. Suntory</c:v>
                  </c:pt>
                  <c:pt idx="4">
                    <c:v>7. Plascene</c:v>
                  </c:pt>
                  <c:pt idx="5">
                    <c:v>9. Milkyway</c:v>
                  </c:pt>
                  <c:pt idx="6">
                    <c:v>1. Coca_Cola</c:v>
                  </c:pt>
                  <c:pt idx="7">
                    <c:v>4. Unilever</c:v>
                  </c:pt>
                  <c:pt idx="8">
                    <c:v>3. Outeirinho</c:v>
                  </c:pt>
                  <c:pt idx="9">
                    <c:v>6. CPSX Nhựa Duy Tân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1-BEF8-45B0-BA65-F592FC8F0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250"/>
        <c:showNegBubbles val="0"/>
        <c:axId val="1628401551"/>
        <c:axId val="1628398671"/>
      </c:bubbleChart>
      <c:valAx>
        <c:axId val="1628401551"/>
        <c:scaling>
          <c:orientation val="minMax"/>
          <c:max val="2000"/>
          <c:min val="-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00FF"/>
                    </a:solidFill>
                  </a:rPr>
                  <a:t>Lợi</a:t>
                </a:r>
                <a:r>
                  <a:rPr lang="en-US" b="1" baseline="0">
                    <a:solidFill>
                      <a:srgbClr val="0000FF"/>
                    </a:solidFill>
                  </a:rPr>
                  <a:t> nhuận gộp (ngàn USD)</a:t>
                </a:r>
                <a:endParaRPr lang="en-US" b="1">
                  <a:solidFill>
                    <a:srgbClr val="0000FF"/>
                  </a:solidFill>
                </a:endParaRPr>
              </a:p>
            </c:rich>
          </c:tx>
          <c:layout>
            <c:manualLayout>
              <c:xMode val="edge"/>
              <c:yMode val="edge"/>
              <c:x val="0.47943456959968611"/>
              <c:y val="0.87732249387398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98671"/>
        <c:crosses val="autoZero"/>
        <c:crossBetween val="midCat"/>
      </c:valAx>
      <c:valAx>
        <c:axId val="1628398671"/>
        <c:scaling>
          <c:orientation val="minMax"/>
          <c:max val="0.4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00FF"/>
                    </a:solidFill>
                  </a:rPr>
                  <a:t>% Lợi </a:t>
                </a:r>
                <a:r>
                  <a:rPr lang="en-US" b="1" baseline="0">
                    <a:solidFill>
                      <a:srgbClr val="0000FF"/>
                    </a:solidFill>
                  </a:rPr>
                  <a:t>nhuận gộp</a:t>
                </a:r>
                <a:endParaRPr lang="en-US" b="1">
                  <a:solidFill>
                    <a:srgbClr val="0000FF"/>
                  </a:solidFill>
                </a:endParaRPr>
              </a:p>
            </c:rich>
          </c:tx>
          <c:layout>
            <c:manualLayout>
              <c:xMode val="edge"/>
              <c:yMode val="edge"/>
              <c:x val="5.8241649200696339E-3"/>
              <c:y val="0.7501884546953008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401551"/>
        <c:crosses val="autoZero"/>
        <c:crossBetween val="midCat"/>
        <c:majorUnit val="0.1"/>
      </c:valAx>
    </c:plotArea>
    <c:plotVisOnly val="0"/>
    <c:dispBlanksAs val="gap"/>
    <c:showDLblsOverMax val="0"/>
    <c:extLst/>
  </c:chart>
  <c:spPr>
    <a:ln>
      <a:solidFill>
        <a:srgbClr val="00B050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r>
              <a:rPr lang="vi-VN"/>
              <a:t>LŨY KẾ SẢN LƯỢNG _ LỢI NHUẬN GỘP </a:t>
            </a:r>
            <a:r>
              <a:rPr lang="en-US" sz="1600">
                <a:solidFill>
                  <a:srgbClr val="FF0000"/>
                </a:solidFill>
              </a:rPr>
              <a:t>rHDPE</a:t>
            </a:r>
            <a:r>
              <a:rPr lang="en-US"/>
              <a:t> </a:t>
            </a:r>
            <a:r>
              <a:rPr lang="vi-VN"/>
              <a:t>THEO </a:t>
            </a:r>
            <a:r>
              <a:rPr lang="vi-VN">
                <a:solidFill>
                  <a:srgbClr val="FF0000"/>
                </a:solidFill>
              </a:rPr>
              <a:t>KHÁCH HÀNG 2025</a:t>
            </a:r>
          </a:p>
        </c:rich>
      </c:tx>
      <c:layout>
        <c:manualLayout>
          <c:xMode val="edge"/>
          <c:yMode val="edge"/>
          <c:x val="0.12124215117643297"/>
          <c:y val="2.014685777643816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4613067612367665E-2"/>
          <c:y val="0.1250858177641537"/>
          <c:w val="0.91237648560049911"/>
          <c:h val="0.80251157762845948"/>
        </c:manualLayout>
      </c:layout>
      <c:bubbleChart>
        <c:varyColors val="1"/>
        <c:ser>
          <c:idx val="0"/>
          <c:order val="0"/>
          <c:tx>
            <c:strRef>
              <c:f>'6.3 Chart_KH'!$D$50</c:f>
              <c:strCache>
                <c:ptCount val="1"/>
                <c:pt idx="0">
                  <c:v>Khách hàng</c:v>
                </c:pt>
              </c:strCache>
            </c:strRef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1-18A0-4AAF-B4AD-5FA3802009D2}"/>
              </c:ext>
            </c:extLst>
          </c:dPt>
          <c:dPt>
            <c:idx val="2"/>
            <c:invertIfNegative val="0"/>
            <c:bubble3D val="0"/>
            <c:spPr>
              <a:solidFill>
                <a:srgbClr val="30C230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18A0-4AAF-B4AD-5FA3802009D2}"/>
              </c:ext>
            </c:extLst>
          </c:dPt>
          <c:dPt>
            <c:idx val="3"/>
            <c:invertIfNegative val="0"/>
            <c:bubble3D val="0"/>
            <c:spPr>
              <a:solidFill>
                <a:srgbClr val="7030A0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7-18A0-4AAF-B4AD-5FA3802009D2}"/>
              </c:ext>
            </c:extLst>
          </c:dPt>
          <c:dPt>
            <c:idx val="5"/>
            <c:invertIfNegative val="0"/>
            <c:bubble3D val="0"/>
            <c:spPr>
              <a:solidFill>
                <a:srgbClr val="EE0000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B-18A0-4AAF-B4AD-5FA3802009D2}"/>
              </c:ext>
            </c:extLst>
          </c:dPt>
          <c:dPt>
            <c:idx val="6"/>
            <c:invertIfNegative val="0"/>
            <c:bubble3D val="0"/>
            <c:spPr>
              <a:solidFill>
                <a:srgbClr val="0000FF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D-18A0-4AAF-B4AD-5FA3802009D2}"/>
              </c:ext>
            </c:extLst>
          </c:dPt>
          <c:dPt>
            <c:idx val="7"/>
            <c:invertIfNegative val="0"/>
            <c:bubble3D val="0"/>
            <c:spPr>
              <a:solidFill>
                <a:srgbClr val="FFC000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F-18A0-4AAF-B4AD-5FA3802009D2}"/>
              </c:ext>
            </c:extLst>
          </c:dPt>
          <c:dLbls>
            <c:dLbl>
              <c:idx val="0"/>
              <c:layout>
                <c:manualLayout>
                  <c:x val="-6.6203079387192859E-2"/>
                  <c:y val="-1.9946327629850973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 lang="en-US" sz="10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DA90987-54A6-4F1C-BD2F-53BC99FFD877}" type="CELLRANGE">
                      <a:rPr lang="en-US" sz="10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rPr>
                      <a:pPr>
                        <a:defRPr lang="en-US" sz="10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sz="10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endParaRPr>
                  </a:p>
                  <a:p>
                    <a:pPr>
                      <a:defRPr lang="en-US" sz="10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2238C7A-A9FE-4979-A7C4-89EC1F0E28DE}" type="XVALUE">
                      <a:rPr lang="en-US" sz="10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rPr>
                      <a:pPr>
                        <a:defRPr lang="en-US" sz="10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endParaRPr lang="en-US" sz="10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endParaRPr>
                  </a:p>
                  <a:p>
                    <a:pPr>
                      <a:defRPr lang="en-US" sz="10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796F35F-25C0-413E-AF13-9E58FB3D9640}" type="YVALUE">
                      <a:rPr lang="en-US" sz="10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rPr>
                      <a:pPr>
                        <a:defRPr lang="en-US" sz="10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endParaRPr lang="en-US" sz="10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endParaRPr>
                  </a:p>
                  <a:p>
                    <a:pPr>
                      <a:defRPr lang="en-US" sz="10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0438FCC-F678-4317-9ED5-C9BA4C0E776D}" type="BUBBLESIZE">
                      <a:rPr lang="en-US" sz="10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rPr>
                      <a:pPr>
                        <a:defRPr lang="en-US" sz="10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8A0-4AAF-B4AD-5FA3802009D2}"/>
                </c:ext>
              </c:extLst>
            </c:dLbl>
            <c:dLbl>
              <c:idx val="1"/>
              <c:layout>
                <c:manualLayout>
                  <c:x val="-0.15344089032286889"/>
                  <c:y val="-3.6920956498072866E-2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 lang="en-US" sz="1000" b="1" i="0" u="none" strike="noStrike" kern="1200" baseline="0">
                        <a:solidFill>
                          <a:srgbClr val="D46112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5CA351D-F53A-490B-9E76-EA900BE71BC1}" type="CELLRANGE">
                      <a:rPr lang="en-US" baseline="0"/>
                      <a:pPr>
                        <a:defRPr lang="en-US" sz="1000" b="1" i="0" u="none" strike="noStrike" kern="1200" baseline="0">
                          <a:solidFill>
                            <a:srgbClr val="D4611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0C2D3749-E021-4076-B870-4F1B90E2936B}" type="XVALUE">
                      <a:rPr lang="en-US" baseline="0"/>
                      <a:pPr>
                        <a:defRPr lang="en-US" sz="1000" b="1" i="0" u="none" strike="noStrike" kern="1200" baseline="0">
                          <a:solidFill>
                            <a:srgbClr val="D4611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r>
                      <a:rPr lang="en-US" baseline="0"/>
                      <a:t> </a:t>
                    </a:r>
                    <a:fld id="{9619621D-A3AC-428B-B796-2B864EDF71EC}" type="YVALUE">
                      <a:rPr lang="en-US" baseline="0"/>
                      <a:pPr>
                        <a:defRPr lang="en-US" sz="1000" b="1" i="0" u="none" strike="noStrike" kern="1200" baseline="0">
                          <a:solidFill>
                            <a:srgbClr val="D4611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r>
                      <a:rPr lang="en-US" baseline="0"/>
                      <a:t> </a:t>
                    </a:r>
                    <a:fld id="{A597E039-39D4-4A43-9B74-E817A6654711}" type="BUBBLESIZE">
                      <a:rPr lang="en-US" baseline="0"/>
                      <a:pPr>
                        <a:defRPr lang="en-US" sz="1000" b="1" i="0" u="none" strike="noStrike" kern="1200" baseline="0">
                          <a:solidFill>
                            <a:srgbClr val="D4611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2758121322071028"/>
                      <c:h val="0.1651730525630328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18A0-4AAF-B4AD-5FA3802009D2}"/>
                </c:ext>
              </c:extLst>
            </c:dLbl>
            <c:dLbl>
              <c:idx val="2"/>
              <c:layout>
                <c:manualLayout>
                  <c:x val="-4.5446321842420007E-2"/>
                  <c:y val="-8.7490473776381861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 lang="en-US"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53229C5-BB30-460D-85CB-7B7F7DA4EC74}" type="CELLRANGE">
                      <a:rPr lang="en-US"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rPr>
                      <a:pPr>
                        <a:defRPr lang="en-US" sz="1000" b="1" i="0" u="none" strike="noStrike" kern="1200" baseline="0">
                          <a:solidFill>
                            <a:srgbClr val="00B05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endParaRPr>
                  </a:p>
                  <a:p>
                    <a:pPr>
                      <a:defRPr lang="en-US"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25A3220-E6AA-4703-BAE5-FCA5CFB9A400}" type="XVALUE">
                      <a:rPr lang="en-US"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rPr>
                      <a:pPr>
                        <a:defRPr lang="en-US" sz="1000" b="1" i="0" u="none" strike="noStrike" kern="1200" baseline="0">
                          <a:solidFill>
                            <a:srgbClr val="00B05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endParaRPr lang="en-US"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endParaRPr>
                  </a:p>
                  <a:p>
                    <a:pPr>
                      <a:defRPr lang="en-US"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3E7FA40-A5AE-475B-A275-2AB9510289DF}" type="YVALUE">
                      <a:rPr lang="en-US"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rPr>
                      <a:pPr>
                        <a:defRPr lang="en-US" sz="1000" b="1" i="0" u="none" strike="noStrike" kern="1200" baseline="0">
                          <a:solidFill>
                            <a:srgbClr val="00B05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endParaRPr lang="en-US"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endParaRPr>
                  </a:p>
                  <a:p>
                    <a:pPr>
                      <a:defRPr lang="en-US"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2E3DE2E-F9D2-4377-B9B0-0ED425301B06}" type="BUBBLESIZE">
                      <a:rPr lang="en-US"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rPr>
                      <a:pPr>
                        <a:defRPr lang="en-US" sz="1000" b="1" i="0" u="none" strike="noStrike" kern="1200" baseline="0">
                          <a:solidFill>
                            <a:srgbClr val="00B05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18A0-4AAF-B4AD-5FA3802009D2}"/>
                </c:ext>
              </c:extLst>
            </c:dLbl>
            <c:dLbl>
              <c:idx val="3"/>
              <c:layout>
                <c:manualLayout>
                  <c:x val="-0.15317182615109287"/>
                  <c:y val="-0.1851979833799039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 lang="en-US" sz="1000" b="1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09B164C-C704-41D4-A5C1-0B616932A875}" type="CELLRANGE">
                      <a:rPr lang="en-US" sz="1000" b="1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rPr>
                      <a:pPr>
                        <a:defRPr lang="en-US" sz="1000" b="1" i="0" u="none" strike="noStrike" kern="1200" baseline="0">
                          <a:solidFill>
                            <a:srgbClr val="7030A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r>
                      <a:rPr lang="en-US" sz="1000" b="1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rPr>
                      <a:t> </a:t>
                    </a:r>
                    <a:fld id="{6BC7AB35-83B3-417D-9047-0F6D3E85DF5A}" type="XVALUE">
                      <a:rPr lang="en-US" sz="1000" b="1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rPr>
                      <a:pPr>
                        <a:defRPr lang="en-US" sz="1000" b="1" i="0" u="none" strike="noStrike" kern="1200" baseline="0">
                          <a:solidFill>
                            <a:srgbClr val="7030A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r>
                      <a:rPr lang="en-US" sz="1000" b="1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rPr>
                      <a:t> </a:t>
                    </a:r>
                    <a:fld id="{EC9FBFED-9C91-44F3-AFAC-8AAFE5650B9A}" type="YVALUE">
                      <a:rPr lang="en-US" sz="1000" b="1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rPr>
                      <a:pPr>
                        <a:defRPr lang="en-US" sz="1000" b="1" i="0" u="none" strike="noStrike" kern="1200" baseline="0">
                          <a:solidFill>
                            <a:srgbClr val="7030A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r>
                      <a:rPr lang="en-US" sz="1000" b="1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rPr>
                      <a:t> </a:t>
                    </a:r>
                    <a:fld id="{CD867B02-70D0-4046-9DD0-5D557F2A53A0}" type="BUBBLESIZE">
                      <a:rPr lang="en-US" sz="1000" b="1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rPr>
                      <a:pPr>
                        <a:defRPr lang="en-US" sz="1000" b="1" i="0" u="none" strike="noStrike" kern="1200" baseline="0">
                          <a:solidFill>
                            <a:srgbClr val="7030A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 sz="1000" b="1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0686660481598421"/>
                      <c:h val="0.1154614447786479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18A0-4AAF-B4AD-5FA3802009D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18A0-4AAF-B4AD-5FA3802009D2}"/>
                </c:ext>
              </c:extLst>
            </c:dLbl>
            <c:dLbl>
              <c:idx val="5"/>
              <c:layout>
                <c:manualLayout>
                  <c:x val="8.3720685808632497E-3"/>
                  <c:y val="-4.091495080411814E-3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lang="en-US" sz="1000" b="1" i="0" u="none" strike="noStrike" kern="1200" baseline="0">
                        <a:solidFill>
                          <a:srgbClr val="EE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01039A3-D15A-46F2-9D40-0D421BC36529}" type="CELLRANGE">
                      <a:rPr lang="en-US" baseline="0"/>
                      <a:pPr algn="l">
                        <a:defRPr lang="en-US" sz="1000" b="1" i="0" u="none" strike="noStrike" kern="1200" baseline="0">
                          <a:solidFill>
                            <a:srgbClr val="EE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E745F481-F9FE-4ABA-BFCD-B67E6BE1C93A}" type="XVALUE">
                      <a:rPr lang="en-US" baseline="0"/>
                      <a:pPr algn="l">
                        <a:defRPr lang="en-US" sz="1000" b="1" i="0" u="none" strike="noStrike" kern="1200" baseline="0">
                          <a:solidFill>
                            <a:srgbClr val="EE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r>
                      <a:rPr lang="en-US" baseline="0"/>
                      <a:t> </a:t>
                    </a:r>
                    <a:fld id="{F26D505F-F0C0-4906-B0B1-D328A9E47E7F}" type="YVALUE">
                      <a:rPr lang="en-US" baseline="0"/>
                      <a:pPr algn="l">
                        <a:defRPr lang="en-US" sz="1000" b="1" i="0" u="none" strike="noStrike" kern="1200" baseline="0">
                          <a:solidFill>
                            <a:srgbClr val="EE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r>
                      <a:rPr lang="en-US" baseline="0"/>
                      <a:t> </a:t>
                    </a:r>
                    <a:fld id="{B4361959-4562-4236-BE8F-544517847D06}" type="BUBBLESIZE">
                      <a:rPr lang="en-US" baseline="0"/>
                      <a:pPr algn="l">
                        <a:defRPr lang="en-US" sz="1000" b="1" i="0" u="none" strike="noStrike" kern="1200" baseline="0">
                          <a:solidFill>
                            <a:srgbClr val="EE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41232842890715732"/>
                      <c:h val="6.5927547417766061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18A0-4AAF-B4AD-5FA3802009D2}"/>
                </c:ext>
              </c:extLst>
            </c:dLbl>
            <c:dLbl>
              <c:idx val="6"/>
              <c:layout>
                <c:manualLayout>
                  <c:x val="1.7939154803978485E-3"/>
                  <c:y val="5.8927168690267309E-3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ctr">
                      <a:defRPr lang="en-US" sz="1000" b="1" i="0" u="none" strike="noStrike" kern="1200" baseline="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F407C7D-B1CA-48D0-85EA-04FDDB2071DF}" type="CELLRANGE">
                      <a:rPr lang="en-US" sz="1000" b="1" i="0" u="none" strike="noStrike" kern="1200" baseline="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rPr>
                      <a:pPr algn="ctr">
                        <a:defRPr lang="en-US" sz="1000" b="1" i="0" u="none" strike="noStrike" kern="1200" baseline="0">
                          <a:solidFill>
                            <a:srgbClr val="00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r>
                      <a:rPr lang="en-US" sz="1000" b="1" i="0" u="none" strike="noStrike" kern="1200" baseline="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rPr>
                      <a:t> </a:t>
                    </a:r>
                    <a:fld id="{29A73362-D5FC-4C46-9ABE-2C3DA53751C2}" type="XVALUE">
                      <a:rPr lang="en-US" sz="1000" b="1" i="0" u="none" strike="noStrike" kern="1200" baseline="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rPr>
                      <a:pPr algn="ctr">
                        <a:defRPr lang="en-US" sz="1000" b="1" i="0" u="none" strike="noStrike" kern="1200" baseline="0">
                          <a:solidFill>
                            <a:srgbClr val="00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r>
                      <a:rPr lang="en-US" sz="1000" b="1" i="0" u="none" strike="noStrike" kern="1200" baseline="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rPr>
                      <a:t> </a:t>
                    </a:r>
                    <a:fld id="{39477416-96A6-4250-B2DD-AF1054026DB0}" type="YVALUE">
                      <a:rPr lang="en-US" sz="1000" b="1" i="0" u="none" strike="noStrike" kern="1200" baseline="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rPr>
                      <a:pPr algn="ctr">
                        <a:defRPr lang="en-US" sz="1000" b="1" i="0" u="none" strike="noStrike" kern="1200" baseline="0">
                          <a:solidFill>
                            <a:srgbClr val="00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r>
                      <a:rPr lang="en-US" sz="1000" b="1" i="0" u="none" strike="noStrike" kern="1200" baseline="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rPr>
                      <a:t> </a:t>
                    </a:r>
                    <a:fld id="{D38280F6-B5E5-4B3F-9CA9-14A709569DA5}" type="BUBBLESIZE">
                      <a:rPr lang="en-US" sz="1000" b="1" i="0" u="none" strike="noStrike" kern="1200" baseline="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rPr>
                      <a:pPr algn="ctr">
                        <a:defRPr lang="en-US" sz="1000" b="1" i="0" u="none" strike="noStrike" kern="1200" baseline="0">
                          <a:solidFill>
                            <a:srgbClr val="00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 sz="1000" b="1" i="0" u="none" strike="noStrike" kern="1200" baseline="0">
                      <a:solidFill>
                        <a:srgbClr val="0000FF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5894873635912944"/>
                      <c:h val="7.9188316002441722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18A0-4AAF-B4AD-5FA3802009D2}"/>
                </c:ext>
              </c:extLst>
            </c:dLbl>
            <c:dLbl>
              <c:idx val="7"/>
              <c:layout>
                <c:manualLayout>
                  <c:x val="5.9888047543274264E-3"/>
                  <c:y val="-2.6046967073701181E-2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lang="en-US" sz="1000" b="1" i="0" u="none" strike="noStrike" kern="1200" baseline="0">
                        <a:solidFill>
                          <a:schemeClr val="accent4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97A0222-206A-4C73-9D9E-B85532A076B2}" type="CELLRANGE">
                      <a:rPr lang="en-US" baseline="0"/>
                      <a:pPr algn="l">
                        <a:defRPr lang="en-US" sz="1000" b="1" i="0" u="none" strike="noStrike" kern="1200" baseline="0">
                          <a:solidFill>
                            <a:schemeClr val="accent4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92597943-7100-4AB6-8520-679CD1484122}" type="XVALUE">
                      <a:rPr lang="en-US" baseline="0"/>
                      <a:pPr algn="l">
                        <a:defRPr lang="en-US" sz="1000" b="1" i="0" u="none" strike="noStrike" kern="1200" baseline="0">
                          <a:solidFill>
                            <a:schemeClr val="accent4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r>
                      <a:rPr lang="en-US" baseline="0"/>
                      <a:t> </a:t>
                    </a:r>
                    <a:fld id="{EDF381FB-E77C-4BBD-A194-3527017451B2}" type="YVALUE">
                      <a:rPr lang="en-US" baseline="0"/>
                      <a:pPr algn="l">
                        <a:defRPr lang="en-US" sz="1000" b="1" i="0" u="none" strike="noStrike" kern="1200" baseline="0">
                          <a:solidFill>
                            <a:schemeClr val="accent4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r>
                      <a:rPr lang="en-US" baseline="0"/>
                      <a:t> </a:t>
                    </a:r>
                    <a:fld id="{FEF7C638-6727-4FAA-AF8B-E760AF1095F8}" type="BUBBLESIZE">
                      <a:rPr lang="en-US" baseline="0"/>
                      <a:pPr algn="l">
                        <a:defRPr lang="en-US" sz="1000" b="1" i="0" u="none" strike="noStrike" kern="1200" baseline="0">
                          <a:solidFill>
                            <a:schemeClr val="accent4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49272357646880149"/>
                      <c:h val="8.3474591541398788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18A0-4AAF-B4AD-5FA3802009D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26F-42DC-9662-3A7E6B86A5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rgbClr val="D4611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'6.3 Chart_KH'!$G$51:$G$59</c:f>
              <c:numCache>
                <c:formatCode>"LNG: "#,##0\ "ngàn $"</c:formatCode>
                <c:ptCount val="9"/>
                <c:pt idx="0">
                  <c:v>343</c:v>
                </c:pt>
                <c:pt idx="1">
                  <c:v>2</c:v>
                </c:pt>
                <c:pt idx="2">
                  <c:v>93</c:v>
                </c:pt>
                <c:pt idx="3">
                  <c:v>-46</c:v>
                </c:pt>
                <c:pt idx="5">
                  <c:v>-2</c:v>
                </c:pt>
                <c:pt idx="6">
                  <c:v>-3</c:v>
                </c:pt>
                <c:pt idx="7">
                  <c:v>-56</c:v>
                </c:pt>
              </c:numCache>
            </c:numRef>
          </c:xVal>
          <c:yVal>
            <c:numRef>
              <c:f>'6.3 Chart_KH'!$H$51:$H$59</c:f>
              <c:numCache>
                <c:formatCode>"~ "0.0%</c:formatCode>
                <c:ptCount val="9"/>
                <c:pt idx="0">
                  <c:v>0.21410736579275905</c:v>
                </c:pt>
                <c:pt idx="1">
                  <c:v>0.25</c:v>
                </c:pt>
                <c:pt idx="2">
                  <c:v>0.21830985915492956</c:v>
                </c:pt>
                <c:pt idx="3">
                  <c:v>-0.13031161473087818</c:v>
                </c:pt>
                <c:pt idx="5">
                  <c:v>-0.4</c:v>
                </c:pt>
                <c:pt idx="6">
                  <c:v>-0.1</c:v>
                </c:pt>
                <c:pt idx="7">
                  <c:v>-0.34567901234567899</c:v>
                </c:pt>
              </c:numCache>
            </c:numRef>
          </c:yVal>
          <c:bubbleSize>
            <c:numRef>
              <c:f>'6.3 Chart_KH'!$E$51:$E$59</c:f>
              <c:numCache>
                <c:formatCode>#,##0\ "tấn"</c:formatCode>
                <c:ptCount val="9"/>
                <c:pt idx="0">
                  <c:v>1182.9749999999999</c:v>
                </c:pt>
                <c:pt idx="1">
                  <c:v>6.375</c:v>
                </c:pt>
                <c:pt idx="2">
                  <c:v>302.45</c:v>
                </c:pt>
                <c:pt idx="3">
                  <c:v>275</c:v>
                </c:pt>
                <c:pt idx="5">
                  <c:v>5.5</c:v>
                </c:pt>
                <c:pt idx="6">
                  <c:v>25</c:v>
                </c:pt>
                <c:pt idx="7">
                  <c:v>207.25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'6.3 Chart_KH'!$C$51:$C$58</c15:f>
                <c15:dlblRangeCache>
                  <c:ptCount val="8"/>
                  <c:pt idx="0">
                    <c:v>3. Unilever_rHDPE thổi</c:v>
                  </c:pt>
                  <c:pt idx="1">
                    <c:v>1. CPSX Nhựa Duy Tân_rHDPE thổi</c:v>
                  </c:pt>
                  <c:pt idx="2">
                    <c:v>2. Dynaplast_rHDPE thổi</c:v>
                  </c:pt>
                  <c:pt idx="3">
                    <c:v>5. Motul_rHDPE thổi</c:v>
                  </c:pt>
                  <c:pt idx="5">
                    <c:v>7. Unilever_rHDPE ép</c:v>
                  </c:pt>
                  <c:pt idx="6">
                    <c:v>4. Outeirinho_rHDPE ép</c:v>
                  </c:pt>
                  <c:pt idx="7">
                    <c:v>6. CPSX Nhựa Duy Tân_rHDPE ép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1-18A0-4AAF-B4AD-5FA380200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250"/>
        <c:showNegBubbles val="0"/>
        <c:axId val="1628401551"/>
        <c:axId val="1628398671"/>
      </c:bubbleChart>
      <c:valAx>
        <c:axId val="1628401551"/>
        <c:scaling>
          <c:orientation val="minMax"/>
          <c:max val="350"/>
          <c:min val="-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00FF"/>
                    </a:solidFill>
                  </a:rPr>
                  <a:t>Lợi</a:t>
                </a:r>
                <a:r>
                  <a:rPr lang="en-US" b="1" baseline="0">
                    <a:solidFill>
                      <a:srgbClr val="0000FF"/>
                    </a:solidFill>
                  </a:rPr>
                  <a:t> nhuận gộp (ngàn USD)</a:t>
                </a:r>
                <a:endParaRPr lang="en-US" b="1">
                  <a:solidFill>
                    <a:srgbClr val="0000FF"/>
                  </a:solidFill>
                </a:endParaRPr>
              </a:p>
            </c:rich>
          </c:tx>
          <c:layout>
            <c:manualLayout>
              <c:xMode val="edge"/>
              <c:yMode val="edge"/>
              <c:x val="0.47943456959968611"/>
              <c:y val="0.87732249387398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98671"/>
        <c:crosses val="autoZero"/>
        <c:crossBetween val="midCat"/>
      </c:valAx>
      <c:valAx>
        <c:axId val="1628398671"/>
        <c:scaling>
          <c:orientation val="minMax"/>
          <c:max val="0.5"/>
          <c:min val="-0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00FF"/>
                    </a:solidFill>
                  </a:rPr>
                  <a:t>% Lợi </a:t>
                </a:r>
                <a:r>
                  <a:rPr lang="en-US" b="1" baseline="0">
                    <a:solidFill>
                      <a:srgbClr val="0000FF"/>
                    </a:solidFill>
                  </a:rPr>
                  <a:t>nhuận gộp</a:t>
                </a:r>
                <a:endParaRPr lang="en-US" b="1">
                  <a:solidFill>
                    <a:srgbClr val="0000FF"/>
                  </a:solidFill>
                </a:endParaRPr>
              </a:p>
            </c:rich>
          </c:tx>
          <c:layout>
            <c:manualLayout>
              <c:xMode val="edge"/>
              <c:yMode val="edge"/>
              <c:x val="4.5815568866711441E-3"/>
              <c:y val="0.3976342465168898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401551"/>
        <c:crosses val="autoZero"/>
        <c:crossBetween val="midCat"/>
        <c:majorUnit val="0.1"/>
      </c:valAx>
    </c:plotArea>
    <c:plotVisOnly val="0"/>
    <c:dispBlanksAs val="gap"/>
    <c:showDLblsOverMax val="0"/>
    <c:extLst/>
  </c:chart>
  <c:spPr>
    <a:ln>
      <a:solidFill>
        <a:srgbClr val="00B050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'07. Chart_QUỐC GIA'!$C$30</c:f>
          <c:strCache>
            <c:ptCount val="1"/>
            <c:pt idx="0">
              <c:v>SẢN LƯỢNG BÁN THEO QUỐC GIA T8/25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C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6896566975728205E-2"/>
          <c:y val="0.14553684857800059"/>
          <c:w val="0.95999999427344229"/>
          <c:h val="0.69677037082835791"/>
        </c:manualLayout>
      </c:layout>
      <c:barChart>
        <c:barDir val="col"/>
        <c:grouping val="clustered"/>
        <c:varyColors val="0"/>
        <c:ser>
          <c:idx val="3"/>
          <c:order val="1"/>
          <c:tx>
            <c:strRef>
              <c:f>'07. Chart_QUỐC GIA'!$F$6</c:f>
              <c:strCache>
                <c:ptCount val="1"/>
                <c:pt idx="0">
                  <c:v> 2,024 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GIA'!$C$7:$C$28</c15:sqref>
                  </c15:fullRef>
                </c:ext>
              </c:extLst>
              <c:f>('07. Chart_QUỐC GIA'!$C$7:$C$14,'07. Chart_QUỐC GIA'!$C$26:$C$27)</c:f>
              <c:strCache>
                <c:ptCount val="10"/>
                <c:pt idx="0">
                  <c:v>VN</c:v>
                </c:pt>
                <c:pt idx="1">
                  <c:v>Mỹ</c:v>
                </c:pt>
                <c:pt idx="2">
                  <c:v>Bồ Đào Nha</c:v>
                </c:pt>
                <c:pt idx="3">
                  <c:v>Hong Kong</c:v>
                </c:pt>
                <c:pt idx="4">
                  <c:v>Luxembourg</c:v>
                </c:pt>
                <c:pt idx="5">
                  <c:v>Hy Lạp</c:v>
                </c:pt>
                <c:pt idx="6">
                  <c:v>Australia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GIA'!$F$7:$F$28</c15:sqref>
                  </c15:fullRef>
                </c:ext>
              </c:extLst>
              <c:f>('07. Chart_QUỐC GIA'!$F$7:$F$14,'07. Chart_QUỐC GIA'!$F$26:$F$27)</c:f>
              <c:numCache>
                <c:formatCode>_(* #,##0_);_(* \(#,##0\);_(* "-"??_);_(@_)</c:formatCode>
                <c:ptCount val="10"/>
                <c:pt idx="0">
                  <c:v>1301.1181999999999</c:v>
                </c:pt>
                <c:pt idx="1">
                  <c:v>1672</c:v>
                </c:pt>
                <c:pt idx="2">
                  <c:v>660</c:v>
                </c:pt>
                <c:pt idx="3">
                  <c:v>887.3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C5-4A09-9132-070F0C2FC7B5}"/>
            </c:ext>
          </c:extLst>
        </c:ser>
        <c:ser>
          <c:idx val="1"/>
          <c:order val="2"/>
          <c:tx>
            <c:strRef>
              <c:f>'07. Chart_QUỐC GIA'!$D$6</c:f>
              <c:strCache>
                <c:ptCount val="1"/>
                <c:pt idx="0">
                  <c:v> 2,025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GIA'!$C$7:$C$28</c15:sqref>
                  </c15:fullRef>
                </c:ext>
              </c:extLst>
              <c:f>('07. Chart_QUỐC GIA'!$C$7:$C$14,'07. Chart_QUỐC GIA'!$C$26:$C$27)</c:f>
              <c:strCache>
                <c:ptCount val="10"/>
                <c:pt idx="0">
                  <c:v>VN</c:v>
                </c:pt>
                <c:pt idx="1">
                  <c:v>Mỹ</c:v>
                </c:pt>
                <c:pt idx="2">
                  <c:v>Bồ Đào Nha</c:v>
                </c:pt>
                <c:pt idx="3">
                  <c:v>Hong Kong</c:v>
                </c:pt>
                <c:pt idx="4">
                  <c:v>Luxembourg</c:v>
                </c:pt>
                <c:pt idx="5">
                  <c:v>Hy Lạp</c:v>
                </c:pt>
                <c:pt idx="6">
                  <c:v>Australia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GIA'!$D$7:$D$28</c15:sqref>
                  </c15:fullRef>
                </c:ext>
              </c:extLst>
              <c:f>('07. Chart_QUỐC GIA'!$D$7:$D$14,'07. Chart_QUỐC GIA'!$D$26:$D$27)</c:f>
              <c:numCache>
                <c:formatCode>_(* #,##0_);_(* \(#,##0\);_(* "-"??_);_(@_)</c:formatCode>
                <c:ptCount val="10"/>
                <c:pt idx="0">
                  <c:v>2203</c:v>
                </c:pt>
                <c:pt idx="1">
                  <c:v>1650</c:v>
                </c:pt>
                <c:pt idx="2">
                  <c:v>880</c:v>
                </c:pt>
                <c:pt idx="3">
                  <c:v>220</c:v>
                </c:pt>
                <c:pt idx="4">
                  <c:v>99</c:v>
                </c:pt>
                <c:pt idx="5">
                  <c:v>66</c:v>
                </c:pt>
                <c:pt idx="6">
                  <c:v>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C5-4A09-9132-070F0C2FC7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460168639"/>
        <c:axId val="46017055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'07. Chart_QUỐC GIA'!$C$6</c15:sqref>
                        </c15:formulaRef>
                      </c:ext>
                    </c:extLst>
                    <c:strCache>
                      <c:ptCount val="1"/>
                      <c:pt idx="0">
                        <c:v>Quốc gia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'07. Chart_QUỐC GIA'!$C$7:$C$28</c15:sqref>
                        </c15:fullRef>
                        <c15:formulaRef>
                          <c15:sqref>('07. Chart_QUỐC GIA'!$C$7:$C$14,'07. Chart_QUỐC GIA'!$C$26:$C$27)</c15:sqref>
                        </c15:formulaRef>
                      </c:ext>
                    </c:extLst>
                    <c:strCache>
                      <c:ptCount val="10"/>
                      <c:pt idx="0">
                        <c:v>VN</c:v>
                      </c:pt>
                      <c:pt idx="1">
                        <c:v>Mỹ</c:v>
                      </c:pt>
                      <c:pt idx="2">
                        <c:v>Bồ Đào Nha</c:v>
                      </c:pt>
                      <c:pt idx="3">
                        <c:v>Hong Kong</c:v>
                      </c:pt>
                      <c:pt idx="4">
                        <c:v>Luxembourg</c:v>
                      </c:pt>
                      <c:pt idx="5">
                        <c:v>Hy Lạp</c:v>
                      </c:pt>
                      <c:pt idx="6">
                        <c:v>Australia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'07. Chart_QUỐC GIA'!$C$7:$C$28</c15:sqref>
                        </c15:fullRef>
                        <c15:formulaRef>
                          <c15:sqref>('07. Chart_QUỐC GIA'!$C$7:$C$14,'07. Chart_QUỐC GIA'!$C$26:$C$27)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42C5-4A09-9132-070F0C2FC7B5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2"/>
          <c:order val="3"/>
          <c:tx>
            <c:strRef>
              <c:f>'07. Chart_QUỐC GIA'!$E$6</c:f>
              <c:strCache>
                <c:ptCount val="1"/>
                <c:pt idx="0">
                  <c:v>tỷ trong 25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3800677421711755E-2"/>
                  <c:y val="-0.2919443333969111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D12AAEF-A501-4017-B2BC-3BE5F1CABD87}" type="CELLRANG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7FE316E6-9C09-4744-A065-D175251997CA}" type="VALU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3927281879353162E-2"/>
                      <c:h val="0.1184538277539695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42C5-4A09-9132-070F0C2FC7B5}"/>
                </c:ext>
              </c:extLst>
            </c:dLbl>
            <c:dLbl>
              <c:idx val="1"/>
              <c:layout>
                <c:manualLayout>
                  <c:x val="-1.6404481999158931E-2"/>
                  <c:y val="-0.22471593569388415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FE713B5-2DC7-48E6-9A88-7E973AE0D81C}" type="CELLRANG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57DA519E-3618-42C4-BD1D-5A3DC17B8864}" type="VALU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0290917722393367E-2"/>
                      <c:h val="0.1348125763998644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42C5-4A09-9132-070F0C2FC7B5}"/>
                </c:ext>
              </c:extLst>
            </c:dLbl>
            <c:dLbl>
              <c:idx val="2"/>
              <c:layout>
                <c:manualLayout>
                  <c:x val="-1.082678584388511E-2"/>
                  <c:y val="-0.1916096079829013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A61E9C4-32BD-4054-BA0A-4A9BBE54572F}" type="CELLRANG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DB1B049E-BFF1-4C01-B807-CE646367CDA4}" type="VALU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5309098827358447E-2"/>
                      <c:h val="0.1151820780247905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42C5-4A09-9132-070F0C2FC7B5}"/>
                </c:ext>
              </c:extLst>
            </c:dLbl>
            <c:dLbl>
              <c:idx val="3"/>
              <c:layout>
                <c:manualLayout>
                  <c:x val="-9.090895762045666E-3"/>
                  <c:y val="-6.025296200688815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152B80D-C2F6-4D1E-BC72-0EF1EFAE56AE}" type="CELLRANG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AD171FDC-AC6A-4B07-AE35-18D4D640EE72}" type="VALU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3363644003384968E-2"/>
                      <c:h val="0.1184538277539695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F607-4D03-8805-7880F47AE4AC}"/>
                </c:ext>
              </c:extLst>
            </c:dLbl>
            <c:dLbl>
              <c:idx val="4"/>
              <c:layout>
                <c:manualLayout>
                  <c:x val="-7.5391939116596501E-3"/>
                  <c:y val="-4.36997318323656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DF25F16-D7EF-4FC5-BD10-42294F4AE622}" type="CELLRANG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EC455823-3D8A-46C0-BC45-74F7080D5192}" type="VALU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9600007100931584E-2"/>
                      <c:h val="0.1249973272123275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F607-4D03-8805-7880F47AE4AC}"/>
                </c:ext>
              </c:extLst>
            </c:dLbl>
            <c:dLbl>
              <c:idx val="5"/>
              <c:layout>
                <c:manualLayout>
                  <c:x val="-9.0909103923994834E-3"/>
                  <c:y val="-2.290211929520843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62F617A-AF2D-4CD6-A071-45BFB5A50ACB}" type="CELLRANG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20DFC543-CF71-41E9-8321-73DAE466AF04}" type="VALU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5963642943971796E-2"/>
                      <c:h val="0.1217255774831485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B-F607-4D03-8805-7880F47AE4AC}"/>
                </c:ext>
              </c:extLst>
            </c:dLbl>
            <c:dLbl>
              <c:idx val="6"/>
              <c:layout>
                <c:manualLayout>
                  <c:x val="-1.0909092470879513E-2"/>
                  <c:y val="-1.635861983685046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EB13366-3961-4378-AD52-09501FE34428}" type="CELLRANG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509A5810-DF76-43EB-A2B9-4E549E80B793}" type="VALU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5327282079782695E-2"/>
                      <c:h val="0.1217255774831485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F607-4D03-8805-7880F47AE4AC}"/>
                </c:ext>
              </c:extLst>
            </c:dLbl>
            <c:dLbl>
              <c:idx val="7"/>
              <c:layout>
                <c:manualLayout>
                  <c:x val="-1.2413614803089147E-2"/>
                  <c:y val="-2.695192162045512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74B8522-17BF-418F-BD85-4A8270F620A2}" type="CELLRANG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9631DC47-0E63-4CE8-AF88-D9B06FD648C2}" type="VALU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2330426478533613E-2"/>
                      <c:h val="0.118606016409450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43A-44CB-A10D-58688C7B27B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F2D03B3-5A8E-40A7-B80E-81F1A3895130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4A9B25A9-2CFE-4284-BDA4-855A5E38D2A5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64C-4228-B8D8-A615E920CB58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6AF94F5-0A75-49F9-92FB-FE13DA30B50D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F6CDB6E4-3443-4107-BDBB-56B2F24CCCA8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64C-4228-B8D8-A615E920CB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CC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GIA'!$C$7:$C$28</c15:sqref>
                  </c15:fullRef>
                </c:ext>
              </c:extLst>
              <c:f>('07. Chart_QUỐC GIA'!$C$7:$C$14,'07. Chart_QUỐC GIA'!$C$26:$C$27)</c:f>
              <c:strCache>
                <c:ptCount val="10"/>
                <c:pt idx="0">
                  <c:v>VN</c:v>
                </c:pt>
                <c:pt idx="1">
                  <c:v>Mỹ</c:v>
                </c:pt>
                <c:pt idx="2">
                  <c:v>Bồ Đào Nha</c:v>
                </c:pt>
                <c:pt idx="3">
                  <c:v>Hong Kong</c:v>
                </c:pt>
                <c:pt idx="4">
                  <c:v>Luxembourg</c:v>
                </c:pt>
                <c:pt idx="5">
                  <c:v>Hy Lạp</c:v>
                </c:pt>
                <c:pt idx="6">
                  <c:v>Australia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GIA'!$E$7:$E$28</c15:sqref>
                  </c15:fullRef>
                </c:ext>
              </c:extLst>
              <c:f>('07. Chart_QUỐC GIA'!$E$7:$E$14,'07. Chart_QUỐC GIA'!$E$26:$E$27)</c:f>
              <c:numCache>
                <c:formatCode>0%</c:formatCode>
                <c:ptCount val="10"/>
                <c:pt idx="0">
                  <c:v>0.42677256877179387</c:v>
                </c:pt>
                <c:pt idx="1">
                  <c:v>0.31964354901201086</c:v>
                </c:pt>
                <c:pt idx="2">
                  <c:v>0.17047655947307244</c:v>
                </c:pt>
                <c:pt idx="3">
                  <c:v>4.2619139868268111E-2</c:v>
                </c:pt>
                <c:pt idx="4">
                  <c:v>1.9178612940720652E-2</c:v>
                </c:pt>
                <c:pt idx="5">
                  <c:v>1.2785741960480435E-2</c:v>
                </c:pt>
                <c:pt idx="6" formatCode="0.0%">
                  <c:v>8.5238279736536225E-3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'07. Chart_QUỐC GIA'!$D$7:$D$28</c15:f>
                <c15:dlblRangeCache>
                  <c:ptCount val="22"/>
                  <c:pt idx="0">
                    <c:v> 2,203 </c:v>
                  </c:pt>
                  <c:pt idx="1">
                    <c:v> 1,650 </c:v>
                  </c:pt>
                  <c:pt idx="2">
                    <c:v> 880 </c:v>
                  </c:pt>
                  <c:pt idx="3">
                    <c:v> 220 </c:v>
                  </c:pt>
                  <c:pt idx="4">
                    <c:v> 99 </c:v>
                  </c:pt>
                  <c:pt idx="5">
                    <c:v> 66 </c:v>
                  </c:pt>
                  <c:pt idx="6">
                    <c:v> 44 </c:v>
                  </c:pt>
                  <c:pt idx="7">
                    <c:v> -   </c:v>
                  </c:pt>
                  <c:pt idx="8">
                    <c:v> -   </c:v>
                  </c:pt>
                  <c:pt idx="9">
                    <c:v> -   </c:v>
                  </c:pt>
                  <c:pt idx="10">
                    <c:v> -   </c:v>
                  </c:pt>
                  <c:pt idx="11">
                    <c:v> -   </c:v>
                  </c:pt>
                  <c:pt idx="12">
                    <c:v> -   </c:v>
                  </c:pt>
                  <c:pt idx="13">
                    <c:v> -   </c:v>
                  </c:pt>
                  <c:pt idx="14">
                    <c:v> -   </c:v>
                  </c:pt>
                  <c:pt idx="15">
                    <c:v> -   </c:v>
                  </c:pt>
                  <c:pt idx="16">
                    <c:v> -   </c:v>
                  </c:pt>
                  <c:pt idx="17">
                    <c:v> -   </c:v>
                  </c:pt>
                  <c:pt idx="18">
                    <c:v> -   </c:v>
                  </c:pt>
                  <c:pt idx="19">
                    <c:v> -   </c:v>
                  </c:pt>
                  <c:pt idx="20">
                    <c:v> -   </c:v>
                  </c:pt>
                  <c:pt idx="21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42C5-4A09-9132-070F0C2FC7B5}"/>
            </c:ext>
          </c:extLst>
        </c:ser>
        <c:ser>
          <c:idx val="4"/>
          <c:order val="4"/>
          <c:tx>
            <c:strRef>
              <c:f>'07. Chart_QUỐC GIA'!$G$6</c:f>
              <c:strCache>
                <c:ptCount val="1"/>
                <c:pt idx="0">
                  <c:v>tỷ trong 24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6.7782796440420387E-2"/>
                  <c:y val="-4.04280813877761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F6D1AC2-1CBD-4F78-96D0-1245929FEFE3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AD4395E5-0254-4045-BA51-B8F906B5E89D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8472735643913469E-2"/>
                      <c:h val="9.8823329378895666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42C5-4A09-9132-070F0C2FC7B5}"/>
                </c:ext>
              </c:extLst>
            </c:dLbl>
            <c:dLbl>
              <c:idx val="1"/>
              <c:layout>
                <c:manualLayout>
                  <c:x val="-6.4619157384353615E-2"/>
                  <c:y val="-2.0214040693888064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B27378A-7FCB-4DEB-BD21-EEBCB7726B75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770B524A-4CA9-4BB9-B13D-807B4888250B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5309098827358461E-2"/>
                      <c:h val="0.1184538277539695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42C5-4A09-9132-070F0C2FC7B5}"/>
                </c:ext>
              </c:extLst>
            </c:dLbl>
            <c:dLbl>
              <c:idx val="2"/>
              <c:layout>
                <c:manualLayout>
                  <c:x val="-7.3490704866242679E-2"/>
                  <c:y val="1.288090445158469E-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C1C4E6E-90CD-418C-8963-0EDADB5E7A2E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12E8DA51-04BF-4C9B-836E-CC795F59C466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6218191298237833E-2"/>
                      <c:h val="0.10863857856643261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42C5-4A09-9132-070F0C2FC7B5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70F7372-9B2F-4E2A-9173-E1729A78B29C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2B63CC97-11F2-4970-81C8-B229CF3F9A30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3109098512397784E-2"/>
                      <c:h val="0.1119103282956115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42C5-4A09-9132-070F0C2FC7B5}"/>
                </c:ext>
              </c:extLst>
            </c:dLbl>
            <c:dLbl>
              <c:idx val="4"/>
              <c:layout>
                <c:manualLayout>
                  <c:x val="-5.9490917607862223E-2"/>
                  <c:y val="3.2718785382233198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D73664D-8844-4B40-A5DC-CA1C6482F6C5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8342D86B-A41E-4440-ACFE-26F1505566E5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0400007215462735E-2"/>
                      <c:h val="0.1119103282956115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F607-4D03-8805-7880F47AE4AC}"/>
                </c:ext>
              </c:extLst>
            </c:dLbl>
            <c:dLbl>
              <c:idx val="5"/>
              <c:layout>
                <c:manualLayout>
                  <c:x val="-7.2217977411306714E-2"/>
                  <c:y val="3.2718785382233198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3CD6022-9195-4037-8BD5-5A91EA84E433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E324B042-9D0F-415E-9759-1B5195E932EB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4036371372422523E-2"/>
                      <c:h val="0.1119103282956115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FF9-4FE0-914F-3AD71A7E7C85}"/>
                </c:ext>
              </c:extLst>
            </c:dLbl>
            <c:dLbl>
              <c:idx val="6"/>
              <c:layout>
                <c:manualLayout>
                  <c:x val="-6.7945249526878956E-2"/>
                  <c:y val="3.271749729178864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92192FA-A438-4DA7-873B-23DD8DB6202D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D7945C36-1ACD-4251-8CB3-3C961F07D824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0672735958874145E-2"/>
                      <c:h val="0.1348125763998644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F607-4D03-8805-7880F47AE4A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3734C8E-E914-49E6-AE04-89AD557EE519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C899AF09-9011-4608-A19B-B8135F534464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43A-44CB-A10D-58688C7B27B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FA2EFAC-E08C-41D2-AEDE-AA6408A25BCA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EE44FB7B-9CB5-4B5F-B680-069D9FB4B893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64C-4228-B8D8-A615E920CB58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514D3D0-D10B-4557-85B5-5BC07A37F16C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2360C6B6-C9EF-4F12-8EBE-8EDC4BFAB033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64C-4228-B8D8-A615E920CB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GIA'!$C$7:$C$28</c15:sqref>
                  </c15:fullRef>
                </c:ext>
              </c:extLst>
              <c:f>('07. Chart_QUỐC GIA'!$C$7:$C$14,'07. Chart_QUỐC GIA'!$C$26:$C$27)</c:f>
              <c:strCache>
                <c:ptCount val="10"/>
                <c:pt idx="0">
                  <c:v>VN</c:v>
                </c:pt>
                <c:pt idx="1">
                  <c:v>Mỹ</c:v>
                </c:pt>
                <c:pt idx="2">
                  <c:v>Bồ Đào Nha</c:v>
                </c:pt>
                <c:pt idx="3">
                  <c:v>Hong Kong</c:v>
                </c:pt>
                <c:pt idx="4">
                  <c:v>Luxembourg</c:v>
                </c:pt>
                <c:pt idx="5">
                  <c:v>Hy Lạp</c:v>
                </c:pt>
                <c:pt idx="6">
                  <c:v>Australia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GIA'!$G$7:$G$28</c15:sqref>
                  </c15:fullRef>
                </c:ext>
              </c:extLst>
              <c:f>('07. Chart_QUỐC GIA'!$G$7:$G$14,'07. Chart_QUỐC GIA'!$G$26:$G$27)</c:f>
              <c:numCache>
                <c:formatCode>0%</c:formatCode>
                <c:ptCount val="10"/>
                <c:pt idx="0">
                  <c:v>0.28783137807913434</c:v>
                </c:pt>
                <c:pt idx="1">
                  <c:v>0.36987728259301317</c:v>
                </c:pt>
                <c:pt idx="2">
                  <c:v>0.14600419049724203</c:v>
                </c:pt>
                <c:pt idx="3">
                  <c:v>0.19628714883061038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'07. Chart_QUỐC GIA'!$F$7:$F$28</c15:f>
                <c15:dlblRangeCache>
                  <c:ptCount val="22"/>
                  <c:pt idx="0">
                    <c:v> 1,301 </c:v>
                  </c:pt>
                  <c:pt idx="1">
                    <c:v> 1,672 </c:v>
                  </c:pt>
                  <c:pt idx="2">
                    <c:v> 660 </c:v>
                  </c:pt>
                  <c:pt idx="3">
                    <c:v> 887 </c:v>
                  </c:pt>
                  <c:pt idx="4">
                    <c:v> -   </c:v>
                  </c:pt>
                  <c:pt idx="5">
                    <c:v> -   </c:v>
                  </c:pt>
                  <c:pt idx="6">
                    <c:v> -   </c:v>
                  </c:pt>
                  <c:pt idx="7">
                    <c:v> -   </c:v>
                  </c:pt>
                  <c:pt idx="8">
                    <c:v> -   </c:v>
                  </c:pt>
                  <c:pt idx="9">
                    <c:v> -   </c:v>
                  </c:pt>
                  <c:pt idx="10">
                    <c:v> -   </c:v>
                  </c:pt>
                  <c:pt idx="11">
                    <c:v> -   </c:v>
                  </c:pt>
                  <c:pt idx="12">
                    <c:v> -   </c:v>
                  </c:pt>
                  <c:pt idx="13">
                    <c:v> -   </c:v>
                  </c:pt>
                  <c:pt idx="14">
                    <c:v> -   </c:v>
                  </c:pt>
                  <c:pt idx="15">
                    <c:v> -   </c:v>
                  </c:pt>
                  <c:pt idx="16">
                    <c:v> -   </c:v>
                  </c:pt>
                  <c:pt idx="17">
                    <c:v> -   </c:v>
                  </c:pt>
                  <c:pt idx="18">
                    <c:v> -   </c:v>
                  </c:pt>
                  <c:pt idx="19">
                    <c:v> -   </c:v>
                  </c:pt>
                  <c:pt idx="20">
                    <c:v> -   </c:v>
                  </c:pt>
                  <c:pt idx="21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42C5-4A09-9132-070F0C2FC7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06165839"/>
        <c:axId val="1206202799"/>
      </c:lineChart>
      <c:catAx>
        <c:axId val="46016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70559"/>
        <c:crosses val="autoZero"/>
        <c:auto val="1"/>
        <c:lblAlgn val="ctr"/>
        <c:lblOffset val="100"/>
        <c:noMultiLvlLbl val="0"/>
      </c:catAx>
      <c:valAx>
        <c:axId val="460170559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8639"/>
        <c:crosses val="autoZero"/>
        <c:crossBetween val="between"/>
      </c:valAx>
      <c:valAx>
        <c:axId val="1206202799"/>
        <c:scaling>
          <c:orientation val="minMax"/>
          <c:min val="-5.000000000000001E-2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165839"/>
        <c:crosses val="max"/>
        <c:crossBetween val="between"/>
      </c:valAx>
      <c:catAx>
        <c:axId val="12061658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062027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'07. Chart_QUỐC GIA'!$R$30</c:f>
          <c:strCache>
            <c:ptCount val="1"/>
            <c:pt idx="0">
              <c:v>LŨY KẾ SẢN LƯỢNG BÁN THEO QUỐC GIA T8/25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C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0541461093997737E-2"/>
          <c:y val="0.12238018504707328"/>
          <c:w val="0.95659784066897713"/>
          <c:h val="0.7061613230234575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'07. Chart_QUỐC GIA'!$T$6</c:f>
              <c:strCache>
                <c:ptCount val="1"/>
                <c:pt idx="0">
                  <c:v> 2,024 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invertIfNegative val="0"/>
          <c:dLbls>
            <c:delete val="1"/>
          </c:dLbls>
          <c:cat>
            <c:strLit>
              <c:ptCount val="19"/>
              <c:pt idx="0">
                <c:v>Mỹ</c:v>
              </c:pt>
              <c:pt idx="1">
                <c:v>VN</c:v>
              </c:pt>
              <c:pt idx="2">
                <c:v>Bồ Đào Nha</c:v>
              </c:pt>
              <c:pt idx="3">
                <c:v>Luxembourg</c:v>
              </c:pt>
              <c:pt idx="4">
                <c:v>Hong Kong</c:v>
              </c:pt>
              <c:pt idx="5">
                <c:v>Thụy Sĩ</c:v>
              </c:pt>
              <c:pt idx="6">
                <c:v>Hàn Quốc</c:v>
              </c:pt>
              <c:pt idx="7">
                <c:v>Singapore</c:v>
              </c:pt>
              <c:pt idx="8">
                <c:v>Nhật</c:v>
              </c:pt>
              <c:pt idx="9">
                <c:v>Israel</c:v>
              </c:pt>
              <c:pt idx="10">
                <c:v>Hy Lạp</c:v>
              </c:pt>
              <c:pt idx="11">
                <c:v>Bulgaria</c:v>
              </c:pt>
              <c:pt idx="12">
                <c:v>Australia</c:v>
              </c:pt>
              <c:pt idx="13">
                <c:v>Mexico</c:v>
              </c:pt>
              <c:pt idx="14">
                <c:v>Pháp</c:v>
              </c:pt>
              <c:pt idx="15">
                <c:v>Italy</c:v>
              </c:pt>
              <c:pt idx="16">
                <c:v>Colombia</c:v>
              </c:pt>
              <c:pt idx="17">
                <c:v>0</c:v>
              </c:pt>
              <c:pt idx="18">
                <c:v>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GIA'!$T$7:$T$28</c15:sqref>
                  </c15:fullRef>
                </c:ext>
              </c:extLst>
              <c:f>('07. Chart_QUỐC GIA'!$T$7:$T$23,'07. Chart_QUỐC GIA'!$T$26:$T$27)</c:f>
              <c:numCache>
                <c:formatCode>_(* #,##0_);_(* \(#,##0\);_(* "-"??_);_(@_)</c:formatCode>
                <c:ptCount val="19"/>
                <c:pt idx="0">
                  <c:v>7040</c:v>
                </c:pt>
                <c:pt idx="1">
                  <c:v>9707.0931999999993</c:v>
                </c:pt>
                <c:pt idx="2">
                  <c:v>1980</c:v>
                </c:pt>
                <c:pt idx="3">
                  <c:v>0</c:v>
                </c:pt>
                <c:pt idx="4">
                  <c:v>1098.5</c:v>
                </c:pt>
                <c:pt idx="5">
                  <c:v>22</c:v>
                </c:pt>
                <c:pt idx="6">
                  <c:v>66</c:v>
                </c:pt>
                <c:pt idx="7">
                  <c:v>946.07500000000005</c:v>
                </c:pt>
                <c:pt idx="8">
                  <c:v>2.2000000000000002</c:v>
                </c:pt>
                <c:pt idx="9">
                  <c:v>34</c:v>
                </c:pt>
                <c:pt idx="10">
                  <c:v>44</c:v>
                </c:pt>
                <c:pt idx="11">
                  <c:v>0</c:v>
                </c:pt>
                <c:pt idx="12">
                  <c:v>88</c:v>
                </c:pt>
                <c:pt idx="13">
                  <c:v>773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5E-4CC6-B0E2-0E6B0A03C3F8}"/>
            </c:ext>
          </c:extLst>
        </c:ser>
        <c:ser>
          <c:idx val="3"/>
          <c:order val="3"/>
          <c:tx>
            <c:strRef>
              <c:f>'07. Chart_QUỐC GIA'!$R$6</c:f>
              <c:strCache>
                <c:ptCount val="1"/>
                <c:pt idx="0">
                  <c:v> 2,025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GIA'!$Q$7:$Q$28</c15:sqref>
                  </c15:fullRef>
                </c:ext>
              </c:extLst>
              <c:f>('07. Chart_QUỐC GIA'!$Q$7:$Q$23,'07. Chart_QUỐC GIA'!$Q$26:$Q$27)</c:f>
              <c:strCache>
                <c:ptCount val="19"/>
                <c:pt idx="0">
                  <c:v>Mỹ</c:v>
                </c:pt>
                <c:pt idx="1">
                  <c:v>VN</c:v>
                </c:pt>
                <c:pt idx="2">
                  <c:v>Bồ Đào Nha</c:v>
                </c:pt>
                <c:pt idx="3">
                  <c:v>Luxembourg</c:v>
                </c:pt>
                <c:pt idx="4">
                  <c:v>Hong Kong</c:v>
                </c:pt>
                <c:pt idx="5">
                  <c:v>Thụy Sĩ</c:v>
                </c:pt>
                <c:pt idx="6">
                  <c:v>Hàn Quốc</c:v>
                </c:pt>
                <c:pt idx="7">
                  <c:v>Singapore</c:v>
                </c:pt>
                <c:pt idx="8">
                  <c:v>Nhật</c:v>
                </c:pt>
                <c:pt idx="9">
                  <c:v>Israel</c:v>
                </c:pt>
                <c:pt idx="10">
                  <c:v>Hy Lạp</c:v>
                </c:pt>
                <c:pt idx="11">
                  <c:v>Bulgaria</c:v>
                </c:pt>
                <c:pt idx="12">
                  <c:v>Australia</c:v>
                </c:pt>
                <c:pt idx="13">
                  <c:v>Mexico</c:v>
                </c:pt>
                <c:pt idx="14">
                  <c:v>Pháp</c:v>
                </c:pt>
                <c:pt idx="15">
                  <c:v>Italy</c:v>
                </c:pt>
                <c:pt idx="16">
                  <c:v>Colombia</c:v>
                </c:pt>
                <c:pt idx="17">
                  <c:v>0</c:v>
                </c:pt>
                <c:pt idx="18">
                  <c:v>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GIA'!$R$7:$R$28</c15:sqref>
                  </c15:fullRef>
                </c:ext>
              </c:extLst>
              <c:f>('07. Chart_QUỐC GIA'!$R$7:$R$23,'07. Chart_QUỐC GIA'!$R$26:$R$27)</c:f>
              <c:numCache>
                <c:formatCode>_(* #,##0_);_(* \(#,##0\);_(* "-"??_);_(@_)</c:formatCode>
                <c:ptCount val="19"/>
                <c:pt idx="0">
                  <c:v>14171</c:v>
                </c:pt>
                <c:pt idx="1">
                  <c:v>11468</c:v>
                </c:pt>
                <c:pt idx="2">
                  <c:v>6185</c:v>
                </c:pt>
                <c:pt idx="3">
                  <c:v>1188</c:v>
                </c:pt>
                <c:pt idx="4">
                  <c:v>440</c:v>
                </c:pt>
                <c:pt idx="5">
                  <c:v>418</c:v>
                </c:pt>
                <c:pt idx="6">
                  <c:v>327</c:v>
                </c:pt>
                <c:pt idx="7">
                  <c:v>220</c:v>
                </c:pt>
                <c:pt idx="8">
                  <c:v>211</c:v>
                </c:pt>
                <c:pt idx="9">
                  <c:v>176</c:v>
                </c:pt>
                <c:pt idx="10">
                  <c:v>110</c:v>
                </c:pt>
                <c:pt idx="11">
                  <c:v>110</c:v>
                </c:pt>
                <c:pt idx="12">
                  <c:v>88</c:v>
                </c:pt>
                <c:pt idx="13">
                  <c:v>72</c:v>
                </c:pt>
                <c:pt idx="14">
                  <c:v>66</c:v>
                </c:pt>
                <c:pt idx="15">
                  <c:v>47</c:v>
                </c:pt>
                <c:pt idx="16">
                  <c:v>43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5E-4CC6-B0E2-0E6B0A03C3F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60168639"/>
        <c:axId val="46017055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'07. Chart_QUỐC GIA'!$Q$6</c15:sqref>
                        </c15:formulaRef>
                      </c:ext>
                    </c:extLst>
                    <c:strCache>
                      <c:ptCount val="1"/>
                      <c:pt idx="0">
                        <c:v>Quốc gia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'07. Chart_QUỐC GIA'!$Q$7:$Q$28</c15:sqref>
                        </c15:fullRef>
                        <c15:formulaRef>
                          <c15:sqref>('07. Chart_QUỐC GIA'!$Q$7:$Q$23,'07. Chart_QUỐC GIA'!$Q$26:$Q$27)</c15:sqref>
                        </c15:formulaRef>
                      </c:ext>
                    </c:extLst>
                    <c:strCache>
                      <c:ptCount val="19"/>
                      <c:pt idx="0">
                        <c:v>Mỹ</c:v>
                      </c:pt>
                      <c:pt idx="1">
                        <c:v>VN</c:v>
                      </c:pt>
                      <c:pt idx="2">
                        <c:v>Bồ Đào Nha</c:v>
                      </c:pt>
                      <c:pt idx="3">
                        <c:v>Luxembourg</c:v>
                      </c:pt>
                      <c:pt idx="4">
                        <c:v>Hong Kong</c:v>
                      </c:pt>
                      <c:pt idx="5">
                        <c:v>Thụy Sĩ</c:v>
                      </c:pt>
                      <c:pt idx="6">
                        <c:v>Hàn Quốc</c:v>
                      </c:pt>
                      <c:pt idx="7">
                        <c:v>Singapore</c:v>
                      </c:pt>
                      <c:pt idx="8">
                        <c:v>Nhật</c:v>
                      </c:pt>
                      <c:pt idx="9">
                        <c:v>Israel</c:v>
                      </c:pt>
                      <c:pt idx="10">
                        <c:v>Hy Lạp</c:v>
                      </c:pt>
                      <c:pt idx="11">
                        <c:v>Bulgaria</c:v>
                      </c:pt>
                      <c:pt idx="12">
                        <c:v>Australia</c:v>
                      </c:pt>
                      <c:pt idx="13">
                        <c:v>Mexico</c:v>
                      </c:pt>
                      <c:pt idx="14">
                        <c:v>Pháp</c:v>
                      </c:pt>
                      <c:pt idx="15">
                        <c:v>Italy</c:v>
                      </c:pt>
                      <c:pt idx="16">
                        <c:v>Colombia</c:v>
                      </c:pt>
                      <c:pt idx="17">
                        <c:v>0</c:v>
                      </c:pt>
                      <c:pt idx="18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'07. Chart_QUỐC GIA'!$Q$7:$Q$28</c15:sqref>
                        </c15:fullRef>
                        <c15:formulaRef>
                          <c15:sqref>('07. Chart_QUỐC GIA'!$Q$7:$Q$23,'07. Chart_QUỐC GIA'!$Q$26:$Q$27)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C-245E-4CC6-B0E2-0E6B0A03C3F8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2"/>
          <c:tx>
            <c:strRef>
              <c:f>'07. Chart_QUỐC GIA'!$U$6</c:f>
              <c:strCache>
                <c:ptCount val="1"/>
                <c:pt idx="0">
                  <c:v>tỷ trong 24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5.6704147349033958E-2"/>
                  <c:y val="0.1145112405212643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C4A1BAA-E74F-45BF-AA16-0384512FDA63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5B8FA2CB-ED3B-4804-9B88-87F14D61B118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6820594026030532E-2"/>
                      <c:h val="0.1348125763998644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245E-4CC6-B0E2-0E6B0A03C3F8}"/>
                </c:ext>
              </c:extLst>
            </c:dLbl>
            <c:dLbl>
              <c:idx val="1"/>
              <c:layout>
                <c:manualLayout>
                  <c:x val="-5.5292187336186231E-2"/>
                  <c:y val="0.1505004875422332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61AB1C4-54AF-419C-97C9-7D9D44F7A636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8EDD91E2-4E38-49F0-9639-93BF7369D8B6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9644514051725978E-2"/>
                      <c:h val="0.13154082667068551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245E-4CC6-B0E2-0E6B0A03C3F8}"/>
                </c:ext>
              </c:extLst>
            </c:dLbl>
            <c:dLbl>
              <c:idx val="2"/>
              <c:layout>
                <c:manualLayout>
                  <c:x val="-5.6704147349033958E-2"/>
                  <c:y val="4.9076374746729094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51225C7-72BF-47EC-89C2-64EB97A50473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71086876-DBFD-4576-9CAF-729B74D83EBC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8232554038878259E-2"/>
                      <c:h val="0.1184538277539695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245E-4CC6-B0E2-0E6B0A03C3F8}"/>
                </c:ext>
              </c:extLst>
            </c:dLbl>
            <c:dLbl>
              <c:idx val="3"/>
              <c:layout>
                <c:manualLayout>
                  <c:x val="-4.0551491568986645E-2"/>
                  <c:y val="-3.271749729178984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F04694F-E716-4201-A598-0CA6AA0AA27C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B406D44A-C50A-4F34-B2F2-9D96A90C239A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4903651517595745E-2"/>
                      <c:h val="0.1511713250457594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8EB-46F0-9C0F-3A8495980E7F}"/>
                </c:ext>
              </c:extLst>
            </c:dLbl>
            <c:dLbl>
              <c:idx val="4"/>
              <c:layout>
                <c:manualLayout>
                  <c:x val="-5.0731723261618789E-2"/>
                  <c:y val="-3.271736848274538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0252446-FF26-47D7-A161-6A822AF7EDAC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02FBEF4A-2E60-47BE-8031-9F94FE6C5D68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2259963184532387E-2"/>
                      <c:h val="0.1544430747749383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8EB-46F0-9C0F-3A8495980E7F}"/>
                </c:ext>
              </c:extLst>
            </c:dLbl>
            <c:dLbl>
              <c:idx val="5"/>
              <c:layout>
                <c:manualLayout>
                  <c:x val="-4.8712620443246542E-2"/>
                  <c:y val="-1.2880904445586551E-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90376D3-D3AE-415A-8791-C01C63925746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8AF15439-E3D4-41B3-A11D-2481A19D4289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3770760398279457E-2"/>
                      <c:h val="0.1544430747749383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8EB-46F0-9C0F-3A8495980E7F}"/>
                </c:ext>
              </c:extLst>
            </c:dLbl>
            <c:dLbl>
              <c:idx val="6"/>
              <c:layout>
                <c:manualLayout>
                  <c:x val="-4.5578069214724647E-2"/>
                  <c:y val="-9.8152491875370725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4B6DF8D-6C76-4AF1-B600-7F0031FA036A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B74EDB1F-8985-42A1-9F45-18C3608B01A5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9930229163333643E-2"/>
                      <c:h val="0.1446278255874014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219-4C55-BE61-A57FF55626A4}"/>
                </c:ext>
              </c:extLst>
            </c:dLbl>
            <c:dLbl>
              <c:idx val="7"/>
              <c:layout>
                <c:manualLayout>
                  <c:x val="-3.7007305169808206E-2"/>
                  <c:y val="-3.2716209201345283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F5CA7D4-1E46-4F49-B91D-09D70FC07130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296E094C-DEDE-4A20-B81C-199F9CAE9CFB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2.8535711859652507E-2"/>
                      <c:h val="0.14789957531658041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219-4C55-BE61-A57FF55626A4}"/>
                </c:ext>
              </c:extLst>
            </c:dLbl>
            <c:dLbl>
              <c:idx val="8"/>
              <c:layout>
                <c:manualLayout>
                  <c:x val="-4.3375411594682091E-2"/>
                  <c:y val="-6.5433706493135124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04A689C-CC63-47F5-8B67-BFF444676F1E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34DB0148-7267-4117-829F-B0C84794A913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4903651517595745E-2"/>
                      <c:h val="0.1316701509513191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245E-4CC6-B0E2-0E6B0A03C3F8}"/>
                </c:ext>
              </c:extLst>
            </c:dLbl>
            <c:dLbl>
              <c:idx val="9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81B2A0E-A7A2-47AF-9124-33D6909B8DC9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BF36DA7C-21E0-48D7-AD8F-A3CA7AC8ABB3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720514633853754E-2"/>
                      <c:h val="0.1380843261290434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1219-4C55-BE61-A57FF55626A4}"/>
                </c:ext>
              </c:extLst>
            </c:dLbl>
            <c:dLbl>
              <c:idx val="10"/>
              <c:layout>
                <c:manualLayout>
                  <c:x val="-4.4166109201876816E-2"/>
                  <c:y val="-6.5434994583579683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73F2827-9B9B-4DB8-B94E-0BEB3798D929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2CDDD282-87FB-434B-BE3E-4C40B3A73A24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4166109201876816E-2"/>
                      <c:h val="0.1348125763998644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1219-4C55-BE61-A57FF55626A4}"/>
                </c:ext>
              </c:extLst>
            </c:dLbl>
            <c:dLbl>
              <c:idx val="11"/>
              <c:layout>
                <c:manualLayout>
                  <c:x val="-4.619916485344689E-2"/>
                  <c:y val="-1.308699891671593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FF1146D-E944-4481-BE1D-AE3DB272370C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D5A50518-3FFC-484A-B1A7-EEE6613F2842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0551491568986638E-2"/>
                      <c:h val="0.1446278255874014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4D0-4EFA-AE04-D8B61C4B0E5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5DBE33E-9836-4316-853E-C112CBDC1FA4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825E21CA-E60F-457B-BEB8-0C2B67CBE929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4D0-4EFA-AE04-D8B61C4B0E5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0ABD1E8-A07C-4E80-BFEB-48EAE00EEDD5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40442538-B845-4EFC-8EF3-23710A5C1600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4D0-4EFA-AE04-D8B61C4B0E5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92DD2FF-D85D-480B-BFE2-BE9991382B5C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9A1F5DCF-85A3-45EC-9267-FBBE26F45780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4D0-4EFA-AE04-D8B61C4B0E5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1162FA0B-F446-43E5-995A-1857420B9CB4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931A3E3E-0CEF-4ECC-9421-363CA16CFDED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4D0-4EFA-AE04-D8B61C4B0E59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B91E09A-CD5F-4EAE-BEF8-B8D362BFAAD1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09444BDA-D51A-4AA5-A0E7-B932A45F078E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02D-4941-BADF-7CB94914FE8C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D3A348F-A5A1-4D61-970B-B02FEF6D1707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048BC54E-7892-4FB5-A320-14C8DFE57898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9EF-4216-A679-EBB4015D6B43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870AF3C-2BEF-4E9B-88BF-180784E6241C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FF2FCA12-9002-45A4-A2C7-8C34B4AB9769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9EF-4216-A679-EBB4015D6B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Lit>
              <c:ptCount val="19"/>
              <c:pt idx="0">
                <c:v>Mỹ</c:v>
              </c:pt>
              <c:pt idx="1">
                <c:v>VN</c:v>
              </c:pt>
              <c:pt idx="2">
                <c:v>Bồ Đào Nha</c:v>
              </c:pt>
              <c:pt idx="3">
                <c:v>Luxembourg</c:v>
              </c:pt>
              <c:pt idx="4">
                <c:v>Hong Kong</c:v>
              </c:pt>
              <c:pt idx="5">
                <c:v>Thụy Sĩ</c:v>
              </c:pt>
              <c:pt idx="6">
                <c:v>Hàn Quốc</c:v>
              </c:pt>
              <c:pt idx="7">
                <c:v>Singapore</c:v>
              </c:pt>
              <c:pt idx="8">
                <c:v>Nhật</c:v>
              </c:pt>
              <c:pt idx="9">
                <c:v>Israel</c:v>
              </c:pt>
              <c:pt idx="10">
                <c:v>Hy Lạp</c:v>
              </c:pt>
              <c:pt idx="11">
                <c:v>Bulgaria</c:v>
              </c:pt>
              <c:pt idx="12">
                <c:v>Australia</c:v>
              </c:pt>
              <c:pt idx="13">
                <c:v>Mexico</c:v>
              </c:pt>
              <c:pt idx="14">
                <c:v>Pháp</c:v>
              </c:pt>
              <c:pt idx="15">
                <c:v>Italy</c:v>
              </c:pt>
              <c:pt idx="16">
                <c:v>Colombia</c:v>
              </c:pt>
              <c:pt idx="17">
                <c:v>0</c:v>
              </c:pt>
              <c:pt idx="18">
                <c:v>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GIA'!$U$7:$U$28</c15:sqref>
                  </c15:fullRef>
                </c:ext>
              </c:extLst>
              <c:f>('07. Chart_QUỐC GIA'!$U$7:$U$23,'07. Chart_QUỐC GIA'!$U$26:$U$27)</c:f>
              <c:numCache>
                <c:formatCode>0%</c:formatCode>
                <c:ptCount val="19"/>
                <c:pt idx="0">
                  <c:v>0.32292291918906235</c:v>
                </c:pt>
                <c:pt idx="1">
                  <c:v>0.44526177173072395</c:v>
                </c:pt>
                <c:pt idx="2">
                  <c:v>9.0822071021923786E-2</c:v>
                </c:pt>
                <c:pt idx="3">
                  <c:v>0</c:v>
                </c:pt>
                <c:pt idx="4" formatCode="0.0%">
                  <c:v>5.0387901524031962E-2</c:v>
                </c:pt>
                <c:pt idx="5" formatCode="0.0%">
                  <c:v>1.0091341224658199E-3</c:v>
                </c:pt>
                <c:pt idx="6">
                  <c:v>3.0274023673974599E-3</c:v>
                </c:pt>
                <c:pt idx="7">
                  <c:v>4.3396207495993211E-2</c:v>
                </c:pt>
                <c:pt idx="8">
                  <c:v>1.0091341224658201E-4</c:v>
                </c:pt>
                <c:pt idx="9">
                  <c:v>1.5595709165380854E-3</c:v>
                </c:pt>
                <c:pt idx="10">
                  <c:v>2.0182682449316398E-3</c:v>
                </c:pt>
                <c:pt idx="11">
                  <c:v>0</c:v>
                </c:pt>
                <c:pt idx="12">
                  <c:v>4.0365364898632796E-3</c:v>
                </c:pt>
                <c:pt idx="13">
                  <c:v>3.5457303484821762E-2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'07. Chart_QUỐC GIA'!$T$7:$T$28</c15:f>
                <c15:dlblRangeCache>
                  <c:ptCount val="22"/>
                  <c:pt idx="0">
                    <c:v> 7,040 </c:v>
                  </c:pt>
                  <c:pt idx="1">
                    <c:v> 9,707 </c:v>
                  </c:pt>
                  <c:pt idx="2">
                    <c:v> 1,980 </c:v>
                  </c:pt>
                  <c:pt idx="3">
                    <c:v> -   </c:v>
                  </c:pt>
                  <c:pt idx="4">
                    <c:v> 1,099 </c:v>
                  </c:pt>
                  <c:pt idx="5">
                    <c:v> 22 </c:v>
                  </c:pt>
                  <c:pt idx="6">
                    <c:v> 66 </c:v>
                  </c:pt>
                  <c:pt idx="7">
                    <c:v> 946 </c:v>
                  </c:pt>
                  <c:pt idx="8">
                    <c:v> 2 </c:v>
                  </c:pt>
                  <c:pt idx="9">
                    <c:v> 34 </c:v>
                  </c:pt>
                  <c:pt idx="10">
                    <c:v> 44 </c:v>
                  </c:pt>
                  <c:pt idx="11">
                    <c:v> -   </c:v>
                  </c:pt>
                  <c:pt idx="12">
                    <c:v> 88 </c:v>
                  </c:pt>
                  <c:pt idx="13">
                    <c:v> 773 </c:v>
                  </c:pt>
                  <c:pt idx="14">
                    <c:v> -   </c:v>
                  </c:pt>
                  <c:pt idx="15">
                    <c:v> -   </c:v>
                  </c:pt>
                  <c:pt idx="16">
                    <c:v> -   </c:v>
                  </c:pt>
                  <c:pt idx="17">
                    <c:v> -   </c:v>
                  </c:pt>
                  <c:pt idx="18">
                    <c:v> -   </c:v>
                  </c:pt>
                  <c:pt idx="19">
                    <c:v> -   </c:v>
                  </c:pt>
                  <c:pt idx="20">
                    <c:v> -   </c:v>
                  </c:pt>
                  <c:pt idx="21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245E-4CC6-B0E2-0E6B0A03C3F8}"/>
            </c:ext>
          </c:extLst>
        </c:ser>
        <c:ser>
          <c:idx val="1"/>
          <c:order val="4"/>
          <c:tx>
            <c:strRef>
              <c:f>'07. Chart_QUỐC GIA'!$S$6</c:f>
              <c:strCache>
                <c:ptCount val="1"/>
                <c:pt idx="0">
                  <c:v>tỷ trong 25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2707584526652636E-2"/>
                  <c:y val="-5.889136631617728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D109719-3145-4C6C-9B6A-333583F85558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145732AC-3097-4E96-81FD-AD0189B7F25E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6820594026030532E-2"/>
                      <c:h val="0.1249973272123275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245E-4CC6-B0E2-0E6B0A03C3F8}"/>
                </c:ext>
              </c:extLst>
            </c:dLbl>
            <c:dLbl>
              <c:idx val="1"/>
              <c:layout>
                <c:manualLayout>
                  <c:x val="-1.2707584526652636E-2"/>
                  <c:y val="-4.5804367399461324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C5FD22C-BE34-4786-BC6A-5376F8AE4108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FD67CF00-A30E-4F46-8B03-E85FA8273B01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6820594026030532E-2"/>
                      <c:h val="0.1249973272123275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245E-4CC6-B0E2-0E6B0A03C3F8}"/>
                </c:ext>
              </c:extLst>
            </c:dLbl>
            <c:dLbl>
              <c:idx val="2"/>
              <c:layout>
                <c:manualLayout>
                  <c:x val="-1.1295624513804911E-2"/>
                  <c:y val="-3.926086794110335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4367E30-34B7-4CE4-AE7B-33DC619FAA6A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E180E5A1-B4D8-4E96-8D21-3D9B9C820B69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2468434077421432E-2"/>
                      <c:h val="0.1151820780247905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245E-4CC6-B0E2-0E6B0A03C3F8}"/>
                </c:ext>
              </c:extLst>
            </c:dLbl>
            <c:dLbl>
              <c:idx val="3"/>
              <c:layout>
                <c:manualLayout>
                  <c:x val="-8.471760077086346E-3"/>
                  <c:y val="-3.926099675014781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AC3CED4-A5D1-4C93-8E3E-771412988AF5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FABE5C15-E82E-447B-9DF4-2271C40FD9FA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2852986389928432E-2"/>
                      <c:h val="0.1380843261290434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245E-4CC6-B0E2-0E6B0A03C3F8}"/>
                </c:ext>
              </c:extLst>
            </c:dLbl>
            <c:dLbl>
              <c:idx val="4"/>
              <c:layout>
                <c:manualLayout>
                  <c:x val="-9.883720089934071E-3"/>
                  <c:y val="-1.308699891671593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9939E3-25E4-4489-94E4-F9E059F4C0ED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EB3EB907-CA0D-4BAF-A672-C0069A8AB2E7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8617106351385266E-2"/>
                      <c:h val="0.1348125763998644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245E-4CC6-B0E2-0E6B0A03C3F8}"/>
                </c:ext>
              </c:extLst>
            </c:dLbl>
            <c:dLbl>
              <c:idx val="5"/>
              <c:layout>
                <c:manualLayout>
                  <c:x val="-1.2707640115629623E-2"/>
                  <c:y val="-3.271736848274538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2DD289C-7CFE-4C17-B858-FC89171384A1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C08ED290-478B-45C8-93B9-06EBBD644D1C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1441026377080713E-2"/>
                      <c:h val="0.1249973272123275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245E-4CC6-B0E2-0E6B0A03C3F8}"/>
                </c:ext>
              </c:extLst>
            </c:dLbl>
            <c:dLbl>
              <c:idx val="6"/>
              <c:layout>
                <c:manualLayout>
                  <c:x val="-1.2707640115629519E-2"/>
                  <c:y val="-1.63587486458949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CFBC4A-DD76-47AD-BF33-CD495E3BC4FE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32FA651D-65BC-477A-A56F-1A5BD0FB8919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8122920346888557E-2"/>
                      <c:h val="0.1511713250457594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245E-4CC6-B0E2-0E6B0A03C3F8}"/>
                </c:ext>
              </c:extLst>
            </c:dLbl>
            <c:dLbl>
              <c:idx val="7"/>
              <c:layout>
                <c:manualLayout>
                  <c:x val="-1.4119600128477244E-2"/>
                  <c:y val="-1.63587486458949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960BB5E-B067-4590-8572-24304E550DC1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917F868B-5D63-423A-B7D0-C7BCFC653F86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235880038543173E-2"/>
                      <c:h val="0.1642583239624753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245E-4CC6-B0E2-0E6B0A03C3F8}"/>
                </c:ext>
              </c:extLst>
            </c:dLbl>
            <c:dLbl>
              <c:idx val="8"/>
              <c:layout>
                <c:manualLayout>
                  <c:x val="-1.4119600128477244E-2"/>
                  <c:y val="-1.635861983685046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C8DD4F3-4A3C-47CA-A746-53C27A8FDBDA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B9110B5E-F059-45BD-8090-E140F1F3B735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9436043158836941E-2"/>
                      <c:h val="0.1544430747749383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1219-4C55-BE61-A57FF55626A4}"/>
                </c:ext>
              </c:extLst>
            </c:dLbl>
            <c:dLbl>
              <c:idx val="9"/>
              <c:layout>
                <c:manualLayout>
                  <c:x val="-8.4717600770864501E-3"/>
                  <c:y val="-5.07121208022742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6ECED5B-06FD-41C6-A093-F59C5EDF5F8E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1658A26D-DCD9-46D8-9083-B6AA69D219BB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3671923197380114E-2"/>
                      <c:h val="0.1282690769415065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1219-4C55-BE61-A57FF55626A4}"/>
                </c:ext>
              </c:extLst>
            </c:dLbl>
            <c:dLbl>
              <c:idx val="10"/>
              <c:layout>
                <c:manualLayout>
                  <c:x val="-9.8837200899341733E-3"/>
                  <c:y val="-8.179245513902993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18AC93B-F86A-407C-B4BD-1C3BE4618C15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68DA6287-858F-4719-9D0C-BF92BFE4DE02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9436043158836941E-2"/>
                      <c:h val="0.13154082667068551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1219-4C55-BE61-A57FF55626A4}"/>
                </c:ext>
              </c:extLst>
            </c:dLbl>
            <c:dLbl>
              <c:idx val="11"/>
              <c:layout>
                <c:manualLayout>
                  <c:x val="-1.411960012847714E-2"/>
                  <c:y val="-3.598911821192436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34DC2-5BF2-4EFC-92AD-913238B98AC7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65E16BB1-251B-4827-BAC1-2AE0C1D9F54B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2881225590185389E-2"/>
                      <c:h val="0.1283984012221401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4D0-4EFA-AE04-D8B61C4B0E5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45BCD38-654C-4E92-8F2F-4A78FBAECFB1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E2A96BE3-CD50-4DE5-8CB0-9897790CCD7E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4D0-4EFA-AE04-D8B61C4B0E5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7EC0135-CD26-4251-8B4C-B569BD6B68B1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EAD2D8A1-0A53-4643-BAF0-AA0BC8FF2475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4D0-4EFA-AE04-D8B61C4B0E5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F5C194D-C4C9-4506-9705-4D4DBB219647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184B7846-2E7A-4DF3-B9FD-98A21C7044C7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4D0-4EFA-AE04-D8B61C4B0E5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7E527926-7B78-4CA0-A49A-4EA9E82911E5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798F8754-8E9E-4D80-A211-AE2B7649BAC4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4D0-4EFA-AE04-D8B61C4B0E59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23C0D8D-6508-488E-A062-26BB4322C7C8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1881FADA-4625-4EF1-B63B-6B26BA1E2C43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902D-4941-BADF-7CB94914FE8C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6CA609A-5541-47F5-8256-BC8B70A661FA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FA44D10D-4C73-4E9F-BBE3-FAAD88814ACF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9EF-4216-A679-EBB4015D6B43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4297903-9884-486E-A9A6-C71124FAD49C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6B82F5EC-8852-4400-BCAA-3DD77E801346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9EF-4216-A679-EBB4015D6B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GIA'!$Q$7:$Q$28</c15:sqref>
                  </c15:fullRef>
                </c:ext>
              </c:extLst>
              <c:f>('07. Chart_QUỐC GIA'!$Q$7:$Q$23,'07. Chart_QUỐC GIA'!$Q$26:$Q$27)</c:f>
              <c:strCache>
                <c:ptCount val="19"/>
                <c:pt idx="0">
                  <c:v>Mỹ</c:v>
                </c:pt>
                <c:pt idx="1">
                  <c:v>VN</c:v>
                </c:pt>
                <c:pt idx="2">
                  <c:v>Bồ Đào Nha</c:v>
                </c:pt>
                <c:pt idx="3">
                  <c:v>Luxembourg</c:v>
                </c:pt>
                <c:pt idx="4">
                  <c:v>Hong Kong</c:v>
                </c:pt>
                <c:pt idx="5">
                  <c:v>Thụy Sĩ</c:v>
                </c:pt>
                <c:pt idx="6">
                  <c:v>Hàn Quốc</c:v>
                </c:pt>
                <c:pt idx="7">
                  <c:v>Singapore</c:v>
                </c:pt>
                <c:pt idx="8">
                  <c:v>Nhật</c:v>
                </c:pt>
                <c:pt idx="9">
                  <c:v>Israel</c:v>
                </c:pt>
                <c:pt idx="10">
                  <c:v>Hy Lạp</c:v>
                </c:pt>
                <c:pt idx="11">
                  <c:v>Bulgaria</c:v>
                </c:pt>
                <c:pt idx="12">
                  <c:v>Australia</c:v>
                </c:pt>
                <c:pt idx="13">
                  <c:v>Mexico</c:v>
                </c:pt>
                <c:pt idx="14">
                  <c:v>Pháp</c:v>
                </c:pt>
                <c:pt idx="15">
                  <c:v>Italy</c:v>
                </c:pt>
                <c:pt idx="16">
                  <c:v>Colombia</c:v>
                </c:pt>
                <c:pt idx="17">
                  <c:v>0</c:v>
                </c:pt>
                <c:pt idx="18">
                  <c:v>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GIA'!$S$7:$S$28</c15:sqref>
                  </c15:fullRef>
                </c:ext>
              </c:extLst>
              <c:f>('07. Chart_QUỐC GIA'!$S$7:$S$23,'07. Chart_QUỐC GIA'!$S$26:$S$27)</c:f>
              <c:numCache>
                <c:formatCode>0%</c:formatCode>
                <c:ptCount val="19"/>
                <c:pt idx="0">
                  <c:v>0.4007069136151562</c:v>
                </c:pt>
                <c:pt idx="1">
                  <c:v>0.32427541354446487</c:v>
                </c:pt>
                <c:pt idx="2">
                  <c:v>0.1748904283896508</c:v>
                </c:pt>
                <c:pt idx="3">
                  <c:v>3.3592534992223949E-2</c:v>
                </c:pt>
                <c:pt idx="4">
                  <c:v>1.2441679626749611E-2</c:v>
                </c:pt>
                <c:pt idx="5">
                  <c:v>1.181959564541213E-2</c:v>
                </c:pt>
                <c:pt idx="6" formatCode="0.0%">
                  <c:v>9.2464300862434602E-3</c:v>
                </c:pt>
                <c:pt idx="7" formatCode="0.0%">
                  <c:v>6.2208398133748056E-3</c:v>
                </c:pt>
                <c:pt idx="8" formatCode="0.0%">
                  <c:v>5.9663509119185637E-3</c:v>
                </c:pt>
                <c:pt idx="9" formatCode="0.0%">
                  <c:v>4.9766718506998441E-3</c:v>
                </c:pt>
                <c:pt idx="10" formatCode="0.0%">
                  <c:v>3.1104199066874028E-3</c:v>
                </c:pt>
                <c:pt idx="11" formatCode="0.0%">
                  <c:v>3.1104199066874028E-3</c:v>
                </c:pt>
                <c:pt idx="12">
                  <c:v>2.4883359253499221E-3</c:v>
                </c:pt>
                <c:pt idx="13">
                  <c:v>2.0359112116499363E-3</c:v>
                </c:pt>
                <c:pt idx="14">
                  <c:v>1.8662519440124418E-3</c:v>
                </c:pt>
                <c:pt idx="15">
                  <c:v>1.3289975964937085E-3</c:v>
                </c:pt>
                <c:pt idx="16">
                  <c:v>1.215891418068712E-3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'07. Chart_QUỐC GIA'!$R$7:$R$28</c15:f>
                <c15:dlblRangeCache>
                  <c:ptCount val="22"/>
                  <c:pt idx="0">
                    <c:v> 14,171 </c:v>
                  </c:pt>
                  <c:pt idx="1">
                    <c:v> 11,468 </c:v>
                  </c:pt>
                  <c:pt idx="2">
                    <c:v> 6,185 </c:v>
                  </c:pt>
                  <c:pt idx="3">
                    <c:v> 1,188 </c:v>
                  </c:pt>
                  <c:pt idx="4">
                    <c:v> 440 </c:v>
                  </c:pt>
                  <c:pt idx="5">
                    <c:v> 418 </c:v>
                  </c:pt>
                  <c:pt idx="6">
                    <c:v> 327 </c:v>
                  </c:pt>
                  <c:pt idx="7">
                    <c:v> 220 </c:v>
                  </c:pt>
                  <c:pt idx="8">
                    <c:v> 211 </c:v>
                  </c:pt>
                  <c:pt idx="9">
                    <c:v> 176 </c:v>
                  </c:pt>
                  <c:pt idx="10">
                    <c:v> 110 </c:v>
                  </c:pt>
                  <c:pt idx="11">
                    <c:v> 110 </c:v>
                  </c:pt>
                  <c:pt idx="12">
                    <c:v> 88 </c:v>
                  </c:pt>
                  <c:pt idx="13">
                    <c:v> 72 </c:v>
                  </c:pt>
                  <c:pt idx="14">
                    <c:v> 66 </c:v>
                  </c:pt>
                  <c:pt idx="15">
                    <c:v> 47 </c:v>
                  </c:pt>
                  <c:pt idx="16">
                    <c:v> 43 </c:v>
                  </c:pt>
                  <c:pt idx="17">
                    <c:v> 23 </c:v>
                  </c:pt>
                  <c:pt idx="18">
                    <c:v> 2 </c:v>
                  </c:pt>
                  <c:pt idx="19">
                    <c:v> -   </c:v>
                  </c:pt>
                  <c:pt idx="20">
                    <c:v> -   </c:v>
                  </c:pt>
                  <c:pt idx="21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245E-4CC6-B0E2-0E6B0A03C3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06165839"/>
        <c:axId val="1206202799"/>
      </c:lineChart>
      <c:catAx>
        <c:axId val="46016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70559"/>
        <c:crosses val="autoZero"/>
        <c:auto val="1"/>
        <c:lblAlgn val="ctr"/>
        <c:lblOffset val="100"/>
        <c:noMultiLvlLbl val="0"/>
      </c:catAx>
      <c:valAx>
        <c:axId val="460170559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8639"/>
        <c:crosses val="autoZero"/>
        <c:crossBetween val="between"/>
      </c:valAx>
      <c:valAx>
        <c:axId val="1206202799"/>
        <c:scaling>
          <c:orientation val="minMax"/>
          <c:min val="-5.000000000000001E-2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165839"/>
        <c:crosses val="max"/>
        <c:crossBetween val="between"/>
      </c:valAx>
      <c:catAx>
        <c:axId val="12061658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062027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'07. Chart_QUỐC GIA'!$C$77</c:f>
          <c:strCache>
            <c:ptCount val="1"/>
            <c:pt idx="0">
              <c:v>DOANH THU THEO QUỐC GIA T8/25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C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3593704165168813E-2"/>
          <c:y val="0.12305997577875977"/>
          <c:w val="0.96915687848753007"/>
          <c:h val="0.7028886959044154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'07. Chart_QUỐC GIA'!$F$55</c:f>
              <c:strCache>
                <c:ptCount val="1"/>
                <c:pt idx="0">
                  <c:v> 2,024 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GIA'!$C$56:$C$75</c15:sqref>
                  </c15:fullRef>
                </c:ext>
              </c:extLst>
              <c:f>('07. Chart_QUỐC GIA'!$C$56:$C$62,'07. Chart_QUỐC GIA'!$C$72:$C$74)</c:f>
              <c:strCache>
                <c:ptCount val="10"/>
                <c:pt idx="0">
                  <c:v>VN</c:v>
                </c:pt>
                <c:pt idx="1">
                  <c:v>Mỹ</c:v>
                </c:pt>
                <c:pt idx="2">
                  <c:v>Bồ Đào Nha</c:v>
                </c:pt>
                <c:pt idx="3">
                  <c:v>Hong Kong</c:v>
                </c:pt>
                <c:pt idx="4">
                  <c:v>Luxembourg</c:v>
                </c:pt>
                <c:pt idx="5">
                  <c:v>Hy Lạp</c:v>
                </c:pt>
                <c:pt idx="6">
                  <c:v>Australia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GIA'!$F$56:$F$75</c15:sqref>
                  </c15:fullRef>
                </c:ext>
              </c:extLst>
              <c:f>('07. Chart_QUỐC GIA'!$F$56:$F$62,'07. Chart_QUỐC GIA'!$F$72:$F$74)</c:f>
              <c:numCache>
                <c:formatCode>_(* #,##0_);_(* \(#,##0\);_(* "-"??_);_(@_)</c:formatCode>
                <c:ptCount val="10"/>
                <c:pt idx="0">
                  <c:v>1820.3523902468637</c:v>
                </c:pt>
                <c:pt idx="1">
                  <c:v>2031.9611751112907</c:v>
                </c:pt>
                <c:pt idx="2">
                  <c:v>966.97968433832466</c:v>
                </c:pt>
                <c:pt idx="3">
                  <c:v>950.63541157426141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D0-45E0-86C9-AF067009614A}"/>
            </c:ext>
          </c:extLst>
        </c:ser>
        <c:ser>
          <c:idx val="0"/>
          <c:order val="2"/>
          <c:tx>
            <c:strRef>
              <c:f>'07. Chart_QUỐC GIA'!$D$55</c:f>
              <c:strCache>
                <c:ptCount val="1"/>
                <c:pt idx="0">
                  <c:v> 2,025 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GIA'!$C$56:$C$75</c15:sqref>
                  </c15:fullRef>
                </c:ext>
              </c:extLst>
              <c:f>('07. Chart_QUỐC GIA'!$C$56:$C$62,'07. Chart_QUỐC GIA'!$C$72:$C$74)</c:f>
              <c:strCache>
                <c:ptCount val="10"/>
                <c:pt idx="0">
                  <c:v>VN</c:v>
                </c:pt>
                <c:pt idx="1">
                  <c:v>Mỹ</c:v>
                </c:pt>
                <c:pt idx="2">
                  <c:v>Bồ Đào Nha</c:v>
                </c:pt>
                <c:pt idx="3">
                  <c:v>Hong Kong</c:v>
                </c:pt>
                <c:pt idx="4">
                  <c:v>Luxembourg</c:v>
                </c:pt>
                <c:pt idx="5">
                  <c:v>Hy Lạp</c:v>
                </c:pt>
                <c:pt idx="6">
                  <c:v>Australia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GIA'!$D$56:$D$75</c15:sqref>
                  </c15:fullRef>
                </c:ext>
              </c:extLst>
              <c:f>('07. Chart_QUỐC GIA'!$D$56:$D$62,'07. Chart_QUỐC GIA'!$D$72:$D$74)</c:f>
              <c:numCache>
                <c:formatCode>_(* #,##0_);_(* \(#,##0\);_(* "-"??_);_(@_)</c:formatCode>
                <c:ptCount val="10"/>
                <c:pt idx="0">
                  <c:v>2658.1882522536284</c:v>
                </c:pt>
                <c:pt idx="1">
                  <c:v>1971.3432117647058</c:v>
                </c:pt>
                <c:pt idx="2">
                  <c:v>1100.5252100840337</c:v>
                </c:pt>
                <c:pt idx="3">
                  <c:v>223.37142857142857</c:v>
                </c:pt>
                <c:pt idx="4">
                  <c:v>144.63900000000001</c:v>
                </c:pt>
                <c:pt idx="5">
                  <c:v>75.100235294117653</c:v>
                </c:pt>
                <c:pt idx="6">
                  <c:v>56.018823529411769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B7D0-45E0-86C9-AF067009614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460168639"/>
        <c:axId val="460170559"/>
        <c:extLst/>
      </c:barChart>
      <c:lineChart>
        <c:grouping val="standard"/>
        <c:varyColors val="0"/>
        <c:ser>
          <c:idx val="2"/>
          <c:order val="1"/>
          <c:tx>
            <c:strRef>
              <c:f>'07. Chart_QUỐC GIA'!$G$55</c:f>
              <c:strCache>
                <c:ptCount val="1"/>
                <c:pt idx="0">
                  <c:v>tỷ trong 24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7.2240270605378673E-2"/>
                  <c:y val="9.488056445124670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B0BB4E6-6C2B-46DF-B810-A7D20840FB74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768B6CD6-F680-4E69-AE59-587F55E7A02B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7.0174572968786417E-2"/>
                      <c:h val="0.1086385225919354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7D0-45E0-86C9-AF067009614A}"/>
                </c:ext>
              </c:extLst>
            </c:dLbl>
            <c:dLbl>
              <c:idx val="1"/>
              <c:layout>
                <c:manualLayout>
                  <c:x val="-7.1572880683304349E-2"/>
                  <c:y val="8.015769825569457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012FC3A-6728-40CD-9CA7-4FA9C74995E2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4D35077E-4DC0-45D3-B7D0-2690F104C580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3927281879353162E-2"/>
                      <c:h val="0.1184537667223035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B7D0-45E0-86C9-AF067009614A}"/>
                </c:ext>
              </c:extLst>
            </c:dLbl>
            <c:dLbl>
              <c:idx val="2"/>
              <c:layout>
                <c:manualLayout>
                  <c:x val="-6.2485835717370895E-2"/>
                  <c:y val="7.852195304294465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AAFBB08-29D7-47AD-9B7A-A93D90283F99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CF0E0458-1B57-44FF-9507-D41DA6D20227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985455259191876E-2"/>
                      <c:h val="0.128269010852671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B7D0-45E0-86C9-AF067009614A}"/>
                </c:ext>
              </c:extLst>
            </c:dLbl>
            <c:dLbl>
              <c:idx val="3"/>
              <c:layout>
                <c:manualLayout>
                  <c:x val="-5.6915827761750575E-2"/>
                  <c:y val="1.6360028307059824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1EFFABD-2CC5-4D2A-9CEE-CCA209A44678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69E27527-A82B-4C97-B21E-956A2ACC44BA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0381823963038507E-2"/>
                      <c:h val="0.1184537667223035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B7D0-45E0-86C9-AF067009614A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BBB920E-ED9A-4145-96A0-4E01A1AFA697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9F11FB76-1EE4-425E-9F74-0BBF58DB7716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1309096823063253E-2"/>
                      <c:h val="0.1380842549830397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4B1-46E3-BA5C-90219F3B0B67}"/>
                </c:ext>
              </c:extLst>
            </c:dLbl>
            <c:dLbl>
              <c:idx val="5"/>
              <c:layout>
                <c:manualLayout>
                  <c:x val="-6.0544461065778252E-2"/>
                  <c:y val="4.9077508741621296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89164CF-6977-42AF-B7BA-EC1063CE4DBF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5EFE8DBC-422B-4B4A-8C05-8C04C4AC5B56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4945460980023048E-2"/>
                      <c:h val="0.124997262809215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B7D0-45E0-86C9-AF067009614A}"/>
                </c:ext>
              </c:extLst>
            </c:dLbl>
            <c:dLbl>
              <c:idx val="6"/>
              <c:layout>
                <c:manualLayout>
                  <c:x val="-5.8854339134479607E-2"/>
                  <c:y val="-3.2717480434560275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646BAA4-3281-4DA2-A789-A6268C8DF6E8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0FCFEABD-A357-4973-83C1-DFE67AD9F882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612727933103497E-2"/>
                      <c:h val="0.1380842549830397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4B1-46E3-BA5C-90219F3B0B6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F679883-2359-4084-B7C8-191E539C5E12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1556A499-EFCD-4DED-8031-9C0A75A93C78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5DB9-44B8-8272-F3151749B61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30067CE-5557-44F7-8969-14A2D53FE59F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23059621-A512-44F3-A0E6-7F7AE02E67BC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5DB9-44B8-8272-F3151749B61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FC5D230-DE0F-4A5B-8686-D10E86AA63A3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43E0D53D-BE49-449C-BB64-D4831116CD11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5DB9-44B8-8272-F3151749B6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Lit>
              <c:ptCount val="10"/>
              <c:pt idx="0">
                <c:v>VN</c:v>
              </c:pt>
              <c:pt idx="1">
                <c:v>Mỹ</c:v>
              </c:pt>
              <c:pt idx="2">
                <c:v>Bồ Đào Nha</c:v>
              </c:pt>
              <c:pt idx="3">
                <c:v>Hong Kong</c:v>
              </c:pt>
              <c:pt idx="4">
                <c:v>Luxembourg</c:v>
              </c:pt>
              <c:pt idx="5">
                <c:v>Hy Lạp</c:v>
              </c:pt>
              <c:pt idx="6">
                <c:v>Australia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GIA'!$G$56:$G$75</c15:sqref>
                  </c15:fullRef>
                </c:ext>
              </c:extLst>
              <c:f>('07. Chart_QUỐC GIA'!$G$56:$G$62,'07. Chart_QUỐC GIA'!$G$72:$G$74)</c:f>
              <c:numCache>
                <c:formatCode>0%</c:formatCode>
                <c:ptCount val="10"/>
                <c:pt idx="0">
                  <c:v>0.31548958351349154</c:v>
                </c:pt>
                <c:pt idx="1">
                  <c:v>0.35216400312716895</c:v>
                </c:pt>
                <c:pt idx="2">
                  <c:v>0.16758953898840093</c:v>
                </c:pt>
                <c:pt idx="3">
                  <c:v>0.16475687437093861</c:v>
                </c:pt>
                <c:pt idx="4">
                  <c:v>0</c:v>
                </c:pt>
                <c:pt idx="5">
                  <c:v>0</c:v>
                </c:pt>
                <c:pt idx="6" formatCode="0.0%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'07. Chart_QUỐC GIA'!$F$56:$F$75</c15:f>
                <c15:dlblRangeCache>
                  <c:ptCount val="20"/>
                  <c:pt idx="0">
                    <c:v> 1,820 </c:v>
                  </c:pt>
                  <c:pt idx="1">
                    <c:v> 2,032 </c:v>
                  </c:pt>
                  <c:pt idx="2">
                    <c:v> 967 </c:v>
                  </c:pt>
                  <c:pt idx="3">
                    <c:v> 951 </c:v>
                  </c:pt>
                  <c:pt idx="4">
                    <c:v> -   </c:v>
                  </c:pt>
                  <c:pt idx="5">
                    <c:v> -   </c:v>
                  </c:pt>
                  <c:pt idx="6">
                    <c:v> -   </c:v>
                  </c:pt>
                  <c:pt idx="7">
                    <c:v> -   </c:v>
                  </c:pt>
                  <c:pt idx="8">
                    <c:v> -   </c:v>
                  </c:pt>
                  <c:pt idx="9">
                    <c:v> -   </c:v>
                  </c:pt>
                  <c:pt idx="10">
                    <c:v> -   </c:v>
                  </c:pt>
                  <c:pt idx="11">
                    <c:v> -   </c:v>
                  </c:pt>
                  <c:pt idx="12">
                    <c:v> -   </c:v>
                  </c:pt>
                  <c:pt idx="13">
                    <c:v> -   </c:v>
                  </c:pt>
                  <c:pt idx="14">
                    <c:v> -   </c:v>
                  </c:pt>
                  <c:pt idx="15">
                    <c:v> -   </c:v>
                  </c:pt>
                  <c:pt idx="16">
                    <c:v> -   </c:v>
                  </c:pt>
                  <c:pt idx="17">
                    <c:v> -   </c:v>
                  </c:pt>
                  <c:pt idx="18">
                    <c:v> -   </c:v>
                  </c:pt>
                  <c:pt idx="19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B7D0-45E0-86C9-AF067009614A}"/>
            </c:ext>
          </c:extLst>
        </c:ser>
        <c:ser>
          <c:idx val="3"/>
          <c:order val="3"/>
          <c:tx>
            <c:strRef>
              <c:f>'07. Chart_QUỐC GIA'!$E$55</c:f>
              <c:strCache>
                <c:ptCount val="1"/>
                <c:pt idx="0">
                  <c:v>tỷ trong 25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1601776019011608E-2"/>
                  <c:y val="-7.852221066090084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01A641B-DF6D-4C0D-9E8C-6AEE5DCD1DCC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7C9A2FB1-CDF1-44CE-8C00-7BF0953BEE20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4244340519239329E-2"/>
                      <c:h val="0.1348125069395836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7D0-45E0-86C9-AF067009614A}"/>
                </c:ext>
              </c:extLst>
            </c:dLbl>
            <c:dLbl>
              <c:idx val="1"/>
              <c:layout>
                <c:manualLayout>
                  <c:x val="-1.9090983406010509E-2"/>
                  <c:y val="-6.543508967809863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E593690-0DD4-47CC-A9BC-EF19799C9026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0211CAAD-C9DB-4ED4-B42D-6CAB7090C2E7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5745463957833053E-2"/>
                      <c:h val="0.1544429952003198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B7D0-45E0-86C9-AF067009614A}"/>
                </c:ext>
              </c:extLst>
            </c:dLbl>
            <c:dLbl>
              <c:idx val="2"/>
              <c:layout>
                <c:manualLayout>
                  <c:x val="-1.9075378536203082E-2"/>
                  <c:y val="-3.27176092435384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9DA92B2-3BC8-409F-91A9-1E1FFE859390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019D4032-2C2E-403A-8BCD-F924A02A09DA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2109099800873264E-2"/>
                      <c:h val="0.1478994991134077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B7D0-45E0-86C9-AF067009614A}"/>
                </c:ext>
              </c:extLst>
            </c:dLbl>
            <c:dLbl>
              <c:idx val="3"/>
              <c:layout>
                <c:manualLayout>
                  <c:x val="-1.4545456627839173E-2"/>
                  <c:y val="-6.5434960869121747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9D4737A-8B81-4A29-BFAF-7D6FEA408135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130D071F-3C68-45EE-83E3-7EDAE109804B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7909097767945288E-2"/>
                      <c:h val="0.1413560030264957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94B1-46E3-BA5C-90219F3B0B67}"/>
                </c:ext>
              </c:extLst>
            </c:dLbl>
            <c:dLbl>
              <c:idx val="4"/>
              <c:layout>
                <c:manualLayout>
                  <c:x val="-1.8181820784798967E-2"/>
                  <c:y val="-6.5433672779339662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884E7C-DC04-4D27-9239-001BB4D795E3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DC7682F3-7826-492C-8737-69ADBE8B112F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3363644003384968E-2"/>
                      <c:h val="0.124997262809215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94B1-46E3-BA5C-90219F3B0B67}"/>
                </c:ext>
              </c:extLst>
            </c:dLbl>
            <c:dLbl>
              <c:idx val="5"/>
              <c:layout>
                <c:manualLayout>
                  <c:x val="-1.0909092470879513E-2"/>
                  <c:y val="1.2880897808881998E-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CD29B4B-3342-4832-AD6A-8E61A627BE06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11CF4470-3300-4ED0-937A-B1BA252223F8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3236371257891373E-2"/>
                      <c:h val="0.124997262809215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94B1-46E3-BA5C-90219F3B0B67}"/>
                </c:ext>
              </c:extLst>
            </c:dLbl>
            <c:dLbl>
              <c:idx val="6"/>
              <c:layout>
                <c:manualLayout>
                  <c:x val="-1.454538504586758E-2"/>
                  <c:y val="-1.77042788023960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D3FECA6-1C8C-4402-8EB2-524D29A7F393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34281C99-41CA-4D09-A585-B00F33296424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8854543671122167E-2"/>
                      <c:h val="0.1419367878659526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94B1-46E3-BA5C-90219F3B0B6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74ADC2E-0601-4152-8C52-7EAA7C010EA9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C445B9DC-EB91-474A-BAF3-13E1102698D2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5DB9-44B8-8272-F3151749B61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EB26904-8696-4001-A1DF-155C06FDF7EC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37186785-AF50-460F-863D-724B609B2627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5DB9-44B8-8272-F3151749B61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1032395-8BBA-4AF5-9F70-53F3372CD119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763E0614-1ED4-433B-A5FA-FB08D1B80DAA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5DB9-44B8-8272-F3151749B6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GIA'!$C$56:$C$75</c15:sqref>
                  </c15:fullRef>
                </c:ext>
              </c:extLst>
              <c:f>('07. Chart_QUỐC GIA'!$C$56:$C$62,'07. Chart_QUỐC GIA'!$C$72:$C$74)</c:f>
              <c:strCache>
                <c:ptCount val="10"/>
                <c:pt idx="0">
                  <c:v>VN</c:v>
                </c:pt>
                <c:pt idx="1">
                  <c:v>Mỹ</c:v>
                </c:pt>
                <c:pt idx="2">
                  <c:v>Bồ Đào Nha</c:v>
                </c:pt>
                <c:pt idx="3">
                  <c:v>Hong Kong</c:v>
                </c:pt>
                <c:pt idx="4">
                  <c:v>Luxembourg</c:v>
                </c:pt>
                <c:pt idx="5">
                  <c:v>Hy Lạp</c:v>
                </c:pt>
                <c:pt idx="6">
                  <c:v>Australia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GIA'!$E$56:$E$75</c15:sqref>
                  </c15:fullRef>
                </c:ext>
              </c:extLst>
              <c:f>('07. Chart_QUỐC GIA'!$E$56:$E$62,'07. Chart_QUỐC GIA'!$E$72:$E$74)</c:f>
              <c:numCache>
                <c:formatCode>0%</c:formatCode>
                <c:ptCount val="10"/>
                <c:pt idx="0">
                  <c:v>0.42673122673454872</c:v>
                </c:pt>
                <c:pt idx="1">
                  <c:v>0.31646882283750027</c:v>
                </c:pt>
                <c:pt idx="2">
                  <c:v>0.17667239051007869</c:v>
                </c:pt>
                <c:pt idx="3">
                  <c:v>3.5858846208849889E-2</c:v>
                </c:pt>
                <c:pt idx="4">
                  <c:v>2.3219566127918187E-2</c:v>
                </c:pt>
                <c:pt idx="5">
                  <c:v>1.2056187332835405E-2</c:v>
                </c:pt>
                <c:pt idx="6" formatCode="0.0%">
                  <c:v>8.9929602482688321E-3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'07. Chart_QUỐC GIA'!$D$56:$D$75</c15:f>
                <c15:dlblRangeCache>
                  <c:ptCount val="20"/>
                  <c:pt idx="0">
                    <c:v> 2,658 </c:v>
                  </c:pt>
                  <c:pt idx="1">
                    <c:v> 1,971 </c:v>
                  </c:pt>
                  <c:pt idx="2">
                    <c:v> 1,101 </c:v>
                  </c:pt>
                  <c:pt idx="3">
                    <c:v> 223 </c:v>
                  </c:pt>
                  <c:pt idx="4">
                    <c:v> 145 </c:v>
                  </c:pt>
                  <c:pt idx="5">
                    <c:v> 75 </c:v>
                  </c:pt>
                  <c:pt idx="6">
                    <c:v> 56 </c:v>
                  </c:pt>
                  <c:pt idx="7">
                    <c:v> -   </c:v>
                  </c:pt>
                  <c:pt idx="8">
                    <c:v> -   </c:v>
                  </c:pt>
                  <c:pt idx="9">
                    <c:v> -   </c:v>
                  </c:pt>
                  <c:pt idx="10">
                    <c:v> -   </c:v>
                  </c:pt>
                  <c:pt idx="11">
                    <c:v> -   </c:v>
                  </c:pt>
                  <c:pt idx="12">
                    <c:v> -   </c:v>
                  </c:pt>
                  <c:pt idx="13">
                    <c:v> -   </c:v>
                  </c:pt>
                  <c:pt idx="14">
                    <c:v> -   </c:v>
                  </c:pt>
                  <c:pt idx="15">
                    <c:v> -   </c:v>
                  </c:pt>
                  <c:pt idx="16">
                    <c:v> -   </c:v>
                  </c:pt>
                  <c:pt idx="17">
                    <c:v> -   </c:v>
                  </c:pt>
                  <c:pt idx="18">
                    <c:v> -   </c:v>
                  </c:pt>
                  <c:pt idx="19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B7D0-45E0-86C9-AF0670096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6165839"/>
        <c:axId val="1206202799"/>
      </c:lineChart>
      <c:catAx>
        <c:axId val="46016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70559"/>
        <c:crosses val="autoZero"/>
        <c:auto val="1"/>
        <c:lblAlgn val="ctr"/>
        <c:lblOffset val="100"/>
        <c:noMultiLvlLbl val="0"/>
      </c:catAx>
      <c:valAx>
        <c:axId val="460170559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8639"/>
        <c:crosses val="autoZero"/>
        <c:crossBetween val="between"/>
      </c:valAx>
      <c:valAx>
        <c:axId val="1206202799"/>
        <c:scaling>
          <c:orientation val="minMax"/>
          <c:min val="-5.000000000000001E-2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165839"/>
        <c:crosses val="max"/>
        <c:crossBetween val="between"/>
      </c:valAx>
      <c:catAx>
        <c:axId val="12061658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062027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'07. Chart_QUỐC GIA'!$R$77</c:f>
          <c:strCache>
            <c:ptCount val="1"/>
            <c:pt idx="0">
              <c:v>LŨY KẾ DOANH THU THEO QUỐC GIA T8/25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C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7926701624064056E-2"/>
          <c:y val="0.11910837394895094"/>
          <c:w val="0.96985318906213636"/>
          <c:h val="0.71597671855006428"/>
        </c:manualLayout>
      </c:layout>
      <c:barChart>
        <c:barDir val="col"/>
        <c:grouping val="clustered"/>
        <c:varyColors val="0"/>
        <c:ser>
          <c:idx val="3"/>
          <c:order val="1"/>
          <c:tx>
            <c:strRef>
              <c:f>'07. Chart_QUỐC GIA'!$T$55</c:f>
              <c:strCache>
                <c:ptCount val="1"/>
                <c:pt idx="0">
                  <c:v> 2,024 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GIA'!$Q$56:$Q$75</c15:sqref>
                  </c15:fullRef>
                </c:ext>
              </c:extLst>
              <c:f>'07. Chart_QUỐC GIA'!$Q$56:$Q$72</c:f>
              <c:strCache>
                <c:ptCount val="17"/>
                <c:pt idx="0">
                  <c:v>Mỹ</c:v>
                </c:pt>
                <c:pt idx="1">
                  <c:v>VN</c:v>
                </c:pt>
                <c:pt idx="2">
                  <c:v>Bồ Đào Nha</c:v>
                </c:pt>
                <c:pt idx="3">
                  <c:v>Luxembourg</c:v>
                </c:pt>
                <c:pt idx="4">
                  <c:v>Thụy Sĩ</c:v>
                </c:pt>
                <c:pt idx="5">
                  <c:v>Hong Kong</c:v>
                </c:pt>
                <c:pt idx="6">
                  <c:v>Hàn Quốc</c:v>
                </c:pt>
                <c:pt idx="7">
                  <c:v>Nhật</c:v>
                </c:pt>
                <c:pt idx="8">
                  <c:v>Israel</c:v>
                </c:pt>
                <c:pt idx="9">
                  <c:v>Singapore</c:v>
                </c:pt>
                <c:pt idx="10">
                  <c:v>Hy Lạp</c:v>
                </c:pt>
                <c:pt idx="11">
                  <c:v>Bulgaria</c:v>
                </c:pt>
                <c:pt idx="12">
                  <c:v>Australia</c:v>
                </c:pt>
                <c:pt idx="13">
                  <c:v>Mexico</c:v>
                </c:pt>
                <c:pt idx="14">
                  <c:v>Pháp</c:v>
                </c:pt>
                <c:pt idx="15">
                  <c:v>Italy</c:v>
                </c:pt>
                <c:pt idx="16">
                  <c:v>Canada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GIA'!$T$56:$T$75</c15:sqref>
                  </c15:fullRef>
                </c:ext>
              </c:extLst>
              <c:f>'07. Chart_QUỐC GIA'!$T$56:$T$72</c:f>
              <c:numCache>
                <c:formatCode>_(* #,##0_);_(* \(#,##0\);_(* "-"??_);_(@_)</c:formatCode>
                <c:ptCount val="17"/>
                <c:pt idx="0">
                  <c:v>8413.1239725098112</c:v>
                </c:pt>
                <c:pt idx="1">
                  <c:v>12341.23872195747</c:v>
                </c:pt>
                <c:pt idx="2">
                  <c:v>2785.1081641770347</c:v>
                </c:pt>
                <c:pt idx="3">
                  <c:v>0</c:v>
                </c:pt>
                <c:pt idx="4">
                  <c:v>29.985120000000002</c:v>
                </c:pt>
                <c:pt idx="5">
                  <c:v>1174.9346198578137</c:v>
                </c:pt>
                <c:pt idx="6">
                  <c:v>89.834740922934614</c:v>
                </c:pt>
                <c:pt idx="7">
                  <c:v>2.6596869772998804</c:v>
                </c:pt>
                <c:pt idx="8">
                  <c:v>45.154361790316045</c:v>
                </c:pt>
                <c:pt idx="9">
                  <c:v>1047.4391010887098</c:v>
                </c:pt>
                <c:pt idx="10">
                  <c:v>55.906220408163264</c:v>
                </c:pt>
                <c:pt idx="11">
                  <c:v>0</c:v>
                </c:pt>
                <c:pt idx="12">
                  <c:v>111.48097612903226</c:v>
                </c:pt>
                <c:pt idx="13">
                  <c:v>937.29026957167173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05-41FD-BC10-BDCA0881E69F}"/>
            </c:ext>
          </c:extLst>
        </c:ser>
        <c:ser>
          <c:idx val="2"/>
          <c:order val="3"/>
          <c:tx>
            <c:strRef>
              <c:f>'07. Chart_QUỐC GIA'!$R$55</c:f>
              <c:strCache>
                <c:ptCount val="1"/>
                <c:pt idx="0">
                  <c:v> 2,025 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GIA'!$Q$56:$Q$75</c15:sqref>
                  </c15:fullRef>
                </c:ext>
              </c:extLst>
              <c:f>'07. Chart_QUỐC GIA'!$Q$56:$Q$72</c:f>
              <c:strCache>
                <c:ptCount val="17"/>
                <c:pt idx="0">
                  <c:v>Mỹ</c:v>
                </c:pt>
                <c:pt idx="1">
                  <c:v>VN</c:v>
                </c:pt>
                <c:pt idx="2">
                  <c:v>Bồ Đào Nha</c:v>
                </c:pt>
                <c:pt idx="3">
                  <c:v>Luxembourg</c:v>
                </c:pt>
                <c:pt idx="4">
                  <c:v>Thụy Sĩ</c:v>
                </c:pt>
                <c:pt idx="5">
                  <c:v>Hong Kong</c:v>
                </c:pt>
                <c:pt idx="6">
                  <c:v>Hàn Quốc</c:v>
                </c:pt>
                <c:pt idx="7">
                  <c:v>Nhật</c:v>
                </c:pt>
                <c:pt idx="8">
                  <c:v>Israel</c:v>
                </c:pt>
                <c:pt idx="9">
                  <c:v>Singapore</c:v>
                </c:pt>
                <c:pt idx="10">
                  <c:v>Hy Lạp</c:v>
                </c:pt>
                <c:pt idx="11">
                  <c:v>Bulgaria</c:v>
                </c:pt>
                <c:pt idx="12">
                  <c:v>Australia</c:v>
                </c:pt>
                <c:pt idx="13">
                  <c:v>Mexico</c:v>
                </c:pt>
                <c:pt idx="14">
                  <c:v>Pháp</c:v>
                </c:pt>
                <c:pt idx="15">
                  <c:v>Italy</c:v>
                </c:pt>
                <c:pt idx="16">
                  <c:v>Canada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GIA'!$R$56:$R$75</c15:sqref>
                  </c15:fullRef>
                </c:ext>
              </c:extLst>
              <c:f>'07. Chart_QUỐC GIA'!$R$56:$R$72</c:f>
              <c:numCache>
                <c:formatCode>_(* #,##0_);_(* \(#,##0\);_(* "-"??_);_(@_)</c:formatCode>
                <c:ptCount val="17"/>
                <c:pt idx="0">
                  <c:v>17514.831218299601</c:v>
                </c:pt>
                <c:pt idx="1">
                  <c:v>13971.322060360897</c:v>
                </c:pt>
                <c:pt idx="2">
                  <c:v>7712.9647839649524</c:v>
                </c:pt>
                <c:pt idx="3">
                  <c:v>1659.9365964377726</c:v>
                </c:pt>
                <c:pt idx="4">
                  <c:v>541.11087532329873</c:v>
                </c:pt>
                <c:pt idx="5">
                  <c:v>456.84133597883607</c:v>
                </c:pt>
                <c:pt idx="6">
                  <c:v>405.91939376558167</c:v>
                </c:pt>
                <c:pt idx="7">
                  <c:v>270.04483781008383</c:v>
                </c:pt>
                <c:pt idx="8">
                  <c:v>258.99609271629146</c:v>
                </c:pt>
                <c:pt idx="9">
                  <c:v>248.52568503937007</c:v>
                </c:pt>
                <c:pt idx="10">
                  <c:v>128.48088682031576</c:v>
                </c:pt>
                <c:pt idx="11">
                  <c:v>127.35051104615549</c:v>
                </c:pt>
                <c:pt idx="12">
                  <c:v>114.70888540102818</c:v>
                </c:pt>
                <c:pt idx="13">
                  <c:v>77.673844365526151</c:v>
                </c:pt>
                <c:pt idx="14">
                  <c:v>74.625800992795149</c:v>
                </c:pt>
                <c:pt idx="15">
                  <c:v>54.512583694367862</c:v>
                </c:pt>
                <c:pt idx="16">
                  <c:v>27.266094954640465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05-41FD-BC10-BDCA0881E69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"/>
        <c:axId val="460168639"/>
        <c:axId val="46017055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'07. Chart_QUỐC GIA'!$Q$55</c15:sqref>
                        </c15:formulaRef>
                      </c:ext>
                    </c:extLst>
                    <c:strCache>
                      <c:ptCount val="1"/>
                      <c:pt idx="0">
                        <c:v>Quốc gia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'07. Chart_QUỐC GIA'!$Q$56:$Q$75</c15:sqref>
                        </c15:fullRef>
                        <c15:formulaRef>
                          <c15:sqref>'07. Chart_QUỐC GIA'!$Q$56:$Q$72</c15:sqref>
                        </c15:formulaRef>
                      </c:ext>
                    </c:extLst>
                    <c:strCache>
                      <c:ptCount val="17"/>
                      <c:pt idx="0">
                        <c:v>Mỹ</c:v>
                      </c:pt>
                      <c:pt idx="1">
                        <c:v>VN</c:v>
                      </c:pt>
                      <c:pt idx="2">
                        <c:v>Bồ Đào Nha</c:v>
                      </c:pt>
                      <c:pt idx="3">
                        <c:v>Luxembourg</c:v>
                      </c:pt>
                      <c:pt idx="4">
                        <c:v>Thụy Sĩ</c:v>
                      </c:pt>
                      <c:pt idx="5">
                        <c:v>Hong Kong</c:v>
                      </c:pt>
                      <c:pt idx="6">
                        <c:v>Hàn Quốc</c:v>
                      </c:pt>
                      <c:pt idx="7">
                        <c:v>Nhật</c:v>
                      </c:pt>
                      <c:pt idx="8">
                        <c:v>Israel</c:v>
                      </c:pt>
                      <c:pt idx="9">
                        <c:v>Singapore</c:v>
                      </c:pt>
                      <c:pt idx="10">
                        <c:v>Hy Lạp</c:v>
                      </c:pt>
                      <c:pt idx="11">
                        <c:v>Bulgaria</c:v>
                      </c:pt>
                      <c:pt idx="12">
                        <c:v>Australia</c:v>
                      </c:pt>
                      <c:pt idx="13">
                        <c:v>Mexico</c:v>
                      </c:pt>
                      <c:pt idx="14">
                        <c:v>Pháp</c:v>
                      </c:pt>
                      <c:pt idx="15">
                        <c:v>Italy</c:v>
                      </c:pt>
                      <c:pt idx="16">
                        <c:v>Canada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'07. Chart_QUỐC GIA'!$Q$56:$Q$75</c15:sqref>
                        </c15:fullRef>
                        <c15:formulaRef>
                          <c15:sqref>'07. Chart_QUỐC GIA'!$Q$56:$Q$72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2-2705-41FD-BC10-BDCA0881E69F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"/>
          <c:order val="2"/>
          <c:tx>
            <c:strRef>
              <c:f>'07. Chart_QUỐC GIA'!$U$55</c:f>
              <c:strCache>
                <c:ptCount val="1"/>
                <c:pt idx="0">
                  <c:v>tỷ trong 24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5.6240337270517735E-2"/>
                  <c:y val="0.1439569139120651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86F354D-06AF-4F52-8051-E639AAC5019A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648A7FE9-F9E5-4A04-B272-B53D5BC1EC05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0070308264845355E-2"/>
                      <c:h val="0.1348125069395836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2705-41FD-BC10-BDCA0881E69F}"/>
                </c:ext>
              </c:extLst>
            </c:dLbl>
            <c:dLbl>
              <c:idx val="1"/>
              <c:layout>
                <c:manualLayout>
                  <c:x val="-6.3707837100253711E-2"/>
                  <c:y val="0.1734027751121474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E2F6D77-5896-410F-A8FF-E1928C662AA6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CA9C4488-6594-4F05-A708-012501FD43E8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5050776593576656E-2"/>
                      <c:h val="0.1151820186788475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2705-41FD-BC10-BDCA0881E69F}"/>
                </c:ext>
              </c:extLst>
            </c:dLbl>
            <c:dLbl>
              <c:idx val="2"/>
              <c:layout>
                <c:manualLayout>
                  <c:x val="-5.5416729902927925E-2"/>
                  <c:y val="4.744047543909048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D6A00BB-F393-44D9-BBE3-BBFD7A0450C5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37BC8432-EC33-4A49-973A-891001F78086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5050776593576656E-2"/>
                      <c:h val="0.124997262809215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2705-41FD-BC10-BDCA0881E69F}"/>
                </c:ext>
              </c:extLst>
            </c:dLbl>
            <c:dLbl>
              <c:idx val="3"/>
              <c:layout>
                <c:manualLayout>
                  <c:x val="-4.450329501771471E-2"/>
                  <c:y val="-2.12662334734860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0D7F85D-D7F5-4F03-B46F-C47D51C8BBB1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604FA872-772C-4B0F-AE22-4039305C5FE1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2699215138323032E-2"/>
                      <c:h val="0.1053667745484794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2705-41FD-BC10-BDCA0881E69F}"/>
                </c:ext>
              </c:extLst>
            </c:dLbl>
            <c:dLbl>
              <c:idx val="4"/>
              <c:layout>
                <c:manualLayout>
                  <c:x val="-4.4458719172567801E-2"/>
                  <c:y val="-1.963035945175819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22C2F7E-1FDE-46A0-886E-15315125D676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EEC35D88-B290-406A-8BEB-325E405F65B9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1968746450109104E-2"/>
                      <c:h val="0.1315407588961276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3732-4E8D-8E9E-DE45737AAEE7}"/>
                </c:ext>
              </c:extLst>
            </c:dLbl>
            <c:dLbl>
              <c:idx val="5"/>
              <c:layout>
                <c:manualLayout>
                  <c:x val="-5.5249799245295647E-2"/>
                  <c:y val="-3.2716192344779383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6D5F325-C36D-465D-8FC1-678C65EE1261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D10F9849-EFF4-4003-8202-F6062D2E2636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5289058669263298E-2"/>
                      <c:h val="0.1217255147657595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3732-4E8D-8E9E-DE45737AAEE7}"/>
                </c:ext>
              </c:extLst>
            </c:dLbl>
            <c:dLbl>
              <c:idx val="6"/>
              <c:layout>
                <c:manualLayout>
                  <c:x val="-5.204589403524211E-2"/>
                  <c:y val="1.1451246961074184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1510690-04C0-440C-9EEB-5177236AD74E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85EB6796-B2D5-4292-831E-9C7A6DD3F3A4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7065425706510802E-2"/>
                      <c:h val="0.1184537667223035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3732-4E8D-8E9E-DE45737AAEE7}"/>
                </c:ext>
              </c:extLst>
            </c:dLbl>
            <c:dLbl>
              <c:idx val="7"/>
              <c:layout>
                <c:manualLayout>
                  <c:x val="-5.1813276098471049E-2"/>
                  <c:y val="-6.5433672779339662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CFB51E3-34C4-4159-87FB-0697964B8670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2FDA373B-3B61-4CAA-ACD2-BDC1B105F33E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35126916320158E-2"/>
                      <c:h val="0.124997262809215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3732-4E8D-8E9E-DE45737AAEE7}"/>
                </c:ext>
              </c:extLst>
            </c:dLbl>
            <c:dLbl>
              <c:idx val="8"/>
              <c:layout>
                <c:manualLayout>
                  <c:x val="-5.2660151795785634E-2"/>
                  <c:y val="-6.5433672779339662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9ACFE2E-7D33-4806-B330-287EE6EA582B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AFCE5CB3-7976-4145-84B6-D2CC220362D5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1039059028745932E-2"/>
                      <c:h val="0.1217255147657595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3732-4E8D-8E9E-DE45737AAEE7}"/>
                </c:ext>
              </c:extLst>
            </c:dLbl>
            <c:dLbl>
              <c:idx val="9"/>
              <c:layout>
                <c:manualLayout>
                  <c:x val="-4.7679683467054333E-2"/>
                  <c:y val="1.2880897808881998E-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23CF3DB-B181-440D-8163-8389A549B03D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FC01D425-F02D-4336-8255-8997606BAC03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7718746809591731E-2"/>
                      <c:h val="0.1053667745484794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3732-4E8D-8E9E-DE45737AAEE7}"/>
                </c:ext>
              </c:extLst>
            </c:dLbl>
            <c:dLbl>
              <c:idx val="10"/>
              <c:layout>
                <c:manualLayout>
                  <c:x val="-5.2659628911971713E-2"/>
                  <c:y val="-6.5434960869121747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7418267-8D1A-4131-93BE-FCFD8BACF2EA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0BA5B4CD-FE74-4B9F-BA6F-AFED16F22247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684934397035876E-2"/>
                      <c:h val="9.0223475848445422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3732-4E8D-8E9E-DE45737AAEE7}"/>
                </c:ext>
              </c:extLst>
            </c:dLbl>
            <c:dLbl>
              <c:idx val="11"/>
              <c:layout>
                <c:manualLayout>
                  <c:x val="-3.8480327084741153E-2"/>
                  <c:y val="2.944573239110424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F89D9FA-E63E-4971-B114-2C2D93F1418E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9B047B52-54FE-411D-94C9-8A2EABB55451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5366206254396311E-2"/>
                      <c:h val="9.8823278461567396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3732-4E8D-8E9E-DE45737AAEE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2C18F1B-7C2A-4EB1-8D0D-494A88938AC2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9BF2CB95-76CA-4D07-BF51-A27F7C822413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F362-457B-9EFE-DADF583EB68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CFAD94D-0E6B-4EB9-9C2D-2D8603BFE132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00419252-2F0E-40D1-82A4-126E24EA753A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362-457B-9EFE-DADF583EB68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EC73817-BDD5-4BF2-9C72-F7045673615D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56E06773-D266-4DFD-A640-EF127BF73899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362-457B-9EFE-DADF583EB68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891069DB-B260-4111-BD3A-09B84570F766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F094419C-3F10-4B2E-8847-D12E744F34FD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362-457B-9EFE-DADF583EB68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22D1291-2D9E-456B-AF85-F69C0A8D0C36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789F9BC8-56D2-499F-8AA9-0452FB518FD6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DB7-4D94-ADEC-42D994900E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GIA'!$Q$56:$Q$75</c15:sqref>
                  </c15:fullRef>
                </c:ext>
              </c:extLst>
              <c:f>'07. Chart_QUỐC GIA'!$Q$56:$Q$72</c:f>
              <c:strCache>
                <c:ptCount val="17"/>
                <c:pt idx="0">
                  <c:v>Mỹ</c:v>
                </c:pt>
                <c:pt idx="1">
                  <c:v>VN</c:v>
                </c:pt>
                <c:pt idx="2">
                  <c:v>Bồ Đào Nha</c:v>
                </c:pt>
                <c:pt idx="3">
                  <c:v>Luxembourg</c:v>
                </c:pt>
                <c:pt idx="4">
                  <c:v>Thụy Sĩ</c:v>
                </c:pt>
                <c:pt idx="5">
                  <c:v>Hong Kong</c:v>
                </c:pt>
                <c:pt idx="6">
                  <c:v>Hàn Quốc</c:v>
                </c:pt>
                <c:pt idx="7">
                  <c:v>Nhật</c:v>
                </c:pt>
                <c:pt idx="8">
                  <c:v>Israel</c:v>
                </c:pt>
                <c:pt idx="9">
                  <c:v>Singapore</c:v>
                </c:pt>
                <c:pt idx="10">
                  <c:v>Hy Lạp</c:v>
                </c:pt>
                <c:pt idx="11">
                  <c:v>Bulgaria</c:v>
                </c:pt>
                <c:pt idx="12">
                  <c:v>Australia</c:v>
                </c:pt>
                <c:pt idx="13">
                  <c:v>Mexico</c:v>
                </c:pt>
                <c:pt idx="14">
                  <c:v>Pháp</c:v>
                </c:pt>
                <c:pt idx="15">
                  <c:v>Italy</c:v>
                </c:pt>
                <c:pt idx="16">
                  <c:v>Canada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GIA'!$U$56:$U$75</c15:sqref>
                  </c15:fullRef>
                </c:ext>
              </c:extLst>
              <c:f>'07. Chart_QUỐC GIA'!$U$56:$U$72</c:f>
              <c:numCache>
                <c:formatCode>0%</c:formatCode>
                <c:ptCount val="17"/>
                <c:pt idx="0">
                  <c:v>0.31120350072672953</c:v>
                </c:pt>
                <c:pt idx="1">
                  <c:v>0.4565054201182408</c:v>
                </c:pt>
                <c:pt idx="2">
                  <c:v>0.10302182797098648</c:v>
                </c:pt>
                <c:pt idx="3">
                  <c:v>0</c:v>
                </c:pt>
                <c:pt idx="4">
                  <c:v>1.1091568773028907E-3</c:v>
                </c:pt>
                <c:pt idx="5">
                  <c:v>4.3461117180673331E-2</c:v>
                </c:pt>
                <c:pt idx="6">
                  <c:v>3.3230089029290645E-3</c:v>
                </c:pt>
                <c:pt idx="7">
                  <c:v>9.8382467782189944E-5</c:v>
                </c:pt>
                <c:pt idx="8">
                  <c:v>1.6702708183242857E-3</c:v>
                </c:pt>
                <c:pt idx="9">
                  <c:v>3.8745026950984363E-2</c:v>
                </c:pt>
                <c:pt idx="10">
                  <c:v>2.0679846820598185E-3</c:v>
                </c:pt>
                <c:pt idx="11">
                  <c:v>0</c:v>
                </c:pt>
                <c:pt idx="12">
                  <c:v>4.1237084047672816E-3</c:v>
                </c:pt>
                <c:pt idx="13">
                  <c:v>3.467059489922001E-2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'07. Chart_QUỐC GIA'!$T$56:$T$75</c15:f>
                <c15:dlblRangeCache>
                  <c:ptCount val="20"/>
                  <c:pt idx="0">
                    <c:v> 8,413 </c:v>
                  </c:pt>
                  <c:pt idx="1">
                    <c:v> 12,341 </c:v>
                  </c:pt>
                  <c:pt idx="2">
                    <c:v> 2,785 </c:v>
                  </c:pt>
                  <c:pt idx="3">
                    <c:v> -   </c:v>
                  </c:pt>
                  <c:pt idx="4">
                    <c:v> 30 </c:v>
                  </c:pt>
                  <c:pt idx="5">
                    <c:v> 1,175 </c:v>
                  </c:pt>
                  <c:pt idx="6">
                    <c:v> 90 </c:v>
                  </c:pt>
                  <c:pt idx="7">
                    <c:v> 3 </c:v>
                  </c:pt>
                  <c:pt idx="8">
                    <c:v> 45 </c:v>
                  </c:pt>
                  <c:pt idx="9">
                    <c:v> 1,047 </c:v>
                  </c:pt>
                  <c:pt idx="10">
                    <c:v> 56 </c:v>
                  </c:pt>
                  <c:pt idx="11">
                    <c:v> -   </c:v>
                  </c:pt>
                  <c:pt idx="12">
                    <c:v> 111 </c:v>
                  </c:pt>
                  <c:pt idx="13">
                    <c:v> 937 </c:v>
                  </c:pt>
                  <c:pt idx="14">
                    <c:v> -   </c:v>
                  </c:pt>
                  <c:pt idx="15">
                    <c:v> -   </c:v>
                  </c:pt>
                  <c:pt idx="16">
                    <c:v> -   </c:v>
                  </c:pt>
                  <c:pt idx="17">
                    <c:v> -   </c:v>
                  </c:pt>
                  <c:pt idx="18">
                    <c:v> -   </c:v>
                  </c:pt>
                  <c:pt idx="19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1-2705-41FD-BC10-BDCA0881E69F}"/>
            </c:ext>
          </c:extLst>
        </c:ser>
        <c:ser>
          <c:idx val="4"/>
          <c:order val="4"/>
          <c:tx>
            <c:strRef>
              <c:f>'07. Chart_QUỐC GIA'!$S$55</c:f>
              <c:strCache>
                <c:ptCount val="1"/>
                <c:pt idx="0">
                  <c:v>tỷ trong 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1581964064025554E-2"/>
                  <c:y val="-3.598935728699438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4F7187D-01FE-4B84-BD9A-3697AD689C24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810C87A1-79A5-4452-82BC-13A5B97184CA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335155714146215E-2"/>
                      <c:h val="0.102095026505023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2705-41FD-BC10-BDCA0881E69F}"/>
                </c:ext>
              </c:extLst>
            </c:dLbl>
            <c:dLbl>
              <c:idx val="1"/>
              <c:layout>
                <c:manualLayout>
                  <c:x val="-1.1621027406562951E-2"/>
                  <c:y val="-2.617398434764827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6508935-BA71-448D-B800-4D6BBA7ADFA2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74836943-D092-486A-A027-3E6771545FA8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8371088812730856E-2"/>
                      <c:h val="0.1380842549830397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2705-41FD-BC10-BDCA0881E69F}"/>
                </c:ext>
              </c:extLst>
            </c:dLbl>
            <c:dLbl>
              <c:idx val="2"/>
              <c:layout>
                <c:manualLayout>
                  <c:x val="-1.1621027406562951E-2"/>
                  <c:y val="-3.598922847801629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8DB37E8-1F3F-4CE7-A3AA-9D759CD7C685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84E18BAD-8B28-419C-BA41-FD9E5AB795F7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3390620483999549E-2"/>
                      <c:h val="0.1446277510699517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2705-41FD-BC10-BDCA0881E69F}"/>
                </c:ext>
              </c:extLst>
            </c:dLbl>
            <c:dLbl>
              <c:idx val="3"/>
              <c:layout>
                <c:manualLayout>
                  <c:x val="-2.1570722838549512E-2"/>
                  <c:y val="-1.235381147054254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A3BF120-21A2-4223-AB6C-DBBB86E8C8E2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0BCA6553-FFF8-48D2-B549-05815FA76AA6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038573792566501E-2"/>
                      <c:h val="0.128269010852671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2705-41FD-BC10-BDCA0881E69F}"/>
                </c:ext>
              </c:extLst>
            </c:dLbl>
            <c:dLbl>
              <c:idx val="4"/>
              <c:layout>
                <c:manualLayout>
                  <c:x val="-1.992187331492527E-2"/>
                  <c:y val="-3.2717480434561472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4719815-033A-4CDF-BE63-3B177EF80C60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4F05EF1A-B800-4B73-B345-516E206F0EB2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3745113487356609E-2"/>
                      <c:h val="0.128269010852671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2705-41FD-BC10-BDCA0881E69F}"/>
                </c:ext>
              </c:extLst>
            </c:dLbl>
            <c:dLbl>
              <c:idx val="5"/>
              <c:layout>
                <c:manualLayout>
                  <c:x val="-2.2412042118814104E-2"/>
                  <c:y val="-2.61739843476482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8390504-C66D-4DE6-860A-F22B15DC970D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DF3236DB-CA9C-41CC-8AA0-1694615983BB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0424801268202394E-2"/>
                      <c:h val="0.128269010852671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2705-41FD-BC10-BDCA0881E69F}"/>
                </c:ext>
              </c:extLst>
            </c:dLbl>
            <c:dLbl>
              <c:idx val="6"/>
              <c:layout>
                <c:manualLayout>
                  <c:x val="-1.1621092767039827E-2"/>
                  <c:y val="-2.780985836937623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0EAEFE6-8231-4B5F-B1E3-DAEED19C852E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11E7054F-14AB-4FC5-A9C1-A1E8EC7CD707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4824214958581722E-2"/>
                      <c:h val="0.128269010852671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2705-41FD-BC10-BDCA0881E69F}"/>
                </c:ext>
              </c:extLst>
            </c:dLbl>
            <c:dLbl>
              <c:idx val="7"/>
              <c:layout>
                <c:manualLayout>
                  <c:x val="-1.9921873314925332E-2"/>
                  <c:y val="-1.799448543003006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4931866-CD01-4F81-A1B2-422A20FD55A4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854124D4-9ADB-42C8-A031-215E6580E46D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5405269596933702E-2"/>
                      <c:h val="0.1119102706353914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2705-41FD-BC10-BDCA0881E69F}"/>
                </c:ext>
              </c:extLst>
            </c:dLbl>
            <c:dLbl>
              <c:idx val="8"/>
              <c:layout>
                <c:manualLayout>
                  <c:x val="-1.4941404986194028E-2"/>
                  <c:y val="-1.472260857759594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8851E99-9C81-41FA-BDE7-2841AD742C23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A4DDECD0-7CC3-4D7F-AB7F-F06E83B4E2EE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7065425706510802E-2"/>
                      <c:h val="0.1413560030264957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2705-41FD-BC10-BDCA0881E69F}"/>
                </c:ext>
              </c:extLst>
            </c:dLbl>
            <c:dLbl>
              <c:idx val="9"/>
              <c:layout>
                <c:manualLayout>
                  <c:x val="-1.9091729899660025E-2"/>
                  <c:y val="3.2716192344779383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761545D-339F-4A85-A37B-49ED4A3ED1E3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FC507998-0C79-4E53-8553-345FB8BCB8F8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0269526997994605E-2"/>
                      <c:h val="0.1217255147657595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2705-41FD-BC10-BDCA0881E69F}"/>
                </c:ext>
              </c:extLst>
            </c:dLbl>
            <c:dLbl>
              <c:idx val="10"/>
              <c:layout>
                <c:manualLayout>
                  <c:x val="-2.1582029424502311E-2"/>
                  <c:y val="-1.635874021728013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820DA36-200E-43CA-BD7A-5BBE2F549EEE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BA5AF6E5-0B32-4978-AD4C-E8FEC1C92F99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5289058669263305E-2"/>
                      <c:h val="9.5551530418111361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2705-41FD-BC10-BDCA0881E69F}"/>
                </c:ext>
              </c:extLst>
            </c:dLbl>
            <c:dLbl>
              <c:idx val="11"/>
              <c:layout>
                <c:manualLayout>
                  <c:x val="-9.9609366574626036E-3"/>
                  <c:y val="-2.2902107495214104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6B40242-1C2C-46FB-BB82-E362610C2E81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E7A06C41-EE8F-44B0-9A34-C7CDC7FBA20A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1968746450109104E-2"/>
                      <c:h val="0.1119102706353914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2705-41FD-BC10-BDCA0881E69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0AC6458-015D-4F05-8715-DCE84ECEEDBB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35F2EDB7-424F-4CD2-AC95-4E6F74FC806A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362-457B-9EFE-DADF583EB68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EFF89F0-5081-4163-9798-724EF0B73A3A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21CD377F-B1B0-4A9C-9E3A-6C5B3F9A3F6D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362-457B-9EFE-DADF583EB68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C023F02-8A74-4BD7-9C5A-03CFE17F35D4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85081ECC-FAE1-4D03-9273-FF4FB00DED0D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362-457B-9EFE-DADF583EB68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0791DB2-135B-4781-8C06-AD4A9AB9658B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7CE4B62E-6C49-422C-8E04-123071E0B696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362-457B-9EFE-DADF583EB68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B8C4643-F687-4DD8-855A-374C505824CE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0D44E18F-37E2-448C-8FB2-C79B11DDE401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DB7-4D94-ADEC-42D994900E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GIA'!$Q$56:$Q$75</c15:sqref>
                  </c15:fullRef>
                </c:ext>
              </c:extLst>
              <c:f>'07. Chart_QUỐC GIA'!$Q$56:$Q$72</c:f>
              <c:strCache>
                <c:ptCount val="17"/>
                <c:pt idx="0">
                  <c:v>Mỹ</c:v>
                </c:pt>
                <c:pt idx="1">
                  <c:v>VN</c:v>
                </c:pt>
                <c:pt idx="2">
                  <c:v>Bồ Đào Nha</c:v>
                </c:pt>
                <c:pt idx="3">
                  <c:v>Luxembourg</c:v>
                </c:pt>
                <c:pt idx="4">
                  <c:v>Thụy Sĩ</c:v>
                </c:pt>
                <c:pt idx="5">
                  <c:v>Hong Kong</c:v>
                </c:pt>
                <c:pt idx="6">
                  <c:v>Hàn Quốc</c:v>
                </c:pt>
                <c:pt idx="7">
                  <c:v>Nhật</c:v>
                </c:pt>
                <c:pt idx="8">
                  <c:v>Israel</c:v>
                </c:pt>
                <c:pt idx="9">
                  <c:v>Singapore</c:v>
                </c:pt>
                <c:pt idx="10">
                  <c:v>Hy Lạp</c:v>
                </c:pt>
                <c:pt idx="11">
                  <c:v>Bulgaria</c:v>
                </c:pt>
                <c:pt idx="12">
                  <c:v>Australia</c:v>
                </c:pt>
                <c:pt idx="13">
                  <c:v>Mexico</c:v>
                </c:pt>
                <c:pt idx="14">
                  <c:v>Pháp</c:v>
                </c:pt>
                <c:pt idx="15">
                  <c:v>Italy</c:v>
                </c:pt>
                <c:pt idx="16">
                  <c:v>Canada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GIA'!$S$56:$S$75</c15:sqref>
                  </c15:fullRef>
                </c:ext>
              </c:extLst>
              <c:f>'07. Chart_QUỐC GIA'!$S$56:$S$72</c:f>
              <c:numCache>
                <c:formatCode>0%</c:formatCode>
                <c:ptCount val="17"/>
                <c:pt idx="0">
                  <c:v>0.40130109928870139</c:v>
                </c:pt>
                <c:pt idx="1">
                  <c:v>0.32011195720124275</c:v>
                </c:pt>
                <c:pt idx="2">
                  <c:v>0.17672001562574413</c:v>
                </c:pt>
                <c:pt idx="3">
                  <c:v>3.80325892152499E-2</c:v>
                </c:pt>
                <c:pt idx="4">
                  <c:v>1.2397972118477128E-2</c:v>
                </c:pt>
                <c:pt idx="5">
                  <c:v>1.0467182243656486E-2</c:v>
                </c:pt>
                <c:pt idx="6" formatCode="0.0%">
                  <c:v>9.3004549635931719E-3</c:v>
                </c:pt>
                <c:pt idx="7">
                  <c:v>6.1872871579373729E-3</c:v>
                </c:pt>
                <c:pt idx="8">
                  <c:v>5.9341374988491945E-3</c:v>
                </c:pt>
                <c:pt idx="9">
                  <c:v>5.6942387491336188E-3</c:v>
                </c:pt>
                <c:pt idx="10">
                  <c:v>2.9437635153863342E-3</c:v>
                </c:pt>
                <c:pt idx="11">
                  <c:v>2.9178642626258569E-3</c:v>
                </c:pt>
                <c:pt idx="12">
                  <c:v>2.628218407352903E-3</c:v>
                </c:pt>
                <c:pt idx="13">
                  <c:v>1.7796688270280286E-3</c:v>
                </c:pt>
                <c:pt idx="14">
                  <c:v>1.7098318334018152E-3</c:v>
                </c:pt>
                <c:pt idx="15">
                  <c:v>1.2489963214010894E-3</c:v>
                </c:pt>
                <c:pt idx="16">
                  <c:v>6.2472277021859938E-4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'07. Chart_QUỐC GIA'!$R$56:$R$75</c15:f>
                <c15:dlblRangeCache>
                  <c:ptCount val="20"/>
                  <c:pt idx="0">
                    <c:v> 17,515 </c:v>
                  </c:pt>
                  <c:pt idx="1">
                    <c:v> 13,971 </c:v>
                  </c:pt>
                  <c:pt idx="2">
                    <c:v> 7,713 </c:v>
                  </c:pt>
                  <c:pt idx="3">
                    <c:v> 1,660 </c:v>
                  </c:pt>
                  <c:pt idx="4">
                    <c:v> 541 </c:v>
                  </c:pt>
                  <c:pt idx="5">
                    <c:v> 457 </c:v>
                  </c:pt>
                  <c:pt idx="6">
                    <c:v> 406 </c:v>
                  </c:pt>
                  <c:pt idx="7">
                    <c:v> 270 </c:v>
                  </c:pt>
                  <c:pt idx="8">
                    <c:v> 259 </c:v>
                  </c:pt>
                  <c:pt idx="9">
                    <c:v> 249 </c:v>
                  </c:pt>
                  <c:pt idx="10">
                    <c:v> 128 </c:v>
                  </c:pt>
                  <c:pt idx="11">
                    <c:v> 127 </c:v>
                  </c:pt>
                  <c:pt idx="12">
                    <c:v> 115 </c:v>
                  </c:pt>
                  <c:pt idx="13">
                    <c:v> 78 </c:v>
                  </c:pt>
                  <c:pt idx="14">
                    <c:v> 75 </c:v>
                  </c:pt>
                  <c:pt idx="15">
                    <c:v> 55 </c:v>
                  </c:pt>
                  <c:pt idx="16">
                    <c:v> 27 </c:v>
                  </c:pt>
                  <c:pt idx="17">
                    <c:v> -   </c:v>
                  </c:pt>
                  <c:pt idx="18">
                    <c:v> -   </c:v>
                  </c:pt>
                  <c:pt idx="19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2705-41FD-BC10-BDCA0881E69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06165839"/>
        <c:axId val="1206202799"/>
      </c:lineChart>
      <c:catAx>
        <c:axId val="46016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70559"/>
        <c:crosses val="autoZero"/>
        <c:auto val="1"/>
        <c:lblAlgn val="ctr"/>
        <c:lblOffset val="100"/>
        <c:noMultiLvlLbl val="0"/>
      </c:catAx>
      <c:valAx>
        <c:axId val="460170559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8639"/>
        <c:crosses val="autoZero"/>
        <c:crossBetween val="between"/>
      </c:valAx>
      <c:valAx>
        <c:axId val="1206202799"/>
        <c:scaling>
          <c:orientation val="minMax"/>
          <c:min val="-5.000000000000001E-2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165839"/>
        <c:crosses val="max"/>
        <c:crossBetween val="between"/>
      </c:valAx>
      <c:catAx>
        <c:axId val="12061658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062027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'07. Chart_QUỐC GIA'!$C$125</c:f>
          <c:strCache>
            <c:ptCount val="1"/>
            <c:pt idx="0">
              <c:v>LỢI NHUẬN GỘP THEO QUỐC GIA T8/25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C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572666080553483E-3"/>
          <c:y val="0.16886444838714415"/>
          <c:w val="0.96618324497970576"/>
          <c:h val="0.75850841264316793"/>
        </c:manualLayout>
      </c:layout>
      <c:barChart>
        <c:barDir val="col"/>
        <c:grouping val="clustered"/>
        <c:varyColors val="0"/>
        <c:ser>
          <c:idx val="4"/>
          <c:order val="0"/>
          <c:tx>
            <c:strRef>
              <c:f>'07. Chart_QUỐC GIA'!$F$103</c:f>
              <c:strCache>
                <c:ptCount val="1"/>
                <c:pt idx="0">
                  <c:v> 2,024 </c:v>
                </c:pt>
              </c:strCache>
            </c:strRef>
          </c:tx>
          <c:spPr>
            <a:solidFill>
              <a:srgbClr val="AFABAB"/>
            </a:solidFill>
            <a:ln w="25400">
              <a:noFill/>
            </a:ln>
            <a:effectLst/>
          </c:spPr>
          <c:invertIfNegative val="1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GIA'!$C$104:$C$123</c15:sqref>
                  </c15:fullRef>
                </c:ext>
              </c:extLst>
              <c:f>('07. Chart_QUỐC GIA'!$C$104:$C$110,'07. Chart_QUỐC GIA'!$C$120:$C$122)</c:f>
              <c:strCache>
                <c:ptCount val="10"/>
                <c:pt idx="0">
                  <c:v>Bồ Đào Nha</c:v>
                </c:pt>
                <c:pt idx="1">
                  <c:v>VN</c:v>
                </c:pt>
                <c:pt idx="2">
                  <c:v>Mỹ</c:v>
                </c:pt>
                <c:pt idx="3">
                  <c:v>Luxembourg</c:v>
                </c:pt>
                <c:pt idx="4">
                  <c:v>Hy Lạp</c:v>
                </c:pt>
                <c:pt idx="5">
                  <c:v>Australia</c:v>
                </c:pt>
                <c:pt idx="6">
                  <c:v>Hong Kong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GIA'!$F$104:$F$123</c15:sqref>
                  </c15:fullRef>
                </c:ext>
              </c:extLst>
              <c:f>('07. Chart_QUỐC GIA'!$F$104:$F$110,'07. Chart_QUỐC GIA'!$F$120:$F$122)</c:f>
              <c:numCache>
                <c:formatCode>_(* #,##0_);_(* \(#,##0\);_(* "-"??_);_(@_)</c:formatCode>
                <c:ptCount val="10"/>
                <c:pt idx="0">
                  <c:v>168.55893808174832</c:v>
                </c:pt>
                <c:pt idx="1">
                  <c:v>311.25586807410406</c:v>
                </c:pt>
                <c:pt idx="2">
                  <c:v>280.34013593686751</c:v>
                </c:pt>
                <c:pt idx="3" formatCode="_(* #,##0.0_);_(* \(#,##0.0\);_(* &quot;-&quot;??_);_(@_)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-238.77642322946176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 w="25400"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C-6C88-4170-805E-BC1955798BB3}"/>
            </c:ext>
          </c:extLst>
        </c:ser>
        <c:ser>
          <c:idx val="1"/>
          <c:order val="2"/>
          <c:tx>
            <c:strRef>
              <c:f>'07. Chart_QUỐC GIA'!$D$103</c:f>
              <c:strCache>
                <c:ptCount val="1"/>
                <c:pt idx="0">
                  <c:v> 2,025 </c:v>
                </c:pt>
              </c:strCache>
            </c:strRef>
          </c:tx>
          <c:spPr>
            <a:solidFill>
              <a:srgbClr val="00CC00"/>
            </a:solidFill>
            <a:ln w="25400">
              <a:noFill/>
            </a:ln>
            <a:effectLst/>
          </c:spPr>
          <c:invertIfNegative val="1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GIA'!$C$104:$C$123</c15:sqref>
                  </c15:fullRef>
                </c:ext>
              </c:extLst>
              <c:f>('07. Chart_QUỐC GIA'!$C$104:$C$110,'07. Chart_QUỐC GIA'!$C$120:$C$122)</c:f>
              <c:strCache>
                <c:ptCount val="10"/>
                <c:pt idx="0">
                  <c:v>Bồ Đào Nha</c:v>
                </c:pt>
                <c:pt idx="1">
                  <c:v>VN</c:v>
                </c:pt>
                <c:pt idx="2">
                  <c:v>Mỹ</c:v>
                </c:pt>
                <c:pt idx="3">
                  <c:v>Luxembourg</c:v>
                </c:pt>
                <c:pt idx="4">
                  <c:v>Hy Lạp</c:v>
                </c:pt>
                <c:pt idx="5">
                  <c:v>Australia</c:v>
                </c:pt>
                <c:pt idx="6">
                  <c:v>Hong Kong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GIA'!$D$104:$D$123</c15:sqref>
                  </c15:fullRef>
                </c:ext>
              </c:extLst>
              <c:f>('07. Chart_QUỐC GIA'!$D$104:$D$110,'07. Chart_QUỐC GIA'!$D$120:$D$122)</c:f>
              <c:numCache>
                <c:formatCode>_(* #,##0_);_(* \(#,##0\);_(* "-"??_);_(@_)</c:formatCode>
                <c:ptCount val="10"/>
                <c:pt idx="0">
                  <c:v>200.53388433919019</c:v>
                </c:pt>
                <c:pt idx="1">
                  <c:v>195.18260984919218</c:v>
                </c:pt>
                <c:pt idx="2">
                  <c:v>194.99860393430086</c:v>
                </c:pt>
                <c:pt idx="3">
                  <c:v>25.798386860198633</c:v>
                </c:pt>
                <c:pt idx="4">
                  <c:v>8.2296976699770745</c:v>
                </c:pt>
                <c:pt idx="5">
                  <c:v>6.7866750954927415</c:v>
                </c:pt>
                <c:pt idx="6">
                  <c:v>4.0541695951107544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 w="25400"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6C88-4170-805E-BC1955798B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460168639"/>
        <c:axId val="460170559"/>
      </c:barChart>
      <c:lineChart>
        <c:grouping val="standard"/>
        <c:varyColors val="0"/>
        <c:ser>
          <c:idx val="2"/>
          <c:order val="1"/>
          <c:tx>
            <c:strRef>
              <c:f>'07. Chart_QUỐC GIA'!$G$103</c:f>
              <c:strCache>
                <c:ptCount val="1"/>
                <c:pt idx="0">
                  <c:v>tỷ trong 24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6.157674467813095E-2"/>
                  <c:y val="1.799448543003006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6D50FBA-7125-4F5D-82C7-E3F146ED90D1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B6E5DC8C-8C87-4C31-BECF-27D7CC6256F4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8036370513438863E-2"/>
                      <c:h val="0.1184537667223035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C88-4170-805E-BC1955798BB3}"/>
                </c:ext>
              </c:extLst>
            </c:dLbl>
            <c:dLbl>
              <c:idx val="1"/>
              <c:layout>
                <c:manualLayout>
                  <c:x val="-5.2501295991595705E-2"/>
                  <c:y val="-8.670145196056280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84C894A-C30A-4246-8FD5-6CF792706279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5E62B0F5-EB81-4B8A-A29C-8B3B2B8D6597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4400006356479067E-2"/>
                      <c:h val="0.124997262809215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C88-4170-805E-BC1955798BB3}"/>
                </c:ext>
              </c:extLst>
            </c:dLbl>
            <c:dLbl>
              <c:idx val="2"/>
              <c:layout>
                <c:manualLayout>
                  <c:x val="-6.6194211337753953E-2"/>
                  <c:y val="-0.1020049890293393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7E6961C-E4C5-4B5C-A979-DF6A58CE66EA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738E2626-7BD3-4F61-9C22-29738476BE36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7127280905838344E-2"/>
                      <c:h val="0.1086385225919354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C88-4170-805E-BC1955798BB3}"/>
                </c:ext>
              </c:extLst>
            </c:dLbl>
            <c:dLbl>
              <c:idx val="3"/>
              <c:layout>
                <c:manualLayout>
                  <c:x val="-5.4491346383872069E-2"/>
                  <c:y val="-7.085859170052839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9B838CB-2C27-44AB-96B9-6CE7065895D2}" type="CELLRANGE">
                      <a:rPr lang="en-US" baseline="0">
                        <a:solidFill>
                          <a:schemeClr val="tx1"/>
                        </a:solidFill>
                      </a:rPr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chemeClr val="tx1"/>
                        </a:solidFill>
                      </a:rPr>
                      <a:t> </a:t>
                    </a:r>
                    <a:fld id="{E34C2BF1-520B-4DC5-AEDF-7443F31C5737}" type="VALUE">
                      <a:rPr lang="en-US" baseline="0">
                        <a:solidFill>
                          <a:schemeClr val="tx1"/>
                        </a:solidFill>
                      </a:rPr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 baseline="0">
                      <a:solidFill>
                        <a:schemeClr val="tx1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2211745484859765E-2"/>
                      <c:h val="0.15256547553569721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6C88-4170-805E-BC1955798BB3}"/>
                </c:ext>
              </c:extLst>
            </c:dLbl>
            <c:dLbl>
              <c:idx val="4"/>
              <c:layout>
                <c:manualLayout>
                  <c:x val="-6.0400080229073894E-2"/>
                  <c:y val="-7.0342582934304704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A4A46E3-C82C-48DF-A609-C4F5E229C522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F9A47F19-C2C9-4ED0-A484-5EFE0D26FF8B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4036371372422523E-2"/>
                      <c:h val="0.1380842549830397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72C-4526-8D1B-BA9D81C2280C}"/>
                </c:ext>
              </c:extLst>
            </c:dLbl>
            <c:dLbl>
              <c:idx val="5"/>
              <c:layout>
                <c:manualLayout>
                  <c:x val="-5.7672735529382325E-2"/>
                  <c:y val="-7.427563627126861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CEC0064-B8F5-4BE4-82B6-4CD40F3CF010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7D33453D-63DA-410C-B362-99994EDEE11F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4945460980023048E-2"/>
                      <c:h val="0.1433051404829357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72C-4526-8D1B-BA9D81C2280C}"/>
                </c:ext>
              </c:extLst>
            </c:dLbl>
            <c:dLbl>
              <c:idx val="6"/>
              <c:layout>
                <c:manualLayout>
                  <c:x val="-6.5348470343374432E-2"/>
                  <c:y val="-5.071196586459033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8197483-C59B-47BD-BD74-2B892DD100F3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A5ADA4E7-37CA-4866-BA6B-7AB84D03862C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8581825136982837E-2"/>
                      <c:h val="0.124997262809215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6C88-4170-805E-BC1955798BB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A79044F-E6A5-4D44-B3E2-1710094303A8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8EBF269B-DA98-4F8C-8E4A-65DC5717A56F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B3E-4C8B-B3DA-3A72736E1B2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C4856F2-8062-4585-ABA1-3915D03D9332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B004E940-10AD-4279-9DC7-935032443B45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EB3E-4C8B-B3DA-3A72736E1B2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4E447C6-58F0-4DD3-8469-53C151060625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8B3B8568-C837-4687-A610-F8E0104A0BBB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EB3E-4C8B-B3DA-3A72736E1B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GIA'!$C$104:$C$123</c15:sqref>
                  </c15:fullRef>
                </c:ext>
              </c:extLst>
              <c:f>('07. Chart_QUỐC GIA'!$C$104:$C$110,'07. Chart_QUỐC GIA'!$C$120:$C$122)</c:f>
              <c:strCache>
                <c:ptCount val="10"/>
                <c:pt idx="0">
                  <c:v>Bồ Đào Nha</c:v>
                </c:pt>
                <c:pt idx="1">
                  <c:v>VN</c:v>
                </c:pt>
                <c:pt idx="2">
                  <c:v>Mỹ</c:v>
                </c:pt>
                <c:pt idx="3">
                  <c:v>Luxembourg</c:v>
                </c:pt>
                <c:pt idx="4">
                  <c:v>Hy Lạp</c:v>
                </c:pt>
                <c:pt idx="5">
                  <c:v>Australia</c:v>
                </c:pt>
                <c:pt idx="6">
                  <c:v>Hong Kong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GIA'!$G$104:$G$123</c15:sqref>
                  </c15:fullRef>
                </c:ext>
              </c:extLst>
              <c:f>('07. Chart_QUỐC GIA'!$G$104:$G$110,'07. Chart_QUỐC GIA'!$G$120:$G$122)</c:f>
              <c:numCache>
                <c:formatCode>0%</c:formatCode>
                <c:ptCount val="10"/>
                <c:pt idx="0">
                  <c:v>0.32329475032698124</c:v>
                </c:pt>
                <c:pt idx="1">
                  <c:v>0.59698636751035206</c:v>
                </c:pt>
                <c:pt idx="2">
                  <c:v>0.53769023040704189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-0.45797134824437524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'07. Chart_QUỐC GIA'!$F$104:$F$123</c15:f>
                <c15:dlblRangeCache>
                  <c:ptCount val="20"/>
                  <c:pt idx="0">
                    <c:v> 169 </c:v>
                  </c:pt>
                  <c:pt idx="1">
                    <c:v> 311 </c:v>
                  </c:pt>
                  <c:pt idx="2">
                    <c:v> 280 </c:v>
                  </c:pt>
                  <c:pt idx="3">
                    <c:v> -   </c:v>
                  </c:pt>
                  <c:pt idx="4">
                    <c:v> -   </c:v>
                  </c:pt>
                  <c:pt idx="5">
                    <c:v> -   </c:v>
                  </c:pt>
                  <c:pt idx="6">
                    <c:v> (239)</c:v>
                  </c:pt>
                  <c:pt idx="7">
                    <c:v> -   </c:v>
                  </c:pt>
                  <c:pt idx="8">
                    <c:v> -   </c:v>
                  </c:pt>
                  <c:pt idx="9">
                    <c:v> -   </c:v>
                  </c:pt>
                  <c:pt idx="10">
                    <c:v> -   </c:v>
                  </c:pt>
                  <c:pt idx="11">
                    <c:v> -   </c:v>
                  </c:pt>
                  <c:pt idx="12">
                    <c:v> -   </c:v>
                  </c:pt>
                  <c:pt idx="13">
                    <c:v> -   </c:v>
                  </c:pt>
                  <c:pt idx="14">
                    <c:v> -   </c:v>
                  </c:pt>
                  <c:pt idx="15">
                    <c:v> -   </c:v>
                  </c:pt>
                  <c:pt idx="16">
                    <c:v> -   </c:v>
                  </c:pt>
                  <c:pt idx="17">
                    <c:v> -   </c:v>
                  </c:pt>
                  <c:pt idx="18">
                    <c:v> -   </c:v>
                  </c:pt>
                  <c:pt idx="19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7-6C88-4170-805E-BC1955798BB3}"/>
            </c:ext>
          </c:extLst>
        </c:ser>
        <c:ser>
          <c:idx val="3"/>
          <c:order val="3"/>
          <c:tx>
            <c:strRef>
              <c:f>'07. Chart_QUỐC GIA'!$E$103</c:f>
              <c:strCache>
                <c:ptCount val="1"/>
                <c:pt idx="0">
                  <c:v>tỷ trong 25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5.4351475211377983E-3"/>
                  <c:y val="-0.1292339189075349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9707CA5-BC37-4B14-8A79-EDB88569E3A4}" type="CELLRANGE">
                      <a:rPr lang="en-US" baseline="0">
                        <a:solidFill>
                          <a:srgbClr val="00CC00"/>
                        </a:solidFill>
                      </a:rPr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rgbClr val="00CC00"/>
                        </a:solidFill>
                      </a:rPr>
                      <a:t> </a:t>
                    </a:r>
                    <a:fld id="{F46CC62F-784D-40D4-9699-6DCF9C2AA20B}" type="VALUE">
                      <a:rPr lang="en-US" baseline="0">
                        <a:solidFill>
                          <a:srgbClr val="00CC00"/>
                        </a:solidFill>
                      </a:rPr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 baseline="0">
                      <a:solidFill>
                        <a:srgbClr val="00CC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6218188434958958E-2"/>
                      <c:h val="0.1119102706353914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6C88-4170-805E-BC1955798BB3}"/>
                </c:ext>
              </c:extLst>
            </c:dLbl>
            <c:dLbl>
              <c:idx val="1"/>
              <c:layout>
                <c:manualLayout>
                  <c:x val="-9.9961360051733384E-3"/>
                  <c:y val="-0.1177829295644169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773792E-AB1D-4185-BB3C-295B7470422A}" type="CELLRANGE">
                      <a:rPr lang="en-US" baseline="0">
                        <a:solidFill>
                          <a:srgbClr val="00CC00"/>
                        </a:solidFill>
                      </a:rPr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rgbClr val="00CC00"/>
                        </a:solidFill>
                      </a:rPr>
                      <a:t> </a:t>
                    </a:r>
                    <a:fld id="{A4C2845B-8197-4D85-828D-D0676030014F}" type="VALUE">
                      <a:rPr lang="en-US" baseline="0">
                        <a:solidFill>
                          <a:srgbClr val="00CC00"/>
                        </a:solidFill>
                      </a:rPr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 baseline="0">
                      <a:solidFill>
                        <a:srgbClr val="00CC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1672734670398665E-2"/>
                      <c:h val="0.128269010852671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6C88-4170-805E-BC1955798BB3}"/>
                </c:ext>
              </c:extLst>
            </c:dLbl>
            <c:dLbl>
              <c:idx val="2"/>
              <c:layout>
                <c:manualLayout>
                  <c:x val="-6.344238560377813E-3"/>
                  <c:y val="-0.1030599345598867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2C0AE7D-C94C-4CB2-B3C0-B4BD954DF5FA}" type="CELLRANGE">
                      <a:rPr lang="en-US" baseline="0">
                        <a:solidFill>
                          <a:srgbClr val="00CC00"/>
                        </a:solidFill>
                      </a:rPr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rgbClr val="00CC00"/>
                        </a:solidFill>
                      </a:rPr>
                      <a:t> </a:t>
                    </a:r>
                    <a:fld id="{4DA417D5-9B37-4BEF-8A84-A8192C2C812E}" type="VALUE">
                      <a:rPr lang="en-US" baseline="0">
                        <a:solidFill>
                          <a:srgbClr val="00CC00"/>
                        </a:solidFill>
                      </a:rPr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 baseline="0">
                      <a:solidFill>
                        <a:srgbClr val="00CC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1672734670398658E-2"/>
                      <c:h val="0.1184537667223035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6C88-4170-805E-BC1955798BB3}"/>
                </c:ext>
              </c:extLst>
            </c:dLbl>
            <c:dLbl>
              <c:idx val="3"/>
              <c:layout>
                <c:manualLayout>
                  <c:x val="-9.9922705787073799E-3"/>
                  <c:y val="-4.540233097879108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66CEB14-74AE-48BB-A8E2-9A4EC8DEA65F}" type="CELLRANGE">
                      <a:rPr lang="en-US" baseline="0">
                        <a:solidFill>
                          <a:srgbClr val="00CC00"/>
                        </a:solidFill>
                      </a:rPr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rgbClr val="00CC00"/>
                        </a:solidFill>
                      </a:rPr>
                      <a:t> </a:t>
                    </a:r>
                    <a:fld id="{0F0EFF02-B5A0-48B5-A7C8-ABBA58E08419}" type="VALUE">
                      <a:rPr lang="en-US" baseline="0">
                        <a:solidFill>
                          <a:srgbClr val="00CC00"/>
                        </a:solidFill>
                      </a:rPr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 baseline="0">
                      <a:solidFill>
                        <a:srgbClr val="00CC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1431932917957467E-2"/>
                      <c:h val="0.11012214440156251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6C88-4170-805E-BC1955798BB3}"/>
                </c:ext>
              </c:extLst>
            </c:dLbl>
            <c:dLbl>
              <c:idx val="4"/>
              <c:layout>
                <c:manualLayout>
                  <c:x val="-4.5299934903355035E-3"/>
                  <c:y val="-5.561971673875246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968F4D4-9DCE-4765-B544-174978943BDA}" type="CELLRANGE">
                      <a:rPr lang="en-US" baseline="0">
                        <a:solidFill>
                          <a:srgbClr val="00CC00"/>
                        </a:solidFill>
                      </a:rPr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rgbClr val="00CC00"/>
                        </a:solidFill>
                      </a:rPr>
                      <a:t> </a:t>
                    </a:r>
                    <a:fld id="{20172704-4F2B-4704-A24F-37C5438E9709}" type="VALUE">
                      <a:rPr lang="en-US" baseline="0">
                        <a:solidFill>
                          <a:srgbClr val="00CC00"/>
                        </a:solidFill>
                      </a:rPr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 baseline="0">
                      <a:solidFill>
                        <a:srgbClr val="00CC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4145460865491891E-2"/>
                      <c:h val="0.128269010852671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6C88-4170-805E-BC1955798BB3}"/>
                </c:ext>
              </c:extLst>
            </c:dLbl>
            <c:dLbl>
              <c:idx val="5"/>
              <c:layout>
                <c:manualLayout>
                  <c:x val="-4.5377243432676226E-3"/>
                  <c:y val="-6.379895803841444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55EA450-5B0B-441A-BFA3-460A396A98DE}" type="CELLRANGE">
                      <a:rPr lang="en-US" baseline="0">
                        <a:solidFill>
                          <a:srgbClr val="00CC00"/>
                        </a:solidFill>
                      </a:rPr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rgbClr val="00CC00"/>
                        </a:solidFill>
                      </a:rPr>
                      <a:t> </a:t>
                    </a:r>
                    <a:fld id="{35E0A60D-1B97-4494-A5F8-A12CB856C49F}" type="VALUE">
                      <a:rPr lang="en-US" baseline="0">
                        <a:solidFill>
                          <a:srgbClr val="00CC00"/>
                        </a:solidFill>
                      </a:rPr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 baseline="0">
                      <a:solidFill>
                        <a:srgbClr val="00CC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856364188455861E-2"/>
                      <c:h val="0.124997262809215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6C88-4170-805E-BC1955798BB3}"/>
                </c:ext>
              </c:extLst>
            </c:dLbl>
            <c:dLbl>
              <c:idx val="6"/>
              <c:layout>
                <c:manualLayout>
                  <c:x val="-5.4545462354396905E-3"/>
                  <c:y val="-5.561958792977449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79A2300-9A48-4215-8553-7D66C0109D2C}" type="CELLRANGE">
                      <a:rPr lang="en-US" baseline="0">
                        <a:solidFill>
                          <a:srgbClr val="00CC00"/>
                        </a:solidFill>
                      </a:rPr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rgbClr val="00CC00"/>
                        </a:solidFill>
                      </a:rPr>
                      <a:t> </a:t>
                    </a:r>
                    <a:fld id="{54D835F1-EC47-4281-A0F0-5D4CB8A4683C}" type="VALUE">
                      <a:rPr lang="en-US" baseline="0">
                        <a:solidFill>
                          <a:srgbClr val="00CC00"/>
                        </a:solidFill>
                      </a:rPr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 baseline="0">
                      <a:solidFill>
                        <a:srgbClr val="00CC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0654552706449925E-2"/>
                      <c:h val="0.1217255147657595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2C0-4D76-94CA-BA1D11912C0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60699EF-28BF-47D2-B26D-E3E43EDF0232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F866D90D-D8AC-4752-B094-C1CBCF13E08B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B3E-4C8B-B3DA-3A72736E1B2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E50EFD1-1F10-4C00-82AB-C72CF2647B8E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57FA27E3-E601-4E1D-BB76-47722F064639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EB3E-4C8B-B3DA-3A72736E1B2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CA94E78-8900-4712-984E-23751337AC82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2A519B63-2684-4900-AC4F-2D2A4D335C08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EB3E-4C8B-B3DA-3A72736E1B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CC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GIA'!$C$104:$C$123</c15:sqref>
                  </c15:fullRef>
                </c:ext>
              </c:extLst>
              <c:f>('07. Chart_QUỐC GIA'!$C$104:$C$110,'07. Chart_QUỐC GIA'!$C$120:$C$122)</c:f>
              <c:strCache>
                <c:ptCount val="10"/>
                <c:pt idx="0">
                  <c:v>Bồ Đào Nha</c:v>
                </c:pt>
                <c:pt idx="1">
                  <c:v>VN</c:v>
                </c:pt>
                <c:pt idx="2">
                  <c:v>Mỹ</c:v>
                </c:pt>
                <c:pt idx="3">
                  <c:v>Luxembourg</c:v>
                </c:pt>
                <c:pt idx="4">
                  <c:v>Hy Lạp</c:v>
                </c:pt>
                <c:pt idx="5">
                  <c:v>Australia</c:v>
                </c:pt>
                <c:pt idx="6">
                  <c:v>Hong Kong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GIA'!$E$104:$E$123</c15:sqref>
                  </c15:fullRef>
                </c:ext>
              </c:extLst>
              <c:f>('07. Chart_QUỐC GIA'!$E$104:$E$110,'07. Chart_QUỐC GIA'!$E$120:$E$122)</c:f>
              <c:numCache>
                <c:formatCode>0%</c:formatCode>
                <c:ptCount val="10"/>
                <c:pt idx="0">
                  <c:v>0.31551120813617284</c:v>
                </c:pt>
                <c:pt idx="1">
                  <c:v>0.30709174782914683</c:v>
                </c:pt>
                <c:pt idx="2">
                  <c:v>0.30680224100239351</c:v>
                </c:pt>
                <c:pt idx="3">
                  <c:v>4.0590049073491695E-2</c:v>
                </c:pt>
                <c:pt idx="4">
                  <c:v>1.2948244946265518E-2</c:v>
                </c:pt>
                <c:pt idx="5">
                  <c:v>1.0677856590982733E-2</c:v>
                </c:pt>
                <c:pt idx="6" formatCode="0.0%">
                  <c:v>6.3786524215466572E-3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'07. Chart_QUỐC GIA'!$D$104:$D$123</c15:f>
                <c15:dlblRangeCache>
                  <c:ptCount val="20"/>
                  <c:pt idx="0">
                    <c:v> 201 </c:v>
                  </c:pt>
                  <c:pt idx="1">
                    <c:v> 195 </c:v>
                  </c:pt>
                  <c:pt idx="2">
                    <c:v> 195 </c:v>
                  </c:pt>
                  <c:pt idx="3">
                    <c:v> 26 </c:v>
                  </c:pt>
                  <c:pt idx="4">
                    <c:v> 8 </c:v>
                  </c:pt>
                  <c:pt idx="5">
                    <c:v> 7 </c:v>
                  </c:pt>
                  <c:pt idx="6">
                    <c:v> 4 </c:v>
                  </c:pt>
                  <c:pt idx="7">
                    <c:v> -   </c:v>
                  </c:pt>
                  <c:pt idx="8">
                    <c:v> -   </c:v>
                  </c:pt>
                  <c:pt idx="9">
                    <c:v> -   </c:v>
                  </c:pt>
                  <c:pt idx="10">
                    <c:v> -   </c:v>
                  </c:pt>
                  <c:pt idx="11">
                    <c:v> -   </c:v>
                  </c:pt>
                  <c:pt idx="12">
                    <c:v> -   </c:v>
                  </c:pt>
                  <c:pt idx="13">
                    <c:v> -   </c:v>
                  </c:pt>
                  <c:pt idx="14">
                    <c:v> -   </c:v>
                  </c:pt>
                  <c:pt idx="15">
                    <c:v> -   </c:v>
                  </c:pt>
                  <c:pt idx="16">
                    <c:v> -   </c:v>
                  </c:pt>
                  <c:pt idx="17">
                    <c:v> -   </c:v>
                  </c:pt>
                  <c:pt idx="18">
                    <c:v> -   </c:v>
                  </c:pt>
                  <c:pt idx="19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6C88-4170-805E-BC1955798B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06165839"/>
        <c:axId val="1206202799"/>
      </c:lineChart>
      <c:catAx>
        <c:axId val="4601686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70559"/>
        <c:crosses val="autoZero"/>
        <c:auto val="1"/>
        <c:lblAlgn val="ctr"/>
        <c:lblOffset val="100"/>
        <c:noMultiLvlLbl val="0"/>
      </c:catAx>
      <c:valAx>
        <c:axId val="460170559"/>
        <c:scaling>
          <c:orientation val="minMax"/>
          <c:min val="-50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8639"/>
        <c:crosses val="autoZero"/>
        <c:crossBetween val="between"/>
      </c:valAx>
      <c:valAx>
        <c:axId val="1206202799"/>
        <c:scaling>
          <c:orientation val="minMax"/>
          <c:min val="-0.1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165839"/>
        <c:crosses val="max"/>
        <c:crossBetween val="between"/>
      </c:valAx>
      <c:catAx>
        <c:axId val="1206165839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206202799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CC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'07. Chart_QUỐC GIA'!$R$125</c:f>
          <c:strCache>
            <c:ptCount val="1"/>
            <c:pt idx="0">
              <c:v>LŨY KẾ LỢI NHUẬN GỘP THEO QUỐC GIA T8/25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C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6793391638887198E-2"/>
          <c:y val="0.17799983873115943"/>
          <c:w val="0.96546736262097721"/>
          <c:h val="0.73859505986654872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'07. Chart_QUỐC GIA'!$T$103</c:f>
              <c:strCache>
                <c:ptCount val="1"/>
                <c:pt idx="0">
                  <c:v> 2,024 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 w="25400"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GIA'!$Q$104:$Q$123</c15:sqref>
                  </c15:fullRef>
                </c:ext>
              </c:extLst>
              <c:f>'07. Chart_QUỐC GIA'!$Q$104:$Q$120</c:f>
              <c:strCache>
                <c:ptCount val="17"/>
                <c:pt idx="0">
                  <c:v>Mỹ</c:v>
                </c:pt>
                <c:pt idx="1">
                  <c:v>VN</c:v>
                </c:pt>
                <c:pt idx="2">
                  <c:v>Bồ Đào Nha</c:v>
                </c:pt>
                <c:pt idx="3">
                  <c:v>Luxembourg</c:v>
                </c:pt>
                <c:pt idx="4">
                  <c:v>Thụy Sĩ</c:v>
                </c:pt>
                <c:pt idx="5">
                  <c:v>Nhật</c:v>
                </c:pt>
                <c:pt idx="6">
                  <c:v>Hàn Quốc</c:v>
                </c:pt>
                <c:pt idx="7">
                  <c:v>Israel</c:v>
                </c:pt>
                <c:pt idx="8">
                  <c:v>Hong Kong</c:v>
                </c:pt>
                <c:pt idx="9">
                  <c:v>Australia</c:v>
                </c:pt>
                <c:pt idx="10">
                  <c:v>Singapore</c:v>
                </c:pt>
                <c:pt idx="11">
                  <c:v>Hy Lạp</c:v>
                </c:pt>
                <c:pt idx="12">
                  <c:v>Bulgaria</c:v>
                </c:pt>
                <c:pt idx="13">
                  <c:v>Italy</c:v>
                </c:pt>
                <c:pt idx="14">
                  <c:v>Pháp</c:v>
                </c:pt>
                <c:pt idx="15">
                  <c:v>Canada</c:v>
                </c:pt>
                <c:pt idx="16">
                  <c:v>Mexico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GIA'!$T$104:$T$123</c15:sqref>
                  </c15:fullRef>
                </c:ext>
              </c:extLst>
              <c:f>'07. Chart_QUỐC GIA'!$T$104:$T$120</c:f>
              <c:numCache>
                <c:formatCode>_(* #,##0_);_(* \(#,##0\);_(* "-"??_);_(@_)</c:formatCode>
                <c:ptCount val="17"/>
                <c:pt idx="0">
                  <c:v>1363.9860290686734</c:v>
                </c:pt>
                <c:pt idx="1">
                  <c:v>2502.6077835234091</c:v>
                </c:pt>
                <c:pt idx="2">
                  <c:v>588.3470421140064</c:v>
                </c:pt>
                <c:pt idx="3">
                  <c:v>0</c:v>
                </c:pt>
                <c:pt idx="4">
                  <c:v>5.9114085599999999</c:v>
                </c:pt>
                <c:pt idx="5">
                  <c:v>-0.21621692891278393</c:v>
                </c:pt>
                <c:pt idx="6">
                  <c:v>17.74872917581083</c:v>
                </c:pt>
                <c:pt idx="7">
                  <c:v>1.1587706814369267</c:v>
                </c:pt>
                <c:pt idx="8">
                  <c:v>-309.32612024260396</c:v>
                </c:pt>
                <c:pt idx="9">
                  <c:v>20.693335119999997</c:v>
                </c:pt>
                <c:pt idx="10">
                  <c:v>-129.18195310483875</c:v>
                </c:pt>
                <c:pt idx="11">
                  <c:v>16.378013551020405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169.3860462312316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1A-4546-A108-A8E4D69B604E}"/>
            </c:ext>
          </c:extLst>
        </c:ser>
        <c:ser>
          <c:idx val="0"/>
          <c:order val="2"/>
          <c:tx>
            <c:strRef>
              <c:f>'07. Chart_QUỐC GIA'!$R$103</c:f>
              <c:strCache>
                <c:ptCount val="1"/>
                <c:pt idx="0">
                  <c:v> 2,025 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GIA'!$Q$104:$Q$123</c15:sqref>
                  </c15:fullRef>
                </c:ext>
              </c:extLst>
              <c:f>'07. Chart_QUỐC GIA'!$Q$104:$Q$120</c:f>
              <c:strCache>
                <c:ptCount val="17"/>
                <c:pt idx="0">
                  <c:v>Mỹ</c:v>
                </c:pt>
                <c:pt idx="1">
                  <c:v>VN</c:v>
                </c:pt>
                <c:pt idx="2">
                  <c:v>Bồ Đào Nha</c:v>
                </c:pt>
                <c:pt idx="3">
                  <c:v>Luxembourg</c:v>
                </c:pt>
                <c:pt idx="4">
                  <c:v>Thụy Sĩ</c:v>
                </c:pt>
                <c:pt idx="5">
                  <c:v>Nhật</c:v>
                </c:pt>
                <c:pt idx="6">
                  <c:v>Hàn Quốc</c:v>
                </c:pt>
                <c:pt idx="7">
                  <c:v>Israel</c:v>
                </c:pt>
                <c:pt idx="8">
                  <c:v>Hong Kong</c:v>
                </c:pt>
                <c:pt idx="9">
                  <c:v>Australia</c:v>
                </c:pt>
                <c:pt idx="10">
                  <c:v>Singapore</c:v>
                </c:pt>
                <c:pt idx="11">
                  <c:v>Hy Lạp</c:v>
                </c:pt>
                <c:pt idx="12">
                  <c:v>Bulgaria</c:v>
                </c:pt>
                <c:pt idx="13">
                  <c:v>Italy</c:v>
                </c:pt>
                <c:pt idx="14">
                  <c:v>Pháp</c:v>
                </c:pt>
                <c:pt idx="15">
                  <c:v>Canada</c:v>
                </c:pt>
                <c:pt idx="16">
                  <c:v>Mexico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GIA'!$R$104:$R$123</c15:sqref>
                  </c15:fullRef>
                </c:ext>
              </c:extLst>
              <c:f>'07. Chart_QUỐC GIA'!$R$104:$R$120</c:f>
              <c:numCache>
                <c:formatCode>_(* #,##0_);_(* \(#,##0\);_(* "-"??_);_(@_)</c:formatCode>
                <c:ptCount val="17"/>
                <c:pt idx="0">
                  <c:v>2374.466989313054</c:v>
                </c:pt>
                <c:pt idx="1">
                  <c:v>1701.1635834727704</c:v>
                </c:pt>
                <c:pt idx="2">
                  <c:v>1402.4312992264549</c:v>
                </c:pt>
                <c:pt idx="3">
                  <c:v>333.95791999621474</c:v>
                </c:pt>
                <c:pt idx="4">
                  <c:v>103.20207323211874</c:v>
                </c:pt>
                <c:pt idx="5">
                  <c:v>58.269527502549984</c:v>
                </c:pt>
                <c:pt idx="6">
                  <c:v>49.982992535633272</c:v>
                </c:pt>
                <c:pt idx="7">
                  <c:v>48.886362584247749</c:v>
                </c:pt>
                <c:pt idx="8">
                  <c:v>22.772225729370025</c:v>
                </c:pt>
                <c:pt idx="9">
                  <c:v>17.71659230353605</c:v>
                </c:pt>
                <c:pt idx="10">
                  <c:v>17.234863464566907</c:v>
                </c:pt>
                <c:pt idx="11">
                  <c:v>17.133496171787613</c:v>
                </c:pt>
                <c:pt idx="12">
                  <c:v>14.509887220207187</c:v>
                </c:pt>
                <c:pt idx="13">
                  <c:v>12.451693619535252</c:v>
                </c:pt>
                <c:pt idx="14">
                  <c:v>7.7829660104066933</c:v>
                </c:pt>
                <c:pt idx="15">
                  <c:v>3.4385262848590812</c:v>
                </c:pt>
                <c:pt idx="16">
                  <c:v>-2.8404819010114442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91A-4546-A108-A8E4D69B604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460168639"/>
        <c:axId val="460170559"/>
      </c:barChart>
      <c:lineChart>
        <c:grouping val="standard"/>
        <c:varyColors val="0"/>
        <c:ser>
          <c:idx val="2"/>
          <c:order val="1"/>
          <c:tx>
            <c:strRef>
              <c:f>'07. Chart_QUỐC GIA'!$U$103</c:f>
              <c:strCache>
                <c:ptCount val="1"/>
                <c:pt idx="0">
                  <c:v>tỷ trong 24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8809073799741427E-2"/>
                  <c:y val="7.621704518902325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4073F69-A9D2-4713-AA87-0999CB22090E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78C40303-8359-4F52-8317-82D6A9C355CB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2529930756624444E-2"/>
                      <c:h val="9.8823278461567396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F91A-4546-A108-A8E4D69B604E}"/>
                </c:ext>
              </c:extLst>
            </c:dLbl>
            <c:dLbl>
              <c:idx val="1"/>
              <c:layout>
                <c:manualLayout>
                  <c:x val="-4.6648959511172219E-2"/>
                  <c:y val="-0.4747388848800672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E15610F-DF03-4E4E-8E5F-5D4ADEA87E5F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8E6E1328-2B5D-4AA5-9AF4-C0977D74002B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2616198641904137E-2"/>
                      <c:h val="9.5551530418111361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F91A-4546-A108-A8E4D69B604E}"/>
                </c:ext>
              </c:extLst>
            </c:dLbl>
            <c:dLbl>
              <c:idx val="2"/>
              <c:layout>
                <c:manualLayout>
                  <c:x val="-4.5106702481609834E-2"/>
                  <c:y val="-0.1884608022686867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163B9F3-2C4D-43BD-9657-1FA1C1B36D7C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DC644F8E-675C-41DC-9CCE-68E599FF3667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3921656147323282E-2"/>
                      <c:h val="0.124997262809215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F91A-4546-A108-A8E4D69B604E}"/>
                </c:ext>
              </c:extLst>
            </c:dLbl>
            <c:dLbl>
              <c:idx val="3"/>
              <c:layout>
                <c:manualLayout>
                  <c:x val="-4.5569845030770904E-2"/>
                  <c:y val="-0.1050313559695361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EC67D78-ED14-4E65-8EF2-73AC5E835F4C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E538E4E8-28E9-4B1F-B05F-9DAF8C0751D3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6469191151968249E-2"/>
                      <c:h val="0.1020950265050234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F91A-4546-A108-A8E4D69B604E}"/>
                </c:ext>
              </c:extLst>
            </c:dLbl>
            <c:dLbl>
              <c:idx val="4"/>
              <c:layout>
                <c:manualLayout>
                  <c:x val="-4.8576000154596878E-2"/>
                  <c:y val="-7.722136879118184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10F32C9-0E30-4A26-9D5B-EFD1F7375E73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A1EF70C9-B0D0-4540-8698-F5949EEEB9D9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8698944734915842E-2"/>
                      <c:h val="0.124997262809215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F91A-4546-A108-A8E4D69B604E}"/>
                </c:ext>
              </c:extLst>
            </c:dLbl>
            <c:dLbl>
              <c:idx val="5"/>
              <c:layout>
                <c:manualLayout>
                  <c:x val="-4.4347951668908488E-2"/>
                  <c:y val="-8.3764966629115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FF52ACC-B543-4793-9BB3-EF03654D1438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5C2946E3-1776-4CD4-B250-97C4288AB615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3236796696151621E-2"/>
                      <c:h val="9.2279782374655339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F91A-4546-A108-A8E4D69B604E}"/>
                </c:ext>
              </c:extLst>
            </c:dLbl>
            <c:dLbl>
              <c:idx val="6"/>
              <c:layout>
                <c:manualLayout>
                  <c:x val="-4.8616888200534884E-2"/>
                  <c:y val="-6.904225630049795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1F9EF8C-9070-4D3C-BDB0-3D7E8939C694}" type="CELLRANGE">
                      <a:rPr lang="en-US" baseline="0">
                        <a:solidFill>
                          <a:sysClr val="windowText" lastClr="000000"/>
                        </a:solidFill>
                      </a:rPr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fld id="{5E051EE0-E859-497F-AB79-2F2318E78386}" type="VALUE">
                      <a:rPr lang="en-US" baseline="0">
                        <a:solidFill>
                          <a:sysClr val="windowText" lastClr="000000"/>
                        </a:solidFill>
                      </a:rPr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7726233440341386E-2"/>
                      <c:h val="0.1086385225919354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F91A-4546-A108-A8E4D69B604E}"/>
                </c:ext>
              </c:extLst>
            </c:dLbl>
            <c:dLbl>
              <c:idx val="7"/>
              <c:layout>
                <c:manualLayout>
                  <c:x val="-4.9575164954396386E-2"/>
                  <c:y val="-7.72214976001600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6B75776-8662-4A04-A620-A6B1F8CED001}" type="CELLRANGE">
                      <a:rPr lang="en-US" baseline="0">
                        <a:solidFill>
                          <a:srgbClr val="FF0000"/>
                        </a:solidFill>
                      </a:rPr>
                      <a:pPr>
                        <a:defRPr sz="1000" b="1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rgbClr val="FF0000"/>
                        </a:solidFill>
                      </a:rPr>
                      <a:t> </a:t>
                    </a:r>
                    <a:fld id="{0274A696-E5A9-4B61-89C9-523684AFAC5E}" type="VALUE">
                      <a:rPr lang="en-US" baseline="0">
                        <a:solidFill>
                          <a:srgbClr val="FF0000"/>
                        </a:solidFill>
                      </a:rPr>
                      <a:pPr>
                        <a:defRPr sz="1000" b="1">
                          <a:solidFill>
                            <a:srgbClr val="FF0000"/>
                          </a:solidFill>
                        </a:defRPr>
                      </a:pPr>
                      <a:t>[VALUE]</a:t>
                    </a:fld>
                    <a:endParaRPr lang="en-US" baseline="0">
                      <a:solidFill>
                        <a:srgbClr val="FF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4688381243439648E-2"/>
                      <c:h val="0.1380842549830397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8-F91A-4546-A108-A8E4D69B604E}"/>
                </c:ext>
              </c:extLst>
            </c:dLbl>
            <c:dLbl>
              <c:idx val="8"/>
              <c:layout>
                <c:manualLayout>
                  <c:x val="-5.2578609919557887E-2"/>
                  <c:y val="-5.431913248698964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9B3BF08-D9E3-4A48-93F7-3AAB1016313F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FE7DBCA1-6137-4111-AA9F-6E5C940467EF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8489437686853659E-2"/>
                      <c:h val="0.1315407588961276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F91A-4546-A108-A8E4D69B604E}"/>
                </c:ext>
              </c:extLst>
            </c:dLbl>
            <c:dLbl>
              <c:idx val="9"/>
              <c:layout>
                <c:manualLayout>
                  <c:x val="-5.0061981966984359E-2"/>
                  <c:y val="-5.75909848100500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2285DC6-1138-4A61-BC13-CA545EAC0D20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901F8DE6-336F-4459-82EC-B6ECB162F8D4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6992958772123732E-2"/>
                      <c:h val="0.124997262809215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F91A-4546-A108-A8E4D69B604E}"/>
                </c:ext>
              </c:extLst>
            </c:dLbl>
            <c:dLbl>
              <c:idx val="10"/>
              <c:layout>
                <c:manualLayout>
                  <c:x val="-4.8089148955733407E-2"/>
                  <c:y val="-5.431923760945475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C028FB4-016A-4E6F-BE7D-5C99F216C2B7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AFF69F93-31F6-4178-BEC1-070B671E040E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3341550220182717E-2"/>
                      <c:h val="0.124997262809215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B-F91A-4546-A108-A8E4D69B604E}"/>
                </c:ext>
              </c:extLst>
            </c:dLbl>
            <c:dLbl>
              <c:idx val="11"/>
              <c:layout>
                <c:manualLayout>
                  <c:x val="-3.761641309793759E-2"/>
                  <c:y val="-8.867248694327806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9B236F6-5260-485A-9FFF-2018263B8413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0C9719B4-C193-4FF6-81EC-B0767A8D45B9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6334508049642569E-2"/>
                      <c:h val="0.1217255147657595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F91A-4546-A108-A8E4D69B604E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AF8A044-B9B6-4BA5-9079-4E19ED38B529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0B7CA4E5-8833-45AF-9CA4-00140D9CD974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D419-4E15-AD95-F281CACB3EF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CD86955-31BB-4090-933D-1C505281B8BF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F1DBAF64-865C-4B03-9DDD-4E44AF53B995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419-4E15-AD95-F281CACB3EF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5859769-580E-43CE-A123-6FFAF57D656D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928D0E41-1286-4FFB-B34E-ABC3B7A5587B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419-4E15-AD95-F281CACB3EF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795F8F1-9607-470D-A4E1-BEDCCD185D29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BD650CE0-8804-4EAF-A7A8-2E1A6B43F5D2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419-4E15-AD95-F281CACB3EF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8F63D2E-A0EE-4FDB-B896-4439DED3202B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6E16FD07-A129-43FC-ACF0-E75C52C10FC9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CAE0-42CC-BB8C-36D8B39ABD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GIA'!$Q$104:$Q$123</c15:sqref>
                  </c15:fullRef>
                </c:ext>
              </c:extLst>
              <c:f>'07. Chart_QUỐC GIA'!$Q$104:$Q$120</c:f>
              <c:strCache>
                <c:ptCount val="17"/>
                <c:pt idx="0">
                  <c:v>Mỹ</c:v>
                </c:pt>
                <c:pt idx="1">
                  <c:v>VN</c:v>
                </c:pt>
                <c:pt idx="2">
                  <c:v>Bồ Đào Nha</c:v>
                </c:pt>
                <c:pt idx="3">
                  <c:v>Luxembourg</c:v>
                </c:pt>
                <c:pt idx="4">
                  <c:v>Thụy Sĩ</c:v>
                </c:pt>
                <c:pt idx="5">
                  <c:v>Nhật</c:v>
                </c:pt>
                <c:pt idx="6">
                  <c:v>Hàn Quốc</c:v>
                </c:pt>
                <c:pt idx="7">
                  <c:v>Israel</c:v>
                </c:pt>
                <c:pt idx="8">
                  <c:v>Hong Kong</c:v>
                </c:pt>
                <c:pt idx="9">
                  <c:v>Australia</c:v>
                </c:pt>
                <c:pt idx="10">
                  <c:v>Singapore</c:v>
                </c:pt>
                <c:pt idx="11">
                  <c:v>Hy Lạp</c:v>
                </c:pt>
                <c:pt idx="12">
                  <c:v>Bulgaria</c:v>
                </c:pt>
                <c:pt idx="13">
                  <c:v>Italy</c:v>
                </c:pt>
                <c:pt idx="14">
                  <c:v>Pháp</c:v>
                </c:pt>
                <c:pt idx="15">
                  <c:v>Canada</c:v>
                </c:pt>
                <c:pt idx="16">
                  <c:v>Mexico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GIA'!$U$104:$U$123</c15:sqref>
                  </c15:fullRef>
                </c:ext>
              </c:extLst>
              <c:f>'07. Chart_QUỐC GIA'!$U$104:$U$120</c:f>
              <c:numCache>
                <c:formatCode>0%</c:formatCode>
                <c:ptCount val="17"/>
                <c:pt idx="0">
                  <c:v>0.32112732652838011</c:v>
                </c:pt>
                <c:pt idx="1">
                  <c:v>9.2572070223055067E-2</c:v>
                </c:pt>
                <c:pt idx="2">
                  <c:v>2.1763100097700581E-2</c:v>
                </c:pt>
                <c:pt idx="3">
                  <c:v>0</c:v>
                </c:pt>
                <c:pt idx="4">
                  <c:v>2.1866443952437667E-4</c:v>
                </c:pt>
                <c:pt idx="5">
                  <c:v>-7.9979167564753628E-6</c:v>
                </c:pt>
                <c:pt idx="6">
                  <c:v>6.5652980640854691E-4</c:v>
                </c:pt>
                <c:pt idx="7">
                  <c:v>4.2863209169505555E-5</c:v>
                </c:pt>
                <c:pt idx="8">
                  <c:v>-1.1442048375877938E-2</c:v>
                </c:pt>
                <c:pt idx="9">
                  <c:v>7.6545149603141278E-4</c:v>
                </c:pt>
                <c:pt idx="10">
                  <c:v>-4.7784718456905092E-3</c:v>
                </c:pt>
                <c:pt idx="11">
                  <c:v>6.0582670226679838E-4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6.2656310228712082E-3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'07. Chart_QUỐC GIA'!$T$104:$T$123</c15:f>
                <c15:dlblRangeCache>
                  <c:ptCount val="20"/>
                  <c:pt idx="0">
                    <c:v> 1,364 </c:v>
                  </c:pt>
                  <c:pt idx="1">
                    <c:v> 2,503 </c:v>
                  </c:pt>
                  <c:pt idx="2">
                    <c:v> 588 </c:v>
                  </c:pt>
                  <c:pt idx="3">
                    <c:v> -   </c:v>
                  </c:pt>
                  <c:pt idx="4">
                    <c:v> 6 </c:v>
                  </c:pt>
                  <c:pt idx="5">
                    <c:v> (0)</c:v>
                  </c:pt>
                  <c:pt idx="6">
                    <c:v> 18 </c:v>
                  </c:pt>
                  <c:pt idx="7">
                    <c:v> 1 </c:v>
                  </c:pt>
                  <c:pt idx="8">
                    <c:v> (309)</c:v>
                  </c:pt>
                  <c:pt idx="9">
                    <c:v> 21 </c:v>
                  </c:pt>
                  <c:pt idx="10">
                    <c:v> (129)</c:v>
                  </c:pt>
                  <c:pt idx="11">
                    <c:v> 16 </c:v>
                  </c:pt>
                  <c:pt idx="12">
                    <c:v> -   </c:v>
                  </c:pt>
                  <c:pt idx="13">
                    <c:v> -   </c:v>
                  </c:pt>
                  <c:pt idx="14">
                    <c:v> -   </c:v>
                  </c:pt>
                  <c:pt idx="15">
                    <c:v> -   </c:v>
                  </c:pt>
                  <c:pt idx="16">
                    <c:v> 169 </c:v>
                  </c:pt>
                  <c:pt idx="17">
                    <c:v> -   </c:v>
                  </c:pt>
                  <c:pt idx="18">
                    <c:v> -   </c:v>
                  </c:pt>
                  <c:pt idx="19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F91A-4546-A108-A8E4D69B604E}"/>
            </c:ext>
          </c:extLst>
        </c:ser>
        <c:ser>
          <c:idx val="3"/>
          <c:order val="3"/>
          <c:tx>
            <c:strRef>
              <c:f>'07. Chart_QUỐC GIA'!$S$103</c:f>
              <c:strCache>
                <c:ptCount val="1"/>
                <c:pt idx="0">
                  <c:v>tỷ trong 25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5441614462726362E-2"/>
                  <c:y val="-5.725546195150239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1F33F9F-674D-4616-A118-8F129549DB4C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C9E1C230-56AD-4ADF-B4AE-34A96E4B07A6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7105635386093909E-2"/>
                      <c:h val="0.1119102706353914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91A-4546-A108-A8E4D69B604E}"/>
                </c:ext>
              </c:extLst>
            </c:dLbl>
            <c:dLbl>
              <c:idx val="1"/>
              <c:layout>
                <c:manualLayout>
                  <c:x val="-1.0850238046197129E-2"/>
                  <c:y val="-8.506532032087861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0FDC4B8-E93B-4EA6-9006-6007D7C80905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2787BB6E-1AB7-4A69-AE85-54C86BA18E55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7105635386093909E-2"/>
                      <c:h val="0.1151820186788475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91A-4546-A108-A8E4D69B604E}"/>
                </c:ext>
              </c:extLst>
            </c:dLbl>
            <c:dLbl>
              <c:idx val="2"/>
              <c:layout>
                <c:manualLayout>
                  <c:x val="-2.2555097535054944E-2"/>
                  <c:y val="-5.687583971380447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69053B3-8C83-482E-8950-75C3663AEC44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3B4DEE5A-DFFB-4483-BAF9-96E08C0E460F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5902678438024801E-2"/>
                      <c:h val="0.1068055708337315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F91A-4546-A108-A8E4D69B604E}"/>
                </c:ext>
              </c:extLst>
            </c:dLbl>
            <c:dLbl>
              <c:idx val="3"/>
              <c:layout>
                <c:manualLayout>
                  <c:x val="-1.4164055094933323E-2"/>
                  <c:y val="-8.1793701086400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2662639-B0CB-4158-921E-441B4BDD1795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0CA98A90-AAD0-47EA-8637-DE7E2E20F4F9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2320423708562253E-2"/>
                      <c:h val="0.128269010852671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F91A-4546-A108-A8E4D69B604E}"/>
                </c:ext>
              </c:extLst>
            </c:dLbl>
            <c:dLbl>
              <c:idx val="4"/>
              <c:layout>
                <c:manualLayout>
                  <c:x val="-1.2613549756392086E-2"/>
                  <c:y val="-4.744021782113430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3F46A4C-200F-4936-9A69-9CE90C009015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46118DB3-AE4C-4B2F-B5F2-94BC03E98DE8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1845071305452791E-2"/>
                      <c:h val="0.124997262809215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F91A-4546-A108-A8E4D69B604E}"/>
                </c:ext>
              </c:extLst>
            </c:dLbl>
            <c:dLbl>
              <c:idx val="5"/>
              <c:layout>
                <c:manualLayout>
                  <c:x val="-1.3255386027930242E-2"/>
                  <c:y val="-6.707070608187047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C3024AF-6CA1-48A4-AB00-771553A7974E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8933ECC9-CA05-43FA-B038-54E2C4B03D90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1845071305452791E-2"/>
                      <c:h val="0.1119102706353914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F91A-4546-A108-A8E4D69B604E}"/>
                </c:ext>
              </c:extLst>
            </c:dLbl>
            <c:dLbl>
              <c:idx val="6"/>
              <c:layout>
                <c:manualLayout>
                  <c:x val="-1.6729691602797261E-2"/>
                  <c:y val="-6.707070608187047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BE380A2-3C69-49B1-94D2-BE06CEF9F5F0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3CFB0783-BB0E-4E0D-8CAF-1E9A996BF9BD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3.7307219344217019E-2"/>
                      <c:h val="0.124997262809215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F91A-4546-A108-A8E4D69B604E}"/>
                </c:ext>
              </c:extLst>
            </c:dLbl>
            <c:dLbl>
              <c:idx val="7"/>
              <c:layout>
                <c:manualLayout>
                  <c:x val="-2.7044552165556845E-2"/>
                  <c:y val="-6.2163187539839834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BE6BDBF-7B08-49DC-8686-3CD68A3DFCEA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C8426B55-CEBA-4016-B539-AA706ACD18C4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3293135003136717E-2"/>
                      <c:h val="0.1217255147657595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F91A-4546-A108-A8E4D69B604E}"/>
                </c:ext>
              </c:extLst>
            </c:dLbl>
            <c:dLbl>
              <c:idx val="8"/>
              <c:layout>
                <c:manualLayout>
                  <c:x val="-2.4478951670432236E-2"/>
                  <c:y val="-6.543493558329574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BB5F0FC-445C-4426-93F3-C34F8B3147C9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87389814-903A-4677-9A4E-8DC9C4466B01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179665608840679E-2"/>
                      <c:h val="0.1151820186788475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F91A-4546-A108-A8E4D69B604E}"/>
                </c:ext>
              </c:extLst>
            </c:dLbl>
            <c:dLbl>
              <c:idx val="9"/>
              <c:layout>
                <c:manualLayout>
                  <c:x val="-1.7744822772119959E-2"/>
                  <c:y val="-5.071209467356842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FFC128F-5219-45C1-82ED-3FFE474783E2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CA2279BC-3024-42CB-A51C-57983E04F34C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7677818223295393E-2"/>
                      <c:h val="0.1380842549830397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F-F91A-4546-A108-A8E4D69B604E}"/>
                </c:ext>
              </c:extLst>
            </c:dLbl>
            <c:dLbl>
              <c:idx val="10"/>
              <c:layout>
                <c:manualLayout>
                  <c:x val="-1.6141822838577766E-2"/>
                  <c:y val="-7.197832814705451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7D27AF8-9DB8-457C-ADBA-A6D202AE0E31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DE203CE1-E03F-4EB3-BFC9-7C638F34E075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0195423649645769E-2"/>
                      <c:h val="0.1151820186788475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F91A-4546-A108-A8E4D69B604E}"/>
                </c:ext>
              </c:extLst>
            </c:dLbl>
            <c:dLbl>
              <c:idx val="11"/>
              <c:layout>
                <c:manualLayout>
                  <c:x val="-1.7095445711339588E-3"/>
                  <c:y val="-7.537064139400168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C504919-B9C7-430A-9441-469FA1FF7E3C}" type="CELLRANGE">
                      <a:rPr lang="en-US" baseline="0"/>
                      <a:pPr>
                        <a:defRPr sz="1000" b="1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B40FEFDF-CB54-4EC9-8E58-DD2AAD852582}" type="VALUE">
                      <a:rPr lang="en-US" baseline="0"/>
                      <a:pPr>
                        <a:defRPr sz="1000" b="1">
                          <a:solidFill>
                            <a:srgbClr val="FF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4.0350932124899763E-2"/>
                      <c:h val="0.1476581110884693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1-F91A-4546-A108-A8E4D69B604E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6AB7158-B50C-4807-A2B3-BFAE9BCC9FE5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29656D55-D911-46B1-B956-2795754EE531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419-4E15-AD95-F281CACB3EF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2AA7B74-D23C-4F39-B2E1-DC7EF21FBBB9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88C49288-5A1B-47D0-8F14-932E3AD0C010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419-4E15-AD95-F281CACB3EF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E607213-80FB-4E23-A5F3-DD70875604A7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003C7655-9C5E-4A7E-B627-22B783C82D2A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419-4E15-AD95-F281CACB3EF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0149785-DF88-4E6F-9A2A-75C21A6B7764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47FD16F7-645B-4C75-A57D-4EF10E8E22C4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419-4E15-AD95-F281CACB3EF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90FD59F-339A-4451-93DF-5DA4B731F7E8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523BA2A7-0DCB-4036-BE87-B136031B48C9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CAE0-42CC-BB8C-36D8B39ABD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GIA'!$Q$104:$Q$123</c15:sqref>
                  </c15:fullRef>
                </c:ext>
              </c:extLst>
              <c:f>'07. Chart_QUỐC GIA'!$Q$104:$Q$120</c:f>
              <c:strCache>
                <c:ptCount val="17"/>
                <c:pt idx="0">
                  <c:v>Mỹ</c:v>
                </c:pt>
                <c:pt idx="1">
                  <c:v>VN</c:v>
                </c:pt>
                <c:pt idx="2">
                  <c:v>Bồ Đào Nha</c:v>
                </c:pt>
                <c:pt idx="3">
                  <c:v>Luxembourg</c:v>
                </c:pt>
                <c:pt idx="4">
                  <c:v>Thụy Sĩ</c:v>
                </c:pt>
                <c:pt idx="5">
                  <c:v>Nhật</c:v>
                </c:pt>
                <c:pt idx="6">
                  <c:v>Hàn Quốc</c:v>
                </c:pt>
                <c:pt idx="7">
                  <c:v>Israel</c:v>
                </c:pt>
                <c:pt idx="8">
                  <c:v>Hong Kong</c:v>
                </c:pt>
                <c:pt idx="9">
                  <c:v>Australia</c:v>
                </c:pt>
                <c:pt idx="10">
                  <c:v>Singapore</c:v>
                </c:pt>
                <c:pt idx="11">
                  <c:v>Hy Lạp</c:v>
                </c:pt>
                <c:pt idx="12">
                  <c:v>Bulgaria</c:v>
                </c:pt>
                <c:pt idx="13">
                  <c:v>Italy</c:v>
                </c:pt>
                <c:pt idx="14">
                  <c:v>Pháp</c:v>
                </c:pt>
                <c:pt idx="15">
                  <c:v>Canada</c:v>
                </c:pt>
                <c:pt idx="16">
                  <c:v>Mexico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GIA'!$S$104:$S$123</c15:sqref>
                  </c15:fullRef>
                </c:ext>
              </c:extLst>
              <c:f>'07. Chart_QUỐC GIA'!$S$104:$S$120</c:f>
              <c:numCache>
                <c:formatCode>0%</c:formatCode>
                <c:ptCount val="17"/>
                <c:pt idx="0">
                  <c:v>0.38405883498815868</c:v>
                </c:pt>
                <c:pt idx="1">
                  <c:v>0.27515518511455495</c:v>
                </c:pt>
                <c:pt idx="2">
                  <c:v>0.22683664727959285</c:v>
                </c:pt>
                <c:pt idx="3">
                  <c:v>5.4016118255626321E-2</c:v>
                </c:pt>
                <c:pt idx="4">
                  <c:v>1.6692448533621E-2</c:v>
                </c:pt>
                <c:pt idx="5">
                  <c:v>9.4248212119445642E-3</c:v>
                </c:pt>
                <c:pt idx="6">
                  <c:v>8.0845132692330124E-3</c:v>
                </c:pt>
                <c:pt idx="7" formatCode="0.0%">
                  <c:v>7.9071385474795246E-3</c:v>
                </c:pt>
                <c:pt idx="8" formatCode="0.0%">
                  <c:v>3.6833000934830651E-3</c:v>
                </c:pt>
                <c:pt idx="9" formatCode="0.0%">
                  <c:v>2.865575234644441E-3</c:v>
                </c:pt>
                <c:pt idx="10" formatCode="0.0%">
                  <c:v>2.7876578672910994E-3</c:v>
                </c:pt>
                <c:pt idx="11">
                  <c:v>2.7712621858409303E-3</c:v>
                </c:pt>
                <c:pt idx="12">
                  <c:v>2.3469058136767534E-3</c:v>
                </c:pt>
                <c:pt idx="13">
                  <c:v>2.0140027074167532E-3</c:v>
                </c:pt>
                <c:pt idx="14">
                  <c:v>1.2588580393673948E-3</c:v>
                </c:pt>
                <c:pt idx="15">
                  <c:v>5.56165406797757E-4</c:v>
                </c:pt>
                <c:pt idx="16">
                  <c:v>-4.5943454872919174E-4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'07. Chart_QUỐC GIA'!$R$104:$R$123</c15:f>
                <c15:dlblRangeCache>
                  <c:ptCount val="20"/>
                  <c:pt idx="0">
                    <c:v> 2,374 </c:v>
                  </c:pt>
                  <c:pt idx="1">
                    <c:v> 1,701 </c:v>
                  </c:pt>
                  <c:pt idx="2">
                    <c:v> 1,402 </c:v>
                  </c:pt>
                  <c:pt idx="3">
                    <c:v> 334 </c:v>
                  </c:pt>
                  <c:pt idx="4">
                    <c:v> 103 </c:v>
                  </c:pt>
                  <c:pt idx="5">
                    <c:v> 58 </c:v>
                  </c:pt>
                  <c:pt idx="6">
                    <c:v> 50 </c:v>
                  </c:pt>
                  <c:pt idx="7">
                    <c:v> 49 </c:v>
                  </c:pt>
                  <c:pt idx="8">
                    <c:v> 23 </c:v>
                  </c:pt>
                  <c:pt idx="9">
                    <c:v> 18 </c:v>
                  </c:pt>
                  <c:pt idx="10">
                    <c:v> 17 </c:v>
                  </c:pt>
                  <c:pt idx="11">
                    <c:v> 17 </c:v>
                  </c:pt>
                  <c:pt idx="12">
                    <c:v> 15 </c:v>
                  </c:pt>
                  <c:pt idx="13">
                    <c:v> 12 </c:v>
                  </c:pt>
                  <c:pt idx="14">
                    <c:v> 8 </c:v>
                  </c:pt>
                  <c:pt idx="15">
                    <c:v> 3 </c:v>
                  </c:pt>
                  <c:pt idx="16">
                    <c:v> (3)</c:v>
                  </c:pt>
                  <c:pt idx="17">
                    <c:v> -   </c:v>
                  </c:pt>
                  <c:pt idx="18">
                    <c:v> -   </c:v>
                  </c:pt>
                  <c:pt idx="19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F91A-4546-A108-A8E4D69B6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2212351"/>
        <c:axId val="1822201311"/>
      </c:lineChart>
      <c:catAx>
        <c:axId val="4601686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70559"/>
        <c:crosses val="autoZero"/>
        <c:auto val="1"/>
        <c:lblAlgn val="ctr"/>
        <c:lblOffset val="100"/>
        <c:noMultiLvlLbl val="0"/>
      </c:catAx>
      <c:valAx>
        <c:axId val="460170559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8639"/>
        <c:crosses val="autoZero"/>
        <c:crossBetween val="between"/>
      </c:valAx>
      <c:valAx>
        <c:axId val="1822201311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212351"/>
        <c:crosses val="max"/>
        <c:crossBetween val="between"/>
      </c:valAx>
      <c:catAx>
        <c:axId val="18222123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222013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rgbClr val="0000FF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'07. Chart_QUỐC GIA'!$Q$172</c:f>
          <c:strCache>
            <c:ptCount val="1"/>
            <c:pt idx="0">
              <c:v>LŨY KẾ % LỢI NHUẬN GỘP THEO QUỐC GIA T8/25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C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6305586450605588E-2"/>
          <c:y val="0.17472809068770342"/>
          <c:w val="0.95659784066897713"/>
          <c:h val="0.72697968481537889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'07. Chart_QUỐC GIA'!$U$150</c:f>
              <c:strCache>
                <c:ptCount val="1"/>
                <c:pt idx="0">
                  <c:v> 2,024 </c:v>
                </c:pt>
              </c:strCache>
            </c:strRef>
          </c:tx>
          <c:spPr>
            <a:solidFill>
              <a:srgbClr val="AFABAB"/>
            </a:solidFill>
            <a:ln>
              <a:noFill/>
            </a:ln>
            <a:effectLst/>
          </c:spPr>
          <c:invertIfNegative val="1"/>
          <c:dLbls>
            <c:dLbl>
              <c:idx val="10"/>
              <c:layout>
                <c:manualLayout>
                  <c:x val="-1.6135589774864054E-3"/>
                  <c:y val="9.089111461822815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556-43B9-A8B1-DCBB5EE8C9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GIA'!$S$151:$S$170</c15:sqref>
                  </c15:fullRef>
                </c:ext>
              </c:extLst>
              <c:f>'07. Chart_QUỐC GIA'!$S$151:$S$167</c:f>
              <c:strCache>
                <c:ptCount val="17"/>
                <c:pt idx="0">
                  <c:v>Italy</c:v>
                </c:pt>
                <c:pt idx="1">
                  <c:v>Nhật</c:v>
                </c:pt>
                <c:pt idx="2">
                  <c:v>Luxembourg</c:v>
                </c:pt>
                <c:pt idx="3">
                  <c:v>Thụy Sĩ</c:v>
                </c:pt>
                <c:pt idx="4">
                  <c:v>Israel</c:v>
                </c:pt>
                <c:pt idx="5">
                  <c:v>Bồ Đào Nha</c:v>
                </c:pt>
                <c:pt idx="6">
                  <c:v>Australia</c:v>
                </c:pt>
                <c:pt idx="7">
                  <c:v>Mỹ</c:v>
                </c:pt>
                <c:pt idx="8">
                  <c:v>Hy Lạp</c:v>
                </c:pt>
                <c:pt idx="9">
                  <c:v>0</c:v>
                </c:pt>
                <c:pt idx="10">
                  <c:v>Hàn Quốc</c:v>
                </c:pt>
                <c:pt idx="11">
                  <c:v>VN</c:v>
                </c:pt>
                <c:pt idx="12">
                  <c:v>Bulgaria</c:v>
                </c:pt>
                <c:pt idx="13">
                  <c:v>Pháp</c:v>
                </c:pt>
                <c:pt idx="14">
                  <c:v>Singapore</c:v>
                </c:pt>
                <c:pt idx="15">
                  <c:v>Hong Kong</c:v>
                </c:pt>
                <c:pt idx="16">
                  <c:v>Mexico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GIA'!$U$151:$U$170</c15:sqref>
                  </c15:fullRef>
                </c:ext>
              </c:extLst>
              <c:f>'07. Chart_QUỐC GIA'!$U$151:$U$167</c:f>
              <c:numCache>
                <c:formatCode>0%</c:formatCode>
                <c:ptCount val="17"/>
                <c:pt idx="0">
                  <c:v>0</c:v>
                </c:pt>
                <c:pt idx="1">
                  <c:v>-8.1294126248002238E-2</c:v>
                </c:pt>
                <c:pt idx="2">
                  <c:v>0</c:v>
                </c:pt>
                <c:pt idx="3">
                  <c:v>0.19714473578895131</c:v>
                </c:pt>
                <c:pt idx="4">
                  <c:v>2.5662430726358765E-2</c:v>
                </c:pt>
                <c:pt idx="5">
                  <c:v>0.21124746596254934</c:v>
                </c:pt>
                <c:pt idx="6">
                  <c:v>0.18562211992159769</c:v>
                </c:pt>
                <c:pt idx="7">
                  <c:v>0.16212598715121129</c:v>
                </c:pt>
                <c:pt idx="8">
                  <c:v>0.29295512076199903</c:v>
                </c:pt>
                <c:pt idx="9">
                  <c:v>0</c:v>
                </c:pt>
                <c:pt idx="10">
                  <c:v>0.19757088397501704</c:v>
                </c:pt>
                <c:pt idx="11">
                  <c:v>0.20278416453210504</c:v>
                </c:pt>
                <c:pt idx="12">
                  <c:v>0</c:v>
                </c:pt>
                <c:pt idx="13">
                  <c:v>0</c:v>
                </c:pt>
                <c:pt idx="14">
                  <c:v>-0.12333123039856624</c:v>
                </c:pt>
                <c:pt idx="15">
                  <c:v>-0.2632709216450167</c:v>
                </c:pt>
                <c:pt idx="16">
                  <c:v>0.18071887837760078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2-C556-43B9-A8B1-DCBB5EE8C9C5}"/>
            </c:ext>
          </c:extLst>
        </c:ser>
        <c:ser>
          <c:idx val="0"/>
          <c:order val="1"/>
          <c:tx>
            <c:strRef>
              <c:f>'07. Chart_QUỐC GIA'!$T$150</c:f>
              <c:strCache>
                <c:ptCount val="1"/>
                <c:pt idx="0">
                  <c:v> 2,025 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1"/>
          <c:dLbls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8-C556-43B9-A8B1-DCBB5EE8C9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CC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GIA'!$S$151:$S$170</c15:sqref>
                  </c15:fullRef>
                </c:ext>
              </c:extLst>
              <c:f>'07. Chart_QUỐC GIA'!$S$151:$S$167</c:f>
              <c:strCache>
                <c:ptCount val="17"/>
                <c:pt idx="0">
                  <c:v>Italy</c:v>
                </c:pt>
                <c:pt idx="1">
                  <c:v>Nhật</c:v>
                </c:pt>
                <c:pt idx="2">
                  <c:v>Luxembourg</c:v>
                </c:pt>
                <c:pt idx="3">
                  <c:v>Thụy Sĩ</c:v>
                </c:pt>
                <c:pt idx="4">
                  <c:v>Israel</c:v>
                </c:pt>
                <c:pt idx="5">
                  <c:v>Bồ Đào Nha</c:v>
                </c:pt>
                <c:pt idx="6">
                  <c:v>Australia</c:v>
                </c:pt>
                <c:pt idx="7">
                  <c:v>Mỹ</c:v>
                </c:pt>
                <c:pt idx="8">
                  <c:v>Hy Lạp</c:v>
                </c:pt>
                <c:pt idx="9">
                  <c:v>0</c:v>
                </c:pt>
                <c:pt idx="10">
                  <c:v>Hàn Quốc</c:v>
                </c:pt>
                <c:pt idx="11">
                  <c:v>VN</c:v>
                </c:pt>
                <c:pt idx="12">
                  <c:v>Bulgaria</c:v>
                </c:pt>
                <c:pt idx="13">
                  <c:v>Pháp</c:v>
                </c:pt>
                <c:pt idx="14">
                  <c:v>Singapore</c:v>
                </c:pt>
                <c:pt idx="15">
                  <c:v>Hong Kong</c:v>
                </c:pt>
                <c:pt idx="16">
                  <c:v>Mexico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GIA'!$T$151:$T$170</c15:sqref>
                  </c15:fullRef>
                </c:ext>
              </c:extLst>
              <c:f>'07. Chart_QUỐC GIA'!$T$151:$T$167</c:f>
              <c:numCache>
                <c:formatCode>0%</c:formatCode>
                <c:ptCount val="17"/>
                <c:pt idx="0">
                  <c:v>0.22841870217246257</c:v>
                </c:pt>
                <c:pt idx="1">
                  <c:v>0.21577723157044601</c:v>
                </c:pt>
                <c:pt idx="2">
                  <c:v>0.20118715420389499</c:v>
                </c:pt>
                <c:pt idx="3">
                  <c:v>0.19072260037364497</c:v>
                </c:pt>
                <c:pt idx="4">
                  <c:v>0.18875328222730631</c:v>
                </c:pt>
                <c:pt idx="5">
                  <c:v>0.18182778458188634</c:v>
                </c:pt>
                <c:pt idx="6">
                  <c:v>0.15444829963779991</c:v>
                </c:pt>
                <c:pt idx="7">
                  <c:v>0.13556893353515143</c:v>
                </c:pt>
                <c:pt idx="8">
                  <c:v>0.13335443579051026</c:v>
                </c:pt>
                <c:pt idx="9">
                  <c:v>0</c:v>
                </c:pt>
                <c:pt idx="10">
                  <c:v>0.12313526602401866</c:v>
                </c:pt>
                <c:pt idx="11">
                  <c:v>0.12176110293092958</c:v>
                </c:pt>
                <c:pt idx="12">
                  <c:v>0.11393662342625689</c:v>
                </c:pt>
                <c:pt idx="13">
                  <c:v>0.10429323245934889</c:v>
                </c:pt>
                <c:pt idx="14">
                  <c:v>6.9348419507773026E-2</c:v>
                </c:pt>
                <c:pt idx="15">
                  <c:v>4.9847121825300385E-2</c:v>
                </c:pt>
                <c:pt idx="16">
                  <c:v>-3.6569348719813467E-2</c:v>
                </c:pt>
              </c:numCache>
            </c:numRef>
          </c:val>
          <c:extLst xmlns:c15="http://schemas.microsoft.com/office/drawing/2012/chart"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16-C556-43B9-A8B1-DCBB5EE8C9C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60168639"/>
        <c:axId val="460170559"/>
        <c:extLst/>
      </c:barChart>
      <c:catAx>
        <c:axId val="46016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70559"/>
        <c:crosses val="autoZero"/>
        <c:auto val="1"/>
        <c:lblAlgn val="ctr"/>
        <c:lblOffset val="100"/>
        <c:noMultiLvlLbl val="0"/>
      </c:catAx>
      <c:valAx>
        <c:axId val="46017055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41648752350459928"/>
          <c:y val="0.90144211781333305"/>
          <c:w val="0.16379783503582862"/>
          <c:h val="6.49557366368326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rgbClr val="0000FF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'07. Chart_QUỐC GIA'!$C$172</c:f>
          <c:strCache>
            <c:ptCount val="1"/>
            <c:pt idx="0">
              <c:v>% LỢI NHUẬN GỘP THEO QUỐC GIA T8/25</c:v>
            </c:pt>
          </c:strCache>
        </c:strRef>
      </c:tx>
      <c:layout>
        <c:manualLayout>
          <c:xMode val="edge"/>
          <c:yMode val="edge"/>
          <c:x val="0.19504790138932213"/>
          <c:y val="2.01183391334170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C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887841806329801E-2"/>
          <c:y val="0.14003222159276973"/>
          <c:w val="0.95602212009163312"/>
          <c:h val="0.7073151847413319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'07. Chart_QUỐC GIA'!$G$150</c:f>
              <c:strCache>
                <c:ptCount val="1"/>
                <c:pt idx="0">
                  <c:v> 2,024 </c:v>
                </c:pt>
              </c:strCache>
            </c:strRef>
          </c:tx>
          <c:spPr>
            <a:solidFill>
              <a:srgbClr val="AFABAB"/>
            </a:solidFill>
            <a:ln>
              <a:noFill/>
            </a:ln>
            <a:effectLst/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GIA'!$E$151:$E$170</c15:sqref>
                  </c15:fullRef>
                </c:ext>
              </c:extLst>
              <c:f>'07. Chart_QUỐC GIA'!$E$151:$E$158</c:f>
              <c:strCache>
                <c:ptCount val="8"/>
                <c:pt idx="0">
                  <c:v>Bồ Đào Nha</c:v>
                </c:pt>
                <c:pt idx="1">
                  <c:v>Luxembourg</c:v>
                </c:pt>
                <c:pt idx="2">
                  <c:v>Australia</c:v>
                </c:pt>
                <c:pt idx="3">
                  <c:v>Hy Lạp</c:v>
                </c:pt>
                <c:pt idx="4">
                  <c:v>Mỹ</c:v>
                </c:pt>
                <c:pt idx="5">
                  <c:v>VN</c:v>
                </c:pt>
                <c:pt idx="6">
                  <c:v>Hong Kong</c:v>
                </c:pt>
                <c:pt idx="7">
                  <c:v>Hàn Quốc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GIA'!$G$151:$G$170</c15:sqref>
                  </c15:fullRef>
                </c:ext>
              </c:extLst>
              <c:f>'07. Chart_QUỐC GIA'!$G$151:$G$158</c:f>
              <c:numCache>
                <c:formatCode>0%</c:formatCode>
                <c:ptCount val="8"/>
                <c:pt idx="0">
                  <c:v>0.17431487011755387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0.13796530138993096</c:v>
                </c:pt>
                <c:pt idx="5">
                  <c:v>0.17098660113380229</c:v>
                </c:pt>
                <c:pt idx="6" formatCode="0.0%">
                  <c:v>-0.25117560351980339</c:v>
                </c:pt>
                <c:pt idx="7">
                  <c:v>0.18034034054937217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3-E4F8-41D1-BE9B-73849E46D2C4}"/>
            </c:ext>
          </c:extLst>
        </c:ser>
        <c:ser>
          <c:idx val="0"/>
          <c:order val="1"/>
          <c:tx>
            <c:strRef>
              <c:f>'07. Chart_QUỐC GIA'!$F$150</c:f>
              <c:strCache>
                <c:ptCount val="1"/>
                <c:pt idx="0">
                  <c:v> 2,025 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1"/>
          <c:dLbls>
            <c:dLbl>
              <c:idx val="1"/>
              <c:layout>
                <c:manualLayout>
                  <c:x val="7.7228858295990853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4F8-41D1-BE9B-73849E46D2C4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6="http://schemas.microsoft.com/office/drawing/2014/chart" uri="{C3380CC4-5D6E-409C-BE32-E72D297353CC}">
                  <c16:uniqueId val="{00000000-5A10-4766-8D46-10C81D010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'07. Chart_QUỐC GIA'!$E$151:$E$170</c15:sqref>
                  </c15:fullRef>
                </c:ext>
              </c:extLst>
              <c:f>'07. Chart_QUỐC GIA'!$E$151:$E$158</c:f>
              <c:strCache>
                <c:ptCount val="8"/>
                <c:pt idx="0">
                  <c:v>Bồ Đào Nha</c:v>
                </c:pt>
                <c:pt idx="1">
                  <c:v>Luxembourg</c:v>
                </c:pt>
                <c:pt idx="2">
                  <c:v>Australia</c:v>
                </c:pt>
                <c:pt idx="3">
                  <c:v>Hy Lạp</c:v>
                </c:pt>
                <c:pt idx="4">
                  <c:v>Mỹ</c:v>
                </c:pt>
                <c:pt idx="5">
                  <c:v>VN</c:v>
                </c:pt>
                <c:pt idx="6">
                  <c:v>Hong Kong</c:v>
                </c:pt>
                <c:pt idx="7">
                  <c:v>Hàn Quốc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'07. Chart_QUỐC GIA'!$F$151:$F$170</c15:sqref>
                  </c15:fullRef>
                </c:ext>
              </c:extLst>
              <c:f>'07. Chart_QUỐC GIA'!$F$151:$F$158</c:f>
              <c:numCache>
                <c:formatCode>0.0%</c:formatCode>
                <c:ptCount val="8"/>
                <c:pt idx="0" formatCode="0%">
                  <c:v>0.18221652943677491</c:v>
                </c:pt>
                <c:pt idx="1">
                  <c:v>0.1783639741715487</c:v>
                </c:pt>
                <c:pt idx="2" formatCode="0%">
                  <c:v>0.12114990404840452</c:v>
                </c:pt>
                <c:pt idx="3" formatCode="0%">
                  <c:v>0.10958284801301654</c:v>
                </c:pt>
                <c:pt idx="4" formatCode="0%">
                  <c:v>9.8916618258340777E-2</c:v>
                </c:pt>
                <c:pt idx="5" formatCode="0%">
                  <c:v>7.3426932680074539E-2</c:v>
                </c:pt>
                <c:pt idx="6" formatCode="0%">
                  <c:v>1.8149902254908722E-2</c:v>
                </c:pt>
                <c:pt idx="7" formatCode="0%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E4F8-41D1-BE9B-73849E46D2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865624015"/>
        <c:axId val="1865627375"/>
      </c:barChart>
      <c:catAx>
        <c:axId val="186562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627375"/>
        <c:crosses val="autoZero"/>
        <c:auto val="1"/>
        <c:lblAlgn val="ctr"/>
        <c:lblOffset val="100"/>
        <c:noMultiLvlLbl val="0"/>
      </c:catAx>
      <c:valAx>
        <c:axId val="186562737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62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rgbClr val="0000FF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'7.1. Chart Bubble_QUỐC GIA'!$B$29</c:f>
          <c:strCache>
            <c:ptCount val="1"/>
            <c:pt idx="0">
              <c:v>SẢN LƯỢNG_ LỢI NHUẬN GỘP THEO QUỐC GIA T8.2025</c:v>
            </c:pt>
          </c:strCache>
        </c:strRef>
      </c:tx>
      <c:layout>
        <c:manualLayout>
          <c:xMode val="edge"/>
          <c:yMode val="edge"/>
          <c:x val="0.27034999089302941"/>
          <c:y val="3.43875867556867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B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95703554565895"/>
          <c:y val="0.12508580343213729"/>
          <c:w val="0.86421679633974258"/>
          <c:h val="0.80251157762845948"/>
        </c:manualLayout>
      </c:layout>
      <c:bubbleChart>
        <c:varyColors val="1"/>
        <c:ser>
          <c:idx val="0"/>
          <c:order val="0"/>
          <c:tx>
            <c:strRef>
              <c:f>'7.1. Chart Bubble_QUỐC GIA'!$C$5</c:f>
              <c:strCache>
                <c:ptCount val="1"/>
                <c:pt idx="0">
                  <c:v>Quốc gia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55A4-4B50-9F5E-DC06170F3E50}"/>
              </c:ext>
            </c:extLst>
          </c:dPt>
          <c:dPt>
            <c:idx val="1"/>
            <c:invertIfNegative val="0"/>
            <c:bubble3D val="0"/>
            <c:spPr>
              <a:solidFill>
                <a:srgbClr val="15FF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55A4-4B50-9F5E-DC06170F3E5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55A4-4B50-9F5E-DC06170F3E50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55A4-4B50-9F5E-DC06170F3E50}"/>
              </c:ext>
            </c:extLst>
          </c:dPt>
          <c:dPt>
            <c:idx val="4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55A4-4B50-9F5E-DC06170F3E50}"/>
              </c:ext>
            </c:extLst>
          </c:dPt>
          <c:dPt>
            <c:idx val="5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55A4-4B50-9F5E-DC06170F3E5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55A4-4B50-9F5E-DC06170F3E5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2-55A4-4B50-9F5E-DC06170F3E5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55A4-4B50-9F5E-DC06170F3E5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55A4-4B50-9F5E-DC06170F3E5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55A4-4B50-9F5E-DC06170F3E5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55A4-4B50-9F5E-DC06170F3E50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C-55A4-4B50-9F5E-DC06170F3E50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E-55A4-4B50-9F5E-DC06170F3E50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0-55A4-4B50-9F5E-DC06170F3E50}"/>
              </c:ext>
            </c:extLst>
          </c:dPt>
          <c:dPt>
            <c:idx val="15"/>
            <c:invertIfNegative val="0"/>
            <c:bubble3D val="0"/>
            <c:spPr>
              <a:solidFill>
                <a:srgbClr val="00CC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2-55A4-4B50-9F5E-DC06170F3E50}"/>
              </c:ext>
            </c:extLst>
          </c:dPt>
          <c:dLbls>
            <c:dLbl>
              <c:idx val="0"/>
              <c:layout>
                <c:manualLayout>
                  <c:x val="-0.12357986022615998"/>
                  <c:y val="-1.060510766887368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D83A020-2BD1-4AB2-BCB2-C4474D43BF7C}" type="CELLRANGE">
                      <a:rPr lang="en-US" b="1">
                        <a:solidFill>
                          <a:schemeClr val="bg1"/>
                        </a:solidFill>
                      </a:rPr>
                      <a:pPr>
                        <a:defRPr sz="9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b="1" baseline="0">
                      <a:solidFill>
                        <a:schemeClr val="bg1"/>
                      </a:solidFill>
                    </a:endParaRPr>
                  </a:p>
                  <a:p>
                    <a:pPr>
                      <a:defRPr sz="9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A496681-AB1B-4B02-98E3-E175B1FA7650}" type="XVALUE">
                      <a:rPr lang="en-US" b="1">
                        <a:solidFill>
                          <a:schemeClr val="bg1"/>
                        </a:solidFill>
                      </a:rPr>
                      <a:pPr>
                        <a:defRPr sz="9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endParaRPr lang="en-US" b="1" baseline="0">
                      <a:solidFill>
                        <a:schemeClr val="bg1"/>
                      </a:solidFill>
                    </a:endParaRPr>
                  </a:p>
                  <a:p>
                    <a:pPr>
                      <a:defRPr sz="9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61E528A-79FF-413A-B495-32C689CDCF76}" type="YVALUE">
                      <a:rPr lang="en-US" b="1">
                        <a:solidFill>
                          <a:schemeClr val="bg1"/>
                        </a:solidFill>
                      </a:rPr>
                      <a:pPr>
                        <a:defRPr sz="9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endParaRPr lang="en-US" b="1" baseline="0">
                      <a:solidFill>
                        <a:schemeClr val="bg1"/>
                      </a:solidFill>
                    </a:endParaRPr>
                  </a:p>
                  <a:p>
                    <a:pPr>
                      <a:defRPr sz="9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3BBF4C4-DD4E-446A-816D-3022F63FD73A}" type="BUBBLESIZE">
                      <a:rPr lang="en-US" b="1">
                        <a:solidFill>
                          <a:schemeClr val="bg1"/>
                        </a:solidFill>
                      </a:rPr>
                      <a:pPr>
                        <a:defRPr sz="9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0952085205703629"/>
                      <c:h val="0.1982770523419361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55A4-4B50-9F5E-DC06170F3E50}"/>
                </c:ext>
              </c:extLst>
            </c:dLbl>
            <c:dLbl>
              <c:idx val="1"/>
              <c:layout>
                <c:manualLayout>
                  <c:x val="-0.11877402315406677"/>
                  <c:y val="-8.2945889041029282E-3"/>
                </c:manualLayout>
              </c:layout>
              <c:tx>
                <c:rich>
                  <a:bodyPr/>
                  <a:lstStyle/>
                  <a:p>
                    <a:fld id="{3D5B4D37-82CC-45DE-8EEC-3E1E489CF58D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5B919218-C868-4D95-8BA3-76D772FA556E}" type="XVALUE">
                      <a:rPr lang="en-US"/>
                      <a:pPr/>
                      <a:t>[X VALUE]</a:t>
                    </a:fld>
                    <a:endParaRPr lang="en-US" baseline="0"/>
                  </a:p>
                  <a:p>
                    <a:fld id="{EF758770-B1E7-4CDA-8042-8F366723D1BF}" type="YVALUE">
                      <a:rPr lang="en-US"/>
                      <a:pPr/>
                      <a:t>[Y VALUE]</a:t>
                    </a:fld>
                    <a:endParaRPr lang="en-US" baseline="0"/>
                  </a:p>
                  <a:p>
                    <a:fld id="{62B4822A-ACEF-4731-BDF1-A719130FCC0B}" type="BUBBLESIZE">
                      <a:rPr lang="en-US"/>
                      <a:pPr/>
                      <a:t>[BUBBLE SIZE]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9.9268236020572373E-2"/>
                      <c:h val="0.1758052434456928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55A4-4B50-9F5E-DC06170F3E5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0B06A7C-015A-47E1-B9DB-C22DAF4917C1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B0F17D6C-194F-4A42-B584-A8702C25CF05}" type="XVALUE">
                      <a:rPr lang="en-US"/>
                      <a:pPr/>
                      <a:t>[X VALUE]</a:t>
                    </a:fld>
                    <a:endParaRPr lang="en-US" baseline="0"/>
                  </a:p>
                  <a:p>
                    <a:fld id="{5640DD69-D884-4C12-A1AC-11879F3A3B3D}" type="YVALUE">
                      <a:rPr lang="en-US"/>
                      <a:pPr/>
                      <a:t>[Y VALUE]</a:t>
                    </a:fld>
                    <a:endParaRPr lang="en-US" baseline="0"/>
                  </a:p>
                  <a:p>
                    <a:fld id="{DE52AF35-3E2E-4D54-9F24-3FD7784C343B}" type="BUBBLESIZE">
                      <a:rPr lang="en-US"/>
                      <a:pPr/>
                      <a:t>[BUBBLE SIZE]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55A4-4B50-9F5E-DC06170F3E50}"/>
                </c:ext>
              </c:extLst>
            </c:dLbl>
            <c:dLbl>
              <c:idx val="3"/>
              <c:layout>
                <c:manualLayout>
                  <c:x val="-0.10809077714652326"/>
                  <c:y val="-7.1546396480568703E-3"/>
                </c:manualLayout>
              </c:layout>
              <c:tx>
                <c:rich>
                  <a:bodyPr/>
                  <a:lstStyle/>
                  <a:p>
                    <a:fld id="{4599BB6D-407D-4647-A2B2-BAE63D6500F3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C7D4E2E5-F658-4838-A0B2-FDE30B070B40}" type="XVALUE">
                      <a:rPr lang="en-US"/>
                      <a:pPr/>
                      <a:t>[X VALUE]</a:t>
                    </a:fld>
                    <a:endParaRPr lang="en-US" baseline="0"/>
                  </a:p>
                  <a:p>
                    <a:fld id="{248CCD32-4749-46B8-8396-815B27FAEBCC}" type="YVALUE">
                      <a:rPr lang="en-US"/>
                      <a:pPr/>
                      <a:t>[Y VALUE]</a:t>
                    </a:fld>
                    <a:endParaRPr lang="en-US" baseline="0"/>
                  </a:p>
                  <a:p>
                    <a:fld id="{8D91E13B-E5B4-4759-A9DD-0BA26FDB2C01}" type="BUBBLESIZE">
                      <a:rPr lang="en-US"/>
                      <a:pPr/>
                      <a:t>[BUBBLE SIZE]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55A4-4B50-9F5E-DC06170F3E50}"/>
                </c:ext>
              </c:extLst>
            </c:dLbl>
            <c:dLbl>
              <c:idx val="4"/>
              <c:layout>
                <c:manualLayout>
                  <c:x val="1.6792102831599456E-2"/>
                  <c:y val="5.29539489570921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461BCA7-0EB5-45D8-A05F-DA877FEDE335}" type="CELLRANG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900" b="1" i="0" u="none" strike="noStrike" kern="1200" baseline="0">
                          <a:solidFill>
                            <a:srgbClr val="7030A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b="1" baseline="0">
                      <a:solidFill>
                        <a:srgbClr val="7030A0"/>
                      </a:solidFill>
                    </a:endParaRPr>
                  </a:p>
                  <a:p>
                    <a:pPr>
                      <a:defRPr sz="900" b="1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2108843-260C-4B9F-B278-8E08C4996B0F}" type="X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900" b="1" i="0" u="none" strike="noStrike" kern="1200" baseline="0">
                          <a:solidFill>
                            <a:srgbClr val="7030A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endParaRPr lang="en-US" b="1" baseline="0">
                      <a:solidFill>
                        <a:srgbClr val="7030A0"/>
                      </a:solidFill>
                    </a:endParaRPr>
                  </a:p>
                  <a:p>
                    <a:pPr>
                      <a:defRPr sz="900" b="1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9D78B15-63B9-4C32-899C-D887C8F9E9FB}" type="Y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900" b="1" i="0" u="none" strike="noStrike" kern="1200" baseline="0">
                          <a:solidFill>
                            <a:srgbClr val="7030A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endParaRPr lang="en-US" b="1" baseline="0">
                      <a:solidFill>
                        <a:srgbClr val="7030A0"/>
                      </a:solidFill>
                    </a:endParaRPr>
                  </a:p>
                  <a:p>
                    <a:pPr>
                      <a:defRPr sz="900" b="1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CE6D480-B206-49DF-A61A-3538B2BAA7D4}" type="BUBBLESIZ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900" b="1" i="0" u="none" strike="noStrike" kern="1200" baseline="0">
                          <a:solidFill>
                            <a:srgbClr val="7030A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55A4-4B50-9F5E-DC06170F3E50}"/>
                </c:ext>
              </c:extLst>
            </c:dLbl>
            <c:dLbl>
              <c:idx val="5"/>
              <c:layout>
                <c:manualLayout>
                  <c:x val="-5.9489058206106532E-2"/>
                  <c:y val="-0.1869097618885570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EAA87DF-F7EF-401D-8148-3637972897BC}" type="CELLRANGE">
                      <a:rPr lang="en-US" b="1">
                        <a:solidFill>
                          <a:srgbClr val="FF0000"/>
                        </a:solidFill>
                      </a:rPr>
                      <a:pPr>
                        <a:defRPr sz="900" b="1" i="0" u="none" strike="noStrike" kern="1200" baseline="0">
                          <a:solidFill>
                            <a:srgbClr val="FF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b="1" baseline="0">
                      <a:solidFill>
                        <a:srgbClr val="FF0000"/>
                      </a:solidFill>
                    </a:endParaRPr>
                  </a:p>
                  <a:p>
                    <a:pPr>
                      <a:defRPr sz="9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A3AF572-9293-442E-9D9C-219F0793DA23}" type="XVALUE">
                      <a:rPr lang="en-US" b="1">
                        <a:solidFill>
                          <a:srgbClr val="FF0000"/>
                        </a:solidFill>
                      </a:rPr>
                      <a:pPr>
                        <a:defRPr sz="900" b="1" i="0" u="none" strike="noStrike" kern="1200" baseline="0">
                          <a:solidFill>
                            <a:srgbClr val="FF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endParaRPr lang="en-US" b="1" baseline="0">
                      <a:solidFill>
                        <a:srgbClr val="FF0000"/>
                      </a:solidFill>
                    </a:endParaRPr>
                  </a:p>
                  <a:p>
                    <a:pPr>
                      <a:defRPr sz="9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537EE84-F8AC-407C-A158-EF295FB6C142}" type="YVALUE">
                      <a:rPr lang="en-US" b="1">
                        <a:solidFill>
                          <a:srgbClr val="FF0000"/>
                        </a:solidFill>
                      </a:rPr>
                      <a:pPr>
                        <a:defRPr sz="900" b="1" i="0" u="none" strike="noStrike" kern="1200" baseline="0">
                          <a:solidFill>
                            <a:srgbClr val="FF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endParaRPr lang="en-US" b="1" baseline="0">
                      <a:solidFill>
                        <a:srgbClr val="FF0000"/>
                      </a:solidFill>
                    </a:endParaRPr>
                  </a:p>
                  <a:p>
                    <a:pPr>
                      <a:defRPr sz="9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5D28E82-1642-4345-848D-FAFD65207782}" type="BUBBLESIZE">
                      <a:rPr lang="en-US" b="1">
                        <a:solidFill>
                          <a:srgbClr val="FF0000"/>
                        </a:solidFill>
                      </a:rPr>
                      <a:pPr>
                        <a:defRPr sz="900" b="1" i="0" u="none" strike="noStrike" kern="1200" baseline="0">
                          <a:solidFill>
                            <a:srgbClr val="FF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8.6699606575546859E-2"/>
                      <c:h val="0.1581671027785804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55A4-4B50-9F5E-DC06170F3E5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78390CB-732B-47E9-B80D-217967CFB3EE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2E2492B8-F1A3-43C2-B368-835C32DD97C4}" type="XVALUE">
                      <a:rPr lang="en-US"/>
                      <a:pPr/>
                      <a:t>[X VALUE]</a:t>
                    </a:fld>
                    <a:endParaRPr lang="en-US" baseline="0"/>
                  </a:p>
                  <a:p>
                    <a:fld id="{9BBF1B92-3D1A-4AEC-88BF-2B7017A54B12}" type="YVALUE">
                      <a:rPr lang="en-US"/>
                      <a:pPr/>
                      <a:t>[Y VALUE]</a:t>
                    </a:fld>
                    <a:endParaRPr lang="en-US" baseline="0"/>
                  </a:p>
                  <a:p>
                    <a:fld id="{D4815455-BCE3-434B-B201-B1AE9C1FD27C}" type="BUBBLESIZE">
                      <a:rPr lang="en-US"/>
                      <a:pPr/>
                      <a:t>[BUBBLE SIZE]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55A4-4B50-9F5E-DC06170F3E5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3089FF6-4761-4BBC-AAD8-2848F81B295E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2A400412-1CF6-43CA-BF81-29ECFC7B2E3F}" type="XVALUE">
                      <a:rPr lang="en-US"/>
                      <a:pPr/>
                      <a:t>[X VALUE]</a:t>
                    </a:fld>
                    <a:endParaRPr lang="en-US" baseline="0"/>
                  </a:p>
                  <a:p>
                    <a:fld id="{964C2239-B4A9-42D6-8724-BD3CA7E51F61}" type="YVALUE">
                      <a:rPr lang="en-US"/>
                      <a:pPr/>
                      <a:t>[Y VALUE]</a:t>
                    </a:fld>
                    <a:endParaRPr lang="en-US" baseline="0"/>
                  </a:p>
                  <a:p>
                    <a:fld id="{3DA566E1-DE9C-47CD-A543-8A9B534F15D9}" type="BUBBLESIZE">
                      <a:rPr lang="en-US"/>
                      <a:pPr/>
                      <a:t>[BUBBLE SIZE]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55A4-4B50-9F5E-DC06170F3E5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49E7C43-3A60-4B84-A869-0033ED38D1B1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0A1F4360-4DAD-4744-BC18-D6EBBA6D4D34}" type="XVALUE">
                      <a:rPr lang="en-US"/>
                      <a:pPr/>
                      <a:t>[X VALUE]</a:t>
                    </a:fld>
                    <a:endParaRPr lang="en-US" baseline="0"/>
                  </a:p>
                  <a:p>
                    <a:fld id="{555AACAD-798E-4C35-92EA-72D32B5F28F9}" type="YVALUE">
                      <a:rPr lang="en-US"/>
                      <a:pPr/>
                      <a:t>[Y VALUE]</a:t>
                    </a:fld>
                    <a:endParaRPr lang="en-US" baseline="0"/>
                  </a:p>
                  <a:p>
                    <a:fld id="{01BFBE12-CAC0-4F7D-8028-A0B96F47CB92}" type="BUBBLESIZE">
                      <a:rPr lang="en-US"/>
                      <a:pPr/>
                      <a:t>[BUBBLE SIZE]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55A4-4B50-9F5E-DC06170F3E5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844645D-E758-47EF-97F0-B55CD2C5FBA6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F00DD074-5853-405F-925B-5EAD3764E167}" type="XVALUE">
                      <a:rPr lang="en-US"/>
                      <a:pPr/>
                      <a:t>[X VALUE]</a:t>
                    </a:fld>
                    <a:endParaRPr lang="en-US" baseline="0"/>
                  </a:p>
                  <a:p>
                    <a:fld id="{8D1E065C-79CC-40EB-B8EB-E5369CBC41AC}" type="YVALUE">
                      <a:rPr lang="en-US"/>
                      <a:pPr/>
                      <a:t>[Y VALUE]</a:t>
                    </a:fld>
                    <a:endParaRPr lang="en-US" baseline="0"/>
                  </a:p>
                  <a:p>
                    <a:fld id="{2372D6D2-59A4-4A07-9676-5E5457FF5E47}" type="BUBBLESIZE">
                      <a:rPr lang="en-US"/>
                      <a:pPr/>
                      <a:t>[BUBBLE SIZE]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55A4-4B50-9F5E-DC06170F3E5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E02E629-ACD5-432C-BC00-CAA4020FC716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2E9778BF-766F-4808-AF56-BFDD8744CB4F}" type="XVALUE">
                      <a:rPr lang="en-US"/>
                      <a:pPr/>
                      <a:t>[X VALUE]</a:t>
                    </a:fld>
                    <a:endParaRPr lang="en-US" baseline="0"/>
                  </a:p>
                  <a:p>
                    <a:fld id="{8C6E2D0B-92BE-4A56-9D34-BCCB9A862B83}" type="YVALUE">
                      <a:rPr lang="en-US"/>
                      <a:pPr/>
                      <a:t>[Y VALUE]</a:t>
                    </a:fld>
                    <a:endParaRPr lang="en-US" baseline="0"/>
                  </a:p>
                  <a:p>
                    <a:fld id="{CB61225F-66A5-46C9-9776-5F5C5A044647}" type="BUBBLESIZE">
                      <a:rPr lang="en-US"/>
                      <a:pPr/>
                      <a:t>[BUBBLE SIZE]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8-55A4-4B50-9F5E-DC06170F3E5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14A3C28-D976-4ADD-947C-9B60DA05EF89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0EB21611-8B51-47E1-BD53-0E5AC19A87E4}" type="XVALUE">
                      <a:rPr lang="en-US"/>
                      <a:pPr/>
                      <a:t>[X VALUE]</a:t>
                    </a:fld>
                    <a:endParaRPr lang="en-US" baseline="0"/>
                  </a:p>
                  <a:p>
                    <a:fld id="{B4E2EAD0-4174-4438-B995-5433CA7A2232}" type="YVALUE">
                      <a:rPr lang="en-US"/>
                      <a:pPr/>
                      <a:t>[Y VALUE]</a:t>
                    </a:fld>
                    <a:endParaRPr lang="en-US" baseline="0"/>
                  </a:p>
                  <a:p>
                    <a:fld id="{BE2009ED-25F3-4F70-92F3-F0EF13E218D8}" type="BUBBLESIZE">
                      <a:rPr lang="en-US"/>
                      <a:pPr/>
                      <a:t>[BUBBLE SIZE]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55A4-4B50-9F5E-DC06170F3E50}"/>
                </c:ext>
              </c:extLst>
            </c:dLbl>
            <c:dLbl>
              <c:idx val="12"/>
              <c:layout>
                <c:manualLayout>
                  <c:x val="3.8303756048178671E-2"/>
                  <c:y val="-0.1010075137236878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accent2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A6E96C3-AD29-4C7A-B48A-8F56D9C4278F}" type="CELLRANGE">
                      <a:rPr lang="en-US" b="1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>
                        <a:defRPr sz="900" b="1" i="0" u="none" strike="noStrike" kern="1200" baseline="0">
                          <a:solidFill>
                            <a:schemeClr val="accent2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b="1" baseline="0">
                      <a:solidFill>
                        <a:schemeClr val="accent2">
                          <a:lumMod val="75000"/>
                        </a:schemeClr>
                      </a:solidFill>
                    </a:endParaRPr>
                  </a:p>
                  <a:p>
                    <a:pPr>
                      <a:defRPr sz="900" b="1" i="0" u="none" strike="noStrike" kern="1200" baseline="0">
                        <a:solidFill>
                          <a:schemeClr val="accent2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CC4CD06-99C0-4034-88F3-44B1F68CC38C}" type="XVALUE">
                      <a:rPr lang="en-US" b="1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>
                        <a:defRPr sz="900" b="1" i="0" u="none" strike="noStrike" kern="1200" baseline="0">
                          <a:solidFill>
                            <a:schemeClr val="accent2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endParaRPr lang="en-US" b="1" baseline="0">
                      <a:solidFill>
                        <a:schemeClr val="accent2">
                          <a:lumMod val="75000"/>
                        </a:schemeClr>
                      </a:solidFill>
                    </a:endParaRPr>
                  </a:p>
                  <a:p>
                    <a:pPr>
                      <a:defRPr sz="900" b="1" i="0" u="none" strike="noStrike" kern="1200" baseline="0">
                        <a:solidFill>
                          <a:schemeClr val="accent2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5010BB7-F82F-4C9F-8AC8-95500737A186}" type="YVALUE">
                      <a:rPr lang="en-US" b="1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>
                        <a:defRPr sz="900" b="1" i="0" u="none" strike="noStrike" kern="1200" baseline="0">
                          <a:solidFill>
                            <a:schemeClr val="accent2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endParaRPr lang="en-US" b="1" baseline="0">
                      <a:solidFill>
                        <a:schemeClr val="accent2">
                          <a:lumMod val="75000"/>
                        </a:schemeClr>
                      </a:solidFill>
                    </a:endParaRPr>
                  </a:p>
                  <a:p>
                    <a:pPr>
                      <a:defRPr sz="900" b="1" i="0" u="none" strike="noStrike" kern="1200" baseline="0">
                        <a:solidFill>
                          <a:schemeClr val="accent2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FB24567-F109-499D-AF8B-04515838103C}" type="BUBBLESIZE">
                      <a:rPr lang="en-US" b="1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>
                        <a:defRPr sz="900" b="1" i="0" u="none" strike="noStrike" kern="1200" baseline="0">
                          <a:solidFill>
                            <a:schemeClr val="accent2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8.9565654804222725E-2"/>
                      <c:h val="0.1807800312012480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55A4-4B50-9F5E-DC06170F3E5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4D63A15-8227-4C29-866B-D0A9FD4B7141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05FE7353-02C1-4063-B1C2-86A2B6016DD8}" type="XVALUE">
                      <a:rPr lang="en-US"/>
                      <a:pPr/>
                      <a:t>[X VALUE]</a:t>
                    </a:fld>
                    <a:endParaRPr lang="en-US" baseline="0"/>
                  </a:p>
                  <a:p>
                    <a:fld id="{BB7804BB-61B4-4F10-81DB-8A3F56975944}" type="YVALUE">
                      <a:rPr lang="en-US"/>
                      <a:pPr/>
                      <a:t>[Y VALUE]</a:t>
                    </a:fld>
                    <a:endParaRPr lang="en-US" baseline="0"/>
                  </a:p>
                  <a:p>
                    <a:fld id="{C616D602-D195-4BAD-BEF1-8DAC2C7DA389}" type="BUBBLESIZE">
                      <a:rPr lang="en-US"/>
                      <a:pPr/>
                      <a:t>[BUBBLE SIZE]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E-55A4-4B50-9F5E-DC06170F3E5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22F4557-003F-4E8E-B7F5-FD96587453BD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4EE8F3AB-36FB-497E-A339-C5B2566ABC4C}" type="XVALUE">
                      <a:rPr lang="en-US"/>
                      <a:pPr/>
                      <a:t>[X VALUE]</a:t>
                    </a:fld>
                    <a:endParaRPr lang="en-US" baseline="0"/>
                  </a:p>
                  <a:p>
                    <a:fld id="{61CD7150-E3A0-4E45-8B90-89EE487F3948}" type="YVALUE">
                      <a:rPr lang="en-US"/>
                      <a:pPr/>
                      <a:t>[Y VALUE]</a:t>
                    </a:fld>
                    <a:endParaRPr lang="en-US" baseline="0"/>
                  </a:p>
                  <a:p>
                    <a:fld id="{05DB04FC-BE7C-4208-91D4-9A35E0354985}" type="BUBBLESIZE">
                      <a:rPr lang="en-US"/>
                      <a:pPr/>
                      <a:t>[BUBBLE SIZE]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55A4-4B50-9F5E-DC06170F3E50}"/>
                </c:ext>
              </c:extLst>
            </c:dLbl>
            <c:dLbl>
              <c:idx val="15"/>
              <c:layout>
                <c:manualLayout>
                  <c:x val="8.569732566470549E-2"/>
                  <c:y val="7.20933018059916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15FAA1B-49C4-490D-BE89-C2E40B4624D2}" type="CELLRANGE">
                      <a:rPr lang="en-US" b="1">
                        <a:solidFill>
                          <a:srgbClr val="00CC00"/>
                        </a:solidFill>
                      </a:rPr>
                      <a:pPr>
                        <a:defRPr sz="900" b="1" i="0" u="none" strike="noStrike" kern="1200" baseline="0">
                          <a:solidFill>
                            <a:srgbClr val="00CC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b="1" baseline="0">
                      <a:solidFill>
                        <a:srgbClr val="00CC00"/>
                      </a:solidFill>
                    </a:endParaRPr>
                  </a:p>
                  <a:p>
                    <a:pPr>
                      <a:defRPr sz="9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9B10490-C345-46B8-B233-803744EDB1D7}" type="XVALUE">
                      <a:rPr lang="en-US" b="1">
                        <a:solidFill>
                          <a:srgbClr val="00CC00"/>
                        </a:solidFill>
                      </a:rPr>
                      <a:pPr>
                        <a:defRPr sz="900" b="1" i="0" u="none" strike="noStrike" kern="1200" baseline="0">
                          <a:solidFill>
                            <a:srgbClr val="00CC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endParaRPr lang="en-US" b="1" baseline="0">
                      <a:solidFill>
                        <a:srgbClr val="00CC00"/>
                      </a:solidFill>
                    </a:endParaRPr>
                  </a:p>
                  <a:p>
                    <a:pPr>
                      <a:defRPr sz="9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266ED0E-AEDB-4F8B-8592-7D94164EDAD9}" type="YVALUE">
                      <a:rPr lang="en-US" b="1">
                        <a:solidFill>
                          <a:srgbClr val="00CC00"/>
                        </a:solidFill>
                      </a:rPr>
                      <a:pPr>
                        <a:defRPr sz="900" b="1" i="0" u="none" strike="noStrike" kern="1200" baseline="0">
                          <a:solidFill>
                            <a:srgbClr val="00CC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endParaRPr lang="en-US" b="1" baseline="0">
                      <a:solidFill>
                        <a:srgbClr val="00CC00"/>
                      </a:solidFill>
                    </a:endParaRPr>
                  </a:p>
                  <a:p>
                    <a:pPr>
                      <a:defRPr sz="9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7FAF82E-CF23-4DD6-B520-731D4FCDE6F7}" type="BUBBLESIZE">
                      <a:rPr lang="en-US" b="1">
                        <a:solidFill>
                          <a:srgbClr val="00CC00"/>
                        </a:solidFill>
                      </a:rPr>
                      <a:pPr>
                        <a:defRPr sz="900" b="1" i="0" u="none" strike="noStrike" kern="1200" baseline="0">
                          <a:solidFill>
                            <a:srgbClr val="00CC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2-55A4-4B50-9F5E-DC06170F3E5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FFD81E7-4B57-42D0-AAEB-F678DF122322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AB653D07-2D36-491F-88DA-5BDDDF8E0004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
</a:t>
                    </a:r>
                    <a:fld id="{9DC19856-BBB3-4797-A390-E220A3E31F8F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
</a:t>
                    </a:r>
                    <a:fld id="{E195BFF3-680D-40C1-94D5-AA34C11657B7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55A4-4B50-9F5E-DC06170F3E50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3A2C14C-782A-44B7-8153-B550B88008E0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07B3AC2F-8EDE-428D-B1C3-47A06A5ACF56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
</a:t>
                    </a:r>
                    <a:fld id="{85621CEB-886C-4A67-A87D-044B07486F80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
</a:t>
                    </a:r>
                    <a:fld id="{2930D2F1-D6A1-4841-8156-414A404CE37E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8B1E-459E-ABD0-25E4BC7B9FAE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A03FCBA-FED4-4517-8221-151D11FFC8FB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4BCD3B09-FD0C-4FC5-B400-5CA3D18C5A6B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
</a:t>
                    </a:r>
                    <a:fld id="{C0B7F771-FF87-4FAA-88D8-FD407C8E6996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
</a:t>
                    </a:r>
                    <a:fld id="{2E2B6A0D-70D9-4D8E-800F-6290B11833BC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8B1E-459E-ABD0-25E4BC7B9FAE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EF4E9B4-2EEA-4603-B9B7-0F45DA8184A0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AC19E26F-B920-434E-8887-FD7D6734C9D2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
</a:t>
                    </a:r>
                    <a:fld id="{039CEBBB-B97A-4959-B9DE-EC1B2A91860F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
</a:t>
                    </a:r>
                    <a:fld id="{58382188-618C-4743-B5C4-CE6ECD8F4B80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8B1E-459E-ABD0-25E4BC7B9FAE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621FFC6-FC18-4222-8999-A7A19C9D1905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F733177F-33B6-4D5C-9B1A-4A8EC1D04CDD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
</a:t>
                    </a:r>
                    <a:fld id="{973A9396-7DEE-466A-AE4E-EA6F547D93B0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
</a:t>
                    </a:r>
                    <a:fld id="{ABD053A0-ED1F-4FED-92EF-33BA0A3D93C8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9EDD-4971-9ED9-37AA5A479B2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9EDD-4971-9ED9-37AA5A479B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1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'7.1. Chart Bubble_QUỐC GIA'!$D$6:$D$27</c:f>
              <c:numCache>
                <c:formatCode>"SL: "#,##0\ "tấn"</c:formatCode>
                <c:ptCount val="22"/>
                <c:pt idx="0">
                  <c:v>2203</c:v>
                </c:pt>
                <c:pt idx="1">
                  <c:v>1650</c:v>
                </c:pt>
                <c:pt idx="2">
                  <c:v>44</c:v>
                </c:pt>
                <c:pt idx="3">
                  <c:v>880</c:v>
                </c:pt>
                <c:pt idx="4">
                  <c:v>0</c:v>
                </c:pt>
                <c:pt idx="5">
                  <c:v>0</c:v>
                </c:pt>
                <c:pt idx="6">
                  <c:v>220</c:v>
                </c:pt>
                <c:pt idx="7">
                  <c:v>66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99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'7.1. Chart Bubble_QUỐC GIA'!$G$6:$G$27</c:f>
              <c:numCache>
                <c:formatCode>"% LNG ~ "0.0%</c:formatCode>
                <c:ptCount val="22"/>
                <c:pt idx="0">
                  <c:v>7.336343115124154E-2</c:v>
                </c:pt>
                <c:pt idx="1">
                  <c:v>9.8934550989345504E-2</c:v>
                </c:pt>
                <c:pt idx="2">
                  <c:v>0.125</c:v>
                </c:pt>
                <c:pt idx="3">
                  <c:v>0.18256130790190736</c:v>
                </c:pt>
                <c:pt idx="4">
                  <c:v>0</c:v>
                </c:pt>
                <c:pt idx="5">
                  <c:v>0</c:v>
                </c:pt>
                <c:pt idx="6">
                  <c:v>1.7937219730941704E-2</c:v>
                </c:pt>
                <c:pt idx="7">
                  <c:v>0.10666666666666667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0.1793103448275862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bubbleSize>
            <c:numRef>
              <c:f>'7.1. Chart Bubble_QUỐC GIA'!$F$6:$F$27</c:f>
              <c:numCache>
                <c:formatCode>"LNG ~ "#,##0\ "ngàn $"</c:formatCode>
                <c:ptCount val="22"/>
                <c:pt idx="0">
                  <c:v>195</c:v>
                </c:pt>
                <c:pt idx="1">
                  <c:v>195</c:v>
                </c:pt>
                <c:pt idx="2">
                  <c:v>7</c:v>
                </c:pt>
                <c:pt idx="3">
                  <c:v>201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</c:v>
                </c:pt>
                <c:pt idx="18">
                  <c:v>0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'7.1. Chart Bubble_QUỐC GIA'!$B$6:$B$27</c15:f>
                <c15:dlblRangeCache>
                  <c:ptCount val="22"/>
                  <c:pt idx="0">
                    <c:v>6. VN</c:v>
                  </c:pt>
                  <c:pt idx="1">
                    <c:v>5. Mỹ</c:v>
                  </c:pt>
                  <c:pt idx="2">
                    <c:v>3. Australia</c:v>
                  </c:pt>
                  <c:pt idx="3">
                    <c:v>1. Bồ Đào Nha</c:v>
                  </c:pt>
                  <c:pt idx="4">
                    <c:v>-</c:v>
                  </c:pt>
                  <c:pt idx="5">
                    <c:v>-</c:v>
                  </c:pt>
                  <c:pt idx="6">
                    <c:v>7. Hong Kong</c:v>
                  </c:pt>
                  <c:pt idx="7">
                    <c:v>4. Hy Lạp</c:v>
                  </c:pt>
                  <c:pt idx="8">
                    <c:v>-</c:v>
                  </c:pt>
                  <c:pt idx="9">
                    <c:v>-</c:v>
                  </c:pt>
                  <c:pt idx="10">
                    <c:v>-</c:v>
                  </c:pt>
                  <c:pt idx="11">
                    <c:v>-</c:v>
                  </c:pt>
                  <c:pt idx="12">
                    <c:v>-</c:v>
                  </c:pt>
                  <c:pt idx="13">
                    <c:v>-</c:v>
                  </c:pt>
                  <c:pt idx="14">
                    <c:v>-</c:v>
                  </c:pt>
                  <c:pt idx="15">
                    <c:v>-</c:v>
                  </c:pt>
                  <c:pt idx="16">
                    <c:v>-</c:v>
                  </c:pt>
                  <c:pt idx="17">
                    <c:v>2. Luxembourg</c:v>
                  </c:pt>
                  <c:pt idx="18">
                    <c:v>-</c:v>
                  </c:pt>
                  <c:pt idx="19">
                    <c:v>#N/A</c:v>
                  </c:pt>
                  <c:pt idx="20">
                    <c:v>#N/A</c:v>
                  </c:pt>
                  <c:pt idx="21">
                    <c:v>-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3-55A4-4B50-9F5E-DC06170F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30"/>
        <c:showNegBubbles val="0"/>
        <c:axId val="1628401551"/>
        <c:axId val="1628398671"/>
      </c:bubbleChart>
      <c:valAx>
        <c:axId val="1628401551"/>
        <c:scaling>
          <c:orientation val="minMax"/>
          <c:max val="18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00FF"/>
                    </a:solidFill>
                  </a:rPr>
                  <a:t>Sản</a:t>
                </a:r>
                <a:r>
                  <a:rPr lang="en-US" b="1" baseline="0">
                    <a:solidFill>
                      <a:srgbClr val="0000FF"/>
                    </a:solidFill>
                  </a:rPr>
                  <a:t> lượng (tấn)</a:t>
                </a:r>
                <a:endParaRPr lang="en-US" b="1">
                  <a:solidFill>
                    <a:srgbClr val="0000FF"/>
                  </a:solidFill>
                </a:endParaRPr>
              </a:p>
            </c:rich>
          </c:tx>
          <c:layout>
            <c:manualLayout>
              <c:xMode val="edge"/>
              <c:yMode val="edge"/>
              <c:x val="0.47943456959968611"/>
              <c:y val="0.87732249387398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98671"/>
        <c:crosses val="autoZero"/>
        <c:crossBetween val="midCat"/>
      </c:valAx>
      <c:valAx>
        <c:axId val="1628398671"/>
        <c:scaling>
          <c:orientation val="minMax"/>
          <c:max val="0.4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00FF"/>
                    </a:solidFill>
                  </a:rPr>
                  <a:t>% Lợi </a:t>
                </a:r>
                <a:r>
                  <a:rPr lang="en-US" b="1" baseline="0">
                    <a:solidFill>
                      <a:srgbClr val="0000FF"/>
                    </a:solidFill>
                  </a:rPr>
                  <a:t>nhuận gộp</a:t>
                </a:r>
                <a:endParaRPr lang="en-US" b="1">
                  <a:solidFill>
                    <a:srgbClr val="0000FF"/>
                  </a:solidFill>
                </a:endParaRPr>
              </a:p>
            </c:rich>
          </c:tx>
          <c:layout>
            <c:manualLayout>
              <c:xMode val="edge"/>
              <c:yMode val="edge"/>
              <c:x val="1.7959183673469388E-2"/>
              <c:y val="0.4151792843367277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out"/>
        <c:minorTickMark val="none"/>
        <c:tickLblPos val="nextTo"/>
        <c:spPr>
          <a:noFill/>
          <a:ln w="31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401551"/>
        <c:crosses val="autoZero"/>
        <c:crossBetween val="midCat"/>
      </c:valAx>
    </c:plotArea>
    <c:plotVisOnly val="0"/>
    <c:dispBlanksAs val="gap"/>
    <c:showDLblsOverMax val="0"/>
    <c:extLst/>
  </c:chart>
  <c:spPr>
    <a:ln>
      <a:solidFill>
        <a:srgbClr val="00B050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'7.1. Chart Bubble_QUỐC GIA'!$M$29</c:f>
          <c:strCache>
            <c:ptCount val="1"/>
            <c:pt idx="0">
              <c:v>LŨY KẾ SẢN LƯỢNG_ LỢI NHUẬN GỘP THEO QUỐC GIA T8.2025</c:v>
            </c:pt>
          </c:strCache>
        </c:strRef>
      </c:tx>
      <c:layout>
        <c:manualLayout>
          <c:xMode val="edge"/>
          <c:yMode val="edge"/>
          <c:x val="0.28468566140910223"/>
          <c:y val="2.24988147258122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B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3615093162596388"/>
          <c:y val="0.13129638097007904"/>
          <c:w val="0.63805427555810135"/>
          <c:h val="0.86151253945514317"/>
        </c:manualLayout>
      </c:layout>
      <c:bubbleChart>
        <c:varyColors val="1"/>
        <c:ser>
          <c:idx val="0"/>
          <c:order val="0"/>
          <c:tx>
            <c:strRef>
              <c:f>'7.1. Chart Bubble_QUỐC GIA'!$C$5</c:f>
              <c:strCache>
                <c:ptCount val="1"/>
                <c:pt idx="0">
                  <c:v>Quốc gia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00FF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1-9D52-4838-9294-8E8FF8EA30A5}"/>
              </c:ext>
            </c:extLst>
          </c:dPt>
          <c:dPt>
            <c:idx val="1"/>
            <c:invertIfNegative val="0"/>
            <c:bubble3D val="0"/>
            <c:spPr>
              <a:solidFill>
                <a:srgbClr val="15FF15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3-9D52-4838-9294-8E8FF8EA30A5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7-9D52-4838-9294-8E8FF8EA30A5}"/>
              </c:ext>
            </c:extLst>
          </c:dPt>
          <c:dPt>
            <c:idx val="4"/>
            <c:invertIfNegative val="0"/>
            <c:bubble3D val="0"/>
            <c:spPr>
              <a:solidFill>
                <a:srgbClr val="7030A0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9-9D52-4838-9294-8E8FF8EA30A5}"/>
              </c:ext>
            </c:extLst>
          </c:dPt>
          <c:dPt>
            <c:idx val="5"/>
            <c:invertIfNegative val="0"/>
            <c:bubble3D val="0"/>
            <c:spPr>
              <a:solidFill>
                <a:srgbClr val="FF00FF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B-9D52-4838-9294-8E8FF8EA30A5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17-9D52-4838-9294-8E8FF8EA30A5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19-9D52-4838-9294-8E8FF8EA30A5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F0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1D-9D52-4838-9294-8E8FF8EA30A5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1F-9D52-4838-9294-8E8FF8EA30A5}"/>
              </c:ext>
            </c:extLst>
          </c:dPt>
          <c:dPt>
            <c:idx val="17"/>
            <c:invertIfNegative val="0"/>
            <c:bubble3D val="0"/>
            <c:spPr>
              <a:solidFill>
                <a:srgbClr val="7030A0"/>
              </a:solidFill>
            </c:spPr>
            <c:extLst>
              <c:ext xmlns:c16="http://schemas.microsoft.com/office/drawing/2014/chart" uri="{C3380CC4-5D6E-409C-BE32-E72D297353CC}">
                <c16:uniqueId val="{00000012-4B8C-4A2F-9C96-13B835E2B611}"/>
              </c:ext>
            </c:extLst>
          </c:dPt>
          <c:dLbls>
            <c:dLbl>
              <c:idx val="0"/>
              <c:layout>
                <c:manualLayout>
                  <c:x val="-0.11946167218162503"/>
                  <c:y val="-6.060316229927522E-3"/>
                </c:manualLayout>
              </c:layout>
              <c:tx>
                <c:rich>
                  <a:bodyPr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b="1">
                        <a:solidFill>
                          <a:schemeClr val="bg1"/>
                        </a:solidFill>
                      </a:defRPr>
                    </a:pPr>
                    <a:fld id="{9D1E9C47-EA57-42B2-83F1-6AB0058FB7A1}" type="CELLRANGE">
                      <a:rPr lang="en-US"/>
                      <a:pPr algn="ctr">
                        <a:defRPr b="1">
                          <a:solidFill>
                            <a:schemeClr val="bg1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 algn="ctr">
                      <a:defRPr b="1">
                        <a:solidFill>
                          <a:schemeClr val="bg1"/>
                        </a:solidFill>
                      </a:defRPr>
                    </a:pPr>
                    <a:fld id="{E62CC0E2-2F00-4B85-8BF6-1EE338EE07C2}" type="XVALUE">
                      <a:rPr lang="en-US"/>
                      <a:pPr algn="ctr">
                        <a:defRPr b="1">
                          <a:solidFill>
                            <a:schemeClr val="bg1"/>
                          </a:solidFill>
                        </a:defRPr>
                      </a:pPr>
                      <a:t>[X VALUE]</a:t>
                    </a:fld>
                    <a:endParaRPr lang="en-US" baseline="0"/>
                  </a:p>
                  <a:p>
                    <a:pPr algn="ctr">
                      <a:defRPr b="1">
                        <a:solidFill>
                          <a:schemeClr val="bg1"/>
                        </a:solidFill>
                      </a:defRPr>
                    </a:pPr>
                    <a:fld id="{5AB7C5E2-28CA-4C60-A746-5C0CB152B035}" type="YVALUE">
                      <a:rPr lang="en-US"/>
                      <a:pPr algn="ctr">
                        <a:defRPr b="1">
                          <a:solidFill>
                            <a:schemeClr val="bg1"/>
                          </a:solidFill>
                        </a:defRPr>
                      </a:pPr>
                      <a:t>[Y VALUE]</a:t>
                    </a:fld>
                    <a:endParaRPr lang="en-US" baseline="0"/>
                  </a:p>
                  <a:p>
                    <a:pPr algn="ctr">
                      <a:defRPr b="1">
                        <a:solidFill>
                          <a:schemeClr val="bg1"/>
                        </a:solidFill>
                      </a:defRPr>
                    </a:pPr>
                    <a:fld id="{2837E80A-E72B-41C1-95F5-CB7D3C7D0CD7}" type="BUBBLESIZE">
                      <a:rPr lang="en-US"/>
                      <a:pPr algn="ctr">
                        <a:defRPr b="1">
                          <a:solidFill>
                            <a:schemeClr val="bg1"/>
                          </a:solidFill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D52-4838-9294-8E8FF8EA30A5}"/>
                </c:ext>
              </c:extLst>
            </c:dLbl>
            <c:dLbl>
              <c:idx val="1"/>
              <c:layout>
                <c:manualLayout>
                  <c:x val="-7.3981582103299873E-2"/>
                  <c:y val="3.081206646382114E-3"/>
                </c:manualLayout>
              </c:layout>
              <c:tx>
                <c:rich>
                  <a:bodyPr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b="1"/>
                    </a:pPr>
                    <a:fld id="{550A16F2-D5B4-47C9-9493-C342F13CFD86}" type="CELLRANGE">
                      <a:rPr lang="en-US"/>
                      <a:pPr algn="ctr">
                        <a:defRPr b="1"/>
                      </a:pPr>
                      <a:t>[CELLRANGE]</a:t>
                    </a:fld>
                    <a:endParaRPr lang="en-US" baseline="0"/>
                  </a:p>
                  <a:p>
                    <a:pPr algn="ctr">
                      <a:defRPr b="1"/>
                    </a:pPr>
                    <a:fld id="{8A4C2D38-B29F-40CC-90BC-E053308289ED}" type="XVALUE">
                      <a:rPr lang="en-US"/>
                      <a:pPr algn="ctr">
                        <a:defRPr b="1"/>
                      </a:pPr>
                      <a:t>[X VALUE]</a:t>
                    </a:fld>
                    <a:endParaRPr lang="en-US" baseline="0"/>
                  </a:p>
                  <a:p>
                    <a:pPr algn="ctr">
                      <a:defRPr b="1"/>
                    </a:pPr>
                    <a:fld id="{E8C6AE48-9056-476C-91EA-126AF3C42734}" type="YVALUE">
                      <a:rPr lang="en-US"/>
                      <a:pPr algn="ctr">
                        <a:defRPr b="1"/>
                      </a:pPr>
                      <a:t>[Y VALUE]</a:t>
                    </a:fld>
                    <a:endParaRPr lang="en-US" baseline="0"/>
                  </a:p>
                  <a:p>
                    <a:pPr algn="ctr">
                      <a:defRPr b="1"/>
                    </a:pPr>
                    <a:fld id="{716D3EEC-BBC5-4BDD-BA52-61B722029604}" type="BUBBLESIZE">
                      <a:rPr lang="en-US"/>
                      <a:pPr algn="ctr">
                        <a:defRPr b="1"/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D52-4838-9294-8E8FF8EA30A5}"/>
                </c:ext>
              </c:extLst>
            </c:dLbl>
            <c:dLbl>
              <c:idx val="2"/>
              <c:layout>
                <c:manualLayout>
                  <c:x val="-0.38232374186383622"/>
                  <c:y val="-5.1472327708213424E-2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1"/>
                    </a:pPr>
                    <a:fld id="{7CBC4D6A-18E9-4E38-B483-DE18E2571D36}" type="CELLRANGE">
                      <a:rPr lang="en-US" baseline="0"/>
                      <a:pPr algn="l">
                        <a:defRPr b="1"/>
                      </a:pPr>
                      <a:t>[CELLRANGE]</a:t>
                    </a:fld>
                    <a:r>
                      <a:rPr lang="en-US" baseline="0"/>
                      <a:t>. </a:t>
                    </a:r>
                    <a:fld id="{0DBC9CCB-1BC1-4446-909E-5708AF41AE28}" type="XVALUE">
                      <a:rPr lang="en-US" baseline="0"/>
                      <a:pPr algn="l">
                        <a:defRPr b="1"/>
                      </a:pPr>
                      <a:t>[X VALUE]</a:t>
                    </a:fld>
                    <a:r>
                      <a:rPr lang="en-US" baseline="0"/>
                      <a:t>. </a:t>
                    </a:r>
                    <a:fld id="{D29BEFE8-AB6C-4942-91D8-35985E6E6048}" type="YVALUE">
                      <a:rPr lang="en-US" baseline="0"/>
                      <a:pPr algn="l">
                        <a:defRPr b="1"/>
                      </a:pPr>
                      <a:t>[Y VALUE]</a:t>
                    </a:fld>
                    <a:r>
                      <a:rPr lang="en-US" baseline="0"/>
                      <a:t>. </a:t>
                    </a:r>
                    <a:fld id="{3C7D886B-164F-45A2-8DED-CF79B7986A1F}" type="BUBBLESIZE">
                      <a:rPr lang="en-US" baseline="0"/>
                      <a:pPr algn="l">
                        <a:defRPr b="1"/>
                      </a:pPr>
                      <a:t>[BUBBLE SIZE]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.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4248560575296638"/>
                      <c:h val="5.3829787708937468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9D52-4838-9294-8E8FF8EA30A5}"/>
                </c:ext>
              </c:extLst>
            </c:dLbl>
            <c:dLbl>
              <c:idx val="3"/>
              <c:layout>
                <c:manualLayout>
                  <c:x val="-0.11661938596105519"/>
                  <c:y val="3.1830887343954873E-3"/>
                </c:manualLayout>
              </c:layout>
              <c:tx>
                <c:rich>
                  <a:bodyPr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b="1"/>
                    </a:pPr>
                    <a:fld id="{D16E46D6-D994-49E9-8A69-795284C858FD}" type="CELLRANGE">
                      <a:rPr lang="en-US"/>
                      <a:pPr algn="ctr">
                        <a:defRPr b="1"/>
                      </a:pPr>
                      <a:t>[CELLRANGE]</a:t>
                    </a:fld>
                    <a:endParaRPr lang="en-US" baseline="0"/>
                  </a:p>
                  <a:p>
                    <a:pPr algn="ctr">
                      <a:defRPr b="1"/>
                    </a:pPr>
                    <a:fld id="{9D6199BD-7D2F-4681-87C4-B03B1B11349F}" type="XVALUE">
                      <a:rPr lang="en-US"/>
                      <a:pPr algn="ctr">
                        <a:defRPr b="1"/>
                      </a:pPr>
                      <a:t>[X VALUE]</a:t>
                    </a:fld>
                    <a:endParaRPr lang="en-US" baseline="0"/>
                  </a:p>
                  <a:p>
                    <a:pPr algn="ctr">
                      <a:defRPr b="1"/>
                    </a:pPr>
                    <a:fld id="{AB8C2617-9D3A-4EA3-9C23-F5DBDDA23CF0}" type="YVALUE">
                      <a:rPr lang="en-US"/>
                      <a:pPr algn="ctr">
                        <a:defRPr b="1"/>
                      </a:pPr>
                      <a:t>[Y VALUE]</a:t>
                    </a:fld>
                    <a:endParaRPr lang="en-US" baseline="0"/>
                  </a:p>
                  <a:p>
                    <a:pPr algn="ctr">
                      <a:defRPr b="1"/>
                    </a:pPr>
                    <a:fld id="{A78A0F7D-4D8C-4518-A005-6F3101E96B11}" type="BUBBLESIZE">
                      <a:rPr lang="en-US"/>
                      <a:pPr algn="ctr">
                        <a:defRPr b="1"/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9D52-4838-9294-8E8FF8EA30A5}"/>
                </c:ext>
              </c:extLst>
            </c:dLbl>
            <c:dLbl>
              <c:idx val="4"/>
              <c:layout>
                <c:manualLayout>
                  <c:x val="-0.38225680415487839"/>
                  <c:y val="7.7353475785739839E-2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1">
                        <a:solidFill>
                          <a:srgbClr val="7030A0"/>
                        </a:solidFill>
                      </a:defRPr>
                    </a:pPr>
                    <a:fld id="{2CB7BD96-7F00-417B-B3EA-8855597588D3}" type="CELLRANGE">
                      <a:rPr lang="en-US" b="1" baseline="0">
                        <a:solidFill>
                          <a:srgbClr val="7030A0"/>
                        </a:solidFill>
                      </a:rPr>
                      <a:pPr algn="l">
                        <a:defRPr b="1">
                          <a:solidFill>
                            <a:srgbClr val="7030A0"/>
                          </a:solidFill>
                        </a:defRPr>
                      </a:pPr>
                      <a:t>[CELLRANGE]</a:t>
                    </a:fld>
                    <a:r>
                      <a:rPr lang="en-US" b="1" baseline="0">
                        <a:solidFill>
                          <a:srgbClr val="7030A0"/>
                        </a:solidFill>
                      </a:rPr>
                      <a:t>. </a:t>
                    </a:r>
                    <a:fld id="{C88E3D60-1899-4070-A248-125AD2F4CE88}" type="XVALUE">
                      <a:rPr lang="en-US" b="1" baseline="0">
                        <a:solidFill>
                          <a:srgbClr val="7030A0"/>
                        </a:solidFill>
                      </a:rPr>
                      <a:pPr algn="l">
                        <a:defRPr b="1">
                          <a:solidFill>
                            <a:srgbClr val="7030A0"/>
                          </a:solidFill>
                        </a:defRPr>
                      </a:pPr>
                      <a:t>[X VALUE]</a:t>
                    </a:fld>
                    <a:r>
                      <a:rPr lang="en-US" b="1" baseline="0">
                        <a:solidFill>
                          <a:srgbClr val="7030A0"/>
                        </a:solidFill>
                      </a:rPr>
                      <a:t>. </a:t>
                    </a:r>
                    <a:fld id="{3B6543AC-F06C-4FDE-AC38-504701975E14}" type="YVALUE">
                      <a:rPr lang="en-US" b="1" baseline="0">
                        <a:solidFill>
                          <a:srgbClr val="7030A0"/>
                        </a:solidFill>
                      </a:rPr>
                      <a:pPr algn="l">
                        <a:defRPr b="1">
                          <a:solidFill>
                            <a:srgbClr val="7030A0"/>
                          </a:solidFill>
                        </a:defRPr>
                      </a:pPr>
                      <a:t>[Y VALUE]</a:t>
                    </a:fld>
                    <a:r>
                      <a:rPr lang="en-US" b="1" baseline="0">
                        <a:solidFill>
                          <a:srgbClr val="7030A0"/>
                        </a:solidFill>
                      </a:rPr>
                      <a:t>. </a:t>
                    </a:r>
                    <a:fld id="{D88E761E-A123-43AF-90E3-61CD5CBBBC8C}" type="BUBBLESIZE">
                      <a:rPr lang="en-US" b="1" baseline="0">
                        <a:solidFill>
                          <a:srgbClr val="7030A0"/>
                        </a:solidFill>
                      </a:rPr>
                      <a:pPr algn="l">
                        <a:defRPr b="1">
                          <a:solidFill>
                            <a:srgbClr val="7030A0"/>
                          </a:solidFill>
                        </a:defRPr>
                      </a:pPr>
                      <a:t>[BUBBLE SIZE]</a:t>
                    </a:fld>
                    <a:endParaRPr lang="en-US" b="1" baseline="0">
                      <a:solidFill>
                        <a:srgbClr val="7030A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.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104775595549607"/>
                      <c:h val="6.39253994112959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9D52-4838-9294-8E8FF8EA30A5}"/>
                </c:ext>
              </c:extLst>
            </c:dLbl>
            <c:dLbl>
              <c:idx val="5"/>
              <c:layout>
                <c:manualLayout>
                  <c:x val="-0.39444152824832213"/>
                  <c:y val="4.4702684154654122E-2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1">
                        <a:solidFill>
                          <a:srgbClr val="FF00FF"/>
                        </a:solidFill>
                      </a:defRPr>
                    </a:pPr>
                    <a:fld id="{97306471-C9BA-4EE2-B7A7-66DA0D6AFB27}" type="CELLRANGE">
                      <a:rPr lang="en-US" b="1" baseline="0">
                        <a:solidFill>
                          <a:srgbClr val="FF00FF"/>
                        </a:solidFill>
                      </a:rPr>
                      <a:pPr algn="l">
                        <a:defRPr b="1">
                          <a:solidFill>
                            <a:srgbClr val="FF00FF"/>
                          </a:solidFill>
                        </a:defRPr>
                      </a:pPr>
                      <a:t>[CELLRANGE]</a:t>
                    </a:fld>
                    <a:r>
                      <a:rPr lang="en-US" b="1" baseline="0">
                        <a:solidFill>
                          <a:srgbClr val="FF00FF"/>
                        </a:solidFill>
                      </a:rPr>
                      <a:t>. </a:t>
                    </a:r>
                    <a:fld id="{F12437FC-FEA9-4748-8B37-C32F4B5D1868}" type="XVALUE">
                      <a:rPr lang="en-US" b="1" baseline="0">
                        <a:solidFill>
                          <a:srgbClr val="FF00FF"/>
                        </a:solidFill>
                      </a:rPr>
                      <a:pPr algn="l">
                        <a:defRPr b="1">
                          <a:solidFill>
                            <a:srgbClr val="FF00FF"/>
                          </a:solidFill>
                        </a:defRPr>
                      </a:pPr>
                      <a:t>[X VALUE]</a:t>
                    </a:fld>
                    <a:r>
                      <a:rPr lang="en-US" b="1" baseline="0">
                        <a:solidFill>
                          <a:srgbClr val="FF00FF"/>
                        </a:solidFill>
                      </a:rPr>
                      <a:t>. </a:t>
                    </a:r>
                    <a:fld id="{5CFC5496-F483-4155-BEFD-90298204288A}" type="YVALUE">
                      <a:rPr lang="en-US" b="1" baseline="0">
                        <a:solidFill>
                          <a:srgbClr val="FF00FF"/>
                        </a:solidFill>
                      </a:rPr>
                      <a:pPr algn="l">
                        <a:defRPr b="1">
                          <a:solidFill>
                            <a:srgbClr val="FF00FF"/>
                          </a:solidFill>
                        </a:defRPr>
                      </a:pPr>
                      <a:t>[Y VALUE]</a:t>
                    </a:fld>
                    <a:r>
                      <a:rPr lang="en-US" b="1" baseline="0">
                        <a:solidFill>
                          <a:srgbClr val="FF00FF"/>
                        </a:solidFill>
                      </a:rPr>
                      <a:t>. </a:t>
                    </a:r>
                    <a:fld id="{60320A07-D98B-49A6-9DA1-0015F6236766}" type="BUBBLESIZE">
                      <a:rPr lang="en-US" b="1" baseline="0">
                        <a:solidFill>
                          <a:srgbClr val="FF00FF"/>
                        </a:solidFill>
                      </a:rPr>
                      <a:pPr algn="l">
                        <a:defRPr b="1">
                          <a:solidFill>
                            <a:srgbClr val="FF00FF"/>
                          </a:solidFill>
                        </a:defRPr>
                      </a:pPr>
                      <a:t>[BUBBLE SIZE]</a:t>
                    </a:fld>
                    <a:endParaRPr lang="en-US" b="1" baseline="0">
                      <a:solidFill>
                        <a:srgbClr val="FF00FF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.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4500325183578562"/>
                      <c:h val="5.8301239978602502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9D52-4838-9294-8E8FF8EA30A5}"/>
                </c:ext>
              </c:extLst>
            </c:dLbl>
            <c:dLbl>
              <c:idx val="6"/>
              <c:layout>
                <c:manualLayout>
                  <c:x val="-0.39012303891015482"/>
                  <c:y val="8.2127791908077355E-2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1"/>
                    </a:pPr>
                    <a:fld id="{29A67DD2-3C98-49D4-B098-D51781463C54}" type="CELLRANGE">
                      <a:rPr lang="en-US" baseline="0"/>
                      <a:pPr algn="l">
                        <a:defRPr b="1"/>
                      </a:pPr>
                      <a:t>[CELLRANGE]</a:t>
                    </a:fld>
                    <a:r>
                      <a:rPr lang="en-US" baseline="0"/>
                      <a:t>. </a:t>
                    </a:r>
                    <a:fld id="{723009E5-BB2D-45A0-9D1D-7D7DCE41183F}" type="XVALUE">
                      <a:rPr lang="en-US" baseline="0"/>
                      <a:pPr algn="l">
                        <a:defRPr b="1"/>
                      </a:pPr>
                      <a:t>[X VALUE]</a:t>
                    </a:fld>
                    <a:r>
                      <a:rPr lang="en-US" baseline="0"/>
                      <a:t>. </a:t>
                    </a:r>
                    <a:fld id="{2ADF179C-CB77-4DC8-A92B-B12E53660A09}" type="YVALUE">
                      <a:rPr lang="en-US" baseline="0"/>
                      <a:pPr algn="l">
                        <a:defRPr b="1"/>
                      </a:pPr>
                      <a:t>[Y VALUE]</a:t>
                    </a:fld>
                    <a:r>
                      <a:rPr lang="en-US" baseline="0"/>
                      <a:t>. </a:t>
                    </a:r>
                    <a:fld id="{AA7EBD6A-C9E4-4473-8B34-32C681557913}" type="BUBBLESIZE">
                      <a:rPr lang="en-US" baseline="0"/>
                      <a:pPr algn="l">
                        <a:defRPr b="1"/>
                      </a:pPr>
                      <a:t>[BUBBLE SIZE]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.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4489375564185604"/>
                      <c:h val="4.6522199656915855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9D52-4838-9294-8E8FF8EA30A5}"/>
                </c:ext>
              </c:extLst>
            </c:dLbl>
            <c:dLbl>
              <c:idx val="7"/>
              <c:layout>
                <c:manualLayout>
                  <c:x val="-0.38283399551231612"/>
                  <c:y val="-3.6255242974035824E-2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1">
                        <a:solidFill>
                          <a:schemeClr val="accent2">
                            <a:lumMod val="75000"/>
                          </a:schemeClr>
                        </a:solidFill>
                      </a:defRPr>
                    </a:pPr>
                    <a:fld id="{91C8F281-97B6-42C4-A138-92E4BA7A89CF}" type="CELLRANGE">
                      <a:rPr lang="en-US" b="1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 algn="l">
                        <a:defRPr b="1">
                          <a:solidFill>
                            <a:schemeClr val="accent2">
                              <a:lumMod val="75000"/>
                            </a:schemeClr>
                          </a:solidFill>
                        </a:defRPr>
                      </a:pPr>
                      <a:t>[CELLRANGE]</a:t>
                    </a:fld>
                    <a:r>
                      <a:rPr lang="en-US" b="1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t>. </a:t>
                    </a:r>
                    <a:fld id="{D25F348E-DEE8-4CED-8612-2ECACDBE1F0D}" type="XVALUE">
                      <a:rPr lang="en-US" b="1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 algn="l">
                        <a:defRPr b="1">
                          <a:solidFill>
                            <a:schemeClr val="accent2">
                              <a:lumMod val="75000"/>
                            </a:schemeClr>
                          </a:solidFill>
                        </a:defRPr>
                      </a:pPr>
                      <a:t>[X VALUE]</a:t>
                    </a:fld>
                    <a:r>
                      <a:rPr lang="en-US" b="1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t>. </a:t>
                    </a:r>
                    <a:fld id="{F297FF3C-82B0-4229-84BA-E5EC5FCCC197}" type="YVALUE">
                      <a:rPr lang="en-US" b="1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 algn="l">
                        <a:defRPr b="1">
                          <a:solidFill>
                            <a:schemeClr val="accent2">
                              <a:lumMod val="75000"/>
                            </a:schemeClr>
                          </a:solidFill>
                        </a:defRPr>
                      </a:pPr>
                      <a:t>[Y VALUE]</a:t>
                    </a:fld>
                    <a:r>
                      <a:rPr lang="en-US" b="1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t>. </a:t>
                    </a:r>
                    <a:fld id="{4059B095-9C56-466C-BC47-7CD222F9D634}" type="BUBBLESIZE">
                      <a:rPr lang="en-US" b="1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 algn="l">
                        <a:defRPr b="1">
                          <a:solidFill>
                            <a:schemeClr val="accent2">
                              <a:lumMod val="75000"/>
                            </a:schemeClr>
                          </a:solidFill>
                        </a:defRPr>
                      </a:pPr>
                      <a:t>[BUBBLE SIZE]</a:t>
                    </a:fld>
                    <a:endParaRPr lang="en-US" b="1" baseline="0">
                      <a:solidFill>
                        <a:schemeClr val="accent2">
                          <a:lumMod val="7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.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3994372297980241"/>
                      <c:h val="5.7955279029285663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9D52-4838-9294-8E8FF8EA30A5}"/>
                </c:ext>
              </c:extLst>
            </c:dLbl>
            <c:dLbl>
              <c:idx val="8"/>
              <c:layout>
                <c:manualLayout>
                  <c:x val="-0.39142249236305854"/>
                  <c:y val="-3.351369179328436E-2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1"/>
                    </a:pPr>
                    <a:fld id="{279002D5-262D-4205-9DA5-82F7B1B5DC86}" type="CELLRANGE">
                      <a:rPr lang="en-US" b="1" baseline="0"/>
                      <a:pPr algn="l">
                        <a:defRPr b="1"/>
                      </a:pPr>
                      <a:t>[CELLRANGE]</a:t>
                    </a:fld>
                    <a:r>
                      <a:rPr lang="en-US" b="1" baseline="0"/>
                      <a:t>. </a:t>
                    </a:r>
                    <a:fld id="{22A978A9-F29C-4768-BCC3-3670304037E9}" type="XVALUE">
                      <a:rPr lang="en-US" b="1" baseline="0"/>
                      <a:pPr algn="l">
                        <a:defRPr b="1"/>
                      </a:pPr>
                      <a:t>[X VALUE]</a:t>
                    </a:fld>
                    <a:r>
                      <a:rPr lang="en-US" b="1" baseline="0"/>
                      <a:t>. </a:t>
                    </a:r>
                    <a:fld id="{A619EA7B-18A1-49B1-AC7C-5931B1B9EB76}" type="YVALUE">
                      <a:rPr lang="en-US" b="1" baseline="0"/>
                      <a:pPr algn="l">
                        <a:defRPr b="1"/>
                      </a:pPr>
                      <a:t>[Y VALUE]</a:t>
                    </a:fld>
                    <a:r>
                      <a:rPr lang="en-US" b="1" baseline="0"/>
                      <a:t>. </a:t>
                    </a:r>
                    <a:fld id="{7AAE15DA-A6D6-48A5-92CD-61AC88F5E464}" type="BUBBLESIZE">
                      <a:rPr lang="en-US" b="1" baseline="0"/>
                      <a:pPr algn="l">
                        <a:defRPr b="1"/>
                      </a:pPr>
                      <a:t>[BUBBLE SIZE]</a:t>
                    </a:fld>
                    <a:endParaRPr lang="en-US" b="1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.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4223614985708495"/>
                      <c:h val="5.0611234877228503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9D52-4838-9294-8E8FF8EA30A5}"/>
                </c:ext>
              </c:extLst>
            </c:dLbl>
            <c:dLbl>
              <c:idx val="9"/>
              <c:layout>
                <c:manualLayout>
                  <c:x val="-0.37970909593059016"/>
                  <c:y val="-0.16922145137188954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1">
                        <a:solidFill>
                          <a:schemeClr val="accent4">
                            <a:lumMod val="75000"/>
                          </a:schemeClr>
                        </a:solidFill>
                      </a:defRPr>
                    </a:pPr>
                    <a:fld id="{6967F05A-FF7D-4847-BE8E-FECD21B2421E}" type="CELLRANGE">
                      <a:rPr lang="en-US" b="1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pPr algn="l">
                        <a:defRPr b="1">
                          <a:solidFill>
                            <a:schemeClr val="accent4">
                              <a:lumMod val="75000"/>
                            </a:schemeClr>
                          </a:solidFill>
                        </a:defRPr>
                      </a:pPr>
                      <a:t>[CELLRANGE]</a:t>
                    </a:fld>
                    <a:r>
                      <a:rPr lang="en-US" b="1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t>. </a:t>
                    </a:r>
                    <a:fld id="{108B5E40-9447-4EF0-95DD-F8195FCD3EA3}" type="XVALUE">
                      <a:rPr lang="en-US" b="1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pPr algn="l">
                        <a:defRPr b="1">
                          <a:solidFill>
                            <a:schemeClr val="accent4">
                              <a:lumMod val="75000"/>
                            </a:schemeClr>
                          </a:solidFill>
                        </a:defRPr>
                      </a:pPr>
                      <a:t>[X VALUE]</a:t>
                    </a:fld>
                    <a:r>
                      <a:rPr lang="en-US" b="1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t>. </a:t>
                    </a:r>
                    <a:fld id="{A3617783-E50F-4AF3-9354-A02B3D3ED328}" type="YVALUE">
                      <a:rPr lang="en-US" b="1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pPr algn="l">
                        <a:defRPr b="1">
                          <a:solidFill>
                            <a:schemeClr val="accent4">
                              <a:lumMod val="75000"/>
                            </a:schemeClr>
                          </a:solidFill>
                        </a:defRPr>
                      </a:pPr>
                      <a:t>[Y VALUE]</a:t>
                    </a:fld>
                    <a:r>
                      <a:rPr lang="en-US" b="1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t>. </a:t>
                    </a:r>
                    <a:fld id="{793CFFAD-D0B0-4A69-9A94-3D3ECC944857}" type="BUBBLESIZE">
                      <a:rPr lang="en-US" b="1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pPr algn="l">
                        <a:defRPr b="1">
                          <a:solidFill>
                            <a:schemeClr val="accent4">
                              <a:lumMod val="75000"/>
                            </a:schemeClr>
                          </a:solidFill>
                        </a:defRPr>
                      </a:pPr>
                      <a:t>[BUBBLE SIZE]</a:t>
                    </a:fld>
                    <a:endParaRPr lang="en-US" b="1" baseline="0">
                      <a:solidFill>
                        <a:schemeClr val="accent4">
                          <a:lumMod val="7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.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4331932874139054"/>
                      <c:h val="4.5456292732067256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9D52-4838-9294-8E8FF8EA30A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567273A-4AC9-4AA7-9758-E1163CE7C212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. </a:t>
                    </a:r>
                    <a:fld id="{740B4F5B-7306-4E2A-B85B-BEDF78491751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. </a:t>
                    </a:r>
                    <a:fld id="{FE2F6302-E645-467B-AF39-D3A8A117CC38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. </a:t>
                    </a:r>
                    <a:fld id="{F2381E4E-D8E7-4F87-890A-C91783E2914C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dLblPos val="ctr"/>
              <c:showLegendKey val="1"/>
              <c:showVal val="1"/>
              <c:showCatName val="1"/>
              <c:showSerName val="0"/>
              <c:showPercent val="0"/>
              <c:showBubbleSize val="1"/>
              <c:separator>.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9D52-4838-9294-8E8FF8EA30A5}"/>
                </c:ext>
              </c:extLst>
            </c:dLbl>
            <c:dLbl>
              <c:idx val="11"/>
              <c:layout>
                <c:manualLayout>
                  <c:x val="-0.48563301034097001"/>
                  <c:y val="-1.1184933697111949E-2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1">
                        <a:solidFill>
                          <a:srgbClr val="FF0000"/>
                        </a:solidFill>
                      </a:defRPr>
                    </a:pPr>
                    <a:fld id="{530F0DD0-3286-4223-87B6-BC41E78B5A34}" type="CELLRANGE">
                      <a:rPr lang="en-US" b="1" baseline="0">
                        <a:solidFill>
                          <a:srgbClr val="FF0000"/>
                        </a:solidFill>
                      </a:rPr>
                      <a:pPr algn="l">
                        <a:defRPr b="1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r>
                      <a:rPr lang="en-US" b="1" baseline="0">
                        <a:solidFill>
                          <a:srgbClr val="FF0000"/>
                        </a:solidFill>
                      </a:rPr>
                      <a:t>. </a:t>
                    </a:r>
                    <a:fld id="{AD095E28-395C-4CFC-ADA1-C5E6EF54C3E2}" type="XVALUE">
                      <a:rPr lang="en-US" b="1" baseline="0">
                        <a:solidFill>
                          <a:srgbClr val="FF0000"/>
                        </a:solidFill>
                      </a:rPr>
                      <a:pPr algn="l">
                        <a:defRPr b="1">
                          <a:solidFill>
                            <a:srgbClr val="FF0000"/>
                          </a:solidFill>
                        </a:defRPr>
                      </a:pPr>
                      <a:t>[X VALUE]</a:t>
                    </a:fld>
                    <a:r>
                      <a:rPr lang="en-US" b="1" baseline="0">
                        <a:solidFill>
                          <a:srgbClr val="FF0000"/>
                        </a:solidFill>
                      </a:rPr>
                      <a:t>. </a:t>
                    </a:r>
                    <a:fld id="{A72A24B6-9DA9-4E33-A01A-3E234E3728BC}" type="YVALUE">
                      <a:rPr lang="en-US" b="1" baseline="0">
                        <a:solidFill>
                          <a:srgbClr val="FF0000"/>
                        </a:solidFill>
                      </a:rPr>
                      <a:pPr algn="l">
                        <a:defRPr b="1">
                          <a:solidFill>
                            <a:srgbClr val="FF0000"/>
                          </a:solidFill>
                        </a:defRPr>
                      </a:pPr>
                      <a:t>[Y VALUE]</a:t>
                    </a:fld>
                    <a:r>
                      <a:rPr lang="en-US" b="1" baseline="0">
                        <a:solidFill>
                          <a:srgbClr val="FF0000"/>
                        </a:solidFill>
                      </a:rPr>
                      <a:t>. </a:t>
                    </a:r>
                    <a:fld id="{8A742330-679C-43FC-9D5B-D10D9E2B87D2}" type="BUBBLESIZE">
                      <a:rPr lang="en-US" b="1" baseline="0">
                        <a:solidFill>
                          <a:srgbClr val="FF0000"/>
                        </a:solidFill>
                      </a:rPr>
                      <a:pPr algn="l">
                        <a:defRPr b="1">
                          <a:solidFill>
                            <a:srgbClr val="FF0000"/>
                          </a:solidFill>
                        </a:defRPr>
                      </a:pPr>
                      <a:t>[BUBBLE SIZE]</a:t>
                    </a:fld>
                    <a:endParaRPr lang="en-US" b="1" baseline="0">
                      <a:solidFill>
                        <a:srgbClr val="FF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.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3791655853558278"/>
                      <c:h val="4.4280273505070501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9D52-4838-9294-8E8FF8EA30A5}"/>
                </c:ext>
              </c:extLst>
            </c:dLbl>
            <c:dLbl>
              <c:idx val="12"/>
              <c:layout>
                <c:manualLayout>
                  <c:x val="-0.39421317182343096"/>
                  <c:y val="-0.13418109006086926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1">
                        <a:solidFill>
                          <a:schemeClr val="accent2">
                            <a:lumMod val="50000"/>
                          </a:schemeClr>
                        </a:solidFill>
                      </a:defRPr>
                    </a:pPr>
                    <a:fld id="{7DD7D6FD-A1E5-4B26-8044-38FE6056C465}" type="CELLRANGE">
                      <a:rPr lang="en-US" b="1" baseline="0">
                        <a:solidFill>
                          <a:schemeClr val="accent2">
                            <a:lumMod val="50000"/>
                          </a:schemeClr>
                        </a:solidFill>
                      </a:rPr>
                      <a:pPr algn="l">
                        <a:defRPr b="1">
                          <a:solidFill>
                            <a:schemeClr val="accent2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r>
                      <a:rPr lang="en-US" b="1" baseline="0">
                        <a:solidFill>
                          <a:schemeClr val="accent2">
                            <a:lumMod val="50000"/>
                          </a:schemeClr>
                        </a:solidFill>
                      </a:rPr>
                      <a:t>. </a:t>
                    </a:r>
                    <a:fld id="{5FB463D3-2FDE-49B4-92ED-6A200A5C342C}" type="XVALUE">
                      <a:rPr lang="en-US" b="1" baseline="0">
                        <a:solidFill>
                          <a:schemeClr val="accent2">
                            <a:lumMod val="50000"/>
                          </a:schemeClr>
                        </a:solidFill>
                      </a:rPr>
                      <a:pPr algn="l">
                        <a:defRPr b="1">
                          <a:solidFill>
                            <a:schemeClr val="accent2">
                              <a:lumMod val="50000"/>
                            </a:schemeClr>
                          </a:solidFill>
                        </a:defRPr>
                      </a:pPr>
                      <a:t>[X VALUE]</a:t>
                    </a:fld>
                    <a:r>
                      <a:rPr lang="en-US" b="1" baseline="0">
                        <a:solidFill>
                          <a:schemeClr val="accent2">
                            <a:lumMod val="50000"/>
                          </a:schemeClr>
                        </a:solidFill>
                      </a:rPr>
                      <a:t>. </a:t>
                    </a:r>
                    <a:fld id="{CAD4006E-C3CD-4AAE-ACB0-CF2969D24229}" type="YVALUE">
                      <a:rPr lang="en-US" b="1" baseline="0">
                        <a:solidFill>
                          <a:schemeClr val="accent2">
                            <a:lumMod val="50000"/>
                          </a:schemeClr>
                        </a:solidFill>
                      </a:rPr>
                      <a:pPr algn="l">
                        <a:defRPr b="1">
                          <a:solidFill>
                            <a:schemeClr val="accent2">
                              <a:lumMod val="50000"/>
                            </a:schemeClr>
                          </a:solidFill>
                        </a:defRPr>
                      </a:pPr>
                      <a:t>[Y VALUE]</a:t>
                    </a:fld>
                    <a:r>
                      <a:rPr lang="en-US" b="1" baseline="0">
                        <a:solidFill>
                          <a:schemeClr val="accent2">
                            <a:lumMod val="50000"/>
                          </a:schemeClr>
                        </a:solidFill>
                      </a:rPr>
                      <a:t>. </a:t>
                    </a:r>
                    <a:fld id="{0A982E37-462E-47F1-A720-43F2EFCE5EB3}" type="BUBBLESIZE">
                      <a:rPr lang="en-US" b="1" baseline="0">
                        <a:solidFill>
                          <a:schemeClr val="accent2">
                            <a:lumMod val="50000"/>
                          </a:schemeClr>
                        </a:solidFill>
                      </a:rPr>
                      <a:pPr algn="l">
                        <a:defRPr b="1">
                          <a:solidFill>
                            <a:schemeClr val="accent2">
                              <a:lumMod val="50000"/>
                            </a:schemeClr>
                          </a:solidFill>
                        </a:defRPr>
                      </a:pPr>
                      <a:t>[BUBBLE SIZE]</a:t>
                    </a:fld>
                    <a:endParaRPr lang="en-US" b="1" baseline="0">
                      <a:solidFill>
                        <a:schemeClr val="accent2">
                          <a:lumMod val="50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.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4567574814495911"/>
                      <c:h val="5.360187508354522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9D52-4838-9294-8E8FF8EA30A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23ACFEC-2298-4D6B-A863-35A7F368DB16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. </a:t>
                    </a:r>
                    <a:fld id="{531DCC63-ABF4-48DE-BBD6-683EC9870050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. </a:t>
                    </a:r>
                    <a:fld id="{D55D789C-DDB4-44F9-9344-A4674D02189B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. </a:t>
                    </a:r>
                    <a:fld id="{12491268-09D8-4548-AE73-55005ECA58F9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dLblPos val="ctr"/>
              <c:showLegendKey val="1"/>
              <c:showVal val="1"/>
              <c:showCatName val="1"/>
              <c:showSerName val="0"/>
              <c:showPercent val="0"/>
              <c:showBubbleSize val="1"/>
              <c:separator>.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9D52-4838-9294-8E8FF8EA30A5}"/>
                </c:ext>
              </c:extLst>
            </c:dLbl>
            <c:dLbl>
              <c:idx val="14"/>
              <c:layout>
                <c:manualLayout>
                  <c:x val="-0.38530544440127662"/>
                  <c:y val="7.629328224070149E-2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1">
                        <a:solidFill>
                          <a:srgbClr val="00B0F0"/>
                        </a:solidFill>
                      </a:defRPr>
                    </a:pPr>
                    <a:fld id="{B698530F-7103-48B6-BBA5-4F14588E3734}" type="CELLRANGE">
                      <a:rPr lang="en-US" b="1" baseline="0">
                        <a:solidFill>
                          <a:srgbClr val="00B0F0"/>
                        </a:solidFill>
                      </a:rPr>
                      <a:pPr algn="l">
                        <a:defRPr b="1">
                          <a:solidFill>
                            <a:srgbClr val="00B0F0"/>
                          </a:solidFill>
                        </a:defRPr>
                      </a:pPr>
                      <a:t>[CELLRANGE]</a:t>
                    </a:fld>
                    <a:r>
                      <a:rPr lang="en-US" b="1" baseline="0">
                        <a:solidFill>
                          <a:srgbClr val="00B0F0"/>
                        </a:solidFill>
                      </a:rPr>
                      <a:t>. </a:t>
                    </a:r>
                    <a:fld id="{60CB8B72-CC57-4C4C-8309-5F1541F2CE4D}" type="XVALUE">
                      <a:rPr lang="en-US" b="1" baseline="0">
                        <a:solidFill>
                          <a:srgbClr val="00B0F0"/>
                        </a:solidFill>
                      </a:rPr>
                      <a:pPr algn="l">
                        <a:defRPr b="1">
                          <a:solidFill>
                            <a:srgbClr val="00B0F0"/>
                          </a:solidFill>
                        </a:defRPr>
                      </a:pPr>
                      <a:t>[X VALUE]</a:t>
                    </a:fld>
                    <a:r>
                      <a:rPr lang="en-US" b="1" baseline="0">
                        <a:solidFill>
                          <a:srgbClr val="00B0F0"/>
                        </a:solidFill>
                      </a:rPr>
                      <a:t>. </a:t>
                    </a:r>
                    <a:fld id="{A48E2C54-E3A0-4901-B65C-0E19039BB215}" type="YVALUE">
                      <a:rPr lang="en-US" b="1" baseline="0">
                        <a:solidFill>
                          <a:srgbClr val="00B0F0"/>
                        </a:solidFill>
                      </a:rPr>
                      <a:pPr algn="l">
                        <a:defRPr b="1">
                          <a:solidFill>
                            <a:srgbClr val="00B0F0"/>
                          </a:solidFill>
                        </a:defRPr>
                      </a:pPr>
                      <a:t>[Y VALUE]</a:t>
                    </a:fld>
                    <a:r>
                      <a:rPr lang="en-US" b="1" baseline="0">
                        <a:solidFill>
                          <a:srgbClr val="00B0F0"/>
                        </a:solidFill>
                      </a:rPr>
                      <a:t>. </a:t>
                    </a:r>
                    <a:fld id="{8A09D580-06EC-469D-A9C6-03FF2E114615}" type="BUBBLESIZE">
                      <a:rPr lang="en-US" b="1" baseline="0">
                        <a:solidFill>
                          <a:srgbClr val="00B0F0"/>
                        </a:solidFill>
                      </a:rPr>
                      <a:pPr algn="l">
                        <a:defRPr b="1">
                          <a:solidFill>
                            <a:srgbClr val="00B0F0"/>
                          </a:solidFill>
                        </a:defRPr>
                      </a:pPr>
                      <a:t>[BUBBLE SIZE]</a:t>
                    </a:fld>
                    <a:endParaRPr lang="en-US" b="1" baseline="0">
                      <a:solidFill>
                        <a:srgbClr val="00B0F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.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4196389422878415"/>
                      <c:h val="5.9308866743530343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9D52-4838-9294-8E8FF8EA30A5}"/>
                </c:ext>
              </c:extLst>
            </c:dLbl>
            <c:dLbl>
              <c:idx val="15"/>
              <c:layout>
                <c:manualLayout>
                  <c:x val="-0.40751283737846639"/>
                  <c:y val="-8.3092094897428109E-2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1">
                        <a:solidFill>
                          <a:srgbClr val="00CC00"/>
                        </a:solidFill>
                      </a:defRPr>
                    </a:pPr>
                    <a:fld id="{FDD0F0AF-63E6-42A9-B6D0-04F4E5FC6C5B}" type="CELLRANGE">
                      <a:rPr lang="en-US" b="1" baseline="0">
                        <a:solidFill>
                          <a:srgbClr val="00CC00"/>
                        </a:solidFill>
                      </a:rPr>
                      <a:pPr algn="l">
                        <a:defRPr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="1" baseline="0">
                        <a:solidFill>
                          <a:srgbClr val="00CC00"/>
                        </a:solidFill>
                      </a:rPr>
                      <a:t>. </a:t>
                    </a:r>
                    <a:fld id="{87B64FDC-3BB3-4373-9CF2-AD74A6FFCB84}" type="XVALUE">
                      <a:rPr lang="en-US" b="1" baseline="0">
                        <a:solidFill>
                          <a:srgbClr val="00CC00"/>
                        </a:solidFill>
                      </a:rPr>
                      <a:pPr algn="l">
                        <a:defRPr b="1">
                          <a:solidFill>
                            <a:srgbClr val="00CC00"/>
                          </a:solidFill>
                        </a:defRPr>
                      </a:pPr>
                      <a:t>[X VALUE]</a:t>
                    </a:fld>
                    <a:r>
                      <a:rPr lang="en-US" b="1" baseline="0">
                        <a:solidFill>
                          <a:srgbClr val="00CC00"/>
                        </a:solidFill>
                      </a:rPr>
                      <a:t>. </a:t>
                    </a:r>
                    <a:fld id="{FF226D32-8421-46F4-B3CC-570F97231033}" type="YVALUE">
                      <a:rPr lang="en-US" b="1" baseline="0">
                        <a:solidFill>
                          <a:srgbClr val="00CC00"/>
                        </a:solidFill>
                      </a:rPr>
                      <a:pPr algn="l">
                        <a:defRPr b="1">
                          <a:solidFill>
                            <a:srgbClr val="00CC00"/>
                          </a:solidFill>
                        </a:defRPr>
                      </a:pPr>
                      <a:t>[Y VALUE]</a:t>
                    </a:fld>
                    <a:r>
                      <a:rPr lang="en-US" b="1" baseline="0">
                        <a:solidFill>
                          <a:srgbClr val="00CC00"/>
                        </a:solidFill>
                      </a:rPr>
                      <a:t>. </a:t>
                    </a:r>
                    <a:fld id="{2329D762-5C67-481D-A2FA-05BD797FC646}" type="BUBBLESIZE">
                      <a:rPr lang="en-US" b="1" baseline="0">
                        <a:solidFill>
                          <a:srgbClr val="00CC00"/>
                        </a:solidFill>
                      </a:rPr>
                      <a:pPr algn="l">
                        <a:defRPr b="1">
                          <a:solidFill>
                            <a:srgbClr val="00CC00"/>
                          </a:solidFill>
                        </a:defRPr>
                      </a:pPr>
                      <a:t>[BUBBLE SIZE]</a:t>
                    </a:fld>
                    <a:endParaRPr lang="en-US" b="1" baseline="0">
                      <a:solidFill>
                        <a:srgbClr val="00CC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.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4527636963884167"/>
                      <c:h val="4.789488342356011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F-9D52-4838-9294-8E8FF8EA30A5}"/>
                </c:ext>
              </c:extLst>
            </c:dLbl>
            <c:dLbl>
              <c:idx val="16"/>
              <c:layout>
                <c:manualLayout>
                  <c:x val="-0.37653829085216811"/>
                  <c:y val="4.3546944570894931E-4"/>
                </c:manualLayout>
              </c:layout>
              <c:tx>
                <c:rich>
                  <a:bodyPr wrap="square" lIns="38100" tIns="19050" rIns="38100" bIns="19050" anchor="t" anchorCtr="0">
                    <a:spAutoFit/>
                  </a:bodyPr>
                  <a:lstStyle/>
                  <a:p>
                    <a:pPr algn="l">
                      <a:defRPr b="1"/>
                    </a:pPr>
                    <a:fld id="{47A8659E-A751-4149-81FE-031DC0A52DF8}" type="CELLRANGE">
                      <a:rPr lang="en-US" baseline="0"/>
                      <a:pPr algn="l">
                        <a:defRPr b="1"/>
                      </a:pPr>
                      <a:t>[CELLRANGE]</a:t>
                    </a:fld>
                    <a:r>
                      <a:rPr lang="en-US" baseline="0"/>
                      <a:t>. </a:t>
                    </a:r>
                    <a:fld id="{1E2A88BF-1116-4538-B8A0-EE046AD3EE33}" type="XVALUE">
                      <a:rPr lang="en-US" baseline="0"/>
                      <a:pPr algn="l">
                        <a:defRPr b="1"/>
                      </a:pPr>
                      <a:t>[X VALUE]</a:t>
                    </a:fld>
                    <a:r>
                      <a:rPr lang="en-US" baseline="0"/>
                      <a:t>. </a:t>
                    </a:r>
                    <a:fld id="{CC3D74EB-30B1-4854-AD43-A86207BC98DC}" type="YVALUE">
                      <a:rPr lang="en-US" baseline="0"/>
                      <a:pPr algn="l">
                        <a:defRPr b="1"/>
                      </a:pPr>
                      <a:t>[Y VALUE]</a:t>
                    </a:fld>
                    <a:r>
                      <a:rPr lang="en-US" baseline="0"/>
                      <a:t>. </a:t>
                    </a:r>
                    <a:fld id="{DF6635B6-81B7-4EC3-B95C-D44C9A6519DD}" type="BUBBLESIZE">
                      <a:rPr lang="en-US" baseline="0"/>
                      <a:pPr algn="l">
                        <a:defRPr b="1"/>
                      </a:pPr>
                      <a:t>[BUBBLE SIZE]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>
                  <c15:layout>
                    <c:manualLayout>
                      <c:w val="0.35563541654136904"/>
                      <c:h val="4.5943440062182955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9D52-4838-9294-8E8FF8EA30A5}"/>
                </c:ext>
              </c:extLst>
            </c:dLbl>
            <c:dLbl>
              <c:idx val="17"/>
              <c:layout>
                <c:manualLayout>
                  <c:x val="-0.46636986733217772"/>
                  <c:y val="-0.11872812604359931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1">
                        <a:solidFill>
                          <a:srgbClr val="7030A0"/>
                        </a:solidFill>
                      </a:defRPr>
                    </a:pPr>
                    <a:fld id="{3156F2FC-E90D-4152-A96B-9CFE21628488}" type="CELLRANGE">
                      <a:rPr lang="en-US" baseline="0"/>
                      <a:pPr algn="l">
                        <a:defRPr b="1">
                          <a:solidFill>
                            <a:srgbClr val="7030A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. </a:t>
                    </a:r>
                    <a:fld id="{C409E12D-587D-4D5D-9F3D-6DD5F6488598}" type="XVALUE">
                      <a:rPr lang="en-US" baseline="0"/>
                      <a:pPr algn="l">
                        <a:defRPr b="1">
                          <a:solidFill>
                            <a:srgbClr val="7030A0"/>
                          </a:solidFill>
                        </a:defRPr>
                      </a:pPr>
                      <a:t>[X VALUE]</a:t>
                    </a:fld>
                    <a:r>
                      <a:rPr lang="en-US" baseline="0"/>
                      <a:t>. </a:t>
                    </a:r>
                    <a:fld id="{879F39D7-F303-412A-9069-846B68FDAE0D}" type="YVALUE">
                      <a:rPr lang="en-US" baseline="0"/>
                      <a:pPr algn="l">
                        <a:defRPr b="1">
                          <a:solidFill>
                            <a:srgbClr val="7030A0"/>
                          </a:solidFill>
                        </a:defRPr>
                      </a:pPr>
                      <a:t>[Y VALUE]</a:t>
                    </a:fld>
                    <a:r>
                      <a:rPr lang="en-US" baseline="0"/>
                      <a:t>. </a:t>
                    </a:r>
                    <a:fld id="{E493AFF7-B5E1-49EC-89D3-D2B0E849A2E7}" type="BUBBLESIZE">
                      <a:rPr lang="en-US" baseline="0"/>
                      <a:pPr algn="l">
                        <a:defRPr b="1">
                          <a:solidFill>
                            <a:srgbClr val="7030A0"/>
                          </a:solidFill>
                        </a:defRPr>
                      </a:pPr>
                      <a:t>[BUBBLE SIZE]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.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5612683893493058"/>
                      <c:h val="4.683120850483613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4B8C-4A2F-9C96-13B835E2B611}"/>
                </c:ext>
              </c:extLst>
            </c:dLbl>
            <c:dLbl>
              <c:idx val="18"/>
              <c:layout>
                <c:manualLayout>
                  <c:x val="-0.37941342705799258"/>
                  <c:y val="0.10278985245946069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1"/>
                    </a:pPr>
                    <a:fld id="{0D0CB4BD-CE22-437B-93AA-F5E14239344A}" type="CELLRANGE">
                      <a:rPr lang="en-US" baseline="0"/>
                      <a:pPr algn="l">
                        <a:defRPr b="1"/>
                      </a:pPr>
                      <a:t>[CELLRANGE]</a:t>
                    </a:fld>
                    <a:r>
                      <a:rPr lang="en-US" baseline="0"/>
                      <a:t>. </a:t>
                    </a:r>
                    <a:fld id="{978DFD26-A703-46B4-8D44-79D3F07F22B9}" type="XVALUE">
                      <a:rPr lang="en-US" baseline="0"/>
                      <a:pPr algn="l">
                        <a:defRPr b="1"/>
                      </a:pPr>
                      <a:t>[X VALUE]</a:t>
                    </a:fld>
                    <a:r>
                      <a:rPr lang="en-US" baseline="0"/>
                      <a:t>. </a:t>
                    </a:r>
                    <a:fld id="{663C633C-B120-49C0-B27C-A059B5E1E2C5}" type="YVALUE">
                      <a:rPr lang="en-US" baseline="0"/>
                      <a:pPr algn="l">
                        <a:defRPr b="1"/>
                      </a:pPr>
                      <a:t>[Y VALUE]</a:t>
                    </a:fld>
                    <a:r>
                      <a:rPr lang="en-US" baseline="0"/>
                      <a:t>. </a:t>
                    </a:r>
                    <a:fld id="{BE7FFC89-BB49-4AC2-AFB9-88E920697330}" type="BUBBLESIZE">
                      <a:rPr lang="en-US" baseline="0"/>
                      <a:pPr algn="l">
                        <a:defRPr b="1"/>
                      </a:pPr>
                      <a:t>[BUBBLE SIZE]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.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4442425358897005"/>
                      <c:h val="5.3284930213848503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4B8C-4A2F-9C96-13B835E2B611}"/>
                </c:ext>
              </c:extLst>
            </c:dLbl>
            <c:dLbl>
              <c:idx val="19"/>
              <c:layout>
                <c:manualLayout>
                  <c:x val="7.56806110249909E-3"/>
                  <c:y val="-0.14648246016715147"/>
                </c:manualLayout>
              </c:layout>
              <c:tx>
                <c:rich>
                  <a:bodyPr/>
                  <a:lstStyle/>
                  <a:p>
                    <a:fld id="{5D79505D-38E0-45FC-A689-3C6EBB60C717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. </a:t>
                    </a:r>
                    <a:fld id="{0D7DF674-AA55-4D6F-9E90-BED185F2BB95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. </a:t>
                    </a:r>
                    <a:fld id="{77485E12-98BC-4748-ABEE-4D9B08B4D55D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. </a:t>
                    </a:r>
                    <a:fld id="{D067F05A-8CB5-44DD-BF73-828D0762F29D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.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4B8C-4A2F-9C96-13B835E2B611}"/>
                </c:ext>
              </c:extLst>
            </c:dLbl>
            <c:dLbl>
              <c:idx val="20"/>
              <c:layout>
                <c:manualLayout>
                  <c:x val="-0.32059052279476635"/>
                  <c:y val="0.18163825060726785"/>
                </c:manualLayout>
              </c:layout>
              <c:tx>
                <c:rich>
                  <a:bodyPr/>
                  <a:lstStyle/>
                  <a:p>
                    <a:fld id="{0D43F912-48E4-4872-A326-455CE8FC89F0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F20ECE45-1285-42A0-97A4-6B0003DB89E1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 </a:t>
                    </a:r>
                    <a:fld id="{7D8955B5-030F-4ECF-9793-0B275ED30C85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 </a:t>
                    </a:r>
                    <a:fld id="{D4D28291-6191-4E6E-968C-88EF14BF1047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7202301286784789"/>
                      <c:h val="8.0301684663632439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CBAC-4805-8EC0-A29DFD6D71C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1"/>
              <c:showVal val="1"/>
              <c:showCatName val="1"/>
              <c:showSerName val="0"/>
              <c:showPercent val="0"/>
              <c:showBubbleSize val="1"/>
              <c:separator>. </c:separator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CBAC-4805-8EC0-A29DFD6D71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l">
                  <a:defRPr b="1"/>
                </a:pPr>
                <a:endParaRPr lang="en-US"/>
              </a:p>
            </c:txPr>
            <c:dLblPos val="ctr"/>
            <c:showLegendKey val="1"/>
            <c:showVal val="1"/>
            <c:showCatName val="1"/>
            <c:showSerName val="0"/>
            <c:showPercent val="0"/>
            <c:showBubbleSize val="1"/>
            <c:separator>.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'7.1. Chart Bubble_QUỐC GIA'!$P$6:$P$27</c:f>
              <c:numCache>
                <c:formatCode>"LNG ~ "#,##0\ "ngàn $"</c:formatCode>
                <c:ptCount val="22"/>
                <c:pt idx="0">
                  <c:v>1701.1635834727704</c:v>
                </c:pt>
                <c:pt idx="1">
                  <c:v>2374.466989313054</c:v>
                </c:pt>
                <c:pt idx="2">
                  <c:v>17.71659230353605</c:v>
                </c:pt>
                <c:pt idx="3">
                  <c:v>1402.4312992264549</c:v>
                </c:pt>
                <c:pt idx="4">
                  <c:v>14.509887220207187</c:v>
                </c:pt>
                <c:pt idx="5">
                  <c:v>49.982992535633272</c:v>
                </c:pt>
                <c:pt idx="6">
                  <c:v>22.772225729370025</c:v>
                </c:pt>
                <c:pt idx="7">
                  <c:v>17.133496171787613</c:v>
                </c:pt>
                <c:pt idx="8">
                  <c:v>48.886362584247749</c:v>
                </c:pt>
                <c:pt idx="9">
                  <c:v>12.451693619535252</c:v>
                </c:pt>
                <c:pt idx="10">
                  <c:v>0</c:v>
                </c:pt>
                <c:pt idx="11">
                  <c:v>-2.8404819010114442</c:v>
                </c:pt>
                <c:pt idx="12">
                  <c:v>58.269527502549984</c:v>
                </c:pt>
                <c:pt idx="13">
                  <c:v>0</c:v>
                </c:pt>
                <c:pt idx="14">
                  <c:v>17.234863464566907</c:v>
                </c:pt>
                <c:pt idx="15">
                  <c:v>103.20207323211874</c:v>
                </c:pt>
                <c:pt idx="16" formatCode="&quot;LNG ~ &quot;#,##0.00\ &quot;ngàn $&quot;">
                  <c:v>3.4385262848590812</c:v>
                </c:pt>
                <c:pt idx="17">
                  <c:v>333.95791999621474</c:v>
                </c:pt>
                <c:pt idx="18">
                  <c:v>7.7829660104066933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xVal>
          <c:yVal>
            <c:numRef>
              <c:f>'7.1. Chart Bubble_QUỐC GIA'!$Q$6:$Q$27</c:f>
              <c:numCache>
                <c:formatCode>"% LNG ~ "0.0%</c:formatCode>
                <c:ptCount val="22"/>
                <c:pt idx="0">
                  <c:v>0.12176390977544703</c:v>
                </c:pt>
                <c:pt idx="1">
                  <c:v>0.13556762713748524</c:v>
                </c:pt>
                <c:pt idx="2">
                  <c:v>0.15405732437857433</c:v>
                </c:pt>
                <c:pt idx="3">
                  <c:v>0.18182695439212432</c:v>
                </c:pt>
                <c:pt idx="4">
                  <c:v>0.11425108047407234</c:v>
                </c:pt>
                <c:pt idx="5">
                  <c:v>0.12311081905328392</c:v>
                </c:pt>
                <c:pt idx="6">
                  <c:v>4.9829815600372043E-2</c:v>
                </c:pt>
                <c:pt idx="7">
                  <c:v>0.13385543884209072</c:v>
                </c:pt>
                <c:pt idx="8">
                  <c:v>0.18875043468821526</c:v>
                </c:pt>
                <c:pt idx="9">
                  <c:v>0.2263944294460955</c:v>
                </c:pt>
                <c:pt idx="10">
                  <c:v>0</c:v>
                </c:pt>
                <c:pt idx="11">
                  <c:v>-3.6416434628351847E-2</c:v>
                </c:pt>
                <c:pt idx="12">
                  <c:v>0.21581306482425919</c:v>
                </c:pt>
                <c:pt idx="13">
                  <c:v>0</c:v>
                </c:pt>
                <c:pt idx="14">
                  <c:v>6.9216319134806858E-2</c:v>
                </c:pt>
                <c:pt idx="15">
                  <c:v>0.19076168804458177</c:v>
                </c:pt>
                <c:pt idx="16">
                  <c:v>0.12735282536515116</c:v>
                </c:pt>
                <c:pt idx="17">
                  <c:v>0.20117946987723781</c:v>
                </c:pt>
                <c:pt idx="18">
                  <c:v>0.10377288013875591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bubbleSize>
            <c:numRef>
              <c:f>'7.1. Chart Bubble_QUỐC GIA'!$N$6:$N$27</c:f>
              <c:numCache>
                <c:formatCode>"SL: "#,##0\ "tấn"</c:formatCode>
                <c:ptCount val="22"/>
                <c:pt idx="0">
                  <c:v>11468</c:v>
                </c:pt>
                <c:pt idx="1">
                  <c:v>14171</c:v>
                </c:pt>
                <c:pt idx="2">
                  <c:v>88</c:v>
                </c:pt>
                <c:pt idx="3">
                  <c:v>6185</c:v>
                </c:pt>
                <c:pt idx="4">
                  <c:v>110</c:v>
                </c:pt>
                <c:pt idx="5">
                  <c:v>327</c:v>
                </c:pt>
                <c:pt idx="6">
                  <c:v>440</c:v>
                </c:pt>
                <c:pt idx="7">
                  <c:v>110</c:v>
                </c:pt>
                <c:pt idx="8">
                  <c:v>176</c:v>
                </c:pt>
                <c:pt idx="9">
                  <c:v>47</c:v>
                </c:pt>
                <c:pt idx="10">
                  <c:v>0</c:v>
                </c:pt>
                <c:pt idx="11">
                  <c:v>72</c:v>
                </c:pt>
                <c:pt idx="12">
                  <c:v>211</c:v>
                </c:pt>
                <c:pt idx="13">
                  <c:v>0</c:v>
                </c:pt>
                <c:pt idx="14">
                  <c:v>220</c:v>
                </c:pt>
                <c:pt idx="15">
                  <c:v>418</c:v>
                </c:pt>
                <c:pt idx="16">
                  <c:v>23</c:v>
                </c:pt>
                <c:pt idx="17">
                  <c:v>1188</c:v>
                </c:pt>
                <c:pt idx="18">
                  <c:v>66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'7.1. Chart Bubble_QUỐC GIA'!$L$6:$L$27</c15:f>
                <c15:dlblRangeCache>
                  <c:ptCount val="22"/>
                  <c:pt idx="0">
                    <c:v>12. VN</c:v>
                  </c:pt>
                  <c:pt idx="1">
                    <c:v>8. Mỹ</c:v>
                  </c:pt>
                  <c:pt idx="2">
                    <c:v>7. Australia</c:v>
                  </c:pt>
                  <c:pt idx="3">
                    <c:v>6. Bồ Đào Nha</c:v>
                  </c:pt>
                  <c:pt idx="4">
                    <c:v>13. Bulgaria</c:v>
                  </c:pt>
                  <c:pt idx="5">
                    <c:v>11. Hàn Quốc</c:v>
                  </c:pt>
                  <c:pt idx="6">
                    <c:v>16. Hong Kong</c:v>
                  </c:pt>
                  <c:pt idx="7">
                    <c:v>9. Hy Lạp</c:v>
                  </c:pt>
                  <c:pt idx="8">
                    <c:v>5. Israel</c:v>
                  </c:pt>
                  <c:pt idx="9">
                    <c:v>1. Italy</c:v>
                  </c:pt>
                  <c:pt idx="10">
                    <c:v>-</c:v>
                  </c:pt>
                  <c:pt idx="11">
                    <c:v>17. Mexico</c:v>
                  </c:pt>
                  <c:pt idx="12">
                    <c:v>2. Nhật</c:v>
                  </c:pt>
                  <c:pt idx="13">
                    <c:v>-</c:v>
                  </c:pt>
                  <c:pt idx="14">
                    <c:v>15. Singapore</c:v>
                  </c:pt>
                  <c:pt idx="15">
                    <c:v>4. Thụy Sĩ</c:v>
                  </c:pt>
                  <c:pt idx="16">
                    <c:v>10. Canada</c:v>
                  </c:pt>
                  <c:pt idx="17">
                    <c:v>3. Luxembourg</c:v>
                  </c:pt>
                  <c:pt idx="18">
                    <c:v>14. Pháp</c:v>
                  </c:pt>
                  <c:pt idx="19">
                    <c:v>-</c:v>
                  </c:pt>
                  <c:pt idx="20">
                    <c:v>-</c:v>
                  </c:pt>
                  <c:pt idx="21">
                    <c:v>-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1-9D52-4838-9294-8E8FF8EA3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200"/>
        <c:showNegBubbles val="0"/>
        <c:axId val="1628401551"/>
        <c:axId val="1628398671"/>
      </c:bubbleChart>
      <c:valAx>
        <c:axId val="1628401551"/>
        <c:scaling>
          <c:orientation val="minMax"/>
          <c:max val="2800"/>
          <c:min val="-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00FF"/>
                    </a:solidFill>
                  </a:rPr>
                  <a:t>Lợi</a:t>
                </a:r>
                <a:r>
                  <a:rPr lang="en-US" b="1" baseline="0">
                    <a:solidFill>
                      <a:srgbClr val="0000FF"/>
                    </a:solidFill>
                  </a:rPr>
                  <a:t> nhuận gộp (ngàn USD)</a:t>
                </a:r>
              </a:p>
            </c:rich>
          </c:tx>
          <c:layout>
            <c:manualLayout>
              <c:xMode val="edge"/>
              <c:yMode val="edge"/>
              <c:x val="0.51754183039317703"/>
              <c:y val="0.8505542241851683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98671"/>
        <c:crosses val="autoZero"/>
        <c:crossBetween val="midCat"/>
        <c:majorUnit val="200"/>
        <c:minorUnit val="100"/>
      </c:valAx>
      <c:valAx>
        <c:axId val="1628398671"/>
        <c:scaling>
          <c:orientation val="minMax"/>
          <c:max val="0.30000000000000004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00FF"/>
                    </a:solidFill>
                  </a:rPr>
                  <a:t>% Lợi </a:t>
                </a:r>
                <a:r>
                  <a:rPr lang="en-US" b="1" baseline="0">
                    <a:solidFill>
                      <a:srgbClr val="0000FF"/>
                    </a:solidFill>
                  </a:rPr>
                  <a:t>nhuận gộp</a:t>
                </a:r>
                <a:endParaRPr lang="en-US" b="1">
                  <a:solidFill>
                    <a:srgbClr val="0000FF"/>
                  </a:solidFill>
                </a:endParaRPr>
              </a:p>
            </c:rich>
          </c:tx>
          <c:layout>
            <c:manualLayout>
              <c:xMode val="edge"/>
              <c:yMode val="edge"/>
              <c:x val="0.3347782424261061"/>
              <c:y val="0.4243465244068629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out"/>
        <c:minorTickMark val="none"/>
        <c:tickLblPos val="none"/>
        <c:spPr>
          <a:noFill/>
          <a:ln w="31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401551"/>
        <c:crosses val="autoZero"/>
        <c:crossBetween val="midCat"/>
      </c:valAx>
    </c:plotArea>
    <c:plotVisOnly val="0"/>
    <c:dispBlanksAs val="gap"/>
    <c:showDLblsOverMax val="0"/>
    <c:extLst/>
  </c:chart>
  <c:spPr>
    <a:ln>
      <a:solidFill>
        <a:srgbClr val="00B050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'7.1. Chart Bubble_QUỐC GIA'!$M$29</c:f>
          <c:strCache>
            <c:ptCount val="1"/>
            <c:pt idx="0">
              <c:v>LŨY KẾ SẢN LƯỢNG_ LỢI NHUẬN GỘP THEO QUỐC GIA T8.2025</c:v>
            </c:pt>
          </c:strCache>
        </c:strRef>
      </c:tx>
      <c:layout>
        <c:manualLayout>
          <c:xMode val="edge"/>
          <c:yMode val="edge"/>
          <c:x val="0.33467984682482643"/>
          <c:y val="1.1588897617713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B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9028758766701812"/>
          <c:y val="0.12508580343213729"/>
          <c:w val="0.68088618806925538"/>
          <c:h val="0.80251157762845948"/>
        </c:manualLayout>
      </c:layout>
      <c:bubbleChart>
        <c:varyColors val="1"/>
        <c:ser>
          <c:idx val="0"/>
          <c:order val="0"/>
          <c:tx>
            <c:strRef>
              <c:f>'7.1. Chart Bubble_QUỐC GIA'!$C$5</c:f>
              <c:strCache>
                <c:ptCount val="1"/>
                <c:pt idx="0">
                  <c:v>Quốc gia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1-872E-44FF-B00D-B574B1ED0FE5}"/>
              </c:ext>
            </c:extLst>
          </c:dPt>
          <c:dPt>
            <c:idx val="1"/>
            <c:invertIfNegative val="0"/>
            <c:bubble3D val="0"/>
            <c:spPr>
              <a:solidFill>
                <a:srgbClr val="15FF15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3-872E-44FF-B00D-B574B1ED0FE5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2E-44FF-B00D-B574B1ED0FE5}"/>
              </c:ext>
            </c:extLst>
          </c:dPt>
          <c:dPt>
            <c:idx val="4"/>
            <c:invertIfNegative val="0"/>
            <c:bubble3D val="0"/>
            <c:spPr>
              <a:solidFill>
                <a:srgbClr val="7030A0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7-872E-44FF-B00D-B574B1ED0FE5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9-872E-44FF-B00D-B574B1ED0FE5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F0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B-872E-44FF-B00D-B574B1ED0FE5}"/>
              </c:ext>
            </c:extLst>
          </c:dPt>
          <c:dPt>
            <c:idx val="15"/>
            <c:invertIfNegative val="0"/>
            <c:bubble3D val="0"/>
            <c:spPr>
              <a:solidFill>
                <a:srgbClr val="FF0000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D-872E-44FF-B00D-B574B1ED0FE5}"/>
              </c:ext>
            </c:extLst>
          </c:dPt>
          <c:dLbls>
            <c:dLbl>
              <c:idx val="0"/>
              <c:layout>
                <c:manualLayout>
                  <c:x val="-0.12244113847328265"/>
                  <c:y val="-1.8211037035595557E-2"/>
                </c:manualLayout>
              </c:layout>
              <c:tx>
                <c:rich>
                  <a:bodyPr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b="0">
                        <a:solidFill>
                          <a:schemeClr val="bg1"/>
                        </a:solidFill>
                      </a:defRPr>
                    </a:pPr>
                    <a:fld id="{BD429E3D-0E7F-4010-AD43-F3747997E7A1}" type="CELLRANGE">
                      <a:rPr lang="en-US" b="0"/>
                      <a:pPr algn="ctr">
                        <a:defRPr b="0">
                          <a:solidFill>
                            <a:schemeClr val="bg1"/>
                          </a:solidFill>
                        </a:defRPr>
                      </a:pPr>
                      <a:t>[CELLRANGE]</a:t>
                    </a:fld>
                    <a:endParaRPr lang="en-US" b="0" baseline="0"/>
                  </a:p>
                  <a:p>
                    <a:pPr algn="ctr">
                      <a:defRPr b="0">
                        <a:solidFill>
                          <a:schemeClr val="bg1"/>
                        </a:solidFill>
                      </a:defRPr>
                    </a:pPr>
                    <a:fld id="{4EEEC29E-38C4-4D78-8C77-0FB1D4D1573C}" type="XVALUE">
                      <a:rPr lang="en-US" b="0"/>
                      <a:pPr algn="ctr">
                        <a:defRPr b="0">
                          <a:solidFill>
                            <a:schemeClr val="bg1"/>
                          </a:solidFill>
                        </a:defRPr>
                      </a:pPr>
                      <a:t>[X VALUE]</a:t>
                    </a:fld>
                    <a:endParaRPr lang="en-US" b="0" baseline="0"/>
                  </a:p>
                  <a:p>
                    <a:pPr algn="ctr">
                      <a:defRPr b="0">
                        <a:solidFill>
                          <a:schemeClr val="bg1"/>
                        </a:solidFill>
                      </a:defRPr>
                    </a:pPr>
                    <a:fld id="{DF21B8C4-B34B-4F25-899C-D1DD2A6F466F}" type="YVALUE">
                      <a:rPr lang="en-US" b="0"/>
                      <a:pPr algn="ctr">
                        <a:defRPr b="0">
                          <a:solidFill>
                            <a:schemeClr val="bg1"/>
                          </a:solidFill>
                        </a:defRPr>
                      </a:pPr>
                      <a:t>[Y VALUE]</a:t>
                    </a:fld>
                    <a:endParaRPr lang="en-US" b="0" baseline="0"/>
                  </a:p>
                  <a:p>
                    <a:pPr algn="ctr">
                      <a:defRPr b="0">
                        <a:solidFill>
                          <a:schemeClr val="bg1"/>
                        </a:solidFill>
                      </a:defRPr>
                    </a:pPr>
                    <a:fld id="{50485F21-E5C4-4E86-AE47-F9942A13B329}" type="BUBBLESIZE">
                      <a:rPr lang="en-US" b="0"/>
                      <a:pPr algn="ctr">
                        <a:defRPr b="0">
                          <a:solidFill>
                            <a:schemeClr val="bg1"/>
                          </a:solidFill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72E-44FF-B00D-B574B1ED0FE5}"/>
                </c:ext>
              </c:extLst>
            </c:dLbl>
            <c:dLbl>
              <c:idx val="1"/>
              <c:layout>
                <c:manualLayout>
                  <c:x val="-0.13265028927865719"/>
                  <c:y val="-1.8211037035595509E-2"/>
                </c:manualLayout>
              </c:layout>
              <c:tx>
                <c:rich>
                  <a:bodyPr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b="0"/>
                    </a:pPr>
                    <a:fld id="{6A9E2135-7CA5-4FB9-A43D-553A388BB173}" type="CELLRANGE">
                      <a:rPr lang="en-US"/>
                      <a:pPr algn="ctr">
                        <a:defRPr b="0"/>
                      </a:pPr>
                      <a:t>[CELLRANGE]</a:t>
                    </a:fld>
                    <a:endParaRPr lang="en-US" baseline="0"/>
                  </a:p>
                  <a:p>
                    <a:pPr algn="ctr">
                      <a:defRPr b="0"/>
                    </a:pPr>
                    <a:fld id="{46F0779E-A71D-45E6-AF92-53448EDAA48D}" type="XVALUE">
                      <a:rPr lang="en-US"/>
                      <a:pPr algn="ctr">
                        <a:defRPr b="0"/>
                      </a:pPr>
                      <a:t>[X VALUE]</a:t>
                    </a:fld>
                    <a:endParaRPr lang="en-US" baseline="0"/>
                  </a:p>
                  <a:p>
                    <a:pPr algn="ctr">
                      <a:defRPr b="0"/>
                    </a:pPr>
                    <a:fld id="{714C0DFD-35F7-4B0E-AC0B-D3FFFCAC2856}" type="YVALUE">
                      <a:rPr lang="en-US"/>
                      <a:pPr algn="ctr">
                        <a:defRPr b="0"/>
                      </a:pPr>
                      <a:t>[Y VALUE]</a:t>
                    </a:fld>
                    <a:endParaRPr lang="en-US" baseline="0"/>
                  </a:p>
                  <a:p>
                    <a:pPr algn="ctr">
                      <a:defRPr b="0"/>
                    </a:pPr>
                    <a:fld id="{A75E1C4D-E580-41DF-BD20-1E9A29379D88}" type="BUBBLESIZE">
                      <a:rPr lang="en-US"/>
                      <a:pPr algn="ctr">
                        <a:defRPr b="0"/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872E-44FF-B00D-B574B1ED0FE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ACDE99F-B88B-407A-B0CC-FAA793F6BACB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A73E821C-C941-48E0-8E00-8F606BAC1457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 </a:t>
                    </a:r>
                    <a:fld id="{747FCA2C-44D2-497A-860E-70D00A611DB1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 </a:t>
                    </a:r>
                    <a:fld id="{7878E6DC-9F60-4673-B643-EA18C5041CEC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dLblPos val="ct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872E-44FF-B00D-B574B1ED0FE5}"/>
                </c:ext>
              </c:extLst>
            </c:dLbl>
            <c:dLbl>
              <c:idx val="3"/>
              <c:tx>
                <c:rich>
                  <a:bodyPr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b="0"/>
                    </a:pPr>
                    <a:fld id="{FAB24A79-B8D2-4858-9327-9B1BEB036A6E}" type="CELLRANGE">
                      <a:rPr lang="en-US"/>
                      <a:pPr algn="ctr">
                        <a:defRPr b="0"/>
                      </a:pPr>
                      <a:t>[CELLRANGE]</a:t>
                    </a:fld>
                    <a:endParaRPr lang="en-US" baseline="0"/>
                  </a:p>
                  <a:p>
                    <a:pPr algn="ctr">
                      <a:defRPr b="0"/>
                    </a:pPr>
                    <a:fld id="{0F108F61-B40F-479D-868B-5EF1C068BBB3}" type="XVALUE">
                      <a:rPr lang="en-US"/>
                      <a:pPr algn="ctr">
                        <a:defRPr b="0"/>
                      </a:pPr>
                      <a:t>[X VALUE]</a:t>
                    </a:fld>
                    <a:endParaRPr lang="en-US" baseline="0"/>
                  </a:p>
                  <a:p>
                    <a:pPr algn="ctr">
                      <a:defRPr b="0"/>
                    </a:pPr>
                    <a:fld id="{A58F9A00-DD97-4EDB-9E5D-49E5CA9DAF59}" type="YVALUE">
                      <a:rPr lang="en-US"/>
                      <a:pPr algn="ctr">
                        <a:defRPr b="0"/>
                      </a:pPr>
                      <a:t>[Y VALUE]</a:t>
                    </a:fld>
                    <a:endParaRPr lang="en-US" baseline="0"/>
                  </a:p>
                  <a:p>
                    <a:pPr algn="ctr">
                      <a:defRPr b="0"/>
                    </a:pPr>
                    <a:fld id="{88A6CE37-F9AB-4A7E-B87B-F91F9720DEF0}" type="BUBBLESIZE">
                      <a:rPr lang="en-US"/>
                      <a:pPr algn="ctr">
                        <a:defRPr b="0"/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ct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872E-44FF-B00D-B574B1ED0FE5}"/>
                </c:ext>
              </c:extLst>
            </c:dLbl>
            <c:dLbl>
              <c:idx val="4"/>
              <c:layout>
                <c:manualLayout>
                  <c:x val="-0.27480718970178902"/>
                  <c:y val="-0.15957026868961449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0">
                        <a:solidFill>
                          <a:srgbClr val="7030A0"/>
                        </a:solidFill>
                      </a:defRPr>
                    </a:pPr>
                    <a:fld id="{C3C03301-D69C-42CE-9920-0D49453D39B6}" type="CELLRANGE">
                      <a:rPr lang="en-US" b="0" baseline="0">
                        <a:solidFill>
                          <a:srgbClr val="7030A0"/>
                        </a:solidFill>
                      </a:rPr>
                      <a:pPr algn="l">
                        <a:defRPr b="0">
                          <a:solidFill>
                            <a:srgbClr val="7030A0"/>
                          </a:solidFill>
                        </a:defRPr>
                      </a:pPr>
                      <a:t>[CELLRANGE]</a:t>
                    </a:fld>
                    <a:r>
                      <a:rPr lang="en-US" b="0" baseline="0">
                        <a:solidFill>
                          <a:srgbClr val="7030A0"/>
                        </a:solidFill>
                      </a:rPr>
                      <a:t> </a:t>
                    </a:r>
                    <a:fld id="{DCE5B549-076E-4388-84E7-E6641B681AC3}" type="XVALUE">
                      <a:rPr lang="en-US" b="0" baseline="0">
                        <a:solidFill>
                          <a:srgbClr val="7030A0"/>
                        </a:solidFill>
                      </a:rPr>
                      <a:pPr algn="l">
                        <a:defRPr b="0">
                          <a:solidFill>
                            <a:srgbClr val="7030A0"/>
                          </a:solidFill>
                        </a:defRPr>
                      </a:pPr>
                      <a:t>[X VALUE]</a:t>
                    </a:fld>
                    <a:r>
                      <a:rPr lang="en-US" b="0" baseline="0">
                        <a:solidFill>
                          <a:srgbClr val="7030A0"/>
                        </a:solidFill>
                      </a:rPr>
                      <a:t> </a:t>
                    </a:r>
                    <a:fld id="{D82B72A0-273C-45B3-8D57-BD5AFEE92BFB}" type="YVALUE">
                      <a:rPr lang="en-US" b="0" baseline="0">
                        <a:solidFill>
                          <a:srgbClr val="7030A0"/>
                        </a:solidFill>
                      </a:rPr>
                      <a:pPr algn="l">
                        <a:defRPr b="0">
                          <a:solidFill>
                            <a:srgbClr val="7030A0"/>
                          </a:solidFill>
                        </a:defRPr>
                      </a:pPr>
                      <a:t>[Y VALUE]</a:t>
                    </a:fld>
                    <a:r>
                      <a:rPr lang="en-US" b="0" baseline="0">
                        <a:solidFill>
                          <a:srgbClr val="7030A0"/>
                        </a:solidFill>
                      </a:rPr>
                      <a:t> </a:t>
                    </a:r>
                    <a:fld id="{AE34C0E3-95A2-4F47-AC47-47AFD5A6F830}" type="BUBBLESIZE">
                      <a:rPr lang="en-US" b="0" baseline="0">
                        <a:solidFill>
                          <a:srgbClr val="7030A0"/>
                        </a:solidFill>
                      </a:rPr>
                      <a:pPr algn="l">
                        <a:defRPr b="0">
                          <a:solidFill>
                            <a:srgbClr val="7030A0"/>
                          </a:solidFill>
                        </a:defRPr>
                      </a:pPr>
                      <a:t>[BUBBLE SIZE]</a:t>
                    </a:fld>
                    <a:endParaRPr lang="en-US" b="0" baseline="0">
                      <a:solidFill>
                        <a:srgbClr val="7030A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1677229624124841"/>
                      <c:h val="4.5293450684245402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872E-44FF-B00D-B574B1ED0FE5}"/>
                </c:ext>
              </c:extLst>
            </c:dLbl>
            <c:dLbl>
              <c:idx val="5"/>
              <c:layout>
                <c:manualLayout>
                  <c:x val="-0.30605794189911545"/>
                  <c:y val="-0.28195499272275487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0">
                        <a:solidFill>
                          <a:srgbClr val="FF0000"/>
                        </a:solidFill>
                      </a:defRPr>
                    </a:pPr>
                    <a:fld id="{2E36193E-1153-4695-AF38-26FF27C9DE37}" type="CELLRANGE">
                      <a:rPr lang="en-US" b="0" baseline="0">
                        <a:solidFill>
                          <a:srgbClr val="FF0000"/>
                        </a:solidFill>
                      </a:rPr>
                      <a:pPr algn="l">
                        <a:defRPr b="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r>
                      <a:rPr lang="en-US" b="0" baseline="0">
                        <a:solidFill>
                          <a:srgbClr val="FF0000"/>
                        </a:solidFill>
                      </a:rPr>
                      <a:t> </a:t>
                    </a:r>
                    <a:fld id="{FE547BA5-8DF6-486D-8130-4A0320D0D0A3}" type="XVALUE">
                      <a:rPr lang="en-US" b="0" baseline="0">
                        <a:solidFill>
                          <a:srgbClr val="FF0000"/>
                        </a:solidFill>
                      </a:rPr>
                      <a:pPr algn="l">
                        <a:defRPr b="0">
                          <a:solidFill>
                            <a:srgbClr val="FF0000"/>
                          </a:solidFill>
                        </a:defRPr>
                      </a:pPr>
                      <a:t>[X VALUE]</a:t>
                    </a:fld>
                    <a:r>
                      <a:rPr lang="en-US" b="0" baseline="0">
                        <a:solidFill>
                          <a:srgbClr val="FF0000"/>
                        </a:solidFill>
                      </a:rPr>
                      <a:t> </a:t>
                    </a:r>
                    <a:fld id="{53C1C33A-DE6A-41FA-B37D-3AF2AEF40849}" type="YVALUE">
                      <a:rPr lang="en-US" b="0" baseline="0">
                        <a:solidFill>
                          <a:srgbClr val="FF0000"/>
                        </a:solidFill>
                      </a:rPr>
                      <a:pPr algn="l">
                        <a:defRPr b="0">
                          <a:solidFill>
                            <a:srgbClr val="FF0000"/>
                          </a:solidFill>
                        </a:defRPr>
                      </a:pPr>
                      <a:t>[Y VALUE]</a:t>
                    </a:fld>
                    <a:r>
                      <a:rPr lang="en-US" b="0" baseline="0">
                        <a:solidFill>
                          <a:srgbClr val="FF0000"/>
                        </a:solidFill>
                      </a:rPr>
                      <a:t> </a:t>
                    </a:r>
                    <a:fld id="{6A930F3F-4DAE-44C2-B584-41A223DE6506}" type="BUBBLESIZE">
                      <a:rPr lang="en-US" b="0" baseline="0">
                        <a:solidFill>
                          <a:srgbClr val="FF0000"/>
                        </a:solidFill>
                      </a:rPr>
                      <a:pPr algn="l">
                        <a:defRPr b="0">
                          <a:solidFill>
                            <a:srgbClr val="FF0000"/>
                          </a:solidFill>
                        </a:defRPr>
                      </a:pPr>
                      <a:t>[BUBBLE SIZE]</a:t>
                    </a:fld>
                    <a:endParaRPr lang="en-US" b="0" baseline="0">
                      <a:solidFill>
                        <a:srgbClr val="FF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3947836044272908"/>
                      <c:h val="5.8301334281099342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872E-44FF-B00D-B574B1ED0FE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67DC56B-3B4A-4211-B988-7553ECC09059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1F2C80F8-EDC7-4151-88AC-7C44FC0E792D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 </a:t>
                    </a:r>
                    <a:fld id="{4C83CA56-B331-4126-B972-6E3C31487647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 </a:t>
                    </a:r>
                    <a:fld id="{6FA9FAE6-D459-4B48-AF03-E75354373C96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dLblPos val="ct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872E-44FF-B00D-B574B1ED0FE5}"/>
                </c:ext>
              </c:extLst>
            </c:dLbl>
            <c:dLbl>
              <c:idx val="7"/>
              <c:layout>
                <c:manualLayout>
                  <c:x val="-0.27185346882560529"/>
                  <c:y val="-9.1810256972276821E-2"/>
                </c:manualLayout>
              </c:layout>
              <c:tx>
                <c:rich>
                  <a:bodyPr wrap="square" lIns="38100" tIns="19050" rIns="38100" bIns="19050" anchor="ctr" anchorCtr="0">
                    <a:spAutoFit/>
                  </a:bodyPr>
                  <a:lstStyle/>
                  <a:p>
                    <a:pPr algn="l">
                      <a:defRPr b="0">
                        <a:solidFill>
                          <a:schemeClr val="accent4">
                            <a:lumMod val="75000"/>
                          </a:schemeClr>
                        </a:solidFill>
                      </a:defRPr>
                    </a:pPr>
                    <a:fld id="{B5B28D74-2060-44CB-9A1F-97F9E9860044}" type="CELLRANGE">
                      <a:rPr lang="en-US" b="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pPr algn="l">
                        <a:defRPr b="0">
                          <a:solidFill>
                            <a:schemeClr val="accent4">
                              <a:lumMod val="75000"/>
                            </a:schemeClr>
                          </a:solidFill>
                        </a:defRPr>
                      </a:pPr>
                      <a:t>[CELLRANGE]</a:t>
                    </a:fld>
                    <a:r>
                      <a:rPr lang="en-US" b="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t> </a:t>
                    </a:r>
                    <a:fld id="{E003C7C0-C085-45A4-A45F-1AB4B797F23D}" type="XVALUE">
                      <a:rPr lang="en-US" b="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pPr algn="l">
                        <a:defRPr b="0">
                          <a:solidFill>
                            <a:schemeClr val="accent4">
                              <a:lumMod val="75000"/>
                            </a:schemeClr>
                          </a:solidFill>
                        </a:defRPr>
                      </a:pPr>
                      <a:t>[X VALUE]</a:t>
                    </a:fld>
                    <a:r>
                      <a:rPr lang="en-US" b="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t> </a:t>
                    </a:r>
                    <a:fld id="{4CE9C15A-5C64-4D34-BA57-90698041FA36}" type="YVALUE">
                      <a:rPr lang="en-US" b="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pPr algn="l">
                        <a:defRPr b="0">
                          <a:solidFill>
                            <a:schemeClr val="accent4">
                              <a:lumMod val="75000"/>
                            </a:schemeClr>
                          </a:solidFill>
                        </a:defRPr>
                      </a:pPr>
                      <a:t>[Y VALUE]</a:t>
                    </a:fld>
                    <a:r>
                      <a:rPr lang="en-US" b="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t> </a:t>
                    </a:r>
                    <a:fld id="{FE27D7FE-6218-422C-B0D6-1EB62BA97447}" type="BUBBLESIZE">
                      <a:rPr lang="en-US" b="0" baseline="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pPr algn="l">
                        <a:defRPr b="0">
                          <a:solidFill>
                            <a:schemeClr val="accent4">
                              <a:lumMod val="75000"/>
                            </a:schemeClr>
                          </a:solidFill>
                        </a:defRPr>
                      </a:pPr>
                      <a:t>[BUBBLE SIZE]</a:t>
                    </a:fld>
                    <a:endParaRPr lang="en-US" b="0" baseline="0">
                      <a:solidFill>
                        <a:schemeClr val="accent4">
                          <a:lumMod val="7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872E-44FF-B00D-B574B1ED0FE5}"/>
                </c:ext>
              </c:extLst>
            </c:dLbl>
            <c:dLbl>
              <c:idx val="8"/>
              <c:layout>
                <c:manualLayout>
                  <c:x val="-0.29818042581802157"/>
                  <c:y val="-0.19477759079656387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0"/>
                    </a:pPr>
                    <a:fld id="{A3B883BA-32BB-4833-AD23-64089B743185}" type="CELLRANGE">
                      <a:rPr lang="en-US" baseline="0"/>
                      <a:pPr algn="l">
                        <a:defRPr b="0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FCDD48D6-EB97-4070-B648-A27F900A148E}" type="XVALUE">
                      <a:rPr lang="en-US" baseline="0"/>
                      <a:pPr algn="l">
                        <a:defRPr b="0"/>
                      </a:pPr>
                      <a:t>[X VALUE]</a:t>
                    </a:fld>
                    <a:r>
                      <a:rPr lang="en-US" baseline="0"/>
                      <a:t> </a:t>
                    </a:r>
                    <a:fld id="{32E8F586-0AAD-4AC7-8332-5178D038ACC4}" type="YVALUE">
                      <a:rPr lang="en-US" baseline="0"/>
                      <a:pPr algn="l">
                        <a:defRPr b="0"/>
                      </a:pPr>
                      <a:t>[Y VALUE]</a:t>
                    </a:fld>
                    <a:r>
                      <a:rPr lang="en-US" baseline="0"/>
                      <a:t> </a:t>
                    </a:r>
                    <a:fld id="{D09392DE-4138-4609-BEA2-EFE6A29D7776}" type="BUBBLESIZE">
                      <a:rPr lang="en-US" baseline="0"/>
                      <a:pPr algn="l">
                        <a:defRPr b="0"/>
                      </a:pPr>
                      <a:t>[BUBBLE SIZE]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2865969409664413"/>
                      <c:h val="4.7895027403616189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872E-44FF-B00D-B574B1ED0FE5}"/>
                </c:ext>
              </c:extLst>
            </c:dLbl>
            <c:dLbl>
              <c:idx val="9"/>
              <c:layout>
                <c:manualLayout>
                  <c:x val="-0.27089075738356894"/>
                  <c:y val="-0.13966861648354911"/>
                </c:manualLayout>
              </c:layout>
              <c:tx>
                <c:rich>
                  <a:bodyPr wrap="square" lIns="38100" tIns="19050" rIns="38100" bIns="19050" anchor="ctr" anchorCtr="0">
                    <a:spAutoFit/>
                  </a:bodyPr>
                  <a:lstStyle/>
                  <a:p>
                    <a:pPr algn="l">
                      <a:defRPr b="0">
                        <a:solidFill>
                          <a:srgbClr val="0070C0"/>
                        </a:solidFill>
                      </a:defRPr>
                    </a:pPr>
                    <a:fld id="{9B256593-7D98-4113-A1D1-A34A243A7230}" type="CELLRANGE">
                      <a:rPr lang="en-US" b="0" baseline="0">
                        <a:solidFill>
                          <a:srgbClr val="0070C0"/>
                        </a:solidFill>
                      </a:rPr>
                      <a:pPr algn="l">
                        <a:defRPr b="0">
                          <a:solidFill>
                            <a:srgbClr val="0070C0"/>
                          </a:solidFill>
                        </a:defRPr>
                      </a:pPr>
                      <a:t>[CELLRANGE]</a:t>
                    </a:fld>
                    <a:r>
                      <a:rPr lang="en-US" b="0" baseline="0">
                        <a:solidFill>
                          <a:srgbClr val="0070C0"/>
                        </a:solidFill>
                      </a:rPr>
                      <a:t> </a:t>
                    </a:r>
                    <a:fld id="{BD76BBE3-D0B4-45F2-B516-8BCD993F82DB}" type="XVALUE">
                      <a:rPr lang="en-US" b="0" baseline="0">
                        <a:solidFill>
                          <a:srgbClr val="0070C0"/>
                        </a:solidFill>
                      </a:rPr>
                      <a:pPr algn="l">
                        <a:defRPr b="0">
                          <a:solidFill>
                            <a:srgbClr val="0070C0"/>
                          </a:solidFill>
                        </a:defRPr>
                      </a:pPr>
                      <a:t>[X VALUE]</a:t>
                    </a:fld>
                    <a:r>
                      <a:rPr lang="en-US" b="0" baseline="0">
                        <a:solidFill>
                          <a:srgbClr val="0070C0"/>
                        </a:solidFill>
                      </a:rPr>
                      <a:t> </a:t>
                    </a:r>
                    <a:fld id="{C9096E2E-E88E-4E36-9C73-F5E0F358B642}" type="YVALUE">
                      <a:rPr lang="en-US" b="0" baseline="0">
                        <a:solidFill>
                          <a:srgbClr val="0070C0"/>
                        </a:solidFill>
                      </a:rPr>
                      <a:pPr algn="l">
                        <a:defRPr b="0">
                          <a:solidFill>
                            <a:srgbClr val="0070C0"/>
                          </a:solidFill>
                        </a:defRPr>
                      </a:pPr>
                      <a:t>[Y VALUE]</a:t>
                    </a:fld>
                    <a:r>
                      <a:rPr lang="en-US" b="0" baseline="0">
                        <a:solidFill>
                          <a:srgbClr val="0070C0"/>
                        </a:solidFill>
                      </a:rPr>
                      <a:t> </a:t>
                    </a:r>
                    <a:fld id="{52834C34-05AF-4BC9-88C7-30BB46347FCC}" type="BUBBLESIZE">
                      <a:rPr lang="en-US" b="0" baseline="0">
                        <a:solidFill>
                          <a:srgbClr val="0070C0"/>
                        </a:solidFill>
                      </a:rPr>
                      <a:pPr algn="l">
                        <a:defRPr b="0">
                          <a:solidFill>
                            <a:srgbClr val="0070C0"/>
                          </a:solidFill>
                        </a:defRPr>
                      </a:pPr>
                      <a:t>[BUBBLE SIZE]</a:t>
                    </a:fld>
                    <a:endParaRPr lang="en-US" b="0" baseline="0">
                      <a:solidFill>
                        <a:srgbClr val="0070C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346900158156125"/>
                      <c:h val="3.9557076442313106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872E-44FF-B00D-B574B1ED0FE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D23F59B-6390-4D37-9BB7-4AA16307CB1D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1F854233-AAC2-4F56-A2B1-782C50D578D5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 </a:t>
                    </a:r>
                    <a:fld id="{8E132F59-CB20-4C7E-B1D3-C299BE7A2D5A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 </a:t>
                    </a:r>
                    <a:fld id="{4E18D3A0-2D5B-4DB8-B626-AE0172ADD472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dLblPos val="ct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872E-44FF-B00D-B574B1ED0FE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F5F103C-6D94-4016-A118-7922DFAC4AE5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CC5EEE04-E27E-48EA-99BF-6E4D7F2ACA25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 </a:t>
                    </a:r>
                    <a:fld id="{89B5A933-D13D-41D7-83B2-84B09260D6C3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 </a:t>
                    </a:r>
                    <a:fld id="{3540F1FD-3237-4DBA-ACD9-370FC03A92FE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dLblPos val="ct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872E-44FF-B00D-B574B1ED0FE5}"/>
                </c:ext>
              </c:extLst>
            </c:dLbl>
            <c:dLbl>
              <c:idx val="12"/>
              <c:layout>
                <c:manualLayout>
                  <c:x val="-0.28901403542058018"/>
                  <c:y val="-0.29225969471419017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0">
                        <a:solidFill>
                          <a:schemeClr val="accent2">
                            <a:lumMod val="50000"/>
                          </a:schemeClr>
                        </a:solidFill>
                      </a:defRPr>
                    </a:pPr>
                    <a:fld id="{C2FDC22C-FDD4-4D56-9140-1A87CA4E9C49}" type="CELLRANGE">
                      <a:rPr lang="en-US" b="0" baseline="0">
                        <a:solidFill>
                          <a:schemeClr val="accent2">
                            <a:lumMod val="50000"/>
                          </a:schemeClr>
                        </a:solidFill>
                      </a:rPr>
                      <a:pPr algn="l">
                        <a:defRPr b="0">
                          <a:solidFill>
                            <a:schemeClr val="accent2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r>
                      <a:rPr lang="en-US" b="0" baseline="0">
                        <a:solidFill>
                          <a:schemeClr val="accent2">
                            <a:lumMod val="50000"/>
                          </a:schemeClr>
                        </a:solidFill>
                      </a:rPr>
                      <a:t> </a:t>
                    </a:r>
                    <a:fld id="{B2C41212-8EDB-4E47-B7FF-1D02C6912862}" type="XVALUE">
                      <a:rPr lang="en-US" b="0" baseline="0">
                        <a:solidFill>
                          <a:schemeClr val="accent2">
                            <a:lumMod val="50000"/>
                          </a:schemeClr>
                        </a:solidFill>
                      </a:rPr>
                      <a:pPr algn="l">
                        <a:defRPr b="0">
                          <a:solidFill>
                            <a:schemeClr val="accent2">
                              <a:lumMod val="50000"/>
                            </a:schemeClr>
                          </a:solidFill>
                        </a:defRPr>
                      </a:pPr>
                      <a:t>[X VALUE]</a:t>
                    </a:fld>
                    <a:r>
                      <a:rPr lang="en-US" b="0" baseline="0">
                        <a:solidFill>
                          <a:schemeClr val="accent2">
                            <a:lumMod val="50000"/>
                          </a:schemeClr>
                        </a:solidFill>
                      </a:rPr>
                      <a:t> </a:t>
                    </a:r>
                    <a:fld id="{92D2BCC1-0FBE-4096-BF3D-3FC868C96E6D}" type="YVALUE">
                      <a:rPr lang="en-US" b="0" baseline="0">
                        <a:solidFill>
                          <a:schemeClr val="accent2">
                            <a:lumMod val="50000"/>
                          </a:schemeClr>
                        </a:solidFill>
                      </a:rPr>
                      <a:pPr algn="l">
                        <a:defRPr b="0">
                          <a:solidFill>
                            <a:schemeClr val="accent2">
                              <a:lumMod val="50000"/>
                            </a:schemeClr>
                          </a:solidFill>
                        </a:defRPr>
                      </a:pPr>
                      <a:t>[Y VALUE]</a:t>
                    </a:fld>
                    <a:r>
                      <a:rPr lang="en-US" b="0" baseline="0">
                        <a:solidFill>
                          <a:schemeClr val="accent2">
                            <a:lumMod val="50000"/>
                          </a:schemeClr>
                        </a:solidFill>
                      </a:rPr>
                      <a:t> </a:t>
                    </a:r>
                    <a:fld id="{C149C9BE-8B58-4F03-96EA-ED1DD2F493D0}" type="BUBBLESIZE">
                      <a:rPr lang="en-US" b="0" baseline="0">
                        <a:solidFill>
                          <a:schemeClr val="accent2">
                            <a:lumMod val="50000"/>
                          </a:schemeClr>
                        </a:solidFill>
                      </a:rPr>
                      <a:pPr algn="l">
                        <a:defRPr b="0">
                          <a:solidFill>
                            <a:schemeClr val="accent2">
                              <a:lumMod val="50000"/>
                            </a:schemeClr>
                          </a:solidFill>
                        </a:defRPr>
                      </a:pPr>
                      <a:t>[BUBBLE SIZE]</a:t>
                    </a:fld>
                    <a:endParaRPr lang="en-US" b="0" baseline="0">
                      <a:solidFill>
                        <a:schemeClr val="accent2">
                          <a:lumMod val="50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865727088347556"/>
                      <c:h val="5.0496604122986982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872E-44FF-B00D-B574B1ED0FE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CF4B75E-5060-465F-A0FB-37F9D2236218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BDA6F180-E62E-4112-B1A4-B5A67AA48220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 </a:t>
                    </a:r>
                    <a:fld id="{1F9092F0-B246-49CF-9FA9-C2BAC9B68561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 </a:t>
                    </a:r>
                    <a:fld id="{2A01C231-1090-4FB6-96E1-4070F0907696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dLblPos val="ct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872E-44FF-B00D-B574B1ED0FE5}"/>
                </c:ext>
              </c:extLst>
            </c:dLbl>
            <c:dLbl>
              <c:idx val="14"/>
              <c:layout>
                <c:manualLayout>
                  <c:x val="-0.2925977204005798"/>
                  <c:y val="3.0935000527484949E-2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0">
                        <a:solidFill>
                          <a:srgbClr val="00B0F0"/>
                        </a:solidFill>
                      </a:defRPr>
                    </a:pPr>
                    <a:fld id="{FF7BC389-8396-4036-89E7-C01577AB4271}" type="CELLRANGE">
                      <a:rPr lang="en-US" b="0" baseline="0">
                        <a:solidFill>
                          <a:srgbClr val="00B0F0"/>
                        </a:solidFill>
                      </a:rPr>
                      <a:pPr algn="l">
                        <a:defRPr b="0">
                          <a:solidFill>
                            <a:srgbClr val="00B0F0"/>
                          </a:solidFill>
                        </a:defRPr>
                      </a:pPr>
                      <a:t>[CELLRANGE]</a:t>
                    </a:fld>
                    <a:r>
                      <a:rPr lang="en-US" b="0" baseline="0">
                        <a:solidFill>
                          <a:srgbClr val="00B0F0"/>
                        </a:solidFill>
                      </a:rPr>
                      <a:t> </a:t>
                    </a:r>
                    <a:fld id="{25FFC74C-7325-4C85-87A8-0333850536B1}" type="XVALUE">
                      <a:rPr lang="en-US" b="0" baseline="0">
                        <a:solidFill>
                          <a:srgbClr val="00B0F0"/>
                        </a:solidFill>
                      </a:rPr>
                      <a:pPr algn="l">
                        <a:defRPr b="0">
                          <a:solidFill>
                            <a:srgbClr val="00B0F0"/>
                          </a:solidFill>
                        </a:defRPr>
                      </a:pPr>
                      <a:t>[X VALUE]</a:t>
                    </a:fld>
                    <a:r>
                      <a:rPr lang="en-US" b="0" baseline="0">
                        <a:solidFill>
                          <a:srgbClr val="00B0F0"/>
                        </a:solidFill>
                      </a:rPr>
                      <a:t> </a:t>
                    </a:r>
                    <a:fld id="{75705413-03C3-4517-B268-E094F972C364}" type="YVALUE">
                      <a:rPr lang="en-US" b="0" baseline="0">
                        <a:solidFill>
                          <a:srgbClr val="00B0F0"/>
                        </a:solidFill>
                      </a:rPr>
                      <a:pPr algn="l">
                        <a:defRPr b="0">
                          <a:solidFill>
                            <a:srgbClr val="00B0F0"/>
                          </a:solidFill>
                        </a:defRPr>
                      </a:pPr>
                      <a:t>[Y VALUE]</a:t>
                    </a:fld>
                    <a:r>
                      <a:rPr lang="en-US" b="0" baseline="0">
                        <a:solidFill>
                          <a:srgbClr val="00B0F0"/>
                        </a:solidFill>
                      </a:rPr>
                      <a:t> </a:t>
                    </a:r>
                    <a:fld id="{D66D8DEF-9AEF-4A35-AF74-A4226E9E6B6E}" type="BUBBLESIZE">
                      <a:rPr lang="en-US" b="0" baseline="0">
                        <a:solidFill>
                          <a:srgbClr val="00B0F0"/>
                        </a:solidFill>
                      </a:rPr>
                      <a:pPr algn="l">
                        <a:defRPr b="0">
                          <a:solidFill>
                            <a:srgbClr val="00B0F0"/>
                          </a:solidFill>
                        </a:defRPr>
                      </a:pPr>
                      <a:t>[BUBBLE SIZE]</a:t>
                    </a:fld>
                    <a:endParaRPr lang="en-US" b="0" baseline="0">
                      <a:solidFill>
                        <a:srgbClr val="00B0F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3163955857066024"/>
                      <c:h val="5.3098180842357769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872E-44FF-B00D-B574B1ED0FE5}"/>
                </c:ext>
              </c:extLst>
            </c:dLbl>
            <c:dLbl>
              <c:idx val="15"/>
              <c:layout>
                <c:manualLayout>
                  <c:x val="-0.3221602743125852"/>
                  <c:y val="-0.23516901542612084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b="0">
                        <a:solidFill>
                          <a:srgbClr val="00CC00"/>
                        </a:solidFill>
                      </a:defRPr>
                    </a:pPr>
                    <a:fld id="{84EBCB19-7DD0-450D-9685-0A669A30D23E}" type="CELLRANGE">
                      <a:rPr lang="en-US" b="0" baseline="0">
                        <a:solidFill>
                          <a:srgbClr val="00CC00"/>
                        </a:solidFill>
                      </a:rPr>
                      <a:pPr algn="l">
                        <a:defRPr b="0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="0" baseline="0">
                        <a:solidFill>
                          <a:srgbClr val="00CC00"/>
                        </a:solidFill>
                      </a:rPr>
                      <a:t> </a:t>
                    </a:r>
                    <a:fld id="{5C79F574-5CEB-4291-9C5C-12AB86D6EBF7}" type="XVALUE">
                      <a:rPr lang="en-US" b="0" baseline="0">
                        <a:solidFill>
                          <a:srgbClr val="00CC00"/>
                        </a:solidFill>
                      </a:rPr>
                      <a:pPr algn="l">
                        <a:defRPr b="0">
                          <a:solidFill>
                            <a:srgbClr val="00CC00"/>
                          </a:solidFill>
                        </a:defRPr>
                      </a:pPr>
                      <a:t>[X VALUE]</a:t>
                    </a:fld>
                    <a:r>
                      <a:rPr lang="en-US" b="0" baseline="0">
                        <a:solidFill>
                          <a:srgbClr val="00CC00"/>
                        </a:solidFill>
                      </a:rPr>
                      <a:t> </a:t>
                    </a:r>
                    <a:fld id="{33E2F001-02B8-44D6-A569-08AB440B2584}" type="YVALUE">
                      <a:rPr lang="en-US" b="0" baseline="0">
                        <a:solidFill>
                          <a:srgbClr val="00CC00"/>
                        </a:solidFill>
                      </a:rPr>
                      <a:pPr algn="l">
                        <a:defRPr b="0">
                          <a:solidFill>
                            <a:srgbClr val="00CC00"/>
                          </a:solidFill>
                        </a:defRPr>
                      </a:pPr>
                      <a:t>[Y VALUE]</a:t>
                    </a:fld>
                    <a:r>
                      <a:rPr lang="en-US" b="0" baseline="0">
                        <a:solidFill>
                          <a:srgbClr val="00CC00"/>
                        </a:solidFill>
                      </a:rPr>
                      <a:t> </a:t>
                    </a:r>
                    <a:fld id="{C0B34025-1C0A-4E5D-957E-49B4491D9F46}" type="BUBBLESIZE">
                      <a:rPr lang="en-US" b="0" baseline="0">
                        <a:solidFill>
                          <a:srgbClr val="00CC00"/>
                        </a:solidFill>
                      </a:rPr>
                      <a:pPr algn="l">
                        <a:defRPr b="0">
                          <a:solidFill>
                            <a:srgbClr val="00CC00"/>
                          </a:solidFill>
                        </a:defRPr>
                      </a:pPr>
                      <a:t>[BUBBLE SIZE]</a:t>
                    </a:fld>
                    <a:endParaRPr lang="en-US" b="0" baseline="0">
                      <a:solidFill>
                        <a:srgbClr val="00CC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7999161998514882"/>
                      <c:h val="4.7895027403616189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872E-44FF-B00D-B574B1ED0FE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F0469FD-D06D-4F06-B2B7-3B52330A4EEF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E20B4F3A-B53E-4284-9ACC-14A18B46E3B3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 </a:t>
                    </a:r>
                    <a:fld id="{83B48992-BE7E-46BD-A06E-C323D660E77A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 </a:t>
                    </a:r>
                    <a:fld id="{87A83E05-CC64-4D6E-A7B1-03A29E34A875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dLblPos val="ct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872E-44FF-B00D-B574B1ED0FE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ACF0077-5861-4D08-9043-773027EE6F6D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0C12AF9E-08CB-4D3B-A54F-6DD93BDF60EB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 </a:t>
                    </a:r>
                    <a:fld id="{1660EA37-5F93-4117-A12D-BB1893F2EBFB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 </a:t>
                    </a:r>
                    <a:fld id="{024F6A97-7CE3-4189-B354-A1DBEA8D829B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dLblPos val="ct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661F-4289-A82C-6F8FDA527ADE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E766C69-ABF0-42F7-AB46-06D44B1C18EC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 </a:t>
                    </a:r>
                    <a:fld id="{EDDD0F8C-AFCA-4BE5-86C5-7A2BF2C56484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 </a:t>
                    </a:r>
                    <a:fld id="{F715CD51-B6C8-4025-8782-4ABCDD8058D7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 </a:t>
                    </a:r>
                    <a:fld id="{2A794FF6-D25D-43F5-BBC7-0F32EE05097B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dLblPos val="ct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661F-4289-A82C-6F8FDA527ADE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661F-4289-A82C-6F8FDA527ADE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1927-44FD-8641-6DCDFA1E3134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1927-44FD-8641-6DCDFA1E31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l">
                  <a:defRPr b="0"/>
                </a:pPr>
                <a:endParaRPr lang="en-US"/>
              </a:p>
            </c:txPr>
            <c:dLblPos val="ctr"/>
            <c:showLegendKey val="1"/>
            <c:showVal val="1"/>
            <c:showCatName val="1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noFill/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'7.1. Chart Bubble_QUỐC GIA'!$N$6:$N$27</c:f>
              <c:numCache>
                <c:formatCode>"SL: "#,##0\ "tấn"</c:formatCode>
                <c:ptCount val="22"/>
                <c:pt idx="0">
                  <c:v>11468</c:v>
                </c:pt>
                <c:pt idx="1">
                  <c:v>14171</c:v>
                </c:pt>
                <c:pt idx="2">
                  <c:v>88</c:v>
                </c:pt>
                <c:pt idx="3">
                  <c:v>6185</c:v>
                </c:pt>
                <c:pt idx="4">
                  <c:v>110</c:v>
                </c:pt>
                <c:pt idx="5">
                  <c:v>327</c:v>
                </c:pt>
                <c:pt idx="6">
                  <c:v>440</c:v>
                </c:pt>
                <c:pt idx="7">
                  <c:v>110</c:v>
                </c:pt>
                <c:pt idx="8">
                  <c:v>176</c:v>
                </c:pt>
                <c:pt idx="9">
                  <c:v>47</c:v>
                </c:pt>
                <c:pt idx="10">
                  <c:v>0</c:v>
                </c:pt>
                <c:pt idx="11">
                  <c:v>72</c:v>
                </c:pt>
                <c:pt idx="12">
                  <c:v>211</c:v>
                </c:pt>
                <c:pt idx="13">
                  <c:v>0</c:v>
                </c:pt>
                <c:pt idx="14">
                  <c:v>220</c:v>
                </c:pt>
                <c:pt idx="15">
                  <c:v>418</c:v>
                </c:pt>
                <c:pt idx="16">
                  <c:v>23</c:v>
                </c:pt>
                <c:pt idx="17">
                  <c:v>1188</c:v>
                </c:pt>
                <c:pt idx="18">
                  <c:v>66</c:v>
                </c:pt>
              </c:numCache>
            </c:numRef>
          </c:xVal>
          <c:yVal>
            <c:numRef>
              <c:f>'7.1. Chart Bubble_QUỐC GIA'!$Q$6:$Q$27</c:f>
              <c:numCache>
                <c:formatCode>"% LNG ~ "0.0%</c:formatCode>
                <c:ptCount val="22"/>
                <c:pt idx="0">
                  <c:v>0.12176390977544703</c:v>
                </c:pt>
                <c:pt idx="1">
                  <c:v>0.13556762713748524</c:v>
                </c:pt>
                <c:pt idx="2">
                  <c:v>0.15405732437857433</c:v>
                </c:pt>
                <c:pt idx="3">
                  <c:v>0.18182695439212432</c:v>
                </c:pt>
                <c:pt idx="4">
                  <c:v>0.11425108047407234</c:v>
                </c:pt>
                <c:pt idx="5">
                  <c:v>0.12311081905328392</c:v>
                </c:pt>
                <c:pt idx="6">
                  <c:v>4.9829815600372043E-2</c:v>
                </c:pt>
                <c:pt idx="7">
                  <c:v>0.13385543884209072</c:v>
                </c:pt>
                <c:pt idx="8">
                  <c:v>0.18875043468821526</c:v>
                </c:pt>
                <c:pt idx="9">
                  <c:v>0.2263944294460955</c:v>
                </c:pt>
                <c:pt idx="10">
                  <c:v>0</c:v>
                </c:pt>
                <c:pt idx="11">
                  <c:v>-3.6416434628351847E-2</c:v>
                </c:pt>
                <c:pt idx="12">
                  <c:v>0.21581306482425919</c:v>
                </c:pt>
                <c:pt idx="13">
                  <c:v>0</c:v>
                </c:pt>
                <c:pt idx="14">
                  <c:v>6.9216319134806858E-2</c:v>
                </c:pt>
                <c:pt idx="15">
                  <c:v>0.19076168804458177</c:v>
                </c:pt>
                <c:pt idx="16">
                  <c:v>0.12735282536515116</c:v>
                </c:pt>
                <c:pt idx="17">
                  <c:v>0.20117946987723781</c:v>
                </c:pt>
                <c:pt idx="18">
                  <c:v>0.10377288013875591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bubbleSize>
            <c:numRef>
              <c:f>'7.1. Chart Bubble_QUỐC GIA'!$P$6:$P$27</c:f>
              <c:numCache>
                <c:formatCode>"LNG ~ "#,##0\ "ngàn $"</c:formatCode>
                <c:ptCount val="22"/>
                <c:pt idx="0">
                  <c:v>1701.1635834727704</c:v>
                </c:pt>
                <c:pt idx="1">
                  <c:v>2374.466989313054</c:v>
                </c:pt>
                <c:pt idx="2">
                  <c:v>17.71659230353605</c:v>
                </c:pt>
                <c:pt idx="3">
                  <c:v>1402.4312992264549</c:v>
                </c:pt>
                <c:pt idx="4">
                  <c:v>14.509887220207187</c:v>
                </c:pt>
                <c:pt idx="5">
                  <c:v>49.982992535633272</c:v>
                </c:pt>
                <c:pt idx="6">
                  <c:v>22.772225729370025</c:v>
                </c:pt>
                <c:pt idx="7">
                  <c:v>17.133496171787613</c:v>
                </c:pt>
                <c:pt idx="8">
                  <c:v>48.886362584247749</c:v>
                </c:pt>
                <c:pt idx="9">
                  <c:v>12.451693619535252</c:v>
                </c:pt>
                <c:pt idx="10">
                  <c:v>0</c:v>
                </c:pt>
                <c:pt idx="11">
                  <c:v>-2.8404819010114442</c:v>
                </c:pt>
                <c:pt idx="12">
                  <c:v>58.269527502549984</c:v>
                </c:pt>
                <c:pt idx="13">
                  <c:v>0</c:v>
                </c:pt>
                <c:pt idx="14">
                  <c:v>17.234863464566907</c:v>
                </c:pt>
                <c:pt idx="15">
                  <c:v>103.20207323211874</c:v>
                </c:pt>
                <c:pt idx="16" formatCode="&quot;LNG ~ &quot;#,##0.00\ &quot;ngàn $&quot;">
                  <c:v>3.4385262848590812</c:v>
                </c:pt>
                <c:pt idx="17">
                  <c:v>333.95791999621474</c:v>
                </c:pt>
                <c:pt idx="18">
                  <c:v>7.7829660104066933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'7.1. Chart Bubble_QUỐC GIA'!$L$6:$L$27</c15:f>
                <c15:dlblRangeCache>
                  <c:ptCount val="22"/>
                  <c:pt idx="0">
                    <c:v>12. VN</c:v>
                  </c:pt>
                  <c:pt idx="1">
                    <c:v>8. Mỹ</c:v>
                  </c:pt>
                  <c:pt idx="2">
                    <c:v>7. Australia</c:v>
                  </c:pt>
                  <c:pt idx="3">
                    <c:v>6. Bồ Đào Nha</c:v>
                  </c:pt>
                  <c:pt idx="4">
                    <c:v>13. Bulgaria</c:v>
                  </c:pt>
                  <c:pt idx="5">
                    <c:v>11. Hàn Quốc</c:v>
                  </c:pt>
                  <c:pt idx="6">
                    <c:v>16. Hong Kong</c:v>
                  </c:pt>
                  <c:pt idx="7">
                    <c:v>9. Hy Lạp</c:v>
                  </c:pt>
                  <c:pt idx="8">
                    <c:v>5. Israel</c:v>
                  </c:pt>
                  <c:pt idx="9">
                    <c:v>1. Italy</c:v>
                  </c:pt>
                  <c:pt idx="10">
                    <c:v>-</c:v>
                  </c:pt>
                  <c:pt idx="11">
                    <c:v>17. Mexico</c:v>
                  </c:pt>
                  <c:pt idx="12">
                    <c:v>2. Nhật</c:v>
                  </c:pt>
                  <c:pt idx="13">
                    <c:v>-</c:v>
                  </c:pt>
                  <c:pt idx="14">
                    <c:v>15. Singapore</c:v>
                  </c:pt>
                  <c:pt idx="15">
                    <c:v>4. Thụy Sĩ</c:v>
                  </c:pt>
                  <c:pt idx="16">
                    <c:v>10. Canada</c:v>
                  </c:pt>
                  <c:pt idx="17">
                    <c:v>3. Luxembourg</c:v>
                  </c:pt>
                  <c:pt idx="18">
                    <c:v>14. Pháp</c:v>
                  </c:pt>
                  <c:pt idx="19">
                    <c:v>-</c:v>
                  </c:pt>
                  <c:pt idx="20">
                    <c:v>-</c:v>
                  </c:pt>
                  <c:pt idx="21">
                    <c:v>-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8-872E-44FF-B00D-B574B1ED0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200"/>
        <c:showNegBubbles val="0"/>
        <c:axId val="1628401551"/>
        <c:axId val="1628398671"/>
      </c:bubbleChart>
      <c:valAx>
        <c:axId val="1628401551"/>
        <c:scaling>
          <c:orientation val="minMax"/>
          <c:max val="10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00FF"/>
                    </a:solidFill>
                  </a:rPr>
                  <a:t>Sản</a:t>
                </a:r>
                <a:r>
                  <a:rPr lang="en-US" b="1" baseline="0">
                    <a:solidFill>
                      <a:srgbClr val="0000FF"/>
                    </a:solidFill>
                  </a:rPr>
                  <a:t> lượng (tấn)</a:t>
                </a:r>
                <a:endParaRPr lang="en-US" b="1">
                  <a:solidFill>
                    <a:srgbClr val="0000FF"/>
                  </a:solidFill>
                </a:endParaRPr>
              </a:p>
            </c:rich>
          </c:tx>
          <c:layout>
            <c:manualLayout>
              <c:xMode val="edge"/>
              <c:yMode val="edge"/>
              <c:x val="0.59190803204435172"/>
              <c:y val="0.8304941317020830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98671"/>
        <c:crosses val="autoZero"/>
        <c:crossBetween val="midCat"/>
        <c:majorUnit val="1000"/>
        <c:minorUnit val="100"/>
      </c:valAx>
      <c:valAx>
        <c:axId val="1628398671"/>
        <c:scaling>
          <c:orientation val="minMax"/>
          <c:max val="0.30000000000000004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00FF"/>
                    </a:solidFill>
                  </a:rPr>
                  <a:t>% Lợi </a:t>
                </a:r>
                <a:r>
                  <a:rPr lang="en-US" b="1" baseline="0">
                    <a:solidFill>
                      <a:srgbClr val="0000FF"/>
                    </a:solidFill>
                  </a:rPr>
                  <a:t>nhuận gộp</a:t>
                </a:r>
                <a:endParaRPr lang="en-US" b="1">
                  <a:solidFill>
                    <a:srgbClr val="0000FF"/>
                  </a:solidFill>
                </a:endParaRPr>
              </a:p>
            </c:rich>
          </c:tx>
          <c:layout>
            <c:manualLayout>
              <c:xMode val="edge"/>
              <c:yMode val="edge"/>
              <c:x val="0.26187606412528336"/>
              <c:y val="0.3501397272317948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out"/>
        <c:minorTickMark val="none"/>
        <c:tickLblPos val="none"/>
        <c:spPr>
          <a:noFill/>
          <a:ln w="31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401551"/>
        <c:crosses val="autoZero"/>
        <c:crossBetween val="midCat"/>
      </c:valAx>
    </c:plotArea>
    <c:plotVisOnly val="0"/>
    <c:dispBlanksAs val="gap"/>
    <c:showDLblsOverMax val="0"/>
    <c:extLst/>
  </c:chart>
  <c:spPr>
    <a:ln>
      <a:solidFill>
        <a:srgbClr val="00B050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'7.1. Chart Bubble_QUỐC GIA'!$B$29</c:f>
          <c:strCache>
            <c:ptCount val="1"/>
            <c:pt idx="0">
              <c:v>SẢN LƯỢNG_ LỢI NHUẬN GỘP THEO QUỐC GIA T8.2025</c:v>
            </c:pt>
          </c:strCache>
        </c:strRef>
      </c:tx>
      <c:layout>
        <c:manualLayout>
          <c:xMode val="edge"/>
          <c:yMode val="edge"/>
          <c:x val="0.27034999089302941"/>
          <c:y val="3.43875867556867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B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716539833992239E-2"/>
          <c:y val="0.12818386753442479"/>
          <c:w val="0.91237648560049911"/>
          <c:h val="0.80251157762845948"/>
        </c:manualLayout>
      </c:layout>
      <c:bubbleChart>
        <c:varyColors val="1"/>
        <c:ser>
          <c:idx val="0"/>
          <c:order val="0"/>
          <c:tx>
            <c:strRef>
              <c:f>'7.1. Chart Bubble_QUỐC GIA'!$C$5</c:f>
              <c:strCache>
                <c:ptCount val="1"/>
                <c:pt idx="0">
                  <c:v>Quốc gia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00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791-4873-A1E2-4F2A6213DFFB}"/>
              </c:ext>
            </c:extLst>
          </c:dPt>
          <c:dPt>
            <c:idx val="1"/>
            <c:invertIfNegative val="0"/>
            <c:bubble3D val="0"/>
            <c:spPr>
              <a:solidFill>
                <a:srgbClr val="15FF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791-4873-A1E2-4F2A6213DFFB}"/>
              </c:ext>
            </c:extLst>
          </c:dPt>
          <c:dPt>
            <c:idx val="2"/>
            <c:invertIfNegative val="0"/>
            <c:bubble3D val="0"/>
            <c:spPr>
              <a:solidFill>
                <a:srgbClr val="FF669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791-4873-A1E2-4F2A6213DFFB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791-4873-A1E2-4F2A6213DFFB}"/>
              </c:ext>
            </c:extLst>
          </c:dPt>
          <c:dPt>
            <c:idx val="4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791-4873-A1E2-4F2A6213DFFB}"/>
              </c:ext>
            </c:extLst>
          </c:dPt>
          <c:dPt>
            <c:idx val="5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791-4873-A1E2-4F2A6213DFFB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791-4873-A1E2-4F2A6213DFFB}"/>
              </c:ext>
            </c:extLst>
          </c:dPt>
          <c:dPt>
            <c:idx val="7"/>
            <c:invertIfNegative val="0"/>
            <c:bubble3D val="0"/>
            <c:spPr>
              <a:solidFill>
                <a:srgbClr val="FF00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791-4873-A1E2-4F2A6213DFFB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791-4873-A1E2-4F2A6213DFFB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791-4873-A1E2-4F2A6213DFFB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791-4873-A1E2-4F2A6213DFFB}"/>
              </c:ext>
            </c:extLst>
          </c:dPt>
          <c:dPt>
            <c:idx val="11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791-4873-A1E2-4F2A6213DFFB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5791-4873-A1E2-4F2A6213DFFB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5791-4873-A1E2-4F2A6213DFFB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5791-4873-A1E2-4F2A6213DFFB}"/>
              </c:ext>
            </c:extLst>
          </c:dPt>
          <c:dPt>
            <c:idx val="15"/>
            <c:invertIfNegative val="0"/>
            <c:bubble3D val="0"/>
            <c:spPr>
              <a:solidFill>
                <a:srgbClr val="FF00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5791-4873-A1E2-4F2A6213DFFB}"/>
              </c:ext>
            </c:extLst>
          </c:dPt>
          <c:dPt>
            <c:idx val="16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20-5791-4873-A1E2-4F2A6213DFFB}"/>
              </c:ext>
            </c:extLst>
          </c:dPt>
          <c:dPt>
            <c:idx val="17"/>
            <c:invertIfNegative val="0"/>
            <c:bubble3D val="0"/>
            <c:spPr>
              <a:solidFill>
                <a:srgbClr val="7030A0"/>
              </a:solidFill>
            </c:spPr>
            <c:extLst>
              <c:ext xmlns:c16="http://schemas.microsoft.com/office/drawing/2014/chart" uri="{C3380CC4-5D6E-409C-BE32-E72D297353CC}">
                <c16:uniqueId val="{00000020-66F5-4F72-9CB3-4DB8B3C08DE6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21-66F5-4F72-9CB3-4DB8B3C08DE6}"/>
              </c:ext>
            </c:extLst>
          </c:dPt>
          <c:dLbls>
            <c:dLbl>
              <c:idx val="0"/>
              <c:layout>
                <c:manualLayout>
                  <c:x val="-0.29000714811397277"/>
                  <c:y val="1.9959049730743734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BEB79EA-23BE-46C4-B69A-F878DD615DE1}" type="CELLRANGE">
                      <a:rPr lang="en-US" baseline="0">
                        <a:solidFill>
                          <a:srgbClr val="0000FF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rgbClr val="00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rgbClr val="0000FF"/>
                        </a:solidFill>
                      </a:rPr>
                      <a:t>
</a:t>
                    </a:r>
                    <a:fld id="{A8F49723-3DB5-4173-9722-5D934DCEAFC1}" type="XVALUE">
                      <a:rPr lang="en-US" baseline="0">
                        <a:solidFill>
                          <a:srgbClr val="0000FF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rgbClr val="00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r>
                      <a:rPr lang="en-US" baseline="0">
                        <a:solidFill>
                          <a:srgbClr val="0000FF"/>
                        </a:solidFill>
                      </a:rPr>
                      <a:t>
</a:t>
                    </a:r>
                    <a:fld id="{25AAF075-94BB-4AF4-8D67-1E5F64C198B2}" type="YVALUE">
                      <a:rPr lang="en-US" baseline="0">
                        <a:solidFill>
                          <a:srgbClr val="0000FF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rgbClr val="00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r>
                      <a:rPr lang="en-US" baseline="0">
                        <a:solidFill>
                          <a:srgbClr val="0000FF"/>
                        </a:solidFill>
                      </a:rPr>
                      <a:t>
</a:t>
                    </a:r>
                    <a:fld id="{D3FD6206-F669-4191-8CAC-6167A04ED790}" type="BUBBLESIZE">
                      <a:rPr lang="en-US" baseline="0">
                        <a:solidFill>
                          <a:srgbClr val="0000FF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rgbClr val="00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 baseline="0">
                      <a:solidFill>
                        <a:srgbClr val="0000FF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1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2612819630668576"/>
                      <c:h val="0.1734923458864551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791-4873-A1E2-4F2A6213DFFB}"/>
                </c:ext>
              </c:extLst>
            </c:dLbl>
            <c:dLbl>
              <c:idx val="1"/>
              <c:layout>
                <c:manualLayout>
                  <c:x val="-1.0493102393061799E-2"/>
                  <c:y val="-1.389863088076228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47A6B14-70ED-4DDC-8B3E-58605FAAB1C9}" type="CELLRANGE">
                      <a:rPr lang="en-US" baseline="0">
                        <a:solidFill>
                          <a:srgbClr val="00B050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rgbClr val="00B05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rgbClr val="00B050"/>
                        </a:solidFill>
                      </a:rPr>
                      <a:t>
</a:t>
                    </a:r>
                    <a:fld id="{F1CB21FE-1C80-4F49-9F15-F2EF2C27D8D4}" type="XVALUE">
                      <a:rPr lang="en-US" baseline="0">
                        <a:solidFill>
                          <a:srgbClr val="00B050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rgbClr val="00B05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r>
                      <a:rPr lang="en-US" baseline="0">
                        <a:solidFill>
                          <a:srgbClr val="00B050"/>
                        </a:solidFill>
                      </a:rPr>
                      <a:t>
</a:t>
                    </a:r>
                    <a:fld id="{76881C16-8312-4DBF-A0EC-09255ED8A4C3}" type="YVALUE">
                      <a:rPr lang="en-US" baseline="0">
                        <a:solidFill>
                          <a:srgbClr val="00B050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rgbClr val="00B05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r>
                      <a:rPr lang="en-US" baseline="0">
                        <a:solidFill>
                          <a:srgbClr val="00B050"/>
                        </a:solidFill>
                      </a:rPr>
                      <a:t>
</a:t>
                    </a:r>
                    <a:fld id="{10C54639-D0A1-425E-9971-7B26657CA06E}" type="BUBBLESIZE">
                      <a:rPr lang="en-US" baseline="0">
                        <a:solidFill>
                          <a:srgbClr val="00B050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rgbClr val="00B05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 baseline="0">
                      <a:solidFill>
                        <a:srgbClr val="00B05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1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2241982459455797"/>
                      <c:h val="0.1758051558076912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5791-4873-A1E2-4F2A6213DFFB}"/>
                </c:ext>
              </c:extLst>
            </c:dLbl>
            <c:dLbl>
              <c:idx val="2"/>
              <c:layout>
                <c:manualLayout>
                  <c:x val="-3.2639392627633775E-2"/>
                  <c:y val="1.2219031955323289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sz="1000" b="1" i="0" u="none" strike="noStrike" kern="1200" baseline="0">
                        <a:solidFill>
                          <a:srgbClr val="FF6699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1A9B4EF-2062-44DD-B703-759847819A26}" type="CELLRANGE">
                      <a:rPr lang="en-US" baseline="0"/>
                      <a:pPr algn="l">
                        <a:defRPr sz="1000" b="1" i="0" u="none" strike="noStrike" kern="1200" baseline="0">
                          <a:solidFill>
                            <a:srgbClr val="FF6699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37451443-59DA-43EE-9617-E866BE269A4C}" type="XVALUE">
                      <a:rPr lang="en-US" baseline="0"/>
                      <a:pPr algn="l">
                        <a:defRPr sz="1000" b="1" i="0" u="none" strike="noStrike" kern="1200" baseline="0">
                          <a:solidFill>
                            <a:srgbClr val="FF6699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r>
                      <a:rPr lang="en-US" baseline="0"/>
                      <a:t> </a:t>
                    </a:r>
                    <a:fld id="{582A71B5-99BC-42A4-A280-A29DE5ECFDCA}" type="YVALUE">
                      <a:rPr lang="en-US" baseline="0"/>
                      <a:pPr algn="l">
                        <a:defRPr sz="1000" b="1" i="0" u="none" strike="noStrike" kern="1200" baseline="0">
                          <a:solidFill>
                            <a:srgbClr val="FF6699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r>
                      <a:rPr lang="en-US" baseline="0"/>
                      <a:t> </a:t>
                    </a:r>
                    <a:fld id="{49AF98D0-9492-4F4C-A372-A9E97C6D6D93}" type="BUBBLESIZE">
                      <a:rPr lang="en-US" baseline="0"/>
                      <a:pPr algn="l">
                        <a:defRPr sz="1000" b="1" i="0" u="none" strike="noStrike" kern="1200" baseline="0">
                          <a:solidFill>
                            <a:srgbClr val="FF6699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7272733146280251"/>
                      <c:h val="6.1670763953818056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791-4873-A1E2-4F2A6213DFFB}"/>
                </c:ext>
              </c:extLst>
            </c:dLbl>
            <c:dLbl>
              <c:idx val="3"/>
              <c:layout>
                <c:manualLayout>
                  <c:x val="-0.13303286194155003"/>
                  <c:y val="-1.7671073353620174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D6CD741-62D2-4D42-AA07-078E84B7675E}" type="CELLRANGE">
                      <a:rPr lang="en-US" baseline="0">
                        <a:solidFill>
                          <a:schemeClr val="tx1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chemeClr val="tx1"/>
                        </a:solidFill>
                      </a:rPr>
                      <a:t>
</a:t>
                    </a:r>
                    <a:fld id="{27041351-4965-4077-B1C4-AD0F7EA999EA}" type="XVALUE">
                      <a:rPr lang="en-US" baseline="0">
                        <a:solidFill>
                          <a:schemeClr val="tx1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r>
                      <a:rPr lang="en-US" baseline="0">
                        <a:solidFill>
                          <a:schemeClr val="tx1"/>
                        </a:solidFill>
                      </a:rPr>
                      <a:t>
</a:t>
                    </a:r>
                    <a:fld id="{BECC3A71-335C-44A3-B251-DE21B501FB55}" type="YVALUE">
                      <a:rPr lang="en-US" baseline="0">
                        <a:solidFill>
                          <a:schemeClr val="tx1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r>
                      <a:rPr lang="en-US" baseline="0">
                        <a:solidFill>
                          <a:schemeClr val="tx1"/>
                        </a:solidFill>
                      </a:rPr>
                      <a:t>
</a:t>
                    </a:r>
                    <a:fld id="{FFFE0AE2-AF0B-4174-9535-2EB0781E725A}" type="BUBBLESIZE">
                      <a:rPr lang="en-US" baseline="0">
                        <a:solidFill>
                          <a:schemeClr val="tx1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 baseline="0">
                      <a:solidFill>
                        <a:schemeClr val="tx1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1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2907205745005235"/>
                      <c:h val="0.1922989695335908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5791-4873-A1E2-4F2A6213DFFB}"/>
                </c:ext>
              </c:extLst>
            </c:dLbl>
            <c:dLbl>
              <c:idx val="4"/>
              <c:layout>
                <c:manualLayout>
                  <c:x val="-0.20528458569837385"/>
                  <c:y val="-6.589799055174498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sz="1000" b="1" i="0" u="none" strike="noStrike" kern="1200" baseline="0">
                        <a:solidFill>
                          <a:srgbClr val="FF00FF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AE5CA4F-DE64-41D9-A5DD-D9D367A14198}" type="CELLRANGE">
                      <a:rPr lang="en-US" baseline="0">
                        <a:solidFill>
                          <a:srgbClr val="FF00FF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FF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rgbClr val="FF00FF"/>
                        </a:solidFill>
                      </a:rPr>
                      <a:t> </a:t>
                    </a:r>
                    <a:fld id="{DD33E64A-2C41-40BB-91F0-80796EDDF4AD}" type="XVALUE">
                      <a:rPr lang="en-US" baseline="0">
                        <a:solidFill>
                          <a:srgbClr val="FF00FF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FF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r>
                      <a:rPr lang="en-US" baseline="0">
                        <a:solidFill>
                          <a:srgbClr val="FF00FF"/>
                        </a:solidFill>
                      </a:rPr>
                      <a:t> </a:t>
                    </a:r>
                    <a:fld id="{32790817-44F4-450D-9ABD-E6C30CD49B3D}" type="YVALUE">
                      <a:rPr lang="en-US" baseline="0">
                        <a:solidFill>
                          <a:srgbClr val="FF00FF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FF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r>
                      <a:rPr lang="en-US" baseline="0">
                        <a:solidFill>
                          <a:srgbClr val="FF00FF"/>
                        </a:solidFill>
                      </a:rPr>
                      <a:t> </a:t>
                    </a:r>
                    <a:fld id="{B44A8CBF-CB48-439F-9CE4-CBB69FFAD358}" type="BUBBLESIZE">
                      <a:rPr lang="en-US" baseline="0">
                        <a:solidFill>
                          <a:srgbClr val="FF00FF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FF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 baseline="0">
                      <a:solidFill>
                        <a:srgbClr val="FF00FF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5717958549480977"/>
                      <c:h val="6.2099785035070264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5791-4873-A1E2-4F2A6213DFFB}"/>
                </c:ext>
              </c:extLst>
            </c:dLbl>
            <c:dLbl>
              <c:idx val="5"/>
              <c:layout>
                <c:manualLayout>
                  <c:x val="-5.3355921862970362E-2"/>
                  <c:y val="-1.3323724881897977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8626E4C-E2EE-418B-B301-3445BDEC13A2}" type="CELLRANGE">
                      <a:rPr lang="en-US" baseline="0"/>
                      <a:pPr>
                        <a:defRPr sz="1000" b="1" i="0" u="none" strike="noStrike" kern="1200" baseline="0">
                          <a:solidFill>
                            <a:srgbClr val="FF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r>
                      <a:rPr lang="en-US" baseline="0"/>
                      <a:t>; </a:t>
                    </a:r>
                    <a:fld id="{1BEC51AB-1061-4CF3-93CF-76B3D587EAF8}" type="XVALUE">
                      <a:rPr lang="en-US" baseline="0"/>
                      <a:pPr>
                        <a:defRPr sz="1000" b="1" i="0" u="none" strike="noStrike" kern="1200" baseline="0">
                          <a:solidFill>
                            <a:srgbClr val="FF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r>
                      <a:rPr lang="en-US" baseline="0"/>
                      <a:t>; </a:t>
                    </a:r>
                    <a:fld id="{080E8001-67F7-4984-98B5-FA3E4B50ADBC}" type="YVALUE">
                      <a:rPr lang="en-US" baseline="0"/>
                      <a:pPr>
                        <a:defRPr sz="1000" b="1" i="0" u="none" strike="noStrike" kern="1200" baseline="0">
                          <a:solidFill>
                            <a:srgbClr val="FF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r>
                      <a:rPr lang="en-US" baseline="0"/>
                      <a:t>; </a:t>
                    </a:r>
                    <a:fld id="{1DF46ED0-909F-4B32-BE41-2DB1F42E2992}" type="BUBBLESIZE">
                      <a:rPr lang="en-US" baseline="0"/>
                      <a:pPr>
                        <a:defRPr sz="1000" b="1" i="0" u="none" strike="noStrike" kern="1200" baseline="0">
                          <a:solidFill>
                            <a:srgbClr val="FF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1"/>
              <c:showVal val="1"/>
              <c:showCatName val="1"/>
              <c:showSerName val="0"/>
              <c:showPercent val="0"/>
              <c:showBubbleSize val="1"/>
              <c:separator>; </c:separator>
              <c:extLst>
                <c:ext xmlns:c15="http://schemas.microsoft.com/office/drawing/2012/chart" uri="{CE6537A1-D6FC-4f65-9D91-7224C49458BB}">
                  <c15:layout>
                    <c:manualLayout>
                      <c:w val="0.4078061680540423"/>
                      <c:h val="5.5153244715205843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5791-4873-A1E2-4F2A6213DFFB}"/>
                </c:ext>
              </c:extLst>
            </c:dLbl>
            <c:dLbl>
              <c:idx val="6"/>
              <c:layout>
                <c:manualLayout>
                  <c:x val="-2.6929476836762774E-2"/>
                  <c:y val="-1.277165716995126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sz="1000" b="1" i="0" u="none" strike="noStrike" kern="1200" baseline="0">
                        <a:solidFill>
                          <a:schemeClr val="accent5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0A6F645-259B-4FB4-A422-AAA66EB20A0B}" type="CELLRANGE">
                      <a:rPr lang="en-US" baseline="0">
                        <a:solidFill>
                          <a:schemeClr val="accent5">
                            <a:lumMod val="75000"/>
                          </a:schemeClr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chemeClr val="accent5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chemeClr val="accent5">
                            <a:lumMod val="75000"/>
                          </a:schemeClr>
                        </a:solidFill>
                      </a:rPr>
                      <a:t> </a:t>
                    </a:r>
                    <a:fld id="{780F4929-024A-44C2-943B-C417AF4E711D}" type="XVALUE">
                      <a:rPr lang="en-US" baseline="0">
                        <a:solidFill>
                          <a:schemeClr val="accent5">
                            <a:lumMod val="75000"/>
                          </a:schemeClr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chemeClr val="accent5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r>
                      <a:rPr lang="en-US" baseline="0">
                        <a:solidFill>
                          <a:schemeClr val="accent5">
                            <a:lumMod val="75000"/>
                          </a:schemeClr>
                        </a:solidFill>
                      </a:rPr>
                      <a:t> </a:t>
                    </a:r>
                    <a:fld id="{AB73A664-1B7F-47DE-AD34-765C38D8073F}" type="YVALUE">
                      <a:rPr lang="en-US" baseline="0">
                        <a:solidFill>
                          <a:schemeClr val="accent5">
                            <a:lumMod val="75000"/>
                          </a:schemeClr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chemeClr val="accent5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r>
                      <a:rPr lang="en-US" baseline="0">
                        <a:solidFill>
                          <a:schemeClr val="accent5">
                            <a:lumMod val="75000"/>
                          </a:schemeClr>
                        </a:solidFill>
                      </a:rPr>
                      <a:t> </a:t>
                    </a:r>
                    <a:fld id="{08C4AB40-9133-48D1-AB9F-B66F8510B184}" type="BUBBLESIZE">
                      <a:rPr lang="en-US" baseline="0">
                        <a:solidFill>
                          <a:schemeClr val="accent5">
                            <a:lumMod val="75000"/>
                          </a:schemeClr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chemeClr val="accent5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 baseline="0">
                      <a:solidFill>
                        <a:schemeClr val="accent5">
                          <a:lumMod val="7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8219902299319786"/>
                      <c:h val="5.5148505626581051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5791-4873-A1E2-4F2A6213DFFB}"/>
                </c:ext>
              </c:extLst>
            </c:dLbl>
            <c:dLbl>
              <c:idx val="7"/>
              <c:layout>
                <c:manualLayout>
                  <c:x val="-3.8323406049877037E-2"/>
                  <c:y val="3.243398947689082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sz="1000" b="1" i="0" u="none" strike="noStrike" kern="1200" baseline="0">
                        <a:solidFill>
                          <a:srgbClr val="FF00FF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388E1C5-E5E3-41C3-A34F-D3282B8C0DFD}" type="CELLRANGE">
                      <a:rPr lang="en-US" baseline="0">
                        <a:solidFill>
                          <a:srgbClr val="FF00FF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FF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rgbClr val="FF00FF"/>
                        </a:solidFill>
                      </a:rPr>
                      <a:t> </a:t>
                    </a:r>
                    <a:fld id="{C033F79F-AD33-4888-A248-E482E886785A}" type="XVALUE">
                      <a:rPr lang="en-US" baseline="0">
                        <a:solidFill>
                          <a:srgbClr val="FF00FF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FF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r>
                      <a:rPr lang="en-US" baseline="0">
                        <a:solidFill>
                          <a:srgbClr val="FF00FF"/>
                        </a:solidFill>
                      </a:rPr>
                      <a:t> </a:t>
                    </a:r>
                    <a:fld id="{D01BDD02-3C75-4091-A810-719DC84F7D75}" type="YVALUE">
                      <a:rPr lang="en-US" baseline="0">
                        <a:solidFill>
                          <a:srgbClr val="FF00FF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FF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r>
                      <a:rPr lang="en-US" baseline="0">
                        <a:solidFill>
                          <a:srgbClr val="FF00FF"/>
                        </a:solidFill>
                      </a:rPr>
                      <a:t> </a:t>
                    </a:r>
                    <a:fld id="{263002C4-643B-41C2-B854-C94691921B73}" type="BUBBLESIZE">
                      <a:rPr lang="en-US" baseline="0">
                        <a:solidFill>
                          <a:srgbClr val="FF00FF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FF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 baseline="0">
                      <a:solidFill>
                        <a:srgbClr val="FF00FF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509469985835581"/>
                      <c:h val="6.1638199295519142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5791-4873-A1E2-4F2A6213DFF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CD3B1FF-762A-4A15-A3B2-CE9BE9F310AB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D6693290-CB38-44EA-A924-64274512D9C8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
</a:t>
                    </a:r>
                    <a:fld id="{B438FFD7-5493-4BC2-8DFE-E034BC868EE8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
</a:t>
                    </a:r>
                    <a:fld id="{596AF0A4-C1E4-48FB-A571-0743C0B2CA2E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showLegendKey val="1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791-4873-A1E2-4F2A6213DFF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8E64688-5A2E-429E-96A0-72BAB98650E5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1695D2FA-0242-4C7D-AE0E-46F9B2F26CC6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
</a:t>
                    </a:r>
                    <a:fld id="{1AC45582-EC28-4DE0-AC42-97FAACB7DF7E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
</a:t>
                    </a:r>
                    <a:fld id="{7CC2CA56-288B-40EF-9CEF-2BE78F777DB4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showLegendKey val="1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5791-4873-A1E2-4F2A6213DFF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09746D8-8D40-4DE1-B9FC-021DF9CA1CF6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7BD67456-1A12-4566-A149-713871E3B915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
</a:t>
                    </a:r>
                    <a:fld id="{E3DED1AF-9CEC-49E4-962A-2F38AD32CEAF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
</a:t>
                    </a:r>
                    <a:fld id="{45A00A98-BA7E-4405-9DE2-0B04A9A3A517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showLegendKey val="1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5791-4873-A1E2-4F2A6213DFFB}"/>
                </c:ext>
              </c:extLst>
            </c:dLbl>
            <c:dLbl>
              <c:idx val="11"/>
              <c:layout>
                <c:manualLayout>
                  <c:x val="1.0616799418753197E-2"/>
                  <c:y val="-0.2117625667928123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sz="1000" b="1" i="0" u="none" strike="noStrike" kern="1200" baseline="0">
                        <a:solidFill>
                          <a:srgbClr val="FF99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0252A44-732C-41E3-8F63-620C42374AE7}" type="CELLRANGE">
                      <a:rPr lang="en-US" baseline="0">
                        <a:solidFill>
                          <a:srgbClr val="FF9900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FF99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rgbClr val="FF9900"/>
                        </a:solidFill>
                      </a:rPr>
                      <a:t> </a:t>
                    </a:r>
                    <a:fld id="{AA04393A-0939-40EE-94E9-817C834AE186}" type="XVALUE">
                      <a:rPr lang="en-US" baseline="0">
                        <a:solidFill>
                          <a:srgbClr val="FF9900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FF99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r>
                      <a:rPr lang="en-US" baseline="0">
                        <a:solidFill>
                          <a:srgbClr val="FF9900"/>
                        </a:solidFill>
                      </a:rPr>
                      <a:t> </a:t>
                    </a:r>
                    <a:fld id="{6C7AED2E-5E9D-4D74-8EF9-77302611FE65}" type="YVALUE">
                      <a:rPr lang="en-US" baseline="0">
                        <a:solidFill>
                          <a:srgbClr val="FF9900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FF99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r>
                      <a:rPr lang="en-US" baseline="0">
                        <a:solidFill>
                          <a:srgbClr val="FF9900"/>
                        </a:solidFill>
                      </a:rPr>
                      <a:t> </a:t>
                    </a:r>
                    <a:fld id="{3B41675A-4D1B-4D58-8D4A-B87976AC7114}" type="BUBBLESIZE">
                      <a:rPr lang="en-US" baseline="0">
                        <a:solidFill>
                          <a:srgbClr val="FF9900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FF99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 baseline="0">
                      <a:solidFill>
                        <a:srgbClr val="FF99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3821865162444065"/>
                      <c:h val="5.6821422394414248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5791-4873-A1E2-4F2A6213DFFB}"/>
                </c:ext>
              </c:extLst>
            </c:dLbl>
            <c:dLbl>
              <c:idx val="12"/>
              <c:layout>
                <c:manualLayout>
                  <c:x val="-6.9427584871563197E-2"/>
                  <c:y val="-0.1319884204592053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accent2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BCE275B-F82A-42B3-B665-E939E5D637A0}" type="CELLRANGE">
                      <a:rPr lang="en-US" baseline="0"/>
                      <a:pPr>
                        <a:defRPr sz="1000" b="1" i="0" u="none" strike="noStrike" kern="1200" baseline="0">
                          <a:solidFill>
                            <a:schemeClr val="accent2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r>
                      <a:rPr lang="en-US" baseline="0"/>
                      <a:t>
</a:t>
                    </a:r>
                    <a:fld id="{67CFB430-1F8D-4F15-8BC7-DB2C124D8775}" type="XVALUE">
                      <a:rPr lang="en-US" baseline="0"/>
                      <a:pPr>
                        <a:defRPr sz="1000" b="1" i="0" u="none" strike="noStrike" kern="1200" baseline="0">
                          <a:solidFill>
                            <a:schemeClr val="accent2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r>
                      <a:rPr lang="en-US" baseline="0"/>
                      <a:t>
</a:t>
                    </a:r>
                    <a:fld id="{2AC274DB-C74C-4786-96FF-ADA5A70E7D36}" type="YVALUE">
                      <a:rPr lang="en-US" baseline="0"/>
                      <a:pPr>
                        <a:defRPr sz="1000" b="1" i="0" u="none" strike="noStrike" kern="1200" baseline="0">
                          <a:solidFill>
                            <a:schemeClr val="accent2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r>
                      <a:rPr lang="en-US" baseline="0"/>
                      <a:t>
</a:t>
                    </a:r>
                    <a:fld id="{411621C2-F204-4DD9-8536-5E009F17CA63}" type="BUBBLESIZE">
                      <a:rPr lang="en-US" baseline="0"/>
                      <a:pPr>
                        <a:defRPr sz="1000" b="1" i="0" u="none" strike="noStrike" kern="1200" baseline="0">
                          <a:solidFill>
                            <a:schemeClr val="accent2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1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1398012133729184"/>
                      <c:h val="0.21176108402924501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5791-4873-A1E2-4F2A6213DFF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CA15F0E-2916-4AEA-8815-A81B15C0E686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E5FB0A8D-D0EF-4C04-9C18-64A0BC9BC57F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
</a:t>
                    </a:r>
                    <a:fld id="{49916EFF-D1DF-4659-8E35-2B80B5072B9F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
</a:t>
                    </a:r>
                    <a:fld id="{C091354A-6725-44D2-AA47-8DBD62ED4166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showLegendKey val="1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5791-4873-A1E2-4F2A6213DFF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6C98DA9-46B3-4477-9A2F-5168BAA61B5E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
</a:t>
                    </a:r>
                    <a:fld id="{D5ABE319-EBEF-44BF-BF9D-176E87AAF19B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
</a:t>
                    </a:r>
                    <a:fld id="{0650173B-ADC7-4410-AB74-D1871745AADD}" type="YVALUE">
                      <a:rPr lang="en-US" baseline="0"/>
                      <a:pPr/>
                      <a:t>[Y VALUE]</a:t>
                    </a:fld>
                    <a:r>
                      <a:rPr lang="en-US" baseline="0"/>
                      <a:t>
</a:t>
                    </a:r>
                    <a:fld id="{761C2DE0-2374-45D4-970D-40D736E15D47}" type="BUBBLESIZE">
                      <a:rPr lang="en-US" baseline="0"/>
                      <a:pPr/>
                      <a:t>[BUBBLE SIZE]</a:t>
                    </a:fld>
                    <a:endParaRPr lang="en-US" baseline="0"/>
                  </a:p>
                </c:rich>
              </c:tx>
              <c:showLegendKey val="1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5791-4873-A1E2-4F2A6213DFFB}"/>
                </c:ext>
              </c:extLst>
            </c:dLbl>
            <c:dLbl>
              <c:idx val="15"/>
              <c:layout>
                <c:manualLayout>
                  <c:x val="-1.5036178149560656E-2"/>
                  <c:y val="-0.1044977740542650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sz="1000" b="1" i="0" u="none" strike="noStrike" kern="1200" baseline="0">
                        <a:solidFill>
                          <a:srgbClr val="FF00FF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303A39B-B534-45F0-AD67-2BE6BBF1FC67}" type="CELLRANGE">
                      <a:rPr lang="en-US" baseline="0">
                        <a:solidFill>
                          <a:srgbClr val="FF00FF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FF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rgbClr val="FF00FF"/>
                        </a:solidFill>
                      </a:rPr>
                      <a:t> </a:t>
                    </a:r>
                    <a:fld id="{C2231147-FF71-4313-AB98-F9B9E9B5DE67}" type="XVALUE">
                      <a:rPr lang="en-US" baseline="0">
                        <a:solidFill>
                          <a:srgbClr val="FF00FF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FF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r>
                      <a:rPr lang="en-US" baseline="0">
                        <a:solidFill>
                          <a:srgbClr val="FF00FF"/>
                        </a:solidFill>
                      </a:rPr>
                      <a:t> </a:t>
                    </a:r>
                    <a:fld id="{891A01D5-91CE-4106-94E2-421BA90511D0}" type="YVALUE">
                      <a:rPr lang="en-US" baseline="0">
                        <a:solidFill>
                          <a:srgbClr val="FF00FF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FF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r>
                      <a:rPr lang="en-US" baseline="0">
                        <a:solidFill>
                          <a:srgbClr val="FF00FF"/>
                        </a:solidFill>
                      </a:rPr>
                      <a:t> </a:t>
                    </a:r>
                    <a:fld id="{E84DFBED-D84B-4245-B4AC-1E99F6BA1DF5}" type="BUBBLESIZE">
                      <a:rPr lang="en-US" baseline="0">
                        <a:solidFill>
                          <a:srgbClr val="FF00FF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FF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 baseline="0">
                      <a:solidFill>
                        <a:srgbClr val="FF00FF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7698917509249724"/>
                      <c:h val="6.1404157149795614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F-5791-4873-A1E2-4F2A6213DFFB}"/>
                </c:ext>
              </c:extLst>
            </c:dLbl>
            <c:dLbl>
              <c:idx val="16"/>
              <c:layout>
                <c:manualLayout>
                  <c:x val="6.7047781940821607E-3"/>
                  <c:y val="-0.2082151423578123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sz="10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67A98B3-DECA-4025-A6D5-48F0AD9151BC}" type="CELLRANGE">
                      <a:rPr lang="en-US" baseline="0">
                        <a:solidFill>
                          <a:srgbClr val="FF0000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FF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rgbClr val="FF0000"/>
                        </a:solidFill>
                      </a:rPr>
                      <a:t> </a:t>
                    </a:r>
                    <a:fld id="{68CC44F0-B966-4009-9AD8-2A80F08F136B}" type="XVALUE">
                      <a:rPr lang="en-US" baseline="0">
                        <a:solidFill>
                          <a:srgbClr val="FF0000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FF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r>
                      <a:rPr lang="en-US" baseline="0">
                        <a:solidFill>
                          <a:srgbClr val="FF0000"/>
                        </a:solidFill>
                      </a:rPr>
                      <a:t> </a:t>
                    </a:r>
                    <a:fld id="{84EF6B0B-AFAB-495F-A854-777752269F16}" type="YVALUE">
                      <a:rPr lang="en-US" baseline="0">
                        <a:solidFill>
                          <a:srgbClr val="FF0000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FF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r>
                      <a:rPr lang="en-US" baseline="0">
                        <a:solidFill>
                          <a:srgbClr val="FF0000"/>
                        </a:solidFill>
                      </a:rPr>
                      <a:t> </a:t>
                    </a:r>
                    <a:fld id="{6EA2BE37-5C8A-4C39-9105-16B7EB8F3C17}" type="BUBBLESIZE">
                      <a:rPr lang="en-US" baseline="0">
                        <a:solidFill>
                          <a:srgbClr val="FF0000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FF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 baseline="0">
                      <a:solidFill>
                        <a:srgbClr val="FF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6495496373497466"/>
                      <c:h val="6.4502247823347361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5791-4873-A1E2-4F2A6213DFFB}"/>
                </c:ext>
              </c:extLst>
            </c:dLbl>
            <c:dLbl>
              <c:idx val="17"/>
              <c:layout>
                <c:manualLayout>
                  <c:x val="-0.13325517592172198"/>
                  <c:y val="-9.243658120250543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sz="1000" b="1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D849F61-834A-4539-92B5-00CDFAF36241}" type="CELLRANGE">
                      <a:rPr lang="en-US" baseline="0">
                        <a:solidFill>
                          <a:srgbClr val="7030A0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7030A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rgbClr val="7030A0"/>
                        </a:solidFill>
                      </a:rPr>
                      <a:t> </a:t>
                    </a:r>
                    <a:fld id="{29767E43-B58A-46E4-820F-FC25D190378E}" type="XVALUE">
                      <a:rPr lang="en-US" baseline="0">
                        <a:solidFill>
                          <a:srgbClr val="7030A0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7030A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r>
                      <a:rPr lang="en-US" baseline="0">
                        <a:solidFill>
                          <a:srgbClr val="7030A0"/>
                        </a:solidFill>
                      </a:rPr>
                      <a:t> </a:t>
                    </a:r>
                    <a:fld id="{E3A15606-A51F-4FD6-BB9B-D938E6995FD4}" type="YVALUE">
                      <a:rPr lang="en-US" baseline="0">
                        <a:solidFill>
                          <a:srgbClr val="7030A0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7030A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r>
                      <a:rPr lang="en-US" baseline="0">
                        <a:solidFill>
                          <a:srgbClr val="7030A0"/>
                        </a:solidFill>
                      </a:rPr>
                      <a:t> </a:t>
                    </a:r>
                    <a:fld id="{B252FB58-82A9-4A8B-A18C-7F55B6664738}" type="BUBBLESIZE">
                      <a:rPr lang="en-US" baseline="0">
                        <a:solidFill>
                          <a:srgbClr val="7030A0"/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rgbClr val="7030A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 baseline="0">
                      <a:solidFill>
                        <a:srgbClr val="7030A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968817307246143"/>
                      <c:h val="7.4245655908745128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66F5-4F72-9CB3-4DB8B3C08DE6}"/>
                </c:ext>
              </c:extLst>
            </c:dLbl>
            <c:dLbl>
              <c:idx val="18"/>
              <c:layout>
                <c:manualLayout>
                  <c:x val="-8.2082902850846677E-3"/>
                  <c:y val="-0.1549083440756844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sz="1000" b="1" i="0" u="none" strike="noStrike" kern="1200" baseline="0">
                        <a:solidFill>
                          <a:schemeClr val="accent2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91248D5-0F4C-4F24-AC24-9B115483CF5E}" type="CELLRANGE">
                      <a:rPr lang="en-US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chemeClr val="accent2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t> </a:t>
                    </a:r>
                    <a:fld id="{D07260D0-E79B-4FC3-ACF0-FF5773A4CC53}" type="XVALUE">
                      <a:rPr lang="en-US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chemeClr val="accent2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r>
                      <a:rPr lang="en-US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t> </a:t>
                    </a:r>
                    <a:fld id="{93047191-4D8B-44B0-8045-9BAEF4436A2C}" type="YVALUE">
                      <a:rPr lang="en-US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chemeClr val="accent2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r>
                      <a:rPr lang="en-US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t> </a:t>
                    </a:r>
                    <a:fld id="{4E532DB9-82FC-4E60-83A1-5CEC9C8C602D}" type="BUBBLESIZE">
                      <a:rPr lang="en-US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pPr algn="l">
                        <a:defRPr sz="1000" b="1" i="0" u="none" strike="noStrike" kern="1200" baseline="0">
                          <a:solidFill>
                            <a:schemeClr val="accent2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 baseline="0">
                      <a:solidFill>
                        <a:schemeClr val="accent2">
                          <a:lumMod val="7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1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444356640720862"/>
                      <c:h val="4.4643486605880661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1-66F5-4F72-9CB3-4DB8B3C08DE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1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66F5-4F72-9CB3-4DB8B3C08DE6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1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52EA-4EE3-A000-A0B1D62760C9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1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52EA-4EE3-A000-A0B1D62760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0"/>
            <c:showPercent val="0"/>
            <c:showBubbleSize val="1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'7.1. Chart Bubble_QUỐC GIA'!$F$6:$F$27</c:f>
              <c:numCache>
                <c:formatCode>"LNG ~ "#,##0\ "ngàn $"</c:formatCode>
                <c:ptCount val="22"/>
                <c:pt idx="0">
                  <c:v>195</c:v>
                </c:pt>
                <c:pt idx="1">
                  <c:v>195</c:v>
                </c:pt>
                <c:pt idx="2">
                  <c:v>7</c:v>
                </c:pt>
                <c:pt idx="3">
                  <c:v>201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</c:v>
                </c:pt>
                <c:pt idx="18">
                  <c:v>0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</c:numCache>
            </c:numRef>
          </c:xVal>
          <c:yVal>
            <c:numRef>
              <c:f>'7.1. Chart Bubble_QUỐC GIA'!$G$6:$G$27</c:f>
              <c:numCache>
                <c:formatCode>"% LNG ~ "0.0%</c:formatCode>
                <c:ptCount val="22"/>
                <c:pt idx="0">
                  <c:v>7.336343115124154E-2</c:v>
                </c:pt>
                <c:pt idx="1">
                  <c:v>9.8934550989345504E-2</c:v>
                </c:pt>
                <c:pt idx="2">
                  <c:v>0.125</c:v>
                </c:pt>
                <c:pt idx="3">
                  <c:v>0.18256130790190736</c:v>
                </c:pt>
                <c:pt idx="4">
                  <c:v>0</c:v>
                </c:pt>
                <c:pt idx="5">
                  <c:v>0</c:v>
                </c:pt>
                <c:pt idx="6">
                  <c:v>1.7937219730941704E-2</c:v>
                </c:pt>
                <c:pt idx="7">
                  <c:v>0.10666666666666667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0.1793103448275862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bubbleSize>
            <c:numRef>
              <c:f>'7.1. Chart Bubble_QUỐC GIA'!$D$6:$D$27</c:f>
              <c:numCache>
                <c:formatCode>"SL: "#,##0\ "tấn"</c:formatCode>
                <c:ptCount val="22"/>
                <c:pt idx="0">
                  <c:v>2203</c:v>
                </c:pt>
                <c:pt idx="1">
                  <c:v>1650</c:v>
                </c:pt>
                <c:pt idx="2">
                  <c:v>44</c:v>
                </c:pt>
                <c:pt idx="3">
                  <c:v>880</c:v>
                </c:pt>
                <c:pt idx="4">
                  <c:v>0</c:v>
                </c:pt>
                <c:pt idx="5">
                  <c:v>0</c:v>
                </c:pt>
                <c:pt idx="6">
                  <c:v>220</c:v>
                </c:pt>
                <c:pt idx="7">
                  <c:v>66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99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'7.1. Chart Bubble_QUỐC GIA'!$B$6:$B$27</c15:f>
                <c15:dlblRangeCache>
                  <c:ptCount val="22"/>
                  <c:pt idx="0">
                    <c:v>6. VN</c:v>
                  </c:pt>
                  <c:pt idx="1">
                    <c:v>5. Mỹ</c:v>
                  </c:pt>
                  <c:pt idx="2">
                    <c:v>3. Australia</c:v>
                  </c:pt>
                  <c:pt idx="3">
                    <c:v>1. Bồ Đào Nha</c:v>
                  </c:pt>
                  <c:pt idx="4">
                    <c:v>-</c:v>
                  </c:pt>
                  <c:pt idx="5">
                    <c:v>-</c:v>
                  </c:pt>
                  <c:pt idx="6">
                    <c:v>7. Hong Kong</c:v>
                  </c:pt>
                  <c:pt idx="7">
                    <c:v>4. Hy Lạp</c:v>
                  </c:pt>
                  <c:pt idx="8">
                    <c:v>-</c:v>
                  </c:pt>
                  <c:pt idx="9">
                    <c:v>-</c:v>
                  </c:pt>
                  <c:pt idx="10">
                    <c:v>-</c:v>
                  </c:pt>
                  <c:pt idx="11">
                    <c:v>-</c:v>
                  </c:pt>
                  <c:pt idx="12">
                    <c:v>-</c:v>
                  </c:pt>
                  <c:pt idx="13">
                    <c:v>-</c:v>
                  </c:pt>
                  <c:pt idx="14">
                    <c:v>-</c:v>
                  </c:pt>
                  <c:pt idx="15">
                    <c:v>-</c:v>
                  </c:pt>
                  <c:pt idx="16">
                    <c:v>-</c:v>
                  </c:pt>
                  <c:pt idx="17">
                    <c:v>2. Luxembourg</c:v>
                  </c:pt>
                  <c:pt idx="18">
                    <c:v>-</c:v>
                  </c:pt>
                  <c:pt idx="19">
                    <c:v>#N/A</c:v>
                  </c:pt>
                  <c:pt idx="20">
                    <c:v>#N/A</c:v>
                  </c:pt>
                  <c:pt idx="21">
                    <c:v>-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1-5791-4873-A1E2-4F2A6213D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250"/>
        <c:showNegBubbles val="0"/>
        <c:axId val="1628401551"/>
        <c:axId val="1628398671"/>
      </c:bubbleChart>
      <c:valAx>
        <c:axId val="1628401551"/>
        <c:scaling>
          <c:orientation val="minMax"/>
          <c:max val="250"/>
          <c:min val="-3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00FF"/>
                    </a:solidFill>
                  </a:rPr>
                  <a:t>Lợi</a:t>
                </a:r>
                <a:r>
                  <a:rPr lang="en-US" b="1" baseline="0">
                    <a:solidFill>
                      <a:srgbClr val="0000FF"/>
                    </a:solidFill>
                  </a:rPr>
                  <a:t> nhuận gộp (ngàn USD)</a:t>
                </a:r>
                <a:endParaRPr lang="en-US" b="1">
                  <a:solidFill>
                    <a:srgbClr val="0000FF"/>
                  </a:solidFill>
                </a:endParaRPr>
              </a:p>
            </c:rich>
          </c:tx>
          <c:layout>
            <c:manualLayout>
              <c:xMode val="edge"/>
              <c:yMode val="edge"/>
              <c:x val="0.47171740679952823"/>
              <c:y val="0.934483080232152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98671"/>
        <c:crosses val="autoZero"/>
        <c:crossBetween val="midCat"/>
      </c:valAx>
      <c:valAx>
        <c:axId val="1628398671"/>
        <c:scaling>
          <c:orientation val="minMax"/>
          <c:max val="0.4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00FF"/>
                    </a:solidFill>
                  </a:rPr>
                  <a:t>% Lợi </a:t>
                </a:r>
                <a:r>
                  <a:rPr lang="en-US" b="1" baseline="0">
                    <a:solidFill>
                      <a:srgbClr val="0000FF"/>
                    </a:solidFill>
                  </a:rPr>
                  <a:t>nhuận gộp</a:t>
                </a:r>
                <a:endParaRPr lang="en-US" b="1">
                  <a:solidFill>
                    <a:srgbClr val="0000FF"/>
                  </a:solidFill>
                </a:endParaRPr>
              </a:p>
            </c:rich>
          </c:tx>
          <c:layout>
            <c:manualLayout>
              <c:xMode val="edge"/>
              <c:yMode val="edge"/>
              <c:x val="4.0166879387176979E-3"/>
              <c:y val="0.555555722979690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out"/>
        <c:minorTickMark val="none"/>
        <c:tickLblPos val="nextTo"/>
        <c:spPr>
          <a:noFill/>
          <a:ln w="31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401551"/>
        <c:crosses val="autoZero"/>
        <c:crossBetween val="midCat"/>
      </c:valAx>
    </c:plotArea>
    <c:plotVisOnly val="0"/>
    <c:dispBlanksAs val="gap"/>
    <c:showDLblsOverMax val="0"/>
    <c:extLst/>
  </c:chart>
  <c:spPr>
    <a:ln>
      <a:solidFill>
        <a:srgbClr val="00B050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'8.1. Chart_Khu vực'!$B$14</c:f>
          <c:strCache>
            <c:ptCount val="1"/>
            <c:pt idx="0">
              <c:v>SẢN LƯỢNG BÁN THEO KHU VỰC T8/25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C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0000002863278864E-2"/>
          <c:y val="0.14553695982317094"/>
          <c:w val="0.95999999427344229"/>
          <c:h val="0.69677037082835791"/>
        </c:manualLayout>
      </c:layout>
      <c:barChart>
        <c:barDir val="col"/>
        <c:grouping val="clustered"/>
        <c:varyColors val="0"/>
        <c:ser>
          <c:idx val="3"/>
          <c:order val="1"/>
          <c:tx>
            <c:strRef>
              <c:f>'8.1. Chart_Khu vực'!$E$6</c:f>
              <c:strCache>
                <c:ptCount val="1"/>
                <c:pt idx="0">
                  <c:v> 2,024 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vực'!$B$7:$B$12</c15:sqref>
                  </c15:fullRef>
                </c:ext>
              </c:extLst>
              <c:f>'8.1. Chart_Khu vực'!$B$7:$B$10</c:f>
              <c:strCache>
                <c:ptCount val="4"/>
                <c:pt idx="0">
                  <c:v>Nội địa</c:v>
                </c:pt>
                <c:pt idx="1">
                  <c:v>Bắc mỹ</c:v>
                </c:pt>
                <c:pt idx="2">
                  <c:v>Châu Âu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vực'!$E$7:$E$12</c15:sqref>
                  </c15:fullRef>
                </c:ext>
              </c:extLst>
              <c:f>'8.1. Chart_Khu vực'!$E$7:$E$10</c:f>
              <c:numCache>
                <c:formatCode>_(* #,##0_);_(* \(#,##0\);_(* "-"??_);_(@_)</c:formatCode>
                <c:ptCount val="4"/>
                <c:pt idx="0">
                  <c:v>1301.1181999999999</c:v>
                </c:pt>
                <c:pt idx="1">
                  <c:v>1697</c:v>
                </c:pt>
                <c:pt idx="2">
                  <c:v>660</c:v>
                </c:pt>
                <c:pt idx="3">
                  <c:v>953.3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FF-450D-BDF3-8B8D2B37D84B}"/>
            </c:ext>
          </c:extLst>
        </c:ser>
        <c:ser>
          <c:idx val="1"/>
          <c:order val="2"/>
          <c:tx>
            <c:strRef>
              <c:f>'8.1. Chart_Khu vực'!$C$6</c:f>
              <c:strCache>
                <c:ptCount val="1"/>
                <c:pt idx="0">
                  <c:v> 2,025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vực'!$B$7:$B$12</c15:sqref>
                  </c15:fullRef>
                </c:ext>
              </c:extLst>
              <c:f>'8.1. Chart_Khu vực'!$B$7:$B$10</c:f>
              <c:strCache>
                <c:ptCount val="4"/>
                <c:pt idx="0">
                  <c:v>Nội địa</c:v>
                </c:pt>
                <c:pt idx="1">
                  <c:v>Bắc mỹ</c:v>
                </c:pt>
                <c:pt idx="2">
                  <c:v>Châu Âu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vực'!$C$7:$C$12</c15:sqref>
                  </c15:fullRef>
                </c:ext>
              </c:extLst>
              <c:f>'8.1. Chart_Khu vực'!$C$7:$C$10</c:f>
              <c:numCache>
                <c:formatCode>_(* #,##0_);_(* \(#,##0\);_(* "-"??_);_(@_)</c:formatCode>
                <c:ptCount val="4"/>
                <c:pt idx="0">
                  <c:v>2203</c:v>
                </c:pt>
                <c:pt idx="1">
                  <c:v>1650</c:v>
                </c:pt>
                <c:pt idx="2">
                  <c:v>1045</c:v>
                </c:pt>
                <c:pt idx="3">
                  <c:v>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FF-450D-BDF3-8B8D2B37D84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60168639"/>
        <c:axId val="46017055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'8.1. Chart_Khu vực'!$B$6</c15:sqref>
                        </c15:formulaRef>
                      </c:ext>
                    </c:extLst>
                    <c:strCache>
                      <c:ptCount val="1"/>
                      <c:pt idx="0">
                        <c:v>Khu vực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'8.1. Chart_Khu vực'!$B$7:$B$12</c15:sqref>
                        </c15:fullRef>
                        <c15:formulaRef>
                          <c15:sqref>'8.1. Chart_Khu vực'!$B$7:$B$10</c15:sqref>
                        </c15:formulaRef>
                      </c:ext>
                    </c:extLst>
                    <c:strCache>
                      <c:ptCount val="4"/>
                      <c:pt idx="0">
                        <c:v>Nội địa</c:v>
                      </c:pt>
                      <c:pt idx="1">
                        <c:v>Bắc mỹ</c:v>
                      </c:pt>
                      <c:pt idx="2">
                        <c:v>Châu Âu</c:v>
                      </c:pt>
                      <c:pt idx="3">
                        <c:v>Châu á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'8.1. Chart_Khu vực'!$B$7:$B$12</c15:sqref>
                        </c15:fullRef>
                        <c15:formulaRef>
                          <c15:sqref>'8.1. Chart_Khu vực'!$B$7:$B$10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2-ACFF-450D-BDF3-8B8D2B37D84B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2"/>
          <c:order val="3"/>
          <c:tx>
            <c:strRef>
              <c:f>'8.1. Chart_Khu vực'!$D$6</c:f>
              <c:strCache>
                <c:ptCount val="1"/>
                <c:pt idx="0">
                  <c:v>tỷ trong 25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3333248177296269E-2"/>
                  <c:y val="-0.2601676118122999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48C1D92-C3C9-4D0D-B18B-137E5F808A64}" type="CELLRANG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177F29A7-8433-41B1-A094-76D1D503F037}" type="VALU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7.5038333340040814E-2"/>
                      <c:h val="0.1540932983599417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ACFF-450D-BDF3-8B8D2B37D84B}"/>
                </c:ext>
              </c:extLst>
            </c:dLbl>
            <c:dLbl>
              <c:idx val="1"/>
              <c:layout>
                <c:manualLayout>
                  <c:x val="-1.5561019933446153E-2"/>
                  <c:y val="-0.2197880139357006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91BA8B0-A36E-4507-BCE5-19D2D9F9EFF9}" type="CELLRANG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44F380E3-172B-419A-B408-D6F594A6302C}" type="VALU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8.6957670508778742E-2"/>
                      <c:h val="0.1348126587812837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ACFF-450D-BDF3-8B8D2B37D84B}"/>
                </c:ext>
              </c:extLst>
            </c:dLbl>
            <c:dLbl>
              <c:idx val="2"/>
              <c:layout>
                <c:manualLayout>
                  <c:x val="-2.2230065985046902E-2"/>
                  <c:y val="-0.2017726029573645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66AB5FB-B43E-4350-8171-0696F8199CC9}" type="CELLRANG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50183CDC-540A-4731-AAA2-322C13549D84}" type="VALU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9.9753473272698734E-2"/>
                      <c:h val="0.1151820794949643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ACFF-450D-BDF3-8B8D2B37D84B}"/>
                </c:ext>
              </c:extLst>
            </c:dLbl>
            <c:dLbl>
              <c:idx val="3"/>
              <c:layout>
                <c:manualLayout>
                  <c:x val="-4.445943180778047E-3"/>
                  <c:y val="-7.566458425538193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7459F31-D175-4382-8081-55F72E6EC3E3}" type="CELLRANG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574CA12F-8B8C-4F7F-B4B5-134445C88C22}" type="VALUE">
                      <a:rPr lang="en-US" baseline="0"/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4474726942209445E-2"/>
                      <c:h val="0.1184538894802286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ACFF-450D-BDF3-8B8D2B37D84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CC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vực'!$B$7:$B$12</c15:sqref>
                  </c15:fullRef>
                </c:ext>
              </c:extLst>
              <c:f>'8.1. Chart_Khu vực'!$B$7:$B$10</c:f>
              <c:strCache>
                <c:ptCount val="4"/>
                <c:pt idx="0">
                  <c:v>Nội địa</c:v>
                </c:pt>
                <c:pt idx="1">
                  <c:v>Bắc mỹ</c:v>
                </c:pt>
                <c:pt idx="2">
                  <c:v>Châu Âu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vực'!$D$7:$D$12</c15:sqref>
                  </c15:fullRef>
                </c:ext>
              </c:extLst>
              <c:f>'8.1. Chart_Khu vực'!$D$7:$D$10</c:f>
              <c:numCache>
                <c:formatCode>0%</c:formatCode>
                <c:ptCount val="4"/>
                <c:pt idx="0">
                  <c:v>0.42677256877179387</c:v>
                </c:pt>
                <c:pt idx="1">
                  <c:v>0.31964354901201086</c:v>
                </c:pt>
                <c:pt idx="2">
                  <c:v>0.20244091437427353</c:v>
                </c:pt>
                <c:pt idx="3">
                  <c:v>5.1142967841921738E-2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'8.1. Chart_Khu vực'!$C$7:$C$12</c15:f>
                <c15:dlblRangeCache>
                  <c:ptCount val="6"/>
                  <c:pt idx="0">
                    <c:v> 2,203 </c:v>
                  </c:pt>
                  <c:pt idx="1">
                    <c:v> 1,650 </c:v>
                  </c:pt>
                  <c:pt idx="2">
                    <c:v> 1,045 </c:v>
                  </c:pt>
                  <c:pt idx="3">
                    <c:v> 264 </c:v>
                  </c:pt>
                </c15:dlblRangeCache>
              </c15:datalabelsRange>
            </c:ext>
            <c:ext xmlns:c15="http://schemas.microsoft.com/office/drawing/2012/chart" uri="{02D57815-91ED-43cb-92C2-25804820EDAC}">
              <c15:categoryFilterExceptions>
                <c15:categoryFilterException>
                  <c15:sqref>'8.1. Chart_Khu vực'!$D$11</c15:sqref>
                  <c15:dLbl>
                    <c:idx val="3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rgbClr val="00CC00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 </c:separator>
                    <c:extLst>
                      <c:ext uri="{CE6537A1-D6FC-4f65-9D91-7224C49458BB}">
                        <c15:layout>
                          <c:manualLayout>
                            <c:w val="4.9600007100931584E-2"/>
                            <c:h val="0.12499732721232752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0-9F1F-49AE-9F76-014AA0C49586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ACFF-450D-BDF3-8B8D2B37D84B}"/>
            </c:ext>
          </c:extLst>
        </c:ser>
        <c:ser>
          <c:idx val="4"/>
          <c:order val="4"/>
          <c:tx>
            <c:strRef>
              <c:f>'8.1. Chart_Khu vực'!$F$6</c:f>
              <c:strCache>
                <c:ptCount val="1"/>
                <c:pt idx="0">
                  <c:v>tỷ trong 24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9.8472545664487432E-2"/>
                  <c:y val="-4.276727865407670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AE564E7-CABB-4C01-A4D7-C283EC8737BE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2978BFE5-5C76-4CFF-BBB9-1F53A078585A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8.9583917687474646E-2"/>
                      <c:h val="0.1487184826255075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ACFF-450D-BDF3-8B8D2B37D84B}"/>
                </c:ext>
              </c:extLst>
            </c:dLbl>
            <c:dLbl>
              <c:idx val="1"/>
              <c:layout>
                <c:manualLayout>
                  <c:x val="-9.0877130090683267E-2"/>
                  <c:y val="-5.044315073934111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1EDEC19-33E5-44DF-BFB0-C420F772ADD8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A2A0CCEC-9849-4C9A-B043-D898F9EB9121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5309098827358461E-2"/>
                      <c:h val="0.1184538277539695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ACFF-450D-BDF3-8B8D2B37D84B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CBBDD6F-AA5F-45F1-B6B4-D5071240993C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D636855B-CA89-4D74-BC06-3E3EBD62BA1F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6218191298237833E-2"/>
                      <c:h val="0.10863857856643261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ACFF-450D-BDF3-8B8D2B37D84B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2DD97B7-092B-4B04-B9CD-E3BCC38BD147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1D8B4D45-BEF2-4917-9F76-2CBB7675C648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3109098512397784E-2"/>
                      <c:h val="0.1119103282956115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ACFF-450D-BDF3-8B8D2B37D84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vực'!$B$7:$B$12</c15:sqref>
                  </c15:fullRef>
                </c:ext>
              </c:extLst>
              <c:f>'8.1. Chart_Khu vực'!$B$7:$B$10</c:f>
              <c:strCache>
                <c:ptCount val="4"/>
                <c:pt idx="0">
                  <c:v>Nội địa</c:v>
                </c:pt>
                <c:pt idx="1">
                  <c:v>Bắc mỹ</c:v>
                </c:pt>
                <c:pt idx="2">
                  <c:v>Châu Âu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vực'!$F$7:$F$12</c15:sqref>
                  </c15:fullRef>
                </c:ext>
              </c:extLst>
              <c:f>'8.1. Chart_Khu vực'!$F$7:$F$10</c:f>
              <c:numCache>
                <c:formatCode>0%</c:formatCode>
                <c:ptCount val="4"/>
                <c:pt idx="0">
                  <c:v>0.28215142144340755</c:v>
                </c:pt>
                <c:pt idx="1">
                  <c:v>0.36799958849969405</c:v>
                </c:pt>
                <c:pt idx="2">
                  <c:v>0.14312299847365828</c:v>
                </c:pt>
                <c:pt idx="3">
                  <c:v>0.20672599158324004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'8.1. Chart_Khu vực'!$E$7:$E$12</c15:f>
                <c15:dlblRangeCache>
                  <c:ptCount val="6"/>
                  <c:pt idx="0">
                    <c:v> 1,301 </c:v>
                  </c:pt>
                  <c:pt idx="1">
                    <c:v> 1,697 </c:v>
                  </c:pt>
                  <c:pt idx="2">
                    <c:v> 660 </c:v>
                  </c:pt>
                  <c:pt idx="3">
                    <c:v> 953 </c:v>
                  </c:pt>
                </c15:dlblRangeCache>
              </c15:datalabelsRange>
            </c:ext>
            <c:ext xmlns:c15="http://schemas.microsoft.com/office/drawing/2012/chart" uri="{02D57815-91ED-43cb-92C2-25804820EDAC}">
              <c15:categoryFilterExceptions>
                <c15:categoryFilterException>
                  <c15:sqref>'8.1. Chart_Khu vực'!$F$11</c15:sqref>
                  <c15:dLbl>
                    <c:idx val="3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l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 </c:separator>
                    <c:extLst>
                      <c:ext uri="{CE6537A1-D6FC-4f65-9D91-7224C49458BB}">
                        <c15:layout>
                          <c:manualLayout>
                            <c:w val="5.0400007215462735E-2"/>
                            <c:h val="0.11191032829561159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1-9F1F-49AE-9F76-014AA0C49586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1-ACFF-450D-BDF3-8B8D2B37D84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06165839"/>
        <c:axId val="1206202799"/>
      </c:lineChart>
      <c:catAx>
        <c:axId val="46016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70559"/>
        <c:crosses val="autoZero"/>
        <c:auto val="1"/>
        <c:lblAlgn val="ctr"/>
        <c:lblOffset val="100"/>
        <c:noMultiLvlLbl val="0"/>
      </c:catAx>
      <c:valAx>
        <c:axId val="460170559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8639"/>
        <c:crosses val="autoZero"/>
        <c:crossBetween val="between"/>
      </c:valAx>
      <c:valAx>
        <c:axId val="1206202799"/>
        <c:scaling>
          <c:orientation val="minMax"/>
          <c:min val="-5.000000000000001E-2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165839"/>
        <c:crosses val="max"/>
        <c:crossBetween val="between"/>
      </c:valAx>
      <c:catAx>
        <c:axId val="12061658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062027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'8.1. Chart_Khu vực'!$O$14</c:f>
          <c:strCache>
            <c:ptCount val="1"/>
            <c:pt idx="0">
              <c:v>LŨY KẾ SẢN LƯỢNG BÁN THEO KHU VỰC T8/25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C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054143464384069E-2"/>
          <c:y val="0.21084161114476074"/>
          <c:w val="0.95659784066897713"/>
          <c:h val="0.63693064809206545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'8.1. Chart_Khu vực'!$Q$6</c:f>
              <c:strCache>
                <c:ptCount val="1"/>
                <c:pt idx="0">
                  <c:v> 2,024 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invertIfNegative val="0"/>
          <c:dLbls>
            <c:delete val="1"/>
          </c:dLbls>
          <c:cat>
            <c:strLit>
              <c:ptCount val="4"/>
              <c:pt idx="0">
                <c:v>Bắc mỹ</c:v>
              </c:pt>
              <c:pt idx="1">
                <c:v>Nội địa</c:v>
              </c:pt>
              <c:pt idx="2">
                <c:v>Châu Âu</c:v>
              </c:pt>
              <c:pt idx="3">
                <c:v>Châu á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vực'!$Q$7:$Q$12</c15:sqref>
                  </c15:fullRef>
                </c:ext>
              </c:extLst>
              <c:f>'8.1. Chart_Khu vực'!$Q$7:$Q$10</c:f>
              <c:numCache>
                <c:formatCode>_(* #,##0_);_(* \(#,##0\);_(* "-"??_);_(@_)</c:formatCode>
                <c:ptCount val="4"/>
                <c:pt idx="0">
                  <c:v>7813</c:v>
                </c:pt>
                <c:pt idx="1">
                  <c:v>9707.0931999999993</c:v>
                </c:pt>
                <c:pt idx="2">
                  <c:v>2046</c:v>
                </c:pt>
                <c:pt idx="3">
                  <c:v>2234.7749999999996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CE-4467-B2F3-602E90E16AE9}"/>
            </c:ext>
          </c:extLst>
        </c:ser>
        <c:ser>
          <c:idx val="3"/>
          <c:order val="3"/>
          <c:tx>
            <c:strRef>
              <c:f>'8.1. Chart_Khu vực'!$O$6</c:f>
              <c:strCache>
                <c:ptCount val="1"/>
                <c:pt idx="0">
                  <c:v> 2,025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vực'!$N$7:$N$12</c15:sqref>
                  </c15:fullRef>
                </c:ext>
              </c:extLst>
              <c:f>'8.1. Chart_Khu vực'!$N$7:$N$10</c:f>
              <c:strCache>
                <c:ptCount val="4"/>
                <c:pt idx="0">
                  <c:v>Bắc mỹ</c:v>
                </c:pt>
                <c:pt idx="1">
                  <c:v>Nội địa</c:v>
                </c:pt>
                <c:pt idx="2">
                  <c:v>Châu Âu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vực'!$O$7:$O$12</c15:sqref>
                  </c15:fullRef>
                </c:ext>
              </c:extLst>
              <c:f>'8.1. Chart_Khu vực'!$O$7:$O$10</c:f>
              <c:numCache>
                <c:formatCode>_(* #,##0_);_(* \(#,##0\);_(* "-"??_);_(@_)</c:formatCode>
                <c:ptCount val="4"/>
                <c:pt idx="0">
                  <c:v>14265</c:v>
                </c:pt>
                <c:pt idx="1">
                  <c:v>11468</c:v>
                </c:pt>
                <c:pt idx="2">
                  <c:v>8126</c:v>
                </c:pt>
                <c:pt idx="3">
                  <c:v>1505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CE-4467-B2F3-602E90E16AE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60168639"/>
        <c:axId val="46017055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'8.1. Chart_Khu vực'!$N$6</c15:sqref>
                        </c15:formulaRef>
                      </c:ext>
                    </c:extLst>
                    <c:strCache>
                      <c:ptCount val="1"/>
                      <c:pt idx="0">
                        <c:v>Khu vực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'8.1. Chart_Khu vực'!$N$7:$N$12</c15:sqref>
                        </c15:fullRef>
                        <c15:formulaRef>
                          <c15:sqref>'8.1. Chart_Khu vực'!$N$7:$N$10</c15:sqref>
                        </c15:formulaRef>
                      </c:ext>
                    </c:extLst>
                    <c:strCache>
                      <c:ptCount val="4"/>
                      <c:pt idx="0">
                        <c:v>Bắc mỹ</c:v>
                      </c:pt>
                      <c:pt idx="1">
                        <c:v>Nội địa</c:v>
                      </c:pt>
                      <c:pt idx="2">
                        <c:v>Châu Âu</c:v>
                      </c:pt>
                      <c:pt idx="3">
                        <c:v>Châu á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'8.1. Chart_Khu vực'!$N$7:$N$12</c15:sqref>
                        </c15:fullRef>
                        <c15:formulaRef>
                          <c15:sqref>'8.1. Chart_Khu vực'!$N$7:$N$10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A-46CE-4467-B2F3-602E90E16AE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2"/>
          <c:tx>
            <c:strRef>
              <c:f>'8.1. Chart_Khu vực'!$R$6</c:f>
              <c:strCache>
                <c:ptCount val="1"/>
                <c:pt idx="0">
                  <c:v>tỷ trong 24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10638055810666414"/>
                  <c:y val="7.554981829194427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74DCA1A-9751-45C6-A1DC-5428BFAC57D5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/>
                    </a:pPr>
                    <a:fld id="{A95D26A2-7DAF-443F-A679-1DBAEDE34CA8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0858996028870255"/>
                      <c:h val="0.1348125378558449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46CE-4467-B2F3-602E90E16AE9}"/>
                </c:ext>
              </c:extLst>
            </c:dLbl>
            <c:dLbl>
              <c:idx val="1"/>
              <c:layout>
                <c:manualLayout>
                  <c:x val="-0.10631902134987119"/>
                  <c:y val="0.1274235311932162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CA15CFB-0F6E-4C48-B175-2920B998C0D7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/>
                    </a:pPr>
                    <a:fld id="{BDD26B06-1663-4C6F-8046-E7CF5BC810BD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0335700982959818"/>
                      <c:h val="0.1315408843125378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46CE-4467-B2F3-602E90E16AE9}"/>
                </c:ext>
              </c:extLst>
            </c:dLbl>
            <c:dLbl>
              <c:idx val="2"/>
              <c:layout>
                <c:manualLayout>
                  <c:x val="-0.11713088149183717"/>
                  <c:y val="1.446093276801938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1BE5DE3-4F81-4C0C-BE1D-25801E404D3F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/>
                    </a:pPr>
                    <a:fld id="{E4FC0D7F-7DF1-476D-B924-3DF6AEF0CE20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9.9259423106650396E-2"/>
                      <c:h val="0.1184539672925499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46CE-4467-B2F3-602E90E16AE9}"/>
                </c:ext>
              </c:extLst>
            </c:dLbl>
            <c:dLbl>
              <c:idx val="3"/>
              <c:layout>
                <c:manualLayout>
                  <c:x val="-0.11306332301447214"/>
                  <c:y val="-1.948061780738946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5FDBE15-3F0E-47AB-91F0-89D5A71B565C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/>
                    </a:pPr>
                    <a:fld id="{61D4A1C3-3D3C-442C-83CD-46FDE1F8BE07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0472985046568099"/>
                      <c:h val="0.1280944881889763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46CE-4467-B2F3-602E90E16A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Lit>
              <c:ptCount val="4"/>
              <c:pt idx="0">
                <c:v>Bắc mỹ</c:v>
              </c:pt>
              <c:pt idx="1">
                <c:v>Nội địa</c:v>
              </c:pt>
              <c:pt idx="2">
                <c:v>Châu Âu</c:v>
              </c:pt>
              <c:pt idx="3">
                <c:v>Châu á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vực'!$R$7:$R$12</c15:sqref>
                  </c15:fullRef>
                </c:ext>
              </c:extLst>
              <c:f>'8.1. Chart_Khu vực'!$R$7:$R$10</c:f>
              <c:numCache>
                <c:formatCode>0%</c:formatCode>
                <c:ptCount val="4"/>
                <c:pt idx="0">
                  <c:v>0.3583802226738842</c:v>
                </c:pt>
                <c:pt idx="1">
                  <c:v>0.44526177173072401</c:v>
                </c:pt>
                <c:pt idx="2">
                  <c:v>9.3849473389321272E-2</c:v>
                </c:pt>
                <c:pt idx="3">
                  <c:v>0.10250853220607058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'8.1. Chart_Khu vực'!$Q$7:$Q$12</c15:f>
                <c15:dlblRangeCache>
                  <c:ptCount val="6"/>
                  <c:pt idx="0">
                    <c:v> 7,813 </c:v>
                  </c:pt>
                  <c:pt idx="1">
                    <c:v> 9,707 </c:v>
                  </c:pt>
                  <c:pt idx="2">
                    <c:v> 2,046 </c:v>
                  </c:pt>
                  <c:pt idx="3">
                    <c:v> 2,235 </c:v>
                  </c:pt>
                </c15:dlblRangeCache>
              </c15:datalabelsRange>
            </c:ext>
            <c:ext xmlns:c15="http://schemas.microsoft.com/office/drawing/2012/chart" uri="{02D57815-91ED-43cb-92C2-25804820EDAC}">
              <c15:categoryFilterExceptions>
                <c15:categoryFilterException>
                  <c15:sqref>'8.1. Chart_Khu vực'!$R$11</c15:sqref>
                  <c15:dLbl>
                    <c:idx val="3"/>
                    <c:layout>
                      <c:manualLayout>
                        <c:x val="-5.0731723261618789E-2"/>
                        <c:y val="-3.2717368482745382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4.2259963184532387E-2"/>
                            <c:h val="0.15444307477493838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0-5191-4174-A327-AEE368E1D5C6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D-46CE-4467-B2F3-602E90E16AE9}"/>
            </c:ext>
          </c:extLst>
        </c:ser>
        <c:ser>
          <c:idx val="1"/>
          <c:order val="4"/>
          <c:tx>
            <c:strRef>
              <c:f>'8.1. Chart_Khu vực'!$P$6</c:f>
              <c:strCache>
                <c:ptCount val="1"/>
                <c:pt idx="0">
                  <c:v>tỷ trong 25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5393387991789203E-2"/>
                  <c:y val="-0.11658373712901275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5095509-3DCA-4731-8D49-C0A5255A59B4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rgbClr val="00B050"/>
                        </a:solidFill>
                      </a:defRPr>
                    </a:pPr>
                    <a:fld id="{E6E32920-1F47-4C4D-A1F4-87A6E7B776C8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0053308594570258"/>
                      <c:h val="0.1249972743791641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46CE-4467-B2F3-602E90E16AE9}"/>
                </c:ext>
              </c:extLst>
            </c:dLbl>
            <c:dLbl>
              <c:idx val="1"/>
              <c:layout>
                <c:manualLayout>
                  <c:x val="-1.9421613696770968E-2"/>
                  <c:y val="-9.965066626287098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906C297-11C5-4352-9099-BD947DB80998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rgbClr val="00B050"/>
                        </a:solidFill>
                      </a:defRPr>
                    </a:pPr>
                    <a:fld id="{CF1AA335-2CA6-4855-85B2-AB7D1D171329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8.7104962040702644E-2"/>
                      <c:h val="0.1249972743791641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46CE-4467-B2F3-602E90E16AE9}"/>
                </c:ext>
              </c:extLst>
            </c:dLbl>
            <c:dLbl>
              <c:idx val="2"/>
              <c:layout>
                <c:manualLayout>
                  <c:x val="-2.8752256612082226E-2"/>
                  <c:y val="-8.156859479103573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AFFBFA0-6C1C-40D4-9D6D-D16CB4358AA4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rgbClr val="00B050"/>
                        </a:solidFill>
                      </a:defRPr>
                    </a:pPr>
                    <a:fld id="{2A97EF19-FA09-43A5-8293-CCEAAFDD19A2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0349530893249376"/>
                      <c:h val="0.1151820109024833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46CE-4467-B2F3-602E90E16AE9}"/>
                </c:ext>
              </c:extLst>
            </c:dLbl>
            <c:dLbl>
              <c:idx val="3"/>
              <c:layout>
                <c:manualLayout>
                  <c:x val="-1.921427077568668E-2"/>
                  <c:y val="-2.387643852210781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473756B-1B83-442E-A3A5-43FF8E1FE7BE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rgbClr val="00B050"/>
                        </a:solidFill>
                      </a:defRPr>
                    </a:pPr>
                    <a:fld id="{293AEF17-8DE0-49D0-91EB-7508D2F160EF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9.1194301569441055E-2"/>
                      <c:h val="0.1380841913991520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46CE-4467-B2F3-602E90E16A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vực'!$N$7:$N$12</c15:sqref>
                  </c15:fullRef>
                </c:ext>
              </c:extLst>
              <c:f>'8.1. Chart_Khu vực'!$N$7:$N$10</c:f>
              <c:strCache>
                <c:ptCount val="4"/>
                <c:pt idx="0">
                  <c:v>Bắc mỹ</c:v>
                </c:pt>
                <c:pt idx="1">
                  <c:v>Nội địa</c:v>
                </c:pt>
                <c:pt idx="2">
                  <c:v>Châu Âu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vực'!$P$7:$P$12</c15:sqref>
                  </c15:fullRef>
                </c:ext>
              </c:extLst>
              <c:f>'8.1. Chart_Khu vực'!$P$7:$P$10</c:f>
              <c:numCache>
                <c:formatCode>0%</c:formatCode>
                <c:ptCount val="4"/>
                <c:pt idx="0">
                  <c:v>0.40337631489650494</c:v>
                </c:pt>
                <c:pt idx="1">
                  <c:v>0.32428458319194658</c:v>
                </c:pt>
                <c:pt idx="2">
                  <c:v>0.22978169890283903</c:v>
                </c:pt>
                <c:pt idx="3">
                  <c:v>4.2557403008709423E-2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'8.1. Chart_Khu vực'!$O$7:$O$12</c15:f>
                <c15:dlblRangeCache>
                  <c:ptCount val="6"/>
                  <c:pt idx="0">
                    <c:v> 14,265 </c:v>
                  </c:pt>
                  <c:pt idx="1">
                    <c:v> 11,468 </c:v>
                  </c:pt>
                  <c:pt idx="2">
                    <c:v> 8,126 </c:v>
                  </c:pt>
                  <c:pt idx="3">
                    <c:v> 1,505 </c:v>
                  </c:pt>
                </c15:dlblRangeCache>
              </c15:datalabelsRange>
            </c:ext>
            <c:ext xmlns:c15="http://schemas.microsoft.com/office/drawing/2012/chart" uri="{02D57815-91ED-43cb-92C2-25804820EDAC}">
              <c15:categoryFilterExceptions>
                <c15:categoryFilterException>
                  <c15:sqref>'8.1. Chart_Khu vực'!$P$11</c15:sqref>
                  <c15:dLbl>
                    <c:idx val="3"/>
                    <c:layout>
                      <c:manualLayout>
                        <c:x val="-9.883720089934071E-3"/>
                        <c:y val="-1.3086998916715937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rgbClr val="00B050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3.8617106351385266E-2"/>
                            <c:h val="0.13481257639986449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1-5191-4174-A327-AEE368E1D5C6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9-46CE-4467-B2F3-602E90E16AE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06165839"/>
        <c:axId val="1206202799"/>
      </c:lineChart>
      <c:catAx>
        <c:axId val="46016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70559"/>
        <c:crosses val="autoZero"/>
        <c:auto val="1"/>
        <c:lblAlgn val="ctr"/>
        <c:lblOffset val="100"/>
        <c:noMultiLvlLbl val="0"/>
      </c:catAx>
      <c:valAx>
        <c:axId val="460170559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8639"/>
        <c:crosses val="autoZero"/>
        <c:crossBetween val="between"/>
      </c:valAx>
      <c:valAx>
        <c:axId val="1206202799"/>
        <c:scaling>
          <c:orientation val="minMax"/>
          <c:min val="-5.000000000000001E-2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165839"/>
        <c:crosses val="max"/>
        <c:crossBetween val="between"/>
      </c:valAx>
      <c:catAx>
        <c:axId val="12061658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062027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'8.1. Chart_Khu vực'!$B$48</c:f>
          <c:strCache>
            <c:ptCount val="1"/>
            <c:pt idx="0">
              <c:v>DOANH THU THEO KHU VỰC T8/25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C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3593704165168813E-2"/>
          <c:y val="0.12305997577875977"/>
          <c:w val="0.96915687848753007"/>
          <c:h val="0.7028886959044154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'8.1. Chart_Khu vực'!$E$39</c:f>
              <c:strCache>
                <c:ptCount val="1"/>
                <c:pt idx="0">
                  <c:v> 2,024 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vực'!$B$40:$B$46</c15:sqref>
                  </c15:fullRef>
                </c:ext>
              </c:extLst>
              <c:f>'8.1. Chart_Khu vực'!$B$40:$B$43</c:f>
              <c:strCache>
                <c:ptCount val="4"/>
                <c:pt idx="0">
                  <c:v>Nội địa</c:v>
                </c:pt>
                <c:pt idx="1">
                  <c:v>Bắc mỹ</c:v>
                </c:pt>
                <c:pt idx="2">
                  <c:v>Châu Âu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vực'!$E$40:$E$46</c15:sqref>
                  </c15:fullRef>
                </c:ext>
              </c:extLst>
              <c:f>'8.1. Chart_Khu vực'!$E$40:$E$43</c:f>
              <c:numCache>
                <c:formatCode>_(* #,##0_);_(* \(#,##0\);_(* "-"??_);_(@_)</c:formatCode>
                <c:ptCount val="4"/>
                <c:pt idx="0">
                  <c:v>1820.3523902468637</c:v>
                </c:pt>
                <c:pt idx="1">
                  <c:v>2059.6503697693238</c:v>
                </c:pt>
                <c:pt idx="2">
                  <c:v>966.97968433832466</c:v>
                </c:pt>
                <c:pt idx="3">
                  <c:v>1044.462428976123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F4-428C-A9C7-30FE3535036D}"/>
            </c:ext>
          </c:extLst>
        </c:ser>
        <c:ser>
          <c:idx val="0"/>
          <c:order val="2"/>
          <c:tx>
            <c:strRef>
              <c:f>'8.1. Chart_Khu vực'!$C$39</c:f>
              <c:strCache>
                <c:ptCount val="1"/>
                <c:pt idx="0">
                  <c:v> 2,025 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vực'!$B$40:$B$46</c15:sqref>
                  </c15:fullRef>
                </c:ext>
              </c:extLst>
              <c:f>'8.1. Chart_Khu vực'!$B$40:$B$43</c:f>
              <c:strCache>
                <c:ptCount val="4"/>
                <c:pt idx="0">
                  <c:v>Nội địa</c:v>
                </c:pt>
                <c:pt idx="1">
                  <c:v>Bắc mỹ</c:v>
                </c:pt>
                <c:pt idx="2">
                  <c:v>Châu Âu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vực'!$C$40:$C$46</c15:sqref>
                  </c15:fullRef>
                </c:ext>
              </c:extLst>
              <c:f>'8.1. Chart_Khu vực'!$C$40:$C$43</c:f>
              <c:numCache>
                <c:formatCode>_(* #,##0_);_(* \(#,##0\);_(* "-"??_);_(@_)</c:formatCode>
                <c:ptCount val="4"/>
                <c:pt idx="0">
                  <c:v>2658.1882522536284</c:v>
                </c:pt>
                <c:pt idx="1">
                  <c:v>1971.3432117647058</c:v>
                </c:pt>
                <c:pt idx="2">
                  <c:v>1320.2644453781513</c:v>
                </c:pt>
                <c:pt idx="3">
                  <c:v>279.7796562261268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AF4-428C-A9C7-30FE3535036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60168639"/>
        <c:axId val="460170559"/>
        <c:extLst/>
      </c:barChart>
      <c:lineChart>
        <c:grouping val="standard"/>
        <c:varyColors val="0"/>
        <c:ser>
          <c:idx val="2"/>
          <c:order val="1"/>
          <c:tx>
            <c:strRef>
              <c:f>'8.1. Chart_Khu vực'!$F$39</c:f>
              <c:strCache>
                <c:ptCount val="1"/>
                <c:pt idx="0">
                  <c:v>tỷ trong 24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12040698722456425"/>
                  <c:y val="0.2339188759046703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73EA3EC-35D4-4B0B-BD0B-8EA3CBDF53D4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chemeClr val="tx1"/>
                        </a:solidFill>
                      </a:defRPr>
                    </a:pPr>
                    <a:fld id="{E4D0B9A6-E1B1-4E6E-85BE-37740DB2194D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0417454943297624"/>
                      <c:h val="0.1459920639329872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AF4-428C-A9C7-30FE3535036D}"/>
                </c:ext>
              </c:extLst>
            </c:dLbl>
            <c:dLbl>
              <c:idx val="1"/>
              <c:layout>
                <c:manualLayout>
                  <c:x val="-0.1084059217125295"/>
                  <c:y val="0.271075643620786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A15DCB0-6B0E-4C99-AE76-C9CB06D0EB49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chemeClr val="tx1"/>
                        </a:solidFill>
                      </a:defRPr>
                    </a:pPr>
                    <a:fld id="{EBB04138-787B-4961-9651-5542D73C63AD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9.2260714910386316E-2"/>
                      <c:h val="0.1184537414614729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7AF4-428C-A9C7-30FE3535036D}"/>
                </c:ext>
              </c:extLst>
            </c:dLbl>
            <c:dLbl>
              <c:idx val="2"/>
              <c:layout>
                <c:manualLayout>
                  <c:x val="-0.12906918064444747"/>
                  <c:y val="-3.353873947124695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BFFBF3B-E9CD-4107-B2FE-30DF7D0334AC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chemeClr val="tx1"/>
                        </a:solidFill>
                      </a:defRPr>
                    </a:pPr>
                    <a:fld id="{946029F1-765B-4DB0-A0DB-460BF49803CC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9.2354638814622317E-2"/>
                      <c:h val="0.1282689216896724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7AF4-428C-A9C7-30FE3535036D}"/>
                </c:ext>
              </c:extLst>
            </c:dLbl>
            <c:dLbl>
              <c:idx val="3"/>
              <c:layout>
                <c:manualLayout>
                  <c:x val="-0.11216588969362513"/>
                  <c:y val="-1.911597363881940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B1E5503-6AAC-4A00-A9A5-0D4316143BF9}" type="CELLRANG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chemeClr val="tx1"/>
                        </a:solidFill>
                      </a:defRPr>
                    </a:pPr>
                    <a:fld id="{D9E554A0-23BE-4F7D-B6BF-998DEC3C874C}" type="VALUE">
                      <a:rPr lang="en-US" baseline="0"/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8.8548601270047517E-2"/>
                      <c:h val="0.1184537414614729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7AF4-428C-A9C7-30FE353503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Lit>
              <c:ptCount val="4"/>
              <c:pt idx="0">
                <c:v>Nội địa</c:v>
              </c:pt>
              <c:pt idx="1">
                <c:v>Bắc mỹ</c:v>
              </c:pt>
              <c:pt idx="2">
                <c:v>Châu Âu</c:v>
              </c:pt>
              <c:pt idx="3">
                <c:v>Châu á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vực'!$F$40:$F$46</c15:sqref>
                  </c15:fullRef>
                </c:ext>
              </c:extLst>
              <c:f>'8.1. Chart_Khu vực'!$F$40:$F$43</c:f>
              <c:numCache>
                <c:formatCode>0%</c:formatCode>
                <c:ptCount val="4"/>
                <c:pt idx="0">
                  <c:v>0.30898233445028506</c:v>
                </c:pt>
                <c:pt idx="1">
                  <c:v>0.34960021082314446</c:v>
                </c:pt>
                <c:pt idx="2">
                  <c:v>0.16413285792007384</c:v>
                </c:pt>
                <c:pt idx="3">
                  <c:v>0.17728459680649658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'8.1. Chart_Khu vực'!$E$40:$E$46</c15:f>
                <c15:dlblRangeCache>
                  <c:ptCount val="7"/>
                  <c:pt idx="0">
                    <c:v> 1,820 </c:v>
                  </c:pt>
                  <c:pt idx="1">
                    <c:v> 2,060 </c:v>
                  </c:pt>
                  <c:pt idx="2">
                    <c:v> 967 </c:v>
                  </c:pt>
                  <c:pt idx="3">
                    <c:v> 1,044 </c:v>
                  </c:pt>
                </c15:dlblRangeCache>
              </c15:datalabelsRange>
            </c:ext>
            <c:ext xmlns:c15="http://schemas.microsoft.com/office/drawing/2012/chart" uri="{02D57815-91ED-43cb-92C2-25804820EDAC}">
              <c15:categoryFilterExceptions>
                <c15:categoryFilterException>
                  <c15:sqref>'8.1. Chart_Khu vực'!$F$44</c15:sqref>
                  <c15:dLbl>
                    <c:idx val="3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l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4.1309096823063253E-2"/>
                            <c:h val="0.13808425498303972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0-4511-4ACD-B835-200459B0F17B}"/>
                      </c:ext>
                    </c:extLst>
                  </c15:dLbl>
                </c15:categoryFilterException>
                <c15:categoryFilterException>
                  <c15:sqref>'8.1. Chart_Khu vực'!$F$45</c15:sqref>
                  <c15:dLbl>
                    <c:idx val="3"/>
                    <c:layout>
                      <c:manualLayout>
                        <c:x val="-6.0544461065778252E-2"/>
                        <c:y val="4.9077508741621296E-3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4.4945460980023048E-2"/>
                            <c:h val="0.1249972628092156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1-4511-4ACD-B835-200459B0F17B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7AF4-428C-A9C7-30FE3535036D}"/>
            </c:ext>
          </c:extLst>
        </c:ser>
        <c:ser>
          <c:idx val="3"/>
          <c:order val="3"/>
          <c:tx>
            <c:strRef>
              <c:f>'8.1. Chart_Khu vực'!$D$39</c:f>
              <c:strCache>
                <c:ptCount val="1"/>
                <c:pt idx="0">
                  <c:v>tỷ trong 25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1518501893648692E-2"/>
                  <c:y val="-0.1656802683961915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F362BA8-56F8-42EE-889C-BEF0BBD6692D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rgbClr val="00B050"/>
                        </a:solidFill>
                      </a:defRPr>
                    </a:pPr>
                    <a:fld id="{B7C936AB-B4DA-4A47-AA84-2AF21D565AE2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0107773775910503"/>
                      <c:h val="0.1348124841092382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7AF4-428C-A9C7-30FE3535036D}"/>
                </c:ext>
              </c:extLst>
            </c:dLbl>
            <c:dLbl>
              <c:idx val="1"/>
              <c:layout>
                <c:manualLayout>
                  <c:x val="-3.0424540509089871E-2"/>
                  <c:y val="-0.1484427543682029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7B0A3C8-25E0-45F6-9BF9-5AC98DEBDC65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rgbClr val="00B050"/>
                        </a:solidFill>
                      </a:defRPr>
                    </a:pPr>
                    <a:fld id="{8E2A151E-F74F-4499-A023-6E15A375E585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9.9745401521344132E-2"/>
                      <c:h val="0.1544431713679355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7AF4-428C-A9C7-30FE3535036D}"/>
                </c:ext>
              </c:extLst>
            </c:dLbl>
            <c:dLbl>
              <c:idx val="2"/>
              <c:layout>
                <c:manualLayout>
                  <c:x val="-2.8991810549461532E-2"/>
                  <c:y val="-9.91233855149456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539845D-A25A-4656-932D-7704FE1CA34B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rgbClr val="00B050"/>
                        </a:solidFill>
                      </a:defRPr>
                    </a:pPr>
                    <a:fld id="{A3049AF3-5A65-4DB1-8E9E-C38798C55666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0460914270008244"/>
                      <c:h val="0.1478996089483698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7AF4-428C-A9C7-30FE3535036D}"/>
                </c:ext>
              </c:extLst>
            </c:dLbl>
            <c:dLbl>
              <c:idx val="3"/>
              <c:layout>
                <c:manualLayout>
                  <c:x val="-2.9750117795300533E-2"/>
                  <c:y val="-6.87992368512730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4D86CBC-CCBD-4D92-ADB7-C0ACC8B2FDDA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rgbClr val="00B050"/>
                        </a:solidFill>
                      </a:defRPr>
                    </a:pPr>
                    <a:fld id="{E736FD0B-B8D2-4993-A5B5-7D5B97989595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9.3242342413090262E-2"/>
                      <c:h val="0.14135604652880401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7AF4-428C-A9C7-30FE353503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vực'!$B$40:$B$46</c15:sqref>
                  </c15:fullRef>
                </c:ext>
              </c:extLst>
              <c:f>'8.1. Chart_Khu vực'!$B$40:$B$43</c:f>
              <c:strCache>
                <c:ptCount val="4"/>
                <c:pt idx="0">
                  <c:v>Nội địa</c:v>
                </c:pt>
                <c:pt idx="1">
                  <c:v>Bắc mỹ</c:v>
                </c:pt>
                <c:pt idx="2">
                  <c:v>Châu Âu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vực'!$D$40:$D$46</c15:sqref>
                  </c15:fullRef>
                </c:ext>
              </c:extLst>
              <c:f>'8.1. Chart_Khu vực'!$D$40:$D$43</c:f>
              <c:numCache>
                <c:formatCode>0%</c:formatCode>
                <c:ptCount val="4"/>
                <c:pt idx="0">
                  <c:v>0.42670455222063863</c:v>
                </c:pt>
                <c:pt idx="1">
                  <c:v>0.31644904070887225</c:v>
                </c:pt>
                <c:pt idx="2">
                  <c:v>0.21193489531837761</c:v>
                </c:pt>
                <c:pt idx="3">
                  <c:v>4.4911511752111534E-2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'8.1. Chart_Khu vực'!$C$40:$C$46</c15:f>
                <c15:dlblRangeCache>
                  <c:ptCount val="7"/>
                  <c:pt idx="0">
                    <c:v> 2,658 </c:v>
                  </c:pt>
                  <c:pt idx="1">
                    <c:v> 1,971 </c:v>
                  </c:pt>
                  <c:pt idx="2">
                    <c:v> 1,320 </c:v>
                  </c:pt>
                  <c:pt idx="3">
                    <c:v> 280 </c:v>
                  </c:pt>
                </c15:dlblRangeCache>
              </c15:datalabelsRange>
            </c:ext>
            <c:ext xmlns:c15="http://schemas.microsoft.com/office/drawing/2012/chart" uri="{02D57815-91ED-43cb-92C2-25804820EDAC}">
              <c15:categoryFilterExceptions>
                <c15:categoryFilterException>
                  <c15:sqref>'8.1. Chart_Khu vực'!$D$44</c15:sqref>
                  <c15:dLbl>
                    <c:idx val="3"/>
                    <c:layout>
                      <c:manualLayout>
                        <c:x val="-1.8181820784798967E-2"/>
                        <c:y val="-6.5433672779339662E-3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rgbClr val="00B050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5.3363644003384968E-2"/>
                            <c:h val="0.1249972628092156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2-4511-4ACD-B835-200459B0F17B}"/>
                      </c:ext>
                    </c:extLst>
                  </c15:dLbl>
                </c15:categoryFilterException>
                <c15:categoryFilterException>
                  <c15:sqref>'8.1. Chart_Khu vực'!$D$45</c15:sqref>
                  <c15:dLbl>
                    <c:idx val="3"/>
                    <c:layout>
                      <c:manualLayout>
                        <c:x val="-1.0909092470879513E-2"/>
                        <c:y val="1.2880897808881998E-7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rgbClr val="00B050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5.3236371257891373E-2"/>
                            <c:h val="0.1249972628092156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3-4511-4ACD-B835-200459B0F17B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1-7AF4-428C-A9C7-30FE35350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6165839"/>
        <c:axId val="1206202799"/>
      </c:lineChart>
      <c:catAx>
        <c:axId val="46016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70559"/>
        <c:crosses val="autoZero"/>
        <c:auto val="1"/>
        <c:lblAlgn val="ctr"/>
        <c:lblOffset val="100"/>
        <c:noMultiLvlLbl val="0"/>
      </c:catAx>
      <c:valAx>
        <c:axId val="460170559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8639"/>
        <c:crosses val="autoZero"/>
        <c:crossBetween val="between"/>
      </c:valAx>
      <c:valAx>
        <c:axId val="1206202799"/>
        <c:scaling>
          <c:orientation val="minMax"/>
          <c:min val="-5.000000000000001E-2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165839"/>
        <c:crosses val="max"/>
        <c:crossBetween val="between"/>
      </c:valAx>
      <c:catAx>
        <c:axId val="12061658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062027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'8.1. Chart_Khu vực'!$O$48</c:f>
          <c:strCache>
            <c:ptCount val="1"/>
            <c:pt idx="0">
              <c:v>LŨY KẾ DOANH THU THEO KHU VỰC T8/25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C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7926701624064056E-2"/>
          <c:y val="0.11910837394895094"/>
          <c:w val="0.96985318906213636"/>
          <c:h val="0.71597671855006428"/>
        </c:manualLayout>
      </c:layout>
      <c:barChart>
        <c:barDir val="col"/>
        <c:grouping val="clustered"/>
        <c:varyColors val="0"/>
        <c:ser>
          <c:idx val="3"/>
          <c:order val="1"/>
          <c:tx>
            <c:strRef>
              <c:f>'8.1. Chart_Khu vực'!$Q$39</c:f>
              <c:strCache>
                <c:ptCount val="1"/>
                <c:pt idx="0">
                  <c:v> 2,024 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vực'!$N$40:$N$46</c15:sqref>
                  </c15:fullRef>
                </c:ext>
              </c:extLst>
              <c:f>'8.1. Chart_Khu vực'!$N$40:$N$43</c:f>
              <c:strCache>
                <c:ptCount val="4"/>
                <c:pt idx="0">
                  <c:v>Bắc mỹ</c:v>
                </c:pt>
                <c:pt idx="1">
                  <c:v>Nội địa</c:v>
                </c:pt>
                <c:pt idx="2">
                  <c:v>Châu Âu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vực'!$Q$40:$Q$46</c15:sqref>
                  </c15:fullRef>
                </c:ext>
              </c:extLst>
              <c:f>'8.1. Chart_Khu vực'!$Q$40:$Q$43</c:f>
              <c:numCache>
                <c:formatCode>_(* #,##0_);_(* \(#,##0\);_(* "-"??_);_(@_)</c:formatCode>
                <c:ptCount val="4"/>
                <c:pt idx="0">
                  <c:v>9350.4142420814824</c:v>
                </c:pt>
                <c:pt idx="1">
                  <c:v>12341.23872195747</c:v>
                </c:pt>
                <c:pt idx="2">
                  <c:v>2870.9995045851979</c:v>
                </c:pt>
                <c:pt idx="3">
                  <c:v>2471.5034867661066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A-4166-A025-D7A0D8EC0778}"/>
            </c:ext>
          </c:extLst>
        </c:ser>
        <c:ser>
          <c:idx val="2"/>
          <c:order val="3"/>
          <c:tx>
            <c:strRef>
              <c:f>'8.1. Chart_Khu vực'!$O$39</c:f>
              <c:strCache>
                <c:ptCount val="1"/>
                <c:pt idx="0">
                  <c:v> 2,025 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vực'!$N$40:$N$46</c15:sqref>
                  </c15:fullRef>
                </c:ext>
              </c:extLst>
              <c:f>'8.1. Chart_Khu vực'!$N$40:$N$43</c:f>
              <c:strCache>
                <c:ptCount val="4"/>
                <c:pt idx="0">
                  <c:v>Bắc mỹ</c:v>
                </c:pt>
                <c:pt idx="1">
                  <c:v>Nội địa</c:v>
                </c:pt>
                <c:pt idx="2">
                  <c:v>Châu Âu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vực'!$O$40:$O$46</c15:sqref>
                  </c15:fullRef>
                </c:ext>
              </c:extLst>
              <c:f>'8.1. Chart_Khu vực'!$O$40:$O$43</c:f>
              <c:numCache>
                <c:formatCode>_(* #,##0_);_(* \(#,##0\);_(* "-"??_);_(@_)</c:formatCode>
                <c:ptCount val="4"/>
                <c:pt idx="0">
                  <c:v>17619.771157619765</c:v>
                </c:pt>
                <c:pt idx="1">
                  <c:v>13971.322060360897</c:v>
                </c:pt>
                <c:pt idx="2">
                  <c:v>10301.505188742622</c:v>
                </c:pt>
                <c:pt idx="3">
                  <c:v>1805.1745156235145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7A-4166-A025-D7A0D8EC07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"/>
        <c:axId val="460168639"/>
        <c:axId val="46017055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'8.1. Chart_Khu vực'!$N$39</c15:sqref>
                        </c15:formulaRef>
                      </c:ext>
                    </c:extLst>
                    <c:strCache>
                      <c:ptCount val="1"/>
                      <c:pt idx="0">
                        <c:v>Khu vực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'8.1. Chart_Khu vực'!$N$40:$N$46</c15:sqref>
                        </c15:fullRef>
                        <c15:formulaRef>
                          <c15:sqref>'8.1. Chart_Khu vực'!$N$40:$N$43</c15:sqref>
                        </c15:formulaRef>
                      </c:ext>
                    </c:extLst>
                    <c:strCache>
                      <c:ptCount val="4"/>
                      <c:pt idx="0">
                        <c:v>Bắc mỹ</c:v>
                      </c:pt>
                      <c:pt idx="1">
                        <c:v>Nội địa</c:v>
                      </c:pt>
                      <c:pt idx="2">
                        <c:v>Châu Âu</c:v>
                      </c:pt>
                      <c:pt idx="3">
                        <c:v>Châu á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'8.1. Chart_Khu vực'!$N$40:$N$46</c15:sqref>
                        </c15:fullRef>
                        <c15:formulaRef>
                          <c15:sqref>'8.1. Chart_Khu vực'!$N$40:$N$43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C-7A7A-4166-A025-D7A0D8EC0778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"/>
          <c:order val="2"/>
          <c:tx>
            <c:strRef>
              <c:f>'8.1. Chart_Khu vực'!$R$39</c:f>
              <c:strCache>
                <c:ptCount val="1"/>
                <c:pt idx="0">
                  <c:v>tỷ trong 24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10210879809952869"/>
                  <c:y val="0.1191993777537208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F9999F1-56E2-46BF-8EDB-ABCD85A2A4E7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DE545124-E2B4-4D7B-B38B-0C14EEDC95B3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9.0205119164327163E-2"/>
                      <c:h val="0.1348125106810462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A7A-4166-A025-D7A0D8EC0778}"/>
                </c:ext>
              </c:extLst>
            </c:dLbl>
            <c:dLbl>
              <c:idx val="1"/>
              <c:layout>
                <c:manualLayout>
                  <c:x val="-0.10814302924633735"/>
                  <c:y val="0.1734028465028872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62A46FE-573C-4FC2-8924-4E5B1D0C117B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FF425186-C6FD-429C-9463-0AABEF3A21D5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9.80524187149652E-2"/>
                      <c:h val="0.1151821284896561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7A7A-4166-A025-D7A0D8EC0778}"/>
                </c:ext>
              </c:extLst>
            </c:dLbl>
            <c:dLbl>
              <c:idx val="2"/>
              <c:layout>
                <c:manualLayout>
                  <c:x val="-0.11131883345120235"/>
                  <c:y val="3.093540653456070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1190E69-B3F1-4A60-9038-0AA5BCC387E0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5E7BBC20-CECA-4C9A-BC56-DD8A080BF2E4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0378597666532206"/>
                      <c:h val="0.1249973195853512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7A7A-4166-A025-D7A0D8EC0778}"/>
                </c:ext>
              </c:extLst>
            </c:dLbl>
            <c:dLbl>
              <c:idx val="3"/>
              <c:layout>
                <c:manualLayout>
                  <c:x val="-0.10327232662138371"/>
                  <c:y val="1.4277675362473286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A77F643-A9C5-4144-B813-650C0C3FF48B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A5C036CD-C23C-4189-89DB-B0C05373A9EE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9.1434448164234364E-2"/>
                      <c:h val="0.150754967214467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7A7A-4166-A025-D7A0D8EC07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vực'!$N$40:$N$46</c15:sqref>
                  </c15:fullRef>
                </c:ext>
              </c:extLst>
              <c:f>'8.1. Chart_Khu vực'!$N$40:$N$43</c:f>
              <c:strCache>
                <c:ptCount val="4"/>
                <c:pt idx="0">
                  <c:v>Bắc mỹ</c:v>
                </c:pt>
                <c:pt idx="1">
                  <c:v>Nội địa</c:v>
                </c:pt>
                <c:pt idx="2">
                  <c:v>Châu Âu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vực'!$R$40:$R$46</c15:sqref>
                  </c15:fullRef>
                </c:ext>
              </c:extLst>
              <c:f>'8.1. Chart_Khu vực'!$R$40:$R$43</c:f>
              <c:numCache>
                <c:formatCode>0%</c:formatCode>
                <c:ptCount val="4"/>
                <c:pt idx="0">
                  <c:v>0.34587409562594956</c:v>
                </c:pt>
                <c:pt idx="1">
                  <c:v>0.4565054201182408</c:v>
                </c:pt>
                <c:pt idx="2">
                  <c:v>0.1061989695303492</c:v>
                </c:pt>
                <c:pt idx="3">
                  <c:v>9.142151472546052E-2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'8.1. Chart_Khu vực'!$Q$40:$Q$46</c15:f>
                <c15:dlblRangeCache>
                  <c:ptCount val="7"/>
                  <c:pt idx="0">
                    <c:v> 9,350 </c:v>
                  </c:pt>
                  <c:pt idx="1">
                    <c:v> 12,341 </c:v>
                  </c:pt>
                  <c:pt idx="2">
                    <c:v> 2,871 </c:v>
                  </c:pt>
                  <c:pt idx="3">
                    <c:v> 2,472 </c:v>
                  </c:pt>
                </c15:dlblRangeCache>
              </c15:datalabelsRange>
            </c:ext>
            <c:ext xmlns:c15="http://schemas.microsoft.com/office/drawing/2012/chart" uri="{02D57815-91ED-43cb-92C2-25804820EDAC}">
              <c15:categoryFilterExceptions>
                <c15:categoryFilterException>
                  <c15:sqref>'8.1. Chart_Khu vực'!$R$44</c15:sqref>
                  <c15:dLbl>
                    <c:idx val="3"/>
                    <c:layout>
                      <c:manualLayout>
                        <c:x val="-4.4458719172567801E-2"/>
                        <c:y val="-1.9630359451758193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ysClr val="windowText" lastClr="000000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 </c:separator>
                    <c:extLst>
                      <c:ext uri="{CE6537A1-D6FC-4f65-9D91-7224C49458BB}">
                        <c15:layout>
                          <c:manualLayout>
                            <c:w val="4.1968746450109104E-2"/>
                            <c:h val="0.13154075889612765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0-0101-4197-BEC6-E906EBCBF396}"/>
                      </c:ext>
                    </c:extLst>
                  </c15:dLbl>
                </c15:categoryFilterException>
                <c15:categoryFilterException>
                  <c15:sqref>'8.1. Chart_Khu vực'!$R$45</c15:sqref>
                  <c15:dLbl>
                    <c:idx val="3"/>
                    <c:layout>
                      <c:manualLayout>
                        <c:x val="-5.5249799245295647E-2"/>
                        <c:y val="-3.2716192344779383E-3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ysClr val="windowText" lastClr="000000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 </c:separator>
                    <c:extLst>
                      <c:ext uri="{CE6537A1-D6FC-4f65-9D91-7224C49458BB}">
                        <c15:layout>
                          <c:manualLayout>
                            <c:w val="4.5289058669263298E-2"/>
                            <c:h val="0.12172551476575957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1-0101-4197-BEC6-E906EBCBF396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E-7A7A-4166-A025-D7A0D8EC0778}"/>
            </c:ext>
          </c:extLst>
        </c:ser>
        <c:ser>
          <c:idx val="4"/>
          <c:order val="4"/>
          <c:tx>
            <c:strRef>
              <c:f>'8.1. Chart_Khu vực'!$P$39</c:f>
              <c:strCache>
                <c:ptCount val="1"/>
                <c:pt idx="0">
                  <c:v>tỷ trong 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1649219570213399E-2"/>
                  <c:y val="-0.1102614103664176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C304354-EB1C-4D03-8872-6EB37AC42A2A}" type="CELLRANGE">
                      <a:rPr lang="en-US" baseline="0">
                        <a:solidFill>
                          <a:srgbClr val="00B050"/>
                        </a:solidFill>
                      </a:rPr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endParaRPr lang="en-US" baseline="0">
                      <a:solidFill>
                        <a:srgbClr val="00B050"/>
                      </a:solidFill>
                    </a:endParaRPr>
                  </a:p>
                  <a:p>
                    <a:pPr>
                      <a:defRPr sz="1000" b="1">
                        <a:solidFill>
                          <a:srgbClr val="00B050"/>
                        </a:solidFill>
                      </a:defRPr>
                    </a:pPr>
                    <a:fld id="{9A1F0F23-64A0-4ED2-A7D9-42E5849A32D3}" type="VALUE">
                      <a:rPr lang="en-US" baseline="0">
                        <a:solidFill>
                          <a:srgbClr val="00B050"/>
                        </a:solidFill>
                      </a:rPr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1495354802272384"/>
                      <c:h val="0.1433570693603813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7A7A-4166-A025-D7A0D8EC0778}"/>
                </c:ext>
              </c:extLst>
            </c:dLbl>
            <c:dLbl>
              <c:idx val="1"/>
              <c:layout>
                <c:manualLayout>
                  <c:x val="-4.1726532310292032E-2"/>
                  <c:y val="-0.1004457287335020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0EC69B7-C793-4596-8F66-D0F57CA9C826}" type="CELLRANGE">
                      <a:rPr lang="en-US" baseline="0">
                        <a:solidFill>
                          <a:srgbClr val="00B050"/>
                        </a:solidFill>
                      </a:rPr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endParaRPr lang="en-US" baseline="0">
                      <a:solidFill>
                        <a:srgbClr val="00B050"/>
                      </a:solidFill>
                    </a:endParaRPr>
                  </a:p>
                  <a:p>
                    <a:pPr>
                      <a:defRPr sz="1000" b="1">
                        <a:solidFill>
                          <a:srgbClr val="00B050"/>
                        </a:solidFill>
                      </a:defRPr>
                    </a:pPr>
                    <a:fld id="{CA633A32-56B2-422A-84AA-4D31EF060443}" type="VALUE">
                      <a:rPr lang="en-US" baseline="0">
                        <a:solidFill>
                          <a:srgbClr val="00B050"/>
                        </a:solidFill>
                      </a:rPr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003190250965055"/>
                      <c:h val="0.1380842859096891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7A7A-4166-A025-D7A0D8EC0778}"/>
                </c:ext>
              </c:extLst>
            </c:dLbl>
            <c:dLbl>
              <c:idx val="2"/>
              <c:layout>
                <c:manualLayout>
                  <c:x val="-2.5954959064879272E-2"/>
                  <c:y val="-6.074650059570212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B3C27AB-F204-45D2-9CBE-7E601066ACE3}" type="CELLRANGE">
                      <a:rPr lang="en-US" baseline="0">
                        <a:solidFill>
                          <a:srgbClr val="00B050"/>
                        </a:solidFill>
                      </a:rPr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endParaRPr lang="en-US" baseline="0">
                      <a:solidFill>
                        <a:srgbClr val="00B050"/>
                      </a:solidFill>
                    </a:endParaRPr>
                  </a:p>
                  <a:p>
                    <a:pPr>
                      <a:defRPr sz="1000" b="1">
                        <a:solidFill>
                          <a:srgbClr val="00B050"/>
                        </a:solidFill>
                      </a:defRPr>
                    </a:pPr>
                    <a:fld id="{2B9DE6A1-B9E9-4B32-8C45-420E383DE174}" type="VALUE">
                      <a:rPr lang="en-US" baseline="0">
                        <a:solidFill>
                          <a:srgbClr val="00B050"/>
                        </a:solidFill>
                      </a:rPr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0499273260243261"/>
                      <c:h val="0.1446277017767412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7A7A-4166-A025-D7A0D8EC0778}"/>
                </c:ext>
              </c:extLst>
            </c:dLbl>
            <c:dLbl>
              <c:idx val="3"/>
              <c:layout>
                <c:manualLayout>
                  <c:x val="-3.0138199062360118E-2"/>
                  <c:y val="-8.2275760498862691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3ADAD97-74AC-4F3D-A0A4-1913D0297CA6}" type="CELLRANGE">
                      <a:rPr lang="en-US" baseline="0">
                        <a:solidFill>
                          <a:srgbClr val="00B050"/>
                        </a:solidFill>
                      </a:rPr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endParaRPr lang="en-US" baseline="0">
                      <a:solidFill>
                        <a:srgbClr val="00B050"/>
                      </a:solidFill>
                    </a:endParaRPr>
                  </a:p>
                  <a:p>
                    <a:pPr>
                      <a:defRPr sz="1000" b="1">
                        <a:solidFill>
                          <a:srgbClr val="00B050"/>
                        </a:solidFill>
                      </a:defRPr>
                    </a:pPr>
                    <a:fld id="{3589DE9C-797E-4658-91E8-C3DB2B658888}" type="VALUE">
                      <a:rPr lang="en-US" baseline="0">
                        <a:solidFill>
                          <a:srgbClr val="00B050"/>
                        </a:solidFill>
                      </a:rPr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019878064829385"/>
                      <c:h val="0.1282690916250498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7A7A-4166-A025-D7A0D8EC07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vực'!$N$40:$N$46</c15:sqref>
                  </c15:fullRef>
                </c:ext>
              </c:extLst>
              <c:f>'8.1. Chart_Khu vực'!$N$40:$N$43</c:f>
              <c:strCache>
                <c:ptCount val="4"/>
                <c:pt idx="0">
                  <c:v>Bắc mỹ</c:v>
                </c:pt>
                <c:pt idx="1">
                  <c:v>Nội địa</c:v>
                </c:pt>
                <c:pt idx="2">
                  <c:v>Châu Âu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vực'!$P$40:$P$46</c15:sqref>
                  </c15:fullRef>
                </c:ext>
              </c:extLst>
              <c:f>'8.1. Chart_Khu vực'!$P$40:$P$43</c:f>
              <c:numCache>
                <c:formatCode>0%</c:formatCode>
                <c:ptCount val="4"/>
                <c:pt idx="0">
                  <c:v>0.40321897385779842</c:v>
                </c:pt>
                <c:pt idx="1">
                  <c:v>0.31972618113029833</c:v>
                </c:pt>
                <c:pt idx="2">
                  <c:v>0.23574439839414538</c:v>
                </c:pt>
                <c:pt idx="3">
                  <c:v>4.1310446617757908E-2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'8.1. Chart_Khu vực'!$O$40:$O$46</c15:f>
                <c15:dlblRangeCache>
                  <c:ptCount val="7"/>
                  <c:pt idx="0">
                    <c:v> 17,620 </c:v>
                  </c:pt>
                  <c:pt idx="1">
                    <c:v> 13,971 </c:v>
                  </c:pt>
                  <c:pt idx="2">
                    <c:v> 10,302 </c:v>
                  </c:pt>
                  <c:pt idx="3">
                    <c:v> 1,805 </c:v>
                  </c:pt>
                </c15:dlblRangeCache>
              </c15:datalabelsRange>
            </c:ext>
            <c:ext xmlns:c15="http://schemas.microsoft.com/office/drawing/2012/chart" uri="{02D57815-91ED-43cb-92C2-25804820EDAC}">
              <c15:categoryFilterExceptions>
                <c15:categoryFilterException>
                  <c15:sqref>'8.1. Chart_Khu vực'!$P$44</c15:sqref>
                  <c15:dLbl>
                    <c:idx val="3"/>
                    <c:layout>
                      <c:manualLayout>
                        <c:x val="-1.992187331492527E-2"/>
                        <c:y val="-3.2717480434561472E-3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rgbClr val="00B050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4.3745113487356609E-2"/>
                            <c:h val="0.12826901085267164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2-0101-4197-BEC6-E906EBCBF396}"/>
                      </c:ext>
                    </c:extLst>
                  </c15:dLbl>
                </c15:categoryFilterException>
                <c15:categoryFilterException>
                  <c15:sqref>'8.1. Chart_Khu vực'!$P$45</c15:sqref>
                  <c15:dLbl>
                    <c:idx val="3"/>
                    <c:layout>
                      <c:manualLayout>
                        <c:x val="-2.2412042118814104E-2"/>
                        <c:y val="-2.617398434764822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rgbClr val="00B050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4.0424801268202394E-2"/>
                            <c:h val="0.12826901085267164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3-0101-4197-BEC6-E906EBCBF396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7A7A-4166-A025-D7A0D8EC07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06165839"/>
        <c:axId val="1206202799"/>
      </c:lineChart>
      <c:catAx>
        <c:axId val="46016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70559"/>
        <c:crosses val="autoZero"/>
        <c:auto val="1"/>
        <c:lblAlgn val="ctr"/>
        <c:lblOffset val="100"/>
        <c:noMultiLvlLbl val="0"/>
      </c:catAx>
      <c:valAx>
        <c:axId val="460170559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8639"/>
        <c:crosses val="autoZero"/>
        <c:crossBetween val="between"/>
      </c:valAx>
      <c:valAx>
        <c:axId val="1206202799"/>
        <c:scaling>
          <c:orientation val="minMax"/>
          <c:min val="-5.000000000000001E-2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165839"/>
        <c:crosses val="max"/>
        <c:crossBetween val="between"/>
      </c:valAx>
      <c:catAx>
        <c:axId val="12061658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062027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'8.1. Chart_Khu vực'!$B$82</c:f>
          <c:strCache>
            <c:ptCount val="1"/>
            <c:pt idx="0">
              <c:v>LỢI NHUẬN GỘP THEO KHU VỰC T8/25</c:v>
            </c:pt>
          </c:strCache>
        </c:strRef>
      </c:tx>
      <c:layout>
        <c:manualLayout>
          <c:xMode val="edge"/>
          <c:yMode val="edge"/>
          <c:x val="0.15285867486025526"/>
          <c:y val="2.0551239255909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C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0044197365011075E-2"/>
          <c:y val="0.16886451652157816"/>
          <c:w val="0.96254688082274598"/>
          <c:h val="0.75850841264316793"/>
        </c:manualLayout>
      </c:layout>
      <c:barChart>
        <c:barDir val="col"/>
        <c:grouping val="clustered"/>
        <c:varyColors val="0"/>
        <c:ser>
          <c:idx val="4"/>
          <c:order val="0"/>
          <c:tx>
            <c:strRef>
              <c:f>'8.1. Chart_Khu vực'!$E$74</c:f>
              <c:strCache>
                <c:ptCount val="1"/>
                <c:pt idx="0">
                  <c:v> 2,024 </c:v>
                </c:pt>
              </c:strCache>
            </c:strRef>
          </c:tx>
          <c:spPr>
            <a:solidFill>
              <a:srgbClr val="AFABAB"/>
            </a:solidFill>
            <a:ln w="25400">
              <a:noFill/>
            </a:ln>
            <a:effectLst/>
          </c:spPr>
          <c:invertIfNegative val="1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vực'!$B$75:$B$80</c15:sqref>
                  </c15:fullRef>
                </c:ext>
              </c:extLst>
              <c:f>'8.1. Chart_Khu vực'!$B$75:$B$78</c:f>
              <c:strCache>
                <c:ptCount val="4"/>
                <c:pt idx="0">
                  <c:v>Châu Âu</c:v>
                </c:pt>
                <c:pt idx="1">
                  <c:v>Nội địa</c:v>
                </c:pt>
                <c:pt idx="2">
                  <c:v>Bắc mỹ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vực'!$E$75:$E$80</c15:sqref>
                  </c15:fullRef>
                </c:ext>
              </c:extLst>
              <c:f>'8.1. Chart_Khu vực'!$E$75:$E$78</c:f>
              <c:numCache>
                <c:formatCode>_(* #,##0_);_(* \(#,##0\);_(* "-"??_);_(@_)</c:formatCode>
                <c:ptCount val="4"/>
                <c:pt idx="0">
                  <c:v>168.55893808174832</c:v>
                </c:pt>
                <c:pt idx="1">
                  <c:v>311.25586807410406</c:v>
                </c:pt>
                <c:pt idx="2">
                  <c:v>299.50949133953856</c:v>
                </c:pt>
                <c:pt idx="3" formatCode="_(* #,##0.0_);_(* \(#,##0.0\);_(* &quot;-&quot;??_);_(@_)">
                  <c:v>-226.68928707810608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 w="25400"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C1C0-411B-B381-85DBE93F880A}"/>
            </c:ext>
          </c:extLst>
        </c:ser>
        <c:ser>
          <c:idx val="1"/>
          <c:order val="2"/>
          <c:tx>
            <c:strRef>
              <c:f>'8.1. Chart_Khu vực'!$C$74</c:f>
              <c:strCache>
                <c:ptCount val="1"/>
                <c:pt idx="0">
                  <c:v> 2,025 </c:v>
                </c:pt>
              </c:strCache>
            </c:strRef>
          </c:tx>
          <c:spPr>
            <a:solidFill>
              <a:srgbClr val="00CC00"/>
            </a:solidFill>
            <a:ln w="25400">
              <a:noFill/>
            </a:ln>
            <a:effectLst/>
          </c:spPr>
          <c:invertIfNegative val="1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vực'!$B$75:$B$80</c15:sqref>
                  </c15:fullRef>
                </c:ext>
              </c:extLst>
              <c:f>'8.1. Chart_Khu vực'!$B$75:$B$78</c:f>
              <c:strCache>
                <c:ptCount val="4"/>
                <c:pt idx="0">
                  <c:v>Châu Âu</c:v>
                </c:pt>
                <c:pt idx="1">
                  <c:v>Nội địa</c:v>
                </c:pt>
                <c:pt idx="2">
                  <c:v>Bắc mỹ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vực'!$C$75:$C$80</c15:sqref>
                  </c15:fullRef>
                </c:ext>
              </c:extLst>
              <c:f>'8.1. Chart_Khu vực'!$C$75:$C$78</c:f>
              <c:numCache>
                <c:formatCode>_(* #,##0_);_(* \(#,##0\);_(* "-"??_);_(@_)</c:formatCode>
                <c:ptCount val="4"/>
                <c:pt idx="0">
                  <c:v>234.5619688693659</c:v>
                </c:pt>
                <c:pt idx="1">
                  <c:v>195.18260984919218</c:v>
                </c:pt>
                <c:pt idx="2">
                  <c:v>194.99860393430086</c:v>
                </c:pt>
                <c:pt idx="3">
                  <c:v>10.73595859434681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 w="25400"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C1C0-411B-B381-85DBE93F880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60168639"/>
        <c:axId val="460170559"/>
      </c:barChart>
      <c:lineChart>
        <c:grouping val="standard"/>
        <c:varyColors val="0"/>
        <c:ser>
          <c:idx val="2"/>
          <c:order val="1"/>
          <c:tx>
            <c:strRef>
              <c:f>'8.1. Chart_Khu vực'!$F$74</c:f>
              <c:strCache>
                <c:ptCount val="1"/>
                <c:pt idx="0">
                  <c:v>tỷ trong 24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9.9199725085850329E-2"/>
                  <c:y val="-3.338362723223677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C5BDB0E-33B6-4F3C-8BE3-14C947AB200D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5F648C3C-0B86-46CF-BBD0-59D7F15B7DEE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9.5413511214140517E-2"/>
                      <c:h val="0.114343535162684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1C0-411B-B381-85DBE93F880A}"/>
                </c:ext>
              </c:extLst>
            </c:dLbl>
            <c:dLbl>
              <c:idx val="1"/>
              <c:layout>
                <c:manualLayout>
                  <c:x val="-9.9878342588937297E-2"/>
                  <c:y val="3.7238198248581694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E5FAB0A-5F76-4A81-8A00-43F6EDC217DD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E9C3EE03-D321-4B52-9573-755155B2028E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8.8990070130757562E-2"/>
                      <c:h val="0.12499716813632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C1C0-411B-B381-85DBE93F880A}"/>
                </c:ext>
              </c:extLst>
            </c:dLbl>
            <c:dLbl>
              <c:idx val="2"/>
              <c:layout>
                <c:manualLayout>
                  <c:x val="-0.10103029168593165"/>
                  <c:y val="-4.651667822067054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9609E93-FA86-4BB1-9874-2AD4B038A188}" type="CELLRANGE">
                      <a:rPr lang="en-US" baseline="0"/>
                      <a:pPr>
                        <a:defRPr sz="1000" b="1"/>
                      </a:pPr>
                      <a:t>[CELLRANGE]</a:t>
                    </a:fld>
                    <a:r>
                      <a:rPr lang="en-US" baseline="0"/>
                      <a:t> </a:t>
                    </a:r>
                    <a:fld id="{82B4E94E-6B1A-4486-BB6C-B0FFF77F0214}" type="VALUE">
                      <a:rPr lang="en-US" baseline="0"/>
                      <a:pPr>
                        <a:defRPr sz="1000" b="1"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9.8930472482361975E-2"/>
                      <c:h val="0.1374101166468921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C1C0-411B-B381-85DBE93F880A}"/>
                </c:ext>
              </c:extLst>
            </c:dLbl>
            <c:dLbl>
              <c:idx val="3"/>
              <c:layout>
                <c:manualLayout>
                  <c:x val="-9.4901119340346479E-2"/>
                  <c:y val="-9.140964671934272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6434BFE-DFA3-44E8-9027-700C2881D048}" type="CELLRANGE">
                      <a:rPr lang="en-US" baseline="0">
                        <a:solidFill>
                          <a:schemeClr val="tx1"/>
                        </a:solidFill>
                      </a:rPr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chemeClr val="tx1"/>
                        </a:solidFill>
                      </a:rPr>
                      <a:t> </a:t>
                    </a:r>
                    <a:fld id="{3B945D19-3F94-4C0D-938A-C2A7EB3247DA}" type="VALUE">
                      <a:rPr lang="en-US" baseline="0">
                        <a:solidFill>
                          <a:schemeClr val="tx1"/>
                        </a:solidFill>
                      </a:rPr>
                      <a:pPr>
                        <a:defRPr sz="1000" b="1"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 baseline="0">
                      <a:solidFill>
                        <a:schemeClr val="tx1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7.8441161284065003E-2"/>
                      <c:h val="0.1525656037630451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C1C0-411B-B381-85DBE93F88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vực'!$B$75:$B$80</c15:sqref>
                  </c15:fullRef>
                </c:ext>
              </c:extLst>
              <c:f>'8.1. Chart_Khu vực'!$B$75:$B$78</c:f>
              <c:strCache>
                <c:ptCount val="4"/>
                <c:pt idx="0">
                  <c:v>Châu Âu</c:v>
                </c:pt>
                <c:pt idx="1">
                  <c:v>Nội địa</c:v>
                </c:pt>
                <c:pt idx="2">
                  <c:v>Bắc mỹ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vực'!$F$75:$F$80</c15:sqref>
                  </c15:fullRef>
                </c:ext>
              </c:extLst>
              <c:f>'8.1. Chart_Khu vực'!$F$75:$F$78</c:f>
              <c:numCache>
                <c:formatCode>0%</c:formatCode>
                <c:ptCount val="4"/>
                <c:pt idx="0">
                  <c:v>0.30500951786328639</c:v>
                </c:pt>
                <c:pt idx="1">
                  <c:v>0.563221406908477</c:v>
                </c:pt>
                <c:pt idx="2">
                  <c:v>0.54196619051222295</c:v>
                </c:pt>
                <c:pt idx="3">
                  <c:v>-0.4101971152839865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'8.1. Chart_Khu vực'!$E$75:$E$80</c15:f>
                <c15:dlblRangeCache>
                  <c:ptCount val="6"/>
                  <c:pt idx="0">
                    <c:v> 169 </c:v>
                  </c:pt>
                  <c:pt idx="1">
                    <c:v> 311 </c:v>
                  </c:pt>
                  <c:pt idx="2">
                    <c:v> 300 </c:v>
                  </c:pt>
                  <c:pt idx="3">
                    <c:v> (226.7)</c:v>
                  </c:pt>
                </c15:dlblRangeCache>
              </c15:datalabelsRange>
            </c:ext>
            <c:ext xmlns:c15="http://schemas.microsoft.com/office/drawing/2012/chart" uri="{02D57815-91ED-43cb-92C2-25804820EDAC}">
              <c15:categoryFilterExceptions>
                <c15:categoryFilterException>
                  <c15:sqref>'8.1. Chart_Khu vực'!$F$79</c15:sqref>
                  <c15:dLbl>
                    <c:idx val="3"/>
                    <c:layout>
                      <c:manualLayout>
                        <c:x val="-6.0400080229073894E-2"/>
                        <c:y val="-7.0342582934304704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 </c:separator>
                    <c:extLst>
                      <c:ext uri="{CE6537A1-D6FC-4f65-9D91-7224C49458BB}">
                        <c15:layout>
                          <c:manualLayout>
                            <c:w val="5.4036371372422523E-2"/>
                            <c:h val="0.13808425498303972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0-844F-4EE5-80ED-18EA1E37F191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C1C0-411B-B381-85DBE93F880A}"/>
            </c:ext>
          </c:extLst>
        </c:ser>
        <c:ser>
          <c:idx val="3"/>
          <c:order val="3"/>
          <c:tx>
            <c:strRef>
              <c:f>'8.1. Chart_Khu vực'!$D$74</c:f>
              <c:strCache>
                <c:ptCount val="1"/>
                <c:pt idx="0">
                  <c:v>tỷ trong 25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9123608011219517E-2"/>
                  <c:y val="-0.1107378445083528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E7BD1D9-2841-4D5D-AF1A-33C3F3F4853F}" type="CELLRANGE">
                      <a:rPr lang="en-US" baseline="0">
                        <a:solidFill>
                          <a:srgbClr val="00CC00"/>
                        </a:solidFill>
                      </a:rPr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endParaRPr lang="en-US" baseline="0">
                      <a:solidFill>
                        <a:srgbClr val="00CC00"/>
                      </a:solidFill>
                    </a:endParaRPr>
                  </a:p>
                  <a:p>
                    <a:pPr>
                      <a:defRPr sz="1000" b="1">
                        <a:solidFill>
                          <a:srgbClr val="00CC00"/>
                        </a:solidFill>
                      </a:defRPr>
                    </a:pPr>
                    <a:fld id="{CEFDC947-21D4-4DDE-97AD-358ED1424025}" type="VALUE">
                      <a:rPr lang="en-US" baseline="0">
                        <a:solidFill>
                          <a:srgbClr val="00CC00"/>
                        </a:solidFill>
                      </a:rPr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9.3595233241439271E-2"/>
                      <c:h val="0.1242411414449560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C1C0-411B-B381-85DBE93F880A}"/>
                </c:ext>
              </c:extLst>
            </c:dLbl>
            <c:dLbl>
              <c:idx val="1"/>
              <c:layout>
                <c:manualLayout>
                  <c:x val="-1.5569800610437565E-2"/>
                  <c:y val="-0.1260033697559548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FCEBE82-B896-4A00-9930-D972E5D25338}" type="CELLRANGE">
                      <a:rPr lang="en-US" baseline="0">
                        <a:solidFill>
                          <a:srgbClr val="00CC00"/>
                        </a:solidFill>
                      </a:rPr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endParaRPr lang="en-US" baseline="0">
                      <a:solidFill>
                        <a:srgbClr val="00CC00"/>
                      </a:solidFill>
                    </a:endParaRPr>
                  </a:p>
                  <a:p>
                    <a:pPr>
                      <a:defRPr sz="1000" b="1">
                        <a:solidFill>
                          <a:srgbClr val="00CC00"/>
                        </a:solidFill>
                      </a:defRPr>
                    </a:pPr>
                    <a:fld id="{9F38E683-ECEB-4FB8-BE7B-D9A1133EE4D4}" type="VALUE">
                      <a:rPr lang="en-US" baseline="0">
                        <a:solidFill>
                          <a:srgbClr val="00CC00"/>
                        </a:solidFill>
                      </a:rPr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8.5115422029866175E-2"/>
                      <c:h val="0.1282688606975511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C1C0-411B-B381-85DBE93F880A}"/>
                </c:ext>
              </c:extLst>
            </c:dLbl>
            <c:dLbl>
              <c:idx val="2"/>
              <c:layout>
                <c:manualLayout>
                  <c:x val="-1.749176387665817E-2"/>
                  <c:y val="-0.125666297068001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CC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F4C72DB-AEC8-4BEF-AEF5-27EA1639D1E3}" type="CELLRANGE">
                      <a:rPr lang="en-US" baseline="0">
                        <a:solidFill>
                          <a:srgbClr val="00CC00"/>
                        </a:solidFill>
                      </a:rPr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[CELLRANGE]</a:t>
                    </a:fld>
                    <a:endParaRPr lang="en-US" baseline="0">
                      <a:solidFill>
                        <a:srgbClr val="00CC00"/>
                      </a:solidFill>
                    </a:endParaRPr>
                  </a:p>
                  <a:p>
                    <a:pPr>
                      <a:defRPr sz="1000" b="1">
                        <a:solidFill>
                          <a:srgbClr val="00CC00"/>
                        </a:solidFill>
                      </a:defRPr>
                    </a:pPr>
                    <a:fld id="{44511E43-9D43-43D0-B047-387FA52AD83D}" type="VALUE">
                      <a:rPr lang="en-US" baseline="0">
                        <a:solidFill>
                          <a:srgbClr val="00CC00"/>
                        </a:solidFill>
                      </a:rPr>
                      <a:pPr>
                        <a:defRPr sz="1000" b="1">
                          <a:solidFill>
                            <a:srgbClr val="00CC0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CC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9.0689192305827074E-2"/>
                      <c:h val="0.1390050222697759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C1C0-411B-B381-85DBE93F880A}"/>
                </c:ext>
              </c:extLst>
            </c:dLbl>
            <c:dLbl>
              <c:idx val="3"/>
              <c:layout>
                <c:manualLayout>
                  <c:x val="-1.138585214718538E-2"/>
                  <c:y val="-0.1152765937890594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EE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FD76B39-345C-4B3C-AA43-C25885A77FD1}" type="CELLRANGE">
                      <a:rPr lang="en-US" baseline="0">
                        <a:solidFill>
                          <a:srgbClr val="EE0000"/>
                        </a:solidFill>
                      </a:rPr>
                      <a:pPr>
                        <a:defRPr sz="1000" b="1">
                          <a:solidFill>
                            <a:srgbClr val="EE0000"/>
                          </a:solidFill>
                        </a:defRPr>
                      </a:pPr>
                      <a:t>[CELLRANGE]</a:t>
                    </a:fld>
                    <a:endParaRPr lang="en-US" baseline="0">
                      <a:solidFill>
                        <a:srgbClr val="EE0000"/>
                      </a:solidFill>
                    </a:endParaRPr>
                  </a:p>
                  <a:p>
                    <a:pPr>
                      <a:defRPr sz="1000" b="1">
                        <a:solidFill>
                          <a:srgbClr val="EE0000"/>
                        </a:solidFill>
                      </a:defRPr>
                    </a:pPr>
                    <a:fld id="{AFD994A0-2FA1-4237-9CE2-9D1C9602D18F}" type="VALUE">
                      <a:rPr lang="en-US" baseline="0">
                        <a:solidFill>
                          <a:srgbClr val="EE0000"/>
                        </a:solidFill>
                      </a:rPr>
                      <a:pPr>
                        <a:defRPr sz="1000" b="1">
                          <a:solidFill>
                            <a:srgbClr val="EE000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EE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9.3235132571248255E-2"/>
                      <c:h val="0.18410673957663801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C1C0-411B-B381-85DBE93F88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CC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vực'!$B$75:$B$80</c15:sqref>
                  </c15:fullRef>
                </c:ext>
              </c:extLst>
              <c:f>'8.1. Chart_Khu vực'!$B$75:$B$78</c:f>
              <c:strCache>
                <c:ptCount val="4"/>
                <c:pt idx="0">
                  <c:v>Châu Âu</c:v>
                </c:pt>
                <c:pt idx="1">
                  <c:v>Nội địa</c:v>
                </c:pt>
                <c:pt idx="2">
                  <c:v>Bắc mỹ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vực'!$D$75:$D$80</c15:sqref>
                  </c15:fullRef>
                </c:ext>
              </c:extLst>
              <c:f>'8.1. Chart_Khu vực'!$D$75:$D$78</c:f>
              <c:numCache>
                <c:formatCode>0%</c:formatCode>
                <c:ptCount val="4"/>
                <c:pt idx="0">
                  <c:v>0.36911041392957333</c:v>
                </c:pt>
                <c:pt idx="1">
                  <c:v>0.30714243344969966</c:v>
                </c:pt>
                <c:pt idx="2">
                  <c:v>0.30685287883972429</c:v>
                </c:pt>
                <c:pt idx="3">
                  <c:v>1.689427378100275E-2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'8.1. Chart_Khu vực'!$C$75:$C$80</c15:f>
                <c15:dlblRangeCache>
                  <c:ptCount val="6"/>
                  <c:pt idx="0">
                    <c:v> 235 </c:v>
                  </c:pt>
                  <c:pt idx="1">
                    <c:v> 195 </c:v>
                  </c:pt>
                  <c:pt idx="2">
                    <c:v> 195 </c:v>
                  </c:pt>
                  <c:pt idx="3">
                    <c:v> 11 </c:v>
                  </c:pt>
                </c15:dlblRangeCache>
              </c15:datalabelsRange>
            </c:ext>
            <c:ext xmlns:c15="http://schemas.microsoft.com/office/drawing/2012/chart" uri="{02D57815-91ED-43cb-92C2-25804820EDAC}">
              <c15:categoryFilterExceptions>
                <c15:categoryFilterException>
                  <c15:sqref>'8.1. Chart_Khu vực'!$D$79</c15:sqref>
                  <c15:dLbl>
                    <c:idx val="3"/>
                    <c:layout>
                      <c:manualLayout>
                        <c:x val="-4.5299934903355035E-3"/>
                        <c:y val="-5.5619716738752462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rgbClr val="00CC00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4.4145460865491891E-2"/>
                            <c:h val="0.12826901085267164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1-844F-4EE5-80ED-18EA1E37F191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1-C1C0-411B-B381-85DBE93F880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06165839"/>
        <c:axId val="1206202799"/>
      </c:lineChart>
      <c:catAx>
        <c:axId val="4601686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70559"/>
        <c:crosses val="autoZero"/>
        <c:auto val="1"/>
        <c:lblAlgn val="ctr"/>
        <c:lblOffset val="100"/>
        <c:noMultiLvlLbl val="0"/>
      </c:catAx>
      <c:valAx>
        <c:axId val="460170559"/>
        <c:scaling>
          <c:orientation val="minMax"/>
          <c:min val="-50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8639"/>
        <c:crosses val="autoZero"/>
        <c:crossBetween val="between"/>
      </c:valAx>
      <c:valAx>
        <c:axId val="1206202799"/>
        <c:scaling>
          <c:orientation val="minMax"/>
          <c:min val="-0.1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165839"/>
        <c:crosses val="max"/>
        <c:crossBetween val="between"/>
      </c:valAx>
      <c:catAx>
        <c:axId val="1206165839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206202799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CC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'8.1. Chart_Khu vực'!$O$82</c:f>
          <c:strCache>
            <c:ptCount val="1"/>
            <c:pt idx="0">
              <c:v>LŨY KẾ LỢI NHUẬN GỘP THEO KHU VỰC T8/25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C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6793302954403802E-2"/>
          <c:y val="0.1779998383477995"/>
          <c:w val="0.96546736262097721"/>
          <c:h val="0.6615066815710422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'8.1. Chart_Khu vực'!$Q$74</c:f>
              <c:strCache>
                <c:ptCount val="1"/>
                <c:pt idx="0">
                  <c:v> 2,024 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 w="25400"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vực'!$N$75:$N$80</c15:sqref>
                  </c15:fullRef>
                </c:ext>
              </c:extLst>
              <c:f>'8.1. Chart_Khu vực'!$N$75:$N$78</c:f>
              <c:strCache>
                <c:ptCount val="4"/>
                <c:pt idx="0">
                  <c:v>Bắc mỹ</c:v>
                </c:pt>
                <c:pt idx="1">
                  <c:v>Châu Âu</c:v>
                </c:pt>
                <c:pt idx="2">
                  <c:v>Nội địa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vực'!$Q$75:$Q$80</c15:sqref>
                  </c15:fullRef>
                </c:ext>
              </c:extLst>
              <c:f>'8.1. Chart_Khu vực'!$Q$75:$Q$78</c:f>
              <c:numCache>
                <c:formatCode>_(* #,##0_);_(* \(#,##0\);_(* "-"??_);_(@_)</c:formatCode>
                <c:ptCount val="4"/>
                <c:pt idx="0">
                  <c:v>1533.372075299905</c:v>
                </c:pt>
                <c:pt idx="1">
                  <c:v>610.63646422502677</c:v>
                </c:pt>
                <c:pt idx="2">
                  <c:v>2502.2771383621189</c:v>
                </c:pt>
                <c:pt idx="3">
                  <c:v>-399.12345529910772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E-4E5D-83AB-ABDC3EEA9213}"/>
            </c:ext>
          </c:extLst>
        </c:ser>
        <c:ser>
          <c:idx val="0"/>
          <c:order val="2"/>
          <c:tx>
            <c:strRef>
              <c:f>'8.1. Chart_Khu vực'!$O$74</c:f>
              <c:strCache>
                <c:ptCount val="1"/>
                <c:pt idx="0">
                  <c:v> 2,025 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vực'!$N$75:$N$80</c15:sqref>
                  </c15:fullRef>
                </c:ext>
              </c:extLst>
              <c:f>'8.1. Chart_Khu vực'!$N$75:$N$78</c:f>
              <c:strCache>
                <c:ptCount val="4"/>
                <c:pt idx="0">
                  <c:v>Bắc mỹ</c:v>
                </c:pt>
                <c:pt idx="1">
                  <c:v>Châu Âu</c:v>
                </c:pt>
                <c:pt idx="2">
                  <c:v>Nội địa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vực'!$O$75:$O$80</c15:sqref>
                  </c15:fullRef>
                </c:ext>
              </c:extLst>
              <c:f>'8.1. Chart_Khu vực'!$O$75:$O$78</c:f>
              <c:numCache>
                <c:formatCode>_(* #,##0_);_(* \(#,##0\);_(* "-"??_);_(@_)</c:formatCode>
                <c:ptCount val="4"/>
                <c:pt idx="0">
                  <c:v>2375.0650336969015</c:v>
                </c:pt>
                <c:pt idx="1">
                  <c:v>1891.6941105538856</c:v>
                </c:pt>
                <c:pt idx="2">
                  <c:v>1701.1635834727704</c:v>
                </c:pt>
                <c:pt idx="3">
                  <c:v>214.22195225204237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E8E-4E5D-83AB-ABDC3EEA921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60168639"/>
        <c:axId val="460170559"/>
      </c:barChart>
      <c:lineChart>
        <c:grouping val="standard"/>
        <c:varyColors val="0"/>
        <c:ser>
          <c:idx val="2"/>
          <c:order val="1"/>
          <c:tx>
            <c:strRef>
              <c:f>'8.1. Chart_Khu vực'!$R$74</c:f>
              <c:strCache>
                <c:ptCount val="1"/>
                <c:pt idx="0">
                  <c:v>tỷ trong 24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11755890315971872"/>
                  <c:y val="5.998782177493469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857DC21-93CE-4ED3-B224-FC9F315AA534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ysClr val="windowText" lastClr="000000"/>
                        </a:solidFill>
                      </a:defRPr>
                    </a:pPr>
                    <a:fld id="{88E3DE28-D89B-40BE-A19A-4B69C940916E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0502999384104481"/>
                      <c:h val="0.1475105081917092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FE8E-4E5D-83AB-ABDC3EEA9213}"/>
                </c:ext>
              </c:extLst>
            </c:dLbl>
            <c:dLbl>
              <c:idx val="1"/>
              <c:layout>
                <c:manualLayout>
                  <c:x val="-0.11696146236184489"/>
                  <c:y val="-0.19884418676643525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9F71265-D328-4AB9-A9C4-13AE7AF5417D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ysClr val="windowText" lastClr="000000"/>
                        </a:solidFill>
                      </a:defRPr>
                    </a:pPr>
                    <a:fld id="{F3B7BE01-69FF-4894-83EC-739E762CFC8B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0574111571330813"/>
                      <c:h val="0.1604679224210004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E8E-4E5D-83AB-ABDC3EEA9213}"/>
                </c:ext>
              </c:extLst>
            </c:dLbl>
            <c:dLbl>
              <c:idx val="2"/>
              <c:layout>
                <c:manualLayout>
                  <c:x val="-0.11229426370712015"/>
                  <c:y val="-0.3953817947036221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D1ABF8D-D071-46C1-9B27-1AD30F2FDCCC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ysClr val="windowText" lastClr="000000"/>
                        </a:solidFill>
                      </a:defRPr>
                    </a:pPr>
                    <a:fld id="{59CA3B3B-131F-4451-AF2F-7808B2EBDC81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0954672501310901"/>
                      <c:h val="0.12499740430014021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FE8E-4E5D-83AB-ABDC3EEA9213}"/>
                </c:ext>
              </c:extLst>
            </c:dLbl>
            <c:dLbl>
              <c:idx val="3"/>
              <c:layout>
                <c:manualLayout>
                  <c:x val="-0.10650735568224516"/>
                  <c:y val="-9.083064631808361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7C55C26-FB49-4914-A190-3D8C2802B999}" type="CELLRANG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ysClr val="windowText" lastClr="000000"/>
                        </a:solidFill>
                      </a:defRPr>
                    </a:pPr>
                    <a:fld id="{F55C11B7-BAB9-4907-BDCD-E201FC39D2DB}" type="VALUE">
                      <a:rPr lang="en-US" baseline="0"/>
                      <a:pPr>
                        <a:defRPr sz="1000"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9.5844218542269058E-2"/>
                      <c:h val="0.1467252490833585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FE8E-4E5D-83AB-ABDC3EEA92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vực'!$N$75:$N$80</c15:sqref>
                  </c15:fullRef>
                </c:ext>
              </c:extLst>
              <c:f>'8.1. Chart_Khu vực'!$N$75:$N$78</c:f>
              <c:strCache>
                <c:ptCount val="4"/>
                <c:pt idx="0">
                  <c:v>Bắc mỹ</c:v>
                </c:pt>
                <c:pt idx="1">
                  <c:v>Châu Âu</c:v>
                </c:pt>
                <c:pt idx="2">
                  <c:v>Nội địa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vực'!$R$75:$R$80</c15:sqref>
                  </c15:fullRef>
                </c:ext>
              </c:extLst>
              <c:f>'8.1. Chart_Khu vực'!$R$75:$R$78</c:f>
              <c:numCache>
                <c:formatCode>0%</c:formatCode>
                <c:ptCount val="4"/>
                <c:pt idx="0">
                  <c:v>0.36103449666812321</c:v>
                </c:pt>
                <c:pt idx="1">
                  <c:v>2.2587591239491753E-2</c:v>
                </c:pt>
                <c:pt idx="2">
                  <c:v>9.2559839578168809E-2</c:v>
                </c:pt>
                <c:pt idx="3">
                  <c:v>-1.4763673626715457E-2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'8.1. Chart_Khu vực'!$Q$75:$Q$80</c15:f>
                <c15:dlblRangeCache>
                  <c:ptCount val="6"/>
                  <c:pt idx="0">
                    <c:v> 1,533 </c:v>
                  </c:pt>
                  <c:pt idx="1">
                    <c:v> 611 </c:v>
                  </c:pt>
                  <c:pt idx="2">
                    <c:v> 2,502 </c:v>
                  </c:pt>
                  <c:pt idx="3">
                    <c:v> (399)</c:v>
                  </c:pt>
                </c15:dlblRangeCache>
              </c15:datalabelsRange>
            </c:ext>
            <c:ext xmlns:c15="http://schemas.microsoft.com/office/drawing/2012/chart" uri="{02D57815-91ED-43cb-92C2-25804820EDAC}">
              <c15:categoryFilterExceptions>
                <c15:categoryFilterException>
                  <c15:sqref>'8.1. Chart_Khu vực'!$R$79</c15:sqref>
                  <c15:dLbl>
                    <c:idx val="3"/>
                    <c:layout>
                      <c:manualLayout>
                        <c:x val="-4.8576000154596878E-2"/>
                        <c:y val="-7.7221368791181841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ysClr val="windowText" lastClr="000000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3.8698944734915842E-2"/>
                            <c:h val="0.1249972628092156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0-5002-470E-A707-5038B2008B58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E-FE8E-4E5D-83AB-ABDC3EEA9213}"/>
            </c:ext>
          </c:extLst>
        </c:ser>
        <c:ser>
          <c:idx val="3"/>
          <c:order val="3"/>
          <c:tx>
            <c:strRef>
              <c:f>'8.1. Chart_Khu vực'!$P$74</c:f>
              <c:strCache>
                <c:ptCount val="1"/>
                <c:pt idx="0">
                  <c:v>tỷ trong 25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3.012917565719106E-2"/>
                  <c:y val="-5.319810988324304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4B8764D-3F1D-415D-B77D-2485ECF11EA0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rgbClr val="00B050"/>
                        </a:solidFill>
                      </a:defRPr>
                    </a:pPr>
                    <a:fld id="{080E4036-776B-40D7-8C3C-FCCFB68ECFCF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1023053389996705"/>
                      <c:h val="0.1119102849455477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FE8E-4E5D-83AB-ABDC3EEA9213}"/>
                </c:ext>
              </c:extLst>
            </c:dLbl>
            <c:dLbl>
              <c:idx val="1"/>
              <c:layout>
                <c:manualLayout>
                  <c:x val="-3.897538411038777E-2"/>
                  <c:y val="-6.883636292771945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792B789-5C4E-4412-A36C-44A9317AE39D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rgbClr val="00B050"/>
                        </a:solidFill>
                      </a:defRPr>
                    </a:pPr>
                    <a:fld id="{E89C6D08-56CB-423A-B12A-BDF03771FB91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1960553159312706"/>
                      <c:h val="0.11518198491650791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FE8E-4E5D-83AB-ABDC3EEA9213}"/>
                </c:ext>
              </c:extLst>
            </c:dLbl>
            <c:dLbl>
              <c:idx val="2"/>
              <c:layout>
                <c:manualLayout>
                  <c:x val="-4.5992606793157774E-2"/>
                  <c:y val="-8.527696676577717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D709D81-3CEE-4E33-872E-EA67BAC25468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rgbClr val="00B050"/>
                        </a:solidFill>
                      </a:defRPr>
                    </a:pPr>
                    <a:fld id="{1301A14B-87E9-4F92-98DD-046100FA571C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2152777521462224"/>
                      <c:h val="0.1311491331001409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FE8E-4E5D-83AB-ABDC3EEA9213}"/>
                </c:ext>
              </c:extLst>
            </c:dLbl>
            <c:dLbl>
              <c:idx val="3"/>
              <c:layout>
                <c:manualLayout>
                  <c:x val="-3.0460130300164787E-2"/>
                  <c:y val="-0.10613744845738755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D3EA01A-E478-45DD-8BAA-4ECEE34FC253}" type="CELLRANG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endParaRPr lang="en-US" baseline="0"/>
                  </a:p>
                  <a:p>
                    <a:pPr>
                      <a:defRPr sz="1000" b="1">
                        <a:solidFill>
                          <a:srgbClr val="00B050"/>
                        </a:solidFill>
                      </a:defRPr>
                    </a:pPr>
                    <a:fld id="{4A05713C-B600-4885-8318-7B9F5865C39C}" type="VALUE">
                      <a:rPr lang="en-US" baseline="0"/>
                      <a:pPr>
                        <a:defRPr sz="1000" b="1">
                          <a:solidFill>
                            <a:srgbClr val="00B05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2044534437860621"/>
                      <c:h val="0.1282691042711003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FE8E-4E5D-83AB-ABDC3EEA92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vực'!$N$75:$N$80</c15:sqref>
                  </c15:fullRef>
                </c:ext>
              </c:extLst>
              <c:f>'8.1. Chart_Khu vực'!$N$75:$N$78</c:f>
              <c:strCache>
                <c:ptCount val="4"/>
                <c:pt idx="0">
                  <c:v>Bắc mỹ</c:v>
                </c:pt>
                <c:pt idx="1">
                  <c:v>Châu Âu</c:v>
                </c:pt>
                <c:pt idx="2">
                  <c:v>Nội địa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vực'!$P$75:$P$80</c15:sqref>
                  </c15:fullRef>
                </c:ext>
              </c:extLst>
              <c:f>'8.1. Chart_Khu vực'!$P$75:$P$78</c:f>
              <c:numCache>
                <c:formatCode>0%</c:formatCode>
                <c:ptCount val="4"/>
                <c:pt idx="0">
                  <c:v>0.38418140574902809</c:v>
                </c:pt>
                <c:pt idx="1">
                  <c:v>0.30599318011453458</c:v>
                </c:pt>
                <c:pt idx="2">
                  <c:v>0.27517369319792179</c:v>
                </c:pt>
                <c:pt idx="3">
                  <c:v>3.4651720938515443E-2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'8.1. Chart_Khu vực'!$O$75:$O$80</c15:f>
                <c15:dlblRangeCache>
                  <c:ptCount val="6"/>
                  <c:pt idx="0">
                    <c:v> 2,375 </c:v>
                  </c:pt>
                  <c:pt idx="1">
                    <c:v> 1,892 </c:v>
                  </c:pt>
                  <c:pt idx="2">
                    <c:v> 1,701 </c:v>
                  </c:pt>
                  <c:pt idx="3">
                    <c:v> 214 </c:v>
                  </c:pt>
                </c15:dlblRangeCache>
              </c15:datalabelsRange>
            </c:ext>
            <c:ext xmlns:c15="http://schemas.microsoft.com/office/drawing/2012/chart" uri="{02D57815-91ED-43cb-92C2-25804820EDAC}">
              <c15:categoryFilterExceptions>
                <c15:categoryFilterException>
                  <c15:sqref>'8.1. Chart_Khu vực'!$P$79</c15:sqref>
                  <c15:dLbl>
                    <c:idx val="3"/>
                    <c:layout>
                      <c:manualLayout>
                        <c:x val="-1.2613549756392086E-2"/>
                        <c:y val="-4.744021782113430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000" b="1" i="0" u="none" strike="noStrike" kern="1200" baseline="0">
                            <a:solidFill>
                              <a:srgbClr val="00B050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layout>
                          <c:manualLayout>
                            <c:w val="3.1845071305452791E-2"/>
                            <c:h val="0.1249972628092156"/>
                          </c:manualLayout>
                        </c15:layout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1-5002-470E-A707-5038B2008B58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FE8E-4E5D-83AB-ABDC3EEA9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2212351"/>
        <c:axId val="1822201311"/>
      </c:lineChart>
      <c:catAx>
        <c:axId val="4601686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70559"/>
        <c:crosses val="autoZero"/>
        <c:auto val="1"/>
        <c:lblAlgn val="ctr"/>
        <c:lblOffset val="100"/>
        <c:noMultiLvlLbl val="0"/>
      </c:catAx>
      <c:valAx>
        <c:axId val="460170559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8639"/>
        <c:crosses val="autoZero"/>
        <c:crossBetween val="between"/>
      </c:valAx>
      <c:valAx>
        <c:axId val="1822201311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212351"/>
        <c:crosses val="max"/>
        <c:crossBetween val="between"/>
      </c:valAx>
      <c:catAx>
        <c:axId val="18222123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222013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34954568170627914"/>
          <c:y val="0.92257530484697825"/>
          <c:w val="0.28840839360029685"/>
          <c:h val="7.33674166029588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rgbClr val="0000FF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'8.1. Chart_Khu vực'!$N$115</c:f>
          <c:strCache>
            <c:ptCount val="1"/>
            <c:pt idx="0">
              <c:v>LŨY KẾ % LỢI NHUẬN GỘP THEO KHU VỰC T8/25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C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6305586450605588E-2"/>
          <c:y val="0.17472809068770342"/>
          <c:w val="0.95659784066897713"/>
          <c:h val="0.63675616982517647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'8.1. Chart_Khu vực'!$R$107</c:f>
              <c:strCache>
                <c:ptCount val="1"/>
                <c:pt idx="0">
                  <c:v> 2,024 </c:v>
                </c:pt>
              </c:strCache>
            </c:strRef>
          </c:tx>
          <c:spPr>
            <a:solidFill>
              <a:srgbClr val="AFABAB"/>
            </a:solidFill>
            <a:ln>
              <a:noFill/>
            </a:ln>
            <a:effectLst/>
          </c:spPr>
          <c:invertIfNegative val="1"/>
          <c:dLbls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EE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320D-41BE-A862-43EE20F6C6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vực'!$P$108:$P$113</c15:sqref>
                  </c15:fullRef>
                </c:ext>
              </c:extLst>
              <c:f>'8.1. Chart_Khu vực'!$P$108:$P$111</c:f>
              <c:strCache>
                <c:ptCount val="4"/>
                <c:pt idx="0">
                  <c:v>Châu Âu</c:v>
                </c:pt>
                <c:pt idx="1">
                  <c:v>Bắc mỹ</c:v>
                </c:pt>
                <c:pt idx="2">
                  <c:v>Nội địa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vực'!$R$108:$R$113</c15:sqref>
                  </c15:fullRef>
                </c:ext>
              </c:extLst>
              <c:f>'8.1. Chart_Khu vực'!$R$108:$R$111</c:f>
              <c:numCache>
                <c:formatCode>0%</c:formatCode>
                <c:ptCount val="4"/>
                <c:pt idx="0">
                  <c:v>0.21269124681136148</c:v>
                </c:pt>
                <c:pt idx="1">
                  <c:v>0.16398974800485022</c:v>
                </c:pt>
                <c:pt idx="2">
                  <c:v>0.20275737263797355</c:v>
                </c:pt>
                <c:pt idx="3">
                  <c:v>-0.16149014453600857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C842-4899-B2ED-93B0DCA63F92}"/>
            </c:ext>
          </c:extLst>
        </c:ser>
        <c:ser>
          <c:idx val="0"/>
          <c:order val="1"/>
          <c:tx>
            <c:strRef>
              <c:f>'8.1. Chart_Khu vực'!$Q$107</c:f>
              <c:strCache>
                <c:ptCount val="1"/>
                <c:pt idx="0">
                  <c:v> 2,025 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CC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vực'!$P$108:$P$113</c15:sqref>
                  </c15:fullRef>
                </c:ext>
              </c:extLst>
              <c:f>'8.1. Chart_Khu vực'!$P$108:$P$111</c:f>
              <c:strCache>
                <c:ptCount val="4"/>
                <c:pt idx="0">
                  <c:v>Châu Âu</c:v>
                </c:pt>
                <c:pt idx="1">
                  <c:v>Bắc mỹ</c:v>
                </c:pt>
                <c:pt idx="2">
                  <c:v>Nội địa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vực'!$Q$108:$Q$113</c15:sqref>
                  </c15:fullRef>
                </c:ext>
              </c:extLst>
              <c:f>'8.1. Chart_Khu vực'!$Q$108:$Q$111</c:f>
              <c:numCache>
                <c:formatCode>0%</c:formatCode>
                <c:ptCount val="4"/>
                <c:pt idx="0">
                  <c:v>0.18363278723784068</c:v>
                </c:pt>
                <c:pt idx="1">
                  <c:v>0.13479545292901216</c:v>
                </c:pt>
                <c:pt idx="2">
                  <c:v>0.12176110293092958</c:v>
                </c:pt>
                <c:pt idx="3">
                  <c:v>0.11867104836567519</c:v>
                </c:pt>
              </c:numCache>
            </c:numRef>
          </c:val>
          <c:extLst xmlns:c15="http://schemas.microsoft.com/office/drawing/2012/chart"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3-C842-4899-B2ED-93B0DCA63F9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60168639"/>
        <c:axId val="460170559"/>
        <c:extLst/>
      </c:barChart>
      <c:catAx>
        <c:axId val="46016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70559"/>
        <c:crosses val="autoZero"/>
        <c:auto val="1"/>
        <c:lblAlgn val="ctr"/>
        <c:lblOffset val="100"/>
        <c:noMultiLvlLbl val="0"/>
      </c:catAx>
      <c:valAx>
        <c:axId val="46017055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'8.1. Chart_Khu vực'!$B$115</c:f>
          <c:strCache>
            <c:ptCount val="1"/>
            <c:pt idx="0">
              <c:v>% LỢI NHUẬN GỘP THEO KHU VỰC T8/25</c:v>
            </c:pt>
          </c:strCache>
        </c:strRef>
      </c:tx>
      <c:layout>
        <c:manualLayout>
          <c:xMode val="edge"/>
          <c:yMode val="edge"/>
          <c:x val="0.19504790138932213"/>
          <c:y val="2.01183391334170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CC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887841806329801E-2"/>
          <c:y val="0.14003222159276973"/>
          <c:w val="0.95602212009163312"/>
          <c:h val="0.66629643319827891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'8.1. Chart_Khu vực'!$F$107</c:f>
              <c:strCache>
                <c:ptCount val="1"/>
                <c:pt idx="0">
                  <c:v> 2,024 </c:v>
                </c:pt>
              </c:strCache>
            </c:strRef>
          </c:tx>
          <c:spPr>
            <a:solidFill>
              <a:srgbClr val="AFABAB"/>
            </a:solidFill>
            <a:ln>
              <a:noFill/>
            </a:ln>
            <a:effectLst/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vực'!$D$108:$D$113</c15:sqref>
                  </c15:fullRef>
                </c:ext>
              </c:extLst>
              <c:f>'8.1. Chart_Khu vực'!$D$108:$D$111</c:f>
              <c:strCache>
                <c:ptCount val="4"/>
                <c:pt idx="0">
                  <c:v>Châu Âu</c:v>
                </c:pt>
                <c:pt idx="1">
                  <c:v>Bắc mỹ</c:v>
                </c:pt>
                <c:pt idx="2">
                  <c:v>Nội địa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vực'!$F$108:$F$113</c15:sqref>
                  </c15:fullRef>
                </c:ext>
              </c:extLst>
              <c:f>'8.1. Chart_Khu vực'!$F$108:$F$111</c:f>
              <c:numCache>
                <c:formatCode>0%</c:formatCode>
                <c:ptCount val="4"/>
                <c:pt idx="0">
                  <c:v>0.17431487011755387</c:v>
                </c:pt>
                <c:pt idx="1">
                  <c:v>0.14541763773872113</c:v>
                </c:pt>
                <c:pt idx="2">
                  <c:v>0.17098660113380229</c:v>
                </c:pt>
                <c:pt idx="3">
                  <c:v>-0.21703919718809561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FD18-4DB4-B65F-25AABD4FC77E}"/>
            </c:ext>
          </c:extLst>
        </c:ser>
        <c:ser>
          <c:idx val="0"/>
          <c:order val="1"/>
          <c:tx>
            <c:strRef>
              <c:f>'8.1. Chart_Khu vực'!$E$107</c:f>
              <c:strCache>
                <c:ptCount val="1"/>
                <c:pt idx="0">
                  <c:v> 2,025 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1"/>
          <c:dLbls>
            <c:dLbl>
              <c:idx val="1"/>
              <c:layout>
                <c:manualLayout>
                  <c:x val="7.7228858295990853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D18-4DB4-B65F-25AABD4FC77E}"/>
                </c:ext>
              </c:extLst>
            </c:dLbl>
            <c:dLbl>
              <c:idx val="3"/>
              <c:layout>
                <c:manualLayout>
                  <c:x val="3.0825018264430113E-3"/>
                  <c:y val="0.1230563184520958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EE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750-4F4D-854A-C0036BD509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'8.1. Chart_Khu vực'!$D$108:$D$113</c15:sqref>
                  </c15:fullRef>
                </c:ext>
              </c:extLst>
              <c:f>'8.1. Chart_Khu vực'!$D$108:$D$111</c:f>
              <c:strCache>
                <c:ptCount val="4"/>
                <c:pt idx="0">
                  <c:v>Châu Âu</c:v>
                </c:pt>
                <c:pt idx="1">
                  <c:v>Bắc mỹ</c:v>
                </c:pt>
                <c:pt idx="2">
                  <c:v>Nội địa</c:v>
                </c:pt>
                <c:pt idx="3">
                  <c:v>Châu á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'8.1. Chart_Khu vực'!$E$108:$E$113</c15:sqref>
                  </c15:fullRef>
                </c:ext>
              </c:extLst>
              <c:f>'8.1. Chart_Khu vực'!$E$108:$E$111</c:f>
              <c:numCache>
                <c:formatCode>0.0%</c:formatCode>
                <c:ptCount val="4"/>
                <c:pt idx="0" formatCode="0%">
                  <c:v>0.17766286874610371</c:v>
                </c:pt>
                <c:pt idx="1">
                  <c:v>9.8916618258340777E-2</c:v>
                </c:pt>
                <c:pt idx="2" formatCode="0%">
                  <c:v>7.3426932680074539E-2</c:v>
                </c:pt>
                <c:pt idx="3" formatCode="0%">
                  <c:v>3.8372906519227638E-2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2-FD18-4DB4-B65F-25AABD4FC77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865624015"/>
        <c:axId val="1865627375"/>
      </c:barChart>
      <c:catAx>
        <c:axId val="186562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627375"/>
        <c:crosses val="autoZero"/>
        <c:auto val="1"/>
        <c:lblAlgn val="ctr"/>
        <c:lblOffset val="100"/>
        <c:noMultiLvlLbl val="0"/>
      </c:catAx>
      <c:valAx>
        <c:axId val="186562737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62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rgbClr val="0000FF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'8.2 Chart Bubble_Khu vực'!$I$13</c:f>
          <c:strCache>
            <c:ptCount val="1"/>
            <c:pt idx="0">
              <c:v>LŨY KẾ SẢN LƯỢNG_ LỢI NHUẬN GỘP THEO KHU VỰC T8.2025</c:v>
            </c:pt>
          </c:strCache>
        </c:strRef>
      </c:tx>
      <c:layout>
        <c:manualLayout>
          <c:xMode val="edge"/>
          <c:yMode val="edge"/>
          <c:x val="0.13299990347751087"/>
          <c:y val="1.03400791757551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B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331851027775263E-2"/>
          <c:y val="0.13129638097007904"/>
          <c:w val="0.88762958488275445"/>
          <c:h val="0.86151253945514317"/>
        </c:manualLayout>
      </c:layout>
      <c:bubbleChart>
        <c:varyColors val="1"/>
        <c:ser>
          <c:idx val="0"/>
          <c:order val="0"/>
          <c:tx>
            <c:strRef>
              <c:f>'8.2 Chart Bubble_Khu vực'!$C$5</c:f>
              <c:strCache>
                <c:ptCount val="1"/>
                <c:pt idx="0">
                  <c:v>Khu vực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1-4ECD-4597-A44C-18FA2F4F7B10}"/>
              </c:ext>
            </c:extLst>
          </c:dPt>
          <c:dPt>
            <c:idx val="1"/>
            <c:invertIfNegative val="0"/>
            <c:bubble3D val="0"/>
            <c:spPr>
              <a:solidFill>
                <a:srgbClr val="0000FF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3-4ECD-4597-A44C-18FA2F4F7B1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2-4ECD-4597-A44C-18FA2F4F7B10}"/>
              </c:ext>
            </c:extLst>
          </c:dPt>
          <c:dPt>
            <c:idx val="3"/>
            <c:invertIfNegative val="0"/>
            <c:bubble3D val="0"/>
            <c:spPr>
              <a:solidFill>
                <a:srgbClr val="7030A0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4ECD-4597-A44C-18FA2F4F7B10}"/>
              </c:ext>
            </c:extLst>
          </c:dPt>
          <c:dPt>
            <c:idx val="4"/>
            <c:invertIfNegative val="0"/>
            <c:bubble3D val="0"/>
            <c:spPr>
              <a:solidFill>
                <a:srgbClr val="7030A0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7-4ECD-4597-A44C-18FA2F4F7B10}"/>
              </c:ext>
            </c:extLst>
          </c:dPt>
          <c:dLbls>
            <c:dLbl>
              <c:idx val="0"/>
              <c:layout>
                <c:manualLayout>
                  <c:x val="-0.1463747732419291"/>
                  <c:y val="-0.21112612935744141"/>
                </c:manualLayout>
              </c:layout>
              <c:tx>
                <c:rich>
                  <a:bodyPr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b="1">
                        <a:solidFill>
                          <a:srgbClr val="00B050"/>
                        </a:solidFill>
                      </a:defRPr>
                    </a:pPr>
                    <a:fld id="{227E933C-DDA0-44F4-98B2-9F0A6B713541}" type="CELLRANGE">
                      <a:rPr lang="en-US">
                        <a:solidFill>
                          <a:srgbClr val="00B050"/>
                        </a:solidFill>
                      </a:rPr>
                      <a:pPr algn="ctr">
                        <a:defRPr b="1">
                          <a:solidFill>
                            <a:srgbClr val="00B050"/>
                          </a:solidFill>
                        </a:defRPr>
                      </a:pPr>
                      <a:t>[CELLRANGE]</a:t>
                    </a:fld>
                    <a:endParaRPr lang="en-US" baseline="0">
                      <a:solidFill>
                        <a:srgbClr val="00B050"/>
                      </a:solidFill>
                    </a:endParaRPr>
                  </a:p>
                  <a:p>
                    <a:pPr algn="ctr">
                      <a:defRPr b="1">
                        <a:solidFill>
                          <a:srgbClr val="00B050"/>
                        </a:solidFill>
                      </a:defRPr>
                    </a:pPr>
                    <a:fld id="{84FEC4D1-5BA1-4B08-9E7D-A69CA47FD720}" type="XVALUE">
                      <a:rPr lang="en-US">
                        <a:solidFill>
                          <a:srgbClr val="00B050"/>
                        </a:solidFill>
                      </a:rPr>
                      <a:pPr algn="ctr">
                        <a:defRPr b="1">
                          <a:solidFill>
                            <a:srgbClr val="00B050"/>
                          </a:solidFill>
                        </a:defRPr>
                      </a:pPr>
                      <a:t>[X VALUE]</a:t>
                    </a:fld>
                    <a:endParaRPr lang="en-US" baseline="0">
                      <a:solidFill>
                        <a:srgbClr val="00B050"/>
                      </a:solidFill>
                    </a:endParaRPr>
                  </a:p>
                  <a:p>
                    <a:pPr algn="ctr">
                      <a:defRPr b="1">
                        <a:solidFill>
                          <a:srgbClr val="00B050"/>
                        </a:solidFill>
                      </a:defRPr>
                    </a:pPr>
                    <a:fld id="{907881CD-FC2B-415C-95E2-3F67AC4D20E5}" type="YVALUE">
                      <a:rPr lang="en-US">
                        <a:solidFill>
                          <a:srgbClr val="00B050"/>
                        </a:solidFill>
                      </a:rPr>
                      <a:pPr algn="ctr">
                        <a:defRPr b="1">
                          <a:solidFill>
                            <a:srgbClr val="00B050"/>
                          </a:solidFill>
                        </a:defRPr>
                      </a:pPr>
                      <a:t>[Y VALUE]</a:t>
                    </a:fld>
                    <a:endParaRPr lang="en-US" baseline="0">
                      <a:solidFill>
                        <a:srgbClr val="00B050"/>
                      </a:solidFill>
                    </a:endParaRPr>
                  </a:p>
                  <a:p>
                    <a:pPr algn="ctr">
                      <a:defRPr b="1">
                        <a:solidFill>
                          <a:srgbClr val="00B050"/>
                        </a:solidFill>
                      </a:defRPr>
                    </a:pPr>
                    <a:fld id="{C321E622-83FB-42E0-8F72-7F9AD1F9ACD2}" type="BUBBLESIZE">
                      <a:rPr lang="en-US">
                        <a:solidFill>
                          <a:srgbClr val="00B050"/>
                        </a:solidFill>
                      </a:rPr>
                      <a:pPr algn="ctr">
                        <a:defRPr b="1">
                          <a:solidFill>
                            <a:srgbClr val="00B050"/>
                          </a:solidFill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4ECD-4597-A44C-18FA2F4F7B10}"/>
                </c:ext>
              </c:extLst>
            </c:dLbl>
            <c:dLbl>
              <c:idx val="1"/>
              <c:layout>
                <c:manualLayout>
                  <c:x val="-0.1047501892355424"/>
                  <c:y val="-0.16160587423183559"/>
                </c:manualLayout>
              </c:layout>
              <c:tx>
                <c:rich>
                  <a:bodyPr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b="1">
                        <a:solidFill>
                          <a:srgbClr val="0000FF"/>
                        </a:solidFill>
                      </a:defRPr>
                    </a:pPr>
                    <a:fld id="{F19481BF-1834-4072-B220-AFB72CA65326}" type="CELLRANGE">
                      <a:rPr lang="en-US">
                        <a:solidFill>
                          <a:srgbClr val="0000FF"/>
                        </a:solidFill>
                      </a:rPr>
                      <a:pPr algn="ctr">
                        <a:defRPr b="1">
                          <a:solidFill>
                            <a:srgbClr val="0000FF"/>
                          </a:solidFill>
                        </a:defRPr>
                      </a:pPr>
                      <a:t>[CELLRANGE]</a:t>
                    </a:fld>
                    <a:endParaRPr lang="en-US" baseline="0">
                      <a:solidFill>
                        <a:srgbClr val="0000FF"/>
                      </a:solidFill>
                    </a:endParaRPr>
                  </a:p>
                  <a:p>
                    <a:pPr algn="ctr">
                      <a:defRPr b="1">
                        <a:solidFill>
                          <a:srgbClr val="0000FF"/>
                        </a:solidFill>
                      </a:defRPr>
                    </a:pPr>
                    <a:fld id="{E57183C1-D16D-45F1-BA2F-5C18BD29B2E2}" type="XVALUE">
                      <a:rPr lang="en-US">
                        <a:solidFill>
                          <a:srgbClr val="0000FF"/>
                        </a:solidFill>
                      </a:rPr>
                      <a:pPr algn="ctr">
                        <a:defRPr b="1">
                          <a:solidFill>
                            <a:srgbClr val="0000FF"/>
                          </a:solidFill>
                        </a:defRPr>
                      </a:pPr>
                      <a:t>[X VALUE]</a:t>
                    </a:fld>
                    <a:endParaRPr lang="en-US" baseline="0">
                      <a:solidFill>
                        <a:srgbClr val="0000FF"/>
                      </a:solidFill>
                    </a:endParaRPr>
                  </a:p>
                  <a:p>
                    <a:pPr algn="ctr">
                      <a:defRPr b="1">
                        <a:solidFill>
                          <a:srgbClr val="0000FF"/>
                        </a:solidFill>
                      </a:defRPr>
                    </a:pPr>
                    <a:fld id="{AC85A3BC-4949-4F0B-910B-8B63DC51C053}" type="YVALUE">
                      <a:rPr lang="en-US">
                        <a:solidFill>
                          <a:srgbClr val="0000FF"/>
                        </a:solidFill>
                      </a:rPr>
                      <a:pPr algn="ctr">
                        <a:defRPr b="1">
                          <a:solidFill>
                            <a:srgbClr val="0000FF"/>
                          </a:solidFill>
                        </a:defRPr>
                      </a:pPr>
                      <a:t>[Y VALUE]</a:t>
                    </a:fld>
                    <a:endParaRPr lang="en-US" baseline="0">
                      <a:solidFill>
                        <a:srgbClr val="0000FF"/>
                      </a:solidFill>
                    </a:endParaRPr>
                  </a:p>
                  <a:p>
                    <a:pPr algn="ctr">
                      <a:defRPr b="1">
                        <a:solidFill>
                          <a:srgbClr val="0000FF"/>
                        </a:solidFill>
                      </a:defRPr>
                    </a:pPr>
                    <a:fld id="{A4FC2596-121E-494E-8B14-34E7F6ADBAAB}" type="BUBBLESIZE">
                      <a:rPr lang="en-US">
                        <a:solidFill>
                          <a:srgbClr val="0000FF"/>
                        </a:solidFill>
                      </a:rPr>
                      <a:pPr algn="ctr">
                        <a:defRPr b="1">
                          <a:solidFill>
                            <a:srgbClr val="0000FF"/>
                          </a:solidFill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4ECD-4597-A44C-18FA2F4F7B10}"/>
                </c:ext>
              </c:extLst>
            </c:dLbl>
            <c:dLbl>
              <c:idx val="2"/>
              <c:layout>
                <c:manualLayout>
                  <c:x val="-2.8221249265286403E-3"/>
                  <c:y val="-0.24694307371483881"/>
                </c:manualLayout>
              </c:layout>
              <c:tx>
                <c:rich>
                  <a:bodyPr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b="1">
                        <a:solidFill>
                          <a:srgbClr val="C00000"/>
                        </a:solidFill>
                      </a:defRPr>
                    </a:pPr>
                    <a:fld id="{DB5D7452-E1D9-4D9F-82CE-13C18F16D575}" type="CELLRANGE">
                      <a:rPr lang="en-US">
                        <a:solidFill>
                          <a:srgbClr val="C00000"/>
                        </a:solidFill>
                      </a:rPr>
                      <a:pPr algn="ctr">
                        <a:defRPr b="1">
                          <a:solidFill>
                            <a:srgbClr val="C00000"/>
                          </a:solidFill>
                        </a:defRPr>
                      </a:pPr>
                      <a:t>[CELLRANGE]</a:t>
                    </a:fld>
                    <a:endParaRPr lang="en-US" baseline="0">
                      <a:solidFill>
                        <a:srgbClr val="C00000"/>
                      </a:solidFill>
                    </a:endParaRPr>
                  </a:p>
                  <a:p>
                    <a:pPr algn="ctr">
                      <a:defRPr b="1">
                        <a:solidFill>
                          <a:srgbClr val="C00000"/>
                        </a:solidFill>
                      </a:defRPr>
                    </a:pPr>
                    <a:fld id="{EC4EBE5A-8262-4627-9377-708C3C2AA512}" type="XVALUE">
                      <a:rPr lang="en-US">
                        <a:solidFill>
                          <a:srgbClr val="C00000"/>
                        </a:solidFill>
                      </a:rPr>
                      <a:pPr algn="ctr">
                        <a:defRPr b="1">
                          <a:solidFill>
                            <a:srgbClr val="C00000"/>
                          </a:solidFill>
                        </a:defRPr>
                      </a:pPr>
                      <a:t>[X VALUE]</a:t>
                    </a:fld>
                    <a:endParaRPr lang="en-US" baseline="0">
                      <a:solidFill>
                        <a:srgbClr val="C00000"/>
                      </a:solidFill>
                    </a:endParaRPr>
                  </a:p>
                  <a:p>
                    <a:pPr algn="ctr">
                      <a:defRPr b="1">
                        <a:solidFill>
                          <a:srgbClr val="C00000"/>
                        </a:solidFill>
                      </a:defRPr>
                    </a:pPr>
                    <a:fld id="{C7CFB7BA-BB08-4680-A949-60127A9072B5}" type="YVALUE">
                      <a:rPr lang="en-US">
                        <a:solidFill>
                          <a:srgbClr val="C00000"/>
                        </a:solidFill>
                      </a:rPr>
                      <a:pPr algn="ctr">
                        <a:defRPr b="1">
                          <a:solidFill>
                            <a:srgbClr val="C00000"/>
                          </a:solidFill>
                        </a:defRPr>
                      </a:pPr>
                      <a:t>[Y VALUE]</a:t>
                    </a:fld>
                    <a:endParaRPr lang="en-US" baseline="0">
                      <a:solidFill>
                        <a:srgbClr val="C00000"/>
                      </a:solidFill>
                    </a:endParaRPr>
                  </a:p>
                  <a:p>
                    <a:pPr algn="ctr">
                      <a:defRPr b="1">
                        <a:solidFill>
                          <a:srgbClr val="C00000"/>
                        </a:solidFill>
                      </a:defRPr>
                    </a:pPr>
                    <a:fld id="{AE14B96B-4AA5-4996-8BF4-73CBB5DC773D}" type="BUBBLESIZE">
                      <a:rPr lang="en-US">
                        <a:solidFill>
                          <a:srgbClr val="C00000"/>
                        </a:solidFill>
                      </a:rPr>
                      <a:pPr algn="ctr">
                        <a:defRPr b="1">
                          <a:solidFill>
                            <a:srgbClr val="C00000"/>
                          </a:solidFill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4ECD-4597-A44C-18FA2F4F7B10}"/>
                </c:ext>
              </c:extLst>
            </c:dLbl>
            <c:dLbl>
              <c:idx val="3"/>
              <c:layout>
                <c:manualLayout>
                  <c:x val="-0.31218817295879669"/>
                  <c:y val="4.7908415545646135E-3"/>
                </c:manualLayout>
              </c:layout>
              <c:tx>
                <c:rich>
                  <a:bodyPr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b="1">
                        <a:solidFill>
                          <a:srgbClr val="7030A0"/>
                        </a:solidFill>
                      </a:defRPr>
                    </a:pPr>
                    <a:fld id="{D3CDE02E-84A8-4526-81F7-278B07C5A7E5}" type="CELLRANGE">
                      <a:rPr lang="en-US">
                        <a:solidFill>
                          <a:srgbClr val="7030A0"/>
                        </a:solidFill>
                      </a:rPr>
                      <a:pPr algn="ctr">
                        <a:defRPr b="1">
                          <a:solidFill>
                            <a:srgbClr val="7030A0"/>
                          </a:solidFill>
                        </a:defRPr>
                      </a:pPr>
                      <a:t>[CELLRANGE]</a:t>
                    </a:fld>
                    <a:endParaRPr lang="en-US" baseline="0">
                      <a:solidFill>
                        <a:srgbClr val="7030A0"/>
                      </a:solidFill>
                    </a:endParaRPr>
                  </a:p>
                  <a:p>
                    <a:pPr algn="ctr">
                      <a:defRPr b="1">
                        <a:solidFill>
                          <a:srgbClr val="7030A0"/>
                        </a:solidFill>
                      </a:defRPr>
                    </a:pPr>
                    <a:fld id="{575461F5-EDB7-4190-8484-F34D53E9151D}" type="XVALUE">
                      <a:rPr lang="en-US">
                        <a:solidFill>
                          <a:srgbClr val="7030A0"/>
                        </a:solidFill>
                      </a:rPr>
                      <a:pPr algn="ctr">
                        <a:defRPr b="1">
                          <a:solidFill>
                            <a:srgbClr val="7030A0"/>
                          </a:solidFill>
                        </a:defRPr>
                      </a:pPr>
                      <a:t>[X VALUE]</a:t>
                    </a:fld>
                    <a:endParaRPr lang="en-US" baseline="0">
                      <a:solidFill>
                        <a:srgbClr val="7030A0"/>
                      </a:solidFill>
                    </a:endParaRPr>
                  </a:p>
                  <a:p>
                    <a:pPr algn="ctr">
                      <a:defRPr b="1">
                        <a:solidFill>
                          <a:srgbClr val="7030A0"/>
                        </a:solidFill>
                      </a:defRPr>
                    </a:pPr>
                    <a:fld id="{DE912B85-B93E-4CAB-B5A6-284F5DF10CEE}" type="YVALUE">
                      <a:rPr lang="en-US">
                        <a:solidFill>
                          <a:srgbClr val="7030A0"/>
                        </a:solidFill>
                      </a:rPr>
                      <a:pPr algn="ctr">
                        <a:defRPr b="1">
                          <a:solidFill>
                            <a:srgbClr val="7030A0"/>
                          </a:solidFill>
                        </a:defRPr>
                      </a:pPr>
                      <a:t>[Y VALUE]</a:t>
                    </a:fld>
                    <a:endParaRPr lang="en-US" baseline="0">
                      <a:solidFill>
                        <a:srgbClr val="7030A0"/>
                      </a:solidFill>
                    </a:endParaRPr>
                  </a:p>
                  <a:p>
                    <a:pPr algn="ctr">
                      <a:defRPr b="1">
                        <a:solidFill>
                          <a:srgbClr val="7030A0"/>
                        </a:solidFill>
                      </a:defRPr>
                    </a:pPr>
                    <a:fld id="{DD6125EB-CA22-4B38-8184-5EA0554AAC7B}" type="BUBBLESIZE">
                      <a:rPr lang="en-US">
                        <a:solidFill>
                          <a:srgbClr val="7030A0"/>
                        </a:solidFill>
                      </a:rPr>
                      <a:pPr algn="ctr">
                        <a:defRPr b="1">
                          <a:solidFill>
                            <a:srgbClr val="7030A0"/>
                          </a:solidFill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4ECD-4597-A44C-18FA2F4F7B10}"/>
                </c:ext>
              </c:extLst>
            </c:dLbl>
            <c:dLbl>
              <c:idx val="4"/>
              <c:layout>
                <c:manualLayout>
                  <c:x val="-0.32985385487957902"/>
                  <c:y val="6.7401345307926852E-2"/>
                </c:manualLayout>
              </c:layout>
              <c:tx>
                <c:rich>
                  <a:bodyPr wrap="square" lIns="38100" tIns="19050" rIns="38100" bIns="19050" anchor="ctr" anchorCtr="0">
                    <a:noAutofit/>
                  </a:bodyPr>
                  <a:lstStyle/>
                  <a:p>
                    <a:pPr algn="ctr">
                      <a:defRPr b="1">
                        <a:solidFill>
                          <a:sysClr val="windowText" lastClr="000000"/>
                        </a:solidFill>
                      </a:defRPr>
                    </a:pPr>
                    <a:endParaRPr lang="en-US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3111162072873589"/>
                      <c:h val="0.11050499172325094"/>
                    </c:manualLayout>
                  </c15:layout>
                  <c15:showDataLabelsRange val="1"/>
                </c:ext>
                <c:ext xmlns:c16="http://schemas.microsoft.com/office/drawing/2014/chart" uri="{C3380CC4-5D6E-409C-BE32-E72D297353CC}">
                  <c16:uniqueId val="{00000007-4ECD-4597-A44C-18FA2F4F7B1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4ECD-4597-A44C-18FA2F4F7B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1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'8.2 Chart Bubble_Khu vực'!$N$6:$N$11</c:f>
              <c:numCache>
                <c:formatCode>"LNG ~ "#,##0\ "ngàn $"</c:formatCode>
                <c:ptCount val="6"/>
                <c:pt idx="0">
                  <c:v>1892</c:v>
                </c:pt>
                <c:pt idx="1">
                  <c:v>225</c:v>
                </c:pt>
                <c:pt idx="2">
                  <c:v>2471</c:v>
                </c:pt>
                <c:pt idx="3">
                  <c:v>1710</c:v>
                </c:pt>
              </c:numCache>
            </c:numRef>
          </c:xVal>
          <c:yVal>
            <c:numRef>
              <c:f>'8.2 Chart Bubble_Khu vực'!$O$6:$O$11</c:f>
              <c:numCache>
                <c:formatCode>"% LNG ~ "0.0%</c:formatCode>
                <c:ptCount val="6"/>
                <c:pt idx="0">
                  <c:v>0.18365365948359541</c:v>
                </c:pt>
                <c:pt idx="1">
                  <c:v>0.1192368839427663</c:v>
                </c:pt>
                <c:pt idx="2">
                  <c:v>0.13417680278019115</c:v>
                </c:pt>
                <c:pt idx="3">
                  <c:v>0.10670826833073323</c:v>
                </c:pt>
              </c:numCache>
            </c:numRef>
          </c:yVal>
          <c:bubbleSize>
            <c:numRef>
              <c:f>'8.2 Chart Bubble_Khu vực'!$L$6:$L$11</c:f>
              <c:numCache>
                <c:formatCode>"SL: "#,##0\ "tấn"</c:formatCode>
                <c:ptCount val="6"/>
                <c:pt idx="0">
                  <c:v>8126</c:v>
                </c:pt>
                <c:pt idx="1">
                  <c:v>1571</c:v>
                </c:pt>
                <c:pt idx="2">
                  <c:v>14927</c:v>
                </c:pt>
                <c:pt idx="3">
                  <c:v>13389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'8.2 Chart Bubble_Khu vực'!$J$6:$J$11</c15:f>
                <c15:dlblRangeCache>
                  <c:ptCount val="6"/>
                  <c:pt idx="0">
                    <c:v>1. Châu Âu</c:v>
                  </c:pt>
                  <c:pt idx="1">
                    <c:v>3. Châu á</c:v>
                  </c:pt>
                  <c:pt idx="2">
                    <c:v>2. Bắc mỹ</c:v>
                  </c:pt>
                  <c:pt idx="3">
                    <c:v>4. Nội địa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A-4ECD-4597-A44C-18FA2F4F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200"/>
        <c:showNegBubbles val="0"/>
        <c:axId val="1628401551"/>
        <c:axId val="1628398671"/>
      </c:bubbleChart>
      <c:valAx>
        <c:axId val="1628401551"/>
        <c:scaling>
          <c:orientation val="minMax"/>
          <c:max val="2600"/>
          <c:min val="-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FF"/>
                    </a:solidFill>
                  </a:rPr>
                  <a:t>Lợi</a:t>
                </a:r>
                <a:r>
                  <a:rPr lang="en-US" b="0" baseline="0">
                    <a:solidFill>
                      <a:srgbClr val="0000FF"/>
                    </a:solidFill>
                  </a:rPr>
                  <a:t> nhuận gộp (ngàn USD)</a:t>
                </a:r>
              </a:p>
            </c:rich>
          </c:tx>
          <c:layout>
            <c:manualLayout>
              <c:xMode val="edge"/>
              <c:yMode val="edge"/>
              <c:x val="0.41921282727102704"/>
              <c:y val="0.9194539074878691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98671"/>
        <c:crosses val="autoZero"/>
        <c:crossBetween val="midCat"/>
        <c:majorUnit val="200"/>
        <c:minorUnit val="100"/>
      </c:valAx>
      <c:valAx>
        <c:axId val="1628398671"/>
        <c:scaling>
          <c:orientation val="minMax"/>
          <c:max val="0.5"/>
          <c:min val="-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FF"/>
                    </a:solidFill>
                  </a:rPr>
                  <a:t>% Lợi </a:t>
                </a:r>
                <a:r>
                  <a:rPr lang="en-US" b="0" baseline="0">
                    <a:solidFill>
                      <a:srgbClr val="0000FF"/>
                    </a:solidFill>
                  </a:rPr>
                  <a:t>nhuận gộp</a:t>
                </a:r>
                <a:endParaRPr lang="en-US" b="0">
                  <a:solidFill>
                    <a:srgbClr val="0000FF"/>
                  </a:solidFill>
                </a:endParaRPr>
              </a:p>
            </c:rich>
          </c:tx>
          <c:layout>
            <c:manualLayout>
              <c:xMode val="edge"/>
              <c:yMode val="edge"/>
              <c:x val="1.2794477468364797E-2"/>
              <c:y val="0.3295951696725902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out"/>
        <c:minorTickMark val="none"/>
        <c:tickLblPos val="none"/>
        <c:spPr>
          <a:noFill/>
          <a:ln w="31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401551"/>
        <c:crosses val="autoZero"/>
        <c:crossBetween val="midCat"/>
      </c:valAx>
    </c:plotArea>
    <c:plotVisOnly val="0"/>
    <c:dispBlanksAs val="gap"/>
    <c:showDLblsOverMax val="0"/>
    <c:extLst/>
  </c:chart>
  <c:spPr>
    <a:ln>
      <a:solidFill>
        <a:srgbClr val="00B050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'8.2 Chart Bubble_Khu vực'!$B$13</c:f>
          <c:strCache>
            <c:ptCount val="1"/>
            <c:pt idx="0">
              <c:v>SẢN LƯỢNG_ LỢI NHUẬN GỘP THEO KHU VỰC T8.2025</c:v>
            </c:pt>
          </c:strCache>
        </c:strRef>
      </c:tx>
      <c:layout>
        <c:manualLayout>
          <c:xMode val="edge"/>
          <c:yMode val="edge"/>
          <c:x val="0.22010833806398042"/>
          <c:y val="4.3144552983136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B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196400262950966E-2"/>
          <c:y val="0.17112986805965613"/>
          <c:w val="0.91237648560049911"/>
          <c:h val="0.80251157762845948"/>
        </c:manualLayout>
      </c:layout>
      <c:bubbleChart>
        <c:varyColors val="1"/>
        <c:ser>
          <c:idx val="0"/>
          <c:order val="0"/>
          <c:tx>
            <c:strRef>
              <c:f>'8.2 Chart Bubble_Khu vực'!$C$5</c:f>
              <c:strCache>
                <c:ptCount val="1"/>
                <c:pt idx="0">
                  <c:v>Khu vực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F8D-42D7-B02A-50467BB712A3}"/>
              </c:ext>
            </c:extLst>
          </c:dPt>
          <c:dPt>
            <c:idx val="1"/>
            <c:invertIfNegative val="0"/>
            <c:bubble3D val="0"/>
            <c:spPr>
              <a:solidFill>
                <a:srgbClr val="0000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F8D-42D7-B02A-50467BB712A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F8D-42D7-B02A-50467BB712A3}"/>
              </c:ext>
            </c:extLst>
          </c:dPt>
          <c:dPt>
            <c:idx val="3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F8D-42D7-B02A-50467BB712A3}"/>
              </c:ext>
            </c:extLst>
          </c:dPt>
          <c:dPt>
            <c:idx val="4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F8D-42D7-B02A-50467BB712A3}"/>
              </c:ext>
            </c:extLst>
          </c:dPt>
          <c:dLbls>
            <c:dLbl>
              <c:idx val="0"/>
              <c:layout>
                <c:manualLayout>
                  <c:x val="-1.280333586002467E-2"/>
                  <c:y val="-0.2224753123465546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D83A020-2BD1-4AB2-BCB2-C4474D43BF7C}" type="CELLRANGE">
                      <a:rPr lang="en-US" sz="1000" b="1">
                        <a:solidFill>
                          <a:srgbClr val="00B050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rgbClr val="00B05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sz="1000" b="1" baseline="0">
                      <a:solidFill>
                        <a:srgbClr val="00B050"/>
                      </a:solidFill>
                    </a:endParaRPr>
                  </a:p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A496681-AB1B-4B02-98E3-E175B1FA7650}" type="XVALUE">
                      <a:rPr lang="en-US" sz="1000" b="1">
                        <a:solidFill>
                          <a:srgbClr val="00B050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rgbClr val="00B05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endParaRPr lang="en-US" sz="1000" b="1" baseline="0">
                      <a:solidFill>
                        <a:srgbClr val="00B050"/>
                      </a:solidFill>
                    </a:endParaRPr>
                  </a:p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61E528A-79FF-413A-B495-32C689CDCF76}" type="YVALUE">
                      <a:rPr lang="en-US" sz="1000" b="1">
                        <a:solidFill>
                          <a:srgbClr val="00B050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rgbClr val="00B05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endParaRPr lang="en-US" sz="1000" b="1" baseline="0">
                      <a:solidFill>
                        <a:srgbClr val="00B050"/>
                      </a:solidFill>
                    </a:endParaRPr>
                  </a:p>
                  <a:p>
                    <a:pPr>
                      <a:defRPr sz="1000" b="1" i="0" u="none" strike="noStrike" kern="1200" baseline="0">
                        <a:solidFill>
                          <a:srgbClr val="00B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3BBF4C4-DD4E-446A-816D-3022F63FD73A}" type="BUBBLESIZE">
                      <a:rPr lang="en-US" sz="1000" b="1">
                        <a:solidFill>
                          <a:srgbClr val="00B050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rgbClr val="00B05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140938063088524"/>
                      <c:h val="0.2227709424764669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4F8D-42D7-B02A-50467BB712A3}"/>
                </c:ext>
              </c:extLst>
            </c:dLbl>
            <c:dLbl>
              <c:idx val="1"/>
              <c:layout>
                <c:manualLayout>
                  <c:x val="-3.5462162288879079E-2"/>
                  <c:y val="-9.592658476147215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t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D5B4D37-82CC-45DE-8EEC-3E1E489CF58D}" type="CELLRANGE">
                      <a:rPr lang="en-US">
                        <a:solidFill>
                          <a:srgbClr val="0000FF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rgbClr val="00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baseline="0">
                      <a:solidFill>
                        <a:srgbClr val="0000FF"/>
                      </a:solidFill>
                    </a:endParaRPr>
                  </a:p>
                  <a:p>
                    <a:pPr>
                      <a:defRPr sz="1000" b="1" i="0" u="none" strike="noStrike" kern="1200" baseline="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B919218-C868-4D95-8BA3-76D772FA556E}" type="XVALUE">
                      <a:rPr lang="en-US">
                        <a:solidFill>
                          <a:srgbClr val="0000FF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rgbClr val="00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endParaRPr lang="en-US" baseline="0">
                      <a:solidFill>
                        <a:srgbClr val="0000FF"/>
                      </a:solidFill>
                    </a:endParaRPr>
                  </a:p>
                  <a:p>
                    <a:pPr>
                      <a:defRPr sz="1000" b="1" i="0" u="none" strike="noStrike" kern="1200" baseline="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F758770-B1E7-4CDA-8042-8F366723D1BF}" type="YVALUE">
                      <a:rPr lang="en-US">
                        <a:solidFill>
                          <a:srgbClr val="0000FF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rgbClr val="00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endParaRPr lang="en-US" baseline="0">
                      <a:solidFill>
                        <a:srgbClr val="0000FF"/>
                      </a:solidFill>
                    </a:endParaRPr>
                  </a:p>
                  <a:p>
                    <a:pPr>
                      <a:defRPr sz="1000" b="1" i="0" u="none" strike="noStrike" kern="1200" baseline="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2B4822A-ACEF-4731-BDF1-A719130FCC0B}" type="BUBBLESIZE">
                      <a:rPr lang="en-US">
                        <a:solidFill>
                          <a:srgbClr val="0000FF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rgbClr val="00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070345666364152"/>
                      <c:h val="0.2234602174467453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4F8D-42D7-B02A-50467BB712A3}"/>
                </c:ext>
              </c:extLst>
            </c:dLbl>
            <c:dLbl>
              <c:idx val="2"/>
              <c:layout>
                <c:manualLayout>
                  <c:x val="-0.27076411294223124"/>
                  <c:y val="-0.209164343707455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rgbClr val="C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0B06A7C-015A-47E1-B9DB-C22DAF4917C1}" type="CELLRANGE">
                      <a:rPr lang="en-US">
                        <a:solidFill>
                          <a:srgbClr val="C00000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rgbClr val="C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baseline="0">
                      <a:solidFill>
                        <a:srgbClr val="C00000"/>
                      </a:solidFill>
                    </a:endParaRPr>
                  </a:p>
                  <a:p>
                    <a:pPr>
                      <a:defRPr sz="1000" b="1" i="0" u="none" strike="noStrike" kern="1200" baseline="0">
                        <a:solidFill>
                          <a:srgbClr val="C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0F17D6C-194F-4A42-B584-A8702C25CF05}" type="XVALUE">
                      <a:rPr lang="en-US">
                        <a:solidFill>
                          <a:srgbClr val="C00000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rgbClr val="C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endParaRPr lang="en-US" baseline="0">
                      <a:solidFill>
                        <a:srgbClr val="C00000"/>
                      </a:solidFill>
                    </a:endParaRPr>
                  </a:p>
                  <a:p>
                    <a:pPr>
                      <a:defRPr sz="1000" b="1" i="0" u="none" strike="noStrike" kern="1200" baseline="0">
                        <a:solidFill>
                          <a:srgbClr val="C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640DD69-D884-4C12-A1AC-11879F3A3B3D}" type="YVALUE">
                      <a:rPr lang="en-US">
                        <a:solidFill>
                          <a:srgbClr val="C00000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rgbClr val="C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endParaRPr lang="en-US" baseline="0">
                      <a:solidFill>
                        <a:srgbClr val="C00000"/>
                      </a:solidFill>
                    </a:endParaRPr>
                  </a:p>
                  <a:p>
                    <a:pPr>
                      <a:defRPr sz="1000" b="1" i="0" u="none" strike="noStrike" kern="1200" baseline="0">
                        <a:solidFill>
                          <a:srgbClr val="C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E52AF35-3E2E-4D54-9F24-3FD7784C343B}" type="BUBBLESIZE">
                      <a:rPr lang="en-US">
                        <a:solidFill>
                          <a:srgbClr val="C00000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rgbClr val="C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4F8D-42D7-B02A-50467BB712A3}"/>
                </c:ext>
              </c:extLst>
            </c:dLbl>
            <c:dLbl>
              <c:idx val="3"/>
              <c:layout>
                <c:manualLayout>
                  <c:x val="-0.14370506139441641"/>
                  <c:y val="1.014309513326821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599BB6D-407D-4647-A2B2-BAE63D6500F3}" type="CELLRANGE">
                      <a:rPr lang="en-US">
                        <a:solidFill>
                          <a:schemeClr val="bg1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  <a:p>
                    <a:pPr>
                      <a:defRPr sz="10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7D4E2E5-F658-4838-A0B2-FDE30B070B40}" type="XVALUE">
                      <a:rPr lang="en-US">
                        <a:solidFill>
                          <a:schemeClr val="bg1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[X VALUE]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  <a:p>
                    <a:pPr>
                      <a:defRPr sz="10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48CCD32-4749-46B8-8396-815B27FAEBCC}" type="YVALUE">
                      <a:rPr lang="en-US">
                        <a:solidFill>
                          <a:schemeClr val="bg1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[Y VALUE]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  <a:p>
                    <a:pPr>
                      <a:defRPr sz="10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D91E13B-E5B4-4759-A9DD-0BA26FDB2C01}" type="BUBBLESIZE">
                      <a:rPr lang="en-US">
                        <a:solidFill>
                          <a:schemeClr val="bg1"/>
                        </a:solidFill>
                      </a:rPr>
                      <a:pPr>
                        <a:defRPr sz="10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[BUBBLE SIZE]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4F8D-42D7-B02A-50467BB712A3}"/>
                </c:ext>
              </c:extLst>
            </c:dLbl>
            <c:dLbl>
              <c:idx val="4"/>
              <c:layout>
                <c:manualLayout>
                  <c:x val="9.2306241880514873E-3"/>
                  <c:y val="4.3659659858917343E-2"/>
                </c:manualLayout>
              </c:layout>
              <c:tx>
                <c:rich>
                  <a:bodyPr/>
                  <a:lstStyle/>
                  <a:p>
                    <a:fld id="{F461BCA7-0EB5-45D8-A05F-DA877FEDE335}" type="CELLRANGE">
                      <a:rPr lang="en-US" sz="1000" b="1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pPr/>
                      <a:t>[CELLRANGE]</a:t>
                    </a:fld>
                    <a:endParaRPr lang="en-US" sz="1000" b="1" baseline="0">
                      <a:solidFill>
                        <a:schemeClr val="accent4">
                          <a:lumMod val="75000"/>
                        </a:schemeClr>
                      </a:solidFill>
                    </a:endParaRPr>
                  </a:p>
                  <a:p>
                    <a:fld id="{92108843-260C-4B9F-B278-8E08C4996B0F}" type="XVALUE">
                      <a:rPr lang="en-US" sz="1000" b="1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pPr/>
                      <a:t>[X VALUE]</a:t>
                    </a:fld>
                    <a:endParaRPr lang="en-US" sz="1000" b="1" baseline="0">
                      <a:solidFill>
                        <a:schemeClr val="accent4">
                          <a:lumMod val="75000"/>
                        </a:schemeClr>
                      </a:solidFill>
                    </a:endParaRPr>
                  </a:p>
                  <a:p>
                    <a:fld id="{E9D78B15-63B9-4C32-899C-D887C8F9E9FB}" type="YVALUE">
                      <a:rPr lang="en-US" sz="1000" b="1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pPr/>
                      <a:t>[Y VALUE]</a:t>
                    </a:fld>
                    <a:endParaRPr lang="en-US" sz="1000" b="1" baseline="0">
                      <a:solidFill>
                        <a:schemeClr val="accent4">
                          <a:lumMod val="75000"/>
                        </a:schemeClr>
                      </a:solidFill>
                    </a:endParaRPr>
                  </a:p>
                  <a:p>
                    <a:fld id="{DCE6D480-B206-49DF-A61A-3538B2BAA7D4}" type="BUBBLESIZE">
                      <a:rPr lang="en-US" sz="1000" b="1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pPr/>
                      <a:t>[BUBBLE SIZE]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8.3990387058171342E-2"/>
                      <c:h val="0.1605430587034514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4F8D-42D7-B02A-50467BB712A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4F8D-42D7-B02A-50467BB712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1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'8.2 Chart Bubble_Khu vực'!$F$6:$F$11</c:f>
              <c:numCache>
                <c:formatCode>"LNG ~ "#,##0\ "ngàn $"</c:formatCode>
                <c:ptCount val="6"/>
                <c:pt idx="0">
                  <c:v>234.5619688693659</c:v>
                </c:pt>
                <c:pt idx="1">
                  <c:v>10.73595859434681</c:v>
                </c:pt>
                <c:pt idx="2">
                  <c:v>194.99860393430086</c:v>
                </c:pt>
                <c:pt idx="3">
                  <c:v>195.18260984919218</c:v>
                </c:pt>
              </c:numCache>
            </c:numRef>
          </c:xVal>
          <c:yVal>
            <c:numRef>
              <c:f>'8.2 Chart Bubble_Khu vực'!$G$6:$G$11</c:f>
              <c:numCache>
                <c:formatCode>"% LNG ~ "0.0%</c:formatCode>
                <c:ptCount val="6"/>
                <c:pt idx="0">
                  <c:v>0.17766286874610371</c:v>
                </c:pt>
                <c:pt idx="1">
                  <c:v>3.8372906519227645E-2</c:v>
                </c:pt>
                <c:pt idx="2">
                  <c:v>9.8916618258340791E-2</c:v>
                </c:pt>
                <c:pt idx="3">
                  <c:v>7.3426932680074539E-2</c:v>
                </c:pt>
              </c:numCache>
            </c:numRef>
          </c:yVal>
          <c:bubbleSize>
            <c:numRef>
              <c:f>'8.2 Chart Bubble_Khu vực'!$D$6:$D$11</c:f>
              <c:numCache>
                <c:formatCode>"SL: "#,##0\ "tấn"</c:formatCode>
                <c:ptCount val="6"/>
                <c:pt idx="0">
                  <c:v>1045</c:v>
                </c:pt>
                <c:pt idx="1">
                  <c:v>264</c:v>
                </c:pt>
                <c:pt idx="2">
                  <c:v>1650</c:v>
                </c:pt>
                <c:pt idx="3">
                  <c:v>2203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'8.2 Chart Bubble_Khu vực'!$B$6:$B$11</c15:f>
                <c15:dlblRangeCache>
                  <c:ptCount val="6"/>
                  <c:pt idx="0">
                    <c:v>1. Châu Âu</c:v>
                  </c:pt>
                  <c:pt idx="1">
                    <c:v>4. Châu á</c:v>
                  </c:pt>
                  <c:pt idx="2">
                    <c:v>2. Bắc mỹ</c:v>
                  </c:pt>
                  <c:pt idx="3">
                    <c:v>3. Nội địa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1-4F8D-42D7-B02A-50467BB71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250"/>
        <c:showNegBubbles val="0"/>
        <c:axId val="1628401551"/>
        <c:axId val="1628398671"/>
      </c:bubbleChart>
      <c:valAx>
        <c:axId val="1628401551"/>
        <c:scaling>
          <c:orientation val="minMax"/>
          <c:max val="260"/>
          <c:min val="-3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FF"/>
                    </a:solidFill>
                  </a:rPr>
                  <a:t>Lợi</a:t>
                </a:r>
                <a:r>
                  <a:rPr lang="en-US" b="0" baseline="0">
                    <a:solidFill>
                      <a:srgbClr val="0000FF"/>
                    </a:solidFill>
                  </a:rPr>
                  <a:t> nhuận gộp (ngàn USD)</a:t>
                </a:r>
                <a:endParaRPr lang="en-US" b="0">
                  <a:solidFill>
                    <a:srgbClr val="0000FF"/>
                  </a:solidFill>
                </a:endParaRPr>
              </a:p>
            </c:rich>
          </c:tx>
          <c:layout>
            <c:manualLayout>
              <c:xMode val="edge"/>
              <c:yMode val="edge"/>
              <c:x val="0.38152874589489533"/>
              <c:y val="0.913881641231798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98671"/>
        <c:crosses val="autoZero"/>
        <c:crossBetween val="midCat"/>
      </c:valAx>
      <c:valAx>
        <c:axId val="1628398671"/>
        <c:scaling>
          <c:orientation val="minMax"/>
          <c:max val="0.4"/>
          <c:min val="-0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FF"/>
                    </a:solidFill>
                  </a:rPr>
                  <a:t>% Lợi </a:t>
                </a:r>
                <a:r>
                  <a:rPr lang="en-US" b="0" baseline="0">
                    <a:solidFill>
                      <a:srgbClr val="0000FF"/>
                    </a:solidFill>
                  </a:rPr>
                  <a:t>nhuận gộp</a:t>
                </a:r>
                <a:endParaRPr lang="en-US" b="0">
                  <a:solidFill>
                    <a:srgbClr val="0000FF"/>
                  </a:solidFill>
                </a:endParaRPr>
              </a:p>
            </c:rich>
          </c:tx>
          <c:layout>
            <c:manualLayout>
              <c:xMode val="edge"/>
              <c:yMode val="edge"/>
              <c:x val="5.4477119048916781E-3"/>
              <c:y val="0.275887989423758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out"/>
        <c:minorTickMark val="none"/>
        <c:tickLblPos val="nextTo"/>
        <c:spPr>
          <a:noFill/>
          <a:ln w="31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401551"/>
        <c:crosses val="autoZero"/>
        <c:crossBetween val="midCat"/>
      </c:valAx>
    </c:plotArea>
    <c:plotVisOnly val="0"/>
    <c:dispBlanksAs val="gap"/>
    <c:showDLblsOverMax val="0"/>
    <c:extLst/>
  </c:chart>
  <c:spPr>
    <a:ln>
      <a:solidFill>
        <a:srgbClr val="00B050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rgbClr val="0000FF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400" b="1" baseline="0">
                <a:solidFill>
                  <a:srgbClr val="0000FF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GIÁ </a:t>
            </a:r>
            <a:r>
              <a:rPr lang="en-US" sz="2400" b="1" baseline="0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VẢY </a:t>
            </a:r>
            <a:r>
              <a:rPr lang="en-US" sz="2400" b="1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HDPE ÉP</a:t>
            </a:r>
            <a:r>
              <a:rPr lang="en-US" sz="2400" b="1" baseline="0">
                <a:solidFill>
                  <a:srgbClr val="0000FF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NĂM 2024 &amp;2025 (USD/tấn)</a:t>
            </a:r>
            <a:endParaRPr lang="en-US" sz="2400" b="1">
              <a:solidFill>
                <a:srgbClr val="0000FF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rgbClr val="0000FF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050096997686023E-2"/>
          <c:y val="0.12606144141801962"/>
          <c:w val="0.79574345116207235"/>
          <c:h val="0.78219318345479416"/>
        </c:manualLayout>
      </c:layout>
      <c:areaChart>
        <c:grouping val="stacked"/>
        <c:varyColors val="0"/>
        <c:ser>
          <c:idx val="0"/>
          <c:order val="2"/>
          <c:tx>
            <c:strRef>
              <c:f>'10. GIá bán'!$B$201</c:f>
              <c:strCache>
                <c:ptCount val="1"/>
                <c:pt idx="0">
                  <c:v>GCP</c:v>
                </c:pt>
              </c:strCache>
            </c:strRef>
          </c:tx>
          <c:spPr>
            <a:noFill/>
            <a:ln w="25400">
              <a:noFill/>
            </a:ln>
            <a:effectLst/>
          </c:spPr>
          <c:val>
            <c:numRef>
              <c:f>'10. GIá bán'!$C$201:$P$201</c:f>
              <c:numCache>
                <c:formatCode>_(* #,##0_);_(* \(#,##0\);_(* "-"??_);_(@_)</c:formatCode>
                <c:ptCount val="2"/>
                <c:pt idx="0">
                  <c:v>940</c:v>
                </c:pt>
                <c:pt idx="1">
                  <c:v>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9E-4540-82B1-FA564E88669A}"/>
            </c:ext>
          </c:extLst>
        </c:ser>
        <c:ser>
          <c:idx val="3"/>
          <c:order val="3"/>
          <c:tx>
            <c:strRef>
              <c:f>'10. GIá bán'!$B$202</c:f>
              <c:strCache>
                <c:ptCount val="1"/>
                <c:pt idx="0">
                  <c:v>CL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noFill/>
            </a:ln>
            <a:effectLst/>
          </c:spPr>
          <c:val>
            <c:numRef>
              <c:f>'10. GIá bán'!$C$202:$P$202</c:f>
              <c:numCache>
                <c:formatCode>_(* #,##0_);_(* \(#,##0\);_(* "-"??_);_(@_)</c:formatCode>
                <c:ptCount val="2"/>
                <c:pt idx="0">
                  <c:v>-308.09551384985957</c:v>
                </c:pt>
                <c:pt idx="1">
                  <c:v>-316.58774272858557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9E-4540-82B1-FA564E886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axId val="1917916735"/>
        <c:axId val="1917910079"/>
      </c:areaChart>
      <c:lineChart>
        <c:grouping val="standard"/>
        <c:varyColors val="0"/>
        <c:ser>
          <c:idx val="2"/>
          <c:order val="0"/>
          <c:tx>
            <c:strRef>
              <c:f>'10. GIá bán'!$B$199</c:f>
              <c:strCache>
                <c:ptCount val="1"/>
                <c:pt idx="0">
                  <c:v>Giá Resin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rgbClr val="FF66CC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 GIá bán'!$C$194:$P$194</c:f>
              <c:strCache>
                <c:ptCount val="2"/>
                <c:pt idx="0">
                  <c:v>1.25</c:v>
                </c:pt>
                <c:pt idx="1">
                  <c:v>2</c:v>
                </c:pt>
              </c:strCache>
            </c:strRef>
          </c:cat>
          <c:val>
            <c:numRef>
              <c:f>'10. GIá bán'!$C$199:$P$199</c:f>
              <c:numCache>
                <c:formatCode>_(* #,##0_);_(* \(#,##0\);_(* "-"??_);_(@_)</c:formatCode>
                <c:ptCount val="2"/>
                <c:pt idx="0">
                  <c:v>940</c:v>
                </c:pt>
                <c:pt idx="1">
                  <c:v>945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69E-4540-82B1-FA564E88669A}"/>
            </c:ext>
          </c:extLst>
        </c:ser>
        <c:ser>
          <c:idx val="11"/>
          <c:order val="1"/>
          <c:tx>
            <c:strRef>
              <c:f>'10. GIá bán'!$B$196</c:f>
              <c:strCache>
                <c:ptCount val="1"/>
                <c:pt idx="0">
                  <c:v>Giá duyệt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4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 GIá bán'!$C$194:$P$194</c:f>
              <c:strCache>
                <c:ptCount val="2"/>
                <c:pt idx="0">
                  <c:v>1.25</c:v>
                </c:pt>
                <c:pt idx="1">
                  <c:v>2</c:v>
                </c:pt>
              </c:strCache>
            </c:strRef>
          </c:cat>
          <c:val>
            <c:numRef>
              <c:f>'10. GIá bán'!$C$196:$P$196</c:f>
              <c:numCache>
                <c:formatCode>_(* #,##0_);_(* \(#,##0\);_(* "-"??_);_(@_)</c:formatCode>
                <c:ptCount val="2"/>
                <c:pt idx="0">
                  <c:v>825</c:v>
                </c:pt>
                <c:pt idx="1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9E-4540-82B1-FA564E88669A}"/>
            </c:ext>
          </c:extLst>
        </c:ser>
        <c:ser>
          <c:idx val="1"/>
          <c:order val="5"/>
          <c:tx>
            <c:strRef>
              <c:f>'10. GIá bán'!$B$198</c:f>
              <c:strCache>
                <c:ptCount val="1"/>
                <c:pt idx="0">
                  <c:v>Điểm hoàn vốn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1065090022390095E-2"/>
                  <c:y val="-3.80849766921729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6BF-4253-973B-AFF7B527C2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rgbClr val="FF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 GIá bán'!$C$194:$P$194</c:f>
              <c:strCache>
                <c:ptCount val="2"/>
                <c:pt idx="0">
                  <c:v>1.25</c:v>
                </c:pt>
                <c:pt idx="1">
                  <c:v>2</c:v>
                </c:pt>
              </c:strCache>
            </c:strRef>
          </c:cat>
          <c:val>
            <c:numRef>
              <c:f>'10. GIá bán'!$C$198:$P$198</c:f>
              <c:numCache>
                <c:formatCode>_(* #,##0_);_(* \(#,##0\);_(* "-"??_);_(@_)</c:formatCode>
                <c:ptCount val="2"/>
                <c:pt idx="0">
                  <c:v>673.72306796354871</c:v>
                </c:pt>
                <c:pt idx="1">
                  <c:v>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9E-4540-82B1-FA564E886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dropLines>
        <c:marker val="1"/>
        <c:smooth val="0"/>
        <c:axId val="1917916735"/>
        <c:axId val="1917910079"/>
      </c:lineChart>
      <c:lineChart>
        <c:grouping val="standard"/>
        <c:varyColors val="0"/>
        <c:ser>
          <c:idx val="5"/>
          <c:order val="4"/>
          <c:tx>
            <c:strRef>
              <c:f>'10. GIá bán'!$B$195</c:f>
              <c:strCache>
                <c:ptCount val="1"/>
                <c:pt idx="0">
                  <c:v>Giá bán EXW BQ thực tế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6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5</c:v>
              </c:pt>
              <c:pt idx="2">
                <c:v>Diễn giải</c:v>
              </c:pt>
              <c:pt idx="3">
                <c:v>48</c:v>
              </c:pt>
              <c:pt idx="4">
                <c:v>49</c:v>
              </c:pt>
            </c:strLit>
          </c:cat>
          <c:val>
            <c:numRef>
              <c:f>'10. GIá bán'!$C$195:$P$195</c:f>
              <c:numCache>
                <c:formatCode>0</c:formatCode>
                <c:ptCount val="2"/>
                <c:pt idx="0">
                  <c:v>631.90448615014043</c:v>
                </c:pt>
                <c:pt idx="1">
                  <c:v>628.41225727141443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69E-4540-82B1-FA564E886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marker val="1"/>
        <c:smooth val="0"/>
        <c:axId val="1366633151"/>
        <c:axId val="1366632735"/>
      </c:lineChart>
      <c:catAx>
        <c:axId val="1917916735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17910079"/>
        <c:crosses val="autoZero"/>
        <c:auto val="1"/>
        <c:lblAlgn val="ctr"/>
        <c:lblOffset val="100"/>
        <c:noMultiLvlLbl val="0"/>
      </c:catAx>
      <c:valAx>
        <c:axId val="1917910079"/>
        <c:scaling>
          <c:orientation val="minMax"/>
          <c:min val="500"/>
        </c:scaling>
        <c:delete val="0"/>
        <c:axPos val="l"/>
        <c:numFmt formatCode="[$$-C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17916735"/>
        <c:crosses val="autoZero"/>
        <c:crossBetween val="between"/>
        <c:majorUnit val="100"/>
      </c:valAx>
      <c:valAx>
        <c:axId val="1366632735"/>
        <c:scaling>
          <c:orientation val="minMax"/>
        </c:scaling>
        <c:delete val="1"/>
        <c:axPos val="r"/>
        <c:numFmt formatCode="0" sourceLinked="1"/>
        <c:majorTickMark val="out"/>
        <c:minorTickMark val="none"/>
        <c:tickLblPos val="nextTo"/>
        <c:crossAx val="1366633151"/>
        <c:crosses val="max"/>
        <c:crossBetween val="between"/>
      </c:valAx>
      <c:catAx>
        <c:axId val="13666331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666327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66CC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accent4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accent6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431149683959151"/>
          <c:y val="0.25601879598983718"/>
          <c:w val="0.13866680648627849"/>
          <c:h val="0.608416169451454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rgbClr val="0000FF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400" b="1" baseline="0">
                <a:solidFill>
                  <a:srgbClr val="0000FF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GIÁ </a:t>
            </a:r>
            <a:r>
              <a:rPr lang="en-US" sz="2400" b="1" baseline="0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VẢY </a:t>
            </a:r>
            <a:r>
              <a:rPr lang="en-US" sz="2400" b="1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PP</a:t>
            </a:r>
            <a:r>
              <a:rPr lang="en-US" sz="2400" b="1" baseline="0">
                <a:solidFill>
                  <a:srgbClr val="0000FF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NĂM 2024 &amp;2025 (USD/tấn)</a:t>
            </a:r>
            <a:endParaRPr lang="en-US" sz="2400" b="1">
              <a:solidFill>
                <a:srgbClr val="0000FF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rgbClr val="0000FF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050113415520691E-2"/>
          <c:y val="0.12606143734533315"/>
          <c:w val="0.82500047697884893"/>
          <c:h val="0.78219318345479416"/>
        </c:manualLayout>
      </c:layout>
      <c:areaChart>
        <c:grouping val="stacked"/>
        <c:varyColors val="0"/>
        <c:ser>
          <c:idx val="0"/>
          <c:order val="3"/>
          <c:tx>
            <c:strRef>
              <c:f>'10. GIá bán'!$B$239</c:f>
              <c:strCache>
                <c:ptCount val="1"/>
                <c:pt idx="0">
                  <c:v>GCP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'10. GIá bán'!$C$239:$P$239</c:f>
              <c:numCache>
                <c:formatCode>_(* #,##0_);_(* \(#,##0\);_(* "-"??_);_(@_)</c:formatCode>
                <c:ptCount val="2"/>
                <c:pt idx="0">
                  <c:v>970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5-4A54-83FB-B7B02F6F21D3}"/>
            </c:ext>
          </c:extLst>
        </c:ser>
        <c:ser>
          <c:idx val="3"/>
          <c:order val="4"/>
          <c:tx>
            <c:strRef>
              <c:f>'10. GIá bán'!$B$240</c:f>
              <c:strCache>
                <c:ptCount val="1"/>
                <c:pt idx="0">
                  <c:v>CL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val>
            <c:numRef>
              <c:f>'10. GIá bán'!$C$240:$P$240</c:f>
              <c:numCache>
                <c:formatCode>_(* #,##0_);_(* \(#,##0\);_(* "-"??_);_(@_)</c:formatCode>
                <c:ptCount val="2"/>
                <c:pt idx="0">
                  <c:v>-970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45-4A54-83FB-B7B02F6F2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916735"/>
        <c:axId val="1917910079"/>
      </c:areaChart>
      <c:lineChart>
        <c:grouping val="standard"/>
        <c:varyColors val="0"/>
        <c:ser>
          <c:idx val="13"/>
          <c:order val="0"/>
          <c:tx>
            <c:v>#REF!</c:v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15"/>
              <c:pt idx="0">
                <c:v>T12.23</c:v>
              </c:pt>
              <c:pt idx="1">
                <c:v>T1.24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T1.25</c:v>
              </c:pt>
              <c:pt idx="14">
                <c:v>2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52</c:v>
              </c:pt>
              <c:pt idx="4">
                <c:v>0</c:v>
              </c:pt>
              <c:pt idx="5">
                <c:v>2</c:v>
              </c:pt>
              <c:pt idx="6">
                <c:v>3</c:v>
              </c:pt>
              <c:pt idx="7">
                <c:v>5</c:v>
              </c:pt>
              <c:pt idx="8">
                <c:v>6</c:v>
              </c:pt>
              <c:pt idx="9">
                <c:v>7</c:v>
              </c:pt>
              <c:pt idx="10">
                <c:v>8</c:v>
              </c:pt>
              <c:pt idx="11">
                <c:v>9</c:v>
              </c:pt>
              <c:pt idx="12">
                <c:v>10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745-4A54-83FB-B7B02F6F21D3}"/>
            </c:ext>
          </c:extLst>
        </c:ser>
        <c:ser>
          <c:idx val="2"/>
          <c:order val="1"/>
          <c:tx>
            <c:strRef>
              <c:f>'10. GIá bán'!$B$237</c:f>
              <c:strCache>
                <c:ptCount val="1"/>
                <c:pt idx="0">
                  <c:v>Giá Resin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5"/>
              <c:pt idx="0">
                <c:v>T12.23</c:v>
              </c:pt>
              <c:pt idx="1">
                <c:v>T1.24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T1.25</c:v>
              </c:pt>
              <c:pt idx="14">
                <c:v>2</c:v>
              </c:pt>
            </c:strLit>
          </c:cat>
          <c:val>
            <c:numRef>
              <c:f>'10. GIá bán'!$C$237:$P$237</c:f>
              <c:numCache>
                <c:formatCode>_(* #,##0_);_(* \(#,##0\);_(* "-"??_);_(@_)</c:formatCode>
                <c:ptCount val="2"/>
                <c:pt idx="0">
                  <c:v>970</c:v>
                </c:pt>
                <c:pt idx="1">
                  <c:v>985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8745-4A54-83FB-B7B02F6F21D3}"/>
            </c:ext>
          </c:extLst>
        </c:ser>
        <c:ser>
          <c:idx val="11"/>
          <c:order val="2"/>
          <c:tx>
            <c:strRef>
              <c:f>'10. GIá bán'!$B$234</c:f>
              <c:strCache>
                <c:ptCount val="1"/>
                <c:pt idx="0">
                  <c:v>Giá duyệt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15"/>
              <c:pt idx="0">
                <c:v>T12.23</c:v>
              </c:pt>
              <c:pt idx="1">
                <c:v>T1.24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T1.25</c:v>
              </c:pt>
              <c:pt idx="14">
                <c:v>2</c:v>
              </c:pt>
            </c:strLit>
          </c:cat>
          <c:val>
            <c:numRef>
              <c:f>'10. GIá bán'!$C$234:$P$234</c:f>
              <c:numCache>
                <c:formatCode>_(* #,##0_);_(* \(#,##0\);_(* "-"??_);_(@_)</c:formatCode>
                <c:ptCount val="2"/>
                <c:pt idx="0">
                  <c:v>855</c:v>
                </c:pt>
                <c:pt idx="1">
                  <c:v>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45-4A54-83FB-B7B02F6F2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2700" cap="flat" cmpd="sng" algn="ctr">
              <a:solidFill>
                <a:schemeClr val="bg2"/>
              </a:solidFill>
              <a:round/>
            </a:ln>
            <a:effectLst/>
          </c:spPr>
        </c:dropLines>
        <c:marker val="1"/>
        <c:smooth val="0"/>
        <c:axId val="1917916735"/>
        <c:axId val="1917910079"/>
        <c:extLst/>
      </c:lineChart>
      <c:lineChart>
        <c:grouping val="standard"/>
        <c:varyColors val="0"/>
        <c:ser>
          <c:idx val="5"/>
          <c:order val="5"/>
          <c:tx>
            <c:v>-0,183274021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'10. GIá bán'!$C$232:$O$232</c:f>
              <c:strCache>
                <c:ptCount val="1"/>
                <c:pt idx="0">
                  <c:v>1.25</c:v>
                </c:pt>
              </c:strCache>
            </c:strRef>
          </c:cat>
          <c:val>
            <c:numLit>
              <c:formatCode>General</c:formatCode>
              <c:ptCount val="9"/>
              <c:pt idx="2">
                <c:v>0</c:v>
              </c:pt>
              <c:pt idx="3">
                <c:v>-0.11956521739130435</c:v>
              </c:pt>
              <c:pt idx="4">
                <c:v>-0.11956521739130435</c:v>
              </c:pt>
              <c:pt idx="5">
                <c:v>-0.12903225806451613</c:v>
              </c:pt>
              <c:pt idx="6">
                <c:v>-0.12903225806451613</c:v>
              </c:pt>
              <c:pt idx="7">
                <c:v>-0.12903225806451613</c:v>
              </c:pt>
              <c:pt idx="8">
                <c:v>-0.12903225806451613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8745-4A54-83FB-B7B02F6F21D3}"/>
            </c:ext>
          </c:extLst>
        </c:ser>
        <c:ser>
          <c:idx val="1"/>
          <c:order val="6"/>
          <c:tx>
            <c:strRef>
              <c:f>'10. GIá bán'!$B$236</c:f>
              <c:strCache>
                <c:ptCount val="1"/>
                <c:pt idx="0">
                  <c:v>Điểm hoàn vốn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'10. GIá bán'!$C$232:$O$232</c:f>
              <c:strCache>
                <c:ptCount val="1"/>
                <c:pt idx="0">
                  <c:v>1.25</c:v>
                </c:pt>
              </c:strCache>
            </c:strRef>
          </c:cat>
          <c:val>
            <c:numRef>
              <c:f>'10. GIá bán'!$C$236:$P$236</c:f>
              <c:numCache>
                <c:formatCode>_(* #,##0_);_(* \(#,##0\);_(* "-"??_);_(@_)</c:formatCode>
                <c:ptCount val="2"/>
                <c:pt idx="0">
                  <c:v>790.71342693105714</c:v>
                </c:pt>
                <c:pt idx="1">
                  <c:v>780.14594515953695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45-4A54-83FB-B7B02F6F21D3}"/>
            </c:ext>
          </c:extLst>
        </c:ser>
        <c:ser>
          <c:idx val="4"/>
          <c:order val="7"/>
          <c:tx>
            <c:strRef>
              <c:f>'10. GIá bán'!$B$233</c:f>
              <c:strCache>
                <c:ptCount val="1"/>
                <c:pt idx="0">
                  <c:v>Giá bán EXW BQ thực tế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'10. GIá bán'!$C$232:$O$232</c:f>
              <c:strCache>
                <c:ptCount val="1"/>
                <c:pt idx="0">
                  <c:v>1.25</c:v>
                </c:pt>
              </c:strCache>
            </c:strRef>
          </c:cat>
          <c:val>
            <c:numRef>
              <c:f>'10. GIá bán'!$C$233:$O$233</c:f>
              <c:numCache>
                <c:formatCode>_(* #,##0_);_(* \(#,##0\);_(* "-"??_);_(@_)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45-4A54-83FB-B7B02F6F2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6633151"/>
        <c:axId val="1366632735"/>
      </c:lineChart>
      <c:catAx>
        <c:axId val="1917916735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17910079"/>
        <c:crosses val="autoZero"/>
        <c:auto val="1"/>
        <c:lblAlgn val="ctr"/>
        <c:lblOffset val="100"/>
        <c:noMultiLvlLbl val="0"/>
      </c:catAx>
      <c:valAx>
        <c:axId val="1917910079"/>
        <c:scaling>
          <c:orientation val="minMax"/>
          <c:max val="1100"/>
          <c:min val="700"/>
        </c:scaling>
        <c:delete val="0"/>
        <c:axPos val="l"/>
        <c:numFmt formatCode="[$$-C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17916735"/>
        <c:crosses val="autoZero"/>
        <c:crossBetween val="between"/>
        <c:majorUnit val="100"/>
      </c:valAx>
      <c:valAx>
        <c:axId val="1366632735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366633151"/>
        <c:crosses val="max"/>
        <c:crossBetween val="between"/>
      </c:valAx>
      <c:catAx>
        <c:axId val="13666331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666327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rgbClr val="FF3399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accent4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rgbClr val="FF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accent6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88659700616124171"/>
          <c:y val="0.32173848000644878"/>
          <c:w val="0.11340301999642453"/>
          <c:h val="0.522257762883530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0" baseline="0">
                <a:solidFill>
                  <a:srgbClr val="0000FF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GIÁ HẠT NHỰA </a:t>
            </a:r>
            <a:r>
              <a:rPr lang="en-US" sz="1600" b="1" i="0" u="none" strike="noStrike" kern="1200" spc="0" baseline="0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rHDPE ÉP - </a:t>
            </a:r>
            <a:r>
              <a:rPr lang="en-US" sz="1600" b="1" i="0" u="none" strike="noStrike" kern="1200" spc="0" baseline="0">
                <a:solidFill>
                  <a:srgbClr val="0000FF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NĂM 2024 &amp;2025 (USD/tấn)</a:t>
            </a:r>
          </a:p>
        </c:rich>
      </c:tx>
      <c:layout>
        <c:manualLayout>
          <c:xMode val="edge"/>
          <c:yMode val="edge"/>
          <c:x val="0.21232792363977013"/>
          <c:y val="2.75389408099688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356345755806943E-2"/>
          <c:y val="0.10243905249500741"/>
          <c:w val="0.71838807179700592"/>
          <c:h val="0.78537183060490834"/>
        </c:manualLayout>
      </c:layout>
      <c:areaChart>
        <c:grouping val="stacked"/>
        <c:varyColors val="0"/>
        <c:ser>
          <c:idx val="8"/>
          <c:order val="4"/>
          <c:tx>
            <c:strRef>
              <c:f>'10. GIá bán'!$B$87</c:f>
              <c:strCache>
                <c:ptCount val="1"/>
                <c:pt idx="0">
                  <c:v>Giá Resin 1</c:v>
                </c:pt>
              </c:strCache>
            </c:strRef>
          </c:tx>
          <c:spPr>
            <a:noFill/>
            <a:ln w="25400">
              <a:noFill/>
            </a:ln>
            <a:effectLst/>
          </c:spPr>
          <c:dLbls>
            <c:delete val="1"/>
          </c:dLbls>
          <c:cat>
            <c:strLit>
              <c:ptCount val="17"/>
              <c:pt idx="0">
                <c:v>1.24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1.25</c:v>
              </c:pt>
              <c:pt idx="13">
                <c:v>2</c:v>
              </c:pt>
              <c:pt idx="14">
                <c:v>3</c:v>
              </c:pt>
              <c:pt idx="15">
                <c:v>BQ 25</c:v>
              </c:pt>
              <c:pt idx="16">
                <c:v>BQ 24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bán'!$C$87:$AB$87</c15:sqref>
                  </c15:fullRef>
                </c:ext>
              </c:extLst>
              <c:f>('10. GIá bán'!$C$87:$Q$87,'10. GIá bán'!$AA$87:$AB$87)</c:f>
              <c:numCache>
                <c:formatCode>_(* #,##0_);_(* \(#,##0\);_(* "-"??_);_(@_)</c:formatCode>
                <c:ptCount val="17"/>
                <c:pt idx="0">
                  <c:v>947.5</c:v>
                </c:pt>
                <c:pt idx="1">
                  <c:v>1010</c:v>
                </c:pt>
                <c:pt idx="2">
                  <c:v>995</c:v>
                </c:pt>
                <c:pt idx="3">
                  <c:v>975</c:v>
                </c:pt>
                <c:pt idx="4">
                  <c:v>956</c:v>
                </c:pt>
                <c:pt idx="5">
                  <c:v>980</c:v>
                </c:pt>
                <c:pt idx="6">
                  <c:v>975</c:v>
                </c:pt>
                <c:pt idx="7">
                  <c:v>946</c:v>
                </c:pt>
                <c:pt idx="8">
                  <c:v>932.5</c:v>
                </c:pt>
                <c:pt idx="9">
                  <c:v>926.66666666666663</c:v>
                </c:pt>
                <c:pt idx="10">
                  <c:v>940</c:v>
                </c:pt>
                <c:pt idx="11">
                  <c:v>940</c:v>
                </c:pt>
                <c:pt idx="12">
                  <c:v>940</c:v>
                </c:pt>
                <c:pt idx="13">
                  <c:v>946</c:v>
                </c:pt>
                <c:pt idx="14">
                  <c:v>940</c:v>
                </c:pt>
                <c:pt idx="15">
                  <c:v>942</c:v>
                </c:pt>
                <c:pt idx="16">
                  <c:v>960.30555555555554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0E-4404-87C4-EECEDF317AE1}"/>
            </c:ext>
          </c:extLst>
        </c:ser>
        <c:ser>
          <c:idx val="9"/>
          <c:order val="5"/>
          <c:tx>
            <c:strRef>
              <c:f>'10. GIá bán'!$B$88</c:f>
              <c:strCache>
                <c:ptCount val="1"/>
                <c:pt idx="0">
                  <c:v> +/- giá bán sv giá Resin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dLbls>
            <c:delete val="1"/>
          </c:dLbls>
          <c:cat>
            <c:strLit>
              <c:ptCount val="17"/>
              <c:pt idx="0">
                <c:v>1.24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1.25</c:v>
              </c:pt>
              <c:pt idx="13">
                <c:v>2</c:v>
              </c:pt>
              <c:pt idx="14">
                <c:v>3</c:v>
              </c:pt>
              <c:pt idx="15">
                <c:v>BQ 25</c:v>
              </c:pt>
              <c:pt idx="16">
                <c:v>BQ 24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bán'!$C$88:$AB$88</c15:sqref>
                  </c15:fullRef>
                </c:ext>
              </c:extLst>
              <c:f>('10. GIá bán'!$C$88:$Q$88,'10. GIá bán'!$AA$88:$AB$88)</c:f>
              <c:numCache>
                <c:formatCode>_(* #,##0_);_(* \(#,##0\);_(* "-"??_);_(@_)</c:formatCode>
                <c:ptCount val="17"/>
                <c:pt idx="0">
                  <c:v>-75.085713755632128</c:v>
                </c:pt>
                <c:pt idx="1">
                  <c:v>-329.71428571428567</c:v>
                </c:pt>
                <c:pt idx="2">
                  <c:v>0</c:v>
                </c:pt>
                <c:pt idx="3">
                  <c:v>-138.48118279569883</c:v>
                </c:pt>
                <c:pt idx="4">
                  <c:v>-42.960547945205576</c:v>
                </c:pt>
                <c:pt idx="5">
                  <c:v>-74.301543332014262</c:v>
                </c:pt>
                <c:pt idx="6">
                  <c:v>353.8331342094782</c:v>
                </c:pt>
                <c:pt idx="7">
                  <c:v>19.115150288804671</c:v>
                </c:pt>
                <c:pt idx="8">
                  <c:v>0</c:v>
                </c:pt>
                <c:pt idx="9">
                  <c:v>-60.470886411889637</c:v>
                </c:pt>
                <c:pt idx="10">
                  <c:v>-19.924097734097813</c:v>
                </c:pt>
                <c:pt idx="11">
                  <c:v>-59.474221854767507</c:v>
                </c:pt>
                <c:pt idx="12">
                  <c:v>45.216722017444567</c:v>
                </c:pt>
                <c:pt idx="13">
                  <c:v>-49.143235056921526</c:v>
                </c:pt>
                <c:pt idx="14">
                  <c:v>-270.6460183350614</c:v>
                </c:pt>
                <c:pt idx="15">
                  <c:v>-91.524177124846119</c:v>
                </c:pt>
                <c:pt idx="16">
                  <c:v>-43.435308393419746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0E-4404-87C4-EECEDF317AE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40460704"/>
        <c:axId val="140447264"/>
      </c:areaChart>
      <c:lineChart>
        <c:grouping val="standard"/>
        <c:varyColors val="0"/>
        <c:ser>
          <c:idx val="2"/>
          <c:order val="0"/>
          <c:tx>
            <c:strRef>
              <c:f>'10. GIá bán'!$B$82</c:f>
              <c:strCache>
                <c:ptCount val="1"/>
                <c:pt idx="0">
                  <c:v>Giá bán EXW thựC tế BQ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0862308762169681E-2"/>
                  <c:y val="-3.13588936209206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60E-4404-87C4-EECEDF317AE1}"/>
                </c:ext>
              </c:extLst>
            </c:dLbl>
            <c:dLbl>
              <c:idx val="1"/>
              <c:layout>
                <c:manualLayout>
                  <c:x val="-2.0862308762169681E-2"/>
                  <c:y val="-5.400684628023986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0000FF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201723741416886E-2"/>
                      <c:h val="7.3118624137458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B60E-4404-87C4-EECEDF317AE1}"/>
                </c:ext>
              </c:extLst>
            </c:dLbl>
            <c:dLbl>
              <c:idx val="3"/>
              <c:layout>
                <c:manualLayout>
                  <c:x val="-1.3908205841446504E-2"/>
                  <c:y val="1.39372860537425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60E-4404-87C4-EECEDF317AE1}"/>
                </c:ext>
              </c:extLst>
            </c:dLbl>
            <c:dLbl>
              <c:idx val="4"/>
              <c:layout>
                <c:manualLayout>
                  <c:x val="-2.2253129346314324E-2"/>
                  <c:y val="6.96864302687123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60E-4404-87C4-EECEDF317AE1}"/>
                </c:ext>
              </c:extLst>
            </c:dLbl>
            <c:dLbl>
              <c:idx val="5"/>
              <c:layout>
                <c:manualLayout>
                  <c:x val="-2.3643949930458971E-2"/>
                  <c:y val="1.742160756717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60E-4404-87C4-EECEDF317AE1}"/>
                </c:ext>
              </c:extLst>
            </c:dLbl>
            <c:dLbl>
              <c:idx val="6"/>
              <c:layout>
                <c:manualLayout>
                  <c:x val="-3.1988873435326894E-2"/>
                  <c:y val="-3.48432151343562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60E-4404-87C4-EECEDF317AE1}"/>
                </c:ext>
              </c:extLst>
            </c:dLbl>
            <c:dLbl>
              <c:idx val="7"/>
              <c:layout>
                <c:manualLayout>
                  <c:x val="-1.5299026425591099E-2"/>
                  <c:y val="-8.013939480901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60E-4404-87C4-EECEDF317AE1}"/>
                </c:ext>
              </c:extLst>
            </c:dLbl>
            <c:dLbl>
              <c:idx val="9"/>
              <c:layout>
                <c:manualLayout>
                  <c:x val="-1.3908205841446555E-2"/>
                  <c:y val="5.57491442149700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60E-4404-87C4-EECEDF317AE1}"/>
                </c:ext>
              </c:extLst>
            </c:dLbl>
            <c:dLbl>
              <c:idx val="10"/>
              <c:layout>
                <c:manualLayout>
                  <c:x val="-1.9471488178025138E-2"/>
                  <c:y val="2.78745721074850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B60E-4404-87C4-EECEDF317AE1}"/>
                </c:ext>
              </c:extLst>
            </c:dLbl>
            <c:dLbl>
              <c:idx val="11"/>
              <c:layout>
                <c:manualLayout>
                  <c:x val="-2.2253129346314324E-2"/>
                  <c:y val="3.13588936209206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60E-4404-87C4-EECEDF317AE1}"/>
                </c:ext>
              </c:extLst>
            </c:dLbl>
            <c:dLbl>
              <c:idx val="12"/>
              <c:layout>
                <c:manualLayout>
                  <c:x val="-1.8080667593880492E-2"/>
                  <c:y val="-4.52961796746632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B60E-4404-87C4-EECEDF317A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bán'!$C$81:$AB$81</c15:sqref>
                  </c15:fullRef>
                </c:ext>
              </c:extLst>
              <c:f>('10. GIá bán'!$C$81:$Q$81,'10. GIá bán'!$AA$81:$AB$81)</c:f>
              <c:strCache>
                <c:ptCount val="17"/>
                <c:pt idx="0">
                  <c:v>1.24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1.25</c:v>
                </c:pt>
                <c:pt idx="13">
                  <c:v>2</c:v>
                </c:pt>
                <c:pt idx="14">
                  <c:v>3</c:v>
                </c:pt>
                <c:pt idx="15">
                  <c:v>BQ 25</c:v>
                </c:pt>
                <c:pt idx="16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bán'!$C$82:$AB$82</c15:sqref>
                  </c15:fullRef>
                </c:ext>
              </c:extLst>
              <c:f>('10. GIá bán'!$C$82:$Q$82,'10. GIá bán'!$AA$82:$AB$82)</c:f>
              <c:numCache>
                <c:formatCode>_(* #,##0_);_(* \(#,##0\);_(* "-"??_);_(@_)</c:formatCode>
                <c:ptCount val="17"/>
                <c:pt idx="0">
                  <c:v>872.41428624436787</c:v>
                </c:pt>
                <c:pt idx="1">
                  <c:v>680.28571428571433</c:v>
                </c:pt>
                <c:pt idx="2">
                  <c:v>0</c:v>
                </c:pt>
                <c:pt idx="3">
                  <c:v>836.51881720430117</c:v>
                </c:pt>
                <c:pt idx="4">
                  <c:v>913.03945205479442</c:v>
                </c:pt>
                <c:pt idx="5">
                  <c:v>905.69845666798574</c:v>
                </c:pt>
                <c:pt idx="6">
                  <c:v>1328.8331342094782</c:v>
                </c:pt>
                <c:pt idx="7">
                  <c:v>965.11515028880467</c:v>
                </c:pt>
                <c:pt idx="8">
                  <c:v>0</c:v>
                </c:pt>
                <c:pt idx="9">
                  <c:v>866.19578025477699</c:v>
                </c:pt>
                <c:pt idx="10">
                  <c:v>920.07590226590219</c:v>
                </c:pt>
                <c:pt idx="11">
                  <c:v>880.52577814523249</c:v>
                </c:pt>
                <c:pt idx="12" formatCode="0">
                  <c:v>985.21672201744457</c:v>
                </c:pt>
                <c:pt idx="13" formatCode="0">
                  <c:v>896.85676494307847</c:v>
                </c:pt>
                <c:pt idx="14" formatCode="0">
                  <c:v>669.3539816649386</c:v>
                </c:pt>
                <c:pt idx="15">
                  <c:v>850.47582287515388</c:v>
                </c:pt>
                <c:pt idx="16">
                  <c:v>916.8702471621358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60E-4404-87C4-EECEDF317AE1}"/>
            </c:ext>
          </c:extLst>
        </c:ser>
        <c:ser>
          <c:idx val="3"/>
          <c:order val="1"/>
          <c:tx>
            <c:strRef>
              <c:f>'10. GIá bán'!$B$83</c:f>
              <c:strCache>
                <c:ptCount val="1"/>
                <c:pt idx="0">
                  <c:v>Giá duyệt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2253129346314324E-2"/>
                  <c:y val="-5.57491442149700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B60E-4404-87C4-EECEDF317AE1}"/>
                </c:ext>
              </c:extLst>
            </c:dLbl>
            <c:dLbl>
              <c:idx val="1"/>
              <c:layout>
                <c:manualLayout>
                  <c:x val="-2.0862308762169681E-2"/>
                  <c:y val="2.0905929080613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B60E-4404-87C4-EECEDF317AE1}"/>
                </c:ext>
              </c:extLst>
            </c:dLbl>
            <c:dLbl>
              <c:idx val="2"/>
              <c:layout>
                <c:manualLayout>
                  <c:x val="-1.9471488178025059E-2"/>
                  <c:y val="2.0905929080613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B60E-4404-87C4-EECEDF317AE1}"/>
                </c:ext>
              </c:extLst>
            </c:dLbl>
            <c:dLbl>
              <c:idx val="3"/>
              <c:layout>
                <c:manualLayout>
                  <c:x val="-1.9471488178025034E-2"/>
                  <c:y val="1.742160756717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B60E-4404-87C4-EECEDF317AE1}"/>
                </c:ext>
              </c:extLst>
            </c:dLbl>
            <c:dLbl>
              <c:idx val="4"/>
              <c:layout>
                <c:manualLayout>
                  <c:x val="-1.9471488178025034E-2"/>
                  <c:y val="3.8327536647791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B60E-4404-87C4-EECEDF317AE1}"/>
                </c:ext>
              </c:extLst>
            </c:dLbl>
            <c:dLbl>
              <c:idx val="5"/>
              <c:layout>
                <c:manualLayout>
                  <c:x val="-2.2253129346314324E-2"/>
                  <c:y val="6.96864302687123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B60E-4404-87C4-EECEDF317AE1}"/>
                </c:ext>
              </c:extLst>
            </c:dLbl>
            <c:dLbl>
              <c:idx val="6"/>
              <c:layout>
                <c:manualLayout>
                  <c:x val="-1.9471488178025086E-2"/>
                  <c:y val="2.0905929080613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B60E-4404-87C4-EECEDF317AE1}"/>
                </c:ext>
              </c:extLst>
            </c:dLbl>
            <c:dLbl>
              <c:idx val="7"/>
              <c:layout>
                <c:manualLayout>
                  <c:x val="-3.198887343532679E-2"/>
                  <c:y val="4.87805011880986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B60E-4404-87C4-EECEDF317AE1}"/>
                </c:ext>
              </c:extLst>
            </c:dLbl>
            <c:dLbl>
              <c:idx val="8"/>
              <c:layout>
                <c:manualLayout>
                  <c:x val="-2.0862308762169681E-2"/>
                  <c:y val="2.0905929080613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B60E-4404-87C4-EECEDF317AE1}"/>
                </c:ext>
              </c:extLst>
            </c:dLbl>
            <c:dLbl>
              <c:idx val="9"/>
              <c:layout>
                <c:manualLayout>
                  <c:x val="-8.3449235048679744E-3"/>
                  <c:y val="3.13588936209206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B60E-4404-87C4-EECEDF317AE1}"/>
                </c:ext>
              </c:extLst>
            </c:dLbl>
            <c:dLbl>
              <c:idx val="10"/>
              <c:layout>
                <c:manualLayout>
                  <c:x val="-1.6689847009735845E-2"/>
                  <c:y val="2.43902505940493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B60E-4404-87C4-EECEDF317AE1}"/>
                </c:ext>
              </c:extLst>
            </c:dLbl>
            <c:dLbl>
              <c:idx val="11"/>
              <c:layout>
                <c:manualLayout>
                  <c:x val="-1.9471488178025034E-2"/>
                  <c:y val="5.9233465728405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B60E-4404-87C4-EECEDF317AE1}"/>
                </c:ext>
              </c:extLst>
            </c:dLbl>
            <c:dLbl>
              <c:idx val="12"/>
              <c:layout>
                <c:manualLayout>
                  <c:x val="-1.6689847009735845E-2"/>
                  <c:y val="2.0905929080613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B60E-4404-87C4-EECEDF317A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CC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bán'!$C$81:$AB$81</c15:sqref>
                  </c15:fullRef>
                </c:ext>
              </c:extLst>
              <c:f>('10. GIá bán'!$C$81:$Q$81,'10. GIá bán'!$AA$81:$AB$81)</c:f>
              <c:strCache>
                <c:ptCount val="17"/>
                <c:pt idx="0">
                  <c:v>1.24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1.25</c:v>
                </c:pt>
                <c:pt idx="13">
                  <c:v>2</c:v>
                </c:pt>
                <c:pt idx="14">
                  <c:v>3</c:v>
                </c:pt>
                <c:pt idx="15">
                  <c:v>BQ 25</c:v>
                </c:pt>
                <c:pt idx="16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bán'!$C$83:$AB$83</c15:sqref>
                  </c15:fullRef>
                </c:ext>
              </c:extLst>
              <c:f>('10. GIá bán'!$C$83:$Q$83,'10. GIá bán'!$AA$83:$AB$83)</c:f>
              <c:numCache>
                <c:formatCode>General</c:formatCode>
                <c:ptCount val="17"/>
                <c:pt idx="0">
                  <c:v>950</c:v>
                </c:pt>
                <c:pt idx="1">
                  <c:v>950</c:v>
                </c:pt>
                <c:pt idx="2">
                  <c:v>950</c:v>
                </c:pt>
                <c:pt idx="3">
                  <c:v>950</c:v>
                </c:pt>
                <c:pt idx="4">
                  <c:v>920</c:v>
                </c:pt>
                <c:pt idx="5">
                  <c:v>920</c:v>
                </c:pt>
                <c:pt idx="6">
                  <c:v>920</c:v>
                </c:pt>
                <c:pt idx="7">
                  <c:v>920</c:v>
                </c:pt>
                <c:pt idx="8">
                  <c:v>890</c:v>
                </c:pt>
                <c:pt idx="9">
                  <c:v>880</c:v>
                </c:pt>
                <c:pt idx="10">
                  <c:v>870</c:v>
                </c:pt>
                <c:pt idx="11">
                  <c:v>870</c:v>
                </c:pt>
                <c:pt idx="12">
                  <c:v>870</c:v>
                </c:pt>
                <c:pt idx="13">
                  <c:v>800</c:v>
                </c:pt>
                <c:pt idx="14">
                  <c:v>805</c:v>
                </c:pt>
                <c:pt idx="15" formatCode="_(* #,##0_);_(* \(#,##0\);_(* &quot;-&quot;??_);_(@_)">
                  <c:v>825</c:v>
                </c:pt>
                <c:pt idx="16" formatCode="_(* #,##0_);_(* \(#,##0\);_(* &quot;-&quot;??_);_(@_)">
                  <c:v>915.83333333333337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60E-4404-87C4-EECEDF317AE1}"/>
            </c:ext>
          </c:extLst>
        </c:ser>
        <c:ser>
          <c:idx val="6"/>
          <c:order val="2"/>
          <c:tx>
            <c:strRef>
              <c:f>'10. GIá bán'!$B$85</c:f>
              <c:strCache>
                <c:ptCount val="1"/>
                <c:pt idx="0">
                  <c:v>Điểm hoàn vốn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3643949930458971E-2"/>
                  <c:y val="2.0905929080613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B60E-4404-87C4-EECEDF317AE1}"/>
                </c:ext>
              </c:extLst>
            </c:dLbl>
            <c:dLbl>
              <c:idx val="1"/>
              <c:layout>
                <c:manualLayout>
                  <c:x val="-3.4770514603616118E-2"/>
                  <c:y val="3.48432151343562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B60E-4404-87C4-EECEDF317AE1}"/>
                </c:ext>
              </c:extLst>
            </c:dLbl>
            <c:dLbl>
              <c:idx val="2"/>
              <c:layout>
                <c:manualLayout>
                  <c:x val="-2.0862308762169705E-2"/>
                  <c:y val="2.43902505940493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B60E-4404-87C4-EECEDF317AE1}"/>
                </c:ext>
              </c:extLst>
            </c:dLbl>
            <c:dLbl>
              <c:idx val="3"/>
              <c:layout>
                <c:manualLayout>
                  <c:x val="-2.0862308762169681E-2"/>
                  <c:y val="2.0905929080613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B60E-4404-87C4-EECEDF317AE1}"/>
                </c:ext>
              </c:extLst>
            </c:dLbl>
            <c:dLbl>
              <c:idx val="4"/>
              <c:layout>
                <c:manualLayout>
                  <c:x val="-2.2253129346314324E-2"/>
                  <c:y val="2.0905929080613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B60E-4404-87C4-EECEDF317AE1}"/>
                </c:ext>
              </c:extLst>
            </c:dLbl>
            <c:dLbl>
              <c:idx val="5"/>
              <c:layout>
                <c:manualLayout>
                  <c:x val="-2.9207232267037603E-2"/>
                  <c:y val="2.0905929080613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B60E-4404-87C4-EECEDF317AE1}"/>
                </c:ext>
              </c:extLst>
            </c:dLbl>
            <c:dLbl>
              <c:idx val="6"/>
              <c:layout>
                <c:manualLayout>
                  <c:x val="-1.5299026425591099E-2"/>
                  <c:y val="2.0905929080613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B60E-4404-87C4-EECEDF317AE1}"/>
                </c:ext>
              </c:extLst>
            </c:dLbl>
            <c:dLbl>
              <c:idx val="7"/>
              <c:layout>
                <c:manualLayout>
                  <c:x val="-5.5632823365785811E-3"/>
                  <c:y val="2.78745721074850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B60E-4404-87C4-EECEDF317AE1}"/>
                </c:ext>
              </c:extLst>
            </c:dLbl>
            <c:dLbl>
              <c:idx val="8"/>
              <c:layout>
                <c:manualLayout>
                  <c:x val="-2.0862308762169681E-2"/>
                  <c:y val="-3.83275366477918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B60E-4404-87C4-EECEDF317AE1}"/>
                </c:ext>
              </c:extLst>
            </c:dLbl>
            <c:dLbl>
              <c:idx val="9"/>
              <c:layout>
                <c:manualLayout>
                  <c:x val="-2.2253129346314324E-2"/>
                  <c:y val="-7.31707517821482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B60E-4404-87C4-EECEDF317AE1}"/>
                </c:ext>
              </c:extLst>
            </c:dLbl>
            <c:dLbl>
              <c:idx val="10"/>
              <c:layout>
                <c:manualLayout>
                  <c:x val="-2.7816411682893009E-2"/>
                  <c:y val="-2.78745721074849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B60E-4404-87C4-EECEDF317AE1}"/>
                </c:ext>
              </c:extLst>
            </c:dLbl>
            <c:dLbl>
              <c:idx val="11"/>
              <c:layout>
                <c:manualLayout>
                  <c:x val="-2.2253129346314324E-2"/>
                  <c:y val="-6.62021087552768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B60E-4404-87C4-EECEDF317AE1}"/>
                </c:ext>
              </c:extLst>
            </c:dLbl>
            <c:dLbl>
              <c:idx val="12"/>
              <c:layout>
                <c:manualLayout>
                  <c:x val="-8.3449235048678721E-3"/>
                  <c:y val="-6.968643026871251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B60E-4404-87C4-EECEDF317A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bán'!$C$81:$AB$81</c15:sqref>
                  </c15:fullRef>
                </c:ext>
              </c:extLst>
              <c:f>('10. GIá bán'!$C$81:$Q$81,'10. GIá bán'!$AA$81:$AB$81)</c:f>
              <c:strCache>
                <c:ptCount val="17"/>
                <c:pt idx="0">
                  <c:v>1.24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1.25</c:v>
                </c:pt>
                <c:pt idx="13">
                  <c:v>2</c:v>
                </c:pt>
                <c:pt idx="14">
                  <c:v>3</c:v>
                </c:pt>
                <c:pt idx="15">
                  <c:v>BQ 25</c:v>
                </c:pt>
                <c:pt idx="16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bán'!$C$85:$AB$85</c15:sqref>
                  </c15:fullRef>
                </c:ext>
              </c:extLst>
              <c:f>('10. GIá bán'!$C$85:$Q$85,'10. GIá bán'!$AA$85:$AB$85)</c:f>
              <c:numCache>
                <c:formatCode>_(* #,##0_);_(* \(#,##0\);_(* "-"??_);_(@_)</c:formatCode>
                <c:ptCount val="17"/>
                <c:pt idx="0">
                  <c:v>700</c:v>
                </c:pt>
                <c:pt idx="1">
                  <c:v>700</c:v>
                </c:pt>
                <c:pt idx="2">
                  <c:v>700</c:v>
                </c:pt>
                <c:pt idx="3">
                  <c:v>700</c:v>
                </c:pt>
                <c:pt idx="4">
                  <c:v>700</c:v>
                </c:pt>
                <c:pt idx="5">
                  <c:v>700</c:v>
                </c:pt>
                <c:pt idx="6">
                  <c:v>867</c:v>
                </c:pt>
                <c:pt idx="7">
                  <c:v>896</c:v>
                </c:pt>
                <c:pt idx="8">
                  <c:v>917</c:v>
                </c:pt>
                <c:pt idx="9">
                  <c:v>929.83940375991074</c:v>
                </c:pt>
                <c:pt idx="10">
                  <c:v>937.6525486806504</c:v>
                </c:pt>
                <c:pt idx="11">
                  <c:v>903.25545215030104</c:v>
                </c:pt>
                <c:pt idx="12">
                  <c:v>892.9656675146</c:v>
                </c:pt>
                <c:pt idx="13">
                  <c:v>888</c:v>
                </c:pt>
                <c:pt idx="14" formatCode="General">
                  <c:v>889</c:v>
                </c:pt>
                <c:pt idx="15">
                  <c:v>889.98855583819989</c:v>
                </c:pt>
                <c:pt idx="16">
                  <c:v>804.22895038257184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60E-4404-87C4-EECEDF317AE1}"/>
            </c:ext>
          </c:extLst>
        </c:ser>
        <c:ser>
          <c:idx val="7"/>
          <c:order val="3"/>
          <c:tx>
            <c:strRef>
              <c:f>'10. GIá bán'!$B$86</c:f>
              <c:strCache>
                <c:ptCount val="1"/>
                <c:pt idx="0">
                  <c:v>Giá Resin</c:v>
                </c:pt>
              </c:strCache>
            </c:strRef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3643949930458971E-2"/>
                  <c:y val="-2.78745721074850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0-B60E-4404-87C4-EECEDF317AE1}"/>
                </c:ext>
              </c:extLst>
            </c:dLbl>
            <c:dLbl>
              <c:idx val="1"/>
              <c:layout>
                <c:manualLayout>
                  <c:x val="-2.5034770514603615E-2"/>
                  <c:y val="-2.78745721074850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B60E-4404-87C4-EECEDF317AE1}"/>
                </c:ext>
              </c:extLst>
            </c:dLbl>
            <c:dLbl>
              <c:idx val="2"/>
              <c:layout>
                <c:manualLayout>
                  <c:x val="-1.9471488178025059E-2"/>
                  <c:y val="-2.78745721074850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2-B60E-4404-87C4-EECEDF317AE1}"/>
                </c:ext>
              </c:extLst>
            </c:dLbl>
            <c:dLbl>
              <c:idx val="3"/>
              <c:layout>
                <c:manualLayout>
                  <c:x val="-1.9471488178025034E-2"/>
                  <c:y val="-3.83275366477919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B60E-4404-87C4-EECEDF317AE1}"/>
                </c:ext>
              </c:extLst>
            </c:dLbl>
            <c:dLbl>
              <c:idx val="4"/>
              <c:layout>
                <c:manualLayout>
                  <c:x val="-2.3643949930458971E-2"/>
                  <c:y val="-3.13588936209205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4-B60E-4404-87C4-EECEDF317AE1}"/>
                </c:ext>
              </c:extLst>
            </c:dLbl>
            <c:dLbl>
              <c:idx val="5"/>
              <c:layout>
                <c:manualLayout>
                  <c:x val="-2.7816411682892957E-2"/>
                  <c:y val="-2.78745721074850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5-B60E-4404-87C4-EECEDF317AE1}"/>
                </c:ext>
              </c:extLst>
            </c:dLbl>
            <c:dLbl>
              <c:idx val="6"/>
              <c:layout>
                <c:manualLayout>
                  <c:x val="-2.2253129346314376E-2"/>
                  <c:y val="2.78745721074848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B60E-4404-87C4-EECEDF317AE1}"/>
                </c:ext>
              </c:extLst>
            </c:dLbl>
            <c:dLbl>
              <c:idx val="7"/>
              <c:layout>
                <c:manualLayout>
                  <c:x val="-1.2517385257301807E-2"/>
                  <c:y val="-3.83275366477919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7-B60E-4404-87C4-EECEDF317AE1}"/>
                </c:ext>
              </c:extLst>
            </c:dLbl>
            <c:dLbl>
              <c:idx val="8"/>
              <c:layout>
                <c:manualLayout>
                  <c:x val="-1.8080667593880391E-2"/>
                  <c:y val="-6.62021087552769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8-B60E-4404-87C4-EECEDF317AE1}"/>
                </c:ext>
              </c:extLst>
            </c:dLbl>
            <c:dLbl>
              <c:idx val="9"/>
              <c:layout>
                <c:manualLayout>
                  <c:x val="-2.2253129346314324E-2"/>
                  <c:y val="-3.48432151343562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B60E-4404-87C4-EECEDF317AE1}"/>
                </c:ext>
              </c:extLst>
            </c:dLbl>
            <c:dLbl>
              <c:idx val="10"/>
              <c:layout>
                <c:manualLayout>
                  <c:x val="-2.2253129346314428E-2"/>
                  <c:y val="-5.22648227015344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A-B60E-4404-87C4-EECEDF317AE1}"/>
                </c:ext>
              </c:extLst>
            </c:dLbl>
            <c:dLbl>
              <c:idx val="11"/>
              <c:layout>
                <c:manualLayout>
                  <c:x val="-2.3643949930458971E-2"/>
                  <c:y val="-7.66550732955838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B-B60E-4404-87C4-EECEDF317AE1}"/>
                </c:ext>
              </c:extLst>
            </c:dLbl>
            <c:dLbl>
              <c:idx val="12"/>
              <c:layout>
                <c:manualLayout>
                  <c:x val="-4.1724617524340384E-3"/>
                  <c:y val="-1.04529645403068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B60E-4404-87C4-EECEDF317A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bán'!$C$81:$AB$81</c15:sqref>
                  </c15:fullRef>
                </c:ext>
              </c:extLst>
              <c:f>('10. GIá bán'!$C$81:$Q$81,'10. GIá bán'!$AA$81:$AB$81)</c:f>
              <c:strCache>
                <c:ptCount val="17"/>
                <c:pt idx="0">
                  <c:v>1.24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1.25</c:v>
                </c:pt>
                <c:pt idx="13">
                  <c:v>2</c:v>
                </c:pt>
                <c:pt idx="14">
                  <c:v>3</c:v>
                </c:pt>
                <c:pt idx="15">
                  <c:v>BQ 25</c:v>
                </c:pt>
                <c:pt idx="16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bán'!$C$86:$AB$86</c15:sqref>
                  </c15:fullRef>
                </c:ext>
              </c:extLst>
              <c:f>('10. GIá bán'!$C$86:$Q$86,'10. GIá bán'!$AA$86:$AB$86)</c:f>
              <c:numCache>
                <c:formatCode>_(* #,##0_);_(* \(#,##0\);_(* "-"??_);_(@_)</c:formatCode>
                <c:ptCount val="17"/>
                <c:pt idx="0">
                  <c:v>947.5</c:v>
                </c:pt>
                <c:pt idx="1">
                  <c:v>1010</c:v>
                </c:pt>
                <c:pt idx="2">
                  <c:v>995</c:v>
                </c:pt>
                <c:pt idx="3">
                  <c:v>975</c:v>
                </c:pt>
                <c:pt idx="4">
                  <c:v>956</c:v>
                </c:pt>
                <c:pt idx="5">
                  <c:v>980</c:v>
                </c:pt>
                <c:pt idx="6">
                  <c:v>975</c:v>
                </c:pt>
                <c:pt idx="7">
                  <c:v>946</c:v>
                </c:pt>
                <c:pt idx="8">
                  <c:v>932.5</c:v>
                </c:pt>
                <c:pt idx="9">
                  <c:v>926.66666666666663</c:v>
                </c:pt>
                <c:pt idx="10">
                  <c:v>940</c:v>
                </c:pt>
                <c:pt idx="11">
                  <c:v>940</c:v>
                </c:pt>
                <c:pt idx="12">
                  <c:v>940</c:v>
                </c:pt>
                <c:pt idx="13">
                  <c:v>946</c:v>
                </c:pt>
                <c:pt idx="14" formatCode="General">
                  <c:v>940</c:v>
                </c:pt>
                <c:pt idx="15">
                  <c:v>942</c:v>
                </c:pt>
                <c:pt idx="16">
                  <c:v>960.30555555555554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B60E-4404-87C4-EECEDF317AE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0460704"/>
        <c:axId val="140447264"/>
      </c:lineChart>
      <c:lineChart>
        <c:grouping val="standard"/>
        <c:varyColors val="0"/>
        <c:ser>
          <c:idx val="0"/>
          <c:order val="6"/>
          <c:tx>
            <c:strRef>
              <c:f>'10. GIá bán'!$B$89</c:f>
              <c:strCache>
                <c:ptCount val="1"/>
                <c:pt idx="0">
                  <c:v>% +/- giá bán sv giá Resin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5299026425591111E-2"/>
                  <c:y val="-0.31707325772264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B60E-4404-87C4-EECEDF317AE1}"/>
                </c:ext>
              </c:extLst>
            </c:dLbl>
            <c:dLbl>
              <c:idx val="1"/>
              <c:layout>
                <c:manualLayout>
                  <c:x val="-1.9471488178025034E-2"/>
                  <c:y val="-0.4703834043138095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F-B60E-4404-87C4-EECEDF317AE1}"/>
                </c:ext>
              </c:extLst>
            </c:dLbl>
            <c:dLbl>
              <c:idx val="2"/>
              <c:layout>
                <c:manualLayout>
                  <c:x val="-1.8080667593880415E-2"/>
                  <c:y val="-0.2961673286420282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B60E-4404-87C4-EECEDF317AE1}"/>
                </c:ext>
              </c:extLst>
            </c:dLbl>
            <c:dLbl>
              <c:idx val="3"/>
              <c:layout>
                <c:manualLayout>
                  <c:x val="-2.6425591098748313E-2"/>
                  <c:y val="-0.331010543776384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1-B60E-4404-87C4-EECEDF317AE1}"/>
                </c:ext>
              </c:extLst>
            </c:dLbl>
            <c:dLbl>
              <c:idx val="4"/>
              <c:layout>
                <c:manualLayout>
                  <c:x val="-1.3908205841446504E-2"/>
                  <c:y val="-0.3101046146957707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B60E-4404-87C4-EECEDF317AE1}"/>
                </c:ext>
              </c:extLst>
            </c:dLbl>
            <c:dLbl>
              <c:idx val="5"/>
              <c:layout>
                <c:manualLayout>
                  <c:x val="-2.5034715757887755E-2"/>
                  <c:y val="-0.3108976407851081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accent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7642613866590733E-2"/>
                      <c:h val="8.198526214306622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3-B60E-4404-87C4-EECEDF317AE1}"/>
                </c:ext>
              </c:extLst>
            </c:dLbl>
            <c:dLbl>
              <c:idx val="6"/>
              <c:layout>
                <c:manualLayout>
                  <c:x val="-2.0862308762169681E-2"/>
                  <c:y val="6.968643026871220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4-B60E-4404-87C4-EECEDF317AE1}"/>
                </c:ext>
              </c:extLst>
            </c:dLbl>
            <c:dLbl>
              <c:idx val="7"/>
              <c:layout>
                <c:manualLayout>
                  <c:x val="-1.8080667593880391E-2"/>
                  <c:y val="-0.2717770780479788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5-B60E-4404-87C4-EECEDF317AE1}"/>
                </c:ext>
              </c:extLst>
            </c:dLbl>
            <c:dLbl>
              <c:idx val="8"/>
              <c:layout>
                <c:manualLayout>
                  <c:x val="-2.5034770514603615E-2"/>
                  <c:y val="-0.2961673286420282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6-B60E-4404-87C4-EECEDF317AE1}"/>
                </c:ext>
              </c:extLst>
            </c:dLbl>
            <c:dLbl>
              <c:idx val="9"/>
              <c:layout>
                <c:manualLayout>
                  <c:x val="-1.5299026425591201E-2"/>
                  <c:y val="-0.2682927565345431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7-B60E-4404-87C4-EECEDF317AE1}"/>
                </c:ext>
              </c:extLst>
            </c:dLbl>
            <c:dLbl>
              <c:idx val="10"/>
              <c:layout>
                <c:manualLayout>
                  <c:x val="-2.3643949930458971E-2"/>
                  <c:y val="-0.2822300425882857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8-B60E-4404-87C4-EECEDF317AE1}"/>
                </c:ext>
              </c:extLst>
            </c:dLbl>
            <c:dLbl>
              <c:idx val="11"/>
              <c:layout>
                <c:manualLayout>
                  <c:x val="-2.5034770514603615E-2"/>
                  <c:y val="-0.2822300425882857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9-B60E-4404-87C4-EECEDF317AE1}"/>
                </c:ext>
              </c:extLst>
            </c:dLbl>
            <c:dLbl>
              <c:idx val="12"/>
              <c:layout>
                <c:manualLayout>
                  <c:x val="-2.642553634203235E-2"/>
                  <c:y val="-0.2613239763296595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accent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7983310152990257E-2"/>
                      <c:h val="6.26656595971520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A-B60E-4404-87C4-EECEDF317A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1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25</c:v>
              </c:pt>
              <c:pt idx="16">
                <c:v>26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bán'!$C$89:$AB$89</c15:sqref>
                  </c15:fullRef>
                </c:ext>
              </c:extLst>
              <c:f>('10. GIá bán'!$C$89:$Q$89,'10. GIá bán'!$AA$89:$AB$89)</c:f>
              <c:numCache>
                <c:formatCode>0%</c:formatCode>
                <c:ptCount val="17"/>
                <c:pt idx="0">
                  <c:v>-7.9246135889849217E-2</c:v>
                </c:pt>
                <c:pt idx="1">
                  <c:v>-0.32644978783592637</c:v>
                </c:pt>
                <c:pt idx="2">
                  <c:v>0</c:v>
                </c:pt>
                <c:pt idx="3">
                  <c:v>-0.14203198235456291</c:v>
                </c:pt>
                <c:pt idx="4">
                  <c:v>-4.4937811658164829E-2</c:v>
                </c:pt>
                <c:pt idx="5">
                  <c:v>-7.581790135919822E-2</c:v>
                </c:pt>
                <c:pt idx="6">
                  <c:v>0.3629057786763879</c:v>
                </c:pt>
                <c:pt idx="7">
                  <c:v>2.0206289945882316E-2</c:v>
                </c:pt>
                <c:pt idx="8">
                  <c:v>0</c:v>
                </c:pt>
                <c:pt idx="9">
                  <c:v>-6.5256352243046378E-2</c:v>
                </c:pt>
                <c:pt idx="10">
                  <c:v>-2.1195848653295546E-2</c:v>
                </c:pt>
                <c:pt idx="11">
                  <c:v>-6.3270448781667557E-2</c:v>
                </c:pt>
                <c:pt idx="12">
                  <c:v>4.8102895763238902E-2</c:v>
                </c:pt>
                <c:pt idx="13">
                  <c:v>-5.1948451434377936E-2</c:v>
                </c:pt>
                <c:pt idx="14">
                  <c:v>-0.28792129610112915</c:v>
                </c:pt>
                <c:pt idx="15">
                  <c:v>-9.7159423699412009E-2</c:v>
                </c:pt>
                <c:pt idx="16">
                  <c:v>-4.5230716559055591E-2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B60E-4404-87C4-EECEDF317AE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1551360"/>
        <c:axId val="161552320"/>
      </c:lineChart>
      <c:catAx>
        <c:axId val="140460704"/>
        <c:scaling>
          <c:orientation val="minMax"/>
        </c:scaling>
        <c:delete val="0"/>
        <c:axPos val="b"/>
        <c:majorGridlines>
          <c:spPr>
            <a:ln w="0" cap="rnd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47264"/>
        <c:crosses val="autoZero"/>
        <c:auto val="1"/>
        <c:lblAlgn val="ctr"/>
        <c:lblOffset val="100"/>
        <c:noMultiLvlLbl val="0"/>
      </c:catAx>
      <c:valAx>
        <c:axId val="140447264"/>
        <c:scaling>
          <c:orientation val="minMax"/>
          <c:max val="1500"/>
          <c:min val="600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60704"/>
        <c:crosses val="autoZero"/>
        <c:crossBetween val="between"/>
      </c:valAx>
      <c:valAx>
        <c:axId val="161552320"/>
        <c:scaling>
          <c:orientation val="minMax"/>
          <c:max val="0.4"/>
          <c:min val="-0.4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51360"/>
        <c:crosses val="max"/>
        <c:crossBetween val="between"/>
      </c:valAx>
      <c:catAx>
        <c:axId val="16155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15523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9933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7188343418487479"/>
          <c:y val="0.21364508475741842"/>
          <c:w val="0.11139630858039851"/>
          <c:h val="0.70778988870932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0" baseline="0">
                <a:solidFill>
                  <a:srgbClr val="0000FF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GIÁ HẠT NHỰA </a:t>
            </a:r>
            <a:r>
              <a:rPr lang="en-US" sz="1600" b="1" i="0" u="none" strike="noStrike" kern="1200" spc="0" baseline="0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rPP - </a:t>
            </a:r>
            <a:r>
              <a:rPr lang="en-US" sz="1600" b="1" i="0" u="none" strike="noStrike" kern="1200" spc="0" baseline="0">
                <a:solidFill>
                  <a:srgbClr val="0000FF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NĂM 2024 &amp;2025 (USD/tấn)</a:t>
            </a:r>
          </a:p>
        </c:rich>
      </c:tx>
      <c:layout>
        <c:manualLayout>
          <c:xMode val="edge"/>
          <c:yMode val="edge"/>
          <c:x val="0.21232792363977013"/>
          <c:y val="2.75389408099688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356345755806943E-2"/>
          <c:y val="0.10243905249500741"/>
          <c:w val="0.71838807179700592"/>
          <c:h val="0.78537183060490834"/>
        </c:manualLayout>
      </c:layout>
      <c:areaChart>
        <c:grouping val="stacked"/>
        <c:varyColors val="0"/>
        <c:ser>
          <c:idx val="8"/>
          <c:order val="4"/>
          <c:tx>
            <c:strRef>
              <c:f>'10. GIá bán'!$B$123</c:f>
              <c:strCache>
                <c:ptCount val="1"/>
                <c:pt idx="0">
                  <c:v>Giá Resin 1</c:v>
                </c:pt>
              </c:strCache>
            </c:strRef>
          </c:tx>
          <c:spPr>
            <a:noFill/>
            <a:ln w="25400">
              <a:noFill/>
            </a:ln>
            <a:effectLst/>
          </c:spPr>
          <c:dLbls>
            <c:delete val="1"/>
          </c:dLbls>
          <c:cat>
            <c:strLit>
              <c:ptCount val="17"/>
              <c:pt idx="0">
                <c:v>1.24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1.25</c:v>
              </c:pt>
              <c:pt idx="13">
                <c:v>2</c:v>
              </c:pt>
              <c:pt idx="14">
                <c:v>3</c:v>
              </c:pt>
              <c:pt idx="15">
                <c:v>BQ 25</c:v>
              </c:pt>
              <c:pt idx="16">
                <c:v>BQ 24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bán'!$C$123:$AB$123</c15:sqref>
                  </c15:fullRef>
                </c:ext>
              </c:extLst>
              <c:f>('10. GIá bán'!$C$123:$Q$123,'10. GIá bán'!$AA$123:$AB$123)</c:f>
              <c:numCache>
                <c:formatCode>_(* #,##0_);_(* \(#,##0\);_(* "-"??_);_(@_)</c:formatCode>
                <c:ptCount val="17"/>
                <c:pt idx="0">
                  <c:v>962.5</c:v>
                </c:pt>
                <c:pt idx="1">
                  <c:v>986.66666666666663</c:v>
                </c:pt>
                <c:pt idx="2">
                  <c:v>990</c:v>
                </c:pt>
                <c:pt idx="3">
                  <c:v>992.5</c:v>
                </c:pt>
                <c:pt idx="4">
                  <c:v>1002</c:v>
                </c:pt>
                <c:pt idx="5">
                  <c:v>1025</c:v>
                </c:pt>
                <c:pt idx="6">
                  <c:v>1020</c:v>
                </c:pt>
                <c:pt idx="7">
                  <c:v>970</c:v>
                </c:pt>
                <c:pt idx="8">
                  <c:v>955</c:v>
                </c:pt>
                <c:pt idx="9">
                  <c:v>956.66666666666663</c:v>
                </c:pt>
                <c:pt idx="10">
                  <c:v>968</c:v>
                </c:pt>
                <c:pt idx="11">
                  <c:v>960</c:v>
                </c:pt>
                <c:pt idx="12">
                  <c:v>970</c:v>
                </c:pt>
                <c:pt idx="13">
                  <c:v>985</c:v>
                </c:pt>
                <c:pt idx="14">
                  <c:v>980</c:v>
                </c:pt>
                <c:pt idx="15">
                  <c:v>978.33333333333337</c:v>
                </c:pt>
                <c:pt idx="16">
                  <c:v>982.36111111111097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40-4107-A964-5C27086078B8}"/>
            </c:ext>
          </c:extLst>
        </c:ser>
        <c:ser>
          <c:idx val="9"/>
          <c:order val="5"/>
          <c:tx>
            <c:strRef>
              <c:f>'10. GIá bán'!$B$124</c:f>
              <c:strCache>
                <c:ptCount val="1"/>
                <c:pt idx="0">
                  <c:v> +/- giá bán sv giá Resin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 w="25400">
              <a:noFill/>
            </a:ln>
            <a:effectLst/>
          </c:spPr>
          <c:dLbls>
            <c:delete val="1"/>
          </c:dLbls>
          <c:cat>
            <c:strLit>
              <c:ptCount val="17"/>
              <c:pt idx="0">
                <c:v>1.24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1.25</c:v>
              </c:pt>
              <c:pt idx="13">
                <c:v>2</c:v>
              </c:pt>
              <c:pt idx="14">
                <c:v>3</c:v>
              </c:pt>
              <c:pt idx="15">
                <c:v>BQ 25</c:v>
              </c:pt>
              <c:pt idx="16">
                <c:v>BQ 24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bán'!$C$124:$AB$124</c15:sqref>
                  </c15:fullRef>
                </c:ext>
              </c:extLst>
              <c:f>('10. GIá bán'!$C$124:$Q$124,'10. GIá bán'!$AA$124:$AB$124)</c:f>
              <c:numCache>
                <c:formatCode>_(* #,##0_);_(* \(#,##0\);_(* "-"??_);_(@_)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-46.3689495967742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-48.595513075799772</c:v>
                </c:pt>
                <c:pt idx="7">
                  <c:v>16.809166815054823</c:v>
                </c:pt>
                <c:pt idx="8">
                  <c:v>56.451942740286313</c:v>
                </c:pt>
                <c:pt idx="9">
                  <c:v>-72.034527560698962</c:v>
                </c:pt>
                <c:pt idx="10">
                  <c:v>-89.748807631160616</c:v>
                </c:pt>
                <c:pt idx="11">
                  <c:v>112.5026031369448</c:v>
                </c:pt>
                <c:pt idx="12">
                  <c:v>0</c:v>
                </c:pt>
                <c:pt idx="13">
                  <c:v>89.417166280104539</c:v>
                </c:pt>
                <c:pt idx="14">
                  <c:v>-68.655400534293562</c:v>
                </c:pt>
                <c:pt idx="15">
                  <c:v>-316.41274475139642</c:v>
                </c:pt>
                <c:pt idx="16">
                  <c:v>-419.97089598656771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40-4107-A964-5C27086078B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40460704"/>
        <c:axId val="140447264"/>
      </c:areaChart>
      <c:lineChart>
        <c:grouping val="standard"/>
        <c:varyColors val="0"/>
        <c:ser>
          <c:idx val="2"/>
          <c:order val="0"/>
          <c:tx>
            <c:strRef>
              <c:f>'10. GIá bán'!$B$118</c:f>
              <c:strCache>
                <c:ptCount val="1"/>
                <c:pt idx="0">
                  <c:v>Giá bán EXW thựC tế BQ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dLbls>
            <c:dLbl>
              <c:idx val="2"/>
              <c:layout>
                <c:manualLayout>
                  <c:x val="-2.0862308762169705E-2"/>
                  <c:y val="-2.78745721074850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3D40-4107-A964-5C27086078B8}"/>
                </c:ext>
              </c:extLst>
            </c:dLbl>
            <c:dLbl>
              <c:idx val="6"/>
              <c:layout>
                <c:manualLayout>
                  <c:x val="-2.9207232267037603E-2"/>
                  <c:y val="-1.74216075671781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D40-4107-A964-5C27086078B8}"/>
                </c:ext>
              </c:extLst>
            </c:dLbl>
            <c:dLbl>
              <c:idx val="7"/>
              <c:layout>
                <c:manualLayout>
                  <c:x val="-2.3643949930458971E-2"/>
                  <c:y val="-6.62021632441638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D40-4107-A964-5C27086078B8}"/>
                </c:ext>
              </c:extLst>
            </c:dLbl>
            <c:dLbl>
              <c:idx val="8"/>
              <c:layout>
                <c:manualLayout>
                  <c:x val="-2.6425591098748362E-2"/>
                  <c:y val="-3.13589194314460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7-3D40-4107-A964-5C27086078B8}"/>
                </c:ext>
              </c:extLst>
            </c:dLbl>
            <c:dLbl>
              <c:idx val="9"/>
              <c:layout>
                <c:manualLayout>
                  <c:x val="-1.6689847009735744E-2"/>
                  <c:y val="2.43902706689023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D40-4107-A964-5C27086078B8}"/>
                </c:ext>
              </c:extLst>
            </c:dLbl>
            <c:dLbl>
              <c:idx val="10"/>
              <c:layout>
                <c:manualLayout>
                  <c:x val="-1.8080667593880492E-2"/>
                  <c:y val="1.74216219063587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D40-4107-A964-5C27086078B8}"/>
                </c:ext>
              </c:extLst>
            </c:dLbl>
            <c:dLbl>
              <c:idx val="11"/>
              <c:layout>
                <c:manualLayout>
                  <c:x val="-3.1988873435326845E-2"/>
                  <c:y val="-3.83275366477918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D40-4107-A964-5C27086078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bán'!$C$117:$AB$117</c15:sqref>
                  </c15:fullRef>
                </c:ext>
              </c:extLst>
              <c:f>('10. GIá bán'!$C$117:$Q$117,'10. GIá bán'!$AA$117:$AB$117)</c:f>
              <c:strCache>
                <c:ptCount val="17"/>
                <c:pt idx="0">
                  <c:v>1.24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1.25</c:v>
                </c:pt>
                <c:pt idx="13">
                  <c:v>2</c:v>
                </c:pt>
                <c:pt idx="14">
                  <c:v>3</c:v>
                </c:pt>
                <c:pt idx="15">
                  <c:v>BQ 25</c:v>
                </c:pt>
                <c:pt idx="16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bán'!$C$118:$AB$118</c15:sqref>
                  </c15:fullRef>
                </c:ext>
              </c:extLst>
              <c:f>('10. GIá bán'!$C$118:$Q$118,'10. GIá bán'!$AA$118:$AB$118)</c:f>
              <c:numCache>
                <c:formatCode>_(* #,##0_);_(* \(#,##0\);_(* "-"??_);_(@_)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943.6310504032258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971.40448692420023</c:v>
                </c:pt>
                <c:pt idx="7">
                  <c:v>986.80916681505482</c:v>
                </c:pt>
                <c:pt idx="8">
                  <c:v>1011.4519427402863</c:v>
                </c:pt>
                <c:pt idx="9">
                  <c:v>884.63213910596767</c:v>
                </c:pt>
                <c:pt idx="10">
                  <c:v>878.25119236883938</c:v>
                </c:pt>
                <c:pt idx="11">
                  <c:v>1072.5026031369448</c:v>
                </c:pt>
                <c:pt idx="12">
                  <c:v>0</c:v>
                </c:pt>
                <c:pt idx="13">
                  <c:v>1074.4171662801045</c:v>
                </c:pt>
                <c:pt idx="14" formatCode="0">
                  <c:v>911.34459946570644</c:v>
                </c:pt>
                <c:pt idx="15">
                  <c:v>661.92058858193695</c:v>
                </c:pt>
                <c:pt idx="16">
                  <c:v>562.39021512454326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D40-4107-A964-5C27086078B8}"/>
            </c:ext>
          </c:extLst>
        </c:ser>
        <c:ser>
          <c:idx val="3"/>
          <c:order val="1"/>
          <c:tx>
            <c:strRef>
              <c:f>'10. GIá bán'!$B$119</c:f>
              <c:strCache>
                <c:ptCount val="1"/>
                <c:pt idx="0">
                  <c:v>Giá duyệt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3643949930458971E-2"/>
                  <c:y val="-2.43902505940494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D40-4107-A964-5C27086078B8}"/>
                </c:ext>
              </c:extLst>
            </c:dLbl>
            <c:dLbl>
              <c:idx val="1"/>
              <c:layout>
                <c:manualLayout>
                  <c:x val="-2.0862308762169681E-2"/>
                  <c:y val="-2.43902505940494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D40-4107-A964-5C27086078B8}"/>
                </c:ext>
              </c:extLst>
            </c:dLbl>
            <c:dLbl>
              <c:idx val="2"/>
              <c:layout>
                <c:manualLayout>
                  <c:x val="-3.1988873435326866E-2"/>
                  <c:y val="2.439025059404925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D40-4107-A964-5C27086078B8}"/>
                </c:ext>
              </c:extLst>
            </c:dLbl>
            <c:dLbl>
              <c:idx val="3"/>
              <c:layout>
                <c:manualLayout>
                  <c:x val="-1.9471488178025034E-2"/>
                  <c:y val="2.4390270668902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D40-4107-A964-5C27086078B8}"/>
                </c:ext>
              </c:extLst>
            </c:dLbl>
            <c:dLbl>
              <c:idx val="4"/>
              <c:layout>
                <c:manualLayout>
                  <c:x val="-2.2253129346314324E-2"/>
                  <c:y val="2.78745721074850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D40-4107-A964-5C27086078B8}"/>
                </c:ext>
              </c:extLst>
            </c:dLbl>
            <c:dLbl>
              <c:idx val="5"/>
              <c:layout>
                <c:manualLayout>
                  <c:x val="-2.0862308762169681E-2"/>
                  <c:y val="2.4390270668902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D40-4107-A964-5C27086078B8}"/>
                </c:ext>
              </c:extLst>
            </c:dLbl>
            <c:dLbl>
              <c:idx val="6"/>
              <c:layout>
                <c:manualLayout>
                  <c:x val="-1.1126564673157214E-2"/>
                  <c:y val="2.4390270668902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D40-4107-A964-5C27086078B8}"/>
                </c:ext>
              </c:extLst>
            </c:dLbl>
            <c:dLbl>
              <c:idx val="7"/>
              <c:layout>
                <c:manualLayout>
                  <c:x val="-2.3643949930458971E-2"/>
                  <c:y val="2.090594628763070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D40-4107-A964-5C27086078B8}"/>
                </c:ext>
              </c:extLst>
            </c:dLbl>
            <c:dLbl>
              <c:idx val="8"/>
              <c:layout>
                <c:manualLayout>
                  <c:x val="-1.9471488178025034E-2"/>
                  <c:y val="-2.787459505017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D40-4107-A964-5C27086078B8}"/>
                </c:ext>
              </c:extLst>
            </c:dLbl>
            <c:dLbl>
              <c:idx val="9"/>
              <c:layout>
                <c:manualLayout>
                  <c:x val="-2.0862308762169782E-2"/>
                  <c:y val="-3.13589194314460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D40-4107-A964-5C27086078B8}"/>
                </c:ext>
              </c:extLst>
            </c:dLbl>
            <c:dLbl>
              <c:idx val="10"/>
              <c:layout>
                <c:manualLayout>
                  <c:x val="-2.6425591098748261E-2"/>
                  <c:y val="-2.43902706689024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D40-4107-A964-5C27086078B8}"/>
                </c:ext>
              </c:extLst>
            </c:dLbl>
            <c:dLbl>
              <c:idx val="11"/>
              <c:layout>
                <c:manualLayout>
                  <c:x val="-2.9207232267037551E-2"/>
                  <c:y val="-2.09059462876307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D40-4107-A964-5C27086078B8}"/>
                </c:ext>
              </c:extLst>
            </c:dLbl>
            <c:dLbl>
              <c:idx val="12"/>
              <c:layout>
                <c:manualLayout>
                  <c:x val="-1.8080667593880492E-2"/>
                  <c:y val="-2.43902706689024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3D40-4107-A964-5C27086078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CC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bán'!$C$117:$AB$117</c15:sqref>
                  </c15:fullRef>
                </c:ext>
              </c:extLst>
              <c:f>('10. GIá bán'!$C$117:$Q$117,'10. GIá bán'!$AA$117:$AB$117)</c:f>
              <c:strCache>
                <c:ptCount val="17"/>
                <c:pt idx="0">
                  <c:v>1.24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1.25</c:v>
                </c:pt>
                <c:pt idx="13">
                  <c:v>2</c:v>
                </c:pt>
                <c:pt idx="14">
                  <c:v>3</c:v>
                </c:pt>
                <c:pt idx="15">
                  <c:v>BQ 25</c:v>
                </c:pt>
                <c:pt idx="16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bán'!$C$119:$AB$119</c15:sqref>
                  </c15:fullRef>
                </c:ext>
              </c:extLst>
              <c:f>('10. GIá bán'!$C$119:$Q$119,'10. GIá bán'!$AA$119:$AB$119)</c:f>
              <c:numCache>
                <c:formatCode>General</c:formatCode>
                <c:ptCount val="17"/>
                <c:pt idx="0">
                  <c:v>930</c:v>
                </c:pt>
                <c:pt idx="1">
                  <c:v>930</c:v>
                </c:pt>
                <c:pt idx="2">
                  <c:v>930</c:v>
                </c:pt>
                <c:pt idx="3">
                  <c:v>950</c:v>
                </c:pt>
                <c:pt idx="4">
                  <c:v>950</c:v>
                </c:pt>
                <c:pt idx="5">
                  <c:v>950</c:v>
                </c:pt>
                <c:pt idx="6">
                  <c:v>950</c:v>
                </c:pt>
                <c:pt idx="7">
                  <c:v>950</c:v>
                </c:pt>
                <c:pt idx="8">
                  <c:v>910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  <c:pt idx="12">
                  <c:v>900</c:v>
                </c:pt>
                <c:pt idx="13">
                  <c:v>820</c:v>
                </c:pt>
                <c:pt idx="14">
                  <c:v>840</c:v>
                </c:pt>
                <c:pt idx="15" formatCode="_(* #,##0_);_(* \(#,##0\);_(* &quot;-&quot;??_);_(@_)">
                  <c:v>853.33333333333337</c:v>
                </c:pt>
                <c:pt idx="16" formatCode="_(* #,##0_);_(* \(#,##0\);_(* &quot;-&quot;??_);_(@_)">
                  <c:v>929.16666666666663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D40-4107-A964-5C27086078B8}"/>
            </c:ext>
          </c:extLst>
        </c:ser>
        <c:ser>
          <c:idx val="6"/>
          <c:order val="2"/>
          <c:tx>
            <c:strRef>
              <c:f>'10. GIá bán'!$B$121</c:f>
              <c:strCache>
                <c:ptCount val="1"/>
                <c:pt idx="0">
                  <c:v>Điểm hoàn vốn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2253129346314324E-2"/>
                  <c:y val="-2.43902505940493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3D40-4107-A964-5C27086078B8}"/>
                </c:ext>
              </c:extLst>
            </c:dLbl>
            <c:dLbl>
              <c:idx val="1"/>
              <c:layout>
                <c:manualLayout>
                  <c:x val="-2.2253129346314324E-2"/>
                  <c:y val="-2.43902505940493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3D40-4107-A964-5C27086078B8}"/>
                </c:ext>
              </c:extLst>
            </c:dLbl>
            <c:dLbl>
              <c:idx val="2"/>
              <c:layout>
                <c:manualLayout>
                  <c:x val="-3.7552155771905453E-2"/>
                  <c:y val="2.43902505940493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3D40-4107-A964-5C27086078B8}"/>
                </c:ext>
              </c:extLst>
            </c:dLbl>
            <c:dLbl>
              <c:idx val="3"/>
              <c:layout>
                <c:manualLayout>
                  <c:x val="-1.6689847009735796E-2"/>
                  <c:y val="-2.0905929080613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3D40-4107-A964-5C27086078B8}"/>
                </c:ext>
              </c:extLst>
            </c:dLbl>
            <c:dLbl>
              <c:idx val="4"/>
              <c:layout>
                <c:manualLayout>
                  <c:x val="-2.2253129346314324E-2"/>
                  <c:y val="-2.78745721074850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3D40-4107-A964-5C27086078B8}"/>
                </c:ext>
              </c:extLst>
            </c:dLbl>
            <c:dLbl>
              <c:idx val="5"/>
              <c:layout>
                <c:manualLayout>
                  <c:x val="-2.0862308762169681E-2"/>
                  <c:y val="-3.48432151343562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3D40-4107-A964-5C27086078B8}"/>
                </c:ext>
              </c:extLst>
            </c:dLbl>
            <c:dLbl>
              <c:idx val="6"/>
              <c:layout>
                <c:manualLayout>
                  <c:x val="-1.9471488178025086E-2"/>
                  <c:y val="-3.83275366477920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3D40-4107-A964-5C27086078B8}"/>
                </c:ext>
              </c:extLst>
            </c:dLbl>
            <c:dLbl>
              <c:idx val="7"/>
              <c:layout>
                <c:manualLayout>
                  <c:x val="-2.3643949930458971E-2"/>
                  <c:y val="-1.742160756717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3D40-4107-A964-5C27086078B8}"/>
                </c:ext>
              </c:extLst>
            </c:dLbl>
            <c:dLbl>
              <c:idx val="8"/>
              <c:layout>
                <c:manualLayout>
                  <c:x val="-2.5034770514603615E-2"/>
                  <c:y val="-2.43902505940493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3D40-4107-A964-5C27086078B8}"/>
                </c:ext>
              </c:extLst>
            </c:dLbl>
            <c:dLbl>
              <c:idx val="9"/>
              <c:layout>
                <c:manualLayout>
                  <c:x val="-1.9471488178025034E-2"/>
                  <c:y val="2.78745950501741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3D40-4107-A964-5C27086078B8}"/>
                </c:ext>
              </c:extLst>
            </c:dLbl>
            <c:dLbl>
              <c:idx val="10"/>
              <c:layout>
                <c:manualLayout>
                  <c:x val="-2.3643949930458971E-2"/>
                  <c:y val="3.13589194314459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3D40-4107-A964-5C27086078B8}"/>
                </c:ext>
              </c:extLst>
            </c:dLbl>
            <c:dLbl>
              <c:idx val="11"/>
              <c:layout>
                <c:manualLayout>
                  <c:x val="-2.6425591098748261E-2"/>
                  <c:y val="-3.13589194314460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3D40-4107-A964-5C27086078B8}"/>
                </c:ext>
              </c:extLst>
            </c:dLbl>
            <c:dLbl>
              <c:idx val="12"/>
              <c:layout>
                <c:manualLayout>
                  <c:x val="-2.3643949930458971E-2"/>
                  <c:y val="-3.13589194314460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3D40-4107-A964-5C27086078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bán'!$C$117:$AB$117</c15:sqref>
                  </c15:fullRef>
                </c:ext>
              </c:extLst>
              <c:f>('10. GIá bán'!$C$117:$Q$117,'10. GIá bán'!$AA$117:$AB$117)</c:f>
              <c:strCache>
                <c:ptCount val="17"/>
                <c:pt idx="0">
                  <c:v>1.24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1.25</c:v>
                </c:pt>
                <c:pt idx="13">
                  <c:v>2</c:v>
                </c:pt>
                <c:pt idx="14">
                  <c:v>3</c:v>
                </c:pt>
                <c:pt idx="15">
                  <c:v>BQ 25</c:v>
                </c:pt>
                <c:pt idx="16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bán'!$C$121:$AB$121</c15:sqref>
                  </c15:fullRef>
                </c:ext>
              </c:extLst>
              <c:f>('10. GIá bán'!$C$121:$Q$121,'10. GIá bán'!$AA$121:$AB$121)</c:f>
              <c:numCache>
                <c:formatCode>_(* #,##0_);_(* \(#,##0\);_(* "-"??_);_(@_)</c:formatCode>
                <c:ptCount val="17"/>
                <c:pt idx="0">
                  <c:v>885</c:v>
                </c:pt>
                <c:pt idx="1">
                  <c:v>885</c:v>
                </c:pt>
                <c:pt idx="2">
                  <c:v>885</c:v>
                </c:pt>
                <c:pt idx="3">
                  <c:v>861</c:v>
                </c:pt>
                <c:pt idx="4">
                  <c:v>861</c:v>
                </c:pt>
                <c:pt idx="5">
                  <c:v>850</c:v>
                </c:pt>
                <c:pt idx="6">
                  <c:v>794</c:v>
                </c:pt>
                <c:pt idx="7">
                  <c:v>836.80121639671654</c:v>
                </c:pt>
                <c:pt idx="8">
                  <c:v>856.16419630615974</c:v>
                </c:pt>
                <c:pt idx="9">
                  <c:v>856.16419630615974</c:v>
                </c:pt>
                <c:pt idx="10">
                  <c:v>856.16419630615974</c:v>
                </c:pt>
                <c:pt idx="11">
                  <c:v>827.7737832482228</c:v>
                </c:pt>
                <c:pt idx="12">
                  <c:v>842.58758463763786</c:v>
                </c:pt>
                <c:pt idx="13">
                  <c:v>835.02956014903214</c:v>
                </c:pt>
                <c:pt idx="14">
                  <c:v>835.02956014903214</c:v>
                </c:pt>
                <c:pt idx="15">
                  <c:v>837.54890164523397</c:v>
                </c:pt>
                <c:pt idx="16">
                  <c:v>854.50563238028496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D40-4107-A964-5C27086078B8}"/>
            </c:ext>
          </c:extLst>
        </c:ser>
        <c:ser>
          <c:idx val="7"/>
          <c:order val="3"/>
          <c:tx>
            <c:strRef>
              <c:f>'10. GIá bán'!$B$122</c:f>
              <c:strCache>
                <c:ptCount val="1"/>
                <c:pt idx="0">
                  <c:v>Giá Resin</c:v>
                </c:pt>
              </c:strCache>
            </c:strRef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3643949930458971E-2"/>
                  <c:y val="-3.83275366477918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3D40-4107-A964-5C27086078B8}"/>
                </c:ext>
              </c:extLst>
            </c:dLbl>
            <c:dLbl>
              <c:idx val="1"/>
              <c:layout>
                <c:manualLayout>
                  <c:x val="-2.0862308762169681E-2"/>
                  <c:y val="-3.13588936209206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3D40-4107-A964-5C27086078B8}"/>
                </c:ext>
              </c:extLst>
            </c:dLbl>
            <c:dLbl>
              <c:idx val="2"/>
              <c:layout>
                <c:manualLayout>
                  <c:x val="-2.0862308762169705E-2"/>
                  <c:y val="-3.48432151343562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3D40-4107-A964-5C27086078B8}"/>
                </c:ext>
              </c:extLst>
            </c:dLbl>
            <c:dLbl>
              <c:idx val="3"/>
              <c:layout>
                <c:manualLayout>
                  <c:x val="-1.9471488178025034E-2"/>
                  <c:y val="-1.742160756717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3D40-4107-A964-5C27086078B8}"/>
                </c:ext>
              </c:extLst>
            </c:dLbl>
            <c:dLbl>
              <c:idx val="4"/>
              <c:layout>
                <c:manualLayout>
                  <c:x val="-2.9207232267037603E-2"/>
                  <c:y val="-2.43902505940493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3D40-4107-A964-5C27086078B8}"/>
                </c:ext>
              </c:extLst>
            </c:dLbl>
            <c:dLbl>
              <c:idx val="5"/>
              <c:layout>
                <c:manualLayout>
                  <c:x val="-2.3643949930458971E-2"/>
                  <c:y val="-3.13588936209206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3D40-4107-A964-5C27086078B8}"/>
                </c:ext>
              </c:extLst>
            </c:dLbl>
            <c:dLbl>
              <c:idx val="6"/>
              <c:layout>
                <c:manualLayout>
                  <c:x val="-2.5034770514603615E-2"/>
                  <c:y val="-2.0905929080613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3D40-4107-A964-5C27086078B8}"/>
                </c:ext>
              </c:extLst>
            </c:dLbl>
            <c:dLbl>
              <c:idx val="7"/>
              <c:layout>
                <c:manualLayout>
                  <c:x val="-2.6425591098748261E-2"/>
                  <c:y val="-5.22648227015343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3D40-4107-A964-5C27086078B8}"/>
                </c:ext>
              </c:extLst>
            </c:dLbl>
            <c:dLbl>
              <c:idx val="8"/>
              <c:layout>
                <c:manualLayout>
                  <c:x val="-2.2253129346314324E-2"/>
                  <c:y val="-3.13589194314461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3D40-4107-A964-5C27086078B8}"/>
                </c:ext>
              </c:extLst>
            </c:dLbl>
            <c:dLbl>
              <c:idx val="9"/>
              <c:layout>
                <c:manualLayout>
                  <c:x val="-2.2253129346314324E-2"/>
                  <c:y val="-2.7874595050174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3D40-4107-A964-5C27086078B8}"/>
                </c:ext>
              </c:extLst>
            </c:dLbl>
            <c:dLbl>
              <c:idx val="10"/>
              <c:layout>
                <c:manualLayout>
                  <c:x val="-2.2253129346314428E-2"/>
                  <c:y val="-2.787459505017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3D40-4107-A964-5C27086078B8}"/>
                </c:ext>
              </c:extLst>
            </c:dLbl>
            <c:dLbl>
              <c:idx val="11"/>
              <c:layout>
                <c:manualLayout>
                  <c:x val="-5.5632823365786834E-3"/>
                  <c:y val="-2.43902706689024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3D40-4107-A964-5C27086078B8}"/>
                </c:ext>
              </c:extLst>
            </c:dLbl>
            <c:dLbl>
              <c:idx val="12"/>
              <c:layout>
                <c:manualLayout>
                  <c:x val="-1.251738525730191E-2"/>
                  <c:y val="-4.18118925752614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3D40-4107-A964-5C27086078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bán'!$C$117:$AB$117</c15:sqref>
                  </c15:fullRef>
                </c:ext>
              </c:extLst>
              <c:f>('10. GIá bán'!$C$117:$Q$117,'10. GIá bán'!$AA$117:$AB$117)</c:f>
              <c:strCache>
                <c:ptCount val="17"/>
                <c:pt idx="0">
                  <c:v>1.24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1.25</c:v>
                </c:pt>
                <c:pt idx="13">
                  <c:v>2</c:v>
                </c:pt>
                <c:pt idx="14">
                  <c:v>3</c:v>
                </c:pt>
                <c:pt idx="15">
                  <c:v>BQ 25</c:v>
                </c:pt>
                <c:pt idx="16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bán'!$C$122:$AB$122</c15:sqref>
                  </c15:fullRef>
                </c:ext>
              </c:extLst>
              <c:f>('10. GIá bán'!$C$122:$Q$122,'10. GIá bán'!$AA$122:$AB$122)</c:f>
              <c:numCache>
                <c:formatCode>_(* #,##0_);_(* \(#,##0\);_(* "-"??_);_(@_)</c:formatCode>
                <c:ptCount val="17"/>
                <c:pt idx="0">
                  <c:v>962.5</c:v>
                </c:pt>
                <c:pt idx="1">
                  <c:v>986.66666666666663</c:v>
                </c:pt>
                <c:pt idx="2">
                  <c:v>990</c:v>
                </c:pt>
                <c:pt idx="3">
                  <c:v>992.5</c:v>
                </c:pt>
                <c:pt idx="4">
                  <c:v>1002</c:v>
                </c:pt>
                <c:pt idx="5">
                  <c:v>1025</c:v>
                </c:pt>
                <c:pt idx="6">
                  <c:v>1020</c:v>
                </c:pt>
                <c:pt idx="7">
                  <c:v>970</c:v>
                </c:pt>
                <c:pt idx="8">
                  <c:v>955</c:v>
                </c:pt>
                <c:pt idx="9">
                  <c:v>956.66666666666663</c:v>
                </c:pt>
                <c:pt idx="10">
                  <c:v>968</c:v>
                </c:pt>
                <c:pt idx="11">
                  <c:v>960</c:v>
                </c:pt>
                <c:pt idx="12">
                  <c:v>970</c:v>
                </c:pt>
                <c:pt idx="13">
                  <c:v>985</c:v>
                </c:pt>
                <c:pt idx="14" formatCode="General">
                  <c:v>980</c:v>
                </c:pt>
                <c:pt idx="15">
                  <c:v>978.33333333333337</c:v>
                </c:pt>
                <c:pt idx="16">
                  <c:v>982.36111111111097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D40-4107-A964-5C27086078B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0460704"/>
        <c:axId val="140447264"/>
      </c:lineChart>
      <c:lineChart>
        <c:grouping val="standard"/>
        <c:varyColors val="0"/>
        <c:ser>
          <c:idx val="0"/>
          <c:order val="6"/>
          <c:tx>
            <c:strRef>
              <c:f>'10. GIá bán'!$B$125</c:f>
              <c:strCache>
                <c:ptCount val="1"/>
                <c:pt idx="0">
                  <c:v>% +/- giá bán sv giá Resin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3908205841446454E-2"/>
                  <c:y val="0.3066202931823350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3D40-4107-A964-5C27086078B8}"/>
                </c:ext>
              </c:extLst>
            </c:dLbl>
            <c:dLbl>
              <c:idx val="1"/>
              <c:layout>
                <c:manualLayout>
                  <c:x val="-1.6689847009735768E-2"/>
                  <c:y val="0.3101046146957706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3D40-4107-A964-5C27086078B8}"/>
                </c:ext>
              </c:extLst>
            </c:dLbl>
            <c:dLbl>
              <c:idx val="2"/>
              <c:layout>
                <c:manualLayout>
                  <c:x val="-1.9471488178025059E-2"/>
                  <c:y val="0.2090592908061375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3D40-4107-A964-5C27086078B8}"/>
                </c:ext>
              </c:extLst>
            </c:dLbl>
            <c:dLbl>
              <c:idx val="3"/>
              <c:layout>
                <c:manualLayout>
                  <c:x val="-2.0862308762169681E-2"/>
                  <c:y val="0.2926830071285924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3D40-4107-A964-5C27086078B8}"/>
                </c:ext>
              </c:extLst>
            </c:dLbl>
            <c:dLbl>
              <c:idx val="4"/>
              <c:layout>
                <c:manualLayout>
                  <c:x val="-1.9471488178025034E-2"/>
                  <c:y val="0.2961673286420282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3D40-4107-A964-5C27086078B8}"/>
                </c:ext>
              </c:extLst>
            </c:dLbl>
            <c:dLbl>
              <c:idx val="5"/>
              <c:layout>
                <c:manualLayout>
                  <c:x val="-2.2253129346314324E-2"/>
                  <c:y val="0.3031359716688994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3D40-4107-A964-5C27086078B8}"/>
                </c:ext>
              </c:extLst>
            </c:dLbl>
            <c:dLbl>
              <c:idx val="6"/>
              <c:layout>
                <c:manualLayout>
                  <c:x val="-1.3908205841446504E-2"/>
                  <c:y val="0.2055749692927019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3D40-4107-A964-5C27086078B8}"/>
                </c:ext>
              </c:extLst>
            </c:dLbl>
            <c:dLbl>
              <c:idx val="7"/>
              <c:layout>
                <c:manualLayout>
                  <c:x val="-1.6689847009735744E-2"/>
                  <c:y val="0.331010543776384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3D40-4107-A964-5C27086078B8}"/>
                </c:ext>
              </c:extLst>
            </c:dLbl>
            <c:dLbl>
              <c:idx val="8"/>
              <c:layout>
                <c:manualLayout>
                  <c:x val="-2.0862308762169681E-2"/>
                  <c:y val="0.4250872246391463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0-3D40-4107-A964-5C27086078B8}"/>
                </c:ext>
              </c:extLst>
            </c:dLbl>
            <c:dLbl>
              <c:idx val="9"/>
              <c:layout>
                <c:manualLayout>
                  <c:x val="-2.5034770514603719E-2"/>
                  <c:y val="0.1707317541583456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3D40-4107-A964-5C27086078B8}"/>
                </c:ext>
              </c:extLst>
            </c:dLbl>
            <c:dLbl>
              <c:idx val="10"/>
              <c:layout>
                <c:manualLayout>
                  <c:x val="-2.6425591098748261E-2"/>
                  <c:y val="0.1358886508695995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2-3D40-4107-A964-5C27086078B8}"/>
                </c:ext>
              </c:extLst>
            </c:dLbl>
            <c:dLbl>
              <c:idx val="11"/>
              <c:layout>
                <c:manualLayout>
                  <c:x val="-2.7816411682893009E-2"/>
                  <c:y val="0.5191643328094958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3D40-4107-A964-5C27086078B8}"/>
                </c:ext>
              </c:extLst>
            </c:dLbl>
            <c:dLbl>
              <c:idx val="12"/>
              <c:layout>
                <c:manualLayout>
                  <c:x val="-2.0862308762169681E-2"/>
                  <c:y val="0.2996518967893734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4-3D40-4107-A964-5C27086078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1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25</c:v>
              </c:pt>
              <c:pt idx="16">
                <c:v>26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bán'!$C$125:$AB$125</c15:sqref>
                  </c15:fullRef>
                </c:ext>
              </c:extLst>
              <c:f>('10. GIá bán'!$C$125:$Q$125,'10. GIá bán'!$AA$125:$AB$125)</c:f>
              <c:numCache>
                <c:formatCode>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-4.6837322825024445E-2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-4.7642659878235072E-2</c:v>
                </c:pt>
                <c:pt idx="7">
                  <c:v>1.7329037953664767E-2</c:v>
                </c:pt>
                <c:pt idx="8">
                  <c:v>5.9111981927001372E-2</c:v>
                </c:pt>
                <c:pt idx="9">
                  <c:v>-7.5297415568674878E-2</c:v>
                </c:pt>
                <c:pt idx="10">
                  <c:v>-9.2715710362769238E-2</c:v>
                </c:pt>
                <c:pt idx="11">
                  <c:v>0.11719021160098417</c:v>
                </c:pt>
                <c:pt idx="12">
                  <c:v>0</c:v>
                </c:pt>
                <c:pt idx="13">
                  <c:v>9.0778849015334562E-2</c:v>
                </c:pt>
                <c:pt idx="14">
                  <c:v>-7.0056531157442412E-2</c:v>
                </c:pt>
                <c:pt idx="15">
                  <c:v>-0.32342018202868456</c:v>
                </c:pt>
                <c:pt idx="16">
                  <c:v>-0.42751172785286129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D40-4107-A964-5C27086078B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1551360"/>
        <c:axId val="161552320"/>
      </c:lineChart>
      <c:catAx>
        <c:axId val="140460704"/>
        <c:scaling>
          <c:orientation val="minMax"/>
        </c:scaling>
        <c:delete val="0"/>
        <c:axPos val="b"/>
        <c:majorGridlines>
          <c:spPr>
            <a:ln w="0" cap="rnd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47264"/>
        <c:crosses val="autoZero"/>
        <c:auto val="1"/>
        <c:lblAlgn val="ctr"/>
        <c:lblOffset val="100"/>
        <c:noMultiLvlLbl val="0"/>
      </c:catAx>
      <c:valAx>
        <c:axId val="140447264"/>
        <c:scaling>
          <c:orientation val="minMax"/>
          <c:max val="1200"/>
          <c:min val="700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60704"/>
        <c:crosses val="autoZero"/>
        <c:crossBetween val="between"/>
      </c:valAx>
      <c:valAx>
        <c:axId val="161552320"/>
        <c:scaling>
          <c:orientation val="minMax"/>
          <c:max val="0.2"/>
          <c:min val="-0.2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51360"/>
        <c:crosses val="max"/>
        <c:crossBetween val="between"/>
      </c:valAx>
      <c:catAx>
        <c:axId val="16155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15523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9933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7188343418487479"/>
          <c:y val="0.21364508475741842"/>
          <c:w val="0.11139630858039851"/>
          <c:h val="0.70778988870932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0" baseline="0">
                <a:solidFill>
                  <a:srgbClr val="0000FF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GIÁ HẠT </a:t>
            </a:r>
            <a:r>
              <a:rPr lang="en-US" sz="1600" b="1" i="0" u="none" strike="noStrike" kern="1200" spc="0" baseline="0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rHDPE THỔI </a:t>
            </a:r>
            <a:r>
              <a:rPr lang="en-US" sz="1600" b="1" i="0" u="none" strike="noStrike" kern="1200" spc="0" baseline="0">
                <a:solidFill>
                  <a:srgbClr val="0000FF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- MBF01 NĂM 2024 &amp;2025 (USD/tấn)</a:t>
            </a:r>
          </a:p>
        </c:rich>
      </c:tx>
      <c:layout>
        <c:manualLayout>
          <c:xMode val="edge"/>
          <c:yMode val="edge"/>
          <c:x val="0.20821112295557637"/>
          <c:y val="2.15589111006833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5718895844385634E-2"/>
          <c:y val="0.12462835682899767"/>
          <c:w val="0.86333421718587877"/>
          <c:h val="0.82311311315611735"/>
        </c:manualLayout>
      </c:layout>
      <c:areaChart>
        <c:grouping val="stacked"/>
        <c:varyColors val="0"/>
        <c:ser>
          <c:idx val="8"/>
          <c:order val="6"/>
          <c:tx>
            <c:strRef>
              <c:f>'10. GIá bán'!$B$48</c:f>
              <c:strCache>
                <c:ptCount val="1"/>
                <c:pt idx="0">
                  <c:v>Giá Resin 1</c:v>
                </c:pt>
              </c:strCache>
            </c:strRef>
          </c:tx>
          <c:spPr>
            <a:noFill/>
            <a:ln w="25400">
              <a:noFill/>
            </a:ln>
            <a:effectLst/>
          </c:spPr>
          <c:cat>
            <c:strLit>
              <c:ptCount val="15"/>
              <c:pt idx="0">
                <c:v>9.24</c:v>
              </c:pt>
              <c:pt idx="1">
                <c:v>10</c:v>
              </c:pt>
              <c:pt idx="2">
                <c:v>11</c:v>
              </c:pt>
              <c:pt idx="3">
                <c:v>12</c:v>
              </c:pt>
              <c:pt idx="4">
                <c:v>1.25</c:v>
              </c:pt>
              <c:pt idx="5">
                <c:v>2</c:v>
              </c:pt>
              <c:pt idx="6">
                <c:v>3</c:v>
              </c:pt>
              <c:pt idx="7">
                <c:v>4</c:v>
              </c:pt>
              <c:pt idx="8">
                <c:v>5</c:v>
              </c:pt>
              <c:pt idx="9">
                <c:v>6</c:v>
              </c:pt>
              <c:pt idx="10">
                <c:v>7</c:v>
              </c:pt>
              <c:pt idx="11">
                <c:v>8</c:v>
              </c:pt>
              <c:pt idx="12">
                <c:v>9</c:v>
              </c:pt>
              <c:pt idx="13">
                <c:v>BQ 25</c:v>
              </c:pt>
              <c:pt idx="14">
                <c:v>BQ 24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bán'!$C$48:$AB$48</c15:sqref>
                  </c15:fullRef>
                </c:ext>
              </c:extLst>
              <c:f>('10. GIá bán'!$K$48:$W$48,'10. GIá bán'!$AA$48:$AB$48)</c:f>
              <c:numCache>
                <c:formatCode>_(* #,##0_);_(* \(#,##0\);_(* "-"??_);_(@_)</c:formatCode>
                <c:ptCount val="15"/>
                <c:pt idx="0">
                  <c:v>967.5</c:v>
                </c:pt>
                <c:pt idx="1">
                  <c:v>965</c:v>
                </c:pt>
                <c:pt idx="2">
                  <c:v>974</c:v>
                </c:pt>
                <c:pt idx="3">
                  <c:v>956</c:v>
                </c:pt>
                <c:pt idx="4">
                  <c:v>940</c:v>
                </c:pt>
                <c:pt idx="5">
                  <c:v>918</c:v>
                </c:pt>
                <c:pt idx="6">
                  <c:v>896</c:v>
                </c:pt>
                <c:pt idx="7">
                  <c:v>892</c:v>
                </c:pt>
                <c:pt idx="8">
                  <c:v>864</c:v>
                </c:pt>
                <c:pt idx="9">
                  <c:v>833</c:v>
                </c:pt>
                <c:pt idx="10">
                  <c:v>833</c:v>
                </c:pt>
                <c:pt idx="11">
                  <c:v>815</c:v>
                </c:pt>
                <c:pt idx="12">
                  <c:v>815</c:v>
                </c:pt>
                <c:pt idx="13">
                  <c:v>867.33333333333337</c:v>
                </c:pt>
                <c:pt idx="14">
                  <c:v>975.77777777777783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88-4AA1-91AE-64532B97D66D}"/>
            </c:ext>
          </c:extLst>
        </c:ser>
        <c:ser>
          <c:idx val="9"/>
          <c:order val="7"/>
          <c:tx>
            <c:strRef>
              <c:f>'10. GIá bán'!$B$49</c:f>
              <c:strCache>
                <c:ptCount val="1"/>
                <c:pt idx="0">
                  <c:v> +/- giá bán sv giá Resin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strLit>
              <c:ptCount val="15"/>
              <c:pt idx="0">
                <c:v>9.24</c:v>
              </c:pt>
              <c:pt idx="1">
                <c:v>10</c:v>
              </c:pt>
              <c:pt idx="2">
                <c:v>11</c:v>
              </c:pt>
              <c:pt idx="3">
                <c:v>12</c:v>
              </c:pt>
              <c:pt idx="4">
                <c:v>1.25</c:v>
              </c:pt>
              <c:pt idx="5">
                <c:v>2</c:v>
              </c:pt>
              <c:pt idx="6">
                <c:v>3</c:v>
              </c:pt>
              <c:pt idx="7">
                <c:v>4</c:v>
              </c:pt>
              <c:pt idx="8">
                <c:v>5</c:v>
              </c:pt>
              <c:pt idx="9">
                <c:v>6</c:v>
              </c:pt>
              <c:pt idx="10">
                <c:v>7</c:v>
              </c:pt>
              <c:pt idx="11">
                <c:v>8</c:v>
              </c:pt>
              <c:pt idx="12">
                <c:v>9</c:v>
              </c:pt>
              <c:pt idx="13">
                <c:v>BQ 25</c:v>
              </c:pt>
              <c:pt idx="14">
                <c:v>BQ 24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bán'!$C$49:$AB$49</c15:sqref>
                  </c15:fullRef>
                </c:ext>
              </c:extLst>
              <c:f>('10. GIá bán'!$K$49:$W$49,'10. GIá bán'!$AA$49:$AB$49)</c:f>
              <c:numCache>
                <c:formatCode>_(* #,##0_);_(* \(#,##0\);_(* "-"??_);_(@_)</c:formatCode>
                <c:ptCount val="15"/>
                <c:pt idx="0">
                  <c:v>468.5931055958356</c:v>
                </c:pt>
                <c:pt idx="1">
                  <c:v>421.67595541401283</c:v>
                </c:pt>
                <c:pt idx="2">
                  <c:v>413.56856120826706</c:v>
                </c:pt>
                <c:pt idx="3">
                  <c:v>428.55800835916693</c:v>
                </c:pt>
                <c:pt idx="4">
                  <c:v>469.61392512806515</c:v>
                </c:pt>
                <c:pt idx="5">
                  <c:v>483.15010374747931</c:v>
                </c:pt>
                <c:pt idx="6">
                  <c:v>504.82216484941432</c:v>
                </c:pt>
                <c:pt idx="7">
                  <c:v>468.16326872376612</c:v>
                </c:pt>
                <c:pt idx="8">
                  <c:v>476.47209044508963</c:v>
                </c:pt>
                <c:pt idx="9">
                  <c:v>503.7331221479069</c:v>
                </c:pt>
                <c:pt idx="10">
                  <c:v>525.94301610716707</c:v>
                </c:pt>
                <c:pt idx="11">
                  <c:v>555.3887723582975</c:v>
                </c:pt>
                <c:pt idx="12">
                  <c:v>551.58451910611439</c:v>
                </c:pt>
                <c:pt idx="13">
                  <c:v>504.31899806814442</c:v>
                </c:pt>
                <c:pt idx="14">
                  <c:v>449.87366202462431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6A88-4AA1-91AE-64532B97D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60704"/>
        <c:axId val="140447264"/>
      </c:areaChart>
      <c:lineChart>
        <c:grouping val="standard"/>
        <c:varyColors val="0"/>
        <c:ser>
          <c:idx val="1"/>
          <c:order val="0"/>
          <c:tx>
            <c:strRef>
              <c:f>'10. GIá bán'!$B$44</c:f>
              <c:strCache>
                <c:ptCount val="1"/>
                <c:pt idx="0">
                  <c:v>Giá bán Unilever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2003875143797189E-2"/>
                  <c:y val="-6.08852497216865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6A88-4AA1-91AE-64532B97D66D}"/>
                </c:ext>
              </c:extLst>
            </c:dLbl>
            <c:dLbl>
              <c:idx val="1"/>
              <c:layout>
                <c:manualLayout>
                  <c:x val="-2.4437299035369869E-2"/>
                  <c:y val="-3.20232896652110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6A88-4AA1-91AE-64532B97D66D}"/>
                </c:ext>
              </c:extLst>
            </c:dLbl>
            <c:dLbl>
              <c:idx val="2"/>
              <c:layout>
                <c:manualLayout>
                  <c:x val="-2.4437299035369776E-2"/>
                  <c:y val="-2.62008733624454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6A88-4AA1-91AE-64532B97D66D}"/>
                </c:ext>
              </c:extLst>
            </c:dLbl>
            <c:dLbl>
              <c:idx val="3"/>
              <c:layout>
                <c:manualLayout>
                  <c:x val="-2.4437299035369869E-2"/>
                  <c:y val="-2.91120815138282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6A88-4AA1-91AE-64532B97D66D}"/>
                </c:ext>
              </c:extLst>
            </c:dLbl>
            <c:dLbl>
              <c:idx val="4"/>
              <c:layout>
                <c:manualLayout>
                  <c:x val="-2.5723458342953663E-2"/>
                  <c:y val="-7.79296923137103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6A88-4AA1-91AE-64532B97D66D}"/>
                </c:ext>
              </c:extLst>
            </c:dLbl>
            <c:dLbl>
              <c:idx val="5"/>
              <c:layout>
                <c:manualLayout>
                  <c:x val="-2.5147927236551793E-2"/>
                  <c:y val="-7.75337703774870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7A51-462E-8610-BD72C50BC710}"/>
                </c:ext>
              </c:extLst>
            </c:dLbl>
            <c:dLbl>
              <c:idx val="6"/>
              <c:layout>
                <c:manualLayout>
                  <c:x val="-2.7662719960206961E-2"/>
                  <c:y val="-3.445945350110540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A51-462E-8610-BD72C50BC710}"/>
                </c:ext>
              </c:extLst>
            </c:dLbl>
            <c:dLbl>
              <c:idx val="7"/>
              <c:layout>
                <c:manualLayout>
                  <c:x val="-2.7674771412852035E-2"/>
                  <c:y val="-4.69198019531093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7E7-4FDE-84AB-3D72ED88E5C5}"/>
                </c:ext>
              </c:extLst>
            </c:dLbl>
            <c:dLbl>
              <c:idx val="8"/>
              <c:layout>
                <c:manualLayout>
                  <c:x val="-3.6470063061408479E-2"/>
                  <c:y val="-8.3277012627671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760F-45E2-A6C1-C0E3E9AD4823}"/>
                </c:ext>
              </c:extLst>
            </c:dLbl>
            <c:dLbl>
              <c:idx val="9"/>
              <c:layout>
                <c:manualLayout>
                  <c:x val="-3.0370400850965196E-2"/>
                  <c:y val="-6.61291946734040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00B9-4680-AC7C-7B2AD6D85942}"/>
                </c:ext>
              </c:extLst>
            </c:dLbl>
            <c:dLbl>
              <c:idx val="10"/>
              <c:layout>
                <c:manualLayout>
                  <c:x val="-3.0292575940911205E-2"/>
                  <c:y val="-4.982875609272261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19A7-48F1-8D3F-7D4F622EE6D9}"/>
                </c:ext>
              </c:extLst>
            </c:dLbl>
            <c:dLbl>
              <c:idx val="11"/>
              <c:layout>
                <c:manualLayout>
                  <c:x val="-2.6565380219619097E-2"/>
                  <c:y val="-2.62147245103087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FB55-4629-A4E1-31AB3091E3EC}"/>
                </c:ext>
              </c:extLst>
            </c:dLbl>
            <c:dLbl>
              <c:idx val="13"/>
              <c:layout>
                <c:manualLayout>
                  <c:x val="-3.1442360900572119E-2"/>
                  <c:y val="-5.7432422501842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7A51-462E-8610-BD72C50BC710}"/>
                </c:ext>
              </c:extLst>
            </c:dLbl>
            <c:dLbl>
              <c:idx val="14"/>
              <c:layout>
                <c:manualLayout>
                  <c:x val="-2.7648019897732305E-2"/>
                  <c:y val="-3.07692522361010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7A51-462E-8610-BD72C50BC7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bán'!$C$41:$AB$41</c15:sqref>
                  </c15:fullRef>
                </c:ext>
              </c:extLst>
              <c:f>('10. GIá bán'!$K$41:$W$41,'10. GIá bán'!$AA$41:$AB$41)</c:f>
              <c:strCache>
                <c:ptCount val="15"/>
                <c:pt idx="0">
                  <c:v>9.24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1.25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BQ 25</c:v>
                </c:pt>
                <c:pt idx="14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bán'!$C$44:$AB$44</c15:sqref>
                  </c15:fullRef>
                </c:ext>
              </c:extLst>
              <c:f>('10. GIá bán'!$K$44:$W$44,'10. GIá bán'!$AA$44:$AB$44)</c:f>
              <c:numCache>
                <c:formatCode>_(* #,##0_);_(* \(#,##0\);_(* "-"??_);_(@_)</c:formatCode>
                <c:ptCount val="15"/>
                <c:pt idx="0">
                  <c:v>1430</c:v>
                </c:pt>
                <c:pt idx="1">
                  <c:v>1430</c:v>
                </c:pt>
                <c:pt idx="2">
                  <c:v>1430</c:v>
                </c:pt>
                <c:pt idx="3">
                  <c:v>1430</c:v>
                </c:pt>
                <c:pt idx="4">
                  <c:v>1430</c:v>
                </c:pt>
                <c:pt idx="5">
                  <c:v>1430</c:v>
                </c:pt>
                <c:pt idx="6">
                  <c:v>1350</c:v>
                </c:pt>
                <c:pt idx="7">
                  <c:v>1350</c:v>
                </c:pt>
                <c:pt idx="8">
                  <c:v>1350</c:v>
                </c:pt>
                <c:pt idx="9">
                  <c:v>1350</c:v>
                </c:pt>
                <c:pt idx="10">
                  <c:v>1380</c:v>
                </c:pt>
                <c:pt idx="11">
                  <c:v>1380</c:v>
                </c:pt>
                <c:pt idx="12">
                  <c:v>1380</c:v>
                </c:pt>
                <c:pt idx="13">
                  <c:v>1377.7777777777778</c:v>
                </c:pt>
                <c:pt idx="14">
                  <c:v>1447.5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'10. GIá bán'!$C$44</c15:sqref>
                  <c15:dLbl>
                    <c:idx val="-1"/>
                    <c:layout>
                      <c:manualLayout>
                        <c:x val="-2.4437299035369776E-2"/>
                        <c:y val="2.6200873362445413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5D41-4EA3-B2E5-1265877D1650}"/>
                      </c:ext>
                    </c:extLst>
                  </c15:dLbl>
                </c15:categoryFilterException>
                <c15:categoryFilterException>
                  <c15:sqref>'10. GIá bán'!$D$44</c15:sqref>
                  <c15:dLbl>
                    <c:idx val="-1"/>
                    <c:layout>
                      <c:manualLayout>
                        <c:x val="-2.5723472668810289E-2"/>
                        <c:y val="2.3289665211062564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5D41-4EA3-B2E5-1265877D1650}"/>
                      </c:ext>
                    </c:extLst>
                  </c15:dLbl>
                </c15:categoryFilterException>
                <c15:categoryFilterException>
                  <c15:sqref>'10. GIá bán'!$E$44</c15:sqref>
                  <c15:dLbl>
                    <c:idx val="-1"/>
                    <c:layout>
                      <c:manualLayout>
                        <c:x val="-2.4437299035369776E-2"/>
                        <c:y val="-2.6200873362445413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5D41-4EA3-B2E5-1265877D1650}"/>
                      </c:ext>
                    </c:extLst>
                  </c15:dLbl>
                </c15:categoryFilterException>
                <c15:categoryFilterException>
                  <c15:sqref>'10. GIá bán'!$F$44</c15:sqref>
                  <c15:dLbl>
                    <c:idx val="-1"/>
                    <c:layout>
                      <c:manualLayout>
                        <c:x val="-2.3151125401929259E-2"/>
                        <c:y val="-3.4934497816593912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5D41-4EA3-B2E5-1265877D1650}"/>
                      </c:ext>
                    </c:extLst>
                  </c15:dLbl>
                </c15:categoryFilterException>
                <c15:categoryFilterException>
                  <c15:sqref>'10. GIá bán'!$G$44</c15:sqref>
                  <c15:dLbl>
                    <c:idx val="-1"/>
                    <c:layout>
                      <c:manualLayout>
                        <c:x val="-2.7009646302250851E-2"/>
                        <c:y val="-2.6200873362445413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4-5D41-4EA3-B2E5-1265877D1650}"/>
                      </c:ext>
                    </c:extLst>
                  </c15:dLbl>
                </c15:categoryFilterException>
                <c15:categoryFilterException>
                  <c15:sqref>'10. GIá bán'!$H$44</c15:sqref>
                  <c15:dLbl>
                    <c:idx val="-1"/>
                    <c:layout>
                      <c:manualLayout>
                        <c:x val="-2.4437299035369821E-2"/>
                        <c:y val="-2.9112081513828266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5-5D41-4EA3-B2E5-1265877D1650}"/>
                      </c:ext>
                    </c:extLst>
                  </c15:dLbl>
                </c15:categoryFilterException>
                <c15:categoryFilterException>
                  <c15:sqref>'10. GIá bán'!$I$44</c15:sqref>
                  <c15:dLbl>
                    <c:idx val="-1"/>
                    <c:layout>
                      <c:manualLayout>
                        <c:x val="-2.3151125401929356E-2"/>
                        <c:y val="-2.9112081513828266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6-5D41-4EA3-B2E5-1265877D1650}"/>
                      </c:ext>
                    </c:extLst>
                  </c15:dLbl>
                </c15:categoryFilterException>
                <c15:categoryFilterException>
                  <c15:sqref>'10. GIá bán'!$J$44</c15:sqref>
                  <c15:dLbl>
                    <c:idx val="-1"/>
                    <c:layout>
                      <c:manualLayout>
                        <c:x val="-2.1864951768488839E-2"/>
                        <c:y val="-2.6200873362445413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7-5D41-4EA3-B2E5-1265877D1650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39-6A88-4AA1-91AE-64532B97D66D}"/>
            </c:ext>
          </c:extLst>
        </c:ser>
        <c:ser>
          <c:idx val="2"/>
          <c:order val="1"/>
          <c:tx>
            <c:strRef>
              <c:f>'10. GIá bán'!$B$42</c:f>
              <c:strCache>
                <c:ptCount val="1"/>
                <c:pt idx="0">
                  <c:v>Giá bán EXW thực tế BQ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5245883976675983E-2"/>
                  <c:y val="-1.7720901384579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A88-4AA1-91AE-64532B97D66D}"/>
                </c:ext>
              </c:extLst>
            </c:dLbl>
            <c:dLbl>
              <c:idx val="1"/>
              <c:layout>
                <c:manualLayout>
                  <c:x val="-2.5245883976675983E-2"/>
                  <c:y val="1.7720901384579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A88-4AA1-91AE-64532B97D66D}"/>
                </c:ext>
              </c:extLst>
            </c:dLbl>
            <c:dLbl>
              <c:idx val="2"/>
              <c:layout>
                <c:manualLayout>
                  <c:x val="-2.6508178175509829E-2"/>
                  <c:y val="2.36278685127721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6A88-4AA1-91AE-64532B97D66D}"/>
                </c:ext>
              </c:extLst>
            </c:dLbl>
            <c:dLbl>
              <c:idx val="3"/>
              <c:layout>
                <c:manualLayout>
                  <c:x val="-2.3983589777842186E-2"/>
                  <c:y val="2.36278685127721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6A88-4AA1-91AE-64532B97D66D}"/>
                </c:ext>
              </c:extLst>
            </c:dLbl>
            <c:dLbl>
              <c:idx val="4"/>
              <c:layout>
                <c:manualLayout>
                  <c:x val="-2.3983589777842186E-2"/>
                  <c:y val="-4.1348769897351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6A88-4AA1-91AE-64532B97D66D}"/>
                </c:ext>
              </c:extLst>
            </c:dLbl>
            <c:dLbl>
              <c:idx val="5"/>
              <c:layout>
                <c:manualLayout>
                  <c:x val="-2.6508178175509829E-2"/>
                  <c:y val="-4.72557370255443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7A51-462E-8610-BD72C50BC710}"/>
                </c:ext>
              </c:extLst>
            </c:dLbl>
            <c:dLbl>
              <c:idx val="6"/>
              <c:layout>
                <c:manualLayout>
                  <c:x val="-2.5245883976675983E-2"/>
                  <c:y val="-3.24883192050617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948-4071-BE70-EA5435C73197}"/>
                </c:ext>
              </c:extLst>
            </c:dLbl>
            <c:dLbl>
              <c:idx val="7"/>
              <c:layout>
                <c:manualLayout>
                  <c:x val="-2.9032766573177382E-2"/>
                  <c:y val="-7.3837089102413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7E7-4FDE-84AB-3D72ED88E5C5}"/>
                </c:ext>
              </c:extLst>
            </c:dLbl>
            <c:dLbl>
              <c:idx val="8"/>
              <c:layout>
                <c:manualLayout>
                  <c:x val="-3.2819649169678777E-2"/>
                  <c:y val="-3.8395286333254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60F-45E2-A6C1-C0E3E9AD4823}"/>
                </c:ext>
              </c:extLst>
            </c:dLbl>
            <c:dLbl>
              <c:idx val="9"/>
              <c:layout>
                <c:manualLayout>
                  <c:x val="-3.2819649169678874E-2"/>
                  <c:y val="2.36278685127721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00B9-4680-AC7C-7B2AD6D85942}"/>
                </c:ext>
              </c:extLst>
            </c:dLbl>
            <c:dLbl>
              <c:idx val="10"/>
              <c:layout>
                <c:manualLayout>
                  <c:x val="-2.9032766573177382E-2"/>
                  <c:y val="-4.43022534614478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19A7-48F1-8D3F-7D4F622EE6D9}"/>
                </c:ext>
              </c:extLst>
            </c:dLbl>
            <c:dLbl>
              <c:idx val="11"/>
              <c:layout>
                <c:manualLayout>
                  <c:x val="-2.7830398325315243E-2"/>
                  <c:y val="1.74764830068724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FB55-4629-A4E1-31AB3091E3EC}"/>
                </c:ext>
              </c:extLst>
            </c:dLbl>
            <c:dLbl>
              <c:idx val="13"/>
              <c:layout>
                <c:manualLayout>
                  <c:x val="-3.2819649169678777E-2"/>
                  <c:y val="-2.36278685127721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7A51-462E-8610-BD72C50BC710}"/>
                </c:ext>
              </c:extLst>
            </c:dLbl>
            <c:dLbl>
              <c:idx val="14"/>
              <c:layout>
                <c:manualLayout>
                  <c:x val="-5.0491767953351968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7A51-462E-8610-BD72C50BC7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bán'!$C$41:$AB$41</c15:sqref>
                  </c15:fullRef>
                </c:ext>
              </c:extLst>
              <c:f>('10. GIá bán'!$K$41:$W$41,'10. GIá bán'!$AA$41:$AB$41)</c:f>
              <c:strCache>
                <c:ptCount val="15"/>
                <c:pt idx="0">
                  <c:v>9.24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1.25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BQ 25</c:v>
                </c:pt>
                <c:pt idx="14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bán'!$C$42:$AB$42</c15:sqref>
                  </c15:fullRef>
                </c:ext>
              </c:extLst>
              <c:f>('10. GIá bán'!$K$42:$W$42,'10. GIá bán'!$AA$42:$AB$42)</c:f>
              <c:numCache>
                <c:formatCode>_(* #,##0_);_(* \(#,##0\);_(* "-"??_);_(@_)</c:formatCode>
                <c:ptCount val="15"/>
                <c:pt idx="0">
                  <c:v>1436.0931055958356</c:v>
                </c:pt>
                <c:pt idx="1">
                  <c:v>1386.6759554140128</c:v>
                </c:pt>
                <c:pt idx="2">
                  <c:v>1387.5685612082671</c:v>
                </c:pt>
                <c:pt idx="3">
                  <c:v>1384.5580083591669</c:v>
                </c:pt>
                <c:pt idx="4">
                  <c:v>1409.6139251280651</c:v>
                </c:pt>
                <c:pt idx="5">
                  <c:v>1401.1501037474793</c:v>
                </c:pt>
                <c:pt idx="6">
                  <c:v>1400.8221648494143</c:v>
                </c:pt>
                <c:pt idx="7">
                  <c:v>1360.1632687237661</c:v>
                </c:pt>
                <c:pt idx="8">
                  <c:v>1340.4720904450896</c:v>
                </c:pt>
                <c:pt idx="9">
                  <c:v>1336.7331221479069</c:v>
                </c:pt>
                <c:pt idx="10">
                  <c:v>1358.9430161071671</c:v>
                </c:pt>
                <c:pt idx="11">
                  <c:v>1370.3887723582975</c:v>
                </c:pt>
                <c:pt idx="12">
                  <c:v>1366.5845191061144</c:v>
                </c:pt>
                <c:pt idx="13">
                  <c:v>1371.6523314014778</c:v>
                </c:pt>
                <c:pt idx="14">
                  <c:v>1425.6514398024021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'10. GIá bán'!$J$42</c15:sqref>
                  <c15:dLbl>
                    <c:idx val="-1"/>
                    <c:layout>
                      <c:manualLayout>
                        <c:x val="-4.6704885356850571E-2"/>
                        <c:y val="-2.9534835640965236E-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8-5D41-4EA3-B2E5-1265877D1650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6A88-4AA1-91AE-64532B97D66D}"/>
            </c:ext>
          </c:extLst>
        </c:ser>
        <c:ser>
          <c:idx val="3"/>
          <c:order val="2"/>
          <c:tx>
            <c:strRef>
              <c:f>'10. GIá bán'!$B$43</c:f>
              <c:strCache>
                <c:ptCount val="1"/>
                <c:pt idx="0">
                  <c:v>Giá duyệt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8295819935691319E-2"/>
                  <c:y val="2.03784570596797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6A88-4AA1-91AE-64532B97D66D}"/>
                </c:ext>
              </c:extLst>
            </c:dLbl>
            <c:dLbl>
              <c:idx val="1"/>
              <c:layout>
                <c:manualLayout>
                  <c:x val="-2.4437299035369869E-2"/>
                  <c:y val="-2.03784570596797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6A88-4AA1-91AE-64532B97D66D}"/>
                </c:ext>
              </c:extLst>
            </c:dLbl>
            <c:dLbl>
              <c:idx val="2"/>
              <c:layout>
                <c:manualLayout>
                  <c:x val="-2.3151125401929165E-2"/>
                  <c:y val="-1.74672489082969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6A88-4AA1-91AE-64532B97D66D}"/>
                </c:ext>
              </c:extLst>
            </c:dLbl>
            <c:dLbl>
              <c:idx val="3"/>
              <c:layout>
                <c:manualLayout>
                  <c:x val="-2.5723472668810383E-2"/>
                  <c:y val="-1.74672489082969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6A88-4AA1-91AE-64532B97D66D}"/>
                </c:ext>
              </c:extLst>
            </c:dLbl>
            <c:dLbl>
              <c:idx val="4"/>
              <c:layout>
                <c:manualLayout>
                  <c:x val="-2.7124712729484829E-2"/>
                  <c:y val="2.32897517720954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6A88-4AA1-91AE-64532B97D66D}"/>
                </c:ext>
              </c:extLst>
            </c:dLbl>
            <c:dLbl>
              <c:idx val="5"/>
              <c:layout>
                <c:manualLayout>
                  <c:x val="-2.6405323598379285E-2"/>
                  <c:y val="3.44594535011053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7A51-462E-8610-BD72C50BC710}"/>
                </c:ext>
              </c:extLst>
            </c:dLbl>
            <c:dLbl>
              <c:idx val="6"/>
              <c:layout>
                <c:manualLayout>
                  <c:x val="-2.7658004394362251E-2"/>
                  <c:y val="3.1587832376013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7A51-462E-8610-BD72C50BC710}"/>
                </c:ext>
              </c:extLst>
            </c:dLbl>
            <c:dLbl>
              <c:idx val="7"/>
              <c:layout>
                <c:manualLayout>
                  <c:x val="-3.3941827635959362E-2"/>
                  <c:y val="4.18720799061364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7E7-4FDE-84AB-3D72ED88E5C5}"/>
                </c:ext>
              </c:extLst>
            </c:dLbl>
            <c:dLbl>
              <c:idx val="8"/>
              <c:layout>
                <c:manualLayout>
                  <c:x val="-3.644566157508914E-2"/>
                  <c:y val="2.87162112509211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60F-45E2-A6C1-C0E3E9AD4823}"/>
                </c:ext>
              </c:extLst>
            </c:dLbl>
            <c:dLbl>
              <c:idx val="9"/>
              <c:layout>
                <c:manualLayout>
                  <c:x val="-3.1637962891731139E-2"/>
                  <c:y val="-2.57627487583159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00B9-4680-AC7C-7B2AD6D85942}"/>
                </c:ext>
              </c:extLst>
            </c:dLbl>
            <c:dLbl>
              <c:idx val="10"/>
              <c:layout>
                <c:manualLayout>
                  <c:x val="-2.5243397534713895E-2"/>
                  <c:y val="2.32896598723973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19A7-48F1-8D3F-7D4F622EE6D9}"/>
                </c:ext>
              </c:extLst>
            </c:dLbl>
            <c:dLbl>
              <c:idx val="11"/>
              <c:layout>
                <c:manualLayout>
                  <c:x val="-3.1625452642403594E-2"/>
                  <c:y val="1.456373583906039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FB55-4629-A4E1-31AB3091E3EC}"/>
                </c:ext>
              </c:extLst>
            </c:dLbl>
            <c:dLbl>
              <c:idx val="13"/>
              <c:layout>
                <c:manualLayout>
                  <c:x val="-3.0177512683862134E-2"/>
                  <c:y val="3.44594535011052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7A51-462E-8610-BD72C50BC710}"/>
                </c:ext>
              </c:extLst>
            </c:dLbl>
            <c:dLbl>
              <c:idx val="14"/>
              <c:layout>
                <c:manualLayout>
                  <c:x val="-2.6388733049914185E-2"/>
                  <c:y val="2.01013478756447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7A51-462E-8610-BD72C50BC7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CC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bán'!$C$41:$AB$41</c15:sqref>
                  </c15:fullRef>
                </c:ext>
              </c:extLst>
              <c:f>('10. GIá bán'!$K$41:$W$41,'10. GIá bán'!$AA$41:$AB$41)</c:f>
              <c:strCache>
                <c:ptCount val="15"/>
                <c:pt idx="0">
                  <c:v>9.24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1.25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BQ 25</c:v>
                </c:pt>
                <c:pt idx="14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bán'!$C$43:$AB$43</c15:sqref>
                  </c15:fullRef>
                </c:ext>
              </c:extLst>
              <c:f>('10. GIá bán'!$K$43:$W$43,'10. GIá bán'!$AA$43:$AB$43)</c:f>
              <c:numCache>
                <c:formatCode>_(* #,##0_);_(* \(#,##0\);_(* "-"??_);_(@_)</c:formatCode>
                <c:ptCount val="15"/>
                <c:pt idx="0">
                  <c:v>1400</c:v>
                </c:pt>
                <c:pt idx="1">
                  <c:v>1400</c:v>
                </c:pt>
                <c:pt idx="2">
                  <c:v>1400</c:v>
                </c:pt>
                <c:pt idx="3">
                  <c:v>1400</c:v>
                </c:pt>
                <c:pt idx="4">
                  <c:v>1400</c:v>
                </c:pt>
                <c:pt idx="5">
                  <c:v>1400</c:v>
                </c:pt>
                <c:pt idx="6">
                  <c:v>1350</c:v>
                </c:pt>
                <c:pt idx="7">
                  <c:v>1350</c:v>
                </c:pt>
                <c:pt idx="8">
                  <c:v>1350</c:v>
                </c:pt>
                <c:pt idx="9">
                  <c:v>1350</c:v>
                </c:pt>
                <c:pt idx="10">
                  <c:v>1350</c:v>
                </c:pt>
                <c:pt idx="11">
                  <c:v>1330</c:v>
                </c:pt>
                <c:pt idx="12">
                  <c:v>1310</c:v>
                </c:pt>
                <c:pt idx="13">
                  <c:v>1354.4444444444443</c:v>
                </c:pt>
                <c:pt idx="14">
                  <c:v>1400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'10. GIá bán'!$C$43</c15:sqref>
                  <c15:dLbl>
                    <c:idx val="-1"/>
                    <c:layout>
                      <c:manualLayout>
                        <c:x val="-1.8006430868167216E-2"/>
                        <c:y val="-3.2023289665211091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9-5D41-4EA3-B2E5-1265877D1650}"/>
                      </c:ext>
                    </c:extLst>
                  </c15:dLbl>
                </c15:categoryFilterException>
                <c15:categoryFilterException>
                  <c15:sqref>'10. GIá bán'!$D$43</c15:sqref>
                  <c15:dLbl>
                    <c:idx val="-1"/>
                    <c:layout>
                      <c:manualLayout>
                        <c:x val="-2.1864951768488745E-2"/>
                        <c:y val="-2.6200873362445413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A-5D41-4EA3-B2E5-1265877D1650}"/>
                      </c:ext>
                    </c:extLst>
                  </c15:dLbl>
                </c15:categoryFilterException>
                <c15:categoryFilterException>
                  <c15:sqref>'10. GIá bán'!$E$43</c15:sqref>
                  <c15:dLbl>
                    <c:idx val="-1"/>
                    <c:layout>
                      <c:manualLayout>
                        <c:x val="-2.8295819935691319E-2"/>
                        <c:y val="-2.3289665211062592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B-5D41-4EA3-B2E5-1265877D1650}"/>
                      </c:ext>
                    </c:extLst>
                  </c15:dLbl>
                </c15:categoryFilterException>
                <c15:categoryFilterException>
                  <c15:sqref>'10. GIá bán'!$F$43</c15:sqref>
                  <c15:dLbl>
                    <c:idx val="-1"/>
                    <c:layout>
                      <c:manualLayout>
                        <c:x val="-2.1864951768488745E-2"/>
                        <c:y val="2.0378457059679767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C-5D41-4EA3-B2E5-1265877D1650}"/>
                      </c:ext>
                    </c:extLst>
                  </c15:dLbl>
                </c15:categoryFilterException>
                <c15:categoryFilterException>
                  <c15:sqref>'10. GIá bán'!$G$43</c15:sqref>
                  <c15:dLbl>
                    <c:idx val="-1"/>
                    <c:layout>
                      <c:manualLayout>
                        <c:x val="-2.5723472668810289E-2"/>
                        <c:y val="2.3289665211062592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D-5D41-4EA3-B2E5-1265877D1650}"/>
                      </c:ext>
                    </c:extLst>
                  </c15:dLbl>
                </c15:categoryFilterException>
                <c15:categoryFilterException>
                  <c15:sqref>'10. GIá bán'!$H$43</c15:sqref>
                  <c15:dLbl>
                    <c:idx val="-1"/>
                    <c:layout>
                      <c:manualLayout>
                        <c:x val="-2.4437299035369821E-2"/>
                        <c:y val="-1.7467248908296942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E-5D41-4EA3-B2E5-1265877D1650}"/>
                      </c:ext>
                    </c:extLst>
                  </c15:dLbl>
                </c15:categoryFilterException>
                <c15:categoryFilterException>
                  <c15:sqref>'10. GIá bán'!$I$43</c15:sqref>
                  <c15:dLbl>
                    <c:idx val="-1"/>
                    <c:layout>
                      <c:manualLayout>
                        <c:x val="-2.5723472668810383E-2"/>
                        <c:y val="-1.7467248908296942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F-5D41-4EA3-B2E5-1265877D1650}"/>
                      </c:ext>
                    </c:extLst>
                  </c15:dLbl>
                </c15:categoryFilterException>
                <c15:categoryFilterException>
                  <c15:sqref>'10. GIá bán'!$J$43</c15:sqref>
                  <c15:dLbl>
                    <c:idx val="-1"/>
                    <c:layout>
                      <c:manualLayout>
                        <c:x val="-2.5723472668810289E-2"/>
                        <c:y val="2.3289665211062592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0-5D41-4EA3-B2E5-1265877D1650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B-6A88-4AA1-91AE-64532B97D66D}"/>
            </c:ext>
          </c:extLst>
        </c:ser>
        <c:ser>
          <c:idx val="6"/>
          <c:order val="3"/>
          <c:tx>
            <c:strRef>
              <c:f>'10. GIá bán'!$B$46</c:f>
              <c:strCache>
                <c:ptCount val="1"/>
                <c:pt idx="0">
                  <c:v>Điểm hoàn vốn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8700888707620952E-2"/>
                  <c:y val="-3.58737834331881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7A51-462E-8610-BD72C50BC710}"/>
                </c:ext>
              </c:extLst>
            </c:dLbl>
            <c:dLbl>
              <c:idx val="8"/>
              <c:layout>
                <c:manualLayout>
                  <c:x val="-3.2474309692824714E-2"/>
                  <c:y val="-3.3002162308096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60F-45E2-A6C1-C0E3E9AD4823}"/>
                </c:ext>
              </c:extLst>
            </c:dLbl>
            <c:dLbl>
              <c:idx val="9"/>
              <c:layout>
                <c:manualLayout>
                  <c:x val="-3.0155057999843127E-2"/>
                  <c:y val="-3.3002162308096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00B9-4680-AC7C-7B2AD6D85942}"/>
                </c:ext>
              </c:extLst>
            </c:dLbl>
            <c:dLbl>
              <c:idx val="11"/>
              <c:layout>
                <c:manualLayout>
                  <c:x val="-3.1423049745492301E-2"/>
                  <c:y val="-3.63875513314350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FB55-4629-A4E1-31AB3091E3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bán'!$C$41:$AB$41</c15:sqref>
                  </c15:fullRef>
                </c:ext>
              </c:extLst>
              <c:f>('10. GIá bán'!$K$41:$W$41,'10. GIá bán'!$AA$41:$AB$41)</c:f>
              <c:strCache>
                <c:ptCount val="15"/>
                <c:pt idx="0">
                  <c:v>9.24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1.25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BQ 25</c:v>
                </c:pt>
                <c:pt idx="14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bán'!$C$46:$AB$46</c15:sqref>
                  </c15:fullRef>
                </c:ext>
              </c:extLst>
              <c:f>('10. GIá bán'!$K$46:$W$46,'10. GIá bán'!$AA$46:$AB$46)</c:f>
              <c:numCache>
                <c:formatCode>_(* #,##0_);_(* \(#,##0\);_(* "-"??_);_(@_)</c:formatCode>
                <c:ptCount val="15"/>
                <c:pt idx="0">
                  <c:v>1251</c:v>
                </c:pt>
                <c:pt idx="1">
                  <c:v>1260.3186476770372</c:v>
                </c:pt>
                <c:pt idx="2">
                  <c:v>1260.9721935296795</c:v>
                </c:pt>
                <c:pt idx="3">
                  <c:v>1214.0815770933086</c:v>
                </c:pt>
                <c:pt idx="4">
                  <c:v>1224.4122855454673</c:v>
                </c:pt>
                <c:pt idx="5">
                  <c:v>1224.8943631432089</c:v>
                </c:pt>
                <c:pt idx="6">
                  <c:v>1221</c:v>
                </c:pt>
                <c:pt idx="7">
                  <c:v>1202</c:v>
                </c:pt>
                <c:pt idx="8">
                  <c:v>1215</c:v>
                </c:pt>
                <c:pt idx="9">
                  <c:v>1218</c:v>
                </c:pt>
                <c:pt idx="10">
                  <c:v>1218</c:v>
                </c:pt>
                <c:pt idx="11">
                  <c:v>1221</c:v>
                </c:pt>
                <c:pt idx="12">
                  <c:v>1119</c:v>
                </c:pt>
                <c:pt idx="13">
                  <c:v>1207.0340720765196</c:v>
                </c:pt>
                <c:pt idx="14">
                  <c:v>1272.1977015250022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6A88-4AA1-91AE-64532B97D66D}"/>
            </c:ext>
          </c:extLst>
        </c:ser>
        <c:ser>
          <c:idx val="7"/>
          <c:order val="5"/>
          <c:tx>
            <c:strRef>
              <c:f>'10. GIá bán'!$B$47</c:f>
              <c:strCache>
                <c:ptCount val="1"/>
                <c:pt idx="0">
                  <c:v>Giá Resin</c:v>
                </c:pt>
              </c:strCache>
            </c:strRef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307078397678889E-2"/>
                  <c:y val="1.86440566826353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60F-45E2-A6C1-C0E3E9AD4823}"/>
                </c:ext>
              </c:extLst>
            </c:dLbl>
            <c:dLbl>
              <c:idx val="9"/>
              <c:layout>
                <c:manualLayout>
                  <c:x val="-2.1955461411190834E-2"/>
                  <c:y val="2.43872989328195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00B9-4680-AC7C-7B2AD6D85942}"/>
                </c:ext>
              </c:extLst>
            </c:dLbl>
            <c:dLbl>
              <c:idx val="11"/>
              <c:layout>
                <c:manualLayout>
                  <c:x val="-2.0692608369718375E-2"/>
                  <c:y val="1.89110683245624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FB55-4629-A4E1-31AB3091E3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5"/>
              <c:pt idx="0">
                <c:v>9.24</c:v>
              </c:pt>
              <c:pt idx="1">
                <c:v>10</c:v>
              </c:pt>
              <c:pt idx="2">
                <c:v>11</c:v>
              </c:pt>
              <c:pt idx="3">
                <c:v>12</c:v>
              </c:pt>
              <c:pt idx="4">
                <c:v>1.25</c:v>
              </c:pt>
              <c:pt idx="5">
                <c:v>2</c:v>
              </c:pt>
              <c:pt idx="6">
                <c:v>3</c:v>
              </c:pt>
              <c:pt idx="7">
                <c:v>4</c:v>
              </c:pt>
              <c:pt idx="8">
                <c:v>5</c:v>
              </c:pt>
              <c:pt idx="9">
                <c:v>6</c:v>
              </c:pt>
              <c:pt idx="10">
                <c:v>7</c:v>
              </c:pt>
              <c:pt idx="11">
                <c:v>8</c:v>
              </c:pt>
              <c:pt idx="12">
                <c:v>9</c:v>
              </c:pt>
              <c:pt idx="13">
                <c:v>BQ 25</c:v>
              </c:pt>
              <c:pt idx="14">
                <c:v>BQ 24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bán'!$C$47:$AB$47</c15:sqref>
                  </c15:fullRef>
                </c:ext>
              </c:extLst>
              <c:f>('10. GIá bán'!$K$47:$W$47,'10. GIá bán'!$AA$47:$AB$47)</c:f>
              <c:numCache>
                <c:formatCode>_(* #,##0_);_(* \(#,##0\);_(* "-"??_);_(@_)</c:formatCode>
                <c:ptCount val="15"/>
                <c:pt idx="0">
                  <c:v>967.5</c:v>
                </c:pt>
                <c:pt idx="1">
                  <c:v>965</c:v>
                </c:pt>
                <c:pt idx="2">
                  <c:v>974</c:v>
                </c:pt>
                <c:pt idx="3">
                  <c:v>956</c:v>
                </c:pt>
                <c:pt idx="4">
                  <c:v>940</c:v>
                </c:pt>
                <c:pt idx="5">
                  <c:v>918</c:v>
                </c:pt>
                <c:pt idx="6">
                  <c:v>896</c:v>
                </c:pt>
                <c:pt idx="7">
                  <c:v>892</c:v>
                </c:pt>
                <c:pt idx="8">
                  <c:v>864</c:v>
                </c:pt>
                <c:pt idx="9">
                  <c:v>833</c:v>
                </c:pt>
                <c:pt idx="10">
                  <c:v>833</c:v>
                </c:pt>
                <c:pt idx="11">
                  <c:v>815</c:v>
                </c:pt>
                <c:pt idx="12">
                  <c:v>815</c:v>
                </c:pt>
                <c:pt idx="13">
                  <c:v>867.33333333333337</c:v>
                </c:pt>
                <c:pt idx="14">
                  <c:v>975.77777777777783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'10. GIá bán'!$D$47</c15:sqref>
                  <c15:dLbl>
                    <c:idx val="-1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rgbClr val="FF00FF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b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layout>
                          <c:manualLayout>
                            <c:w val="2.7929311086917995E-2"/>
                            <c:h val="3.4890944308817291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6-5D41-4EA3-B2E5-1265877D1650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0-6A88-4AA1-91AE-64532B97D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460704"/>
        <c:axId val="140447264"/>
        <c:extLst>
          <c:ext xmlns:c15="http://schemas.microsoft.com/office/drawing/2012/chart" uri="{02D57815-91ED-43cb-92C2-25804820EDAC}">
            <c15:filteredLineSeries>
              <c15:ser>
                <c:idx val="5"/>
                <c:order val="4"/>
                <c:tx>
                  <c:strRef>
                    <c:extLst>
                      <c:ext uri="{02D57815-91ED-43cb-92C2-25804820EDAC}">
                        <c15:formulaRef>
                          <c15:sqref>'10. GIá bán'!$B$45</c15:sqref>
                        </c15:formulaRef>
                      </c:ext>
                    </c:extLst>
                    <c:strCache>
                      <c:ptCount val="1"/>
                      <c:pt idx="0">
                        <c:v>Giá ICIS</c:v>
                      </c:pt>
                    </c:strCache>
                  </c:strRef>
                </c:tx>
                <c:spPr>
                  <a:ln w="28575" cap="rnd">
                    <a:solidFill>
                      <a:srgbClr val="CC00FF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rgbClr val="CC00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'10. GIá bán'!$C$41:$AB$41</c15:sqref>
                        </c15:fullRef>
                        <c15:formulaRef>
                          <c15:sqref>('10. GIá bán'!$K$41:$W$41,'10. GIá bán'!$AA$41:$AB$41)</c15:sqref>
                        </c15:formulaRef>
                      </c:ext>
                    </c:extLst>
                    <c:strCache>
                      <c:ptCount val="15"/>
                      <c:pt idx="0">
                        <c:v>9.24</c:v>
                      </c:pt>
                      <c:pt idx="1">
                        <c:v>10</c:v>
                      </c:pt>
                      <c:pt idx="2">
                        <c:v>11</c:v>
                      </c:pt>
                      <c:pt idx="3">
                        <c:v>12</c:v>
                      </c:pt>
                      <c:pt idx="4">
                        <c:v>1.25</c:v>
                      </c:pt>
                      <c:pt idx="5">
                        <c:v>2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5</c:v>
                      </c:pt>
                      <c:pt idx="9">
                        <c:v>6</c:v>
                      </c:pt>
                      <c:pt idx="10">
                        <c:v>7</c:v>
                      </c:pt>
                      <c:pt idx="11">
                        <c:v>8</c:v>
                      </c:pt>
                      <c:pt idx="12">
                        <c:v>9</c:v>
                      </c:pt>
                      <c:pt idx="13">
                        <c:v>BQ 25</c:v>
                      </c:pt>
                      <c:pt idx="14">
                        <c:v>BQ 24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'10. GIá bán'!$C$45:$AB$45</c15:sqref>
                        </c15:fullRef>
                        <c15:formulaRef>
                          <c15:sqref>('10. GIá bán'!$K$45:$W$45,'10. GIá bán'!$AA$45:$AB$45)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5"/>
                    </c:numCache>
                  </c:numRef>
                </c:val>
                <c:smooth val="0"/>
                <c:extLst>
                  <c:ext uri="{02D57815-91ED-43cb-92C2-25804820EDAC}">
                    <c15:categoryFilterExceptions>
                      <c15:categoryFilterException>
                        <c15:sqref>'10. GIá bán'!$C$45</c15:sqref>
                        <c15:dLbl>
                          <c:idx val="-1"/>
                          <c:layout>
                            <c:manualLayout>
                              <c:x val="-2.8295819935691319E-2"/>
                              <c:y val="-3.4934497816593885E-2"/>
                            </c:manualLayout>
                          </c:layout>
                          <c:showLegendKey val="0"/>
                          <c:showVal val="1"/>
                          <c:showCatName val="0"/>
                          <c:showSerName val="0"/>
                          <c:showPercent val="0"/>
                          <c:showBubbleSize val="0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11-5D41-4EA3-B2E5-1265877D1650}"/>
                            </c:ext>
                          </c:extLst>
                        </c15:dLbl>
                      </c15:categoryFilterException>
                      <c15:categoryFilterException>
                        <c15:sqref>'10. GIá bán'!$D$45</c15:sqref>
                        <c15:dLbl>
                          <c:idx val="-1"/>
                          <c:layout>
                            <c:manualLayout>
                              <c:x val="-2.7009646302250803E-2"/>
                              <c:y val="-3.2023289665211063E-2"/>
                            </c:manualLayout>
                          </c:layout>
                          <c:showLegendKey val="0"/>
                          <c:showVal val="1"/>
                          <c:showCatName val="0"/>
                          <c:showSerName val="0"/>
                          <c:showPercent val="0"/>
                          <c:showBubbleSize val="0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12-5D41-4EA3-B2E5-1265877D1650}"/>
                            </c:ext>
                          </c:extLst>
                        </c15:dLbl>
                      </c15:categoryFilterException>
                      <c15:categoryFilterException>
                        <c15:sqref>'10. GIá bán'!$E$45</c15:sqref>
                        <c15:dLbl>
                          <c:idx val="-1"/>
                          <c:layout>
                            <c:manualLayout>
                              <c:x val="-2.8295819935691319E-2"/>
                              <c:y val="-3.2023289665211119E-2"/>
                            </c:manualLayout>
                          </c:layout>
                          <c:showLegendKey val="0"/>
                          <c:showVal val="1"/>
                          <c:showCatName val="0"/>
                          <c:showSerName val="0"/>
                          <c:showPercent val="0"/>
                          <c:showBubbleSize val="0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13-5D41-4EA3-B2E5-1265877D1650}"/>
                            </c:ext>
                          </c:extLst>
                        </c15:dLbl>
                      </c15:categoryFilterException>
                      <c15:categoryFilterException>
                        <c15:sqref>'10. GIá bán'!$F$45</c15:sqref>
                        <c15:dLbl>
                          <c:idx val="-1"/>
                          <c:layout>
                            <c:manualLayout>
                              <c:x val="-2.1864951768488745E-2"/>
                              <c:y val="-2.0378457059679819E-2"/>
                            </c:manualLayout>
                          </c:layout>
                          <c:showLegendKey val="0"/>
                          <c:showVal val="1"/>
                          <c:showCatName val="0"/>
                          <c:showSerName val="0"/>
                          <c:showPercent val="0"/>
                          <c:showBubbleSize val="0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14-5D41-4EA3-B2E5-1265877D1650}"/>
                            </c:ext>
                          </c:extLst>
                        </c15:dLbl>
                      </c15:categoryFilterException>
                      <c15:categoryFilterException>
                        <c15:sqref>'10. GIá bán'!$G$45</c15:sqref>
                        <c15:dLbl>
                          <c:idx val="-1"/>
                          <c:layout>
                            <c:manualLayout>
                              <c:x val="-2.7009646302250851E-2"/>
                              <c:y val="-2.6200873362445413E-2"/>
                            </c:manualLayout>
                          </c:layout>
                          <c:showLegendKey val="0"/>
                          <c:showVal val="1"/>
                          <c:showCatName val="0"/>
                          <c:showSerName val="0"/>
                          <c:showPercent val="0"/>
                          <c:showBubbleSize val="0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15-5D41-4EA3-B2E5-1265877D1650}"/>
                            </c:ext>
                          </c:extLst>
                        </c15:dLbl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47-6A88-4AA1-91AE-64532B97D66D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0"/>
          <c:order val="8"/>
          <c:tx>
            <c:strRef>
              <c:f>'10. GIá bán'!$B$50</c:f>
              <c:strCache>
                <c:ptCount val="1"/>
                <c:pt idx="0">
                  <c:v>% +/- giá bán sv giá Resin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0621347495889595E-2"/>
                  <c:y val="0.1069807752879590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7-6A88-4AA1-91AE-64532B97D66D}"/>
                </c:ext>
              </c:extLst>
            </c:dLbl>
            <c:dLbl>
              <c:idx val="1"/>
              <c:layout>
                <c:manualLayout>
                  <c:x val="-1.5476617798623398E-2"/>
                  <c:y val="0.199229003644697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8-6A88-4AA1-91AE-64532B97D66D}"/>
                </c:ext>
              </c:extLst>
            </c:dLbl>
            <c:dLbl>
              <c:idx val="2"/>
              <c:layout>
                <c:manualLayout>
                  <c:x val="-1.0395829955304445E-2"/>
                  <c:y val="0.254264866122535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9-6A88-4AA1-91AE-64532B97D66D}"/>
                </c:ext>
              </c:extLst>
            </c:dLbl>
            <c:dLbl>
              <c:idx val="3"/>
              <c:layout>
                <c:manualLayout>
                  <c:x val="-1.5625616262026944E-2"/>
                  <c:y val="0.225192302517823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A-6A88-4AA1-91AE-64532B97D66D}"/>
                </c:ext>
              </c:extLst>
            </c:dLbl>
            <c:dLbl>
              <c:idx val="4"/>
              <c:layout>
                <c:manualLayout>
                  <c:x val="-2.0621347495889595E-2"/>
                  <c:y val="0.251116031808517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B-6A88-4AA1-91AE-64532B97D66D}"/>
                </c:ext>
              </c:extLst>
            </c:dLbl>
            <c:dLbl>
              <c:idx val="5"/>
              <c:layout>
                <c:manualLayout>
                  <c:x val="-1.5519245701254894E-2"/>
                  <c:y val="0.2281826323902130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C-6A88-4AA1-91AE-64532B97D66D}"/>
                </c:ext>
              </c:extLst>
            </c:dLbl>
            <c:dLbl>
              <c:idx val="6"/>
              <c:layout>
                <c:manualLayout>
                  <c:x val="-2.4696254622169223E-2"/>
                  <c:y val="0.2998940213526511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D-6A88-4AA1-91AE-64532B97D66D}"/>
                </c:ext>
              </c:extLst>
            </c:dLbl>
            <c:dLbl>
              <c:idx val="7"/>
              <c:layout>
                <c:manualLayout>
                  <c:x val="-2.2239084314465616E-2"/>
                  <c:y val="0.3377792962448014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2D-434C-8E24-50584618B28B}"/>
                </c:ext>
              </c:extLst>
            </c:dLbl>
            <c:dLbl>
              <c:idx val="8"/>
              <c:layout>
                <c:manualLayout>
                  <c:x val="-2.0361695761870177E-2"/>
                  <c:y val="0.3532093983863298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20D-4522-9F0F-86CABA2F4604}"/>
                </c:ext>
              </c:extLst>
            </c:dLbl>
            <c:dLbl>
              <c:idx val="9"/>
              <c:layout>
                <c:manualLayout>
                  <c:x val="-3.1683316124552656E-2"/>
                  <c:y val="0.3072634603848560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A55-42A7-864B-DD80DF2BA5F1}"/>
                </c:ext>
              </c:extLst>
            </c:dLbl>
            <c:dLbl>
              <c:idx val="10"/>
              <c:layout>
                <c:manualLayout>
                  <c:x val="-2.3845530822961633E-2"/>
                  <c:y val="0.3273648082605007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60F-45E2-A6C1-C0E3E9AD4823}"/>
                </c:ext>
              </c:extLst>
            </c:dLbl>
            <c:dLbl>
              <c:idx val="11"/>
              <c:layout>
                <c:manualLayout>
                  <c:x val="-2.4055754319867163E-2"/>
                  <c:y val="0.4092347604787134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00B9-4680-AC7C-7B2AD6D85942}"/>
                </c:ext>
              </c:extLst>
            </c:dLbl>
            <c:dLbl>
              <c:idx val="12"/>
              <c:layout>
                <c:manualLayout>
                  <c:x val="-2.6405323598379379E-2"/>
                  <c:y val="0.335979671635777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7A51-462E-8610-BD72C50BC710}"/>
                </c:ext>
              </c:extLst>
            </c:dLbl>
            <c:dLbl>
              <c:idx val="13"/>
              <c:layout>
                <c:manualLayout>
                  <c:x val="-3.3949686330908939E-2"/>
                  <c:y val="0.1825962056651180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7A51-462E-8610-BD72C50BC710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9933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14"/>
              <c:pt idx="0">
                <c:v>7</c:v>
              </c:pt>
              <c:pt idx="1">
                <c:v>8</c:v>
              </c:pt>
              <c:pt idx="2">
                <c:v>9</c:v>
              </c:pt>
              <c:pt idx="3">
                <c:v>10</c:v>
              </c:pt>
              <c:pt idx="4">
                <c:v>11</c:v>
              </c:pt>
              <c:pt idx="5">
                <c:v>12</c:v>
              </c:pt>
              <c:pt idx="6">
                <c:v>13</c:v>
              </c:pt>
              <c:pt idx="7">
                <c:v>14</c:v>
              </c:pt>
              <c:pt idx="8">
                <c:v>15</c:v>
              </c:pt>
              <c:pt idx="9">
                <c:v>16</c:v>
              </c:pt>
              <c:pt idx="10">
                <c:v>17</c:v>
              </c:pt>
              <c:pt idx="11">
                <c:v>18</c:v>
              </c:pt>
              <c:pt idx="12">
                <c:v>25</c:v>
              </c:pt>
              <c:pt idx="13">
                <c:v>26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bán'!$C$50:$AB$50</c15:sqref>
                  </c15:fullRef>
                </c:ext>
              </c:extLst>
              <c:f>('10. GIá bán'!$I$50:$T$50,'10. GIá bán'!$AA$50:$AB$50)</c:f>
              <c:numCache>
                <c:formatCode>0%</c:formatCode>
                <c:ptCount val="14"/>
                <c:pt idx="0">
                  <c:v>0.39198703170837051</c:v>
                </c:pt>
                <c:pt idx="1">
                  <c:v>0.42903388429540584</c:v>
                </c:pt>
                <c:pt idx="2">
                  <c:v>0.48433395927218148</c:v>
                </c:pt>
                <c:pt idx="3">
                  <c:v>0.436969901983433</c:v>
                </c:pt>
                <c:pt idx="4">
                  <c:v>0.42460837906392923</c:v>
                </c:pt>
                <c:pt idx="5">
                  <c:v>0.44828243552214114</c:v>
                </c:pt>
                <c:pt idx="6">
                  <c:v>0.49958928205113312</c:v>
                </c:pt>
                <c:pt idx="7">
                  <c:v>0.52630730255716696</c:v>
                </c:pt>
                <c:pt idx="8">
                  <c:v>0.56341759469800701</c:v>
                </c:pt>
                <c:pt idx="9">
                  <c:v>0.52484671381588133</c:v>
                </c:pt>
                <c:pt idx="10">
                  <c:v>0.55147232690403891</c:v>
                </c:pt>
                <c:pt idx="11">
                  <c:v>0.60472163523158096</c:v>
                </c:pt>
                <c:pt idx="12">
                  <c:v>0.58145925987872149</c:v>
                </c:pt>
                <c:pt idx="13">
                  <c:v>0.46104110205210869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'10. GIá bán'!$C$50</c15:sqref>
                  <c15:dLbl>
                    <c:idx val="-1"/>
                    <c:layout>
                      <c:manualLayout>
                        <c:x val="-1.0289389067524116E-2"/>
                        <c:y val="0.393013100436681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7-5D41-4EA3-B2E5-1265877D1650}"/>
                      </c:ext>
                    </c:extLst>
                  </c15:dLbl>
                </c15:categoryFilterException>
                <c15:categoryFilterException>
                  <c15:sqref>'10. GIá bán'!$D$50</c15:sqref>
                  <c15:dLbl>
                    <c:idx val="-1"/>
                    <c:layout>
                      <c:manualLayout>
                        <c:x val="-2.1864951768488745E-2"/>
                        <c:y val="0.3580786026200872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8-5D41-4EA3-B2E5-1265877D1650}"/>
                      </c:ext>
                    </c:extLst>
                  </c15:dLbl>
                </c15:categoryFilterException>
                <c15:categoryFilterException>
                  <c15:sqref>'10. GIá bán'!$E$50</c15:sqref>
                  <c15:dLbl>
                    <c:idx val="-1"/>
                    <c:layout>
                      <c:manualLayout>
                        <c:x val="-2.3151125401929259E-2"/>
                        <c:y val="0.34643377001455605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9-5D41-4EA3-B2E5-1265877D1650}"/>
                      </c:ext>
                    </c:extLst>
                  </c15:dLbl>
                </c15:categoryFilterException>
                <c15:categoryFilterException>
                  <c15:sqref>'10. GIá bán'!$F$50</c15:sqref>
                  <c15:dLbl>
                    <c:idx val="-1"/>
                    <c:layout>
                      <c:manualLayout>
                        <c:x val="-2.1864951768488745E-2"/>
                        <c:y val="0.33770014556040756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A-5D41-4EA3-B2E5-1265877D1650}"/>
                      </c:ext>
                    </c:extLst>
                  </c15:dLbl>
                </c15:categoryFilterException>
                <c15:categoryFilterException>
                  <c15:sqref>'10. GIá bán'!$G$50</c15:sqref>
                  <c15:dLbl>
                    <c:idx val="-1"/>
                    <c:layout>
                      <c:manualLayout>
                        <c:x val="-1.800643086816725E-2"/>
                        <c:y val="0.2852983988355167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B-5D41-4EA3-B2E5-1265877D1650}"/>
                      </c:ext>
                    </c:extLst>
                  </c15:dLbl>
                </c15:categoryFilterException>
                <c15:categoryFilterException>
                  <c15:sqref>'10. GIá bán'!$H$50</c15:sqref>
                  <c15:dLbl>
                    <c:idx val="-1"/>
                    <c:layout>
                      <c:manualLayout>
                        <c:x val="-1.800643086816725E-2"/>
                        <c:y val="0.25618631732168851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C-5D41-4EA3-B2E5-1265877D1650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63-6A88-4AA1-91AE-64532B97D66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1551360"/>
        <c:axId val="161552320"/>
      </c:lineChart>
      <c:catAx>
        <c:axId val="14046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47264"/>
        <c:crosses val="autoZero"/>
        <c:auto val="1"/>
        <c:lblAlgn val="ctr"/>
        <c:lblOffset val="100"/>
        <c:noMultiLvlLbl val="0"/>
      </c:catAx>
      <c:valAx>
        <c:axId val="140447264"/>
        <c:scaling>
          <c:orientation val="minMax"/>
          <c:max val="1550"/>
          <c:min val="800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60704"/>
        <c:crosses val="autoZero"/>
        <c:crossBetween val="between"/>
      </c:valAx>
      <c:valAx>
        <c:axId val="161552320"/>
        <c:scaling>
          <c:orientation val="minMax"/>
          <c:max val="0.65000000000000013"/>
          <c:min val="0.1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51360"/>
        <c:crosses val="max"/>
        <c:crossBetween val="between"/>
      </c:valAx>
      <c:catAx>
        <c:axId val="161551360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52320"/>
        <c:crosses val="max"/>
        <c:auto val="1"/>
        <c:lblAlgn val="ctr"/>
        <c:lblOffset val="100"/>
        <c:tickLblSkip val="1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9933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7565326214015293"/>
          <c:y val="0.15334095028952499"/>
          <c:w val="0.11139630858039851"/>
          <c:h val="0.70778988870932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2700" cap="flat" cmpd="sng" algn="ctr">
      <a:solidFill>
        <a:srgbClr val="00CC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0" baseline="0">
                <a:solidFill>
                  <a:srgbClr val="0000FF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GIÁ HẠT </a:t>
            </a:r>
            <a:r>
              <a:rPr lang="en-US" sz="1600" b="1" i="0" u="none" strike="noStrike" kern="1200" spc="0" baseline="0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rPET </a:t>
            </a:r>
            <a:r>
              <a:rPr lang="en-US" sz="1600" b="1" i="0" u="none" strike="noStrike" kern="1200" spc="0" baseline="0">
                <a:solidFill>
                  <a:srgbClr val="0000FF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- WSS01G NĂM 2024 &amp;2025 (USD/tấn)</a:t>
            </a:r>
          </a:p>
        </c:rich>
      </c:tx>
      <c:layout>
        <c:manualLayout>
          <c:xMode val="edge"/>
          <c:yMode val="edge"/>
          <c:x val="0.21232792363977013"/>
          <c:y val="2.75389408099688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72347266881029E-3"/>
          <c:y val="0.11962619756817955"/>
          <c:w val="0.85941423399245509"/>
          <c:h val="0.80810503792406552"/>
        </c:manualLayout>
      </c:layout>
      <c:areaChart>
        <c:grouping val="stacked"/>
        <c:varyColors val="0"/>
        <c:ser>
          <c:idx val="7"/>
          <c:order val="6"/>
          <c:tx>
            <c:strRef>
              <c:f>'10. GIá bán'!$B$11</c:f>
              <c:strCache>
                <c:ptCount val="1"/>
                <c:pt idx="0">
                  <c:v>Giá Resin 1</c:v>
                </c:pt>
              </c:strCache>
            </c:strRef>
          </c:tx>
          <c:spPr>
            <a:noFill/>
            <a:ln cap="flat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bán'!$C$4:$AB$4</c15:sqref>
                  </c15:fullRef>
                </c:ext>
              </c:extLst>
              <c:f>('10. GIá bán'!$K$4:$W$4,'10. GIá bán'!$AA$4:$AB$4)</c:f>
              <c:strCache>
                <c:ptCount val="15"/>
                <c:pt idx="0">
                  <c:v>9.24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1.25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BQ 25</c:v>
                </c:pt>
                <c:pt idx="14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bán'!$C$11:$AB$11</c15:sqref>
                  </c15:fullRef>
                </c:ext>
              </c:extLst>
              <c:f>('10. GIá bán'!$K$11:$W$11,'10. GIá bán'!$AA$11:$AB$11)</c:f>
              <c:numCache>
                <c:formatCode>_(* #,##0_);_(* \(#,##0\);_(* "-"??_);_(@_)</c:formatCode>
                <c:ptCount val="15"/>
                <c:pt idx="0">
                  <c:v>880</c:v>
                </c:pt>
                <c:pt idx="1">
                  <c:v>862.5</c:v>
                </c:pt>
                <c:pt idx="2">
                  <c:v>852</c:v>
                </c:pt>
                <c:pt idx="3">
                  <c:v>830</c:v>
                </c:pt>
                <c:pt idx="4">
                  <c:v>820</c:v>
                </c:pt>
                <c:pt idx="5">
                  <c:v>840</c:v>
                </c:pt>
                <c:pt idx="6">
                  <c:v>823</c:v>
                </c:pt>
                <c:pt idx="7">
                  <c:v>765</c:v>
                </c:pt>
                <c:pt idx="8">
                  <c:v>782</c:v>
                </c:pt>
                <c:pt idx="9">
                  <c:v>808</c:v>
                </c:pt>
                <c:pt idx="10">
                  <c:v>802</c:v>
                </c:pt>
                <c:pt idx="11">
                  <c:v>795</c:v>
                </c:pt>
                <c:pt idx="12">
                  <c:v>783</c:v>
                </c:pt>
                <c:pt idx="13">
                  <c:v>802</c:v>
                </c:pt>
                <c:pt idx="14">
                  <c:v>912.27777777777783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8-4412-A95A-F6B9B8651E91}"/>
            </c:ext>
          </c:extLst>
        </c:ser>
        <c:ser>
          <c:idx val="8"/>
          <c:order val="7"/>
          <c:tx>
            <c:strRef>
              <c:f>'10. GIá bán'!$B$12</c:f>
              <c:strCache>
                <c:ptCount val="1"/>
                <c:pt idx="0">
                  <c:v> +/- giá bán sv giá Resin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bán'!$C$4:$AB$4</c15:sqref>
                  </c15:fullRef>
                </c:ext>
              </c:extLst>
              <c:f>('10. GIá bán'!$K$4:$W$4,'10. GIá bán'!$AA$4:$AB$4)</c:f>
              <c:strCache>
                <c:ptCount val="15"/>
                <c:pt idx="0">
                  <c:v>9.24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1.25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BQ 25</c:v>
                </c:pt>
                <c:pt idx="14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bán'!$C$12:$AB$12</c15:sqref>
                  </c15:fullRef>
                </c:ext>
              </c:extLst>
              <c:f>('10. GIá bán'!$K$12:$W$12,'10. GIá bán'!$AA$12:$AB$12)</c:f>
              <c:numCache>
                <c:formatCode>_(* #,##0_);_(* \(#,##0\);_(* "-"??_);_(@_)</c:formatCode>
                <c:ptCount val="15"/>
                <c:pt idx="0">
                  <c:v>343.22817762569161</c:v>
                </c:pt>
                <c:pt idx="1">
                  <c:v>371.39485021696646</c:v>
                </c:pt>
                <c:pt idx="2">
                  <c:v>408.67057018816695</c:v>
                </c:pt>
                <c:pt idx="3">
                  <c:v>423.790604520035</c:v>
                </c:pt>
                <c:pt idx="4">
                  <c:v>393.98146070644657</c:v>
                </c:pt>
                <c:pt idx="5">
                  <c:v>405.53409271520786</c:v>
                </c:pt>
                <c:pt idx="6">
                  <c:v>408.70948379509423</c:v>
                </c:pt>
                <c:pt idx="7">
                  <c:v>427.71360946610775</c:v>
                </c:pt>
                <c:pt idx="8">
                  <c:v>417.76281726130765</c:v>
                </c:pt>
                <c:pt idx="9">
                  <c:v>402.03854481089365</c:v>
                </c:pt>
                <c:pt idx="10">
                  <c:v>396.64580349559469</c:v>
                </c:pt>
                <c:pt idx="11">
                  <c:v>375.8319376466734</c:v>
                </c:pt>
                <c:pt idx="12">
                  <c:v>423.99223645209463</c:v>
                </c:pt>
                <c:pt idx="13">
                  <c:v>405.80110959438002</c:v>
                </c:pt>
                <c:pt idx="14">
                  <c:v>311.43076829867414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E8-4412-A95A-F6B9B8651E9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40460704"/>
        <c:axId val="140447264"/>
      </c:areaChart>
      <c:lineChart>
        <c:grouping val="standard"/>
        <c:varyColors val="0"/>
        <c:ser>
          <c:idx val="4"/>
          <c:order val="0"/>
          <c:tx>
            <c:strRef>
              <c:f>'10. GIá bán'!$B$8</c:f>
              <c:strCache>
                <c:ptCount val="1"/>
                <c:pt idx="0">
                  <c:v>Giá ICIS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7722110612425303E-2"/>
                  <c:y val="-3.53552260961319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51B4-44D0-BD10-CBBD7B84F226}"/>
                </c:ext>
              </c:extLst>
            </c:dLbl>
            <c:dLbl>
              <c:idx val="9"/>
              <c:layout>
                <c:manualLayout>
                  <c:x val="-3.4430801020528111E-2"/>
                  <c:y val="-3.34501261643721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708B-4303-B6DB-F563CCBD3518}"/>
                </c:ext>
              </c:extLst>
            </c:dLbl>
            <c:dLbl>
              <c:idx val="10"/>
              <c:layout>
                <c:manualLayout>
                  <c:x val="-3.0395739727913377E-2"/>
                  <c:y val="-4.35490568924442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E050-4F09-89A8-C41AAD25B9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C00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bán'!$C$4:$AB$4</c15:sqref>
                  </c15:fullRef>
                </c:ext>
              </c:extLst>
              <c:f>('10. GIá bán'!$K$4:$W$4,'10. GIá bán'!$AA$4:$AB$4)</c:f>
              <c:strCache>
                <c:ptCount val="15"/>
                <c:pt idx="0">
                  <c:v>9.24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1.25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BQ 25</c:v>
                </c:pt>
                <c:pt idx="14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bán'!$C$8:$AB$8</c15:sqref>
                  </c15:fullRef>
                </c:ext>
              </c:extLst>
              <c:f>('10. GIá bán'!$K$8:$W$8,'10. GIá bán'!$AA$8:$AB$8)</c:f>
              <c:numCache>
                <c:formatCode>_(* #,##0_);_(* \(#,##0\);_(* "-"??_);_(@_)</c:formatCode>
                <c:ptCount val="15"/>
                <c:pt idx="0">
                  <c:v>1427.5</c:v>
                </c:pt>
                <c:pt idx="1">
                  <c:v>1440</c:v>
                </c:pt>
                <c:pt idx="2">
                  <c:v>1440</c:v>
                </c:pt>
                <c:pt idx="3">
                  <c:v>1421.25</c:v>
                </c:pt>
                <c:pt idx="4">
                  <c:v>1368.75</c:v>
                </c:pt>
                <c:pt idx="5">
                  <c:v>1350</c:v>
                </c:pt>
                <c:pt idx="6">
                  <c:v>1350</c:v>
                </c:pt>
                <c:pt idx="7">
                  <c:v>1360</c:v>
                </c:pt>
                <c:pt idx="8">
                  <c:v>1360</c:v>
                </c:pt>
                <c:pt idx="9">
                  <c:v>1360</c:v>
                </c:pt>
                <c:pt idx="10">
                  <c:v>1324</c:v>
                </c:pt>
                <c:pt idx="11">
                  <c:v>1295</c:v>
                </c:pt>
                <c:pt idx="12">
                  <c:v>1275</c:v>
                </c:pt>
                <c:pt idx="13">
                  <c:v>1338.0833333333333</c:v>
                </c:pt>
                <c:pt idx="14">
                  <c:v>1374.2166666666665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E8-4412-A95A-F6B9B8651E91}"/>
            </c:ext>
          </c:extLst>
        </c:ser>
        <c:ser>
          <c:idx val="2"/>
          <c:order val="1"/>
          <c:tx>
            <c:strRef>
              <c:f>'10. GIá bán'!$B$6</c:f>
              <c:strCache>
                <c:ptCount val="1"/>
                <c:pt idx="0">
                  <c:v>Giá duyệt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5723472668810289E-2"/>
                  <c:y val="-3.66666666666666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0E8-4412-A95A-F6B9B8651E91}"/>
                </c:ext>
              </c:extLst>
            </c:dLbl>
            <c:dLbl>
              <c:idx val="1"/>
              <c:layout>
                <c:manualLayout>
                  <c:x val="-2.8295819935691413E-2"/>
                  <c:y val="-2.33333333333333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0E8-4412-A95A-F6B9B8651E91}"/>
                </c:ext>
              </c:extLst>
            </c:dLbl>
            <c:dLbl>
              <c:idx val="2"/>
              <c:layout>
                <c:manualLayout>
                  <c:x val="-2.8295819935691319E-2"/>
                  <c:y val="-3.33333333333333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E8-4412-A95A-F6B9B8651E91}"/>
                </c:ext>
              </c:extLst>
            </c:dLbl>
            <c:dLbl>
              <c:idx val="3"/>
              <c:layout>
                <c:manualLayout>
                  <c:x val="-1.2861736334405238E-2"/>
                  <c:y val="-1.33333333333333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0E8-4412-A95A-F6B9B8651E91}"/>
                </c:ext>
              </c:extLst>
            </c:dLbl>
            <c:dLbl>
              <c:idx val="4"/>
              <c:layout>
                <c:manualLayout>
                  <c:x val="-2.4437299035369869E-2"/>
                  <c:y val="-0.0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E8-4412-A95A-F6B9B8651E91}"/>
                </c:ext>
              </c:extLst>
            </c:dLbl>
            <c:dLbl>
              <c:idx val="5"/>
              <c:layout>
                <c:manualLayout>
                  <c:x val="-1.8025774109426032E-2"/>
                  <c:y val="2.492212449337079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0E8-4412-A95A-F6B9B8651E91}"/>
                </c:ext>
              </c:extLst>
            </c:dLbl>
            <c:dLbl>
              <c:idx val="6"/>
              <c:layout>
                <c:manualLayout>
                  <c:x val="-2.3151125401929356E-2"/>
                  <c:y val="2.14178186812418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E8-4412-A95A-F6B9B8651E91}"/>
                </c:ext>
              </c:extLst>
            </c:dLbl>
            <c:dLbl>
              <c:idx val="7"/>
              <c:layout>
                <c:manualLayout>
                  <c:x val="-2.5723472668810289E-2"/>
                  <c:y val="-2.18068589316993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0E8-4412-A95A-F6B9B8651E91}"/>
                </c:ext>
              </c:extLst>
            </c:dLbl>
            <c:dLbl>
              <c:idx val="8"/>
              <c:layout>
                <c:manualLayout>
                  <c:x val="-2.9153525772313713E-2"/>
                  <c:y val="-3.0763685479831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51B4-44D0-BD10-CBBD7B84F226}"/>
                </c:ext>
              </c:extLst>
            </c:dLbl>
            <c:dLbl>
              <c:idx val="9"/>
              <c:layout>
                <c:manualLayout>
                  <c:x val="-3.3537411013856884E-2"/>
                  <c:y val="-3.82559695880103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708B-4303-B6DB-F563CCBD3518}"/>
                </c:ext>
              </c:extLst>
            </c:dLbl>
            <c:dLbl>
              <c:idx val="10"/>
              <c:layout>
                <c:manualLayout>
                  <c:x val="-2.9518672214007776E-2"/>
                  <c:y val="1.613822247772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E050-4F09-89A8-C41AAD25B99B}"/>
                </c:ext>
              </c:extLst>
            </c:dLbl>
            <c:dLbl>
              <c:idx val="11"/>
              <c:layout>
                <c:manualLayout>
                  <c:x val="-2.1963312620949631E-2"/>
                  <c:y val="-2.236317085110360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2ED7-421C-96A4-67F89045C659}"/>
                </c:ext>
              </c:extLst>
            </c:dLbl>
            <c:dLbl>
              <c:idx val="13"/>
              <c:layout>
                <c:manualLayout>
                  <c:x val="-2.5483395299496781E-2"/>
                  <c:y val="-4.95331671286871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0E8-4412-A95A-F6B9B8651E91}"/>
                </c:ext>
              </c:extLst>
            </c:dLbl>
            <c:dLbl>
              <c:idx val="14"/>
              <c:layout>
                <c:manualLayout>
                  <c:x val="-2.5723472668810383E-2"/>
                  <c:y val="2.80373900550420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0E8-4412-A95A-F6B9B8651E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bán'!$C$4:$AB$4</c15:sqref>
                  </c15:fullRef>
                </c:ext>
              </c:extLst>
              <c:f>('10. GIá bán'!$K$4:$W$4,'10. GIá bán'!$AA$4:$AB$4)</c:f>
              <c:strCache>
                <c:ptCount val="15"/>
                <c:pt idx="0">
                  <c:v>9.24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1.25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BQ 25</c:v>
                </c:pt>
                <c:pt idx="14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bán'!$C$6:$AB$6</c15:sqref>
                  </c15:fullRef>
                </c:ext>
              </c:extLst>
              <c:f>('10. GIá bán'!$K$6:$W$6,'10. GIá bán'!$AA$6:$AB$6)</c:f>
              <c:numCache>
                <c:formatCode>_(* #,##0_);_(* \(#,##0\);_(* "-"??_);_(@_)</c:formatCode>
                <c:ptCount val="15"/>
                <c:pt idx="0">
                  <c:v>1310</c:v>
                </c:pt>
                <c:pt idx="1">
                  <c:v>1325</c:v>
                </c:pt>
                <c:pt idx="2">
                  <c:v>1325</c:v>
                </c:pt>
                <c:pt idx="3">
                  <c:v>1275</c:v>
                </c:pt>
                <c:pt idx="4">
                  <c:v>1230</c:v>
                </c:pt>
                <c:pt idx="5">
                  <c:v>1230</c:v>
                </c:pt>
                <c:pt idx="6">
                  <c:v>1230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1220</c:v>
                </c:pt>
                <c:pt idx="12">
                  <c:v>1220</c:v>
                </c:pt>
                <c:pt idx="13">
                  <c:v>1236.6666666666667</c:v>
                </c:pt>
                <c:pt idx="14">
                  <c:v>1286.25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'10. GIá bán'!$C$6</c15:sqref>
                  <c15:dLbl>
                    <c:idx val="-1"/>
                    <c:layout>
                      <c:manualLayout>
                        <c:x val="-1.9693445071777605E-2"/>
                        <c:y val="0.0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83A9-406A-BDAE-8718807B7653}"/>
                      </c:ext>
                    </c:extLst>
                  </c15:dLbl>
                </c15:categoryFilterException>
                <c15:categoryFilterException>
                  <c15:sqref>'10. GIá bán'!$D$6</c15:sqref>
                  <c15:dLbl>
                    <c:idx val="-1"/>
                    <c:layout>
                      <c:manualLayout>
                        <c:x val="-2.109993164037775E-2"/>
                        <c:y val="-2.3333333333333334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83A9-406A-BDAE-8718807B7653}"/>
                      </c:ext>
                    </c:extLst>
                  </c15:dLbl>
                </c15:categoryFilterException>
                <c15:categoryFilterException>
                  <c15:sqref>'10. GIá bán'!$E$6</c15:sqref>
                  <c15:dLbl>
                    <c:idx val="-1"/>
                    <c:layout>
                      <c:manualLayout>
                        <c:x val="-2.3872679045092861E-2"/>
                        <c:y val="-3.3333333333333333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83A9-406A-BDAE-8718807B7653}"/>
                      </c:ext>
                    </c:extLst>
                  </c15:dLbl>
                </c15:categoryFilterException>
                <c15:categoryFilterException>
                  <c15:sqref>'10. GIá bán'!$F$6</c15:sqref>
                  <c15:dLbl>
                    <c:idx val="-1"/>
                    <c:layout>
                      <c:manualLayout>
                        <c:x val="-2.9581993569131881E-2"/>
                        <c:y val="-3.3333333333333333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83A9-406A-BDAE-8718807B7653}"/>
                      </c:ext>
                    </c:extLst>
                  </c15:dLbl>
                </c15:categoryFilterException>
                <c15:categoryFilterException>
                  <c15:sqref>'10. GIá bán'!$G$6</c15:sqref>
                  <c15:dLbl>
                    <c:idx val="-1"/>
                    <c:layout>
                      <c:manualLayout>
                        <c:x val="-2.5723472668810289E-2"/>
                        <c:y val="1.6448602165624687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4-83A9-406A-BDAE-8718807B7653}"/>
                      </c:ext>
                    </c:extLst>
                  </c15:dLbl>
                </c15:categoryFilterException>
                <c15:categoryFilterException>
                  <c15:sqref>'10. GIá bán'!$H$6</c15:sqref>
                  <c15:dLbl>
                    <c:idx val="-1"/>
                    <c:layout>
                      <c:manualLayout>
                        <c:x val="-2.7009646302250851E-2"/>
                        <c:y val="1.3333333333333334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5-83A9-406A-BDAE-8718807B7653}"/>
                      </c:ext>
                    </c:extLst>
                  </c15:dLbl>
                </c15:categoryFilterException>
                <c15:categoryFilterException>
                  <c15:sqref>'10. GIá bán'!$I$6</c15:sqref>
                  <c15:dLbl>
                    <c:idx val="-1"/>
                    <c:layout>
                      <c:manualLayout>
                        <c:x val="-2.1864951768488794E-2"/>
                        <c:y val="-2.9999999999999971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6-83A9-406A-BDAE-8718807B7653}"/>
                      </c:ext>
                    </c:extLst>
                  </c15:dLbl>
                </c15:categoryFilterException>
                <c15:categoryFilterException>
                  <c15:sqref>'10. GIá bán'!$J$6</c15:sqref>
                  <c15:dLbl>
                    <c:idx val="-1"/>
                    <c:layout>
                      <c:manualLayout>
                        <c:x val="-2.5723472668810289E-2"/>
                        <c:y val="-3.6666666666666667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7-83A9-406A-BDAE-8718807B7653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1-50E8-4412-A95A-F6B9B8651E91}"/>
            </c:ext>
          </c:extLst>
        </c:ser>
        <c:ser>
          <c:idx val="3"/>
          <c:order val="2"/>
          <c:tx>
            <c:strRef>
              <c:f>'10. GIá bán'!$B$7</c:f>
              <c:strCache>
                <c:ptCount val="1"/>
                <c:pt idx="0">
                  <c:v>Giá bán Unilever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3151125401929259E-2"/>
                  <c:y val="2.66666666666667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0E8-4412-A95A-F6B9B8651E91}"/>
                </c:ext>
              </c:extLst>
            </c:dLbl>
            <c:dLbl>
              <c:idx val="1"/>
              <c:layout>
                <c:manualLayout>
                  <c:x val="-2.5723472668810383E-2"/>
                  <c:y val="2.33333333333333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0E8-4412-A95A-F6B9B8651E91}"/>
                </c:ext>
              </c:extLst>
            </c:dLbl>
            <c:dLbl>
              <c:idx val="2"/>
              <c:layout>
                <c:manualLayout>
                  <c:x val="-2.1864951768488745E-2"/>
                  <c:y val="1.66666666666666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0E8-4412-A95A-F6B9B8651E91}"/>
                </c:ext>
              </c:extLst>
            </c:dLbl>
            <c:dLbl>
              <c:idx val="3"/>
              <c:layout>
                <c:manualLayout>
                  <c:x val="-2.5723472668810383E-2"/>
                  <c:y val="-3.66666666666666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0E8-4412-A95A-F6B9B8651E91}"/>
                </c:ext>
              </c:extLst>
            </c:dLbl>
            <c:dLbl>
              <c:idx val="4"/>
              <c:layout>
                <c:manualLayout>
                  <c:x val="-2.5723472668810383E-2"/>
                  <c:y val="-3.33333333333333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50E8-4412-A95A-F6B9B8651E91}"/>
                </c:ext>
              </c:extLst>
            </c:dLbl>
            <c:dLbl>
              <c:idx val="5"/>
              <c:layout>
                <c:manualLayout>
                  <c:x val="-2.5723472668810289E-2"/>
                  <c:y val="-1.86915933700280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50E8-4412-A95A-F6B9B8651E91}"/>
                </c:ext>
              </c:extLst>
            </c:dLbl>
            <c:dLbl>
              <c:idx val="6"/>
              <c:layout>
                <c:manualLayout>
                  <c:x val="-2.6990303060991976E-2"/>
                  <c:y val="-6.81468021063119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50E8-4412-A95A-F6B9B8651E91}"/>
                </c:ext>
              </c:extLst>
            </c:dLbl>
            <c:dLbl>
              <c:idx val="7"/>
              <c:layout>
                <c:manualLayout>
                  <c:x val="-2.7024128414816315E-2"/>
                  <c:y val="-7.39495361320519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50E8-4412-A95A-F6B9B8651E91}"/>
                </c:ext>
              </c:extLst>
            </c:dLbl>
            <c:dLbl>
              <c:idx val="8"/>
              <c:layout>
                <c:manualLayout>
                  <c:x val="-3.0319666803206344E-2"/>
                  <c:y val="-6.76801080556284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51B4-44D0-BD10-CBBD7B84F226}"/>
                </c:ext>
              </c:extLst>
            </c:dLbl>
            <c:dLbl>
              <c:idx val="9"/>
              <c:layout>
                <c:manualLayout>
                  <c:x val="-3.4693873462610658E-2"/>
                  <c:y val="-7.96999366416881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708B-4303-B6DB-F563CCBD3518}"/>
                </c:ext>
              </c:extLst>
            </c:dLbl>
            <c:dLbl>
              <c:idx val="10"/>
              <c:layout>
                <c:manualLayout>
                  <c:x val="-2.8383338667315173E-2"/>
                  <c:y val="-2.58211559643566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E050-4F09-89A8-C41AAD25B99B}"/>
                </c:ext>
              </c:extLst>
            </c:dLbl>
            <c:dLbl>
              <c:idx val="11"/>
              <c:layout>
                <c:manualLayout>
                  <c:x val="-2.4403680689944026E-2"/>
                  <c:y val="1.2778954772059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2ED7-421C-96A4-67F89045C659}"/>
                </c:ext>
              </c:extLst>
            </c:dLbl>
            <c:dLbl>
              <c:idx val="13"/>
              <c:layout>
                <c:manualLayout>
                  <c:x val="-2.5723510165306374E-2"/>
                  <c:y val="-5.57636612564567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50E8-4412-A95A-F6B9B8651E91}"/>
                </c:ext>
              </c:extLst>
            </c:dLbl>
            <c:dLbl>
              <c:idx val="14"/>
              <c:layout>
                <c:manualLayout>
                  <c:x val="-2.5723472668810383E-2"/>
                  <c:y val="-2.80373900550420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50E8-4412-A95A-F6B9B8651E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bán'!$C$4:$AB$4</c15:sqref>
                  </c15:fullRef>
                </c:ext>
              </c:extLst>
              <c:f>('10. GIá bán'!$K$4:$W$4,'10. GIá bán'!$AA$4:$AB$4)</c:f>
              <c:strCache>
                <c:ptCount val="15"/>
                <c:pt idx="0">
                  <c:v>9.24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1.25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BQ 25</c:v>
                </c:pt>
                <c:pt idx="14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bán'!$C$7:$AB$7</c15:sqref>
                  </c15:fullRef>
                </c:ext>
              </c:extLst>
              <c:f>('10. GIá bán'!$K$7:$W$7,'10. GIá bán'!$AA$7:$AB$7)</c:f>
              <c:numCache>
                <c:formatCode>_(* #,##0_);_(* \(#,##0\);_(* "-"??_);_(@_)</c:formatCode>
                <c:ptCount val="15"/>
                <c:pt idx="0">
                  <c:v>1300</c:v>
                </c:pt>
                <c:pt idx="1">
                  <c:v>1300</c:v>
                </c:pt>
                <c:pt idx="2">
                  <c:v>1300</c:v>
                </c:pt>
                <c:pt idx="3">
                  <c:v>1300</c:v>
                </c:pt>
                <c:pt idx="4">
                  <c:v>1300</c:v>
                </c:pt>
                <c:pt idx="5">
                  <c:v>1300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1280</c:v>
                </c:pt>
                <c:pt idx="11">
                  <c:v>1280</c:v>
                </c:pt>
                <c:pt idx="12">
                  <c:v>1280</c:v>
                </c:pt>
                <c:pt idx="13">
                  <c:v>1271.1111111111111</c:v>
                </c:pt>
                <c:pt idx="14">
                  <c:v>1310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'10. GIá bán'!$C$7</c15:sqref>
                  <c15:dLbl>
                    <c:idx val="-1"/>
                    <c:layout>
                      <c:manualLayout>
                        <c:x val="-2.367227890725878E-2"/>
                        <c:y val="-0.04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8-83A9-406A-BDAE-8718807B7653}"/>
                      </c:ext>
                    </c:extLst>
                  </c15:dLbl>
                </c15:categoryFilterException>
                <c15:categoryFilterException>
                  <c15:sqref>'10. GIá bán'!$D$7</c15:sqref>
                  <c15:dLbl>
                    <c:idx val="-1"/>
                    <c:layout>
                      <c:manualLayout>
                        <c:x val="-1.7241379310344852E-2"/>
                        <c:y val="1.3333333333333303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9-83A9-406A-BDAE-8718807B7653}"/>
                      </c:ext>
                    </c:extLst>
                  </c15:dLbl>
                </c15:categoryFilterException>
                <c15:categoryFilterException>
                  <c15:sqref>'10. GIá bán'!$E$7</c15:sqref>
                  <c15:dLbl>
                    <c:idx val="-1"/>
                    <c:layout>
                      <c:manualLayout>
                        <c:x val="-2.6525198938992044E-2"/>
                        <c:y val="-2.3333333333333334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A-83A9-406A-BDAE-8718807B7653}"/>
                      </c:ext>
                    </c:extLst>
                  </c15:dLbl>
                </c15:categoryFilterException>
                <c15:categoryFilterException>
                  <c15:sqref>'10. GIá bán'!$F$7</c15:sqref>
                  <c15:dLbl>
                    <c:idx val="-1"/>
                    <c:layout>
                      <c:manualLayout>
                        <c:x val="-2.8295819935691319E-2"/>
                        <c:y val="-2.3333333333333334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B-83A9-406A-BDAE-8718807B7653}"/>
                      </c:ext>
                    </c:extLst>
                  </c15:dLbl>
                </c15:categoryFilterException>
                <c15:categoryFilterException>
                  <c15:sqref>'10. GIá bán'!$G$7</c15:sqref>
                  <c15:dLbl>
                    <c:idx val="-1"/>
                    <c:layout>
                      <c:manualLayout>
                        <c:x val="-2.5723472668810289E-2"/>
                        <c:y val="-1.0436139631599055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C-83A9-406A-BDAE-8718807B7653}"/>
                      </c:ext>
                    </c:extLst>
                  </c15:dLbl>
                </c15:categoryFilterException>
                <c15:categoryFilterException>
                  <c15:sqref>'10. GIá bán'!$H$7</c15:sqref>
                  <c15:dLbl>
                    <c:idx val="-1"/>
                    <c:layout>
                      <c:manualLayout>
                        <c:x val="-2.5723472668810338E-2"/>
                        <c:y val="-2.0000000000000032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D-83A9-406A-BDAE-8718807B7653}"/>
                      </c:ext>
                    </c:extLst>
                  </c15:dLbl>
                </c15:categoryFilterException>
                <c15:categoryFilterException>
                  <c15:sqref>'10. GIá bán'!$I$7</c15:sqref>
                  <c15:dLbl>
                    <c:idx val="-1"/>
                    <c:layout>
                      <c:manualLayout>
                        <c:x val="-2.3151125401929259E-2"/>
                        <c:y val="2.666667320790669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E-83A9-406A-BDAE-8718807B7653}"/>
                      </c:ext>
                    </c:extLst>
                  </c15:dLbl>
                </c15:categoryFilterException>
                <c15:categoryFilterException>
                  <c15:sqref>'10. GIá bán'!$J$7</c15:sqref>
                  <c15:dLbl>
                    <c:idx val="-1"/>
                    <c:layout>
                      <c:manualLayout>
                        <c:x val="-2.1864951768488839E-2"/>
                        <c:y val="3.6666666666666667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F-83A9-406A-BDAE-8718807B7653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0-50E8-4412-A95A-F6B9B8651E91}"/>
            </c:ext>
          </c:extLst>
        </c:ser>
        <c:ser>
          <c:idx val="1"/>
          <c:order val="3"/>
          <c:tx>
            <c:strRef>
              <c:f>'10. GIá bán'!$B$5</c:f>
              <c:strCache>
                <c:ptCount val="1"/>
                <c:pt idx="0">
                  <c:v>Giá bán EXW Thực tế BQ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7009646302250803E-2"/>
                  <c:y val="2.26791332889673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50E8-4412-A95A-F6B9B8651E91}"/>
                </c:ext>
              </c:extLst>
            </c:dLbl>
            <c:dLbl>
              <c:idx val="1"/>
              <c:layout>
                <c:manualLayout>
                  <c:x val="-2.7009646302250803E-2"/>
                  <c:y val="2.64486046185896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50E8-4412-A95A-F6B9B8651E91}"/>
                </c:ext>
              </c:extLst>
            </c:dLbl>
            <c:dLbl>
              <c:idx val="2"/>
              <c:layout>
                <c:manualLayout>
                  <c:x val="-2.7009646302250803E-2"/>
                  <c:y val="3.601246989292072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50E8-4412-A95A-F6B9B8651E91}"/>
                </c:ext>
              </c:extLst>
            </c:dLbl>
            <c:dLbl>
              <c:idx val="3"/>
              <c:layout>
                <c:manualLayout>
                  <c:x val="-2.9581993569131833E-2"/>
                  <c:y val="2.62305360292726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50E8-4412-A95A-F6B9B8651E91}"/>
                </c:ext>
              </c:extLst>
            </c:dLbl>
            <c:dLbl>
              <c:idx val="4"/>
              <c:layout>
                <c:manualLayout>
                  <c:x val="-2.8295819935691319E-2"/>
                  <c:y val="1.33333333333333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50E8-4412-A95A-F6B9B8651E91}"/>
                </c:ext>
              </c:extLst>
            </c:dLbl>
            <c:dLbl>
              <c:idx val="5"/>
              <c:layout>
                <c:manualLayout>
                  <c:x val="-2.7033850672202951E-2"/>
                  <c:y val="-3.088037650069333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50E8-4412-A95A-F6B9B8651E91}"/>
                </c:ext>
              </c:extLst>
            </c:dLbl>
            <c:dLbl>
              <c:idx val="6"/>
              <c:layout>
                <c:manualLayout>
                  <c:x val="-2.3151125401929259E-2"/>
                  <c:y val="-3.11526556167134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50E8-4412-A95A-F6B9B8651E91}"/>
                </c:ext>
              </c:extLst>
            </c:dLbl>
            <c:dLbl>
              <c:idx val="7"/>
              <c:layout>
                <c:manualLayout>
                  <c:x val="-2.7009646302250803E-2"/>
                  <c:y val="2.14568208248879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50E8-4412-A95A-F6B9B8651E91}"/>
                </c:ext>
              </c:extLst>
            </c:dLbl>
            <c:dLbl>
              <c:idx val="8"/>
              <c:layout>
                <c:manualLayout>
                  <c:x val="-3.4984230926776355E-2"/>
                  <c:y val="6.46037395076453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51B4-44D0-BD10-CBBD7B84F226}"/>
                </c:ext>
              </c:extLst>
            </c:dLbl>
            <c:dLbl>
              <c:idx val="9"/>
              <c:layout>
                <c:manualLayout>
                  <c:x val="-2.7755098770088613E-2"/>
                  <c:y val="-1.27519898626701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708B-4303-B6DB-F563CCBD3518}"/>
                </c:ext>
              </c:extLst>
            </c:dLbl>
            <c:dLbl>
              <c:idx val="10"/>
              <c:layout>
                <c:manualLayout>
                  <c:x val="-3.2924672854085582E-2"/>
                  <c:y val="4.84146674331686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E050-4F09-89A8-C41AAD25B99B}"/>
                </c:ext>
              </c:extLst>
            </c:dLbl>
            <c:dLbl>
              <c:idx val="11"/>
              <c:layout>
                <c:manualLayout>
                  <c:x val="-2.4403680689944026E-2"/>
                  <c:y val="-2.23631708511035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2ED7-421C-96A4-67F89045C659}"/>
                </c:ext>
              </c:extLst>
            </c:dLbl>
            <c:dLbl>
              <c:idx val="13"/>
              <c:layout>
                <c:manualLayout>
                  <c:x val="-2.5843521687147132E-2"/>
                  <c:y val="4.95331671286871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50E8-4412-A95A-F6B9B8651E91}"/>
                </c:ext>
              </c:extLst>
            </c:dLbl>
            <c:dLbl>
              <c:idx val="14"/>
              <c:layout>
                <c:manualLayout>
                  <c:x val="-2.70096463022509E-2"/>
                  <c:y val="1.55763278083566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50E8-4412-A95A-F6B9B8651E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bán'!$C$4:$AB$4</c15:sqref>
                  </c15:fullRef>
                </c:ext>
              </c:extLst>
              <c:f>('10. GIá bán'!$K$4:$W$4,'10. GIá bán'!$AA$4:$AB$4)</c:f>
              <c:strCache>
                <c:ptCount val="15"/>
                <c:pt idx="0">
                  <c:v>9.24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1.25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BQ 25</c:v>
                </c:pt>
                <c:pt idx="14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bán'!$C$5:$AB$5</c15:sqref>
                  </c15:fullRef>
                </c:ext>
              </c:extLst>
              <c:f>('10. GIá bán'!$K$5:$W$5,'10. GIá bán'!$AA$5:$AB$5)</c:f>
              <c:numCache>
                <c:formatCode>_(* #,##0_);_(* \(#,##0\);_(* "-"??_);_(@_)</c:formatCode>
                <c:ptCount val="15"/>
                <c:pt idx="0">
                  <c:v>1223.2281776256916</c:v>
                </c:pt>
                <c:pt idx="1">
                  <c:v>1233.8948502169665</c:v>
                </c:pt>
                <c:pt idx="2">
                  <c:v>1260.6705701881669</c:v>
                </c:pt>
                <c:pt idx="3">
                  <c:v>1253.790604520035</c:v>
                </c:pt>
                <c:pt idx="4">
                  <c:v>1213.9814607064466</c:v>
                </c:pt>
                <c:pt idx="5">
                  <c:v>1245.5340927152079</c:v>
                </c:pt>
                <c:pt idx="6">
                  <c:v>1231.7094837950942</c:v>
                </c:pt>
                <c:pt idx="7">
                  <c:v>1192.7136094661078</c:v>
                </c:pt>
                <c:pt idx="8">
                  <c:v>1199.7628172613076</c:v>
                </c:pt>
                <c:pt idx="9">
                  <c:v>1210.0385448108937</c:v>
                </c:pt>
                <c:pt idx="10">
                  <c:v>1198.6458034955947</c:v>
                </c:pt>
                <c:pt idx="11">
                  <c:v>1170.8319376466734</c:v>
                </c:pt>
                <c:pt idx="12">
                  <c:v>1206.9922364520946</c:v>
                </c:pt>
                <c:pt idx="13">
                  <c:v>1207.80110959438</c:v>
                </c:pt>
                <c:pt idx="14">
                  <c:v>1223.708546076452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'10. GIá bán'!$C$5</c15:sqref>
                  <c15:dLbl>
                    <c:idx val="-1"/>
                    <c:layout>
                      <c:manualLayout>
                        <c:x val="-2.1140035952097628E-2"/>
                        <c:y val="2.6666666666666668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0-83A9-406A-BDAE-8718807B7653}"/>
                      </c:ext>
                    </c:extLst>
                  </c15:dLbl>
                </c15:categoryFilterException>
                <c15:categoryFilterException>
                  <c15:sqref>'10. GIá bán'!$D$5</c15:sqref>
                  <c15:dLbl>
                    <c:idx val="-1"/>
                    <c:layout>
                      <c:manualLayout>
                        <c:x val="-2.6164417550700054E-2"/>
                        <c:y val="2.3333333333333334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1-83A9-406A-BDAE-8718807B7653}"/>
                      </c:ext>
                    </c:extLst>
                  </c15:dLbl>
                </c15:categoryFilterException>
                <c15:categoryFilterException>
                  <c15:sqref>'10. GIá bán'!$E$5</c15:sqref>
                  <c15:dLbl>
                    <c:idx val="-1"/>
                    <c:layout>
                      <c:manualLayout>
                        <c:x val="-2.3872679045092861E-2"/>
                        <c:y val="-2.3333333333333334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2-83A9-406A-BDAE-8718807B7653}"/>
                      </c:ext>
                    </c:extLst>
                  </c15:dLbl>
                </c15:categoryFilterException>
                <c15:categoryFilterException>
                  <c15:sqref>'10. GIá bán'!$F$5</c15:sqref>
                  <c15:dLbl>
                    <c:idx val="-1"/>
                    <c:layout>
                      <c:manualLayout>
                        <c:x val="-2.7009646302250803E-2"/>
                        <c:y val="2.6666666666666668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3-83A9-406A-BDAE-8718807B7653}"/>
                      </c:ext>
                    </c:extLst>
                  </c15:dLbl>
                </c15:categoryFilterException>
                <c15:categoryFilterException>
                  <c15:sqref>'10. GIá bán'!$G$5</c15:sqref>
                  <c15:dLbl>
                    <c:idx val="-1"/>
                    <c:layout>
                      <c:manualLayout>
                        <c:x val="-2.4437299035369776E-2"/>
                        <c:y val="2.999999999999994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4-83A9-406A-BDAE-8718807B7653}"/>
                      </c:ext>
                    </c:extLst>
                  </c15:dLbl>
                </c15:categoryFilterException>
                <c15:categoryFilterException>
                  <c15:sqref>'10. GIá bán'!$H$5</c15:sqref>
                  <c15:dLbl>
                    <c:idx val="-1"/>
                    <c:layout>
                      <c:manualLayout>
                        <c:x val="-3.086816720257236E-2"/>
                        <c:y val="4.8909669318240021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5-83A9-406A-BDAE-8718807B7653}"/>
                      </c:ext>
                    </c:extLst>
                  </c15:dLbl>
                </c15:categoryFilterException>
                <c15:categoryFilterException>
                  <c15:sqref>'10. GIá bán'!$I$5</c15:sqref>
                  <c15:dLbl>
                    <c:idx val="-1"/>
                    <c:layout>
                      <c:manualLayout>
                        <c:x val="-2.7009646302250827E-2"/>
                        <c:y val="-2.623053602927276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6-83A9-406A-BDAE-8718807B7653}"/>
                      </c:ext>
                    </c:extLst>
                  </c15:dLbl>
                </c15:categoryFilterException>
                <c15:categoryFilterException>
                  <c15:sqref>'10. GIá bán'!$J$5</c15:sqref>
                  <c15:dLbl>
                    <c:idx val="-1"/>
                    <c:layout>
                      <c:manualLayout>
                        <c:x val="-2.829581993569134E-2"/>
                        <c:y val="2.2897201878284309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7-83A9-406A-BDAE-8718807B7653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F-50E8-4412-A95A-F6B9B8651E91}"/>
            </c:ext>
          </c:extLst>
        </c:ser>
        <c:ser>
          <c:idx val="5"/>
          <c:order val="4"/>
          <c:tx>
            <c:strRef>
              <c:f>'10. GIá bán'!$B$9</c:f>
              <c:strCache>
                <c:ptCount val="1"/>
                <c:pt idx="0">
                  <c:v>Điểm hoàn vốn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4437299035369776E-2"/>
                  <c:y val="2.66666666666666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50E8-4412-A95A-F6B9B8651E91}"/>
                </c:ext>
              </c:extLst>
            </c:dLbl>
            <c:dLbl>
              <c:idx val="1"/>
              <c:layout>
                <c:manualLayout>
                  <c:x val="-3.4726688102893984E-2"/>
                  <c:y val="2.33333333333333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50E8-4412-A95A-F6B9B8651E91}"/>
                </c:ext>
              </c:extLst>
            </c:dLbl>
            <c:dLbl>
              <c:idx val="2"/>
              <c:layout>
                <c:manualLayout>
                  <c:x val="-2.5723472668810195E-2"/>
                  <c:y val="2.33333333333332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50E8-4412-A95A-F6B9B8651E91}"/>
                </c:ext>
              </c:extLst>
            </c:dLbl>
            <c:dLbl>
              <c:idx val="3"/>
              <c:layout>
                <c:manualLayout>
                  <c:x val="-2.9581993569131926E-2"/>
                  <c:y val="1.66666666666666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50E8-4412-A95A-F6B9B8651E91}"/>
                </c:ext>
              </c:extLst>
            </c:dLbl>
            <c:dLbl>
              <c:idx val="4"/>
              <c:layout>
                <c:manualLayout>
                  <c:x val="-3.086816720257244E-2"/>
                  <c:y val="2.33333333333333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50E8-4412-A95A-F6B9B8651E91}"/>
                </c:ext>
              </c:extLst>
            </c:dLbl>
            <c:dLbl>
              <c:idx val="5"/>
              <c:layout>
                <c:manualLayout>
                  <c:x val="-1.9365126771438947E-2"/>
                  <c:y val="3.38400294362231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50E8-4412-A95A-F6B9B8651E91}"/>
                </c:ext>
              </c:extLst>
            </c:dLbl>
            <c:dLbl>
              <c:idx val="6"/>
              <c:layout>
                <c:manualLayout>
                  <c:x val="-2.323815212572674E-2"/>
                  <c:y val="2.76872968114553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50E8-4412-A95A-F6B9B8651E91}"/>
                </c:ext>
              </c:extLst>
            </c:dLbl>
            <c:dLbl>
              <c:idx val="7"/>
              <c:layout>
                <c:manualLayout>
                  <c:x val="-2.4432437906676551E-2"/>
                  <c:y val="4.61454230493838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50E8-4412-A95A-F6B9B8651E91}"/>
                </c:ext>
              </c:extLst>
            </c:dLbl>
            <c:dLbl>
              <c:idx val="8"/>
              <c:layout>
                <c:manualLayout>
                  <c:x val="-3.4984230926776355E-2"/>
                  <c:y val="3.3840054027814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51B4-44D0-BD10-CBBD7B84F226}"/>
                </c:ext>
              </c:extLst>
            </c:dLbl>
            <c:dLbl>
              <c:idx val="9"/>
              <c:layout>
                <c:manualLayout>
                  <c:x val="-2.7755098770088613E-2"/>
                  <c:y val="1.5939987328337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708B-4303-B6DB-F563CCBD3518}"/>
                </c:ext>
              </c:extLst>
            </c:dLbl>
            <c:dLbl>
              <c:idx val="10"/>
              <c:layout>
                <c:manualLayout>
                  <c:x val="-3.0654005760700462E-2"/>
                  <c:y val="6.77805344064361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E050-4F09-89A8-C41AAD25B99B}"/>
                </c:ext>
              </c:extLst>
            </c:dLbl>
            <c:dLbl>
              <c:idx val="11"/>
              <c:layout>
                <c:manualLayout>
                  <c:x val="-2.0743128586452435E-2"/>
                  <c:y val="2.555790954411827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2ED7-421C-96A4-67F89045C659}"/>
                </c:ext>
              </c:extLst>
            </c:dLbl>
            <c:dLbl>
              <c:idx val="13"/>
              <c:layout>
                <c:manualLayout>
                  <c:x val="-2.5483395299496781E-2"/>
                  <c:y val="6.1955155751452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50E8-4412-A95A-F6B9B8651E91}"/>
                </c:ext>
              </c:extLst>
            </c:dLbl>
            <c:dLbl>
              <c:idx val="14"/>
              <c:layout>
                <c:manualLayout>
                  <c:x val="-3.3440514469453474E-2"/>
                  <c:y val="3.11526556167134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50E8-4412-A95A-F6B9B8651E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bán'!$C$4:$AB$4</c15:sqref>
                  </c15:fullRef>
                </c:ext>
              </c:extLst>
              <c:f>('10. GIá bán'!$K$4:$W$4,'10. GIá bán'!$AA$4:$AB$4)</c:f>
              <c:strCache>
                <c:ptCount val="15"/>
                <c:pt idx="0">
                  <c:v>9.24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1.25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BQ 25</c:v>
                </c:pt>
                <c:pt idx="14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bán'!$C$9:$AB$9</c15:sqref>
                  </c15:fullRef>
                </c:ext>
              </c:extLst>
              <c:f>('10. GIá bán'!$K$9:$W$9,'10. GIá bán'!$AA$9:$AB$9)</c:f>
              <c:numCache>
                <c:formatCode>_(* #,##0_);_(* \(#,##0\);_(* "-"??_);_(@_)</c:formatCode>
                <c:ptCount val="15"/>
                <c:pt idx="0">
                  <c:v>1154.4175324983562</c:v>
                </c:pt>
                <c:pt idx="1">
                  <c:v>1161.0768651093263</c:v>
                </c:pt>
                <c:pt idx="2">
                  <c:v>1179.9225619184629</c:v>
                </c:pt>
                <c:pt idx="3">
                  <c:v>1183.4455288794234</c:v>
                </c:pt>
                <c:pt idx="4">
                  <c:v>1181</c:v>
                </c:pt>
                <c:pt idx="5">
                  <c:v>1185</c:v>
                </c:pt>
                <c:pt idx="6">
                  <c:v>1191</c:v>
                </c:pt>
                <c:pt idx="7">
                  <c:v>1189</c:v>
                </c:pt>
                <c:pt idx="8">
                  <c:v>1208</c:v>
                </c:pt>
                <c:pt idx="9">
                  <c:v>1168</c:v>
                </c:pt>
                <c:pt idx="10">
                  <c:v>1185</c:v>
                </c:pt>
                <c:pt idx="11">
                  <c:v>1163</c:v>
                </c:pt>
                <c:pt idx="12">
                  <c:v>1186</c:v>
                </c:pt>
                <c:pt idx="13">
                  <c:v>1184</c:v>
                </c:pt>
                <c:pt idx="14">
                  <c:v>1188.4052073671307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'10. GIá bán'!$C$9</c15:sqref>
                  <c15:dLbl>
                    <c:idx val="-1"/>
                    <c:layout>
                      <c:manualLayout>
                        <c:x val="-1.9893899204244045E-2"/>
                        <c:y val="2.999999999999994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8-83A9-406A-BDAE-8718807B7653}"/>
                      </c:ext>
                    </c:extLst>
                  </c15:dLbl>
                </c15:categoryFilterException>
                <c15:categoryFilterException>
                  <c15:sqref>'10. GIá bán'!$D$9</c15:sqref>
                  <c15:dLbl>
                    <c:idx val="-1"/>
                    <c:layout>
                      <c:manualLayout>
                        <c:x val="-2.2305896650378534E-2"/>
                        <c:y val="2.3333333333333272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9-83A9-406A-BDAE-8718807B7653}"/>
                      </c:ext>
                    </c:extLst>
                  </c15:dLbl>
                </c15:categoryFilterException>
                <c15:categoryFilterException>
                  <c15:sqref>'10. GIá bán'!$E$9</c15:sqref>
                  <c15:dLbl>
                    <c:idx val="-1"/>
                    <c:layout>
                      <c:manualLayout>
                        <c:x val="-2.5198938992042442E-2"/>
                        <c:y val="3.3333333333333333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A-83A9-406A-BDAE-8718807B7653}"/>
                      </c:ext>
                    </c:extLst>
                  </c15:dLbl>
                </c15:categoryFilterException>
                <c15:categoryFilterException>
                  <c15:sqref>'10. GIá bán'!$F$9</c15:sqref>
                  <c15:dLbl>
                    <c:idx val="-1"/>
                    <c:layout>
                      <c:manualLayout>
                        <c:x val="-1.6720257234726688E-2"/>
                        <c:y val="6.6666666666666671E-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B-83A9-406A-BDAE-8718807B7653}"/>
                      </c:ext>
                    </c:extLst>
                  </c15:dLbl>
                </c15:categoryFilterException>
                <c15:categoryFilterException>
                  <c15:sqref>'10. GIá bán'!$G$9</c15:sqref>
                  <c15:dLbl>
                    <c:idx val="-1"/>
                    <c:layout>
                      <c:manualLayout>
                        <c:x val="-2.5723472668810289E-2"/>
                        <c:y val="1.6666666666666666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C-83A9-406A-BDAE-8718807B7653}"/>
                      </c:ext>
                    </c:extLst>
                  </c15:dLbl>
                </c15:categoryFilterException>
                <c15:categoryFilterException>
                  <c15:sqref>'10. GIá bán'!$H$9</c15:sqref>
                  <c15:dLbl>
                    <c:idx val="-1"/>
                    <c:layout>
                      <c:manualLayout>
                        <c:x val="-1.4147909967845707E-2"/>
                        <c:y val="-6.6666666666666671E-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D-83A9-406A-BDAE-8718807B7653}"/>
                      </c:ext>
                    </c:extLst>
                  </c15:dLbl>
                </c15:categoryFilterException>
                <c15:categoryFilterException>
                  <c15:sqref>'10. GIá bán'!$I$9</c15:sqref>
                  <c15:dLbl>
                    <c:idx val="-1"/>
                    <c:layout>
                      <c:manualLayout>
                        <c:x val="-2.5723472668810383E-2"/>
                        <c:y val="2.6666666666666606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E-83A9-406A-BDAE-8718807B7653}"/>
                      </c:ext>
                    </c:extLst>
                  </c15:dLbl>
                </c15:categoryFilterException>
                <c15:categoryFilterException>
                  <c15:sqref>'10. GIá bán'!$J$9</c15:sqref>
                  <c15:dLbl>
                    <c:idx val="-1"/>
                    <c:layout>
                      <c:manualLayout>
                        <c:x val="-2.4437299035369776E-2"/>
                        <c:y val="0.0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F-83A9-406A-BDAE-8718807B7653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3E-50E8-4412-A95A-F6B9B8651E91}"/>
            </c:ext>
          </c:extLst>
        </c:ser>
        <c:ser>
          <c:idx val="6"/>
          <c:order val="5"/>
          <c:tx>
            <c:strRef>
              <c:f>'10. GIá bán'!$B$10</c:f>
              <c:strCache>
                <c:ptCount val="1"/>
                <c:pt idx="0">
                  <c:v>Giá Resin</c:v>
                </c:pt>
              </c:strCache>
            </c:strRef>
          </c:tx>
          <c:spPr>
            <a:ln w="28575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0578778135048232E-2"/>
                  <c:y val="2.3333333333333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50E8-4412-A95A-F6B9B8651E91}"/>
                </c:ext>
              </c:extLst>
            </c:dLbl>
            <c:dLbl>
              <c:idx val="1"/>
              <c:layout>
                <c:manualLayout>
                  <c:x val="-1.8006430868167202E-2"/>
                  <c:y val="0.0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4-50E8-4412-A95A-F6B9B8651E91}"/>
                </c:ext>
              </c:extLst>
            </c:dLbl>
            <c:dLbl>
              <c:idx val="2"/>
              <c:layout>
                <c:manualLayout>
                  <c:x val="-2.0578778135048138E-2"/>
                  <c:y val="0.0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5-50E8-4412-A95A-F6B9B8651E91}"/>
                </c:ext>
              </c:extLst>
            </c:dLbl>
            <c:dLbl>
              <c:idx val="3"/>
              <c:layout>
                <c:manualLayout>
                  <c:x val="-1.9292604501607764E-2"/>
                  <c:y val="3.31152729205663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50E8-4412-A95A-F6B9B8651E91}"/>
                </c:ext>
              </c:extLst>
            </c:dLbl>
            <c:dLbl>
              <c:idx val="4"/>
              <c:layout>
                <c:manualLayout>
                  <c:x val="-2.4437299035369869E-2"/>
                  <c:y val="3.66666666666665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7-50E8-4412-A95A-F6B9B8651E91}"/>
                </c:ext>
              </c:extLst>
            </c:dLbl>
            <c:dLbl>
              <c:idx val="5"/>
              <c:layout>
                <c:manualLayout>
                  <c:x val="-2.1918120363572012E-2"/>
                  <c:y val="3.3917883071573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8-50E8-4412-A95A-F6B9B8651E91}"/>
                </c:ext>
              </c:extLst>
            </c:dLbl>
            <c:dLbl>
              <c:idx val="6"/>
              <c:layout>
                <c:manualLayout>
                  <c:x val="-1.9292604501607719E-2"/>
                  <c:y val="3.73831867400559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50E8-4412-A95A-F6B9B8651E91}"/>
                </c:ext>
              </c:extLst>
            </c:dLbl>
            <c:dLbl>
              <c:idx val="7"/>
              <c:layout>
                <c:manualLayout>
                  <c:x val="-1.9292604501607812E-2"/>
                  <c:y val="2.49221244933706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A-50E8-4412-A95A-F6B9B8651E91}"/>
                </c:ext>
              </c:extLst>
            </c:dLbl>
            <c:dLbl>
              <c:idx val="8"/>
              <c:layout>
                <c:manualLayout>
                  <c:x val="-2.4488961648743531E-2"/>
                  <c:y val="2.46109483838647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1B4-44D0-BD10-CBBD7B84F226}"/>
                </c:ext>
              </c:extLst>
            </c:dLbl>
            <c:dLbl>
              <c:idx val="9"/>
              <c:layout>
                <c:manualLayout>
                  <c:x val="-2.1972786526320169E-2"/>
                  <c:y val="3.8255969588010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708B-4303-B6DB-F563CCBD3518}"/>
                </c:ext>
              </c:extLst>
            </c:dLbl>
            <c:dLbl>
              <c:idx val="10"/>
              <c:layout>
                <c:manualLayout>
                  <c:x val="-2.2706670933852154E-2"/>
                  <c:y val="1.93658669732674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E050-4F09-89A8-C41AAD25B99B}"/>
                </c:ext>
              </c:extLst>
            </c:dLbl>
            <c:dLbl>
              <c:idx val="11"/>
              <c:layout>
                <c:manualLayout>
                  <c:x val="-1.475933610700393E-2"/>
                  <c:y val="1.9507534593233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B848-45C0-A413-BDAB31E2F8A3}"/>
                </c:ext>
              </c:extLst>
            </c:dLbl>
            <c:dLbl>
              <c:idx val="13"/>
              <c:layout>
                <c:manualLayout>
                  <c:x val="-2.0578778135048232E-2"/>
                  <c:y val="2.49221244933708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B-50E8-4412-A95A-F6B9B8651E91}"/>
                </c:ext>
              </c:extLst>
            </c:dLbl>
            <c:dLbl>
              <c:idx val="14"/>
              <c:layout>
                <c:manualLayout>
                  <c:x val="-2.1864951768488839E-2"/>
                  <c:y val="3.426792117838465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50E8-4412-A95A-F6B9B8651E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bán'!$C$4:$AB$4</c15:sqref>
                  </c15:fullRef>
                </c:ext>
              </c:extLst>
              <c:f>('10. GIá bán'!$K$4:$W$4,'10. GIá bán'!$AA$4:$AB$4)</c:f>
              <c:strCache>
                <c:ptCount val="15"/>
                <c:pt idx="0">
                  <c:v>9.24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1.25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BQ 25</c:v>
                </c:pt>
                <c:pt idx="14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bán'!$C$10:$AB$10</c15:sqref>
                  </c15:fullRef>
                </c:ext>
              </c:extLst>
              <c:f>('10. GIá bán'!$K$10:$W$10,'10. GIá bán'!$AA$10:$AB$10)</c:f>
              <c:numCache>
                <c:formatCode>_(* #,##0_);_(* \(#,##0\);_(* "-"??_);_(@_)</c:formatCode>
                <c:ptCount val="15"/>
                <c:pt idx="0">
                  <c:v>880</c:v>
                </c:pt>
                <c:pt idx="1">
                  <c:v>862.5</c:v>
                </c:pt>
                <c:pt idx="2">
                  <c:v>852</c:v>
                </c:pt>
                <c:pt idx="3">
                  <c:v>830</c:v>
                </c:pt>
                <c:pt idx="4">
                  <c:v>820</c:v>
                </c:pt>
                <c:pt idx="5">
                  <c:v>840</c:v>
                </c:pt>
                <c:pt idx="6">
                  <c:v>823</c:v>
                </c:pt>
                <c:pt idx="7">
                  <c:v>765</c:v>
                </c:pt>
                <c:pt idx="8">
                  <c:v>782</c:v>
                </c:pt>
                <c:pt idx="9">
                  <c:v>808</c:v>
                </c:pt>
                <c:pt idx="10">
                  <c:v>802</c:v>
                </c:pt>
                <c:pt idx="11">
                  <c:v>795</c:v>
                </c:pt>
                <c:pt idx="12">
                  <c:v>783</c:v>
                </c:pt>
                <c:pt idx="13">
                  <c:v>802</c:v>
                </c:pt>
                <c:pt idx="14">
                  <c:v>912.27777777777783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'10. GIá bán'!$C$10</c15:sqref>
                  <c15:dLbl>
                    <c:idx val="-1"/>
                    <c:layout>
                      <c:manualLayout>
                        <c:x val="-1.8567639257294429E-2"/>
                        <c:y val="2.6666666666666668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0-83A9-406A-BDAE-8718807B7653}"/>
                      </c:ext>
                    </c:extLst>
                  </c15:dLbl>
                </c15:categoryFilterException>
                <c15:categoryFilterException>
                  <c15:sqref>'10. GIá bán'!$D$10</c15:sqref>
                  <c15:dLbl>
                    <c:idx val="-1"/>
                    <c:layout>
                      <c:manualLayout>
                        <c:x val="-1.3262599469496022E-2"/>
                        <c:y val="3.3333333333333333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1-83A9-406A-BDAE-8718807B7653}"/>
                      </c:ext>
                    </c:extLst>
                  </c15:dLbl>
                </c15:categoryFilterException>
                <c15:categoryFilterException>
                  <c15:sqref>'10. GIá bán'!$E$10</c15:sqref>
                  <c15:dLbl>
                    <c:idx val="-1"/>
                    <c:layout>
                      <c:manualLayout>
                        <c:x val="-1.7241379310344876E-2"/>
                        <c:y val="2.3333333333333334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2-83A9-406A-BDAE-8718807B7653}"/>
                      </c:ext>
                    </c:extLst>
                  </c15:dLbl>
                </c15:categoryFilterException>
                <c15:categoryFilterException>
                  <c15:sqref>'10. GIá bán'!$F$10</c15:sqref>
                  <c15:dLbl>
                    <c:idx val="-1"/>
                    <c:layout>
                      <c:manualLayout>
                        <c:x val="-2.1220159151193633E-2"/>
                        <c:y val="2.6666666666666668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3-83A9-406A-BDAE-8718807B7653}"/>
                      </c:ext>
                    </c:extLst>
                  </c15:dLbl>
                </c15:categoryFilterException>
                <c15:categoryFilterException>
                  <c15:sqref>'10. GIá bán'!$G$10</c15:sqref>
                  <c15:dLbl>
                    <c:idx val="-1"/>
                    <c:layout>
                      <c:manualLayout>
                        <c:x val="-2.3872679045092885E-2"/>
                        <c:y val="1.3333333333333334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4-83A9-406A-BDAE-8718807B7653}"/>
                      </c:ext>
                    </c:extLst>
                  </c15:dLbl>
                </c15:categoryFilterException>
                <c15:categoryFilterException>
                  <c15:sqref>'10. GIá bán'!$H$10</c15:sqref>
                  <c15:dLbl>
                    <c:idx val="-1"/>
                    <c:layout>
                      <c:manualLayout>
                        <c:x val="-2.1864951768488745E-2"/>
                        <c:y val="3.0000007358895027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5-83A9-406A-BDAE-8718807B7653}"/>
                      </c:ext>
                    </c:extLst>
                  </c15:dLbl>
                </c15:categoryFilterException>
                <c15:categoryFilterException>
                  <c15:sqref>'10. GIá bán'!$I$10</c15:sqref>
                  <c15:dLbl>
                    <c:idx val="-1"/>
                    <c:layout>
                      <c:manualLayout>
                        <c:x val="-2.656525812086994E-2"/>
                        <c:y val="0.0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6-83A9-406A-BDAE-8718807B7653}"/>
                      </c:ext>
                    </c:extLst>
                  </c15:dLbl>
                </c15:categoryFilterException>
                <c15:categoryFilterException>
                  <c15:sqref>'10. GIá bán'!$J$10</c15:sqref>
                  <c15:dLbl>
                    <c:idx val="-1"/>
                    <c:layout>
                      <c:manualLayout>
                        <c:x val="-2.0578778135048232E-2"/>
                        <c:y val="3.3333333333333333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7-83A9-406A-BDAE-8718807B7653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4D-50E8-4412-A95A-F6B9B8651E9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0460704"/>
        <c:axId val="140447264"/>
      </c:lineChart>
      <c:lineChart>
        <c:grouping val="standard"/>
        <c:varyColors val="0"/>
        <c:ser>
          <c:idx val="9"/>
          <c:order val="8"/>
          <c:tx>
            <c:strRef>
              <c:f>'10. GIá bán'!$B$13</c:f>
              <c:strCache>
                <c:ptCount val="1"/>
                <c:pt idx="0">
                  <c:v>% +/- giá bán sv giá Resin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1165551532828109E-2"/>
                  <c:y val="8.30910188448162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50E8-4412-A95A-F6B9B8651E91}"/>
                </c:ext>
              </c:extLst>
            </c:dLbl>
            <c:dLbl>
              <c:idx val="1"/>
              <c:layout>
                <c:manualLayout>
                  <c:x val="-2.1241121144515082E-2"/>
                  <c:y val="0.1498826135276887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3-50E8-4412-A95A-F6B9B8651E91}"/>
                </c:ext>
              </c:extLst>
            </c:dLbl>
            <c:dLbl>
              <c:idx val="2"/>
              <c:layout>
                <c:manualLayout>
                  <c:x val="-1.993394132437443E-2"/>
                  <c:y val="0.2115255299832083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4-50E8-4412-A95A-F6B9B8651E91}"/>
                </c:ext>
              </c:extLst>
            </c:dLbl>
            <c:dLbl>
              <c:idx val="3"/>
              <c:layout>
                <c:manualLayout>
                  <c:x val="-1.9988575490782388E-2"/>
                  <c:y val="0.2616269774751686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5-50E8-4412-A95A-F6B9B8651E91}"/>
                </c:ext>
              </c:extLst>
            </c:dLbl>
            <c:dLbl>
              <c:idx val="4"/>
              <c:layout>
                <c:manualLayout>
                  <c:x val="-2.6495550621034373E-2"/>
                  <c:y val="0.2102324862580796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6-50E8-4412-A95A-F6B9B8651E91}"/>
                </c:ext>
              </c:extLst>
            </c:dLbl>
            <c:dLbl>
              <c:idx val="5"/>
              <c:layout>
                <c:manualLayout>
                  <c:x val="-1.8006411204650314E-2"/>
                  <c:y val="0.2188463181924324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7-50E8-4412-A95A-F6B9B8651E91}"/>
                </c:ext>
              </c:extLst>
            </c:dLbl>
            <c:dLbl>
              <c:idx val="6"/>
              <c:layout>
                <c:manualLayout>
                  <c:x val="-1.8386646638424101E-2"/>
                  <c:y val="0.2399565045089389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8-50E8-4412-A95A-F6B9B8651E91}"/>
                </c:ext>
              </c:extLst>
            </c:dLbl>
            <c:dLbl>
              <c:idx val="7"/>
              <c:layout>
                <c:manualLayout>
                  <c:x val="-2.4572701724181585E-2"/>
                  <c:y val="0.3445140296107218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9-50E8-4412-A95A-F6B9B8651E91}"/>
                </c:ext>
              </c:extLst>
            </c:dLbl>
            <c:dLbl>
              <c:idx val="8"/>
              <c:layout>
                <c:manualLayout>
                  <c:x val="-2.6821243710528537E-2"/>
                  <c:y val="0.3137895918942775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1B4-44D0-BD10-CBBD7B84F226}"/>
                </c:ext>
              </c:extLst>
            </c:dLbl>
            <c:dLbl>
              <c:idx val="9"/>
              <c:layout>
                <c:manualLayout>
                  <c:x val="-3.0068023667595905E-2"/>
                  <c:y val="0.264603789650404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708B-4303-B6DB-F563CCBD3518}"/>
                </c:ext>
              </c:extLst>
            </c:dLbl>
            <c:dLbl>
              <c:idx val="10"/>
              <c:layout>
                <c:manualLayout>
                  <c:x val="-2.497733802723736E-2"/>
                  <c:y val="0.264666848634655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E050-4F09-89A8-C41AAD25B99B}"/>
                </c:ext>
              </c:extLst>
            </c:dLbl>
            <c:dLbl>
              <c:idx val="11"/>
              <c:layout>
                <c:manualLayout>
                  <c:x val="-2.0436003840466947E-2"/>
                  <c:y val="0.2145828805255668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B848-45C0-A413-BDAB31E2F8A3}"/>
                </c:ext>
              </c:extLst>
            </c:dLbl>
            <c:dLbl>
              <c:idx val="12"/>
              <c:layout>
                <c:manualLayout>
                  <c:x val="-1.9522944551955149E-2"/>
                  <c:y val="0.3258633466875087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1089-4DFD-962E-DE1C1AFEAEB0}"/>
                </c:ext>
              </c:extLst>
            </c:dLbl>
            <c:dLbl>
              <c:idx val="13"/>
              <c:layout>
                <c:manualLayout>
                  <c:x val="-2.0698819654085841E-2"/>
                  <c:y val="0.2798293899294712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A-50E8-4412-A95A-F6B9B8651E91}"/>
                </c:ext>
              </c:extLst>
            </c:dLbl>
            <c:dLbl>
              <c:idx val="14"/>
              <c:layout>
                <c:manualLayout>
                  <c:x val="-2.8295819935691413E-2"/>
                  <c:y val="-3.115265561671342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B-50E8-4412-A95A-F6B9B8651E91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9933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'10. GIá bán'!$C$4:$AB$4</c15:sqref>
                  </c15:fullRef>
                </c:ext>
              </c:extLst>
              <c:f>('10. GIá bán'!$K$4:$W$4,'10. GIá bán'!$AA$4:$AB$4)</c:f>
              <c:strCache>
                <c:ptCount val="15"/>
                <c:pt idx="0">
                  <c:v>9.24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1.25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BQ 25</c:v>
                </c:pt>
                <c:pt idx="14">
                  <c:v>BQ 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'10. GIá bán'!$C$13:$AB$13</c15:sqref>
                  </c15:fullRef>
                </c:ext>
              </c:extLst>
              <c:f>('10. GIá bán'!$K$13:$W$13,'10. GIá bán'!$AA$13:$AB$13)</c:f>
              <c:numCache>
                <c:formatCode>0%</c:formatCode>
                <c:ptCount val="15"/>
                <c:pt idx="0">
                  <c:v>0.39003202002919501</c:v>
                </c:pt>
                <c:pt idx="1">
                  <c:v>0.43060272488923645</c:v>
                </c:pt>
                <c:pt idx="2">
                  <c:v>0.47966029364808327</c:v>
                </c:pt>
                <c:pt idx="3">
                  <c:v>0.51059108978317469</c:v>
                </c:pt>
                <c:pt idx="4">
                  <c:v>0.48046519598347143</c:v>
                </c:pt>
                <c:pt idx="5">
                  <c:v>0.48277868180381889</c:v>
                </c:pt>
                <c:pt idx="6">
                  <c:v>0.49660933632453741</c:v>
                </c:pt>
                <c:pt idx="7">
                  <c:v>0.55910275747203619</c:v>
                </c:pt>
                <c:pt idx="8">
                  <c:v>0.53422355148504819</c:v>
                </c:pt>
                <c:pt idx="9">
                  <c:v>0.49757245644912573</c:v>
                </c:pt>
                <c:pt idx="10">
                  <c:v>0.49457082730124036</c:v>
                </c:pt>
                <c:pt idx="11">
                  <c:v>0.47274457565619299</c:v>
                </c:pt>
                <c:pt idx="12">
                  <c:v>0.54149710913422044</c:v>
                </c:pt>
                <c:pt idx="13">
                  <c:v>0.50598642094062352</c:v>
                </c:pt>
                <c:pt idx="14">
                  <c:v>0.34137712863870251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'10. GIá bán'!$C$13</c15:sqref>
                  <c15:dLbl>
                    <c:idx val="-1"/>
                    <c:layout>
                      <c:manualLayout>
                        <c:x val="-1.5458250565629432E-2"/>
                        <c:y val="-7.6870158205165531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8-83A9-406A-BDAE-8718807B7653}"/>
                      </c:ext>
                    </c:extLst>
                  </c15:dLbl>
                </c15:categoryFilterException>
                <c15:categoryFilterException>
                  <c15:sqref>'10. GIá bán'!$D$13</c15:sqref>
                  <c15:dLbl>
                    <c:idx val="-1"/>
                    <c:layout>
                      <c:manualLayout>
                        <c:x val="-1.983314274863425E-2"/>
                        <c:y val="-8.7228550035887017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9-83A9-406A-BDAE-8718807B7653}"/>
                      </c:ext>
                    </c:extLst>
                  </c15:dLbl>
                </c15:categoryFilterException>
                <c15:categoryFilterException>
                  <c15:sqref>'10. GIá bán'!$E$13</c15:sqref>
                  <c15:dLbl>
                    <c:idx val="-1"/>
                    <c:layout>
                      <c:manualLayout>
                        <c:x val="-2.0023846044294195E-2"/>
                        <c:y val="-0.10777407456482145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A-83A9-406A-BDAE-8718807B7653}"/>
                      </c:ext>
                    </c:extLst>
                  </c15:dLbl>
                </c15:categoryFilterException>
                <c15:categoryFilterException>
                  <c15:sqref>'10. GIá bán'!$F$13</c15:sqref>
                  <c15:dLbl>
                    <c:idx val="-1"/>
                    <c:layout>
                      <c:manualLayout>
                        <c:x val="-2.122011277314613E-2"/>
                        <c:y val="-0.1210298221012454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B-83A9-406A-BDAE-8718807B7653}"/>
                      </c:ext>
                    </c:extLst>
                  </c15:dLbl>
                </c15:categoryFilterException>
                <c15:categoryFilterException>
                  <c15:sqref>'10. GIá bán'!$G$13</c15:sqref>
                  <c15:dLbl>
                    <c:idx val="-1"/>
                    <c:layout>
                      <c:manualLayout>
                        <c:x val="-2.0115029869564434E-2"/>
                        <c:y val="-0.10759506395814021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C-83A9-406A-BDAE-8718807B7653}"/>
                      </c:ext>
                    </c:extLst>
                  </c15:dLbl>
                </c15:categoryFilterException>
                <c15:categoryFilterException>
                  <c15:sqref>'10. GIá bán'!$H$13</c15:sqref>
                  <c15:dLbl>
                    <c:idx val="-1"/>
                    <c:layout>
                      <c:manualLayout>
                        <c:x val="-1.3777634902545962E-2"/>
                        <c:y val="-6.4486982843068447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D-83A9-406A-BDAE-8718807B7653}"/>
                      </c:ext>
                    </c:extLst>
                  </c15:dLbl>
                </c15:categoryFilterException>
                <c15:categoryFilterException>
                  <c15:sqref>'10. GIá bán'!$I$13</c15:sqref>
                  <c15:dLbl>
                    <c:idx val="-1"/>
                    <c:layout>
                      <c:manualLayout>
                        <c:x val="-2.2748280493645082E-2"/>
                        <c:y val="-0.10405918056744194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E-83A9-406A-BDAE-8718807B7653}"/>
                      </c:ext>
                    </c:extLst>
                  </c15:dLbl>
                </c15:categoryFilterException>
                <c15:categoryFilterException>
                  <c15:sqref>'10. GIá bán'!$J$13</c15:sqref>
                  <c15:dLbl>
                    <c:idx val="-1"/>
                    <c:layout>
                      <c:manualLayout>
                        <c:x val="-1.6075483666174777E-2"/>
                        <c:y val="-4.2360625970751839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F-83A9-406A-BDAE-8718807B7653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5C-50E8-4412-A95A-F6B9B8651E9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1551360"/>
        <c:axId val="161552320"/>
      </c:lineChart>
      <c:catAx>
        <c:axId val="14046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47264"/>
        <c:crosses val="autoZero"/>
        <c:auto val="1"/>
        <c:lblAlgn val="ctr"/>
        <c:lblOffset val="100"/>
        <c:noMultiLvlLbl val="0"/>
      </c:catAx>
      <c:valAx>
        <c:axId val="140447264"/>
        <c:scaling>
          <c:orientation val="minMax"/>
          <c:min val="700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60704"/>
        <c:crosses val="autoZero"/>
        <c:crossBetween val="between"/>
      </c:valAx>
      <c:valAx>
        <c:axId val="161552320"/>
        <c:scaling>
          <c:orientation val="minMax"/>
          <c:min val="0.1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51360"/>
        <c:crosses val="max"/>
        <c:crossBetween val="between"/>
      </c:valAx>
      <c:catAx>
        <c:axId val="16155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1552320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bg1"/>
          </a:solidFill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9933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7681274722961122"/>
          <c:y val="0.11537324683524586"/>
          <c:w val="0.11860647644124871"/>
          <c:h val="0.80958687664041995"/>
        </c:manualLayout>
      </c:layout>
      <c:overlay val="0"/>
      <c:spPr>
        <a:noFill/>
        <a:ln>
          <a:solidFill>
            <a:schemeClr val="tx1">
              <a:lumMod val="15000"/>
              <a:lumOff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2700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1.emf"/><Relationship Id="rId7" Type="http://schemas.openxmlformats.org/officeDocument/2006/relationships/image" Target="../media/image3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11" Type="http://schemas.openxmlformats.org/officeDocument/2006/relationships/image" Target="../media/image7.emf"/><Relationship Id="rId5" Type="http://schemas.openxmlformats.org/officeDocument/2006/relationships/chart" Target="../charts/chart3.xml"/><Relationship Id="rId10" Type="http://schemas.openxmlformats.org/officeDocument/2006/relationships/image" Target="../media/image6.emf"/><Relationship Id="rId4" Type="http://schemas.openxmlformats.org/officeDocument/2006/relationships/image" Target="../media/image2.emf"/><Relationship Id="rId9" Type="http://schemas.openxmlformats.org/officeDocument/2006/relationships/image" Target="../media/image5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emf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26" Type="http://schemas.openxmlformats.org/officeDocument/2006/relationships/image" Target="../media/image41.png"/><Relationship Id="rId3" Type="http://schemas.openxmlformats.org/officeDocument/2006/relationships/image" Target="../media/image19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5" Type="http://schemas.openxmlformats.org/officeDocument/2006/relationships/image" Target="../media/image40.png"/><Relationship Id="rId2" Type="http://schemas.openxmlformats.org/officeDocument/2006/relationships/image" Target="../media/image18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7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24" Type="http://schemas.openxmlformats.org/officeDocument/2006/relationships/image" Target="../media/image39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23" Type="http://schemas.openxmlformats.org/officeDocument/2006/relationships/image" Target="../media/image38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chart" Target="../charts/chart14.xml"/><Relationship Id="rId9" Type="http://schemas.openxmlformats.org/officeDocument/2006/relationships/image" Target="../media/image24.png"/><Relationship Id="rId14" Type="http://schemas.openxmlformats.org/officeDocument/2006/relationships/image" Target="../media/image29.png"/><Relationship Id="rId22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emf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emf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image" Target="../media/image59.emf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13" Type="http://schemas.openxmlformats.org/officeDocument/2006/relationships/image" Target="../media/image74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12" Type="http://schemas.openxmlformats.org/officeDocument/2006/relationships/image" Target="../media/image73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11" Type="http://schemas.openxmlformats.org/officeDocument/2006/relationships/image" Target="../media/image72.png"/><Relationship Id="rId5" Type="http://schemas.openxmlformats.org/officeDocument/2006/relationships/image" Target="../media/image66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Relationship Id="rId14" Type="http://schemas.openxmlformats.org/officeDocument/2006/relationships/image" Target="../media/image7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5" Type="http://schemas.openxmlformats.org/officeDocument/2006/relationships/image" Target="../media/image76.emf"/><Relationship Id="rId4" Type="http://schemas.openxmlformats.org/officeDocument/2006/relationships/chart" Target="../charts/chart30.xml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9" Type="http://schemas.openxmlformats.org/officeDocument/2006/relationships/image" Target="../media/image106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8" Type="http://schemas.openxmlformats.org/officeDocument/2006/relationships/image" Target="../media/image85.png"/><Relationship Id="rId3" Type="http://schemas.openxmlformats.org/officeDocument/2006/relationships/image" Target="../media/image80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0" Type="http://schemas.openxmlformats.org/officeDocument/2006/relationships/image" Target="../media/image97.png"/><Relationship Id="rId41" Type="http://schemas.openxmlformats.org/officeDocument/2006/relationships/image" Target="../media/image118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emf"/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3.png"/><Relationship Id="rId3" Type="http://schemas.openxmlformats.org/officeDocument/2006/relationships/image" Target="../media/image128.png"/><Relationship Id="rId7" Type="http://schemas.openxmlformats.org/officeDocument/2006/relationships/image" Target="../media/image132.png"/><Relationship Id="rId12" Type="http://schemas.openxmlformats.org/officeDocument/2006/relationships/image" Target="../media/image137.png"/><Relationship Id="rId2" Type="http://schemas.openxmlformats.org/officeDocument/2006/relationships/image" Target="../media/image127.png"/><Relationship Id="rId1" Type="http://schemas.openxmlformats.org/officeDocument/2006/relationships/image" Target="../media/image126.png"/><Relationship Id="rId6" Type="http://schemas.openxmlformats.org/officeDocument/2006/relationships/image" Target="../media/image131.emf"/><Relationship Id="rId11" Type="http://schemas.openxmlformats.org/officeDocument/2006/relationships/image" Target="../media/image136.png"/><Relationship Id="rId5" Type="http://schemas.openxmlformats.org/officeDocument/2006/relationships/image" Target="../media/image130.png"/><Relationship Id="rId10" Type="http://schemas.openxmlformats.org/officeDocument/2006/relationships/image" Target="../media/image135.png"/><Relationship Id="rId4" Type="http://schemas.openxmlformats.org/officeDocument/2006/relationships/image" Target="../media/image129.png"/><Relationship Id="rId9" Type="http://schemas.openxmlformats.org/officeDocument/2006/relationships/image" Target="../media/image134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emf"/><Relationship Id="rId3" Type="http://schemas.openxmlformats.org/officeDocument/2006/relationships/chart" Target="../charts/chart43.xml"/><Relationship Id="rId7" Type="http://schemas.openxmlformats.org/officeDocument/2006/relationships/image" Target="../media/image138.emf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Relationship Id="rId9" Type="http://schemas.openxmlformats.org/officeDocument/2006/relationships/image" Target="../media/image140.png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7" Type="http://schemas.openxmlformats.org/officeDocument/2006/relationships/image" Target="../media/image14.emf"/><Relationship Id="rId2" Type="http://schemas.openxmlformats.org/officeDocument/2006/relationships/image" Target="../media/image9.emf"/><Relationship Id="rId1" Type="http://schemas.openxmlformats.org/officeDocument/2006/relationships/image" Target="../media/image8.emf"/><Relationship Id="rId6" Type="http://schemas.openxmlformats.org/officeDocument/2006/relationships/image" Target="../media/image13.emf"/><Relationship Id="rId5" Type="http://schemas.openxmlformats.org/officeDocument/2006/relationships/image" Target="../media/image12.emf"/><Relationship Id="rId4" Type="http://schemas.openxmlformats.org/officeDocument/2006/relationships/image" Target="../media/image1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43.emf"/></Relationships>
</file>

<file path=xl/drawings/_rels/vmlDrawing12.vml.rels><?xml version="1.0" encoding="UTF-8" standalone="yes"?>
<Relationships xmlns="http://schemas.openxmlformats.org/package/2006/relationships"><Relationship Id="rId2" Type="http://schemas.openxmlformats.org/officeDocument/2006/relationships/image" Target="../media/image61.emf"/><Relationship Id="rId1" Type="http://schemas.openxmlformats.org/officeDocument/2006/relationships/image" Target="../media/image60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7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192366</xdr:colOff>
      <xdr:row>63</xdr:row>
      <xdr:rowOff>67235</xdr:rowOff>
    </xdr:from>
    <xdr:to>
      <xdr:col>13</xdr:col>
      <xdr:colOff>141941</xdr:colOff>
      <xdr:row>83</xdr:row>
      <xdr:rowOff>60145</xdr:rowOff>
    </xdr:to>
    <xdr:graphicFrame macro="">
      <xdr:nvGraphicFramePr>
        <xdr:cNvPr id="38" name="Chart 4">
          <a:extLst>
            <a:ext uri="{FF2B5EF4-FFF2-40B4-BE49-F238E27FC236}">
              <a16:creationId xmlns:a16="http://schemas.microsoft.com/office/drawing/2014/main" id="{39DA498A-1E65-448F-A56B-B2968A9035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283882</xdr:colOff>
      <xdr:row>63</xdr:row>
      <xdr:rowOff>37352</xdr:rowOff>
    </xdr:from>
    <xdr:to>
      <xdr:col>20</xdr:col>
      <xdr:colOff>694763</xdr:colOff>
      <xdr:row>83</xdr:row>
      <xdr:rowOff>22411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id="{B8440047-551E-47A3-89B4-E90D841CB7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471394</xdr:colOff>
          <xdr:row>40</xdr:row>
          <xdr:rowOff>10087</xdr:rowOff>
        </xdr:from>
        <xdr:to>
          <xdr:col>13</xdr:col>
          <xdr:colOff>82176</xdr:colOff>
          <xdr:row>45</xdr:row>
          <xdr:rowOff>61259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B3AEC3EB-E5B1-D7D0-719A-BB4866B9996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77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5641041" y="5246969"/>
              <a:ext cx="4152900" cy="98499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63499</xdr:rowOff>
        </xdr:to>
        <xdr:pic>
          <xdr:nvPicPr>
            <xdr:cNvPr id="249393" name="Picture 1">
              <a:extLst>
                <a:ext uri="{FF2B5EF4-FFF2-40B4-BE49-F238E27FC236}">
                  <a16:creationId xmlns:a16="http://schemas.microsoft.com/office/drawing/2014/main" id="{57506140-ADBE-9E94-E5B0-89AFCCC1A34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7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645150" y="53848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0</xdr:col>
      <xdr:colOff>298821</xdr:colOff>
      <xdr:row>18</xdr:row>
      <xdr:rowOff>32869</xdr:rowOff>
    </xdr:from>
    <xdr:to>
      <xdr:col>12</xdr:col>
      <xdr:colOff>14942</xdr:colOff>
      <xdr:row>36</xdr:row>
      <xdr:rowOff>149411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08FC57D9-42AA-6F25-D125-E474987AE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141940</xdr:colOff>
      <xdr:row>58</xdr:row>
      <xdr:rowOff>55280</xdr:rowOff>
    </xdr:from>
    <xdr:to>
      <xdr:col>8</xdr:col>
      <xdr:colOff>612587</xdr:colOff>
      <xdr:row>99</xdr:row>
      <xdr:rowOff>29881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A418E91-EE77-25E2-879C-09498C396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635000</xdr:colOff>
          <xdr:row>103</xdr:row>
          <xdr:rowOff>31750</xdr:rowOff>
        </xdr:from>
        <xdr:to>
          <xdr:col>9</xdr:col>
          <xdr:colOff>2988</xdr:colOff>
          <xdr:row>108</xdr:row>
          <xdr:rowOff>31750</xdr:rowOff>
        </xdr:to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D4C953A5-9200-28F8-A07F-D914C35C860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104:$D$108" spid="_x0000_s158879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4133850" y="11290300"/>
              <a:ext cx="2873188" cy="9207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63499</xdr:rowOff>
        </xdr:to>
        <xdr:pic>
          <xdr:nvPicPr>
            <xdr:cNvPr id="401462" name="Picture 1">
              <a:extLst>
                <a:ext uri="{FF2B5EF4-FFF2-40B4-BE49-F238E27FC236}">
                  <a16:creationId xmlns:a16="http://schemas.microsoft.com/office/drawing/2014/main" id="{99C08953-777B-5DD4-BC4A-3EF4FC9ACD5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63499</xdr:rowOff>
        </xdr:to>
        <xdr:pic>
          <xdr:nvPicPr>
            <xdr:cNvPr id="401463" name="Picture 4151">
              <a:extLst>
                <a:ext uri="{FF2B5EF4-FFF2-40B4-BE49-F238E27FC236}">
                  <a16:creationId xmlns:a16="http://schemas.microsoft.com/office/drawing/2014/main" id="{2FE61770-2472-4A80-AFAD-7C44630726F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8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63499</xdr:rowOff>
        </xdr:to>
        <xdr:pic>
          <xdr:nvPicPr>
            <xdr:cNvPr id="401516" name="Picture 1">
              <a:extLst>
                <a:ext uri="{FF2B5EF4-FFF2-40B4-BE49-F238E27FC236}">
                  <a16:creationId xmlns:a16="http://schemas.microsoft.com/office/drawing/2014/main" id="{27BEB084-AB2A-DC05-24F8-DF972E2BDA4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8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63499</xdr:rowOff>
        </xdr:to>
        <xdr:pic>
          <xdr:nvPicPr>
            <xdr:cNvPr id="401517" name="Picture 4205">
              <a:extLst>
                <a:ext uri="{FF2B5EF4-FFF2-40B4-BE49-F238E27FC236}">
                  <a16:creationId xmlns:a16="http://schemas.microsoft.com/office/drawing/2014/main" id="{E6B571AA-BD87-6FB4-2704-3B553844233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83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63499</xdr:rowOff>
        </xdr:to>
        <xdr:pic>
          <xdr:nvPicPr>
            <xdr:cNvPr id="401519" name="Picture 4207">
              <a:extLst>
                <a:ext uri="{FF2B5EF4-FFF2-40B4-BE49-F238E27FC236}">
                  <a16:creationId xmlns:a16="http://schemas.microsoft.com/office/drawing/2014/main" id="{BF6DBAB7-0D01-1C2F-5046-0CB64D3E680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63499</xdr:rowOff>
        </xdr:to>
        <xdr:pic>
          <xdr:nvPicPr>
            <xdr:cNvPr id="401520" name="Picture 4151">
              <a:extLst>
                <a:ext uri="{FF2B5EF4-FFF2-40B4-BE49-F238E27FC236}">
                  <a16:creationId xmlns:a16="http://schemas.microsoft.com/office/drawing/2014/main" id="{32C425BD-381E-253C-90D0-C6DD012F24F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8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63499</xdr:rowOff>
        </xdr:to>
        <xdr:pic>
          <xdr:nvPicPr>
            <xdr:cNvPr id="401522" name="Picture 4210">
              <a:extLst>
                <a:ext uri="{FF2B5EF4-FFF2-40B4-BE49-F238E27FC236}">
                  <a16:creationId xmlns:a16="http://schemas.microsoft.com/office/drawing/2014/main" id="{1B628F58-5054-677A-F8BA-65A1A6EAB04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86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63499</xdr:rowOff>
        </xdr:to>
        <xdr:pic>
          <xdr:nvPicPr>
            <xdr:cNvPr id="401523" name="Picture 4211">
              <a:extLst>
                <a:ext uri="{FF2B5EF4-FFF2-40B4-BE49-F238E27FC236}">
                  <a16:creationId xmlns:a16="http://schemas.microsoft.com/office/drawing/2014/main" id="{226AC562-DCCC-A1ED-1535-F17F5423537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87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63499</xdr:rowOff>
        </xdr:to>
        <xdr:pic>
          <xdr:nvPicPr>
            <xdr:cNvPr id="401525" name="Picture 4213">
              <a:extLst>
                <a:ext uri="{FF2B5EF4-FFF2-40B4-BE49-F238E27FC236}">
                  <a16:creationId xmlns:a16="http://schemas.microsoft.com/office/drawing/2014/main" id="{36AF6D7E-84A2-7301-8557-CFFAFBF681B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88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63499</xdr:rowOff>
        </xdr:to>
        <xdr:pic>
          <xdr:nvPicPr>
            <xdr:cNvPr id="401526" name="Picture 4214">
              <a:extLst>
                <a:ext uri="{FF2B5EF4-FFF2-40B4-BE49-F238E27FC236}">
                  <a16:creationId xmlns:a16="http://schemas.microsoft.com/office/drawing/2014/main" id="{1228D406-EA23-6603-CF83-D33BF4C175D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89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563880</xdr:colOff>
          <xdr:row>40</xdr:row>
          <xdr:rowOff>15240</xdr:rowOff>
        </xdr:from>
        <xdr:to>
          <xdr:col>13</xdr:col>
          <xdr:colOff>99060</xdr:colOff>
          <xdr:row>45</xdr:row>
          <xdr:rowOff>76200</xdr:rowOff>
        </xdr:to>
        <xdr:pic>
          <xdr:nvPicPr>
            <xdr:cNvPr id="1090542" name="Picture 1">
              <a:extLst>
                <a:ext uri="{FF2B5EF4-FFF2-40B4-BE49-F238E27FC236}">
                  <a16:creationId xmlns:a16="http://schemas.microsoft.com/office/drawing/2014/main" id="{1AB64DA7-C702-D9A1-B238-D5CD885F9EF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90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654040" y="5440680"/>
              <a:ext cx="4046220" cy="97536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563880</xdr:colOff>
          <xdr:row>40</xdr:row>
          <xdr:rowOff>15240</xdr:rowOff>
        </xdr:from>
        <xdr:to>
          <xdr:col>13</xdr:col>
          <xdr:colOff>99060</xdr:colOff>
          <xdr:row>45</xdr:row>
          <xdr:rowOff>76200</xdr:rowOff>
        </xdr:to>
        <xdr:pic>
          <xdr:nvPicPr>
            <xdr:cNvPr id="1090543" name="Picture 10223">
              <a:extLst>
                <a:ext uri="{FF2B5EF4-FFF2-40B4-BE49-F238E27FC236}">
                  <a16:creationId xmlns:a16="http://schemas.microsoft.com/office/drawing/2014/main" id="{5317B9AC-5285-413F-208D-72489F92ACA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9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654040" y="5440680"/>
              <a:ext cx="4046220" cy="97536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762000</xdr:colOff>
          <xdr:row>103</xdr:row>
          <xdr:rowOff>38100</xdr:rowOff>
        </xdr:from>
        <xdr:to>
          <xdr:col>9</xdr:col>
          <xdr:colOff>0</xdr:colOff>
          <xdr:row>108</xdr:row>
          <xdr:rowOff>38100</xdr:rowOff>
        </xdr:to>
        <xdr:pic>
          <xdr:nvPicPr>
            <xdr:cNvPr id="1090544" name="Picture 3">
              <a:extLst>
                <a:ext uri="{FF2B5EF4-FFF2-40B4-BE49-F238E27FC236}">
                  <a16:creationId xmlns:a16="http://schemas.microsoft.com/office/drawing/2014/main" id="{C81C9D09-7F5E-038D-8EC2-B77FF2ACBBE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104:$D$108" spid="_x0000_s158892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4206240" y="11216640"/>
              <a:ext cx="2712720" cy="9144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563880</xdr:colOff>
          <xdr:row>40</xdr:row>
          <xdr:rowOff>15240</xdr:rowOff>
        </xdr:from>
        <xdr:to>
          <xdr:col>13</xdr:col>
          <xdr:colOff>99060</xdr:colOff>
          <xdr:row>45</xdr:row>
          <xdr:rowOff>76200</xdr:rowOff>
        </xdr:to>
        <xdr:pic>
          <xdr:nvPicPr>
            <xdr:cNvPr id="1090545" name="Picture 10225">
              <a:extLst>
                <a:ext uri="{FF2B5EF4-FFF2-40B4-BE49-F238E27FC236}">
                  <a16:creationId xmlns:a16="http://schemas.microsoft.com/office/drawing/2014/main" id="{ED056822-97CD-CDD4-6E71-8EC061DB82D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93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5654040" y="5440680"/>
              <a:ext cx="4046220" cy="97536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563880</xdr:colOff>
          <xdr:row>40</xdr:row>
          <xdr:rowOff>15240</xdr:rowOff>
        </xdr:from>
        <xdr:to>
          <xdr:col>13</xdr:col>
          <xdr:colOff>99060</xdr:colOff>
          <xdr:row>45</xdr:row>
          <xdr:rowOff>76200</xdr:rowOff>
        </xdr:to>
        <xdr:pic>
          <xdr:nvPicPr>
            <xdr:cNvPr id="1090546" name="Picture 4151">
              <a:extLst>
                <a:ext uri="{FF2B5EF4-FFF2-40B4-BE49-F238E27FC236}">
                  <a16:creationId xmlns:a16="http://schemas.microsoft.com/office/drawing/2014/main" id="{57D5D8CA-1FFA-61F3-0600-8F7811DADF1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94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654040" y="5440680"/>
              <a:ext cx="4046220" cy="97536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563880</xdr:colOff>
          <xdr:row>40</xdr:row>
          <xdr:rowOff>15240</xdr:rowOff>
        </xdr:from>
        <xdr:to>
          <xdr:col>13</xdr:col>
          <xdr:colOff>99060</xdr:colOff>
          <xdr:row>45</xdr:row>
          <xdr:rowOff>76200</xdr:rowOff>
        </xdr:to>
        <xdr:pic>
          <xdr:nvPicPr>
            <xdr:cNvPr id="1090547" name="Picture 10227">
              <a:extLst>
                <a:ext uri="{FF2B5EF4-FFF2-40B4-BE49-F238E27FC236}">
                  <a16:creationId xmlns:a16="http://schemas.microsoft.com/office/drawing/2014/main" id="{93C028AE-788B-EDF0-C278-2EF952ECDE6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95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5654040" y="5440680"/>
              <a:ext cx="4046220" cy="97536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563880</xdr:colOff>
          <xdr:row>40</xdr:row>
          <xdr:rowOff>15240</xdr:rowOff>
        </xdr:from>
        <xdr:to>
          <xdr:col>13</xdr:col>
          <xdr:colOff>99060</xdr:colOff>
          <xdr:row>45</xdr:row>
          <xdr:rowOff>76200</xdr:rowOff>
        </xdr:to>
        <xdr:pic>
          <xdr:nvPicPr>
            <xdr:cNvPr id="1090548" name="Picture 4205">
              <a:extLst>
                <a:ext uri="{FF2B5EF4-FFF2-40B4-BE49-F238E27FC236}">
                  <a16:creationId xmlns:a16="http://schemas.microsoft.com/office/drawing/2014/main" id="{EB529BC2-C235-A1D0-CFD2-99AD8CCB383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96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5654040" y="5440680"/>
              <a:ext cx="4046220" cy="97536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563880</xdr:colOff>
          <xdr:row>40</xdr:row>
          <xdr:rowOff>15240</xdr:rowOff>
        </xdr:from>
        <xdr:to>
          <xdr:col>13</xdr:col>
          <xdr:colOff>99060</xdr:colOff>
          <xdr:row>45</xdr:row>
          <xdr:rowOff>76200</xdr:rowOff>
        </xdr:to>
        <xdr:pic>
          <xdr:nvPicPr>
            <xdr:cNvPr id="1090549" name="Picture 4207">
              <a:extLst>
                <a:ext uri="{FF2B5EF4-FFF2-40B4-BE49-F238E27FC236}">
                  <a16:creationId xmlns:a16="http://schemas.microsoft.com/office/drawing/2014/main" id="{D9A3DB07-F02D-B691-4C69-1482305B756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97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654040" y="5440680"/>
              <a:ext cx="4046220" cy="97536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563880</xdr:colOff>
          <xdr:row>40</xdr:row>
          <xdr:rowOff>15240</xdr:rowOff>
        </xdr:from>
        <xdr:to>
          <xdr:col>13</xdr:col>
          <xdr:colOff>99060</xdr:colOff>
          <xdr:row>45</xdr:row>
          <xdr:rowOff>76200</xdr:rowOff>
        </xdr:to>
        <xdr:pic>
          <xdr:nvPicPr>
            <xdr:cNvPr id="1090550" name="Picture 10230">
              <a:extLst>
                <a:ext uri="{FF2B5EF4-FFF2-40B4-BE49-F238E27FC236}">
                  <a16:creationId xmlns:a16="http://schemas.microsoft.com/office/drawing/2014/main" id="{30A2E52A-D615-DA93-6144-3C20FDDB9EA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98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5654040" y="5440680"/>
              <a:ext cx="4046220" cy="97536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563880</xdr:colOff>
          <xdr:row>40</xdr:row>
          <xdr:rowOff>15240</xdr:rowOff>
        </xdr:from>
        <xdr:to>
          <xdr:col>13</xdr:col>
          <xdr:colOff>99060</xdr:colOff>
          <xdr:row>45</xdr:row>
          <xdr:rowOff>76200</xdr:rowOff>
        </xdr:to>
        <xdr:pic>
          <xdr:nvPicPr>
            <xdr:cNvPr id="1090551" name="Picture 4210">
              <a:extLst>
                <a:ext uri="{FF2B5EF4-FFF2-40B4-BE49-F238E27FC236}">
                  <a16:creationId xmlns:a16="http://schemas.microsoft.com/office/drawing/2014/main" id="{32A1AE67-12CC-F048-9A5F-23B24A1BE3C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899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654040" y="5440680"/>
              <a:ext cx="4046220" cy="97536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563880</xdr:colOff>
          <xdr:row>40</xdr:row>
          <xdr:rowOff>15240</xdr:rowOff>
        </xdr:from>
        <xdr:to>
          <xdr:col>13</xdr:col>
          <xdr:colOff>99060</xdr:colOff>
          <xdr:row>45</xdr:row>
          <xdr:rowOff>76200</xdr:rowOff>
        </xdr:to>
        <xdr:pic>
          <xdr:nvPicPr>
            <xdr:cNvPr id="1090552" name="Picture 4211">
              <a:extLst>
                <a:ext uri="{FF2B5EF4-FFF2-40B4-BE49-F238E27FC236}">
                  <a16:creationId xmlns:a16="http://schemas.microsoft.com/office/drawing/2014/main" id="{26ACC1F3-3EFA-E39A-C15B-F11D2AA363E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00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654040" y="5440680"/>
              <a:ext cx="4046220" cy="97536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563880</xdr:colOff>
          <xdr:row>40</xdr:row>
          <xdr:rowOff>15240</xdr:rowOff>
        </xdr:from>
        <xdr:to>
          <xdr:col>13</xdr:col>
          <xdr:colOff>99060</xdr:colOff>
          <xdr:row>45</xdr:row>
          <xdr:rowOff>76200</xdr:rowOff>
        </xdr:to>
        <xdr:pic>
          <xdr:nvPicPr>
            <xdr:cNvPr id="1090553" name="Picture 4213">
              <a:extLst>
                <a:ext uri="{FF2B5EF4-FFF2-40B4-BE49-F238E27FC236}">
                  <a16:creationId xmlns:a16="http://schemas.microsoft.com/office/drawing/2014/main" id="{FCD3E3EC-D5F6-59B9-27D2-E353AEA71A3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01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654040" y="5440680"/>
              <a:ext cx="4046220" cy="97536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563880</xdr:colOff>
          <xdr:row>40</xdr:row>
          <xdr:rowOff>15240</xdr:rowOff>
        </xdr:from>
        <xdr:to>
          <xdr:col>13</xdr:col>
          <xdr:colOff>99060</xdr:colOff>
          <xdr:row>45</xdr:row>
          <xdr:rowOff>76200</xdr:rowOff>
        </xdr:to>
        <xdr:pic>
          <xdr:nvPicPr>
            <xdr:cNvPr id="1090554" name="Picture 4214">
              <a:extLst>
                <a:ext uri="{FF2B5EF4-FFF2-40B4-BE49-F238E27FC236}">
                  <a16:creationId xmlns:a16="http://schemas.microsoft.com/office/drawing/2014/main" id="{68B30CE8-490F-7175-B7CB-3863A7C6E87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02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5654040" y="5440680"/>
              <a:ext cx="4046220" cy="97536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63500</xdr:rowOff>
        </xdr:to>
        <xdr:pic>
          <xdr:nvPicPr>
            <xdr:cNvPr id="1150392" name="Picture 1">
              <a:extLst>
                <a:ext uri="{FF2B5EF4-FFF2-40B4-BE49-F238E27FC236}">
                  <a16:creationId xmlns:a16="http://schemas.microsoft.com/office/drawing/2014/main" id="{6EA142B0-89F7-A1DC-778C-62F013C3649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03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63500</xdr:rowOff>
        </xdr:to>
        <xdr:pic>
          <xdr:nvPicPr>
            <xdr:cNvPr id="1150393" name="Picture 11705">
              <a:extLst>
                <a:ext uri="{FF2B5EF4-FFF2-40B4-BE49-F238E27FC236}">
                  <a16:creationId xmlns:a16="http://schemas.microsoft.com/office/drawing/2014/main" id="{915D86C1-A278-6C99-B4C6-CD79FADFDC5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04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635000</xdr:colOff>
          <xdr:row>103</xdr:row>
          <xdr:rowOff>31750</xdr:rowOff>
        </xdr:from>
        <xdr:to>
          <xdr:col>9</xdr:col>
          <xdr:colOff>0</xdr:colOff>
          <xdr:row>108</xdr:row>
          <xdr:rowOff>31750</xdr:rowOff>
        </xdr:to>
        <xdr:pic>
          <xdr:nvPicPr>
            <xdr:cNvPr id="1150394" name="Picture 3">
              <a:extLst>
                <a:ext uri="{FF2B5EF4-FFF2-40B4-BE49-F238E27FC236}">
                  <a16:creationId xmlns:a16="http://schemas.microsoft.com/office/drawing/2014/main" id="{D7359492-A7A7-1215-AB1D-16A53D0F927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104:$D$108" spid="_x0000_s158905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4133850" y="11290300"/>
              <a:ext cx="2870200" cy="9207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63500</xdr:rowOff>
        </xdr:to>
        <xdr:pic>
          <xdr:nvPicPr>
            <xdr:cNvPr id="1150395" name="Picture 11707">
              <a:extLst>
                <a:ext uri="{FF2B5EF4-FFF2-40B4-BE49-F238E27FC236}">
                  <a16:creationId xmlns:a16="http://schemas.microsoft.com/office/drawing/2014/main" id="{8F8F9478-DA02-F220-4D37-962D55FB6E1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06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63500</xdr:rowOff>
        </xdr:to>
        <xdr:pic>
          <xdr:nvPicPr>
            <xdr:cNvPr id="1150396" name="Picture 4151">
              <a:extLst>
                <a:ext uri="{FF2B5EF4-FFF2-40B4-BE49-F238E27FC236}">
                  <a16:creationId xmlns:a16="http://schemas.microsoft.com/office/drawing/2014/main" id="{1955388F-E9A0-FB9D-4F21-BD56A40B1C3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07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63500</xdr:rowOff>
        </xdr:to>
        <xdr:pic>
          <xdr:nvPicPr>
            <xdr:cNvPr id="1150397" name="Picture 11709">
              <a:extLst>
                <a:ext uri="{FF2B5EF4-FFF2-40B4-BE49-F238E27FC236}">
                  <a16:creationId xmlns:a16="http://schemas.microsoft.com/office/drawing/2014/main" id="{08971847-DDD1-5080-96BB-EE1D82FE7E7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08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63500</xdr:rowOff>
        </xdr:to>
        <xdr:pic>
          <xdr:nvPicPr>
            <xdr:cNvPr id="1150398" name="Picture 4205">
              <a:extLst>
                <a:ext uri="{FF2B5EF4-FFF2-40B4-BE49-F238E27FC236}">
                  <a16:creationId xmlns:a16="http://schemas.microsoft.com/office/drawing/2014/main" id="{78993F89-3C58-A064-226A-A2C801AFCA1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09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63500</xdr:rowOff>
        </xdr:to>
        <xdr:pic>
          <xdr:nvPicPr>
            <xdr:cNvPr id="1150399" name="Picture 4207">
              <a:extLst>
                <a:ext uri="{FF2B5EF4-FFF2-40B4-BE49-F238E27FC236}">
                  <a16:creationId xmlns:a16="http://schemas.microsoft.com/office/drawing/2014/main" id="{6EF05258-AF04-D838-35F3-2A5CA4CDE96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10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63500</xdr:rowOff>
        </xdr:to>
        <xdr:pic>
          <xdr:nvPicPr>
            <xdr:cNvPr id="1150400" name="Picture 11712">
              <a:extLst>
                <a:ext uri="{FF2B5EF4-FFF2-40B4-BE49-F238E27FC236}">
                  <a16:creationId xmlns:a16="http://schemas.microsoft.com/office/drawing/2014/main" id="{03922B06-1787-D678-24B3-B138E8037AB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11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63500</xdr:rowOff>
        </xdr:to>
        <xdr:pic>
          <xdr:nvPicPr>
            <xdr:cNvPr id="1150401" name="Picture 4210">
              <a:extLst>
                <a:ext uri="{FF2B5EF4-FFF2-40B4-BE49-F238E27FC236}">
                  <a16:creationId xmlns:a16="http://schemas.microsoft.com/office/drawing/2014/main" id="{574EF903-D7B2-D7B7-BBF8-7A873FFEDED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12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63500</xdr:rowOff>
        </xdr:to>
        <xdr:pic>
          <xdr:nvPicPr>
            <xdr:cNvPr id="1150402" name="Picture 4211">
              <a:extLst>
                <a:ext uri="{FF2B5EF4-FFF2-40B4-BE49-F238E27FC236}">
                  <a16:creationId xmlns:a16="http://schemas.microsoft.com/office/drawing/2014/main" id="{30F5AAC9-94D9-7243-0C38-E78C0A99194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13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63500</xdr:rowOff>
        </xdr:to>
        <xdr:pic>
          <xdr:nvPicPr>
            <xdr:cNvPr id="1150403" name="Picture 4213">
              <a:extLst>
                <a:ext uri="{FF2B5EF4-FFF2-40B4-BE49-F238E27FC236}">
                  <a16:creationId xmlns:a16="http://schemas.microsoft.com/office/drawing/2014/main" id="{5B8B6E1F-61D5-8DD8-5680-5FDFF08664A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14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469900</xdr:colOff>
          <xdr:row>40</xdr:row>
          <xdr:rowOff>12700</xdr:rowOff>
        </xdr:from>
        <xdr:to>
          <xdr:col>13</xdr:col>
          <xdr:colOff>82550</xdr:colOff>
          <xdr:row>45</xdr:row>
          <xdr:rowOff>63500</xdr:rowOff>
        </xdr:to>
        <xdr:pic>
          <xdr:nvPicPr>
            <xdr:cNvPr id="1150404" name="Picture 4214">
              <a:extLst>
                <a:ext uri="{FF2B5EF4-FFF2-40B4-BE49-F238E27FC236}">
                  <a16:creationId xmlns:a16="http://schemas.microsoft.com/office/drawing/2014/main" id="{441F3596-2BA4-AE45-7843-D5D8F85F242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15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645150" y="5473700"/>
              <a:ext cx="4140200" cy="971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565150</xdr:colOff>
          <xdr:row>40</xdr:row>
          <xdr:rowOff>12700</xdr:rowOff>
        </xdr:from>
        <xdr:to>
          <xdr:col>13</xdr:col>
          <xdr:colOff>101600</xdr:colOff>
          <xdr:row>45</xdr:row>
          <xdr:rowOff>76200</xdr:rowOff>
        </xdr:to>
        <xdr:pic>
          <xdr:nvPicPr>
            <xdr:cNvPr id="1150405" name="Picture 11717">
              <a:extLst>
                <a:ext uri="{FF2B5EF4-FFF2-40B4-BE49-F238E27FC236}">
                  <a16:creationId xmlns:a16="http://schemas.microsoft.com/office/drawing/2014/main" id="{6ACF886F-D7F3-AA3B-849E-A6B52A2F81E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16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5740400" y="5473700"/>
              <a:ext cx="4064000" cy="984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565150</xdr:colOff>
          <xdr:row>40</xdr:row>
          <xdr:rowOff>12700</xdr:rowOff>
        </xdr:from>
        <xdr:to>
          <xdr:col>13</xdr:col>
          <xdr:colOff>101600</xdr:colOff>
          <xdr:row>45</xdr:row>
          <xdr:rowOff>76200</xdr:rowOff>
        </xdr:to>
        <xdr:pic>
          <xdr:nvPicPr>
            <xdr:cNvPr id="1150406" name="Picture 10223">
              <a:extLst>
                <a:ext uri="{FF2B5EF4-FFF2-40B4-BE49-F238E27FC236}">
                  <a16:creationId xmlns:a16="http://schemas.microsoft.com/office/drawing/2014/main" id="{1DA11EDA-918B-F1B7-170E-BE6416DCA1A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17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5740400" y="5473700"/>
              <a:ext cx="4064000" cy="984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762000</xdr:colOff>
          <xdr:row>103</xdr:row>
          <xdr:rowOff>38100</xdr:rowOff>
        </xdr:from>
        <xdr:to>
          <xdr:col>9</xdr:col>
          <xdr:colOff>0</xdr:colOff>
          <xdr:row>108</xdr:row>
          <xdr:rowOff>38100</xdr:rowOff>
        </xdr:to>
        <xdr:pic>
          <xdr:nvPicPr>
            <xdr:cNvPr id="1150407" name="Picture 11719">
              <a:extLst>
                <a:ext uri="{FF2B5EF4-FFF2-40B4-BE49-F238E27FC236}">
                  <a16:creationId xmlns:a16="http://schemas.microsoft.com/office/drawing/2014/main" id="{3A54FE43-68E9-82E7-9C4B-2B729FFF527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104:$D$108" spid="_x0000_s158918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4260850" y="11296650"/>
              <a:ext cx="2743200" cy="9207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565150</xdr:colOff>
          <xdr:row>40</xdr:row>
          <xdr:rowOff>12700</xdr:rowOff>
        </xdr:from>
        <xdr:to>
          <xdr:col>13</xdr:col>
          <xdr:colOff>101600</xdr:colOff>
          <xdr:row>45</xdr:row>
          <xdr:rowOff>76200</xdr:rowOff>
        </xdr:to>
        <xdr:pic>
          <xdr:nvPicPr>
            <xdr:cNvPr id="1150408" name="Picture 10225">
              <a:extLst>
                <a:ext uri="{FF2B5EF4-FFF2-40B4-BE49-F238E27FC236}">
                  <a16:creationId xmlns:a16="http://schemas.microsoft.com/office/drawing/2014/main" id="{0EC6456C-054C-3D40-EB65-5720E9B0497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19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740400" y="5473700"/>
              <a:ext cx="4064000" cy="984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565150</xdr:colOff>
          <xdr:row>40</xdr:row>
          <xdr:rowOff>12700</xdr:rowOff>
        </xdr:from>
        <xdr:to>
          <xdr:col>13</xdr:col>
          <xdr:colOff>101600</xdr:colOff>
          <xdr:row>45</xdr:row>
          <xdr:rowOff>76200</xdr:rowOff>
        </xdr:to>
        <xdr:pic>
          <xdr:nvPicPr>
            <xdr:cNvPr id="1150409" name="Picture 11721">
              <a:extLst>
                <a:ext uri="{FF2B5EF4-FFF2-40B4-BE49-F238E27FC236}">
                  <a16:creationId xmlns:a16="http://schemas.microsoft.com/office/drawing/2014/main" id="{007E4849-6C89-247D-AA38-90C00E16DDC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20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740400" y="5473700"/>
              <a:ext cx="4064000" cy="984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565150</xdr:colOff>
          <xdr:row>40</xdr:row>
          <xdr:rowOff>12700</xdr:rowOff>
        </xdr:from>
        <xdr:to>
          <xdr:col>13</xdr:col>
          <xdr:colOff>101600</xdr:colOff>
          <xdr:row>45</xdr:row>
          <xdr:rowOff>76200</xdr:rowOff>
        </xdr:to>
        <xdr:pic>
          <xdr:nvPicPr>
            <xdr:cNvPr id="1150410" name="Picture 10227">
              <a:extLst>
                <a:ext uri="{FF2B5EF4-FFF2-40B4-BE49-F238E27FC236}">
                  <a16:creationId xmlns:a16="http://schemas.microsoft.com/office/drawing/2014/main" id="{0A5C6E58-B52E-EAE5-32FC-5A6BC51A1AA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21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740400" y="5473700"/>
              <a:ext cx="4064000" cy="984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565150</xdr:colOff>
          <xdr:row>40</xdr:row>
          <xdr:rowOff>12700</xdr:rowOff>
        </xdr:from>
        <xdr:to>
          <xdr:col>13</xdr:col>
          <xdr:colOff>101600</xdr:colOff>
          <xdr:row>45</xdr:row>
          <xdr:rowOff>76200</xdr:rowOff>
        </xdr:to>
        <xdr:pic>
          <xdr:nvPicPr>
            <xdr:cNvPr id="1150411" name="Picture 11723">
              <a:extLst>
                <a:ext uri="{FF2B5EF4-FFF2-40B4-BE49-F238E27FC236}">
                  <a16:creationId xmlns:a16="http://schemas.microsoft.com/office/drawing/2014/main" id="{0A4410D5-27A5-22CF-3079-15A52A08B19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22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740400" y="5473700"/>
              <a:ext cx="4064000" cy="984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565150</xdr:colOff>
          <xdr:row>40</xdr:row>
          <xdr:rowOff>12700</xdr:rowOff>
        </xdr:from>
        <xdr:to>
          <xdr:col>13</xdr:col>
          <xdr:colOff>101600</xdr:colOff>
          <xdr:row>45</xdr:row>
          <xdr:rowOff>76200</xdr:rowOff>
        </xdr:to>
        <xdr:pic>
          <xdr:nvPicPr>
            <xdr:cNvPr id="1150412" name="Picture 11724">
              <a:extLst>
                <a:ext uri="{FF2B5EF4-FFF2-40B4-BE49-F238E27FC236}">
                  <a16:creationId xmlns:a16="http://schemas.microsoft.com/office/drawing/2014/main" id="{B849FD2B-756B-F6AD-CE83-69375A474D4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23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740400" y="5473700"/>
              <a:ext cx="4064000" cy="984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565150</xdr:colOff>
          <xdr:row>40</xdr:row>
          <xdr:rowOff>12700</xdr:rowOff>
        </xdr:from>
        <xdr:to>
          <xdr:col>13</xdr:col>
          <xdr:colOff>101600</xdr:colOff>
          <xdr:row>45</xdr:row>
          <xdr:rowOff>76200</xdr:rowOff>
        </xdr:to>
        <xdr:pic>
          <xdr:nvPicPr>
            <xdr:cNvPr id="1150413" name="Picture 10230">
              <a:extLst>
                <a:ext uri="{FF2B5EF4-FFF2-40B4-BE49-F238E27FC236}">
                  <a16:creationId xmlns:a16="http://schemas.microsoft.com/office/drawing/2014/main" id="{324C78A5-B33B-EC78-592C-B1B684E4E01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24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740400" y="5473700"/>
              <a:ext cx="4064000" cy="984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565150</xdr:colOff>
          <xdr:row>40</xdr:row>
          <xdr:rowOff>12700</xdr:rowOff>
        </xdr:from>
        <xdr:to>
          <xdr:col>13</xdr:col>
          <xdr:colOff>101600</xdr:colOff>
          <xdr:row>45</xdr:row>
          <xdr:rowOff>76200</xdr:rowOff>
        </xdr:to>
        <xdr:pic>
          <xdr:nvPicPr>
            <xdr:cNvPr id="1150414" name="Picture 11726">
              <a:extLst>
                <a:ext uri="{FF2B5EF4-FFF2-40B4-BE49-F238E27FC236}">
                  <a16:creationId xmlns:a16="http://schemas.microsoft.com/office/drawing/2014/main" id="{9E29B2C5-AA53-0797-A905-98BD61EC13B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25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740400" y="5473700"/>
              <a:ext cx="4064000" cy="984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565150</xdr:colOff>
          <xdr:row>40</xdr:row>
          <xdr:rowOff>12700</xdr:rowOff>
        </xdr:from>
        <xdr:to>
          <xdr:col>13</xdr:col>
          <xdr:colOff>101600</xdr:colOff>
          <xdr:row>45</xdr:row>
          <xdr:rowOff>76200</xdr:rowOff>
        </xdr:to>
        <xdr:pic>
          <xdr:nvPicPr>
            <xdr:cNvPr id="1150415" name="Picture 11727">
              <a:extLst>
                <a:ext uri="{FF2B5EF4-FFF2-40B4-BE49-F238E27FC236}">
                  <a16:creationId xmlns:a16="http://schemas.microsoft.com/office/drawing/2014/main" id="{089FB57F-4E28-4A25-FB2B-D82C9CCA96E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26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740400" y="5473700"/>
              <a:ext cx="4064000" cy="984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565150</xdr:colOff>
          <xdr:row>40</xdr:row>
          <xdr:rowOff>12700</xdr:rowOff>
        </xdr:from>
        <xdr:to>
          <xdr:col>13</xdr:col>
          <xdr:colOff>101600</xdr:colOff>
          <xdr:row>45</xdr:row>
          <xdr:rowOff>76200</xdr:rowOff>
        </xdr:to>
        <xdr:pic>
          <xdr:nvPicPr>
            <xdr:cNvPr id="1150416" name="Picture 11728">
              <a:extLst>
                <a:ext uri="{FF2B5EF4-FFF2-40B4-BE49-F238E27FC236}">
                  <a16:creationId xmlns:a16="http://schemas.microsoft.com/office/drawing/2014/main" id="{F7C289C2-7760-E264-82E7-216DE9CB108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27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740400" y="5473700"/>
              <a:ext cx="4064000" cy="984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565150</xdr:colOff>
          <xdr:row>40</xdr:row>
          <xdr:rowOff>12700</xdr:rowOff>
        </xdr:from>
        <xdr:to>
          <xdr:col>13</xdr:col>
          <xdr:colOff>101600</xdr:colOff>
          <xdr:row>45</xdr:row>
          <xdr:rowOff>76200</xdr:rowOff>
        </xdr:to>
        <xdr:pic>
          <xdr:nvPicPr>
            <xdr:cNvPr id="1150417" name="Picture 11729">
              <a:extLst>
                <a:ext uri="{FF2B5EF4-FFF2-40B4-BE49-F238E27FC236}">
                  <a16:creationId xmlns:a16="http://schemas.microsoft.com/office/drawing/2014/main" id="{9E09EEE9-96FB-E10A-BCB4-D4DCA91DE44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41:$F$45" spid="_x0000_s158928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5740400" y="5473700"/>
              <a:ext cx="4064000" cy="984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0.87816</cdr:x>
      <cdr:y>0.05971</cdr:y>
    </cdr:from>
    <cdr:to>
      <cdr:x>0.96948</cdr:x>
      <cdr:y>0.13667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BC98B41-D482-456E-63CC-97A1BA28CB22}"/>
            </a:ext>
          </a:extLst>
        </cdr:cNvPr>
        <cdr:cNvSpPr txBox="1"/>
      </cdr:nvSpPr>
      <cdr:spPr>
        <a:xfrm xmlns:a="http://schemas.openxmlformats.org/drawingml/2006/main">
          <a:off x="6849035" y="207682"/>
          <a:ext cx="712241" cy="2676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i="1" u="sng" kern="1200">
              <a:solidFill>
                <a:schemeClr val="accent2">
                  <a:lumMod val="75000"/>
                </a:schemeClr>
              </a:solidFill>
            </a:rPr>
            <a:t>ĐVT:</a:t>
          </a:r>
          <a:r>
            <a:rPr lang="en-US" sz="1100" i="1" u="sng" kern="1200" baseline="0">
              <a:solidFill>
                <a:schemeClr val="accent2">
                  <a:lumMod val="75000"/>
                </a:schemeClr>
              </a:solidFill>
            </a:rPr>
            <a:t> tấn</a:t>
          </a:r>
          <a:endParaRPr lang="en-US" sz="1100" i="1" u="sng" kern="1200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403410</xdr:colOff>
      <xdr:row>30</xdr:row>
      <xdr:rowOff>82177</xdr:rowOff>
    </xdr:from>
    <xdr:to>
      <xdr:col>14</xdr:col>
      <xdr:colOff>500529</xdr:colOff>
      <xdr:row>50</xdr:row>
      <xdr:rowOff>82177</xdr:rowOff>
    </xdr:to>
    <xdr:graphicFrame macro="">
      <xdr:nvGraphicFramePr>
        <xdr:cNvPr id="2" name="Chart 44">
          <a:extLst>
            <a:ext uri="{FF2B5EF4-FFF2-40B4-BE49-F238E27FC236}">
              <a16:creationId xmlns:a16="http://schemas.microsoft.com/office/drawing/2014/main" id="{0D68722E-735C-4DBC-9310-D0B2859AB2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470647</xdr:colOff>
      <xdr:row>63</xdr:row>
      <xdr:rowOff>127000</xdr:rowOff>
    </xdr:from>
    <xdr:to>
      <xdr:col>19</xdr:col>
      <xdr:colOff>492380</xdr:colOff>
      <xdr:row>80</xdr:row>
      <xdr:rowOff>29882</xdr:rowOff>
    </xdr:to>
    <xdr:graphicFrame macro="">
      <xdr:nvGraphicFramePr>
        <xdr:cNvPr id="3" name="Chart 39">
          <a:extLst>
            <a:ext uri="{FF2B5EF4-FFF2-40B4-BE49-F238E27FC236}">
              <a16:creationId xmlns:a16="http://schemas.microsoft.com/office/drawing/2014/main" id="{D177D027-CF02-44FD-8FBF-0A70B5EBD1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14</xdr:row>
      <xdr:rowOff>114300</xdr:rowOff>
    </xdr:from>
    <xdr:to>
      <xdr:col>13</xdr:col>
      <xdr:colOff>666750</xdr:colOff>
      <xdr:row>28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0F2FFB-3B0F-4340-9652-CB5F7058AE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203200</xdr:colOff>
      <xdr:row>47</xdr:row>
      <xdr:rowOff>222250</xdr:rowOff>
    </xdr:from>
    <xdr:to>
      <xdr:col>13</xdr:col>
      <xdr:colOff>692150</xdr:colOff>
      <xdr:row>62</xdr:row>
      <xdr:rowOff>107950</xdr:rowOff>
    </xdr:to>
    <xdr:grpSp>
      <xdr:nvGrpSpPr>
        <xdr:cNvPr id="33" name="Group 2">
          <a:extLst>
            <a:ext uri="{FF2B5EF4-FFF2-40B4-BE49-F238E27FC236}">
              <a16:creationId xmlns:a16="http://schemas.microsoft.com/office/drawing/2014/main" id="{822939EB-1D24-C962-43D0-05A869965C4B}"/>
            </a:ext>
          </a:extLst>
        </xdr:cNvPr>
        <xdr:cNvGrpSpPr/>
      </xdr:nvGrpSpPr>
      <xdr:grpSpPr>
        <a:xfrm>
          <a:off x="203200" y="7550150"/>
          <a:ext cx="8940800" cy="2698750"/>
          <a:chOff x="203200" y="7569200"/>
          <a:chExt cx="8940800" cy="2698750"/>
        </a:xfrm>
      </xdr:grpSpPr>
      <xdr:graphicFrame macro="">
        <xdr:nvGraphicFramePr>
          <xdr:cNvPr id="34" name="Chart 6">
            <a:extLst>
              <a:ext uri="{FF2B5EF4-FFF2-40B4-BE49-F238E27FC236}">
                <a16:creationId xmlns:a16="http://schemas.microsoft.com/office/drawing/2014/main" id="{E34037E0-F563-4498-9310-C4F2D874E510}"/>
              </a:ext>
            </a:extLst>
          </xdr:cNvPr>
          <xdr:cNvGraphicFramePr>
            <a:graphicFrameLocks/>
          </xdr:cNvGraphicFramePr>
        </xdr:nvGraphicFramePr>
        <xdr:xfrm>
          <a:off x="203200" y="7569200"/>
          <a:ext cx="5505031" cy="26860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35" name="Chart 9">
            <a:extLst>
              <a:ext uri="{FF2B5EF4-FFF2-40B4-BE49-F238E27FC236}">
                <a16:creationId xmlns:a16="http://schemas.microsoft.com/office/drawing/2014/main" id="{A1E2F21F-4542-4B57-935E-6C369755CD85}"/>
              </a:ext>
            </a:extLst>
          </xdr:cNvPr>
          <xdr:cNvGraphicFramePr>
            <a:graphicFrameLocks/>
          </xdr:cNvGraphicFramePr>
        </xdr:nvGraphicFramePr>
        <xdr:xfrm>
          <a:off x="5768327" y="7569200"/>
          <a:ext cx="3375673" cy="26987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13</xdr:col>
      <xdr:colOff>691563</xdr:colOff>
      <xdr:row>47</xdr:row>
      <xdr:rowOff>228600</xdr:rowOff>
    </xdr:from>
    <xdr:to>
      <xdr:col>19</xdr:col>
      <xdr:colOff>209548</xdr:colOff>
      <xdr:row>62</xdr:row>
      <xdr:rowOff>114300</xdr:rowOff>
    </xdr:to>
    <xdr:graphicFrame macro="">
      <xdr:nvGraphicFramePr>
        <xdr:cNvPr id="32" name="Chart 10">
          <a:extLst>
            <a:ext uri="{FF2B5EF4-FFF2-40B4-BE49-F238E27FC236}">
              <a16:creationId xmlns:a16="http://schemas.microsoft.com/office/drawing/2014/main" id="{5186FB59-E4D3-43E3-9060-14667C9E9F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603250</xdr:colOff>
      <xdr:row>67</xdr:row>
      <xdr:rowOff>19050</xdr:rowOff>
    </xdr:from>
    <xdr:to>
      <xdr:col>10</xdr:col>
      <xdr:colOff>83135</xdr:colOff>
      <xdr:row>77</xdr:row>
      <xdr:rowOff>139700</xdr:rowOff>
    </xdr:to>
    <xdr:graphicFrame macro="">
      <xdr:nvGraphicFramePr>
        <xdr:cNvPr id="36" name="Chart 1">
          <a:extLst>
            <a:ext uri="{FF2B5EF4-FFF2-40B4-BE49-F238E27FC236}">
              <a16:creationId xmlns:a16="http://schemas.microsoft.com/office/drawing/2014/main" id="{C13456B7-0206-4D4D-A53D-B121D4897A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0.83562</cdr:x>
      <cdr:y>0.10782</cdr:y>
    </cdr:from>
    <cdr:to>
      <cdr:x>0.965</cdr:x>
      <cdr:y>0.20748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DF1A149-4EC5-BCC3-8B89-72E3A76212D3}"/>
            </a:ext>
          </a:extLst>
        </cdr:cNvPr>
        <cdr:cNvSpPr txBox="1"/>
      </cdr:nvSpPr>
      <cdr:spPr>
        <a:xfrm xmlns:a="http://schemas.openxmlformats.org/drawingml/2006/main">
          <a:off x="4600132" y="289622"/>
          <a:ext cx="712241" cy="2676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r>
            <a:rPr lang="en-US" sz="1100" i="1" u="none" kern="1200">
              <a:solidFill>
                <a:schemeClr val="accent2">
                  <a:lumMod val="75000"/>
                </a:schemeClr>
              </a:solidFill>
            </a:rPr>
            <a:t>ĐVT:</a:t>
          </a:r>
          <a:r>
            <a:rPr lang="en-US" sz="1100" i="1" u="none" kern="1200" baseline="0">
              <a:solidFill>
                <a:schemeClr val="accent2">
                  <a:lumMod val="75000"/>
                </a:schemeClr>
              </a:solidFill>
            </a:rPr>
            <a:t> tấn</a:t>
          </a:r>
          <a:endParaRPr lang="en-US" sz="1100" i="1" u="none" kern="1200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1494</xdr:rowOff>
    </xdr:from>
    <xdr:to>
      <xdr:col>7</xdr:col>
      <xdr:colOff>282575</xdr:colOff>
      <xdr:row>39</xdr:row>
      <xdr:rowOff>14194</xdr:rowOff>
    </xdr:to>
    <xdr:graphicFrame macro="">
      <xdr:nvGraphicFramePr>
        <xdr:cNvPr id="40" name="Chart 1">
          <a:extLst>
            <a:ext uri="{FF2B5EF4-FFF2-40B4-BE49-F238E27FC236}">
              <a16:creationId xmlns:a16="http://schemas.microsoft.com/office/drawing/2014/main" id="{CD5F9F92-6A9D-34E9-9DFA-E66C587B1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177801</xdr:colOff>
      <xdr:row>20</xdr:row>
      <xdr:rowOff>7844</xdr:rowOff>
    </xdr:from>
    <xdr:to>
      <xdr:col>16</xdr:col>
      <xdr:colOff>622301</xdr:colOff>
      <xdr:row>39</xdr:row>
      <xdr:rowOff>20544</xdr:rowOff>
    </xdr:to>
    <xdr:graphicFrame macro="">
      <xdr:nvGraphicFramePr>
        <xdr:cNvPr id="43" name="Chart 2">
          <a:extLst>
            <a:ext uri="{FF2B5EF4-FFF2-40B4-BE49-F238E27FC236}">
              <a16:creationId xmlns:a16="http://schemas.microsoft.com/office/drawing/2014/main" id="{65997AA9-00DD-4920-9373-E1C8798C5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381001</xdr:colOff>
          <xdr:row>12</xdr:row>
          <xdr:rowOff>123904</xdr:rowOff>
        </xdr:from>
        <xdr:to>
          <xdr:col>32</xdr:col>
          <xdr:colOff>335643</xdr:colOff>
          <xdr:row>18</xdr:row>
          <xdr:rowOff>177788</xdr:rowOff>
        </xdr:to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23DEA353-5B34-9A68-6FA9-0B101241251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L$16:$Q$19" spid="_x0000_s1090945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5294430" y="2836261"/>
              <a:ext cx="7883070" cy="140552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13608</xdr:colOff>
      <xdr:row>5</xdr:row>
      <xdr:rowOff>27215</xdr:rowOff>
    </xdr:from>
    <xdr:to>
      <xdr:col>7</xdr:col>
      <xdr:colOff>141953</xdr:colOff>
      <xdr:row>21</xdr:row>
      <xdr:rowOff>22063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D6369F-AFB4-E16F-3FD9-108C1AB53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8" y="1034144"/>
          <a:ext cx="3775058" cy="2897705"/>
        </a:xfrm>
        <a:prstGeom prst="rect">
          <a:avLst/>
        </a:prstGeom>
      </xdr:spPr>
    </xdr:pic>
    <xdr:clientData/>
  </xdr:twoCellAnchor>
  <xdr:twoCellAnchor editAs="oneCell">
    <xdr:from>
      <xdr:col>7</xdr:col>
      <xdr:colOff>158750</xdr:colOff>
      <xdr:row>5</xdr:row>
      <xdr:rowOff>33563</xdr:rowOff>
    </xdr:from>
    <xdr:to>
      <xdr:col>16</xdr:col>
      <xdr:colOff>100074</xdr:colOff>
      <xdr:row>21</xdr:row>
      <xdr:rowOff>54427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2AB698-5A18-E612-8FA8-434B07BB7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05464" y="1040492"/>
          <a:ext cx="5411396" cy="2923721"/>
        </a:xfrm>
        <a:prstGeom prst="rect">
          <a:avLst/>
        </a:prstGeom>
      </xdr:spPr>
    </xdr:pic>
    <xdr:clientData/>
  </xdr:twoCellAnchor>
  <xdr:twoCellAnchor editAs="oneCell">
    <xdr:from>
      <xdr:col>16</xdr:col>
      <xdr:colOff>91460</xdr:colOff>
      <xdr:row>5</xdr:row>
      <xdr:rowOff>29883</xdr:rowOff>
    </xdr:from>
    <xdr:to>
      <xdr:col>21</xdr:col>
      <xdr:colOff>478116</xdr:colOff>
      <xdr:row>21</xdr:row>
      <xdr:rowOff>52294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21B4FB-BEBF-45E0-1B5A-2BD976D9F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0284" y="1045883"/>
          <a:ext cx="3449597" cy="3010646"/>
        </a:xfrm>
        <a:prstGeom prst="rect">
          <a:avLst/>
        </a:prstGeom>
      </xdr:spPr>
    </xdr:pic>
    <xdr:clientData/>
  </xdr:twoCellAnchor>
  <xdr:twoCellAnchor>
    <xdr:from>
      <xdr:col>21</xdr:col>
      <xdr:colOff>453037</xdr:colOff>
      <xdr:row>5</xdr:row>
      <xdr:rowOff>36980</xdr:rowOff>
    </xdr:from>
    <xdr:to>
      <xdr:col>27</xdr:col>
      <xdr:colOff>205386</xdr:colOff>
      <xdr:row>21</xdr:row>
      <xdr:rowOff>29883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4E33DD-DF8E-4049-BB16-0EE6AD8BD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7471</xdr:colOff>
      <xdr:row>25</xdr:row>
      <xdr:rowOff>22346</xdr:rowOff>
    </xdr:from>
    <xdr:to>
      <xdr:col>7</xdr:col>
      <xdr:colOff>127001</xdr:colOff>
      <xdr:row>39</xdr:row>
      <xdr:rowOff>112059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F45D39-D6B3-AB53-F291-68EB00942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71" y="4810993"/>
          <a:ext cx="3795058" cy="2704419"/>
        </a:xfrm>
        <a:prstGeom prst="rect">
          <a:avLst/>
        </a:prstGeom>
      </xdr:spPr>
    </xdr:pic>
    <xdr:clientData/>
  </xdr:twoCellAnchor>
  <xdr:twoCellAnchor editAs="oneCell">
    <xdr:from>
      <xdr:col>7</xdr:col>
      <xdr:colOff>134471</xdr:colOff>
      <xdr:row>25</xdr:row>
      <xdr:rowOff>14941</xdr:rowOff>
    </xdr:from>
    <xdr:to>
      <xdr:col>26</xdr:col>
      <xdr:colOff>505454</xdr:colOff>
      <xdr:row>39</xdr:row>
      <xdr:rowOff>113190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D1F6EF-7312-1FD6-182A-8DCE845AD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0" y="4803588"/>
          <a:ext cx="12010161" cy="2712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104587</xdr:rowOff>
    </xdr:from>
    <xdr:to>
      <xdr:col>7</xdr:col>
      <xdr:colOff>127001</xdr:colOff>
      <xdr:row>56</xdr:row>
      <xdr:rowOff>112059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0A01B6-156C-87BD-206F-57FAA77CC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05587"/>
          <a:ext cx="3802529" cy="2622178"/>
        </a:xfrm>
        <a:prstGeom prst="rect">
          <a:avLst/>
        </a:prstGeom>
      </xdr:spPr>
    </xdr:pic>
    <xdr:clientData/>
  </xdr:twoCellAnchor>
  <xdr:twoCellAnchor editAs="oneCell">
    <xdr:from>
      <xdr:col>7</xdr:col>
      <xdr:colOff>239059</xdr:colOff>
      <xdr:row>42</xdr:row>
      <xdr:rowOff>52294</xdr:rowOff>
    </xdr:from>
    <xdr:to>
      <xdr:col>27</xdr:col>
      <xdr:colOff>40131</xdr:colOff>
      <xdr:row>56</xdr:row>
      <xdr:rowOff>150543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A28DC-0F1B-8542-711E-4FFAFEC47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14588" y="8053294"/>
          <a:ext cx="12052837" cy="2712955"/>
        </a:xfrm>
        <a:prstGeom prst="rect">
          <a:avLst/>
        </a:prstGeom>
      </xdr:spPr>
    </xdr:pic>
    <xdr:clientData/>
  </xdr:twoCellAnchor>
  <xdr:twoCellAnchor editAs="oneCell">
    <xdr:from>
      <xdr:col>7</xdr:col>
      <xdr:colOff>480786</xdr:colOff>
      <xdr:row>61</xdr:row>
      <xdr:rowOff>117929</xdr:rowOff>
    </xdr:from>
    <xdr:to>
      <xdr:col>27</xdr:col>
      <xdr:colOff>341328</xdr:colOff>
      <xdr:row>76</xdr:row>
      <xdr:rowOff>66779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4684F2B-8619-4076-0DB0-AFBB084BB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27500" y="11420929"/>
          <a:ext cx="12016257" cy="2670279"/>
        </a:xfrm>
        <a:prstGeom prst="rect">
          <a:avLst/>
        </a:prstGeom>
      </xdr:spPr>
    </xdr:pic>
    <xdr:clientData/>
  </xdr:twoCellAnchor>
  <xdr:twoCellAnchor editAs="oneCell">
    <xdr:from>
      <xdr:col>28</xdr:col>
      <xdr:colOff>440765</xdr:colOff>
      <xdr:row>58</xdr:row>
      <xdr:rowOff>169096</xdr:rowOff>
    </xdr:from>
    <xdr:to>
      <xdr:col>46</xdr:col>
      <xdr:colOff>224751</xdr:colOff>
      <xdr:row>75</xdr:row>
      <xdr:rowOff>37353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8CA6989-033D-2E73-DC1C-2C73B4F4A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092706" y="11158331"/>
          <a:ext cx="10810574" cy="30806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149413</xdr:rowOff>
    </xdr:from>
    <xdr:to>
      <xdr:col>7</xdr:col>
      <xdr:colOff>522941</xdr:colOff>
      <xdr:row>76</xdr:row>
      <xdr:rowOff>30414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1149CA2-C650-7F3A-1DC5-82FC5E129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736295"/>
          <a:ext cx="4310529" cy="2682472"/>
        </a:xfrm>
        <a:prstGeom prst="rect">
          <a:avLst/>
        </a:prstGeom>
      </xdr:spPr>
    </xdr:pic>
    <xdr:clientData/>
  </xdr:twoCellAnchor>
  <xdr:twoCellAnchor editAs="oneCell">
    <xdr:from>
      <xdr:col>0</xdr:col>
      <xdr:colOff>52294</xdr:colOff>
      <xdr:row>80</xdr:row>
      <xdr:rowOff>68404</xdr:rowOff>
    </xdr:from>
    <xdr:to>
      <xdr:col>8</xdr:col>
      <xdr:colOff>402972</xdr:colOff>
      <xdr:row>93</xdr:row>
      <xdr:rowOff>164353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736FA6D-7E19-A9E5-EDB5-4B04DC7C1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294" y="15241169"/>
          <a:ext cx="4750854" cy="2523890"/>
        </a:xfrm>
        <a:prstGeom prst="rect">
          <a:avLst/>
        </a:prstGeom>
      </xdr:spPr>
    </xdr:pic>
    <xdr:clientData/>
  </xdr:twoCellAnchor>
  <xdr:twoCellAnchor editAs="oneCell">
    <xdr:from>
      <xdr:col>8</xdr:col>
      <xdr:colOff>493060</xdr:colOff>
      <xdr:row>80</xdr:row>
      <xdr:rowOff>59763</xdr:rowOff>
    </xdr:from>
    <xdr:to>
      <xdr:col>23</xdr:col>
      <xdr:colOff>71044</xdr:colOff>
      <xdr:row>94</xdr:row>
      <xdr:rowOff>158012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E8C7D5D-9264-6D45-E0E6-90A8C5030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93236" y="15232528"/>
          <a:ext cx="8766808" cy="2712955"/>
        </a:xfrm>
        <a:prstGeom prst="rect">
          <a:avLst/>
        </a:prstGeom>
      </xdr:spPr>
    </xdr:pic>
    <xdr:clientData/>
  </xdr:twoCellAnchor>
  <xdr:twoCellAnchor editAs="oneCell">
    <xdr:from>
      <xdr:col>22</xdr:col>
      <xdr:colOff>575236</xdr:colOff>
      <xdr:row>80</xdr:row>
      <xdr:rowOff>67236</xdr:rowOff>
    </xdr:from>
    <xdr:to>
      <xdr:col>28</xdr:col>
      <xdr:colOff>380825</xdr:colOff>
      <xdr:row>94</xdr:row>
      <xdr:rowOff>165485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07D54E7-AF41-EA46-A655-2B1090019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51648" y="15240001"/>
          <a:ext cx="3481118" cy="2712955"/>
        </a:xfrm>
        <a:prstGeom prst="rect">
          <a:avLst/>
        </a:prstGeom>
      </xdr:spPr>
    </xdr:pic>
    <xdr:clientData/>
  </xdr:twoCellAnchor>
  <xdr:twoCellAnchor editAs="oneCell">
    <xdr:from>
      <xdr:col>28</xdr:col>
      <xdr:colOff>545353</xdr:colOff>
      <xdr:row>79</xdr:row>
      <xdr:rowOff>224117</xdr:rowOff>
    </xdr:from>
    <xdr:to>
      <xdr:col>45</xdr:col>
      <xdr:colOff>260019</xdr:colOff>
      <xdr:row>95</xdr:row>
      <xdr:rowOff>3538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92D81A8-61CB-6B75-2628-E4B96FC8C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197294" y="15172764"/>
          <a:ext cx="10128666" cy="2805009"/>
        </a:xfrm>
        <a:prstGeom prst="rect">
          <a:avLst/>
        </a:prstGeom>
      </xdr:spPr>
    </xdr:pic>
    <xdr:clientData/>
  </xdr:twoCellAnchor>
  <xdr:twoCellAnchor editAs="oneCell">
    <xdr:from>
      <xdr:col>0</xdr:col>
      <xdr:colOff>44824</xdr:colOff>
      <xdr:row>96</xdr:row>
      <xdr:rowOff>139029</xdr:rowOff>
    </xdr:from>
    <xdr:to>
      <xdr:col>8</xdr:col>
      <xdr:colOff>164354</xdr:colOff>
      <xdr:row>108</xdr:row>
      <xdr:rowOff>175703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326359-8A40-CA60-517C-1033BCAE5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4824" y="18337382"/>
          <a:ext cx="4519706" cy="2277850"/>
        </a:xfrm>
        <a:prstGeom prst="rect">
          <a:avLst/>
        </a:prstGeom>
      </xdr:spPr>
    </xdr:pic>
    <xdr:clientData/>
  </xdr:twoCellAnchor>
  <xdr:twoCellAnchor editAs="oneCell">
    <xdr:from>
      <xdr:col>8</xdr:col>
      <xdr:colOff>336177</xdr:colOff>
      <xdr:row>96</xdr:row>
      <xdr:rowOff>119529</xdr:rowOff>
    </xdr:from>
    <xdr:to>
      <xdr:col>28</xdr:col>
      <xdr:colOff>448172</xdr:colOff>
      <xdr:row>111</xdr:row>
      <xdr:rowOff>31013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8706B2B-E6BE-8B66-F5B7-D1D2449FB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36353" y="18317882"/>
          <a:ext cx="12363760" cy="2712955"/>
        </a:xfrm>
        <a:prstGeom prst="rect">
          <a:avLst/>
        </a:prstGeom>
      </xdr:spPr>
    </xdr:pic>
    <xdr:clientData/>
  </xdr:twoCellAnchor>
  <xdr:twoCellAnchor editAs="oneCell">
    <xdr:from>
      <xdr:col>28</xdr:col>
      <xdr:colOff>575234</xdr:colOff>
      <xdr:row>95</xdr:row>
      <xdr:rowOff>142175</xdr:rowOff>
    </xdr:from>
    <xdr:to>
      <xdr:col>47</xdr:col>
      <xdr:colOff>506546</xdr:colOff>
      <xdr:row>112</xdr:row>
      <xdr:rowOff>134126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B612A40-0A86-25CE-E2A2-52F040345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227175" y="18116410"/>
          <a:ext cx="11570489" cy="3204304"/>
        </a:xfrm>
        <a:prstGeom prst="rect">
          <a:avLst/>
        </a:prstGeom>
      </xdr:spPr>
    </xdr:pic>
    <xdr:clientData/>
  </xdr:twoCellAnchor>
  <xdr:twoCellAnchor editAs="oneCell">
    <xdr:from>
      <xdr:col>1</xdr:col>
      <xdr:colOff>14942</xdr:colOff>
      <xdr:row>113</xdr:row>
      <xdr:rowOff>46659</xdr:rowOff>
    </xdr:from>
    <xdr:to>
      <xdr:col>7</xdr:col>
      <xdr:colOff>582707</xdr:colOff>
      <xdr:row>124</xdr:row>
      <xdr:rowOff>140324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283546-FB43-ECB9-0308-C1109E9A9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7001" y="21457365"/>
          <a:ext cx="4243294" cy="2148077"/>
        </a:xfrm>
        <a:prstGeom prst="rect">
          <a:avLst/>
        </a:prstGeom>
      </xdr:spPr>
    </xdr:pic>
    <xdr:clientData/>
  </xdr:twoCellAnchor>
  <xdr:twoCellAnchor editAs="oneCell">
    <xdr:from>
      <xdr:col>8</xdr:col>
      <xdr:colOff>507751</xdr:colOff>
      <xdr:row>113</xdr:row>
      <xdr:rowOff>29883</xdr:rowOff>
    </xdr:from>
    <xdr:to>
      <xdr:col>23</xdr:col>
      <xdr:colOff>7470</xdr:colOff>
      <xdr:row>127</xdr:row>
      <xdr:rowOff>89490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79C580-E843-1E56-ACF6-A72B934E9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907927" y="21440589"/>
          <a:ext cx="8688543" cy="2674313"/>
        </a:xfrm>
        <a:prstGeom prst="rect">
          <a:avLst/>
        </a:prstGeom>
      </xdr:spPr>
    </xdr:pic>
    <xdr:clientData/>
  </xdr:twoCellAnchor>
  <xdr:twoCellAnchor editAs="oneCell">
    <xdr:from>
      <xdr:col>23</xdr:col>
      <xdr:colOff>7471</xdr:colOff>
      <xdr:row>113</xdr:row>
      <xdr:rowOff>37354</xdr:rowOff>
    </xdr:from>
    <xdr:to>
      <xdr:col>28</xdr:col>
      <xdr:colOff>358590</xdr:colOff>
      <xdr:row>127</xdr:row>
      <xdr:rowOff>103847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6F7DE66-8D20-F7A8-EC62-457AEA359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596471" y="21448060"/>
          <a:ext cx="3414060" cy="2681199"/>
        </a:xfrm>
        <a:prstGeom prst="rect">
          <a:avLst/>
        </a:prstGeom>
      </xdr:spPr>
    </xdr:pic>
    <xdr:clientData/>
  </xdr:twoCellAnchor>
  <xdr:twoCellAnchor editAs="oneCell">
    <xdr:from>
      <xdr:col>28</xdr:col>
      <xdr:colOff>612587</xdr:colOff>
      <xdr:row>113</xdr:row>
      <xdr:rowOff>67236</xdr:rowOff>
    </xdr:from>
    <xdr:to>
      <xdr:col>47</xdr:col>
      <xdr:colOff>590175</xdr:colOff>
      <xdr:row>129</xdr:row>
      <xdr:rowOff>69924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5131678-8168-BF18-BFBC-EE52D3206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264528" y="21477942"/>
          <a:ext cx="11616765" cy="2990923"/>
        </a:xfrm>
        <a:prstGeom prst="rect">
          <a:avLst/>
        </a:prstGeom>
      </xdr:spPr>
    </xdr:pic>
    <xdr:clientData/>
  </xdr:twoCellAnchor>
  <xdr:twoCellAnchor editAs="oneCell">
    <xdr:from>
      <xdr:col>39</xdr:col>
      <xdr:colOff>25520</xdr:colOff>
      <xdr:row>132</xdr:row>
      <xdr:rowOff>29883</xdr:rowOff>
    </xdr:from>
    <xdr:to>
      <xdr:col>48</xdr:col>
      <xdr:colOff>35788</xdr:colOff>
      <xdr:row>148</xdr:row>
      <xdr:rowOff>138953</xdr:rowOff>
    </xdr:to>
    <xdr:pic>
      <xdr:nvPicPr>
        <xdr:cNvPr id="26" name="Picture 12">
          <a:extLst>
            <a:ext uri="{FF2B5EF4-FFF2-40B4-BE49-F238E27FC236}">
              <a16:creationId xmlns:a16="http://schemas.microsoft.com/office/drawing/2014/main" id="{51540A4E-0861-8965-D212-D569DD74A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415932" y="25026471"/>
          <a:ext cx="5496668" cy="3055470"/>
        </a:xfrm>
        <a:prstGeom prst="rect">
          <a:avLst/>
        </a:prstGeom>
      </xdr:spPr>
    </xdr:pic>
    <xdr:clientData/>
  </xdr:twoCellAnchor>
  <xdr:twoCellAnchor editAs="oneCell">
    <xdr:from>
      <xdr:col>28</xdr:col>
      <xdr:colOff>561368</xdr:colOff>
      <xdr:row>132</xdr:row>
      <xdr:rowOff>52294</xdr:rowOff>
    </xdr:from>
    <xdr:to>
      <xdr:col>38</xdr:col>
      <xdr:colOff>56851</xdr:colOff>
      <xdr:row>149</xdr:row>
      <xdr:rowOff>6147</xdr:rowOff>
    </xdr:to>
    <xdr:pic>
      <xdr:nvPicPr>
        <xdr:cNvPr id="33" name="Picture 13">
          <a:extLst>
            <a:ext uri="{FF2B5EF4-FFF2-40B4-BE49-F238E27FC236}">
              <a16:creationId xmlns:a16="http://schemas.microsoft.com/office/drawing/2014/main" id="{77897B17-1B71-C699-5276-4CF49498F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213309" y="25048882"/>
          <a:ext cx="5591483" cy="3084403"/>
        </a:xfrm>
        <a:prstGeom prst="rect">
          <a:avLst/>
        </a:prstGeom>
      </xdr:spPr>
    </xdr:pic>
    <xdr:clientData/>
  </xdr:twoCellAnchor>
  <xdr:twoCellAnchor editAs="oneCell">
    <xdr:from>
      <xdr:col>9</xdr:col>
      <xdr:colOff>89648</xdr:colOff>
      <xdr:row>132</xdr:row>
      <xdr:rowOff>38782</xdr:rowOff>
    </xdr:from>
    <xdr:to>
      <xdr:col>28</xdr:col>
      <xdr:colOff>378012</xdr:colOff>
      <xdr:row>146</xdr:row>
      <xdr:rowOff>52679</xdr:rowOff>
    </xdr:to>
    <xdr:pic>
      <xdr:nvPicPr>
        <xdr:cNvPr id="37" name="Picture 14">
          <a:extLst>
            <a:ext uri="{FF2B5EF4-FFF2-40B4-BE49-F238E27FC236}">
              <a16:creationId xmlns:a16="http://schemas.microsoft.com/office/drawing/2014/main" id="{C1B1B242-0547-270D-CEDE-E199C19C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102413" y="25035370"/>
          <a:ext cx="11870764" cy="2591997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132</xdr:row>
      <xdr:rowOff>1</xdr:rowOff>
    </xdr:from>
    <xdr:to>
      <xdr:col>8</xdr:col>
      <xdr:colOff>575083</xdr:colOff>
      <xdr:row>146</xdr:row>
      <xdr:rowOff>29137</xdr:rowOff>
    </xdr:to>
    <xdr:pic>
      <xdr:nvPicPr>
        <xdr:cNvPr id="44" name="Picture 18">
          <a:extLst>
            <a:ext uri="{FF2B5EF4-FFF2-40B4-BE49-F238E27FC236}">
              <a16:creationId xmlns:a16="http://schemas.microsoft.com/office/drawing/2014/main" id="{0575BAA7-2FD4-5CCD-D48B-99EF0AD49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647" y="24996589"/>
          <a:ext cx="4866936" cy="260723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47624</xdr:colOff>
      <xdr:row>35</xdr:row>
      <xdr:rowOff>19050</xdr:rowOff>
    </xdr:from>
    <xdr:to>
      <xdr:col>9</xdr:col>
      <xdr:colOff>317500</xdr:colOff>
      <xdr:row>52</xdr:row>
      <xdr:rowOff>6350</xdr:rowOff>
    </xdr:to>
    <xdr:grpSp>
      <xdr:nvGrpSpPr>
        <xdr:cNvPr id="26" name="Group 1">
          <a:extLst>
            <a:ext uri="{FF2B5EF4-FFF2-40B4-BE49-F238E27FC236}">
              <a16:creationId xmlns:a16="http://schemas.microsoft.com/office/drawing/2014/main" id="{D584AF2D-3B32-7E4B-C15D-993369D192C9}"/>
            </a:ext>
          </a:extLst>
        </xdr:cNvPr>
        <xdr:cNvGrpSpPr/>
      </xdr:nvGrpSpPr>
      <xdr:grpSpPr>
        <a:xfrm>
          <a:off x="422274" y="7664450"/>
          <a:ext cx="6829426" cy="3422650"/>
          <a:chOff x="422274" y="1911350"/>
          <a:chExt cx="5292726" cy="3117850"/>
        </a:xfrm>
      </xdr:grpSpPr>
      <xdr:graphicFrame macro="">
        <xdr:nvGraphicFramePr>
          <xdr:cNvPr id="27" name="Chart 2">
            <a:extLst>
              <a:ext uri="{FF2B5EF4-FFF2-40B4-BE49-F238E27FC236}">
                <a16:creationId xmlns:a16="http://schemas.microsoft.com/office/drawing/2014/main" id="{BD4B2ABD-0C98-380E-E21E-A384CF95741A}"/>
              </a:ext>
            </a:extLst>
          </xdr:cNvPr>
          <xdr:cNvGraphicFramePr/>
        </xdr:nvGraphicFramePr>
        <xdr:xfrm>
          <a:off x="422274" y="1911350"/>
          <a:ext cx="5292726" cy="3117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28" name="TextBox 1">
            <a:extLst>
              <a:ext uri="{FF2B5EF4-FFF2-40B4-BE49-F238E27FC236}">
                <a16:creationId xmlns:a16="http://schemas.microsoft.com/office/drawing/2014/main" id="{2FBF4021-5663-7A7C-5354-47F44E9ED9F2}"/>
              </a:ext>
            </a:extLst>
          </xdr:cNvPr>
          <xdr:cNvSpPr txBox="1"/>
        </xdr:nvSpPr>
        <xdr:spPr>
          <a:xfrm>
            <a:off x="4525113" y="2075172"/>
            <a:ext cx="800100" cy="3048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100" b="0" u="sng">
                <a:solidFill>
                  <a:schemeClr val="accent2">
                    <a:lumMod val="75000"/>
                  </a:schemeClr>
                </a:solidFill>
              </a:rPr>
              <a:t>Đvt: tấn</a:t>
            </a:r>
            <a:endParaRPr lang="en-US" sz="1100" b="0" u="sng">
              <a:solidFill>
                <a:schemeClr val="accent2">
                  <a:lumMod val="75000"/>
                </a:schemeClr>
              </a:solidFill>
            </a:endParaRPr>
          </a:p>
        </xdr:txBody>
      </xdr:sp>
    </xdr:grpSp>
    <xdr:clientData/>
  </xdr:twoCellAnchor>
  <xdr:twoCellAnchor>
    <xdr:from>
      <xdr:col>0</xdr:col>
      <xdr:colOff>349248</xdr:colOff>
      <xdr:row>77</xdr:row>
      <xdr:rowOff>171450</xdr:rowOff>
    </xdr:from>
    <xdr:to>
      <xdr:col>9</xdr:col>
      <xdr:colOff>299356</xdr:colOff>
      <xdr:row>96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059402-AD13-4383-BEDF-B951FC721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223157</xdr:colOff>
          <xdr:row>68</xdr:row>
          <xdr:rowOff>45356</xdr:rowOff>
        </xdr:from>
        <xdr:to>
          <xdr:col>16</xdr:col>
          <xdr:colOff>106295</xdr:colOff>
          <xdr:row>73</xdr:row>
          <xdr:rowOff>127534</xdr:rowOff>
        </xdr:to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E617A447-66A9-D962-B8CA-4028A98591F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70:$G$76" spid="_x0000_s1067427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6772728" y="8264070"/>
              <a:ext cx="4572000" cy="1542144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6</xdr:col>
      <xdr:colOff>165314</xdr:colOff>
      <xdr:row>70</xdr:row>
      <xdr:rowOff>37191</xdr:rowOff>
    </xdr:from>
    <xdr:to>
      <xdr:col>6</xdr:col>
      <xdr:colOff>336764</xdr:colOff>
      <xdr:row>73</xdr:row>
      <xdr:rowOff>14513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47C3FA97-2487-31AB-7EFE-F5930E950910}"/>
            </a:ext>
          </a:extLst>
        </xdr:cNvPr>
        <xdr:cNvSpPr/>
      </xdr:nvSpPr>
      <xdr:spPr>
        <a:xfrm>
          <a:off x="4819490" y="7433073"/>
          <a:ext cx="171450" cy="537616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185964</xdr:colOff>
      <xdr:row>70</xdr:row>
      <xdr:rowOff>48079</xdr:rowOff>
    </xdr:from>
    <xdr:to>
      <xdr:col>2</xdr:col>
      <xdr:colOff>325664</xdr:colOff>
      <xdr:row>72</xdr:row>
      <xdr:rowOff>178707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BFA2B944-1EB1-4556-B7C3-3FF21A383141}"/>
            </a:ext>
          </a:extLst>
        </xdr:cNvPr>
        <xdr:cNvSpPr/>
      </xdr:nvSpPr>
      <xdr:spPr>
        <a:xfrm rot="10800000">
          <a:off x="1310821" y="8820150"/>
          <a:ext cx="139700" cy="493486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51</xdr:col>
      <xdr:colOff>69851</xdr:colOff>
      <xdr:row>3</xdr:row>
      <xdr:rowOff>12701</xdr:rowOff>
    </xdr:from>
    <xdr:to>
      <xdr:col>56</xdr:col>
      <xdr:colOff>180668</xdr:colOff>
      <xdr:row>13</xdr:row>
      <xdr:rowOff>69851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69A410-CEF5-6E72-7C96-FD175FFCF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39951" y="615951"/>
          <a:ext cx="3158816" cy="1898650"/>
        </a:xfrm>
        <a:prstGeom prst="rect">
          <a:avLst/>
        </a:prstGeom>
      </xdr:spPr>
    </xdr:pic>
    <xdr:clientData/>
  </xdr:twoCellAnchor>
  <xdr:twoCellAnchor editAs="oneCell">
    <xdr:from>
      <xdr:col>45</xdr:col>
      <xdr:colOff>596901</xdr:colOff>
      <xdr:row>3</xdr:row>
      <xdr:rowOff>6351</xdr:rowOff>
    </xdr:from>
    <xdr:to>
      <xdr:col>51</xdr:col>
      <xdr:colOff>66421</xdr:colOff>
      <xdr:row>13</xdr:row>
      <xdr:rowOff>44451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52DDBF-BEFC-0BB4-89FA-1D8C04650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09401" y="609601"/>
          <a:ext cx="3127121" cy="1879600"/>
        </a:xfrm>
        <a:prstGeom prst="rect">
          <a:avLst/>
        </a:prstGeom>
      </xdr:spPr>
    </xdr:pic>
    <xdr:clientData/>
  </xdr:twoCellAnchor>
  <xdr:twoCellAnchor editAs="oneCell">
    <xdr:from>
      <xdr:col>41</xdr:col>
      <xdr:colOff>6350</xdr:colOff>
      <xdr:row>3</xdr:row>
      <xdr:rowOff>12700</xdr:rowOff>
    </xdr:from>
    <xdr:to>
      <xdr:col>45</xdr:col>
      <xdr:colOff>584201</xdr:colOff>
      <xdr:row>13</xdr:row>
      <xdr:rowOff>37071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E2F745-FE01-3F5D-F77A-1010F14A8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42350" y="615950"/>
          <a:ext cx="3054350" cy="1865871"/>
        </a:xfrm>
        <a:prstGeom prst="rect">
          <a:avLst/>
        </a:prstGeom>
      </xdr:spPr>
    </xdr:pic>
    <xdr:clientData/>
  </xdr:twoCellAnchor>
  <xdr:twoCellAnchor editAs="oneCell">
    <xdr:from>
      <xdr:col>35</xdr:col>
      <xdr:colOff>600602</xdr:colOff>
      <xdr:row>2</xdr:row>
      <xdr:rowOff>171451</xdr:rowOff>
    </xdr:from>
    <xdr:to>
      <xdr:col>40</xdr:col>
      <xdr:colOff>613647</xdr:colOff>
      <xdr:row>13</xdr:row>
      <xdr:rowOff>50800</xdr:rowOff>
    </xdr:to>
    <xdr:pic>
      <xdr:nvPicPr>
        <xdr:cNvPr id="4" name="Picture 5">
          <a:extLst>
            <a:ext uri="{FF2B5EF4-FFF2-40B4-BE49-F238E27FC236}">
              <a16:creationId xmlns:a16="http://schemas.microsoft.com/office/drawing/2014/main" id="{1308A5A8-3F56-33A0-0E62-B4D449D50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4702" y="590551"/>
          <a:ext cx="3156296" cy="1904999"/>
        </a:xfrm>
        <a:prstGeom prst="rect">
          <a:avLst/>
        </a:prstGeom>
      </xdr:spPr>
    </xdr:pic>
    <xdr:clientData/>
  </xdr:twoCellAnchor>
  <xdr:twoCellAnchor editAs="oneCell">
    <xdr:from>
      <xdr:col>35</xdr:col>
      <xdr:colOff>622301</xdr:colOff>
      <xdr:row>14</xdr:row>
      <xdr:rowOff>19844</xdr:rowOff>
    </xdr:from>
    <xdr:to>
      <xdr:col>42</xdr:col>
      <xdr:colOff>222250</xdr:colOff>
      <xdr:row>25</xdr:row>
      <xdr:rowOff>44449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41895D7-661C-987F-4E86-9FDEB3A65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1" y="2648744"/>
          <a:ext cx="4000499" cy="2050255"/>
        </a:xfrm>
        <a:prstGeom prst="rect">
          <a:avLst/>
        </a:prstGeom>
      </xdr:spPr>
    </xdr:pic>
    <xdr:clientData/>
  </xdr:twoCellAnchor>
  <xdr:twoCellAnchor editAs="oneCell">
    <xdr:from>
      <xdr:col>30</xdr:col>
      <xdr:colOff>50800</xdr:colOff>
      <xdr:row>13</xdr:row>
      <xdr:rowOff>177800</xdr:rowOff>
    </xdr:from>
    <xdr:to>
      <xdr:col>35</xdr:col>
      <xdr:colOff>154431</xdr:colOff>
      <xdr:row>23</xdr:row>
      <xdr:rowOff>174035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25D2C2A-4579-23F9-FB8C-7B4278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1650" y="2622550"/>
          <a:ext cx="3246881" cy="1837735"/>
        </a:xfrm>
        <a:prstGeom prst="rect">
          <a:avLst/>
        </a:prstGeom>
      </xdr:spPr>
    </xdr:pic>
    <xdr:clientData/>
  </xdr:twoCellAnchor>
  <xdr:twoCellAnchor editAs="oneCell">
    <xdr:from>
      <xdr:col>30</xdr:col>
      <xdr:colOff>187740</xdr:colOff>
      <xdr:row>3</xdr:row>
      <xdr:rowOff>0</xdr:rowOff>
    </xdr:from>
    <xdr:to>
      <xdr:col>36</xdr:col>
      <xdr:colOff>1338</xdr:colOff>
      <xdr:row>13</xdr:row>
      <xdr:rowOff>66261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EC7A2F-AE04-D38B-1A8B-7A86D8085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10523" y="601870"/>
          <a:ext cx="3590468" cy="1888434"/>
        </a:xfrm>
        <a:prstGeom prst="rect">
          <a:avLst/>
        </a:prstGeom>
      </xdr:spPr>
    </xdr:pic>
    <xdr:clientData/>
  </xdr:twoCellAnchor>
  <xdr:twoCellAnchor editAs="oneCell">
    <xdr:from>
      <xdr:col>22</xdr:col>
      <xdr:colOff>9370</xdr:colOff>
      <xdr:row>3</xdr:row>
      <xdr:rowOff>38375</xdr:rowOff>
    </xdr:from>
    <xdr:to>
      <xdr:col>30</xdr:col>
      <xdr:colOff>138</xdr:colOff>
      <xdr:row>13</xdr:row>
      <xdr:rowOff>108434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37C1A2-A07F-62DB-5D36-42495C724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44870" y="641625"/>
          <a:ext cx="4029368" cy="1911559"/>
        </a:xfrm>
        <a:prstGeom prst="rect">
          <a:avLst/>
        </a:prstGeom>
      </xdr:spPr>
    </xdr:pic>
    <xdr:clientData/>
  </xdr:twoCellAnchor>
  <xdr:twoCellAnchor editAs="oneCell">
    <xdr:from>
      <xdr:col>22</xdr:col>
      <xdr:colOff>132521</xdr:colOff>
      <xdr:row>14</xdr:row>
      <xdr:rowOff>11044</xdr:rowOff>
    </xdr:from>
    <xdr:to>
      <xdr:col>29</xdr:col>
      <xdr:colOff>567391</xdr:colOff>
      <xdr:row>24</xdr:row>
      <xdr:rowOff>87322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555160-29BA-5FFF-C3E6-CBB01F943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6347" y="2617305"/>
          <a:ext cx="3847305" cy="1898452"/>
        </a:xfrm>
        <a:prstGeom prst="rect">
          <a:avLst/>
        </a:prstGeom>
      </xdr:spPr>
    </xdr:pic>
    <xdr:clientData/>
  </xdr:twoCellAnchor>
  <xdr:twoCellAnchor editAs="oneCell">
    <xdr:from>
      <xdr:col>12</xdr:col>
      <xdr:colOff>431800</xdr:colOff>
      <xdr:row>3</xdr:row>
      <xdr:rowOff>64391</xdr:rowOff>
    </xdr:from>
    <xdr:to>
      <xdr:col>21</xdr:col>
      <xdr:colOff>425450</xdr:colOff>
      <xdr:row>13</xdr:row>
      <xdr:rowOff>139700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9D6FB2B-9919-D7EF-EA0F-CD4B388A4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667641"/>
          <a:ext cx="4165600" cy="1916809"/>
        </a:xfrm>
        <a:prstGeom prst="rect">
          <a:avLst/>
        </a:prstGeom>
      </xdr:spPr>
    </xdr:pic>
    <xdr:clientData/>
  </xdr:twoCellAnchor>
  <xdr:twoCellAnchor editAs="oneCell">
    <xdr:from>
      <xdr:col>12</xdr:col>
      <xdr:colOff>419098</xdr:colOff>
      <xdr:row>14</xdr:row>
      <xdr:rowOff>28358</xdr:rowOff>
    </xdr:from>
    <xdr:to>
      <xdr:col>21</xdr:col>
      <xdr:colOff>424991</xdr:colOff>
      <xdr:row>25</xdr:row>
      <xdr:rowOff>25400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B1BFB48-21DC-F812-7F9C-681CAADA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2648" y="2657258"/>
          <a:ext cx="4177843" cy="2022692"/>
        </a:xfrm>
        <a:prstGeom prst="rect">
          <a:avLst/>
        </a:prstGeom>
      </xdr:spPr>
    </xdr:pic>
    <xdr:clientData/>
  </xdr:twoCellAnchor>
  <xdr:twoCellAnchor editAs="oneCell">
    <xdr:from>
      <xdr:col>3</xdr:col>
      <xdr:colOff>177801</xdr:colOff>
      <xdr:row>3</xdr:row>
      <xdr:rowOff>40235</xdr:rowOff>
    </xdr:from>
    <xdr:to>
      <xdr:col>11</xdr:col>
      <xdr:colOff>438151</xdr:colOff>
      <xdr:row>13</xdr:row>
      <xdr:rowOff>122221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A4C5495-810A-3A44-99AA-E5FA33D1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68451" y="643485"/>
          <a:ext cx="3968750" cy="1923486"/>
        </a:xfrm>
        <a:prstGeom prst="rect">
          <a:avLst/>
        </a:prstGeom>
      </xdr:spPr>
    </xdr:pic>
    <xdr:clientData/>
  </xdr:twoCellAnchor>
  <xdr:twoCellAnchor editAs="oneCell">
    <xdr:from>
      <xdr:col>3</xdr:col>
      <xdr:colOff>57149</xdr:colOff>
      <xdr:row>14</xdr:row>
      <xdr:rowOff>23528</xdr:rowOff>
    </xdr:from>
    <xdr:to>
      <xdr:col>11</xdr:col>
      <xdr:colOff>460568</xdr:colOff>
      <xdr:row>26</xdr:row>
      <xdr:rowOff>11230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139B703-5C04-670E-71A5-539CC1B13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47799" y="2652428"/>
          <a:ext cx="4111819" cy="219750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69850</xdr:colOff>
      <xdr:row>68</xdr:row>
      <xdr:rowOff>171453</xdr:rowOff>
    </xdr:from>
    <xdr:to>
      <xdr:col>15</xdr:col>
      <xdr:colOff>3732934</xdr:colOff>
      <xdr:row>99</xdr:row>
      <xdr:rowOff>39885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F9883A76-3818-40C6-C457-F4E732633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92685" y="17386027"/>
          <a:ext cx="3663084" cy="118026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388470</xdr:colOff>
      <xdr:row>20</xdr:row>
      <xdr:rowOff>180225</xdr:rowOff>
    </xdr:from>
    <xdr:to>
      <xdr:col>7</xdr:col>
      <xdr:colOff>589643</xdr:colOff>
      <xdr:row>44</xdr:row>
      <xdr:rowOff>45357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BFA179-08E8-462F-8507-B76458D7A6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37353</xdr:colOff>
      <xdr:row>60</xdr:row>
      <xdr:rowOff>15872</xdr:rowOff>
    </xdr:from>
    <xdr:to>
      <xdr:col>6</xdr:col>
      <xdr:colOff>1038413</xdr:colOff>
      <xdr:row>83</xdr:row>
      <xdr:rowOff>112056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3F94112-8A9C-4A48-80AB-CF08B1F36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182492</xdr:colOff>
      <xdr:row>22</xdr:row>
      <xdr:rowOff>21880</xdr:rowOff>
    </xdr:from>
    <xdr:to>
      <xdr:col>10</xdr:col>
      <xdr:colOff>326572</xdr:colOff>
      <xdr:row>30</xdr:row>
      <xdr:rowOff>163286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34D6AD20-BAF8-42F9-B514-D0E2920D3BA5}"/>
            </a:ext>
          </a:extLst>
        </xdr:cNvPr>
        <xdr:cNvSpPr/>
      </xdr:nvSpPr>
      <xdr:spPr>
        <a:xfrm rot="10800000">
          <a:off x="13254421" y="5038380"/>
          <a:ext cx="144080" cy="1665406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100523</xdr:colOff>
      <xdr:row>61</xdr:row>
      <xdr:rowOff>81643</xdr:rowOff>
    </xdr:from>
    <xdr:to>
      <xdr:col>10</xdr:col>
      <xdr:colOff>263070</xdr:colOff>
      <xdr:row>67</xdr:row>
      <xdr:rowOff>56481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516B8129-D69D-4121-ADED-DB4276666969}"/>
            </a:ext>
          </a:extLst>
        </xdr:cNvPr>
        <xdr:cNvSpPr/>
      </xdr:nvSpPr>
      <xdr:spPr>
        <a:xfrm rot="10800000">
          <a:off x="13172452" y="7502072"/>
          <a:ext cx="162547" cy="88198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290285</xdr:colOff>
          <xdr:row>70</xdr:row>
          <xdr:rowOff>135166</xdr:rowOff>
        </xdr:from>
        <xdr:to>
          <xdr:col>15</xdr:col>
          <xdr:colOff>145142</xdr:colOff>
          <xdr:row>81</xdr:row>
          <xdr:rowOff>99788</xdr:rowOff>
        </xdr:to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38A3798C-3942-06D8-F9B7-FD7A6267F5B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I$61:$O$68" spid="_x0000_s1118561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0468428" y="14286595"/>
              <a:ext cx="7148285" cy="1960336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101599</xdr:colOff>
          <xdr:row>34</xdr:row>
          <xdr:rowOff>38099</xdr:rowOff>
        </xdr:from>
        <xdr:to>
          <xdr:col>14</xdr:col>
          <xdr:colOff>272142</xdr:colOff>
          <xdr:row>46</xdr:row>
          <xdr:rowOff>235856</xdr:rowOff>
        </xdr:to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A4D55BD5-07D7-4959-A084-2B816B0BF8C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I$22:$O$33" spid="_x0000_s111856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0279742" y="6959599"/>
              <a:ext cx="6584043" cy="23749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162759</xdr:colOff>
      <xdr:row>2</xdr:row>
      <xdr:rowOff>120651</xdr:rowOff>
    </xdr:from>
    <xdr:to>
      <xdr:col>50</xdr:col>
      <xdr:colOff>213229</xdr:colOff>
      <xdr:row>17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621891-D7D5-AC10-64F3-B7AAF5A9C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7409" y="488951"/>
          <a:ext cx="6146470" cy="2679700"/>
        </a:xfrm>
        <a:prstGeom prst="rect">
          <a:avLst/>
        </a:prstGeom>
      </xdr:spPr>
    </xdr:pic>
    <xdr:clientData/>
  </xdr:twoCellAnchor>
  <xdr:twoCellAnchor editAs="oneCell">
    <xdr:from>
      <xdr:col>40</xdr:col>
      <xdr:colOff>107950</xdr:colOff>
      <xdr:row>18</xdr:row>
      <xdr:rowOff>3504</xdr:rowOff>
    </xdr:from>
    <xdr:to>
      <xdr:col>50</xdr:col>
      <xdr:colOff>328743</xdr:colOff>
      <xdr:row>34</xdr:row>
      <xdr:rowOff>139699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D8F9D6-42EE-E008-1BFE-D7A825B68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92600" y="3318204"/>
          <a:ext cx="6316793" cy="3082595"/>
        </a:xfrm>
        <a:prstGeom prst="rect">
          <a:avLst/>
        </a:prstGeom>
      </xdr:spPr>
    </xdr:pic>
    <xdr:clientData/>
  </xdr:twoCellAnchor>
  <xdr:twoCellAnchor editAs="oneCell">
    <xdr:from>
      <xdr:col>31</xdr:col>
      <xdr:colOff>209550</xdr:colOff>
      <xdr:row>2</xdr:row>
      <xdr:rowOff>127098</xdr:rowOff>
    </xdr:from>
    <xdr:to>
      <xdr:col>38</xdr:col>
      <xdr:colOff>1060450</xdr:colOff>
      <xdr:row>14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045FEA-060D-8016-8275-5FE99EB9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" y="495398"/>
          <a:ext cx="5118100" cy="2171602"/>
        </a:xfrm>
        <a:prstGeom prst="rect">
          <a:avLst/>
        </a:prstGeom>
      </xdr:spPr>
    </xdr:pic>
    <xdr:clientData/>
  </xdr:twoCellAnchor>
  <xdr:twoCellAnchor editAs="oneCell">
    <xdr:from>
      <xdr:col>31</xdr:col>
      <xdr:colOff>88900</xdr:colOff>
      <xdr:row>17</xdr:row>
      <xdr:rowOff>96254</xdr:rowOff>
    </xdr:from>
    <xdr:to>
      <xdr:col>38</xdr:col>
      <xdr:colOff>933268</xdr:colOff>
      <xdr:row>30</xdr:row>
      <xdr:rowOff>68711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B25B81-9DE2-DDAF-EB66-6F0B7BD49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5650" y="3226804"/>
          <a:ext cx="5111568" cy="2366407"/>
        </a:xfrm>
        <a:prstGeom prst="rect">
          <a:avLst/>
        </a:prstGeom>
      </xdr:spPr>
    </xdr:pic>
    <xdr:clientData/>
  </xdr:twoCellAnchor>
  <xdr:twoCellAnchor editAs="oneCell">
    <xdr:from>
      <xdr:col>21</xdr:col>
      <xdr:colOff>69851</xdr:colOff>
      <xdr:row>2</xdr:row>
      <xdr:rowOff>92806</xdr:rowOff>
    </xdr:from>
    <xdr:to>
      <xdr:col>29</xdr:col>
      <xdr:colOff>546101</xdr:colOff>
      <xdr:row>16</xdr:row>
      <xdr:rowOff>102515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C9E6FB-EE19-048B-5BBF-D706C1D7B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9451" y="461106"/>
          <a:ext cx="5353050" cy="2587809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19050</xdr:colOff>
      <xdr:row>17</xdr:row>
      <xdr:rowOff>52781</xdr:rowOff>
    </xdr:from>
    <xdr:to>
      <xdr:col>29</xdr:col>
      <xdr:colOff>541770</xdr:colOff>
      <xdr:row>32</xdr:row>
      <xdr:rowOff>146193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69F50E1-C80F-2C69-BBEA-03F1AA6DE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3183331"/>
          <a:ext cx="5399520" cy="2855662"/>
        </a:xfrm>
        <a:prstGeom prst="rect">
          <a:avLst/>
        </a:prstGeom>
      </xdr:spPr>
    </xdr:pic>
    <xdr:clientData/>
  </xdr:twoCellAnchor>
  <xdr:twoCellAnchor editAs="oneCell">
    <xdr:from>
      <xdr:col>11</xdr:col>
      <xdr:colOff>120522</xdr:colOff>
      <xdr:row>2</xdr:row>
      <xdr:rowOff>165100</xdr:rowOff>
    </xdr:from>
    <xdr:to>
      <xdr:col>19</xdr:col>
      <xdr:colOff>521509</xdr:colOff>
      <xdr:row>15</xdr:row>
      <xdr:rowOff>103743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B22749-F4A2-CEF4-4645-52A5867FD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0122" y="533400"/>
          <a:ext cx="5277787" cy="2332593"/>
        </a:xfrm>
        <a:prstGeom prst="rect">
          <a:avLst/>
        </a:prstGeom>
      </xdr:spPr>
    </xdr:pic>
    <xdr:clientData/>
  </xdr:twoCellAnchor>
  <xdr:twoCellAnchor editAs="oneCell">
    <xdr:from>
      <xdr:col>10</xdr:col>
      <xdr:colOff>547592</xdr:colOff>
      <xdr:row>26</xdr:row>
      <xdr:rowOff>152400</xdr:rowOff>
    </xdr:from>
    <xdr:to>
      <xdr:col>19</xdr:col>
      <xdr:colOff>570535</xdr:colOff>
      <xdr:row>42</xdr:row>
      <xdr:rowOff>65164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FCC0FE-6E30-9EF8-FCBF-9F129E2DF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7592" y="4940300"/>
          <a:ext cx="5445843" cy="2859164"/>
        </a:xfrm>
        <a:prstGeom prst="rect">
          <a:avLst/>
        </a:prstGeom>
      </xdr:spPr>
    </xdr:pic>
    <xdr:clientData/>
  </xdr:twoCellAnchor>
  <xdr:twoCellAnchor editAs="oneCell">
    <xdr:from>
      <xdr:col>11</xdr:col>
      <xdr:colOff>234950</xdr:colOff>
      <xdr:row>16</xdr:row>
      <xdr:rowOff>75408</xdr:rowOff>
    </xdr:from>
    <xdr:to>
      <xdr:col>19</xdr:col>
      <xdr:colOff>182437</xdr:colOff>
      <xdr:row>25</xdr:row>
      <xdr:rowOff>167085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A1BFC66-7647-0820-AD87-C82645F29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4550" y="3021808"/>
          <a:ext cx="4824287" cy="1749027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43</xdr:row>
      <xdr:rowOff>176684</xdr:rowOff>
    </xdr:from>
    <xdr:to>
      <xdr:col>19</xdr:col>
      <xdr:colOff>396078</xdr:colOff>
      <xdr:row>52</xdr:row>
      <xdr:rowOff>31749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18E2EAB-6B16-730D-6324-F1C7CD886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7850" y="8095134"/>
          <a:ext cx="5272878" cy="1512415"/>
        </a:xfrm>
        <a:prstGeom prst="rect">
          <a:avLst/>
        </a:prstGeom>
      </xdr:spPr>
    </xdr:pic>
    <xdr:clientData/>
  </xdr:twoCellAnchor>
  <xdr:twoCellAnchor editAs="oneCell">
    <xdr:from>
      <xdr:col>2</xdr:col>
      <xdr:colOff>46016</xdr:colOff>
      <xdr:row>16</xdr:row>
      <xdr:rowOff>92900</xdr:rowOff>
    </xdr:from>
    <xdr:to>
      <xdr:col>9</xdr:col>
      <xdr:colOff>514351</xdr:colOff>
      <xdr:row>25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FD4559-7C35-1C49-9ED6-8A90957D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5216" y="3039300"/>
          <a:ext cx="4735535" cy="1716850"/>
        </a:xfrm>
        <a:prstGeom prst="rect">
          <a:avLst/>
        </a:prstGeom>
      </xdr:spPr>
    </xdr:pic>
    <xdr:clientData/>
  </xdr:twoCellAnchor>
  <xdr:twoCellAnchor editAs="oneCell">
    <xdr:from>
      <xdr:col>1</xdr:col>
      <xdr:colOff>206145</xdr:colOff>
      <xdr:row>2</xdr:row>
      <xdr:rowOff>177800</xdr:rowOff>
    </xdr:from>
    <xdr:to>
      <xdr:col>9</xdr:col>
      <xdr:colOff>415357</xdr:colOff>
      <xdr:row>15</xdr:row>
      <xdr:rowOff>21955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99AD7AF-1F76-6549-3DA2-BD151E4B5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5745" y="546100"/>
          <a:ext cx="5086012" cy="223810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26</xdr:row>
      <xdr:rowOff>152400</xdr:rowOff>
    </xdr:from>
    <xdr:to>
      <xdr:col>9</xdr:col>
      <xdr:colOff>539597</xdr:colOff>
      <xdr:row>42</xdr:row>
      <xdr:rowOff>2171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D9C668C-6065-FD21-92EF-39C2E108A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940300"/>
          <a:ext cx="5340197" cy="2796171"/>
        </a:xfrm>
        <a:prstGeom prst="rect">
          <a:avLst/>
        </a:prstGeom>
      </xdr:spPr>
    </xdr:pic>
    <xdr:clientData/>
  </xdr:twoCellAnchor>
  <xdr:twoCellAnchor editAs="oneCell">
    <xdr:from>
      <xdr:col>1</xdr:col>
      <xdr:colOff>72696</xdr:colOff>
      <xdr:row>43</xdr:row>
      <xdr:rowOff>176515</xdr:rowOff>
    </xdr:from>
    <xdr:to>
      <xdr:col>9</xdr:col>
      <xdr:colOff>558799</xdr:colOff>
      <xdr:row>52</xdr:row>
      <xdr:rowOff>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6B02222-49D6-C718-B067-37D449C71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2296" y="8094965"/>
          <a:ext cx="5362903" cy="148083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44824</xdr:colOff>
      <xdr:row>30</xdr:row>
      <xdr:rowOff>182282</xdr:rowOff>
    </xdr:from>
    <xdr:to>
      <xdr:col>15</xdr:col>
      <xdr:colOff>119529</xdr:colOff>
      <xdr:row>51</xdr:row>
      <xdr:rowOff>141939</xdr:rowOff>
    </xdr:to>
    <xdr:graphicFrame macro="">
      <xdr:nvGraphicFramePr>
        <xdr:cNvPr id="11" name="Chart 1">
          <a:extLst>
            <a:ext uri="{FF2B5EF4-FFF2-40B4-BE49-F238E27FC236}">
              <a16:creationId xmlns:a16="http://schemas.microsoft.com/office/drawing/2014/main" id="{7CEE4B44-814C-286E-AF57-00E6D3721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141939</xdr:colOff>
      <xdr:row>30</xdr:row>
      <xdr:rowOff>179296</xdr:rowOff>
    </xdr:from>
    <xdr:to>
      <xdr:col>31</xdr:col>
      <xdr:colOff>664881</xdr:colOff>
      <xdr:row>51</xdr:row>
      <xdr:rowOff>138953</xdr:rowOff>
    </xdr:to>
    <xdr:graphicFrame macro="">
      <xdr:nvGraphicFramePr>
        <xdr:cNvPr id="20" name="Chart 2">
          <a:extLst>
            <a:ext uri="{FF2B5EF4-FFF2-40B4-BE49-F238E27FC236}">
              <a16:creationId xmlns:a16="http://schemas.microsoft.com/office/drawing/2014/main" id="{DCEC2C38-1E59-4948-A44E-A9D01E6B2F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22413</xdr:colOff>
      <xdr:row>78</xdr:row>
      <xdr:rowOff>25397</xdr:rowOff>
    </xdr:from>
    <xdr:to>
      <xdr:col>11</xdr:col>
      <xdr:colOff>298825</xdr:colOff>
      <xdr:row>98</xdr:row>
      <xdr:rowOff>171820</xdr:rowOff>
    </xdr:to>
    <xdr:graphicFrame macro="">
      <xdr:nvGraphicFramePr>
        <xdr:cNvPr id="13" name="Chart 3">
          <a:extLst>
            <a:ext uri="{FF2B5EF4-FFF2-40B4-BE49-F238E27FC236}">
              <a16:creationId xmlns:a16="http://schemas.microsoft.com/office/drawing/2014/main" id="{FF745A03-D6B1-4EA4-A378-FCE3695E60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313765</xdr:colOff>
      <xdr:row>78</xdr:row>
      <xdr:rowOff>7471</xdr:rowOff>
    </xdr:from>
    <xdr:to>
      <xdr:col>29</xdr:col>
      <xdr:colOff>268942</xdr:colOff>
      <xdr:row>99</xdr:row>
      <xdr:rowOff>7471</xdr:rowOff>
    </xdr:to>
    <xdr:graphicFrame macro="">
      <xdr:nvGraphicFramePr>
        <xdr:cNvPr id="25" name="Chart 4">
          <a:extLst>
            <a:ext uri="{FF2B5EF4-FFF2-40B4-BE49-F238E27FC236}">
              <a16:creationId xmlns:a16="http://schemas.microsoft.com/office/drawing/2014/main" id="{84623BA7-4900-464E-ACF7-88684846A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125</xdr:row>
      <xdr:rowOff>17926</xdr:rowOff>
    </xdr:from>
    <xdr:to>
      <xdr:col>15</xdr:col>
      <xdr:colOff>74705</xdr:colOff>
      <xdr:row>145</xdr:row>
      <xdr:rowOff>164349</xdr:rowOff>
    </xdr:to>
    <xdr:graphicFrame macro="">
      <xdr:nvGraphicFramePr>
        <xdr:cNvPr id="35" name="Chart 5">
          <a:extLst>
            <a:ext uri="{FF2B5EF4-FFF2-40B4-BE49-F238E27FC236}">
              <a16:creationId xmlns:a16="http://schemas.microsoft.com/office/drawing/2014/main" id="{0A427970-1D17-4E8C-A4C9-7D6B1EF98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104587</xdr:colOff>
      <xdr:row>125</xdr:row>
      <xdr:rowOff>7470</xdr:rowOff>
    </xdr:from>
    <xdr:to>
      <xdr:col>31</xdr:col>
      <xdr:colOff>224117</xdr:colOff>
      <xdr:row>145</xdr:row>
      <xdr:rowOff>153893</xdr:rowOff>
    </xdr:to>
    <xdr:graphicFrame macro="">
      <xdr:nvGraphicFramePr>
        <xdr:cNvPr id="27" name="Chart 6">
          <a:extLst>
            <a:ext uri="{FF2B5EF4-FFF2-40B4-BE49-F238E27FC236}">
              <a16:creationId xmlns:a16="http://schemas.microsoft.com/office/drawing/2014/main" id="{B68F0DF0-A21B-4960-BC6D-454515D538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141940</xdr:colOff>
      <xdr:row>173</xdr:row>
      <xdr:rowOff>14943</xdr:rowOff>
    </xdr:from>
    <xdr:to>
      <xdr:col>29</xdr:col>
      <xdr:colOff>318034</xdr:colOff>
      <xdr:row>193</xdr:row>
      <xdr:rowOff>52295</xdr:rowOff>
    </xdr:to>
    <xdr:graphicFrame macro="">
      <xdr:nvGraphicFramePr>
        <xdr:cNvPr id="30" name="Chart 8">
          <a:extLst>
            <a:ext uri="{FF2B5EF4-FFF2-40B4-BE49-F238E27FC236}">
              <a16:creationId xmlns:a16="http://schemas.microsoft.com/office/drawing/2014/main" id="{AECB6528-6D67-4DC3-934D-2FF6141D16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48558</xdr:colOff>
      <xdr:row>173</xdr:row>
      <xdr:rowOff>14940</xdr:rowOff>
    </xdr:from>
    <xdr:to>
      <xdr:col>11</xdr:col>
      <xdr:colOff>141941</xdr:colOff>
      <xdr:row>193</xdr:row>
      <xdr:rowOff>67235</xdr:rowOff>
    </xdr:to>
    <xdr:graphicFrame macro="">
      <xdr:nvGraphicFramePr>
        <xdr:cNvPr id="18" name="Chart 9">
          <a:extLst>
            <a:ext uri="{FF2B5EF4-FFF2-40B4-BE49-F238E27FC236}">
              <a16:creationId xmlns:a16="http://schemas.microsoft.com/office/drawing/2014/main" id="{CFFFB5C0-D6B7-DEBB-16F3-556EA8204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0.86233</cdr:x>
      <cdr:y>0.03965</cdr:y>
    </cdr:from>
    <cdr:to>
      <cdr:x>0.98292</cdr:x>
      <cdr:y>0.11278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936066-88A1-BE30-6A35-2D555BEEC910}"/>
            </a:ext>
          </a:extLst>
        </cdr:cNvPr>
        <cdr:cNvSpPr txBox="1"/>
      </cdr:nvSpPr>
      <cdr:spPr>
        <a:xfrm xmlns:a="http://schemas.openxmlformats.org/drawingml/2006/main">
          <a:off x="6036237" y="153894"/>
          <a:ext cx="844176" cy="2838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 kern="1200">
              <a:solidFill>
                <a:schemeClr val="accent2">
                  <a:lumMod val="75000"/>
                </a:schemeClr>
              </a:solidFill>
            </a:rPr>
            <a:t>ĐVT:</a:t>
          </a:r>
          <a:r>
            <a:rPr lang="en-US" sz="1200" b="1" kern="1200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sz="1200" b="1" kern="1200">
              <a:solidFill>
                <a:schemeClr val="accent2">
                  <a:lumMod val="75000"/>
                </a:schemeClr>
              </a:solidFill>
            </a:rPr>
            <a:t>tấn</a:t>
          </a:r>
          <a:endParaRPr lang="en-US" sz="1100" b="1" kern="1200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0.86725</cdr:x>
      <cdr:y>0.04003</cdr:y>
    </cdr:from>
    <cdr:to>
      <cdr:x>0.97739</cdr:x>
      <cdr:y>0.11316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17B68D6-2458-FDAF-62AB-5D488761D208}"/>
            </a:ext>
          </a:extLst>
        </cdr:cNvPr>
        <cdr:cNvSpPr txBox="1"/>
      </cdr:nvSpPr>
      <cdr:spPr>
        <a:xfrm xmlns:a="http://schemas.openxmlformats.org/drawingml/2006/main">
          <a:off x="6647329" y="155388"/>
          <a:ext cx="844176" cy="2838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 kern="1200">
              <a:solidFill>
                <a:schemeClr val="accent2">
                  <a:lumMod val="75000"/>
                </a:schemeClr>
              </a:solidFill>
            </a:rPr>
            <a:t>ĐVT:</a:t>
          </a:r>
          <a:r>
            <a:rPr lang="en-US" sz="1200" b="1" kern="1200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sz="1200" b="1" kern="1200">
              <a:solidFill>
                <a:schemeClr val="accent2">
                  <a:lumMod val="75000"/>
                </a:schemeClr>
              </a:solidFill>
            </a:rPr>
            <a:t>tấn</a:t>
          </a:r>
          <a:endParaRPr lang="en-US" sz="1100" b="1" kern="1200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0.81089</cdr:x>
      <cdr:y>0.03041</cdr:y>
    </cdr:from>
    <cdr:to>
      <cdr:x>0.97823</cdr:x>
      <cdr:y>0.10316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484832F-CE42-DD71-ED11-55148DF08DF0}"/>
            </a:ext>
          </a:extLst>
        </cdr:cNvPr>
        <cdr:cNvSpPr txBox="1"/>
      </cdr:nvSpPr>
      <cdr:spPr>
        <a:xfrm xmlns:a="http://schemas.openxmlformats.org/drawingml/2006/main">
          <a:off x="5676153" y="118036"/>
          <a:ext cx="1171388" cy="282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 kern="1200">
              <a:solidFill>
                <a:schemeClr val="accent2">
                  <a:lumMod val="75000"/>
                </a:schemeClr>
              </a:solidFill>
            </a:rPr>
            <a:t>ĐVT:</a:t>
          </a:r>
          <a:r>
            <a:rPr lang="en-US" sz="1200" b="1" kern="1200" baseline="0">
              <a:solidFill>
                <a:schemeClr val="accent2">
                  <a:lumMod val="75000"/>
                </a:schemeClr>
              </a:solidFill>
            </a:rPr>
            <a:t> ngàn USD</a:t>
          </a:r>
          <a:endParaRPr lang="en-US" sz="1100" b="1" kern="1200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0.81754</cdr:x>
      <cdr:y>0.03426</cdr:y>
    </cdr:from>
    <cdr:to>
      <cdr:x>0.97037</cdr:x>
      <cdr:y>0.10701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484832F-CE42-DD71-ED11-55148DF08DF0}"/>
            </a:ext>
          </a:extLst>
        </cdr:cNvPr>
        <cdr:cNvSpPr txBox="1"/>
      </cdr:nvSpPr>
      <cdr:spPr>
        <a:xfrm xmlns:a="http://schemas.openxmlformats.org/drawingml/2006/main">
          <a:off x="6266330" y="132977"/>
          <a:ext cx="1171388" cy="282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 kern="1200">
              <a:solidFill>
                <a:schemeClr val="accent2">
                  <a:lumMod val="75000"/>
                </a:schemeClr>
              </a:solidFill>
            </a:rPr>
            <a:t>ĐVT:</a:t>
          </a:r>
          <a:r>
            <a:rPr lang="en-US" sz="1200" b="1" kern="1200" baseline="0">
              <a:solidFill>
                <a:schemeClr val="accent2">
                  <a:lumMod val="75000"/>
                </a:schemeClr>
              </a:solidFill>
            </a:rPr>
            <a:t> ngàn USD</a:t>
          </a:r>
          <a:endParaRPr lang="en-US" sz="1100" b="1" kern="1200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0.8015</cdr:x>
      <cdr:y>0.07852</cdr:y>
    </cdr:from>
    <cdr:to>
      <cdr:x>0.96884</cdr:x>
      <cdr:y>0.15127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38FF46B-5C52-1EE7-EF22-8E7F226FC1E1}"/>
            </a:ext>
          </a:extLst>
        </cdr:cNvPr>
        <cdr:cNvSpPr txBox="1"/>
      </cdr:nvSpPr>
      <cdr:spPr>
        <a:xfrm xmlns:a="http://schemas.openxmlformats.org/drawingml/2006/main">
          <a:off x="5598471" y="304803"/>
          <a:ext cx="1168870" cy="282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 kern="1200">
              <a:solidFill>
                <a:schemeClr val="accent2">
                  <a:lumMod val="75000"/>
                </a:schemeClr>
              </a:solidFill>
            </a:rPr>
            <a:t>ĐVT:</a:t>
          </a:r>
          <a:r>
            <a:rPr lang="en-US" sz="1200" b="1" kern="1200" baseline="0">
              <a:solidFill>
                <a:schemeClr val="accent2">
                  <a:lumMod val="75000"/>
                </a:schemeClr>
              </a:solidFill>
            </a:rPr>
            <a:t> ngàn USD</a:t>
          </a:r>
          <a:endParaRPr lang="en-US" sz="1100" b="1" kern="1200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0.8188</cdr:x>
      <cdr:y>0.03041</cdr:y>
    </cdr:from>
    <cdr:to>
      <cdr:x>0.95659</cdr:x>
      <cdr:y>0.10316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618403D-BC48-C831-781E-BCAEA7EBF21E}"/>
            </a:ext>
          </a:extLst>
        </cdr:cNvPr>
        <cdr:cNvSpPr txBox="1"/>
      </cdr:nvSpPr>
      <cdr:spPr>
        <a:xfrm xmlns:a="http://schemas.openxmlformats.org/drawingml/2006/main">
          <a:off x="6961094" y="118035"/>
          <a:ext cx="1171388" cy="282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 kern="1200">
              <a:solidFill>
                <a:schemeClr val="accent2">
                  <a:lumMod val="75000"/>
                </a:schemeClr>
              </a:solidFill>
            </a:rPr>
            <a:t>ĐVT:</a:t>
          </a:r>
          <a:r>
            <a:rPr lang="en-US" sz="1200" b="1" kern="1200" baseline="0">
              <a:solidFill>
                <a:schemeClr val="accent2">
                  <a:lumMod val="75000"/>
                </a:schemeClr>
              </a:solidFill>
            </a:rPr>
            <a:t> ngàn USD</a:t>
          </a:r>
          <a:endParaRPr lang="en-US" sz="1100" b="1" kern="1200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191434</xdr:colOff>
      <xdr:row>57</xdr:row>
      <xdr:rowOff>63687</xdr:rowOff>
    </xdr:from>
    <xdr:to>
      <xdr:col>11</xdr:col>
      <xdr:colOff>696260</xdr:colOff>
      <xdr:row>79</xdr:row>
      <xdr:rowOff>54161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9A078F-3163-7DB7-CD9E-F16601131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549621</xdr:colOff>
      <xdr:row>29</xdr:row>
      <xdr:rowOff>173511</xdr:rowOff>
    </xdr:from>
    <xdr:to>
      <xdr:col>24</xdr:col>
      <xdr:colOff>517071</xdr:colOff>
      <xdr:row>53</xdr:row>
      <xdr:rowOff>154215</xdr:rowOff>
    </xdr:to>
    <xdr:graphicFrame macro="">
      <xdr:nvGraphicFramePr>
        <xdr:cNvPr id="131" name="Chart 2">
          <a:extLst>
            <a:ext uri="{FF2B5EF4-FFF2-40B4-BE49-F238E27FC236}">
              <a16:creationId xmlns:a16="http://schemas.microsoft.com/office/drawing/2014/main" id="{D4575854-0795-4940-A21C-556A1A865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709706</xdr:colOff>
      <xdr:row>57</xdr:row>
      <xdr:rowOff>59766</xdr:rowOff>
    </xdr:from>
    <xdr:to>
      <xdr:col>24</xdr:col>
      <xdr:colOff>56404</xdr:colOff>
      <xdr:row>79</xdr:row>
      <xdr:rowOff>119530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043E08-1883-4F61-B30F-584E3D718D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66263</xdr:colOff>
      <xdr:row>30</xdr:row>
      <xdr:rowOff>53227</xdr:rowOff>
    </xdr:from>
    <xdr:to>
      <xdr:col>11</xdr:col>
      <xdr:colOff>6498</xdr:colOff>
      <xdr:row>52</xdr:row>
      <xdr:rowOff>43702</xdr:rowOff>
    </xdr:to>
    <xdr:graphicFrame macro="">
      <xdr:nvGraphicFramePr>
        <xdr:cNvPr id="127" name="Chart 4">
          <a:extLst>
            <a:ext uri="{FF2B5EF4-FFF2-40B4-BE49-F238E27FC236}">
              <a16:creationId xmlns:a16="http://schemas.microsoft.com/office/drawing/2014/main" id="{E236F4D4-7536-4E98-9092-566B9D7A80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313764</xdr:colOff>
      <xdr:row>111</xdr:row>
      <xdr:rowOff>7468</xdr:rowOff>
    </xdr:from>
    <xdr:to>
      <xdr:col>2</xdr:col>
      <xdr:colOff>410882</xdr:colOff>
      <xdr:row>124</xdr:row>
      <xdr:rowOff>149410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3EFDB6A1-F172-4F76-A0DB-A6D569EBF4E2}"/>
            </a:ext>
          </a:extLst>
        </xdr:cNvPr>
        <xdr:cNvSpPr/>
      </xdr:nvSpPr>
      <xdr:spPr>
        <a:xfrm rot="10800000">
          <a:off x="1867646" y="17503586"/>
          <a:ext cx="97118" cy="2711824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20811</xdr:colOff>
          <xdr:row>109</xdr:row>
          <xdr:rowOff>47227</xdr:rowOff>
        </xdr:from>
        <xdr:to>
          <xdr:col>15</xdr:col>
          <xdr:colOff>1053401</xdr:colOff>
          <xdr:row>130</xdr:row>
          <xdr:rowOff>82712</xdr:rowOff>
        </xdr:to>
        <xdr:pic>
          <xdr:nvPicPr>
            <xdr:cNvPr id="8" name="Picture 7">
              <a:extLst>
                <a:ext uri="{FF2B5EF4-FFF2-40B4-BE49-F238E27FC236}">
                  <a16:creationId xmlns:a16="http://schemas.microsoft.com/office/drawing/2014/main" id="{BA918725-B32B-46B0-7432-D1978B93727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$110:$G$131" spid="_x0000_s1136733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6987668" y="17019870"/>
              <a:ext cx="6566163" cy="360802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87</xdr:col>
      <xdr:colOff>76200</xdr:colOff>
      <xdr:row>42</xdr:row>
      <xdr:rowOff>24440</xdr:rowOff>
    </xdr:from>
    <xdr:to>
      <xdr:col>96</xdr:col>
      <xdr:colOff>95250</xdr:colOff>
      <xdr:row>58</xdr:row>
      <xdr:rowOff>65368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322D49-86DD-0A23-25D6-64C7DD45A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1400" y="761040"/>
          <a:ext cx="5505451" cy="2987327"/>
        </a:xfrm>
        <a:prstGeom prst="rect">
          <a:avLst/>
        </a:prstGeom>
      </xdr:spPr>
    </xdr:pic>
    <xdr:clientData/>
  </xdr:twoCellAnchor>
  <xdr:twoCellAnchor editAs="oneCell">
    <xdr:from>
      <xdr:col>87</xdr:col>
      <xdr:colOff>83298</xdr:colOff>
      <xdr:row>58</xdr:row>
      <xdr:rowOff>103599</xdr:rowOff>
    </xdr:from>
    <xdr:to>
      <xdr:col>96</xdr:col>
      <xdr:colOff>144928</xdr:colOff>
      <xdr:row>74</xdr:row>
      <xdr:rowOff>30679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F2952A-1C0D-15DD-0A37-28B29903D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4081" y="3753469"/>
          <a:ext cx="5528152" cy="2842558"/>
        </a:xfrm>
        <a:prstGeom prst="rect">
          <a:avLst/>
        </a:prstGeom>
      </xdr:spPr>
    </xdr:pic>
    <xdr:clientData/>
  </xdr:twoCellAnchor>
  <xdr:twoCellAnchor editAs="oneCell">
    <xdr:from>
      <xdr:col>86</xdr:col>
      <xdr:colOff>285750</xdr:colOff>
      <xdr:row>76</xdr:row>
      <xdr:rowOff>135366</xdr:rowOff>
    </xdr:from>
    <xdr:to>
      <xdr:col>95</xdr:col>
      <xdr:colOff>330201</xdr:colOff>
      <xdr:row>93</xdr:row>
      <xdr:rowOff>73234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A96118-E660-DD3A-3255-6DA5DB580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1400" y="7907766"/>
          <a:ext cx="5530850" cy="3068419"/>
        </a:xfrm>
        <a:prstGeom prst="rect">
          <a:avLst/>
        </a:prstGeom>
      </xdr:spPr>
    </xdr:pic>
    <xdr:clientData/>
  </xdr:twoCellAnchor>
  <xdr:twoCellAnchor editAs="oneCell">
    <xdr:from>
      <xdr:col>86</xdr:col>
      <xdr:colOff>293220</xdr:colOff>
      <xdr:row>93</xdr:row>
      <xdr:rowOff>127024</xdr:rowOff>
    </xdr:from>
    <xdr:to>
      <xdr:col>95</xdr:col>
      <xdr:colOff>350371</xdr:colOff>
      <xdr:row>109</xdr:row>
      <xdr:rowOff>158751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FAAA00C-BC45-3D8A-F99F-3FCDC8EF8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49" y="10055436"/>
          <a:ext cx="5570445" cy="3019961"/>
        </a:xfrm>
        <a:prstGeom prst="rect">
          <a:avLst/>
        </a:prstGeom>
      </xdr:spPr>
    </xdr:pic>
    <xdr:clientData/>
  </xdr:twoCellAnchor>
  <xdr:twoCellAnchor editAs="oneCell">
    <xdr:from>
      <xdr:col>86</xdr:col>
      <xdr:colOff>309216</xdr:colOff>
      <xdr:row>112</xdr:row>
      <xdr:rowOff>81268</xdr:rowOff>
    </xdr:from>
    <xdr:to>
      <xdr:col>95</xdr:col>
      <xdr:colOff>292765</xdr:colOff>
      <xdr:row>128</xdr:row>
      <xdr:rowOff>43168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42F13A-82A2-B6CE-83CA-9355552F1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2607" y="13648181"/>
          <a:ext cx="5450071" cy="2877379"/>
        </a:xfrm>
        <a:prstGeom prst="rect">
          <a:avLst/>
        </a:prstGeom>
      </xdr:spPr>
    </xdr:pic>
    <xdr:clientData/>
  </xdr:twoCellAnchor>
  <xdr:twoCellAnchor editAs="oneCell">
    <xdr:from>
      <xdr:col>86</xdr:col>
      <xdr:colOff>336957</xdr:colOff>
      <xdr:row>128</xdr:row>
      <xdr:rowOff>89571</xdr:rowOff>
    </xdr:from>
    <xdr:to>
      <xdr:col>95</xdr:col>
      <xdr:colOff>502057</xdr:colOff>
      <xdr:row>143</xdr:row>
      <xdr:rowOff>155439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6339A21-E35E-FB15-DB3B-7DABB766F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70348" y="16571962"/>
          <a:ext cx="5631622" cy="2799129"/>
        </a:xfrm>
        <a:prstGeom prst="rect">
          <a:avLst/>
        </a:prstGeom>
      </xdr:spPr>
    </xdr:pic>
    <xdr:clientData/>
  </xdr:twoCellAnchor>
  <xdr:twoCellAnchor editAs="oneCell">
    <xdr:from>
      <xdr:col>86</xdr:col>
      <xdr:colOff>361950</xdr:colOff>
      <xdr:row>147</xdr:row>
      <xdr:rowOff>107950</xdr:rowOff>
    </xdr:from>
    <xdr:to>
      <xdr:col>95</xdr:col>
      <xdr:colOff>284400</xdr:colOff>
      <xdr:row>163</xdr:row>
      <xdr:rowOff>135454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F077BC6-4491-DFE6-BD72-2DE91C9AA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7600" y="21031200"/>
          <a:ext cx="5408849" cy="2973905"/>
        </a:xfrm>
        <a:prstGeom prst="rect">
          <a:avLst/>
        </a:prstGeom>
      </xdr:spPr>
    </xdr:pic>
    <xdr:clientData/>
  </xdr:twoCellAnchor>
  <xdr:twoCellAnchor editAs="oneCell">
    <xdr:from>
      <xdr:col>86</xdr:col>
      <xdr:colOff>400050</xdr:colOff>
      <xdr:row>164</xdr:row>
      <xdr:rowOff>57089</xdr:rowOff>
    </xdr:from>
    <xdr:to>
      <xdr:col>95</xdr:col>
      <xdr:colOff>285751</xdr:colOff>
      <xdr:row>179</xdr:row>
      <xdr:rowOff>168723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80594D-E019-24D5-067A-4D65285A0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5700" y="24110889"/>
          <a:ext cx="5372100" cy="2873885"/>
        </a:xfrm>
        <a:prstGeom prst="rect">
          <a:avLst/>
        </a:prstGeom>
      </xdr:spPr>
    </xdr:pic>
    <xdr:clientData/>
  </xdr:twoCellAnchor>
  <xdr:twoCellAnchor editAs="oneCell">
    <xdr:from>
      <xdr:col>75</xdr:col>
      <xdr:colOff>70972</xdr:colOff>
      <xdr:row>42</xdr:row>
      <xdr:rowOff>34365</xdr:rowOff>
    </xdr:from>
    <xdr:to>
      <xdr:col>87</xdr:col>
      <xdr:colOff>58647</xdr:colOff>
      <xdr:row>58</xdr:row>
      <xdr:rowOff>71718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0EC1EA8-3C51-0116-A19E-AE5DE2446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6622" y="770965"/>
          <a:ext cx="5277224" cy="2983752"/>
        </a:xfrm>
        <a:prstGeom prst="rect">
          <a:avLst/>
        </a:prstGeom>
      </xdr:spPr>
    </xdr:pic>
    <xdr:clientData/>
  </xdr:twoCellAnchor>
  <xdr:twoCellAnchor editAs="oneCell">
    <xdr:from>
      <xdr:col>75</xdr:col>
      <xdr:colOff>76200</xdr:colOff>
      <xdr:row>58</xdr:row>
      <xdr:rowOff>107950</xdr:rowOff>
    </xdr:from>
    <xdr:to>
      <xdr:col>87</xdr:col>
      <xdr:colOff>50800</xdr:colOff>
      <xdr:row>73</xdr:row>
      <xdr:rowOff>177799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1A3D74B-5971-4F2A-816C-F8E2DB064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1850" y="3790950"/>
          <a:ext cx="5264149" cy="2832100"/>
        </a:xfrm>
        <a:prstGeom prst="rect">
          <a:avLst/>
        </a:prstGeom>
      </xdr:spPr>
    </xdr:pic>
    <xdr:clientData/>
  </xdr:twoCellAnchor>
  <xdr:twoCellAnchor editAs="oneCell">
    <xdr:from>
      <xdr:col>75</xdr:col>
      <xdr:colOff>77304</xdr:colOff>
      <xdr:row>76</xdr:row>
      <xdr:rowOff>143565</xdr:rowOff>
    </xdr:from>
    <xdr:to>
      <xdr:col>86</xdr:col>
      <xdr:colOff>257445</xdr:colOff>
      <xdr:row>93</xdr:row>
      <xdr:rowOff>60739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03317F-D434-8159-395E-91D6F8976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3782" y="7112000"/>
          <a:ext cx="4857054" cy="3014870"/>
        </a:xfrm>
        <a:prstGeom prst="rect">
          <a:avLst/>
        </a:prstGeom>
      </xdr:spPr>
    </xdr:pic>
    <xdr:clientData/>
  </xdr:twoCellAnchor>
  <xdr:twoCellAnchor editAs="oneCell">
    <xdr:from>
      <xdr:col>75</xdr:col>
      <xdr:colOff>60739</xdr:colOff>
      <xdr:row>93</xdr:row>
      <xdr:rowOff>143565</xdr:rowOff>
    </xdr:from>
    <xdr:to>
      <xdr:col>86</xdr:col>
      <xdr:colOff>283142</xdr:colOff>
      <xdr:row>109</xdr:row>
      <xdr:rowOff>143566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3633056-4E68-32D1-79A0-7503660F3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7217" y="10209695"/>
          <a:ext cx="4899316" cy="2915479"/>
        </a:xfrm>
        <a:prstGeom prst="rect">
          <a:avLst/>
        </a:prstGeom>
      </xdr:spPr>
    </xdr:pic>
    <xdr:clientData/>
  </xdr:twoCellAnchor>
  <xdr:twoCellAnchor editAs="oneCell">
    <xdr:from>
      <xdr:col>75</xdr:col>
      <xdr:colOff>77305</xdr:colOff>
      <xdr:row>112</xdr:row>
      <xdr:rowOff>77304</xdr:rowOff>
    </xdr:from>
    <xdr:to>
      <xdr:col>86</xdr:col>
      <xdr:colOff>314739</xdr:colOff>
      <xdr:row>127</xdr:row>
      <xdr:rowOff>171174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01A337-D3A9-8589-2C01-B7991B12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3783" y="13644217"/>
          <a:ext cx="4914347" cy="2827131"/>
        </a:xfrm>
        <a:prstGeom prst="rect">
          <a:avLst/>
        </a:prstGeom>
      </xdr:spPr>
    </xdr:pic>
    <xdr:clientData/>
  </xdr:twoCellAnchor>
  <xdr:twoCellAnchor editAs="oneCell">
    <xdr:from>
      <xdr:col>75</xdr:col>
      <xdr:colOff>38652</xdr:colOff>
      <xdr:row>128</xdr:row>
      <xdr:rowOff>77305</xdr:rowOff>
    </xdr:from>
    <xdr:to>
      <xdr:col>86</xdr:col>
      <xdr:colOff>303082</xdr:colOff>
      <xdr:row>143</xdr:row>
      <xdr:rowOff>121478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3832A6E-ED88-998D-E66B-16682B073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5130" y="16559696"/>
          <a:ext cx="4941343" cy="2777434"/>
        </a:xfrm>
        <a:prstGeom prst="rect">
          <a:avLst/>
        </a:prstGeom>
      </xdr:spPr>
    </xdr:pic>
    <xdr:clientData/>
  </xdr:twoCellAnchor>
  <xdr:twoCellAnchor editAs="oneCell">
    <xdr:from>
      <xdr:col>75</xdr:col>
      <xdr:colOff>44174</xdr:colOff>
      <xdr:row>147</xdr:row>
      <xdr:rowOff>115956</xdr:rowOff>
    </xdr:from>
    <xdr:to>
      <xdr:col>86</xdr:col>
      <xdr:colOff>368562</xdr:colOff>
      <xdr:row>163</xdr:row>
      <xdr:rowOff>121476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FECC33E-9B05-0BEB-A2BC-ACE3B69F0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0652" y="20099130"/>
          <a:ext cx="5001301" cy="2920999"/>
        </a:xfrm>
        <a:prstGeom prst="rect">
          <a:avLst/>
        </a:prstGeom>
      </xdr:spPr>
    </xdr:pic>
    <xdr:clientData/>
  </xdr:twoCellAnchor>
  <xdr:twoCellAnchor editAs="oneCell">
    <xdr:from>
      <xdr:col>75</xdr:col>
      <xdr:colOff>66262</xdr:colOff>
      <xdr:row>164</xdr:row>
      <xdr:rowOff>27608</xdr:rowOff>
    </xdr:from>
    <xdr:to>
      <xdr:col>86</xdr:col>
      <xdr:colOff>392044</xdr:colOff>
      <xdr:row>180</xdr:row>
      <xdr:rowOff>5522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ED50CA9-ECB8-03BF-C836-FDCA69E0E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2740" y="23108478"/>
          <a:ext cx="5002695" cy="2893392"/>
        </a:xfrm>
        <a:prstGeom prst="rect">
          <a:avLst/>
        </a:prstGeom>
      </xdr:spPr>
    </xdr:pic>
    <xdr:clientData/>
  </xdr:twoCellAnchor>
  <xdr:twoCellAnchor editAs="oneCell">
    <xdr:from>
      <xdr:col>60</xdr:col>
      <xdr:colOff>62948</xdr:colOff>
      <xdr:row>42</xdr:row>
      <xdr:rowOff>55218</xdr:rowOff>
    </xdr:from>
    <xdr:to>
      <xdr:col>74</xdr:col>
      <xdr:colOff>239642</xdr:colOff>
      <xdr:row>58</xdr:row>
      <xdr:rowOff>77306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103F011-79E3-C1D0-7F31-9134170CC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38774" y="789609"/>
          <a:ext cx="6129130" cy="2937566"/>
        </a:xfrm>
        <a:prstGeom prst="rect">
          <a:avLst/>
        </a:prstGeom>
      </xdr:spPr>
    </xdr:pic>
    <xdr:clientData/>
  </xdr:twoCellAnchor>
  <xdr:twoCellAnchor editAs="oneCell">
    <xdr:from>
      <xdr:col>60</xdr:col>
      <xdr:colOff>67641</xdr:colOff>
      <xdr:row>58</xdr:row>
      <xdr:rowOff>138042</xdr:rowOff>
    </xdr:from>
    <xdr:to>
      <xdr:col>75</xdr:col>
      <xdr:colOff>371337</xdr:colOff>
      <xdr:row>74</xdr:row>
      <xdr:rowOff>49696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1D313B-B94C-1DA2-7447-F87D92D3D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43467" y="3787912"/>
          <a:ext cx="6681305" cy="2827132"/>
        </a:xfrm>
        <a:prstGeom prst="rect">
          <a:avLst/>
        </a:prstGeom>
      </xdr:spPr>
    </xdr:pic>
    <xdr:clientData/>
  </xdr:twoCellAnchor>
  <xdr:twoCellAnchor editAs="oneCell">
    <xdr:from>
      <xdr:col>60</xdr:col>
      <xdr:colOff>43070</xdr:colOff>
      <xdr:row>76</xdr:row>
      <xdr:rowOff>121479</xdr:rowOff>
    </xdr:from>
    <xdr:to>
      <xdr:col>75</xdr:col>
      <xdr:colOff>219765</xdr:colOff>
      <xdr:row>93</xdr:row>
      <xdr:rowOff>77304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1B57CEC-39DB-A8BA-B072-CCBF7FE32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18896" y="7089914"/>
          <a:ext cx="6554304" cy="3053521"/>
        </a:xfrm>
        <a:prstGeom prst="rect">
          <a:avLst/>
        </a:prstGeom>
      </xdr:spPr>
    </xdr:pic>
    <xdr:clientData/>
  </xdr:twoCellAnchor>
  <xdr:twoCellAnchor editAs="oneCell">
    <xdr:from>
      <xdr:col>60</xdr:col>
      <xdr:colOff>17119</xdr:colOff>
      <xdr:row>93</xdr:row>
      <xdr:rowOff>138044</xdr:rowOff>
    </xdr:from>
    <xdr:to>
      <xdr:col>75</xdr:col>
      <xdr:colOff>254554</xdr:colOff>
      <xdr:row>109</xdr:row>
      <xdr:rowOff>143566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7F4710F-7DF3-5680-DD6D-C6299B6D5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92945" y="10204174"/>
          <a:ext cx="6615044" cy="2921000"/>
        </a:xfrm>
        <a:prstGeom prst="rect">
          <a:avLst/>
        </a:prstGeom>
      </xdr:spPr>
    </xdr:pic>
    <xdr:clientData/>
  </xdr:twoCellAnchor>
  <xdr:twoCellAnchor editAs="oneCell">
    <xdr:from>
      <xdr:col>60</xdr:col>
      <xdr:colOff>26504</xdr:colOff>
      <xdr:row>112</xdr:row>
      <xdr:rowOff>66262</xdr:rowOff>
    </xdr:from>
    <xdr:to>
      <xdr:col>75</xdr:col>
      <xdr:colOff>269461</xdr:colOff>
      <xdr:row>128</xdr:row>
      <xdr:rowOff>11044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8CB9517-E720-ED3D-788B-31795247B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02330" y="13633175"/>
          <a:ext cx="6620566" cy="2860261"/>
        </a:xfrm>
        <a:prstGeom prst="rect">
          <a:avLst/>
        </a:prstGeom>
      </xdr:spPr>
    </xdr:pic>
    <xdr:clientData/>
  </xdr:twoCellAnchor>
  <xdr:twoCellAnchor editAs="oneCell">
    <xdr:from>
      <xdr:col>60</xdr:col>
      <xdr:colOff>46383</xdr:colOff>
      <xdr:row>128</xdr:row>
      <xdr:rowOff>88348</xdr:rowOff>
    </xdr:from>
    <xdr:to>
      <xdr:col>75</xdr:col>
      <xdr:colOff>267252</xdr:colOff>
      <xdr:row>143</xdr:row>
      <xdr:rowOff>138044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80DBAD0-C363-4162-1AD6-7658FDDCB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2209" y="16570739"/>
          <a:ext cx="6598478" cy="2782957"/>
        </a:xfrm>
        <a:prstGeom prst="rect">
          <a:avLst/>
        </a:prstGeom>
      </xdr:spPr>
    </xdr:pic>
    <xdr:clientData/>
  </xdr:twoCellAnchor>
  <xdr:twoCellAnchor editAs="oneCell">
    <xdr:from>
      <xdr:col>60</xdr:col>
      <xdr:colOff>45830</xdr:colOff>
      <xdr:row>147</xdr:row>
      <xdr:rowOff>99391</xdr:rowOff>
    </xdr:from>
    <xdr:to>
      <xdr:col>75</xdr:col>
      <xdr:colOff>200439</xdr:colOff>
      <xdr:row>163</xdr:row>
      <xdr:rowOff>121478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F9991D9-6596-0210-7DA0-226783C52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1656" y="20082565"/>
          <a:ext cx="6532218" cy="2937566"/>
        </a:xfrm>
        <a:prstGeom prst="rect">
          <a:avLst/>
        </a:prstGeom>
      </xdr:spPr>
    </xdr:pic>
    <xdr:clientData/>
  </xdr:twoCellAnchor>
  <xdr:twoCellAnchor editAs="oneCell">
    <xdr:from>
      <xdr:col>60</xdr:col>
      <xdr:colOff>36996</xdr:colOff>
      <xdr:row>164</xdr:row>
      <xdr:rowOff>27608</xdr:rowOff>
    </xdr:from>
    <xdr:to>
      <xdr:col>75</xdr:col>
      <xdr:colOff>197125</xdr:colOff>
      <xdr:row>180</xdr:row>
      <xdr:rowOff>66261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F8D4D46-0EB8-5C47-5CFF-5BC43EFB2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12822" y="23108478"/>
          <a:ext cx="6537738" cy="2954131"/>
        </a:xfrm>
        <a:prstGeom prst="rect">
          <a:avLst/>
        </a:prstGeom>
      </xdr:spPr>
    </xdr:pic>
    <xdr:clientData/>
  </xdr:twoCellAnchor>
  <xdr:twoCellAnchor editAs="oneCell">
    <xdr:from>
      <xdr:col>47</xdr:col>
      <xdr:colOff>187737</xdr:colOff>
      <xdr:row>42</xdr:row>
      <xdr:rowOff>38652</xdr:rowOff>
    </xdr:from>
    <xdr:to>
      <xdr:col>58</xdr:col>
      <xdr:colOff>764770</xdr:colOff>
      <xdr:row>58</xdr:row>
      <xdr:rowOff>82826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646CF3-3FFB-64D3-490C-41DFBAA10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25259" y="773043"/>
          <a:ext cx="5253945" cy="2959652"/>
        </a:xfrm>
        <a:prstGeom prst="rect">
          <a:avLst/>
        </a:prstGeom>
      </xdr:spPr>
    </xdr:pic>
    <xdr:clientData/>
  </xdr:twoCellAnchor>
  <xdr:twoCellAnchor editAs="oneCell">
    <xdr:from>
      <xdr:col>45</xdr:col>
      <xdr:colOff>182217</xdr:colOff>
      <xdr:row>58</xdr:row>
      <xdr:rowOff>109761</xdr:rowOff>
    </xdr:from>
    <xdr:to>
      <xdr:col>58</xdr:col>
      <xdr:colOff>716442</xdr:colOff>
      <xdr:row>74</xdr:row>
      <xdr:rowOff>38653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DED986F-CBB9-8237-07D5-A09FFF8A1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69391" y="3759631"/>
          <a:ext cx="6061485" cy="2844370"/>
        </a:xfrm>
        <a:prstGeom prst="rect">
          <a:avLst/>
        </a:prstGeom>
      </xdr:spPr>
    </xdr:pic>
    <xdr:clientData/>
  </xdr:twoCellAnchor>
  <xdr:twoCellAnchor editAs="oneCell">
    <xdr:from>
      <xdr:col>45</xdr:col>
      <xdr:colOff>248477</xdr:colOff>
      <xdr:row>76</xdr:row>
      <xdr:rowOff>132521</xdr:rowOff>
    </xdr:from>
    <xdr:to>
      <xdr:col>58</xdr:col>
      <xdr:colOff>303282</xdr:colOff>
      <xdr:row>93</xdr:row>
      <xdr:rowOff>60738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1B3C8A-0444-129A-F21C-A49FB6DF1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35651" y="7100956"/>
          <a:ext cx="5582065" cy="3025913"/>
        </a:xfrm>
        <a:prstGeom prst="rect">
          <a:avLst/>
        </a:prstGeom>
      </xdr:spPr>
    </xdr:pic>
    <xdr:clientData/>
  </xdr:twoCellAnchor>
  <xdr:twoCellAnchor editAs="oneCell">
    <xdr:from>
      <xdr:col>45</xdr:col>
      <xdr:colOff>138043</xdr:colOff>
      <xdr:row>93</xdr:row>
      <xdr:rowOff>162699</xdr:rowOff>
    </xdr:from>
    <xdr:to>
      <xdr:col>58</xdr:col>
      <xdr:colOff>739913</xdr:colOff>
      <xdr:row>109</xdr:row>
      <xdr:rowOff>143566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4096C6F-D513-188F-667C-EE6602D7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25217" y="10228829"/>
          <a:ext cx="6129130" cy="2896345"/>
        </a:xfrm>
        <a:prstGeom prst="rect">
          <a:avLst/>
        </a:prstGeom>
      </xdr:spPr>
    </xdr:pic>
    <xdr:clientData/>
  </xdr:twoCellAnchor>
  <xdr:twoCellAnchor editAs="oneCell">
    <xdr:from>
      <xdr:col>45</xdr:col>
      <xdr:colOff>127000</xdr:colOff>
      <xdr:row>112</xdr:row>
      <xdr:rowOff>121479</xdr:rowOff>
    </xdr:from>
    <xdr:to>
      <xdr:col>58</xdr:col>
      <xdr:colOff>367208</xdr:colOff>
      <xdr:row>128</xdr:row>
      <xdr:rowOff>38652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BE75F-E4F5-D5B4-E70F-AF6C195CA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14174" y="13688392"/>
          <a:ext cx="5767468" cy="2832652"/>
        </a:xfrm>
        <a:prstGeom prst="rect">
          <a:avLst/>
        </a:prstGeom>
      </xdr:spPr>
    </xdr:pic>
    <xdr:clientData/>
  </xdr:twoCellAnchor>
  <xdr:twoCellAnchor editAs="oneCell">
    <xdr:from>
      <xdr:col>44</xdr:col>
      <xdr:colOff>331305</xdr:colOff>
      <xdr:row>128</xdr:row>
      <xdr:rowOff>148756</xdr:rowOff>
    </xdr:from>
    <xdr:to>
      <xdr:col>58</xdr:col>
      <xdr:colOff>441738</xdr:colOff>
      <xdr:row>143</xdr:row>
      <xdr:rowOff>156891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93D2C64-D20D-8701-2866-2AE99813E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3305" y="16631147"/>
          <a:ext cx="6062869" cy="2741396"/>
        </a:xfrm>
        <a:prstGeom prst="rect">
          <a:avLst/>
        </a:prstGeom>
      </xdr:spPr>
    </xdr:pic>
    <xdr:clientData/>
  </xdr:twoCellAnchor>
  <xdr:twoCellAnchor editAs="oneCell">
    <xdr:from>
      <xdr:col>45</xdr:col>
      <xdr:colOff>5522</xdr:colOff>
      <xdr:row>147</xdr:row>
      <xdr:rowOff>27608</xdr:rowOff>
    </xdr:from>
    <xdr:to>
      <xdr:col>56</xdr:col>
      <xdr:colOff>414132</xdr:colOff>
      <xdr:row>162</xdr:row>
      <xdr:rowOff>56558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D3DCFE2-1B21-29D0-43F9-AC59CF5E4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92696" y="20010782"/>
          <a:ext cx="5085522" cy="2762211"/>
        </a:xfrm>
        <a:prstGeom prst="rect">
          <a:avLst/>
        </a:prstGeom>
      </xdr:spPr>
    </xdr:pic>
    <xdr:clientData/>
  </xdr:twoCellAnchor>
  <xdr:twoCellAnchor editAs="oneCell">
    <xdr:from>
      <xdr:col>44</xdr:col>
      <xdr:colOff>226392</xdr:colOff>
      <xdr:row>164</xdr:row>
      <xdr:rowOff>27609</xdr:rowOff>
    </xdr:from>
    <xdr:to>
      <xdr:col>58</xdr:col>
      <xdr:colOff>356445</xdr:colOff>
      <xdr:row>180</xdr:row>
      <xdr:rowOff>31161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5A4753D-4727-741A-E47F-F3FA05EA6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88392" y="23108479"/>
          <a:ext cx="6082489" cy="2919030"/>
        </a:xfrm>
        <a:prstGeom prst="rect">
          <a:avLst/>
        </a:prstGeom>
      </xdr:spPr>
    </xdr:pic>
    <xdr:clientData/>
  </xdr:twoCellAnchor>
  <xdr:twoCellAnchor editAs="oneCell">
    <xdr:from>
      <xdr:col>43</xdr:col>
      <xdr:colOff>187738</xdr:colOff>
      <xdr:row>2</xdr:row>
      <xdr:rowOff>11044</xdr:rowOff>
    </xdr:from>
    <xdr:to>
      <xdr:col>58</xdr:col>
      <xdr:colOff>1686841</xdr:colOff>
      <xdr:row>20</xdr:row>
      <xdr:rowOff>171824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089905-2BB8-4329-9F86-5DF60BB79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786326" y="526515"/>
          <a:ext cx="7751986" cy="3522544"/>
        </a:xfrm>
        <a:prstGeom prst="rect">
          <a:avLst/>
        </a:prstGeom>
      </xdr:spPr>
    </xdr:pic>
    <xdr:clientData/>
  </xdr:twoCellAnchor>
  <xdr:twoCellAnchor editAs="oneCell">
    <xdr:from>
      <xdr:col>43</xdr:col>
      <xdr:colOff>276880</xdr:colOff>
      <xdr:row>21</xdr:row>
      <xdr:rowOff>15019</xdr:rowOff>
    </xdr:from>
    <xdr:to>
      <xdr:col>57</xdr:col>
      <xdr:colOff>343647</xdr:colOff>
      <xdr:row>39</xdr:row>
      <xdr:rowOff>48711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661863-9C46-49F3-98B7-7B1E856B7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875468" y="4079019"/>
          <a:ext cx="5893826" cy="3395457"/>
        </a:xfrm>
        <a:prstGeom prst="rect">
          <a:avLst/>
        </a:prstGeom>
      </xdr:spPr>
    </xdr:pic>
    <xdr:clientData/>
  </xdr:twoCellAnchor>
  <xdr:twoCellAnchor editAs="oneCell">
    <xdr:from>
      <xdr:col>29</xdr:col>
      <xdr:colOff>125048</xdr:colOff>
      <xdr:row>2</xdr:row>
      <xdr:rowOff>78044</xdr:rowOff>
    </xdr:from>
    <xdr:to>
      <xdr:col>41</xdr:col>
      <xdr:colOff>385490</xdr:colOff>
      <xdr:row>20</xdr:row>
      <xdr:rowOff>171824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F534CE5-D4A4-6DBC-C27C-55F272A37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112166" y="593515"/>
          <a:ext cx="6386325" cy="3455544"/>
        </a:xfrm>
        <a:prstGeom prst="rect">
          <a:avLst/>
        </a:prstGeom>
      </xdr:spPr>
    </xdr:pic>
    <xdr:clientData/>
  </xdr:twoCellAnchor>
  <xdr:twoCellAnchor editAs="oneCell">
    <xdr:from>
      <xdr:col>29</xdr:col>
      <xdr:colOff>49403</xdr:colOff>
      <xdr:row>22</xdr:row>
      <xdr:rowOff>88457</xdr:rowOff>
    </xdr:from>
    <xdr:to>
      <xdr:col>39</xdr:col>
      <xdr:colOff>374949</xdr:colOff>
      <xdr:row>36</xdr:row>
      <xdr:rowOff>100428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0017554-87AC-C23C-1B05-1A12D8C22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36521" y="4339222"/>
          <a:ext cx="5599782" cy="2626677"/>
        </a:xfrm>
        <a:prstGeom prst="rect">
          <a:avLst/>
        </a:prstGeom>
      </xdr:spPr>
    </xdr:pic>
    <xdr:clientData/>
  </xdr:twoCellAnchor>
  <xdr:twoCellAnchor editAs="oneCell">
    <xdr:from>
      <xdr:col>29</xdr:col>
      <xdr:colOff>27607</xdr:colOff>
      <xdr:row>41</xdr:row>
      <xdr:rowOff>16567</xdr:rowOff>
    </xdr:from>
    <xdr:to>
      <xdr:col>39</xdr:col>
      <xdr:colOff>226782</xdr:colOff>
      <xdr:row>57</xdr:row>
      <xdr:rowOff>27608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8BC08EF-1640-1A6F-EE8C-D6D91CCC0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370390" y="7675219"/>
          <a:ext cx="5465615" cy="2965172"/>
        </a:xfrm>
        <a:prstGeom prst="rect">
          <a:avLst/>
        </a:prstGeom>
      </xdr:spPr>
    </xdr:pic>
    <xdr:clientData/>
  </xdr:twoCellAnchor>
  <xdr:twoCellAnchor editAs="oneCell">
    <xdr:from>
      <xdr:col>21</xdr:col>
      <xdr:colOff>147847</xdr:colOff>
      <xdr:row>1</xdr:row>
      <xdr:rowOff>164784</xdr:rowOff>
    </xdr:from>
    <xdr:to>
      <xdr:col>26</xdr:col>
      <xdr:colOff>648298</xdr:colOff>
      <xdr:row>21</xdr:row>
      <xdr:rowOff>136743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6832613-F000-67DB-36A9-12E50D307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30553" y="493490"/>
          <a:ext cx="7380862" cy="3707253"/>
        </a:xfrm>
        <a:prstGeom prst="rect">
          <a:avLst/>
        </a:prstGeom>
      </xdr:spPr>
    </xdr:pic>
    <xdr:clientData/>
  </xdr:twoCellAnchor>
  <xdr:twoCellAnchor editAs="oneCell">
    <xdr:from>
      <xdr:col>21</xdr:col>
      <xdr:colOff>52293</xdr:colOff>
      <xdr:row>22</xdr:row>
      <xdr:rowOff>105789</xdr:rowOff>
    </xdr:from>
    <xdr:to>
      <xdr:col>27</xdr:col>
      <xdr:colOff>680506</xdr:colOff>
      <xdr:row>40</xdr:row>
      <xdr:rowOff>1121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A82D6B9-D1CB-5D54-5423-37FAC7A25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34999" y="4356554"/>
          <a:ext cx="8240741" cy="3257096"/>
        </a:xfrm>
        <a:prstGeom prst="rect">
          <a:avLst/>
        </a:prstGeom>
      </xdr:spPr>
    </xdr:pic>
    <xdr:clientData/>
  </xdr:twoCellAnchor>
  <xdr:twoCellAnchor editAs="oneCell">
    <xdr:from>
      <xdr:col>23</xdr:col>
      <xdr:colOff>41902</xdr:colOff>
      <xdr:row>42</xdr:row>
      <xdr:rowOff>49613</xdr:rowOff>
    </xdr:from>
    <xdr:to>
      <xdr:col>26</xdr:col>
      <xdr:colOff>82177</xdr:colOff>
      <xdr:row>58</xdr:row>
      <xdr:rowOff>125176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743E4F-0E8C-44FB-DEE6-730A74AB6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88843" y="8110378"/>
          <a:ext cx="5456452" cy="3063798"/>
        </a:xfrm>
        <a:prstGeom prst="rect">
          <a:avLst/>
        </a:prstGeom>
      </xdr:spPr>
    </xdr:pic>
    <xdr:clientData/>
  </xdr:twoCellAnchor>
  <xdr:twoCellAnchor editAs="oneCell">
    <xdr:from>
      <xdr:col>12</xdr:col>
      <xdr:colOff>366059</xdr:colOff>
      <xdr:row>2</xdr:row>
      <xdr:rowOff>132213</xdr:rowOff>
    </xdr:from>
    <xdr:to>
      <xdr:col>18</xdr:col>
      <xdr:colOff>968377</xdr:colOff>
      <xdr:row>20</xdr:row>
      <xdr:rowOff>52295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BCA9DB7-4045-ED36-ED97-47C02F653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89000" y="647684"/>
          <a:ext cx="7004612" cy="3281846"/>
        </a:xfrm>
        <a:prstGeom prst="rect">
          <a:avLst/>
        </a:prstGeom>
      </xdr:spPr>
    </xdr:pic>
    <xdr:clientData/>
  </xdr:twoCellAnchor>
  <xdr:twoCellAnchor editAs="oneCell">
    <xdr:from>
      <xdr:col>12</xdr:col>
      <xdr:colOff>119529</xdr:colOff>
      <xdr:row>22</xdr:row>
      <xdr:rowOff>98267</xdr:rowOff>
    </xdr:from>
    <xdr:to>
      <xdr:col>19</xdr:col>
      <xdr:colOff>436193</xdr:colOff>
      <xdr:row>39</xdr:row>
      <xdr:rowOff>60081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DE1E546-4226-9EC6-010D-659C0C26C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42470" y="4349032"/>
          <a:ext cx="7727488" cy="3136814"/>
        </a:xfrm>
        <a:prstGeom prst="rect">
          <a:avLst/>
        </a:prstGeom>
      </xdr:spPr>
    </xdr:pic>
    <xdr:clientData/>
  </xdr:twoCellAnchor>
  <xdr:twoCellAnchor editAs="oneCell">
    <xdr:from>
      <xdr:col>12</xdr:col>
      <xdr:colOff>433296</xdr:colOff>
      <xdr:row>40</xdr:row>
      <xdr:rowOff>213392</xdr:rowOff>
    </xdr:from>
    <xdr:to>
      <xdr:col>17</xdr:col>
      <xdr:colOff>1524001</xdr:colOff>
      <xdr:row>57</xdr:row>
      <xdr:rowOff>77532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A52AF24-2FDB-78B8-959A-18764FC6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6237" y="7825921"/>
          <a:ext cx="5647764" cy="3113846"/>
        </a:xfrm>
        <a:prstGeom prst="rect">
          <a:avLst/>
        </a:prstGeom>
      </xdr:spPr>
    </xdr:pic>
    <xdr:clientData/>
  </xdr:twoCellAnchor>
  <xdr:twoCellAnchor editAs="oneCell">
    <xdr:from>
      <xdr:col>2</xdr:col>
      <xdr:colOff>82179</xdr:colOff>
      <xdr:row>2</xdr:row>
      <xdr:rowOff>171823</xdr:rowOff>
    </xdr:from>
    <xdr:to>
      <xdr:col>10</xdr:col>
      <xdr:colOff>354462</xdr:colOff>
      <xdr:row>20</xdr:row>
      <xdr:rowOff>168286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0601B15-4705-37AB-A61F-8E937035D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61355" y="687294"/>
          <a:ext cx="7167636" cy="3358227"/>
        </a:xfrm>
        <a:prstGeom prst="rect">
          <a:avLst/>
        </a:prstGeom>
      </xdr:spPr>
    </xdr:pic>
    <xdr:clientData/>
  </xdr:twoCellAnchor>
  <xdr:twoCellAnchor editAs="oneCell">
    <xdr:from>
      <xdr:col>2</xdr:col>
      <xdr:colOff>59765</xdr:colOff>
      <xdr:row>22</xdr:row>
      <xdr:rowOff>83441</xdr:rowOff>
    </xdr:from>
    <xdr:to>
      <xdr:col>10</xdr:col>
      <xdr:colOff>470648</xdr:colOff>
      <xdr:row>38</xdr:row>
      <xdr:rowOff>143283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02F6134-BF93-3BB4-98D0-79523D350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38941" y="4334206"/>
          <a:ext cx="7306236" cy="3048077"/>
        </a:xfrm>
        <a:prstGeom prst="rect">
          <a:avLst/>
        </a:prstGeom>
      </xdr:spPr>
    </xdr:pic>
    <xdr:clientData/>
  </xdr:twoCellAnchor>
  <xdr:twoCellAnchor editAs="oneCell">
    <xdr:from>
      <xdr:col>2</xdr:col>
      <xdr:colOff>537882</xdr:colOff>
      <xdr:row>40</xdr:row>
      <xdr:rowOff>194236</xdr:rowOff>
    </xdr:from>
    <xdr:to>
      <xdr:col>10</xdr:col>
      <xdr:colOff>232876</xdr:colOff>
      <xdr:row>57</xdr:row>
      <xdr:rowOff>127000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DF8CCB8-0698-B2FA-5276-59594564C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17058" y="7806765"/>
          <a:ext cx="6590347" cy="318247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44824</xdr:colOff>
      <xdr:row>14</xdr:row>
      <xdr:rowOff>141941</xdr:rowOff>
    </xdr:from>
    <xdr:to>
      <xdr:col>9</xdr:col>
      <xdr:colOff>366058</xdr:colOff>
      <xdr:row>33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6B54B-9E22-48E4-9BB4-19FB2AA03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14943</xdr:colOff>
      <xdr:row>14</xdr:row>
      <xdr:rowOff>171824</xdr:rowOff>
    </xdr:from>
    <xdr:to>
      <xdr:col>19</xdr:col>
      <xdr:colOff>433294</xdr:colOff>
      <xdr:row>32</xdr:row>
      <xdr:rowOff>112059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7D06BE-A962-4A81-955F-8A29AB6A8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22414</xdr:colOff>
      <xdr:row>49</xdr:row>
      <xdr:rowOff>25397</xdr:rowOff>
    </xdr:from>
    <xdr:to>
      <xdr:col>8</xdr:col>
      <xdr:colOff>14942</xdr:colOff>
      <xdr:row>65</xdr:row>
      <xdr:rowOff>97116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18D107-EABC-411E-A778-C1742A27C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134471</xdr:colOff>
      <xdr:row>49</xdr:row>
      <xdr:rowOff>22413</xdr:rowOff>
    </xdr:from>
    <xdr:to>
      <xdr:col>19</xdr:col>
      <xdr:colOff>254000</xdr:colOff>
      <xdr:row>65</xdr:row>
      <xdr:rowOff>112059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5DB6F5-37B5-4296-945F-7F0AE2F02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112059</xdr:colOff>
      <xdr:row>82</xdr:row>
      <xdr:rowOff>2986</xdr:rowOff>
    </xdr:from>
    <xdr:to>
      <xdr:col>8</xdr:col>
      <xdr:colOff>179294</xdr:colOff>
      <xdr:row>98</xdr:row>
      <xdr:rowOff>104589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82379B3-528B-466E-9612-CBE744F7F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104587</xdr:colOff>
      <xdr:row>82</xdr:row>
      <xdr:rowOff>7470</xdr:rowOff>
    </xdr:from>
    <xdr:to>
      <xdr:col>17</xdr:col>
      <xdr:colOff>702235</xdr:colOff>
      <xdr:row>98</xdr:row>
      <xdr:rowOff>149412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843841C-F459-499D-891C-F406C2B3A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149412</xdr:colOff>
      <xdr:row>116</xdr:row>
      <xdr:rowOff>3</xdr:rowOff>
    </xdr:from>
    <xdr:to>
      <xdr:col>19</xdr:col>
      <xdr:colOff>455706</xdr:colOff>
      <xdr:row>130</xdr:row>
      <xdr:rowOff>59765</xdr:rowOff>
    </xdr:to>
    <xdr:graphicFrame macro="">
      <xdr:nvGraphicFramePr>
        <xdr:cNvPr id="8" name="Chart 8">
          <a:extLst>
            <a:ext uri="{FF2B5EF4-FFF2-40B4-BE49-F238E27FC236}">
              <a16:creationId xmlns:a16="http://schemas.microsoft.com/office/drawing/2014/main" id="{8342F280-9901-48E8-9F89-00470A47A8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48559</xdr:colOff>
      <xdr:row>116</xdr:row>
      <xdr:rowOff>14941</xdr:rowOff>
    </xdr:from>
    <xdr:to>
      <xdr:col>7</xdr:col>
      <xdr:colOff>112060</xdr:colOff>
      <xdr:row>131</xdr:row>
      <xdr:rowOff>0</xdr:rowOff>
    </xdr:to>
    <xdr:graphicFrame macro="">
      <xdr:nvGraphicFramePr>
        <xdr:cNvPr id="9" name="Chart 9">
          <a:extLst>
            <a:ext uri="{FF2B5EF4-FFF2-40B4-BE49-F238E27FC236}">
              <a16:creationId xmlns:a16="http://schemas.microsoft.com/office/drawing/2014/main" id="{E160C3FB-B1A2-4A87-9814-11546F25C8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0.83007</cdr:x>
      <cdr:y>0.03755</cdr:y>
    </cdr:from>
    <cdr:to>
      <cdr:x>0.96593</cdr:x>
      <cdr:y>0.12579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936066-88A1-BE30-6A35-2D555BEEC910}"/>
            </a:ext>
          </a:extLst>
        </cdr:cNvPr>
        <cdr:cNvSpPr txBox="1"/>
      </cdr:nvSpPr>
      <cdr:spPr>
        <a:xfrm xmlns:a="http://schemas.openxmlformats.org/drawingml/2006/main">
          <a:off x="4743823" y="133822"/>
          <a:ext cx="776446" cy="3144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 kern="1200">
              <a:solidFill>
                <a:schemeClr val="accent2">
                  <a:lumMod val="75000"/>
                </a:schemeClr>
              </a:solidFill>
            </a:rPr>
            <a:t>ĐVT:</a:t>
          </a:r>
          <a:r>
            <a:rPr lang="en-US" sz="1200" b="1" kern="1200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sz="1200" b="1" kern="1200">
              <a:solidFill>
                <a:schemeClr val="accent2">
                  <a:lumMod val="75000"/>
                </a:schemeClr>
              </a:solidFill>
            </a:rPr>
            <a:t>tấn</a:t>
          </a:r>
          <a:endParaRPr lang="en-US" sz="1100" b="1" kern="1200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0.82982</cdr:x>
      <cdr:y>0.09846</cdr:y>
    </cdr:from>
    <cdr:to>
      <cdr:x>0.99718</cdr:x>
      <cdr:y>0.19551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17B68D6-2458-FDAF-62AB-5D488761D208}"/>
            </a:ext>
          </a:extLst>
        </cdr:cNvPr>
        <cdr:cNvSpPr txBox="1"/>
      </cdr:nvSpPr>
      <cdr:spPr>
        <a:xfrm xmlns:a="http://schemas.openxmlformats.org/drawingml/2006/main">
          <a:off x="4698999" y="327311"/>
          <a:ext cx="947730" cy="3226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 kern="1200">
              <a:solidFill>
                <a:schemeClr val="accent2">
                  <a:lumMod val="75000"/>
                </a:schemeClr>
              </a:solidFill>
            </a:rPr>
            <a:t>ĐVT:</a:t>
          </a:r>
          <a:r>
            <a:rPr lang="en-US" sz="1200" b="1" kern="1200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sz="1200" b="1" kern="1200">
              <a:solidFill>
                <a:schemeClr val="accent2">
                  <a:lumMod val="75000"/>
                </a:schemeClr>
              </a:solidFill>
            </a:rPr>
            <a:t>tấn</a:t>
          </a:r>
          <a:endParaRPr lang="en-US" sz="1100" b="1" kern="1200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0.80667</cdr:x>
      <cdr:y>0.02309</cdr:y>
    </cdr:from>
    <cdr:to>
      <cdr:x>0.99</cdr:x>
      <cdr:y>0.18945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484832F-CE42-DD71-ED11-55148DF08DF0}"/>
            </a:ext>
          </a:extLst>
        </cdr:cNvPr>
        <cdr:cNvSpPr txBox="1"/>
      </cdr:nvSpPr>
      <cdr:spPr>
        <a:xfrm xmlns:a="http://schemas.openxmlformats.org/drawingml/2006/main">
          <a:off x="3615763" y="70641"/>
          <a:ext cx="821765" cy="5090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 kern="1200">
              <a:solidFill>
                <a:schemeClr val="accent2">
                  <a:lumMod val="75000"/>
                </a:schemeClr>
              </a:solidFill>
            </a:rPr>
            <a:t>ĐVT:</a:t>
          </a:r>
          <a:r>
            <a:rPr lang="en-US" sz="1200" b="1" kern="1200" baseline="0">
              <a:solidFill>
                <a:schemeClr val="accent2">
                  <a:lumMod val="75000"/>
                </a:schemeClr>
              </a:solidFill>
            </a:rPr>
            <a:t> ngàn USD</a:t>
          </a:r>
          <a:endParaRPr lang="en-US" sz="1100" b="1" kern="1200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0.71838</cdr:x>
      <cdr:y>0.09494</cdr:y>
    </cdr:from>
    <cdr:to>
      <cdr:x>0.98386</cdr:x>
      <cdr:y>0.17961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484832F-CE42-DD71-ED11-55148DF08DF0}"/>
            </a:ext>
          </a:extLst>
        </cdr:cNvPr>
        <cdr:cNvSpPr txBox="1"/>
      </cdr:nvSpPr>
      <cdr:spPr>
        <a:xfrm xmlns:a="http://schemas.openxmlformats.org/drawingml/2006/main">
          <a:off x="3182471" y="292212"/>
          <a:ext cx="1176090" cy="2606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 kern="1200">
              <a:solidFill>
                <a:schemeClr val="accent2">
                  <a:lumMod val="75000"/>
                </a:schemeClr>
              </a:solidFill>
            </a:rPr>
            <a:t>ĐVT:</a:t>
          </a:r>
          <a:r>
            <a:rPr lang="en-US" sz="1200" b="1" kern="1200" baseline="0">
              <a:solidFill>
                <a:schemeClr val="accent2">
                  <a:lumMod val="75000"/>
                </a:schemeClr>
              </a:solidFill>
            </a:rPr>
            <a:t> ngàn USD</a:t>
          </a:r>
          <a:endParaRPr lang="en-US" sz="1100" b="1" kern="1200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0.73116</cdr:x>
      <cdr:y>0.1027</cdr:y>
    </cdr:from>
    <cdr:to>
      <cdr:x>1</cdr:x>
      <cdr:y>0.19971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38FF46B-5C52-1EE7-EF22-8E7F226FC1E1}"/>
            </a:ext>
          </a:extLst>
        </cdr:cNvPr>
        <cdr:cNvSpPr txBox="1"/>
      </cdr:nvSpPr>
      <cdr:spPr>
        <a:xfrm xmlns:a="http://schemas.openxmlformats.org/drawingml/2006/main">
          <a:off x="3331939" y="317320"/>
          <a:ext cx="1225120" cy="2997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 kern="1200">
              <a:solidFill>
                <a:schemeClr val="accent2">
                  <a:lumMod val="75000"/>
                </a:schemeClr>
              </a:solidFill>
            </a:rPr>
            <a:t>ĐVT:</a:t>
          </a:r>
          <a:r>
            <a:rPr lang="en-US" sz="1200" b="1" kern="1200" baseline="0">
              <a:solidFill>
                <a:schemeClr val="accent2">
                  <a:lumMod val="75000"/>
                </a:schemeClr>
              </a:solidFill>
            </a:rPr>
            <a:t> ngàn USD</a:t>
          </a:r>
          <a:endParaRPr lang="en-US" sz="1100" b="1" kern="1200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0.65187</cdr:x>
      <cdr:y>0.10201</cdr:y>
    </cdr:from>
    <cdr:to>
      <cdr:x>1</cdr:x>
      <cdr:y>0.179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618403D-BC48-C831-781E-BCAEA7EBF21E}"/>
            </a:ext>
          </a:extLst>
        </cdr:cNvPr>
        <cdr:cNvSpPr txBox="1"/>
      </cdr:nvSpPr>
      <cdr:spPr>
        <a:xfrm xmlns:a="http://schemas.openxmlformats.org/drawingml/2006/main">
          <a:off x="2649184" y="319307"/>
          <a:ext cx="1414817" cy="24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 kern="1200">
              <a:solidFill>
                <a:schemeClr val="accent2">
                  <a:lumMod val="75000"/>
                </a:schemeClr>
              </a:solidFill>
            </a:rPr>
            <a:t>ĐVT:</a:t>
          </a:r>
          <a:r>
            <a:rPr lang="en-US" sz="1200" b="1" kern="1200" baseline="0">
              <a:solidFill>
                <a:schemeClr val="accent2">
                  <a:lumMod val="75000"/>
                </a:schemeClr>
              </a:solidFill>
            </a:rPr>
            <a:t> ngàn USD</a:t>
          </a:r>
          <a:endParaRPr lang="en-US" sz="1100" b="1" kern="1200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448233</xdr:colOff>
      <xdr:row>13</xdr:row>
      <xdr:rowOff>146056</xdr:rowOff>
    </xdr:from>
    <xdr:to>
      <xdr:col>14</xdr:col>
      <xdr:colOff>575234</xdr:colOff>
      <xdr:row>30</xdr:row>
      <xdr:rowOff>149412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195559-3659-4D72-A674-0C9E16C1F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306295</xdr:colOff>
      <xdr:row>13</xdr:row>
      <xdr:rowOff>179294</xdr:rowOff>
    </xdr:from>
    <xdr:to>
      <xdr:col>7</xdr:col>
      <xdr:colOff>366059</xdr:colOff>
      <xdr:row>30</xdr:row>
      <xdr:rowOff>156882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E411B4-A1A1-4116-BE8E-1E5ABCF9C8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142688</xdr:colOff>
          <xdr:row>43</xdr:row>
          <xdr:rowOff>82174</xdr:rowOff>
        </xdr:from>
        <xdr:to>
          <xdr:col>7</xdr:col>
          <xdr:colOff>508000</xdr:colOff>
          <xdr:row>50</xdr:row>
          <xdr:rowOff>88524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E64B2D1B-0081-2D23-EFDD-80AFC9681A1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$36:$G$41" spid="_x0000_s996824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658159" y="8904939"/>
              <a:ext cx="5527488" cy="131370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2</xdr:col>
      <xdr:colOff>82176</xdr:colOff>
      <xdr:row>36</xdr:row>
      <xdr:rowOff>14941</xdr:rowOff>
    </xdr:from>
    <xdr:to>
      <xdr:col>2</xdr:col>
      <xdr:colOff>216646</xdr:colOff>
      <xdr:row>39</xdr:row>
      <xdr:rowOff>156882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F3D404C2-B126-4EA6-BCA1-97B5E6108DFE}"/>
            </a:ext>
          </a:extLst>
        </xdr:cNvPr>
        <xdr:cNvSpPr/>
      </xdr:nvSpPr>
      <xdr:spPr>
        <a:xfrm rot="10800000">
          <a:off x="1404470" y="7104529"/>
          <a:ext cx="134470" cy="70223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24</xdr:row>
      <xdr:rowOff>127000</xdr:rowOff>
    </xdr:from>
    <xdr:to>
      <xdr:col>10</xdr:col>
      <xdr:colOff>313680</xdr:colOff>
      <xdr:row>41</xdr:row>
      <xdr:rowOff>154452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D785B2-5160-B896-C2D2-D6E8E68F7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4692650"/>
          <a:ext cx="5742930" cy="3158002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24</xdr:row>
      <xdr:rowOff>88900</xdr:rowOff>
    </xdr:from>
    <xdr:to>
      <xdr:col>21</xdr:col>
      <xdr:colOff>188760</xdr:colOff>
      <xdr:row>41</xdr:row>
      <xdr:rowOff>146834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DB0B21-D471-08B5-589E-FDEC58D93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6550" y="4654550"/>
          <a:ext cx="6303810" cy="3188484"/>
        </a:xfrm>
        <a:prstGeom prst="rect">
          <a:avLst/>
        </a:prstGeom>
      </xdr:spPr>
    </xdr:pic>
    <xdr:clientData/>
  </xdr:twoCellAnchor>
  <xdr:twoCellAnchor editAs="oneCell">
    <xdr:from>
      <xdr:col>21</xdr:col>
      <xdr:colOff>336550</xdr:colOff>
      <xdr:row>29</xdr:row>
      <xdr:rowOff>88900</xdr:rowOff>
    </xdr:from>
    <xdr:to>
      <xdr:col>30</xdr:col>
      <xdr:colOff>404087</xdr:colOff>
      <xdr:row>36</xdr:row>
      <xdr:rowOff>134990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1A87C8-A391-779E-6DE8-CDD6C3EF9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38150" y="5575300"/>
          <a:ext cx="5553937" cy="133514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3</xdr:row>
      <xdr:rowOff>50800</xdr:rowOff>
    </xdr:from>
    <xdr:to>
      <xdr:col>7</xdr:col>
      <xdr:colOff>497818</xdr:colOff>
      <xdr:row>16</xdr:row>
      <xdr:rowOff>52455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A8513E-FBAF-D066-B2A8-6A7B2D059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749300"/>
          <a:ext cx="4231618" cy="2395605"/>
        </a:xfrm>
        <a:prstGeom prst="rect">
          <a:avLst/>
        </a:prstGeom>
      </xdr:spPr>
    </xdr:pic>
    <xdr:clientData/>
  </xdr:twoCellAnchor>
  <xdr:twoCellAnchor editAs="oneCell">
    <xdr:from>
      <xdr:col>8</xdr:col>
      <xdr:colOff>44450</xdr:colOff>
      <xdr:row>3</xdr:row>
      <xdr:rowOff>38100</xdr:rowOff>
    </xdr:from>
    <xdr:to>
      <xdr:col>15</xdr:col>
      <xdr:colOff>183536</xdr:colOff>
      <xdr:row>16</xdr:row>
      <xdr:rowOff>39755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0850BF-254A-C670-3D1E-52293CF36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1250" y="736600"/>
          <a:ext cx="4406286" cy="2395605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508000</xdr:colOff>
      <xdr:row>3</xdr:row>
      <xdr:rowOff>19050</xdr:rowOff>
    </xdr:from>
    <xdr:to>
      <xdr:col>30</xdr:col>
      <xdr:colOff>417429</xdr:colOff>
      <xdr:row>14</xdr:row>
      <xdr:rowOff>90178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5A81ED-5803-9508-152D-5515CF11F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52000" y="717550"/>
          <a:ext cx="9053429" cy="2096778"/>
        </a:xfrm>
        <a:prstGeom prst="rect">
          <a:avLst/>
        </a:prstGeom>
      </xdr:spPr>
    </xdr:pic>
    <xdr:clientData/>
  </xdr:twoCellAnchor>
  <xdr:twoCellAnchor editAs="oneCell">
    <xdr:from>
      <xdr:col>9</xdr:col>
      <xdr:colOff>107950</xdr:colOff>
      <xdr:row>45</xdr:row>
      <xdr:rowOff>152400</xdr:rowOff>
    </xdr:from>
    <xdr:to>
      <xdr:col>17</xdr:col>
      <xdr:colOff>454953</xdr:colOff>
      <xdr:row>60</xdr:row>
      <xdr:rowOff>27263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1D7861B-8548-9D12-1017-161026BEE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94350" y="8585200"/>
          <a:ext cx="5223803" cy="2637113"/>
        </a:xfrm>
        <a:prstGeom prst="rect">
          <a:avLst/>
        </a:prstGeom>
      </xdr:spPr>
    </xdr:pic>
    <xdr:clientData/>
  </xdr:twoCellAnchor>
  <xdr:twoCellAnchor editAs="oneCell">
    <xdr:from>
      <xdr:col>18</xdr:col>
      <xdr:colOff>31751</xdr:colOff>
      <xdr:row>47</xdr:row>
      <xdr:rowOff>24184</xdr:rowOff>
    </xdr:from>
    <xdr:to>
      <xdr:col>24</xdr:col>
      <xdr:colOff>584201</xdr:colOff>
      <xdr:row>52</xdr:row>
      <xdr:rowOff>115686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E4E8BC-2DF4-000B-DA63-59F8954B6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04551" y="8825284"/>
          <a:ext cx="4210050" cy="101225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45</xdr:row>
      <xdr:rowOff>171450</xdr:rowOff>
    </xdr:from>
    <xdr:to>
      <xdr:col>8</xdr:col>
      <xdr:colOff>423464</xdr:colOff>
      <xdr:row>59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4B18BEE-8958-B449-63BF-1CCEEA851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5000" y="8604250"/>
          <a:ext cx="4665264" cy="2565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50800</xdr:rowOff>
    </xdr:from>
    <xdr:to>
      <xdr:col>9</xdr:col>
      <xdr:colOff>23149</xdr:colOff>
      <xdr:row>77</xdr:row>
      <xdr:rowOff>167152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1C0170-3C13-21FC-2229-EAC6C1B0A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1798300"/>
          <a:ext cx="4899949" cy="2694452"/>
        </a:xfrm>
        <a:prstGeom prst="rect">
          <a:avLst/>
        </a:prstGeom>
      </xdr:spPr>
    </xdr:pic>
    <xdr:clientData/>
  </xdr:twoCellAnchor>
  <xdr:twoCellAnchor editAs="oneCell">
    <xdr:from>
      <xdr:col>9</xdr:col>
      <xdr:colOff>298450</xdr:colOff>
      <xdr:row>63</xdr:row>
      <xdr:rowOff>75078</xdr:rowOff>
    </xdr:from>
    <xdr:to>
      <xdr:col>18</xdr:col>
      <xdr:colOff>156503</xdr:colOff>
      <xdr:row>78</xdr:row>
      <xdr:rowOff>10848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9D42C34-C154-1C4B-16DF-410BF8E3D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4850" y="11822578"/>
          <a:ext cx="5344453" cy="2698020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65</xdr:row>
      <xdr:rowOff>6350</xdr:rowOff>
    </xdr:from>
    <xdr:to>
      <xdr:col>28</xdr:col>
      <xdr:colOff>162787</xdr:colOff>
      <xdr:row>72</xdr:row>
      <xdr:rowOff>52440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29A434B-1FBD-24F9-399A-3ACDACF0C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77650" y="12122150"/>
          <a:ext cx="5553937" cy="133514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27327</xdr:colOff>
      <xdr:row>200</xdr:row>
      <xdr:rowOff>59505</xdr:rowOff>
    </xdr:from>
    <xdr:to>
      <xdr:col>17</xdr:col>
      <xdr:colOff>169738</xdr:colOff>
      <xdr:row>225</xdr:row>
      <xdr:rowOff>123719</xdr:rowOff>
    </xdr:to>
    <xdr:graphicFrame macro="">
      <xdr:nvGraphicFramePr>
        <xdr:cNvPr id="42" name="Chart 4">
          <a:extLst>
            <a:ext uri="{FF2B5EF4-FFF2-40B4-BE49-F238E27FC236}">
              <a16:creationId xmlns:a16="http://schemas.microsoft.com/office/drawing/2014/main" id="{4CBCB280-F1C9-4484-A69E-FB6D1C04B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385282</xdr:colOff>
      <xdr:row>238</xdr:row>
      <xdr:rowOff>28539</xdr:rowOff>
    </xdr:from>
    <xdr:to>
      <xdr:col>16</xdr:col>
      <xdr:colOff>570787</xdr:colOff>
      <xdr:row>267</xdr:row>
      <xdr:rowOff>57079</xdr:rowOff>
    </xdr:to>
    <xdr:graphicFrame macro="">
      <xdr:nvGraphicFramePr>
        <xdr:cNvPr id="46" name="Chart 4">
          <a:extLst>
            <a:ext uri="{FF2B5EF4-FFF2-40B4-BE49-F238E27FC236}">
              <a16:creationId xmlns:a16="http://schemas.microsoft.com/office/drawing/2014/main" id="{E0CE6656-865A-4B22-9259-B83820777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19050</xdr:colOff>
      <xdr:row>91</xdr:row>
      <xdr:rowOff>101598</xdr:rowOff>
    </xdr:from>
    <xdr:to>
      <xdr:col>29</xdr:col>
      <xdr:colOff>181322</xdr:colOff>
      <xdr:row>111</xdr:row>
      <xdr:rowOff>63499</xdr:rowOff>
    </xdr:to>
    <xdr:graphicFrame macro="">
      <xdr:nvGraphicFramePr>
        <xdr:cNvPr id="38" name="Chart 2">
          <a:extLst>
            <a:ext uri="{FF2B5EF4-FFF2-40B4-BE49-F238E27FC236}">
              <a16:creationId xmlns:a16="http://schemas.microsoft.com/office/drawing/2014/main" id="{C5B763CE-1533-ABAA-10EA-7F112A2BD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27</xdr:col>
      <xdr:colOff>248780</xdr:colOff>
      <xdr:row>93</xdr:row>
      <xdr:rowOff>6676</xdr:rowOff>
    </xdr:from>
    <xdr:to>
      <xdr:col>29</xdr:col>
      <xdr:colOff>31469</xdr:colOff>
      <xdr:row>94</xdr:row>
      <xdr:rowOff>128305</xdr:rowOff>
    </xdr:to>
    <xdr:sp macro="" textlink="">
      <xdr:nvSpPr>
        <xdr:cNvPr id="39" name="TextBox 3">
          <a:extLst>
            <a:ext uri="{FF2B5EF4-FFF2-40B4-BE49-F238E27FC236}">
              <a16:creationId xmlns:a16="http://schemas.microsoft.com/office/drawing/2014/main" id="{B0096710-88F6-44AF-60BD-0B4CC9755019}"/>
            </a:ext>
          </a:extLst>
        </xdr:cNvPr>
        <xdr:cNvSpPr txBox="1"/>
      </xdr:nvSpPr>
      <xdr:spPr>
        <a:xfrm>
          <a:off x="17749380" y="17793026"/>
          <a:ext cx="997621" cy="30577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i="1" u="sng">
              <a:solidFill>
                <a:schemeClr val="accent2">
                  <a:lumMod val="75000"/>
                </a:schemeClr>
              </a:solidFill>
            </a:rPr>
            <a:t>ĐVT:</a:t>
          </a:r>
          <a:r>
            <a:rPr lang="en-US" sz="1100" i="1" u="sng" baseline="0">
              <a:solidFill>
                <a:schemeClr val="accent2">
                  <a:lumMod val="75000"/>
                </a:schemeClr>
              </a:solidFill>
            </a:rPr>
            <a:t> USD/tấn</a:t>
          </a:r>
          <a:endParaRPr lang="en-US" sz="1100" i="1" u="sng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14</xdr:col>
      <xdr:colOff>69850</xdr:colOff>
      <xdr:row>127</xdr:row>
      <xdr:rowOff>12700</xdr:rowOff>
    </xdr:from>
    <xdr:to>
      <xdr:col>29</xdr:col>
      <xdr:colOff>232122</xdr:colOff>
      <xdr:row>146</xdr:row>
      <xdr:rowOff>158746</xdr:rowOff>
    </xdr:to>
    <xdr:graphicFrame macro="">
      <xdr:nvGraphicFramePr>
        <xdr:cNvPr id="35" name="Chart 5">
          <a:extLst>
            <a:ext uri="{FF2B5EF4-FFF2-40B4-BE49-F238E27FC236}">
              <a16:creationId xmlns:a16="http://schemas.microsoft.com/office/drawing/2014/main" id="{B04FDD70-6191-8B7C-B291-D15D8D49A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27</xdr:col>
      <xdr:colOff>140574</xdr:colOff>
      <xdr:row>128</xdr:row>
      <xdr:rowOff>19377</xdr:rowOff>
    </xdr:from>
    <xdr:to>
      <xdr:col>28</xdr:col>
      <xdr:colOff>537667</xdr:colOff>
      <xdr:row>129</xdr:row>
      <xdr:rowOff>141007</xdr:rowOff>
    </xdr:to>
    <xdr:sp macro="" textlink="">
      <xdr:nvSpPr>
        <xdr:cNvPr id="36" name="TextBox 11">
          <a:extLst>
            <a:ext uri="{FF2B5EF4-FFF2-40B4-BE49-F238E27FC236}">
              <a16:creationId xmlns:a16="http://schemas.microsoft.com/office/drawing/2014/main" id="{7A581CB7-1231-8944-8572-7BE37FE739D2}"/>
            </a:ext>
          </a:extLst>
        </xdr:cNvPr>
        <xdr:cNvSpPr txBox="1"/>
      </xdr:nvSpPr>
      <xdr:spPr>
        <a:xfrm>
          <a:off x="17641174" y="24333527"/>
          <a:ext cx="997621" cy="30577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i="1" u="sng">
              <a:solidFill>
                <a:schemeClr val="accent2">
                  <a:lumMod val="75000"/>
                </a:schemeClr>
              </a:solidFill>
            </a:rPr>
            <a:t>ĐVT:</a:t>
          </a:r>
          <a:r>
            <a:rPr lang="en-US" sz="1100" i="1" u="sng" baseline="0">
              <a:solidFill>
                <a:schemeClr val="accent2">
                  <a:lumMod val="75000"/>
                </a:schemeClr>
              </a:solidFill>
            </a:rPr>
            <a:t> USD/tấn</a:t>
          </a:r>
          <a:endParaRPr lang="en-US" sz="1100" i="1" u="sng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14</xdr:col>
      <xdr:colOff>335373</xdr:colOff>
      <xdr:row>52</xdr:row>
      <xdr:rowOff>76908</xdr:rowOff>
    </xdr:from>
    <xdr:to>
      <xdr:col>30</xdr:col>
      <xdr:colOff>528519</xdr:colOff>
      <xdr:row>75</xdr:row>
      <xdr:rowOff>141465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EC16D626-B0EB-39F2-A04F-8CA5D3BDA174}"/>
            </a:ext>
          </a:extLst>
        </xdr:cNvPr>
        <xdr:cNvGrpSpPr/>
      </xdr:nvGrpSpPr>
      <xdr:grpSpPr>
        <a:xfrm>
          <a:off x="1963961" y="10117379"/>
          <a:ext cx="10039382" cy="4360145"/>
          <a:chOff x="436866" y="10358631"/>
          <a:chExt cx="9993610" cy="4362451"/>
        </a:xfrm>
      </xdr:grpSpPr>
      <xdr:grpSp>
        <xdr:nvGrpSpPr>
          <xdr:cNvPr id="31" name="Group 17">
            <a:extLst>
              <a:ext uri="{FF2B5EF4-FFF2-40B4-BE49-F238E27FC236}">
                <a16:creationId xmlns:a16="http://schemas.microsoft.com/office/drawing/2014/main" id="{F9E27B10-5C9B-4458-9FBD-451114157B46}"/>
              </a:ext>
            </a:extLst>
          </xdr:cNvPr>
          <xdr:cNvGrpSpPr/>
        </xdr:nvGrpSpPr>
        <xdr:grpSpPr>
          <a:xfrm>
            <a:off x="436866" y="10358631"/>
            <a:ext cx="9993610" cy="4362451"/>
            <a:chOff x="385162" y="2951179"/>
            <a:chExt cx="9810646" cy="4076700"/>
          </a:xfrm>
        </xdr:grpSpPr>
        <xdr:graphicFrame macro="">
          <xdr:nvGraphicFramePr>
            <xdr:cNvPr id="32" name="Chart 18">
              <a:extLst>
                <a:ext uri="{FF2B5EF4-FFF2-40B4-BE49-F238E27FC236}">
                  <a16:creationId xmlns:a16="http://schemas.microsoft.com/office/drawing/2014/main" id="{E4F07940-ADC7-AE80-51EB-BD661C5500FA}"/>
                </a:ext>
              </a:extLst>
            </xdr:cNvPr>
            <xdr:cNvGraphicFramePr/>
          </xdr:nvGraphicFramePr>
          <xdr:xfrm>
            <a:off x="385162" y="2951179"/>
            <a:ext cx="9810646" cy="40767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sp macro="" textlink="">
          <xdr:nvSpPr>
            <xdr:cNvPr id="33" name="TextBox 19">
              <a:extLst>
                <a:ext uri="{FF2B5EF4-FFF2-40B4-BE49-F238E27FC236}">
                  <a16:creationId xmlns:a16="http://schemas.microsoft.com/office/drawing/2014/main" id="{252765D8-5FCE-D31C-8D0B-322369E2EDBE}"/>
                </a:ext>
              </a:extLst>
            </xdr:cNvPr>
            <xdr:cNvSpPr txBox="1"/>
          </xdr:nvSpPr>
          <xdr:spPr>
            <a:xfrm>
              <a:off x="9024430" y="3074848"/>
              <a:ext cx="977900" cy="28575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 i="1" u="sng">
                  <a:solidFill>
                    <a:schemeClr val="accent2">
                      <a:lumMod val="75000"/>
                    </a:schemeClr>
                  </a:solidFill>
                </a:rPr>
                <a:t>ĐVT:</a:t>
              </a:r>
              <a:r>
                <a:rPr lang="en-US" sz="1100" i="1" u="sng" baseline="0">
                  <a:solidFill>
                    <a:schemeClr val="accent2">
                      <a:lumMod val="75000"/>
                    </a:schemeClr>
                  </a:solidFill>
                </a:rPr>
                <a:t> USD/tấn</a:t>
              </a:r>
              <a:endParaRPr lang="en-US" sz="1100" i="1" u="sng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</xdr:grp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DF055619-114D-4A08-A826-D230ACA8A948}"/>
              </a:ext>
            </a:extLst>
          </xdr:cNvPr>
          <xdr:cNvCxnSpPr/>
        </xdr:nvCxnSpPr>
        <xdr:spPr>
          <a:xfrm>
            <a:off x="3056526" y="11113481"/>
            <a:ext cx="0" cy="3390900"/>
          </a:xfrm>
          <a:prstGeom prst="line">
            <a:avLst/>
          </a:prstGeom>
          <a:ln w="9525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152345</xdr:colOff>
      <xdr:row>14</xdr:row>
      <xdr:rowOff>86513</xdr:rowOff>
    </xdr:from>
    <xdr:to>
      <xdr:col>30</xdr:col>
      <xdr:colOff>714375</xdr:colOff>
      <xdr:row>35</xdr:row>
      <xdr:rowOff>87446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491090C7-772F-812C-12B9-9029C9B5C1EE}"/>
            </a:ext>
          </a:extLst>
        </xdr:cNvPr>
        <xdr:cNvGrpSpPr/>
      </xdr:nvGrpSpPr>
      <xdr:grpSpPr>
        <a:xfrm>
          <a:off x="1780933" y="2880513"/>
          <a:ext cx="10408266" cy="3975286"/>
          <a:chOff x="12598112" y="3477656"/>
          <a:chExt cx="9926917" cy="4128243"/>
        </a:xfrm>
      </xdr:grpSpPr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B3F26FBD-ADA7-4890-8704-457148EDB6D8}"/>
              </a:ext>
            </a:extLst>
          </xdr:cNvPr>
          <xdr:cNvCxnSpPr/>
        </xdr:nvCxnSpPr>
        <xdr:spPr>
          <a:xfrm flipH="1">
            <a:off x="17371359" y="3761815"/>
            <a:ext cx="0" cy="3226173"/>
          </a:xfrm>
          <a:prstGeom prst="line">
            <a:avLst/>
          </a:prstGeom>
          <a:ln w="9525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aphicFrame macro="">
        <xdr:nvGraphicFramePr>
          <xdr:cNvPr id="49" name="Chart 8">
            <a:extLst>
              <a:ext uri="{FF2B5EF4-FFF2-40B4-BE49-F238E27FC236}">
                <a16:creationId xmlns:a16="http://schemas.microsoft.com/office/drawing/2014/main" id="{F8C79E65-B25D-E06D-DDF4-1F8B13A446F4}"/>
              </a:ext>
            </a:extLst>
          </xdr:cNvPr>
          <xdr:cNvGraphicFramePr>
            <a:graphicFrameLocks/>
          </xdr:cNvGraphicFramePr>
        </xdr:nvGraphicFramePr>
        <xdr:xfrm>
          <a:off x="12598112" y="3477656"/>
          <a:ext cx="9926917" cy="412824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F105EBB6-8B29-26DB-ADEC-FE41C9224F54}"/>
              </a:ext>
            </a:extLst>
          </xdr:cNvPr>
          <xdr:cNvCxnSpPr/>
        </xdr:nvCxnSpPr>
        <xdr:spPr>
          <a:xfrm flipH="1">
            <a:off x="15076717" y="4056329"/>
            <a:ext cx="0" cy="3226174"/>
          </a:xfrm>
          <a:prstGeom prst="line">
            <a:avLst/>
          </a:prstGeom>
          <a:ln w="9525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47</xdr:col>
      <xdr:colOff>605117</xdr:colOff>
      <xdr:row>6</xdr:row>
      <xdr:rowOff>89646</xdr:rowOff>
    </xdr:from>
    <xdr:to>
      <xdr:col>60</xdr:col>
      <xdr:colOff>45570</xdr:colOff>
      <xdr:row>12</xdr:row>
      <xdr:rowOff>91887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81C22C-2417-F73A-24F5-1F8E751B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195617" y="1372346"/>
          <a:ext cx="7365253" cy="1119841"/>
        </a:xfrm>
        <a:prstGeom prst="rect">
          <a:avLst/>
        </a:prstGeom>
      </xdr:spPr>
    </xdr:pic>
    <xdr:clientData/>
  </xdr:twoCellAnchor>
  <xdr:twoCellAnchor editAs="oneCell">
    <xdr:from>
      <xdr:col>48</xdr:col>
      <xdr:colOff>14941</xdr:colOff>
      <xdr:row>15</xdr:row>
      <xdr:rowOff>14940</xdr:rowOff>
    </xdr:from>
    <xdr:to>
      <xdr:col>60</xdr:col>
      <xdr:colOff>97491</xdr:colOff>
      <xdr:row>21</xdr:row>
      <xdr:rowOff>46691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A289ED-CCE7-C8E8-77FD-26EDAF9D8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8294" y="2995705"/>
          <a:ext cx="7433609" cy="1152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42</xdr:row>
      <xdr:rowOff>0</xdr:rowOff>
    </xdr:from>
    <xdr:to>
      <xdr:col>51</xdr:col>
      <xdr:colOff>213960</xdr:colOff>
      <xdr:row>47</xdr:row>
      <xdr:rowOff>86417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7305DD-DE7E-8B5E-5E10-073E1973E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323300" y="8070850"/>
          <a:ext cx="6919560" cy="1007167"/>
        </a:xfrm>
        <a:prstGeom prst="rect">
          <a:avLst/>
        </a:prstGeom>
      </xdr:spPr>
    </xdr:pic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0.87992</cdr:x>
      <cdr:y>0.01713</cdr:y>
    </cdr:from>
    <cdr:to>
      <cdr:x>0.98399</cdr:x>
      <cdr:y>0.08265</cdr:y>
    </cdr:to>
    <cdr:sp macro="" textlink="">
      <cdr:nvSpPr>
        <cdr:cNvPr id="2" name="TextBox 9">
          <a:extLst xmlns:a="http://schemas.openxmlformats.org/drawingml/2006/main">
            <a:ext uri="{FF2B5EF4-FFF2-40B4-BE49-F238E27FC236}">
              <a16:creationId xmlns:a16="http://schemas.microsoft.com/office/drawing/2014/main" id="{5444AB9B-682E-375E-42AC-0B64B7E6FA11}"/>
            </a:ext>
          </a:extLst>
        </cdr:cNvPr>
        <cdr:cNvSpPr txBox="1"/>
      </cdr:nvSpPr>
      <cdr:spPr>
        <a:xfrm xmlns:a="http://schemas.openxmlformats.org/drawingml/2006/main">
          <a:off x="8693150" y="69850"/>
          <a:ext cx="1028141" cy="2670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0" i="1" u="sng">
              <a:solidFill>
                <a:schemeClr val="accent2">
                  <a:lumMod val="75000"/>
                </a:schemeClr>
              </a:solidFill>
            </a:rPr>
            <a:t>ĐVT:</a:t>
          </a:r>
          <a:r>
            <a:rPr lang="en-US" sz="1100" b="0" i="1" u="sng" baseline="0">
              <a:solidFill>
                <a:schemeClr val="accent2">
                  <a:lumMod val="75000"/>
                </a:schemeClr>
              </a:solidFill>
            </a:rPr>
            <a:t> USD/tấn</a:t>
          </a:r>
          <a:endParaRPr lang="en-US" sz="1100" b="0" i="1" u="sng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4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7.v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29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9F9FE-E6C6-48DA-81B1-333F25B1D240}">
  <dimension ref="A1"/>
  <sheetViews>
    <sheetView showGridLines="0" workbookViewId="0">
      <selection activeCell="D15" sqref="D15"/>
    </sheetView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E195B-537D-4DB3-A3C5-62DFE47145D4}">
  <sheetPr filterMode="1">
    <tabColor theme="5" tint="0.59999389629810485"/>
  </sheetPr>
  <dimension ref="A1:AE599"/>
  <sheetViews>
    <sheetView zoomScale="90" zoomScaleNormal="80" workbookViewId="0">
      <pane xSplit="7" ySplit="4" topLeftCell="I149" activePane="bottomRight" state="frozen"/>
      <selection activeCell="G114" sqref="G114"/>
      <selection pane="topRight" activeCell="G114" sqref="G114"/>
      <selection pane="bottomLeft" activeCell="G114" sqref="G114"/>
      <selection pane="bottomRight"/>
    </sheetView>
  </sheetViews>
  <sheetFormatPr defaultColWidth="9.1796875" defaultRowHeight="13" x14ac:dyDescent="0.35"/>
  <cols>
    <col min="1" max="1" width="5.90625" style="179" customWidth="1"/>
    <col min="2" max="2" width="6.54296875" style="880" customWidth="1"/>
    <col min="3" max="3" width="7" style="82" customWidth="1"/>
    <col min="4" max="4" width="25.81640625" style="83" bestFit="1" customWidth="1"/>
    <col min="5" max="5" width="10.6328125" style="83" customWidth="1"/>
    <col min="6" max="6" width="10.81640625" style="82" customWidth="1"/>
    <col min="7" max="7" width="22.54296875" style="82" customWidth="1"/>
    <col min="8" max="8" width="9.1796875" style="258" hidden="1" customWidth="1"/>
    <col min="9" max="9" width="12.54296875" style="1098" customWidth="1"/>
    <col min="10" max="10" width="14.81640625" style="1098" customWidth="1"/>
    <col min="11" max="11" width="16.453125" style="1098" customWidth="1"/>
    <col min="12" max="12" width="18.6328125" style="1056" customWidth="1"/>
    <col min="13" max="14" width="14.1796875" style="1056" customWidth="1"/>
    <col min="15" max="15" width="16.08984375" style="1055" customWidth="1"/>
    <col min="16" max="16" width="11" style="1055" customWidth="1"/>
    <col min="17" max="17" width="11.54296875" style="1055" customWidth="1"/>
    <col min="18" max="18" width="18.08984375" style="1099" bestFit="1" customWidth="1"/>
    <col min="19" max="19" width="11.81640625" style="1055" customWidth="1"/>
    <col min="20" max="20" width="10.08984375" style="1054" customWidth="1"/>
    <col min="21" max="21" width="15.1796875" style="1054" bestFit="1" customWidth="1"/>
    <col min="22" max="22" width="7.36328125" style="1054" customWidth="1"/>
    <col min="23" max="23" width="12.1796875" style="1098" customWidth="1"/>
    <col min="24" max="25" width="11.6328125" style="1106" customWidth="1"/>
    <col min="26" max="26" width="10.90625" style="1106" customWidth="1"/>
    <col min="27" max="27" width="15.1796875" style="1106" customWidth="1"/>
    <col min="28" max="28" width="9.453125" style="1054" customWidth="1"/>
    <col min="29" max="29" width="7.81640625" style="1098" customWidth="1"/>
    <col min="30" max="30" width="9.1796875" style="1054"/>
    <col min="31" max="16384" width="9.1796875" style="82"/>
  </cols>
  <sheetData>
    <row r="1" spans="1:31" ht="14.5" x14ac:dyDescent="0.35">
      <c r="A1" s="528" t="s">
        <v>587</v>
      </c>
      <c r="G1" s="1288"/>
      <c r="O1" s="74"/>
      <c r="P1" s="74"/>
      <c r="Q1" s="74"/>
      <c r="S1" s="74"/>
      <c r="T1" s="83"/>
      <c r="U1" s="83"/>
      <c r="V1" s="83"/>
      <c r="AB1" s="376"/>
      <c r="AD1" s="82"/>
    </row>
    <row r="2" spans="1:31" x14ac:dyDescent="0.35">
      <c r="G2" s="1165"/>
      <c r="I2" s="1183"/>
      <c r="O2" s="74"/>
      <c r="P2" s="74"/>
      <c r="Q2" s="74"/>
      <c r="S2" s="74"/>
      <c r="T2" s="83"/>
      <c r="U2" s="83"/>
      <c r="V2" s="83"/>
      <c r="X2" s="1177">
        <f>X3/I3</f>
        <v>1192.2595106663714</v>
      </c>
      <c r="AB2" s="376"/>
      <c r="AD2" s="82"/>
    </row>
    <row r="3" spans="1:31" s="190" customFormat="1" x14ac:dyDescent="0.35">
      <c r="A3" s="189"/>
      <c r="B3" s="881"/>
      <c r="D3" s="191"/>
      <c r="E3" s="191"/>
      <c r="G3" s="1165"/>
      <c r="H3" s="255"/>
      <c r="I3" s="1174">
        <f>SUBTOTAL(9,I5:I616)/1000</f>
        <v>12122</v>
      </c>
      <c r="J3" s="1174"/>
      <c r="K3" s="1174">
        <f>SUBTOTAL(9,K5:K616)/10^6</f>
        <v>380721.63861299999</v>
      </c>
      <c r="L3" s="1182">
        <f>SUBTOTAL(9,L5:L616)</f>
        <v>4479272594</v>
      </c>
      <c r="M3" s="1182">
        <f>SUBTOTAL(9,M5:M616)</f>
        <v>5710817894.8249998</v>
      </c>
      <c r="N3" s="1182">
        <f>SUBTOTAL(9,N5:N616)</f>
        <v>0</v>
      </c>
      <c r="O3" s="192">
        <f>SUBTOTAL(9,O5:O616)</f>
        <v>370531548124.17499</v>
      </c>
      <c r="P3" s="260">
        <f>O3/I3/25.39</f>
        <v>1203893.8902702886</v>
      </c>
      <c r="Q3" s="192"/>
      <c r="R3" s="1174">
        <f>SUBTOTAL(9,R5:R616)</f>
        <v>323915137825</v>
      </c>
      <c r="S3" s="192"/>
      <c r="T3" s="191"/>
      <c r="U3" s="191"/>
      <c r="V3" s="191"/>
      <c r="W3" s="1174">
        <f>X3/I3*1000</f>
        <v>1192259.5106663713</v>
      </c>
      <c r="X3" s="1178">
        <f>SUBTOTAL(9,X5:X616)</f>
        <v>14452569.788297754</v>
      </c>
      <c r="Y3" s="1178">
        <f>SUBTOTAL(9,Y5:Y616)</f>
        <v>14849712.111528946</v>
      </c>
      <c r="Z3" s="1178">
        <f>SUBTOTAL(9,Z5:Z616)</f>
        <v>1825329.4265504377</v>
      </c>
      <c r="AA3" s="1178">
        <f>SUBTOTAL(9,AA5:AA616)</f>
        <v>12627240.361747317</v>
      </c>
      <c r="AB3" s="374">
        <f>X3/I3*1000</f>
        <v>1192259.5106663713</v>
      </c>
      <c r="AC3" s="1174"/>
      <c r="AE3" s="409"/>
    </row>
    <row r="4" spans="1:31" s="188" customFormat="1" ht="24" customHeight="1" x14ac:dyDescent="0.35">
      <c r="A4" s="186" t="s">
        <v>189</v>
      </c>
      <c r="B4" s="882" t="s">
        <v>168</v>
      </c>
      <c r="C4" s="985" t="s">
        <v>173</v>
      </c>
      <c r="D4" s="187" t="s">
        <v>173</v>
      </c>
      <c r="E4" s="187" t="s">
        <v>190</v>
      </c>
      <c r="F4" s="985" t="s">
        <v>191</v>
      </c>
      <c r="G4" s="187" t="s">
        <v>191</v>
      </c>
      <c r="H4" s="256" t="s">
        <v>301</v>
      </c>
      <c r="I4" s="1175" t="s">
        <v>192</v>
      </c>
      <c r="J4" s="1175" t="s">
        <v>193</v>
      </c>
      <c r="K4" s="1175" t="s">
        <v>194</v>
      </c>
      <c r="L4" s="1180" t="s">
        <v>975</v>
      </c>
      <c r="M4" s="1180" t="s">
        <v>195</v>
      </c>
      <c r="N4" s="1180" t="s">
        <v>883</v>
      </c>
      <c r="O4" s="84" t="s">
        <v>196</v>
      </c>
      <c r="P4" s="85" t="s">
        <v>197</v>
      </c>
      <c r="Q4" s="476" t="s">
        <v>198</v>
      </c>
      <c r="R4" s="1175" t="s">
        <v>199</v>
      </c>
      <c r="S4" s="85" t="s">
        <v>200</v>
      </c>
      <c r="T4" s="476" t="s">
        <v>201</v>
      </c>
      <c r="U4" s="85" t="s">
        <v>202</v>
      </c>
      <c r="V4" s="86" t="s">
        <v>203</v>
      </c>
      <c r="W4" s="1176" t="s">
        <v>270</v>
      </c>
      <c r="X4" s="1179" t="s">
        <v>272</v>
      </c>
      <c r="Y4" s="1179" t="s">
        <v>273</v>
      </c>
      <c r="Z4" s="1180" t="s">
        <v>296</v>
      </c>
      <c r="AA4" s="1179" t="s">
        <v>297</v>
      </c>
      <c r="AB4" s="375" t="s">
        <v>378</v>
      </c>
      <c r="AC4" s="1056" t="s">
        <v>559</v>
      </c>
      <c r="AD4" s="188" t="s">
        <v>379</v>
      </c>
      <c r="AE4" s="188" t="s">
        <v>853</v>
      </c>
    </row>
    <row r="5" spans="1:31" s="72" customFormat="1" hidden="1" x14ac:dyDescent="0.35">
      <c r="A5" s="373" t="s">
        <v>271</v>
      </c>
      <c r="B5" s="880" t="s">
        <v>22</v>
      </c>
      <c r="C5" s="987" t="s">
        <v>30</v>
      </c>
      <c r="D5" s="73" t="s">
        <v>29</v>
      </c>
      <c r="E5" s="399" t="str">
        <f>VLOOKUP(F5,'Quy đổi'!A:D,4,0)</f>
        <v>rPET</v>
      </c>
      <c r="F5" s="986" t="s">
        <v>110</v>
      </c>
      <c r="G5" s="82" t="s">
        <v>109</v>
      </c>
      <c r="H5" s="257" t="str">
        <f>IFERROR(VLOOKUP(F5,'Quy đổi'!A:C,3,0),"-")</f>
        <v>WSS01G</v>
      </c>
      <c r="I5" s="1096">
        <v>11000</v>
      </c>
      <c r="J5" s="1096">
        <v>371268975</v>
      </c>
      <c r="K5" s="1096">
        <v>371268975</v>
      </c>
      <c r="L5" s="1097"/>
      <c r="M5" s="1097"/>
      <c r="N5" s="1097"/>
      <c r="O5" s="1097">
        <f>K5-SUM(L5:N5)</f>
        <v>371268975</v>
      </c>
      <c r="P5" s="1096">
        <f t="shared" ref="P5:P46" si="0">O5/I5</f>
        <v>33751.724999999999</v>
      </c>
      <c r="Q5" s="1096">
        <f>P5/W5*1000</f>
        <v>1354.9468085106382</v>
      </c>
      <c r="R5" s="1096">
        <v>281394522</v>
      </c>
      <c r="S5" s="1096">
        <f>R5/I5</f>
        <v>25581.320181818181</v>
      </c>
      <c r="T5" s="1096">
        <f>S5/24.5</f>
        <v>1044.1355176252318</v>
      </c>
      <c r="U5" s="1096">
        <f>O5-R5</f>
        <v>89874453</v>
      </c>
      <c r="V5" s="1102">
        <f t="shared" ref="V5:V46" si="1">U5/K5</f>
        <v>0.24207369603129375</v>
      </c>
      <c r="W5" s="1166">
        <v>24910</v>
      </c>
      <c r="X5" s="1181">
        <f>O5/W5</f>
        <v>14904.41489361702</v>
      </c>
      <c r="Y5" s="1181">
        <f t="shared" ref="Y5:Y46" si="2">K5/W5</f>
        <v>14904.41489361702</v>
      </c>
      <c r="Z5" s="1181">
        <f>U5/W5</f>
        <v>3607.966800481734</v>
      </c>
      <c r="AA5" s="1181">
        <f>R5/W5</f>
        <v>11296.448093135286</v>
      </c>
      <c r="AB5" s="1052">
        <v>1230</v>
      </c>
      <c r="AC5" s="1166"/>
      <c r="AD5" s="1053">
        <f>X5/I5*1000-AB5</f>
        <v>124.94680851063822</v>
      </c>
      <c r="AE5" s="82"/>
    </row>
    <row r="6" spans="1:31" s="72" customFormat="1" hidden="1" x14ac:dyDescent="0.35">
      <c r="A6" s="373" t="s">
        <v>271</v>
      </c>
      <c r="B6" s="880" t="s">
        <v>22</v>
      </c>
      <c r="C6" s="987" t="s">
        <v>44</v>
      </c>
      <c r="D6" s="73" t="s">
        <v>212</v>
      </c>
      <c r="E6" s="399" t="str">
        <f>VLOOKUP(F6,'Quy đổi'!A:D,4,0)</f>
        <v>rPET</v>
      </c>
      <c r="F6" s="987" t="s">
        <v>127</v>
      </c>
      <c r="G6" s="72" t="s">
        <v>114</v>
      </c>
      <c r="H6" s="257" t="str">
        <f>IFERROR(VLOOKUP(F6,'Quy đổi'!A:C,3,0),"-")</f>
        <v>iSS01084G</v>
      </c>
      <c r="I6" s="1096">
        <v>72600</v>
      </c>
      <c r="J6" s="1096">
        <v>2452863600</v>
      </c>
      <c r="K6" s="1096">
        <v>2452863600</v>
      </c>
      <c r="L6" s="1105">
        <f>160*66000</f>
        <v>10560000</v>
      </c>
      <c r="M6" s="1097"/>
      <c r="N6" s="1097"/>
      <c r="O6" s="1097">
        <f t="shared" ref="O6:O69" si="3">K6-SUM(L6:N6)</f>
        <v>2442303600</v>
      </c>
      <c r="P6" s="1096">
        <f t="shared" si="0"/>
        <v>33640.545454545456</v>
      </c>
      <c r="Q6" s="1096">
        <f t="shared" ref="Q6:Q15" si="4">P6/W6*1000</f>
        <v>1350.4835589941972</v>
      </c>
      <c r="R6" s="1096">
        <v>1925208882</v>
      </c>
      <c r="S6" s="1096">
        <f t="shared" ref="S6:S69" si="5">R6/I6</f>
        <v>26518.02867768595</v>
      </c>
      <c r="T6" s="1096">
        <f t="shared" ref="T6:T36" si="6">S6/24.5</f>
        <v>1082.3685174565694</v>
      </c>
      <c r="U6" s="1096">
        <f t="shared" ref="U6:U46" si="7">O6-R6</f>
        <v>517094718</v>
      </c>
      <c r="V6" s="1102">
        <f t="shared" si="1"/>
        <v>0.2108126672840675</v>
      </c>
      <c r="W6" s="1166">
        <v>24910</v>
      </c>
      <c r="X6" s="1181">
        <f>O6/W6</f>
        <v>98045.106382978716</v>
      </c>
      <c r="Y6" s="1181">
        <f t="shared" si="2"/>
        <v>98469.032517061423</v>
      </c>
      <c r="Z6" s="1181">
        <f t="shared" ref="Z6:Z46" si="8">U6/W6</f>
        <v>20758.519389803292</v>
      </c>
      <c r="AA6" s="1181">
        <f>R6/W6</f>
        <v>77286.586993175428</v>
      </c>
      <c r="AB6" s="1166">
        <v>1320</v>
      </c>
      <c r="AC6" s="1166"/>
      <c r="AD6" s="1167">
        <f t="shared" ref="AD6:AD46" si="9">X6/I6*1000-AB6</f>
        <v>30.48355899419721</v>
      </c>
      <c r="AE6" s="82"/>
    </row>
    <row r="7" spans="1:31" s="72" customFormat="1" hidden="1" x14ac:dyDescent="0.35">
      <c r="A7" s="373" t="s">
        <v>271</v>
      </c>
      <c r="B7" s="880" t="s">
        <v>22</v>
      </c>
      <c r="C7" s="987" t="s">
        <v>132</v>
      </c>
      <c r="D7" s="73" t="s">
        <v>213</v>
      </c>
      <c r="E7" s="399" t="str">
        <f>VLOOKUP(F7,'Quy đổi'!A:D,4,0)</f>
        <v>rPET</v>
      </c>
      <c r="F7" s="987" t="s">
        <v>110</v>
      </c>
      <c r="G7" s="72" t="s">
        <v>109</v>
      </c>
      <c r="H7" s="257" t="str">
        <f>IFERROR(VLOOKUP(F7,'Quy đổi'!A:C,3,0),"-")</f>
        <v>WSS01G</v>
      </c>
      <c r="I7" s="1096">
        <v>242000</v>
      </c>
      <c r="J7" s="1096">
        <v>7886494000</v>
      </c>
      <c r="K7" s="1096">
        <v>7886494000</v>
      </c>
      <c r="L7" s="1097">
        <v>33880000</v>
      </c>
      <c r="M7" s="1097"/>
      <c r="N7" s="1097"/>
      <c r="O7" s="1097">
        <f t="shared" si="3"/>
        <v>7852614000</v>
      </c>
      <c r="P7" s="1096">
        <f t="shared" si="0"/>
        <v>32448.81818181818</v>
      </c>
      <c r="Q7" s="1096">
        <f t="shared" si="4"/>
        <v>1302.642239334331</v>
      </c>
      <c r="R7" s="1096">
        <v>6190679473</v>
      </c>
      <c r="S7" s="1096">
        <f t="shared" si="5"/>
        <v>25581.320136363636</v>
      </c>
      <c r="T7" s="1096">
        <f t="shared" si="6"/>
        <v>1044.1355157699443</v>
      </c>
      <c r="U7" s="1096">
        <f t="shared" si="7"/>
        <v>1661934527</v>
      </c>
      <c r="V7" s="1102">
        <f t="shared" si="1"/>
        <v>0.2107317303481116</v>
      </c>
      <c r="W7" s="1166">
        <v>24910</v>
      </c>
      <c r="X7" s="1181">
        <f t="shared" ref="X7:X46" si="10">O7/W7</f>
        <v>315239.42191890808</v>
      </c>
      <c r="Y7" s="1181">
        <f t="shared" si="2"/>
        <v>316599.51826575672</v>
      </c>
      <c r="Z7" s="1181">
        <f t="shared" si="8"/>
        <v>66717.564311521477</v>
      </c>
      <c r="AA7" s="1181">
        <f t="shared" ref="AA7:AA46" si="11">R7/W7</f>
        <v>248521.8576073866</v>
      </c>
      <c r="AB7" s="1052">
        <v>1230</v>
      </c>
      <c r="AC7" s="1166"/>
      <c r="AD7" s="1053">
        <f t="shared" si="9"/>
        <v>72.642239334330952</v>
      </c>
      <c r="AE7" s="82"/>
    </row>
    <row r="8" spans="1:31" s="72" customFormat="1" hidden="1" x14ac:dyDescent="0.35">
      <c r="A8" s="373" t="s">
        <v>271</v>
      </c>
      <c r="B8" s="880" t="s">
        <v>22</v>
      </c>
      <c r="C8" s="987" t="s">
        <v>134</v>
      </c>
      <c r="D8" s="73" t="s">
        <v>133</v>
      </c>
      <c r="E8" s="399" t="str">
        <f>VLOOKUP(F8,'Quy đổi'!A:D,4,0)</f>
        <v>rPET</v>
      </c>
      <c r="F8" s="987" t="s">
        <v>462</v>
      </c>
      <c r="G8" s="72" t="s">
        <v>468</v>
      </c>
      <c r="H8" s="257" t="str">
        <f>IFERROR(VLOOKUP(F8,'Quy đổi'!A:C,3,0),"-")</f>
        <v>WSS01G-L</v>
      </c>
      <c r="I8" s="1096">
        <v>2200</v>
      </c>
      <c r="J8" s="1096">
        <v>68172500</v>
      </c>
      <c r="K8" s="1096">
        <v>68172500</v>
      </c>
      <c r="L8" s="1097">
        <v>4500000</v>
      </c>
      <c r="M8" s="1097"/>
      <c r="N8" s="1097"/>
      <c r="O8" s="1097">
        <f t="shared" si="3"/>
        <v>63672500</v>
      </c>
      <c r="P8" s="1096">
        <f t="shared" si="0"/>
        <v>28942.045454545456</v>
      </c>
      <c r="Q8" s="1096">
        <f t="shared" si="4"/>
        <v>1161.8645304915881</v>
      </c>
      <c r="R8" s="1096">
        <v>93927230</v>
      </c>
      <c r="S8" s="1096">
        <f t="shared" si="5"/>
        <v>42694.195454545457</v>
      </c>
      <c r="T8" s="1096">
        <f t="shared" si="6"/>
        <v>1742.6202226345085</v>
      </c>
      <c r="U8" s="1096">
        <f t="shared" si="7"/>
        <v>-30254730</v>
      </c>
      <c r="V8" s="1102">
        <f t="shared" si="1"/>
        <v>-0.44379669221460266</v>
      </c>
      <c r="W8" s="1166">
        <v>24910</v>
      </c>
      <c r="X8" s="1181">
        <f t="shared" si="10"/>
        <v>2556.1019670814935</v>
      </c>
      <c r="Y8" s="1181">
        <f t="shared" si="2"/>
        <v>2736.7523083099159</v>
      </c>
      <c r="Z8" s="1181">
        <f t="shared" si="8"/>
        <v>-1214.561621838619</v>
      </c>
      <c r="AA8" s="1181">
        <f>R8/W8</f>
        <v>3770.6635889201125</v>
      </c>
      <c r="AB8" s="1052">
        <v>1230</v>
      </c>
      <c r="AC8" s="1166"/>
      <c r="AD8" s="1053">
        <f t="shared" si="9"/>
        <v>-68.135469508411916</v>
      </c>
      <c r="AE8" s="82"/>
    </row>
    <row r="9" spans="1:31" s="72" customFormat="1" hidden="1" x14ac:dyDescent="0.35">
      <c r="A9" s="373" t="s">
        <v>271</v>
      </c>
      <c r="B9" s="880" t="s">
        <v>22</v>
      </c>
      <c r="C9" s="987" t="s">
        <v>347</v>
      </c>
      <c r="D9" s="73" t="s">
        <v>348</v>
      </c>
      <c r="E9" s="399" t="str">
        <f>VLOOKUP(F9,'Quy đổi'!A:D,4,0)</f>
        <v>rPET</v>
      </c>
      <c r="F9" s="987" t="s">
        <v>100</v>
      </c>
      <c r="G9" s="72" t="s">
        <v>99</v>
      </c>
      <c r="H9" s="257" t="str">
        <f>IFERROR(VLOOKUP(F9,'Quy đổi'!A:C,3,0),"-")</f>
        <v>iSS01G</v>
      </c>
      <c r="I9" s="1096">
        <v>3300</v>
      </c>
      <c r="J9" s="1096">
        <v>116044500</v>
      </c>
      <c r="K9" s="1096">
        <v>116044500</v>
      </c>
      <c r="L9" s="1097"/>
      <c r="M9" s="1097"/>
      <c r="N9" s="1097"/>
      <c r="O9" s="1097">
        <f t="shared" si="3"/>
        <v>116044500</v>
      </c>
      <c r="P9" s="1096">
        <f t="shared" si="0"/>
        <v>35165</v>
      </c>
      <c r="Q9" s="1096">
        <f t="shared" si="4"/>
        <v>1411.682055399438</v>
      </c>
      <c r="R9" s="1096">
        <v>85345751</v>
      </c>
      <c r="S9" s="1096">
        <f t="shared" si="5"/>
        <v>25862.348787878789</v>
      </c>
      <c r="T9" s="1096">
        <f t="shared" si="6"/>
        <v>1055.6060729746443</v>
      </c>
      <c r="U9" s="1096">
        <f t="shared" si="7"/>
        <v>30698749</v>
      </c>
      <c r="V9" s="1102">
        <f t="shared" si="1"/>
        <v>0.26454290379983542</v>
      </c>
      <c r="W9" s="1166">
        <v>24910</v>
      </c>
      <c r="X9" s="1181">
        <f t="shared" si="10"/>
        <v>4658.5507828181453</v>
      </c>
      <c r="Y9" s="1181">
        <f t="shared" si="2"/>
        <v>4658.5507828181453</v>
      </c>
      <c r="Z9" s="1181">
        <f t="shared" si="8"/>
        <v>1232.3865515857085</v>
      </c>
      <c r="AA9" s="1181">
        <f t="shared" si="11"/>
        <v>3426.1642312324366</v>
      </c>
      <c r="AB9" s="1052">
        <v>1260</v>
      </c>
      <c r="AC9" s="1166"/>
      <c r="AD9" s="1053">
        <f t="shared" si="9"/>
        <v>151.68205539943801</v>
      </c>
      <c r="AE9" s="82"/>
    </row>
    <row r="10" spans="1:31" s="72" customFormat="1" hidden="1" x14ac:dyDescent="0.35">
      <c r="A10" s="373" t="s">
        <v>271</v>
      </c>
      <c r="B10" s="880" t="s">
        <v>22</v>
      </c>
      <c r="C10" s="987" t="s">
        <v>176</v>
      </c>
      <c r="D10" s="73" t="s">
        <v>177</v>
      </c>
      <c r="E10" s="399" t="str">
        <f>VLOOKUP(F10,'Quy đổi'!A:D,4,0)</f>
        <v>rPET</v>
      </c>
      <c r="F10" s="987" t="s">
        <v>127</v>
      </c>
      <c r="G10" s="72" t="s">
        <v>114</v>
      </c>
      <c r="H10" s="257" t="str">
        <f>IFERROR(VLOOKUP(F10,'Quy đổi'!A:C,3,0),"-")</f>
        <v>iSS01084G</v>
      </c>
      <c r="I10" s="1096">
        <v>154000</v>
      </c>
      <c r="J10" s="1096">
        <v>5761602000</v>
      </c>
      <c r="K10" s="1096">
        <v>5761602000</v>
      </c>
      <c r="L10" s="1097">
        <v>93981482</v>
      </c>
      <c r="M10" s="1097"/>
      <c r="N10" s="1097"/>
      <c r="O10" s="1097">
        <f t="shared" si="3"/>
        <v>5667620518</v>
      </c>
      <c r="P10" s="1096">
        <f t="shared" si="0"/>
        <v>36802.730636363638</v>
      </c>
      <c r="Q10" s="1096">
        <f t="shared" si="4"/>
        <v>1477.4279661326232</v>
      </c>
      <c r="R10" s="1096">
        <v>4083776417</v>
      </c>
      <c r="S10" s="1096">
        <f t="shared" si="5"/>
        <v>26518.028681818181</v>
      </c>
      <c r="T10" s="1096">
        <f t="shared" si="6"/>
        <v>1082.3685176252318</v>
      </c>
      <c r="U10" s="1096">
        <f t="shared" si="7"/>
        <v>1583844101</v>
      </c>
      <c r="V10" s="1102">
        <f t="shared" si="1"/>
        <v>0.27489647861827315</v>
      </c>
      <c r="W10" s="1166">
        <v>24910</v>
      </c>
      <c r="X10" s="1181">
        <f t="shared" si="10"/>
        <v>227523.90678442392</v>
      </c>
      <c r="Y10" s="1181">
        <f t="shared" si="2"/>
        <v>231296.74829385788</v>
      </c>
      <c r="Z10" s="1181">
        <f t="shared" si="8"/>
        <v>63582.661621838619</v>
      </c>
      <c r="AA10" s="1181">
        <f t="shared" si="11"/>
        <v>163941.24516258531</v>
      </c>
      <c r="AB10" s="1052">
        <v>1320</v>
      </c>
      <c r="AC10" s="1166"/>
      <c r="AD10" s="1053">
        <f t="shared" si="9"/>
        <v>157.42796613262294</v>
      </c>
      <c r="AE10" s="82"/>
    </row>
    <row r="11" spans="1:31" s="72" customFormat="1" hidden="1" x14ac:dyDescent="0.35">
      <c r="A11" s="373" t="s">
        <v>271</v>
      </c>
      <c r="B11" s="880" t="s">
        <v>22</v>
      </c>
      <c r="C11" s="987" t="s">
        <v>176</v>
      </c>
      <c r="D11" s="73" t="s">
        <v>177</v>
      </c>
      <c r="E11" s="399" t="str">
        <f>VLOOKUP(F11,'Quy đổi'!A:D,4,0)</f>
        <v>rPET</v>
      </c>
      <c r="F11" s="987" t="s">
        <v>100</v>
      </c>
      <c r="G11" s="72" t="s">
        <v>99</v>
      </c>
      <c r="H11" s="257" t="str">
        <f>IFERROR(VLOOKUP(F11,'Quy đổi'!A:C,3,0),"-")</f>
        <v>iSS01G</v>
      </c>
      <c r="I11" s="1096">
        <v>4400</v>
      </c>
      <c r="J11" s="1096">
        <v>165513920</v>
      </c>
      <c r="K11" s="1096">
        <v>165513920</v>
      </c>
      <c r="L11" s="1097">
        <v>9000000</v>
      </c>
      <c r="M11" s="1097"/>
      <c r="N11" s="1097"/>
      <c r="O11" s="1097">
        <f t="shared" si="3"/>
        <v>156513920</v>
      </c>
      <c r="P11" s="1096">
        <f t="shared" si="0"/>
        <v>35571.345454545452</v>
      </c>
      <c r="Q11" s="1096">
        <f t="shared" si="4"/>
        <v>1427.9945987372721</v>
      </c>
      <c r="R11" s="1096">
        <v>113794335</v>
      </c>
      <c r="S11" s="1096">
        <f t="shared" si="5"/>
        <v>25862.348863636365</v>
      </c>
      <c r="T11" s="1096">
        <f t="shared" si="6"/>
        <v>1055.6060760667904</v>
      </c>
      <c r="U11" s="1096">
        <f t="shared" si="7"/>
        <v>42719585</v>
      </c>
      <c r="V11" s="1102">
        <f t="shared" si="1"/>
        <v>0.25810267196861753</v>
      </c>
      <c r="W11" s="1166">
        <v>24910</v>
      </c>
      <c r="X11" s="1181">
        <f t="shared" si="10"/>
        <v>6283.1762344439985</v>
      </c>
      <c r="Y11" s="1181">
        <f t="shared" si="2"/>
        <v>6644.4769169008432</v>
      </c>
      <c r="Z11" s="1181">
        <f t="shared" si="8"/>
        <v>1714.9572460859092</v>
      </c>
      <c r="AA11" s="1181">
        <f t="shared" si="11"/>
        <v>4568.2189883580895</v>
      </c>
      <c r="AB11" s="1052">
        <v>1260</v>
      </c>
      <c r="AC11" s="1166"/>
      <c r="AD11" s="1053">
        <f t="shared" si="9"/>
        <v>167.99459873727233</v>
      </c>
      <c r="AE11" s="82"/>
    </row>
    <row r="12" spans="1:31" s="72" customFormat="1" hidden="1" x14ac:dyDescent="0.35">
      <c r="A12" s="373" t="s">
        <v>271</v>
      </c>
      <c r="B12" s="880" t="s">
        <v>22</v>
      </c>
      <c r="C12" s="987" t="s">
        <v>131</v>
      </c>
      <c r="D12" s="73" t="s">
        <v>214</v>
      </c>
      <c r="E12" s="399" t="str">
        <f>VLOOKUP(F12,'Quy đổi'!A:D,4,0)</f>
        <v>rPET</v>
      </c>
      <c r="F12" s="987" t="s">
        <v>110</v>
      </c>
      <c r="G12" s="72" t="s">
        <v>109</v>
      </c>
      <c r="H12" s="257" t="str">
        <f>IFERROR(VLOOKUP(F12,'Quy đổi'!A:C,3,0),"-")</f>
        <v>WSS01G</v>
      </c>
      <c r="I12" s="1096">
        <v>24200</v>
      </c>
      <c r="J12" s="1096">
        <v>768350000</v>
      </c>
      <c r="K12" s="1096">
        <v>768350000</v>
      </c>
      <c r="L12" s="1097">
        <v>3080000</v>
      </c>
      <c r="M12" s="1097"/>
      <c r="N12" s="1097"/>
      <c r="O12" s="1097">
        <f t="shared" si="3"/>
        <v>765270000</v>
      </c>
      <c r="P12" s="1096">
        <f t="shared" si="0"/>
        <v>31622.727272727272</v>
      </c>
      <c r="Q12" s="1096">
        <f t="shared" si="4"/>
        <v>1269.479216087004</v>
      </c>
      <c r="R12" s="1096">
        <v>619067947</v>
      </c>
      <c r="S12" s="1096">
        <f t="shared" si="5"/>
        <v>25581.320123966943</v>
      </c>
      <c r="T12" s="1096">
        <f t="shared" si="6"/>
        <v>1044.1355152639569</v>
      </c>
      <c r="U12" s="1096">
        <f t="shared" si="7"/>
        <v>146202053</v>
      </c>
      <c r="V12" s="1102">
        <f t="shared" si="1"/>
        <v>0.19028054011843562</v>
      </c>
      <c r="W12" s="1166">
        <v>24910</v>
      </c>
      <c r="X12" s="1181">
        <f t="shared" si="10"/>
        <v>30721.397029305499</v>
      </c>
      <c r="Y12" s="1181">
        <f t="shared" si="2"/>
        <v>30845.042151746286</v>
      </c>
      <c r="Z12" s="1181">
        <f t="shared" si="8"/>
        <v>5869.2112806101968</v>
      </c>
      <c r="AA12" s="1181">
        <f t="shared" si="11"/>
        <v>24852.185748695301</v>
      </c>
      <c r="AB12" s="1052">
        <v>1230</v>
      </c>
      <c r="AC12" s="1166"/>
      <c r="AD12" s="1053">
        <f t="shared" si="9"/>
        <v>39.479216087004033</v>
      </c>
      <c r="AE12" s="82"/>
    </row>
    <row r="13" spans="1:31" s="72" customFormat="1" hidden="1" x14ac:dyDescent="0.35">
      <c r="A13" s="373" t="s">
        <v>271</v>
      </c>
      <c r="B13" s="880" t="s">
        <v>22</v>
      </c>
      <c r="C13" s="987" t="s">
        <v>129</v>
      </c>
      <c r="D13" s="73" t="s">
        <v>128</v>
      </c>
      <c r="E13" s="399" t="str">
        <f>VLOOKUP(F13,'Quy đổi'!A:D,4,0)</f>
        <v>rPET</v>
      </c>
      <c r="F13" s="987" t="s">
        <v>127</v>
      </c>
      <c r="G13" s="72" t="s">
        <v>114</v>
      </c>
      <c r="H13" s="257" t="str">
        <f>IFERROR(VLOOKUP(F13,'Quy đổi'!A:C,3,0),"-")</f>
        <v>iSS01084G</v>
      </c>
      <c r="I13" s="1096">
        <v>-13750.7</v>
      </c>
      <c r="J13" s="1096">
        <v>0</v>
      </c>
      <c r="K13" s="1096">
        <v>-508671395</v>
      </c>
      <c r="L13" s="1097"/>
      <c r="M13" s="1097"/>
      <c r="N13" s="1097"/>
      <c r="O13" s="1097">
        <f t="shared" si="3"/>
        <v>-508671395</v>
      </c>
      <c r="P13" s="1096">
        <f t="shared" si="0"/>
        <v>36992.400023271541</v>
      </c>
      <c r="Q13" s="1096">
        <f t="shared" si="4"/>
        <v>1485.0421526805114</v>
      </c>
      <c r="R13" s="1096">
        <v>-364641457</v>
      </c>
      <c r="S13" s="1096">
        <f t="shared" si="5"/>
        <v>26518.02868217618</v>
      </c>
      <c r="T13" s="1096">
        <f t="shared" si="6"/>
        <v>1082.3685176398442</v>
      </c>
      <c r="U13" s="1096">
        <f t="shared" si="7"/>
        <v>-144029938</v>
      </c>
      <c r="V13" s="1102">
        <f t="shared" si="1"/>
        <v>0.28314927754095548</v>
      </c>
      <c r="W13" s="1166">
        <v>24910</v>
      </c>
      <c r="X13" s="1181">
        <f t="shared" si="10"/>
        <v>-20420.369128863909</v>
      </c>
      <c r="Y13" s="1181">
        <f t="shared" si="2"/>
        <v>-20420.369128863909</v>
      </c>
      <c r="Z13" s="1181">
        <f t="shared" si="8"/>
        <v>-5782.0127659574464</v>
      </c>
      <c r="AA13" s="1181">
        <f>R13/W13</f>
        <v>-14638.356362906463</v>
      </c>
      <c r="AB13" s="1052">
        <v>1320</v>
      </c>
      <c r="AC13" s="1166"/>
      <c r="AD13" s="1053">
        <f t="shared" si="9"/>
        <v>165.04215268051121</v>
      </c>
      <c r="AE13" s="82"/>
    </row>
    <row r="14" spans="1:31" s="72" customFormat="1" hidden="1" x14ac:dyDescent="0.35">
      <c r="A14" s="373" t="s">
        <v>271</v>
      </c>
      <c r="B14" s="880" t="s">
        <v>22</v>
      </c>
      <c r="C14" s="987" t="s">
        <v>181</v>
      </c>
      <c r="D14" s="73" t="s">
        <v>182</v>
      </c>
      <c r="E14" s="399" t="str">
        <f>VLOOKUP(F14,'Quy đổi'!A:D,4,0)</f>
        <v>rPET</v>
      </c>
      <c r="F14" s="987" t="s">
        <v>127</v>
      </c>
      <c r="G14" s="72" t="s">
        <v>114</v>
      </c>
      <c r="H14" s="257" t="str">
        <f>IFERROR(VLOOKUP(F14,'Quy đổi'!A:C,3,0),"-")</f>
        <v>iSS01084G</v>
      </c>
      <c r="I14" s="1096">
        <v>88000</v>
      </c>
      <c r="J14" s="1096">
        <v>3029312000</v>
      </c>
      <c r="K14" s="1096">
        <v>3029312000</v>
      </c>
      <c r="L14" s="1105">
        <f>13425926*4</f>
        <v>53703704</v>
      </c>
      <c r="M14" s="1097"/>
      <c r="N14" s="1097"/>
      <c r="O14" s="1097">
        <f t="shared" si="3"/>
        <v>2975608296</v>
      </c>
      <c r="P14" s="1096">
        <f t="shared" si="0"/>
        <v>33813.730636363638</v>
      </c>
      <c r="Q14" s="1096">
        <f t="shared" si="4"/>
        <v>1357.4359950366777</v>
      </c>
      <c r="R14" s="1096">
        <v>2333586524</v>
      </c>
      <c r="S14" s="1096">
        <f t="shared" si="5"/>
        <v>26518.028681818181</v>
      </c>
      <c r="T14" s="1096">
        <f t="shared" si="6"/>
        <v>1082.3685176252318</v>
      </c>
      <c r="U14" s="1096">
        <f t="shared" si="7"/>
        <v>642021772</v>
      </c>
      <c r="V14" s="1102">
        <f t="shared" si="1"/>
        <v>0.21193649647180615</v>
      </c>
      <c r="W14" s="1166">
        <v>24910</v>
      </c>
      <c r="X14" s="1181">
        <f t="shared" si="10"/>
        <v>119454.36756322761</v>
      </c>
      <c r="Y14" s="1181">
        <f t="shared" si="2"/>
        <v>121610.27699718988</v>
      </c>
      <c r="Z14" s="1181">
        <f t="shared" si="8"/>
        <v>25773.656041750302</v>
      </c>
      <c r="AA14" s="1181">
        <f t="shared" si="11"/>
        <v>93680.711521477322</v>
      </c>
      <c r="AB14" s="1166">
        <v>1320</v>
      </c>
      <c r="AC14" s="1166"/>
      <c r="AD14" s="1167">
        <f t="shared" si="9"/>
        <v>37.435995036677468</v>
      </c>
      <c r="AE14" s="82"/>
    </row>
    <row r="15" spans="1:31" s="72" customFormat="1" hidden="1" x14ac:dyDescent="0.35">
      <c r="A15" s="373" t="s">
        <v>271</v>
      </c>
      <c r="B15" s="880" t="s">
        <v>22</v>
      </c>
      <c r="C15" s="987" t="s">
        <v>77</v>
      </c>
      <c r="D15" s="73" t="s">
        <v>76</v>
      </c>
      <c r="E15" s="399" t="str">
        <f>VLOOKUP(F15,'Quy đổi'!A:D,4,0)</f>
        <v>rHDPE thổi</v>
      </c>
      <c r="F15" s="987" t="s">
        <v>69</v>
      </c>
      <c r="G15" s="72" t="s">
        <v>68</v>
      </c>
      <c r="H15" s="257" t="str">
        <f>IFERROR(VLOOKUP(F15,'Quy đổi'!A:C,3,0),"-")</f>
        <v>MBF01</v>
      </c>
      <c r="I15" s="1096">
        <v>49500</v>
      </c>
      <c r="J15" s="1096">
        <v>1777149000</v>
      </c>
      <c r="K15" s="1096">
        <v>1777149000</v>
      </c>
      <c r="L15" s="1097">
        <v>37962962</v>
      </c>
      <c r="M15" s="1097"/>
      <c r="N15" s="1097"/>
      <c r="O15" s="1097">
        <f t="shared" si="3"/>
        <v>1739186038</v>
      </c>
      <c r="P15" s="1096">
        <f t="shared" si="0"/>
        <v>35135.071474747478</v>
      </c>
      <c r="Q15" s="1096">
        <f t="shared" si="4"/>
        <v>1410.4805891106976</v>
      </c>
      <c r="R15" s="1096">
        <v>1380376237</v>
      </c>
      <c r="S15" s="1096">
        <f t="shared" si="5"/>
        <v>27886.388626262626</v>
      </c>
      <c r="T15" s="1096">
        <f t="shared" si="6"/>
        <v>1138.2199439290869</v>
      </c>
      <c r="U15" s="1096">
        <f t="shared" si="7"/>
        <v>358809801</v>
      </c>
      <c r="V15" s="1102">
        <f t="shared" si="1"/>
        <v>0.20190192324897913</v>
      </c>
      <c r="W15" s="1166">
        <v>24910</v>
      </c>
      <c r="X15" s="1181">
        <f t="shared" si="10"/>
        <v>69818.789160979533</v>
      </c>
      <c r="Y15" s="1181">
        <f t="shared" si="2"/>
        <v>71342.794058611005</v>
      </c>
      <c r="Z15" s="1181">
        <f t="shared" si="8"/>
        <v>14404.247330389402</v>
      </c>
      <c r="AA15" s="1181">
        <f t="shared" si="11"/>
        <v>55414.541830590126</v>
      </c>
      <c r="AB15" s="1052">
        <v>1350</v>
      </c>
      <c r="AC15" s="1166"/>
      <c r="AD15" s="1053">
        <f t="shared" si="9"/>
        <v>60.480589110697792</v>
      </c>
      <c r="AE15" s="82"/>
    </row>
    <row r="16" spans="1:31" s="72" customFormat="1" hidden="1" x14ac:dyDescent="0.35">
      <c r="A16" s="373" t="s">
        <v>271</v>
      </c>
      <c r="B16" s="880"/>
      <c r="C16" s="987" t="s">
        <v>221</v>
      </c>
      <c r="D16" s="73" t="s">
        <v>222</v>
      </c>
      <c r="E16" s="399" t="str">
        <f>VLOOKUP(F16,'Quy đổi'!A:D,4,0)</f>
        <v>Khác</v>
      </c>
      <c r="F16" s="987" t="s">
        <v>223</v>
      </c>
      <c r="G16" s="72" t="s">
        <v>372</v>
      </c>
      <c r="H16" s="257">
        <f>IFERROR(VLOOKUP(F16,'Quy đổi'!A:C,3,0),"-")</f>
        <v>0</v>
      </c>
      <c r="I16" s="1096">
        <v>7238</v>
      </c>
      <c r="J16" s="1096">
        <v>148840600</v>
      </c>
      <c r="K16" s="1096">
        <v>148840600</v>
      </c>
      <c r="L16" s="1097"/>
      <c r="M16" s="1097"/>
      <c r="N16" s="1097"/>
      <c r="O16" s="1097">
        <f t="shared" si="3"/>
        <v>148840600</v>
      </c>
      <c r="P16" s="1096">
        <f t="shared" si="0"/>
        <v>20563.774523348991</v>
      </c>
      <c r="Q16" s="1096">
        <f t="shared" ref="Q16:Q34" si="12">P16/24.5</f>
        <v>839.33773564689761</v>
      </c>
      <c r="R16" s="1096">
        <v>153445600</v>
      </c>
      <c r="S16" s="1096">
        <f t="shared" si="5"/>
        <v>21200</v>
      </c>
      <c r="T16" s="1096">
        <f t="shared" si="6"/>
        <v>865.30612244897964</v>
      </c>
      <c r="U16" s="1096">
        <f t="shared" si="7"/>
        <v>-4605000</v>
      </c>
      <c r="V16" s="1102">
        <f t="shared" si="1"/>
        <v>-3.093913891774153E-2</v>
      </c>
      <c r="W16" s="1166">
        <v>24910</v>
      </c>
      <c r="X16" s="1181">
        <f t="shared" si="10"/>
        <v>5975.1344841429145</v>
      </c>
      <c r="Y16" s="1181">
        <f t="shared" si="2"/>
        <v>5975.1344841429145</v>
      </c>
      <c r="Z16" s="1181">
        <f t="shared" si="8"/>
        <v>-184.86551585708551</v>
      </c>
      <c r="AA16" s="1181">
        <f t="shared" si="11"/>
        <v>6160</v>
      </c>
      <c r="AB16" s="1053"/>
      <c r="AC16" s="1167"/>
      <c r="AD16" s="1053">
        <f t="shared" si="9"/>
        <v>825.52286324162947</v>
      </c>
      <c r="AE16" s="82"/>
    </row>
    <row r="17" spans="1:31" s="72" customFormat="1" hidden="1" x14ac:dyDescent="0.35">
      <c r="A17" s="373" t="s">
        <v>271</v>
      </c>
      <c r="B17" s="880" t="s">
        <v>22</v>
      </c>
      <c r="C17" s="987" t="s">
        <v>82</v>
      </c>
      <c r="D17" s="73" t="s">
        <v>81</v>
      </c>
      <c r="E17" s="399" t="str">
        <f>VLOOKUP(F17,'Quy đổi'!A:D,4,0)</f>
        <v>rHDPE thổi</v>
      </c>
      <c r="F17" s="987" t="s">
        <v>69</v>
      </c>
      <c r="G17" s="72" t="s">
        <v>68</v>
      </c>
      <c r="H17" s="257" t="str">
        <f>IFERROR(VLOOKUP(F17,'Quy đổi'!A:C,3,0),"-")</f>
        <v>MBF01</v>
      </c>
      <c r="I17" s="1096">
        <v>-150</v>
      </c>
      <c r="J17" s="1096">
        <v>0</v>
      </c>
      <c r="K17" s="1096">
        <v>-5264100</v>
      </c>
      <c r="L17" s="1097"/>
      <c r="M17" s="1097"/>
      <c r="N17" s="1097"/>
      <c r="O17" s="1097">
        <f t="shared" si="3"/>
        <v>-5264100</v>
      </c>
      <c r="P17" s="1096">
        <f t="shared" si="0"/>
        <v>35094</v>
      </c>
      <c r="Q17" s="1096">
        <f t="shared" ref="Q17:Q30" si="13">P17/W17*1000</f>
        <v>1408.8317944600562</v>
      </c>
      <c r="R17" s="1096">
        <v>-4182958</v>
      </c>
      <c r="S17" s="1096">
        <f t="shared" si="5"/>
        <v>27886.386666666665</v>
      </c>
      <c r="T17" s="1096">
        <f t="shared" si="6"/>
        <v>1138.2198639455783</v>
      </c>
      <c r="U17" s="1096">
        <f t="shared" si="7"/>
        <v>-1081142</v>
      </c>
      <c r="V17" s="1102">
        <f t="shared" si="1"/>
        <v>0.20538021694116754</v>
      </c>
      <c r="W17" s="1166">
        <v>24910</v>
      </c>
      <c r="X17" s="1181">
        <f t="shared" si="10"/>
        <v>-211.32476916900842</v>
      </c>
      <c r="Y17" s="1181">
        <f t="shared" si="2"/>
        <v>-211.32476916900842</v>
      </c>
      <c r="Z17" s="1181">
        <f t="shared" si="8"/>
        <v>-43.401926936973105</v>
      </c>
      <c r="AA17" s="1181">
        <f t="shared" si="11"/>
        <v>-167.92284223203532</v>
      </c>
      <c r="AB17" s="1052">
        <v>1350</v>
      </c>
      <c r="AC17" s="1166"/>
      <c r="AD17" s="1053">
        <f t="shared" si="9"/>
        <v>58.831794460056244</v>
      </c>
      <c r="AE17" s="82"/>
    </row>
    <row r="18" spans="1:31" s="72" customFormat="1" hidden="1" x14ac:dyDescent="0.35">
      <c r="A18" s="373" t="s">
        <v>271</v>
      </c>
      <c r="B18" s="880" t="s">
        <v>22</v>
      </c>
      <c r="C18" s="987" t="s">
        <v>82</v>
      </c>
      <c r="D18" s="73" t="s">
        <v>81</v>
      </c>
      <c r="E18" s="399" t="str">
        <f>VLOOKUP(F18,'Quy đổi'!A:D,4,0)</f>
        <v>rHDPE thổi</v>
      </c>
      <c r="F18" s="987" t="s">
        <v>69</v>
      </c>
      <c r="G18" s="72" t="s">
        <v>68</v>
      </c>
      <c r="H18" s="257" t="str">
        <f>IFERROR(VLOOKUP(F18,'Quy đổi'!A:C,3,0),"-")</f>
        <v>MBF01</v>
      </c>
      <c r="I18" s="1096">
        <v>55000</v>
      </c>
      <c r="J18" s="1096">
        <v>1930170000</v>
      </c>
      <c r="K18" s="1096">
        <v>1930170000</v>
      </c>
      <c r="L18" s="1097"/>
      <c r="M18" s="1097"/>
      <c r="N18" s="1097"/>
      <c r="O18" s="1097">
        <f t="shared" si="3"/>
        <v>1930170000</v>
      </c>
      <c r="P18" s="1096">
        <f t="shared" si="0"/>
        <v>35094</v>
      </c>
      <c r="Q18" s="1096">
        <f t="shared" si="13"/>
        <v>1408.8317944600562</v>
      </c>
      <c r="R18" s="1096">
        <v>1533751374</v>
      </c>
      <c r="S18" s="1096">
        <f t="shared" si="5"/>
        <v>27886.38861818182</v>
      </c>
      <c r="T18" s="1096">
        <f t="shared" si="6"/>
        <v>1138.2199435992579</v>
      </c>
      <c r="U18" s="1096">
        <f t="shared" si="7"/>
        <v>396418626</v>
      </c>
      <c r="V18" s="1102">
        <f t="shared" si="1"/>
        <v>0.2053801613329396</v>
      </c>
      <c r="W18" s="1166">
        <v>24910</v>
      </c>
      <c r="X18" s="1181">
        <f t="shared" si="10"/>
        <v>77485.748695303089</v>
      </c>
      <c r="Y18" s="1181">
        <f t="shared" si="2"/>
        <v>77485.748695303089</v>
      </c>
      <c r="Z18" s="1181">
        <f t="shared" si="8"/>
        <v>15914.035568044961</v>
      </c>
      <c r="AA18" s="1181">
        <f t="shared" si="11"/>
        <v>61571.713127258132</v>
      </c>
      <c r="AB18" s="1052">
        <v>1350</v>
      </c>
      <c r="AC18" s="1166"/>
      <c r="AD18" s="1053">
        <f t="shared" si="9"/>
        <v>58.831794460056244</v>
      </c>
      <c r="AE18" s="82"/>
    </row>
    <row r="19" spans="1:31" s="72" customFormat="1" hidden="1" x14ac:dyDescent="0.35">
      <c r="A19" s="373" t="s">
        <v>271</v>
      </c>
      <c r="B19" s="880" t="s">
        <v>22</v>
      </c>
      <c r="C19" s="987" t="s">
        <v>82</v>
      </c>
      <c r="D19" s="73" t="s">
        <v>81</v>
      </c>
      <c r="E19" s="399" t="str">
        <f>VLOOKUP(F19,'Quy đổi'!A:D,4,0)</f>
        <v>rPET</v>
      </c>
      <c r="F19" s="987" t="s">
        <v>110</v>
      </c>
      <c r="G19" s="72" t="s">
        <v>109</v>
      </c>
      <c r="H19" s="257" t="str">
        <f>IFERROR(VLOOKUP(F19,'Quy đổi'!A:C,3,0),"-")</f>
        <v>WSS01G</v>
      </c>
      <c r="I19" s="1096">
        <v>11000</v>
      </c>
      <c r="J19" s="1096">
        <v>357423000</v>
      </c>
      <c r="K19" s="1096">
        <v>357423000</v>
      </c>
      <c r="L19" s="1097"/>
      <c r="M19" s="1097"/>
      <c r="N19" s="1097"/>
      <c r="O19" s="1097">
        <f t="shared" si="3"/>
        <v>357423000</v>
      </c>
      <c r="P19" s="1096">
        <f t="shared" si="0"/>
        <v>32493</v>
      </c>
      <c r="Q19" s="1096">
        <f t="shared" si="13"/>
        <v>1304.4158972300281</v>
      </c>
      <c r="R19" s="1096">
        <v>281394522</v>
      </c>
      <c r="S19" s="1096">
        <f t="shared" si="5"/>
        <v>25581.320181818181</v>
      </c>
      <c r="T19" s="1096">
        <f t="shared" si="6"/>
        <v>1044.1355176252318</v>
      </c>
      <c r="U19" s="1096">
        <f t="shared" si="7"/>
        <v>76028478</v>
      </c>
      <c r="V19" s="1102">
        <f t="shared" si="1"/>
        <v>0.21271288641189851</v>
      </c>
      <c r="W19" s="1166">
        <v>24910</v>
      </c>
      <c r="X19" s="1181">
        <f t="shared" si="10"/>
        <v>14348.574869530308</v>
      </c>
      <c r="Y19" s="1181">
        <f t="shared" si="2"/>
        <v>14348.574869530308</v>
      </c>
      <c r="Z19" s="1181">
        <f t="shared" si="8"/>
        <v>3052.1267763950223</v>
      </c>
      <c r="AA19" s="1181">
        <f t="shared" si="11"/>
        <v>11296.448093135286</v>
      </c>
      <c r="AB19" s="1052">
        <v>1230</v>
      </c>
      <c r="AC19" s="1166"/>
      <c r="AD19" s="1053">
        <f t="shared" si="9"/>
        <v>74.415897230027895</v>
      </c>
      <c r="AE19" s="82"/>
    </row>
    <row r="20" spans="1:31" s="72" customFormat="1" hidden="1" x14ac:dyDescent="0.35">
      <c r="A20" s="373" t="s">
        <v>271</v>
      </c>
      <c r="B20" s="880" t="s">
        <v>22</v>
      </c>
      <c r="C20" s="987" t="s">
        <v>82</v>
      </c>
      <c r="D20" s="73" t="s">
        <v>81</v>
      </c>
      <c r="E20" s="399" t="str">
        <f>VLOOKUP(F20,'Quy đổi'!A:D,4,0)</f>
        <v>rHDPE ép</v>
      </c>
      <c r="F20" s="987" t="s">
        <v>208</v>
      </c>
      <c r="G20" s="72" t="s">
        <v>209</v>
      </c>
      <c r="H20" s="257" t="str">
        <f>IFERROR(VLOOKUP(F20,'Quy đổi'!A:C,3,0),"-")</f>
        <v>rHDI4L01</v>
      </c>
      <c r="I20" s="1096">
        <v>5500</v>
      </c>
      <c r="J20" s="1096">
        <v>122476734</v>
      </c>
      <c r="K20" s="1096">
        <v>122476734</v>
      </c>
      <c r="L20" s="1097"/>
      <c r="M20" s="1097"/>
      <c r="N20" s="1097"/>
      <c r="O20" s="1097">
        <f t="shared" si="3"/>
        <v>122476734</v>
      </c>
      <c r="P20" s="1096">
        <f t="shared" si="0"/>
        <v>22268.497090909092</v>
      </c>
      <c r="Q20" s="1096">
        <f t="shared" si="13"/>
        <v>893.95813291485717</v>
      </c>
      <c r="R20" s="1096">
        <v>173054866</v>
      </c>
      <c r="S20" s="1096">
        <f t="shared" si="5"/>
        <v>31464.521090909089</v>
      </c>
      <c r="T20" s="1096">
        <f t="shared" si="6"/>
        <v>1284.2661669758811</v>
      </c>
      <c r="U20" s="1096">
        <f t="shared" si="7"/>
        <v>-50578132</v>
      </c>
      <c r="V20" s="1102">
        <f t="shared" si="1"/>
        <v>-0.41296114248115073</v>
      </c>
      <c r="W20" s="1166">
        <v>24910</v>
      </c>
      <c r="X20" s="1181">
        <f t="shared" si="10"/>
        <v>4916.7697310317144</v>
      </c>
      <c r="Y20" s="1181">
        <f t="shared" si="2"/>
        <v>4916.7697310317144</v>
      </c>
      <c r="Z20" s="1181">
        <f t="shared" si="8"/>
        <v>-2030.4348454435969</v>
      </c>
      <c r="AA20" s="1181">
        <f t="shared" si="11"/>
        <v>6947.2045764753111</v>
      </c>
      <c r="AB20" s="1052">
        <v>870</v>
      </c>
      <c r="AC20" s="1098">
        <f t="shared" ref="AC20" si="14">X20/I20*1000</f>
        <v>893.95813291485717</v>
      </c>
      <c r="AD20" s="1053">
        <f>X20/I20*1000-AB20</f>
        <v>23.958132914857174</v>
      </c>
      <c r="AE20" s="82"/>
    </row>
    <row r="21" spans="1:31" s="72" customFormat="1" hidden="1" x14ac:dyDescent="0.35">
      <c r="A21" s="373" t="s">
        <v>271</v>
      </c>
      <c r="B21" s="880" t="s">
        <v>22</v>
      </c>
      <c r="C21" s="987" t="s">
        <v>82</v>
      </c>
      <c r="D21" s="73" t="s">
        <v>81</v>
      </c>
      <c r="E21" s="399" t="str">
        <f>VLOOKUP(F21,'Quy đổi'!A:D,4,0)</f>
        <v>rHDPE thổi</v>
      </c>
      <c r="F21" s="987" t="s">
        <v>84</v>
      </c>
      <c r="G21" s="72" t="s">
        <v>83</v>
      </c>
      <c r="H21" s="257" t="str">
        <f>IFERROR(VLOOKUP(F21,'Quy đổi'!A:C,3,0),"-")</f>
        <v>HCBF-Whi-U</v>
      </c>
      <c r="I21" s="1096">
        <v>5500</v>
      </c>
      <c r="J21" s="1096">
        <v>186153000</v>
      </c>
      <c r="K21" s="1096">
        <v>186153000</v>
      </c>
      <c r="L21" s="1097"/>
      <c r="M21" s="1097"/>
      <c r="N21" s="1097"/>
      <c r="O21" s="1097">
        <f t="shared" si="3"/>
        <v>186153000</v>
      </c>
      <c r="P21" s="1096">
        <f t="shared" si="0"/>
        <v>33846</v>
      </c>
      <c r="Q21" s="1096">
        <f t="shared" si="13"/>
        <v>1358.7314331593739</v>
      </c>
      <c r="R21" s="1096">
        <v>130649546</v>
      </c>
      <c r="S21" s="1096">
        <f t="shared" si="5"/>
        <v>23754.462909090907</v>
      </c>
      <c r="T21" s="1096">
        <f t="shared" si="6"/>
        <v>969.56991465677174</v>
      </c>
      <c r="U21" s="1096">
        <f t="shared" si="7"/>
        <v>55503454</v>
      </c>
      <c r="V21" s="1102">
        <f t="shared" si="1"/>
        <v>0.29816040568779445</v>
      </c>
      <c r="W21" s="1166">
        <v>24910</v>
      </c>
      <c r="X21" s="1181">
        <f t="shared" si="10"/>
        <v>7473.0228823765556</v>
      </c>
      <c r="Y21" s="1181">
        <f t="shared" si="2"/>
        <v>7473.0228823765556</v>
      </c>
      <c r="Z21" s="1181">
        <f t="shared" si="8"/>
        <v>2228.1595343235649</v>
      </c>
      <c r="AA21" s="1181">
        <f t="shared" si="11"/>
        <v>5244.8633480529907</v>
      </c>
      <c r="AB21" s="1052">
        <v>1350</v>
      </c>
      <c r="AC21" s="1166"/>
      <c r="AD21" s="1053">
        <f t="shared" si="9"/>
        <v>8.7314331593738643</v>
      </c>
      <c r="AE21" s="82"/>
    </row>
    <row r="22" spans="1:31" s="72" customFormat="1" hidden="1" x14ac:dyDescent="0.35">
      <c r="A22" s="373" t="s">
        <v>271</v>
      </c>
      <c r="B22" s="880" t="s">
        <v>22</v>
      </c>
      <c r="C22" s="987" t="s">
        <v>82</v>
      </c>
      <c r="D22" s="73" t="s">
        <v>81</v>
      </c>
      <c r="E22" s="399" t="str">
        <f>VLOOKUP(F22,'Quy đổi'!A:D,4,0)</f>
        <v>rHDPE thổi</v>
      </c>
      <c r="F22" s="987" t="s">
        <v>75</v>
      </c>
      <c r="G22" s="72" t="s">
        <v>74</v>
      </c>
      <c r="H22" s="257" t="str">
        <f>IFERROR(VLOOKUP(F22,'Quy đổi'!A:C,3,0),"-")</f>
        <v>HCBF-Yel-U</v>
      </c>
      <c r="I22" s="1096">
        <v>22000</v>
      </c>
      <c r="J22" s="1096">
        <v>754380000</v>
      </c>
      <c r="K22" s="1096">
        <v>754380000</v>
      </c>
      <c r="L22" s="1097"/>
      <c r="M22" s="1097"/>
      <c r="N22" s="1097"/>
      <c r="O22" s="1097">
        <f t="shared" si="3"/>
        <v>754380000</v>
      </c>
      <c r="P22" s="1096">
        <f t="shared" si="0"/>
        <v>34290</v>
      </c>
      <c r="Q22" s="1096">
        <f t="shared" si="13"/>
        <v>1376.555600160578</v>
      </c>
      <c r="R22" s="1096">
        <v>555180420</v>
      </c>
      <c r="S22" s="1096">
        <f t="shared" si="5"/>
        <v>25235.473636363637</v>
      </c>
      <c r="T22" s="1096">
        <f t="shared" si="6"/>
        <v>1030.019332096475</v>
      </c>
      <c r="U22" s="1096">
        <f t="shared" si="7"/>
        <v>199199580</v>
      </c>
      <c r="V22" s="1102">
        <f t="shared" si="1"/>
        <v>0.26405734510458923</v>
      </c>
      <c r="W22" s="1166">
        <v>24910</v>
      </c>
      <c r="X22" s="1181">
        <f t="shared" si="10"/>
        <v>30284.223203532718</v>
      </c>
      <c r="Y22" s="1181">
        <f t="shared" si="2"/>
        <v>30284.223203532718</v>
      </c>
      <c r="Z22" s="1181">
        <f t="shared" si="8"/>
        <v>7996.7715776796467</v>
      </c>
      <c r="AA22" s="1181">
        <f>R22/W22</f>
        <v>22287.451625853071</v>
      </c>
      <c r="AB22" s="1052">
        <v>1350</v>
      </c>
      <c r="AC22" s="1166"/>
      <c r="AD22" s="1053">
        <f t="shared" si="9"/>
        <v>26.555600160578024</v>
      </c>
      <c r="AE22" s="82"/>
    </row>
    <row r="23" spans="1:31" s="72" customFormat="1" hidden="1" x14ac:dyDescent="0.35">
      <c r="A23" s="373" t="s">
        <v>271</v>
      </c>
      <c r="B23" s="880" t="s">
        <v>22</v>
      </c>
      <c r="C23" s="987" t="s">
        <v>82</v>
      </c>
      <c r="D23" s="73" t="s">
        <v>81</v>
      </c>
      <c r="E23" s="399" t="str">
        <f>VLOOKUP(F23,'Quy đổi'!A:D,4,0)</f>
        <v>rHDPE thổi</v>
      </c>
      <c r="F23" s="987" t="s">
        <v>80</v>
      </c>
      <c r="G23" s="72" t="s">
        <v>79</v>
      </c>
      <c r="H23" s="257" t="str">
        <f>IFERROR(VLOOKUP(F23,'Quy đổi'!A:C,3,0),"-")</f>
        <v>PCF01</v>
      </c>
      <c r="I23" s="1096">
        <v>11000</v>
      </c>
      <c r="J23" s="1096">
        <v>386034000</v>
      </c>
      <c r="K23" s="1096">
        <v>386034000</v>
      </c>
      <c r="L23" s="1097"/>
      <c r="M23" s="1097"/>
      <c r="N23" s="1097"/>
      <c r="O23" s="1097">
        <f t="shared" si="3"/>
        <v>386034000</v>
      </c>
      <c r="P23" s="1096">
        <f t="shared" si="0"/>
        <v>35094</v>
      </c>
      <c r="Q23" s="1096">
        <f t="shared" si="13"/>
        <v>1408.8317944600562</v>
      </c>
      <c r="R23" s="1096">
        <v>301914202</v>
      </c>
      <c r="S23" s="1096">
        <f t="shared" si="5"/>
        <v>27446.745636363637</v>
      </c>
      <c r="T23" s="1096">
        <f t="shared" si="6"/>
        <v>1120.275332096475</v>
      </c>
      <c r="U23" s="1096">
        <f t="shared" si="7"/>
        <v>84119798</v>
      </c>
      <c r="V23" s="1102">
        <f t="shared" si="1"/>
        <v>0.2179077438774823</v>
      </c>
      <c r="W23" s="1166">
        <v>24910</v>
      </c>
      <c r="X23" s="1181">
        <f t="shared" si="10"/>
        <v>15497.149739060618</v>
      </c>
      <c r="Y23" s="1181">
        <f t="shared" si="2"/>
        <v>15497.149739060618</v>
      </c>
      <c r="Z23" s="1181">
        <f t="shared" si="8"/>
        <v>3376.9489361702126</v>
      </c>
      <c r="AA23" s="1181">
        <f t="shared" si="11"/>
        <v>12120.200802890406</v>
      </c>
      <c r="AB23" s="1052">
        <v>1400</v>
      </c>
      <c r="AC23" s="1166"/>
      <c r="AD23" s="1053">
        <f t="shared" si="9"/>
        <v>8.8317944600562441</v>
      </c>
      <c r="AE23" s="82"/>
    </row>
    <row r="24" spans="1:31" s="72" customFormat="1" hidden="1" x14ac:dyDescent="0.35">
      <c r="A24" s="373" t="s">
        <v>271</v>
      </c>
      <c r="B24" s="880" t="s">
        <v>22</v>
      </c>
      <c r="C24" s="987" t="s">
        <v>235</v>
      </c>
      <c r="D24" s="73" t="s">
        <v>236</v>
      </c>
      <c r="E24" s="399" t="str">
        <f>VLOOKUP(F24,'Quy đổi'!A:D,4,0)</f>
        <v>rPET</v>
      </c>
      <c r="F24" s="987" t="s">
        <v>110</v>
      </c>
      <c r="G24" s="72" t="s">
        <v>109</v>
      </c>
      <c r="H24" s="257" t="str">
        <f>IFERROR(VLOOKUP(F24,'Quy đổi'!A:C,3,0),"-")</f>
        <v>WSS01G</v>
      </c>
      <c r="I24" s="1096">
        <v>5500</v>
      </c>
      <c r="J24" s="1096">
        <v>185634488</v>
      </c>
      <c r="K24" s="1096">
        <v>185634488</v>
      </c>
      <c r="L24" s="1097"/>
      <c r="M24" s="1097"/>
      <c r="N24" s="1097"/>
      <c r="O24" s="1097">
        <f t="shared" si="3"/>
        <v>185634488</v>
      </c>
      <c r="P24" s="1096">
        <f t="shared" si="0"/>
        <v>33751.725090909094</v>
      </c>
      <c r="Q24" s="1096">
        <f t="shared" si="13"/>
        <v>1354.9468121601403</v>
      </c>
      <c r="R24" s="1096">
        <v>140697261</v>
      </c>
      <c r="S24" s="1096">
        <f t="shared" si="5"/>
        <v>25581.320181818181</v>
      </c>
      <c r="T24" s="1096">
        <f t="shared" si="6"/>
        <v>1044.1355176252318</v>
      </c>
      <c r="U24" s="1096">
        <f t="shared" si="7"/>
        <v>44937227</v>
      </c>
      <c r="V24" s="1102">
        <f t="shared" si="1"/>
        <v>0.24207369807274173</v>
      </c>
      <c r="W24" s="1166">
        <v>24910</v>
      </c>
      <c r="X24" s="1181">
        <f t="shared" si="10"/>
        <v>7452.2074668807709</v>
      </c>
      <c r="Y24" s="1181">
        <f t="shared" si="2"/>
        <v>7452.2074668807709</v>
      </c>
      <c r="Z24" s="1181">
        <f t="shared" si="8"/>
        <v>1803.9834203131272</v>
      </c>
      <c r="AA24" s="1181">
        <f t="shared" si="11"/>
        <v>5648.2240465676432</v>
      </c>
      <c r="AB24" s="1052">
        <v>1230</v>
      </c>
      <c r="AC24" s="1166"/>
      <c r="AD24" s="1053">
        <f t="shared" si="9"/>
        <v>124.94681216014033</v>
      </c>
      <c r="AE24" s="82"/>
    </row>
    <row r="25" spans="1:31" s="72" customFormat="1" hidden="1" x14ac:dyDescent="0.35">
      <c r="A25" s="373" t="s">
        <v>271</v>
      </c>
      <c r="B25" s="880" t="s">
        <v>22</v>
      </c>
      <c r="C25" s="987" t="s">
        <v>120</v>
      </c>
      <c r="D25" s="73" t="s">
        <v>226</v>
      </c>
      <c r="E25" s="399" t="str">
        <f>VLOOKUP(F25,'Quy đổi'!A:D,4,0)</f>
        <v>rPET</v>
      </c>
      <c r="F25" s="987" t="s">
        <v>127</v>
      </c>
      <c r="G25" s="72" t="s">
        <v>114</v>
      </c>
      <c r="H25" s="257" t="str">
        <f>IFERROR(VLOOKUP(F25,'Quy đổi'!A:C,3,0),"-")</f>
        <v>iSS01084G</v>
      </c>
      <c r="I25" s="1096">
        <v>44000</v>
      </c>
      <c r="J25" s="1096">
        <v>1636624000</v>
      </c>
      <c r="K25" s="1096">
        <v>1636624000</v>
      </c>
      <c r="L25" s="1097">
        <v>6160000</v>
      </c>
      <c r="M25" s="1097"/>
      <c r="N25" s="1097"/>
      <c r="O25" s="1097">
        <f t="shared" si="3"/>
        <v>1630464000</v>
      </c>
      <c r="P25" s="1096">
        <f t="shared" si="0"/>
        <v>37056</v>
      </c>
      <c r="Q25" s="1096">
        <f t="shared" si="13"/>
        <v>1487.5953432356484</v>
      </c>
      <c r="R25" s="1096">
        <v>1166793262</v>
      </c>
      <c r="S25" s="1096">
        <f t="shared" si="5"/>
        <v>26518.028681818181</v>
      </c>
      <c r="T25" s="1096">
        <f t="shared" si="6"/>
        <v>1082.3685176252318</v>
      </c>
      <c r="U25" s="1096">
        <f t="shared" si="7"/>
        <v>463670738</v>
      </c>
      <c r="V25" s="1102">
        <f t="shared" si="1"/>
        <v>0.28330926223738623</v>
      </c>
      <c r="W25" s="1166">
        <v>24910</v>
      </c>
      <c r="X25" s="1181">
        <f t="shared" si="10"/>
        <v>65454.195102368525</v>
      </c>
      <c r="Y25" s="1181">
        <f t="shared" si="2"/>
        <v>65701.485347250098</v>
      </c>
      <c r="Z25" s="1181">
        <f t="shared" si="8"/>
        <v>18613.839341629868</v>
      </c>
      <c r="AA25" s="1181">
        <f t="shared" si="11"/>
        <v>46840.355760738661</v>
      </c>
      <c r="AB25" s="1052">
        <v>1320</v>
      </c>
      <c r="AC25" s="1166"/>
      <c r="AD25" s="1053">
        <f t="shared" si="9"/>
        <v>167.59534323564844</v>
      </c>
      <c r="AE25" s="82"/>
    </row>
    <row r="26" spans="1:31" s="72" customFormat="1" hidden="1" x14ac:dyDescent="0.35">
      <c r="A26" s="373" t="s">
        <v>271</v>
      </c>
      <c r="B26" s="880" t="s">
        <v>22</v>
      </c>
      <c r="C26" s="987" t="s">
        <v>120</v>
      </c>
      <c r="D26" s="73" t="s">
        <v>226</v>
      </c>
      <c r="E26" s="399" t="str">
        <f>VLOOKUP(F26,'Quy đổi'!A:D,4,0)</f>
        <v>rPET</v>
      </c>
      <c r="F26" s="987" t="s">
        <v>100</v>
      </c>
      <c r="G26" s="72" t="s">
        <v>99</v>
      </c>
      <c r="H26" s="257" t="str">
        <f>IFERROR(VLOOKUP(F26,'Quy đổi'!A:C,3,0),"-")</f>
        <v>iSS01G</v>
      </c>
      <c r="I26" s="1096">
        <v>3300</v>
      </c>
      <c r="J26" s="1096">
        <v>118965000</v>
      </c>
      <c r="K26" s="1096">
        <v>118965000</v>
      </c>
      <c r="L26" s="1097"/>
      <c r="M26" s="1097"/>
      <c r="N26" s="1097"/>
      <c r="O26" s="1097">
        <f t="shared" si="3"/>
        <v>118965000</v>
      </c>
      <c r="P26" s="1096">
        <f t="shared" si="0"/>
        <v>36050</v>
      </c>
      <c r="Q26" s="1096">
        <f t="shared" si="13"/>
        <v>1447.2099558410275</v>
      </c>
      <c r="R26" s="1096">
        <v>85345751</v>
      </c>
      <c r="S26" s="1096">
        <f t="shared" si="5"/>
        <v>25862.348787878789</v>
      </c>
      <c r="T26" s="1096">
        <f t="shared" si="6"/>
        <v>1055.6060729746443</v>
      </c>
      <c r="U26" s="1096">
        <f t="shared" si="7"/>
        <v>33619249</v>
      </c>
      <c r="V26" s="1102">
        <f t="shared" si="1"/>
        <v>0.28259781448325139</v>
      </c>
      <c r="W26" s="1166">
        <v>24910</v>
      </c>
      <c r="X26" s="1181">
        <f t="shared" si="10"/>
        <v>4775.7928542753916</v>
      </c>
      <c r="Y26" s="1181">
        <f t="shared" si="2"/>
        <v>4775.7928542753916</v>
      </c>
      <c r="Z26" s="1181">
        <f t="shared" si="8"/>
        <v>1349.6286230429546</v>
      </c>
      <c r="AA26" s="1181">
        <f t="shared" si="11"/>
        <v>3426.1642312324366</v>
      </c>
      <c r="AB26" s="1052">
        <v>1260</v>
      </c>
      <c r="AC26" s="1166"/>
      <c r="AD26" s="1053">
        <f t="shared" si="9"/>
        <v>187.20995584102775</v>
      </c>
      <c r="AE26" s="82"/>
    </row>
    <row r="27" spans="1:31" s="72" customFormat="1" hidden="1" x14ac:dyDescent="0.35">
      <c r="A27" s="373" t="s">
        <v>271</v>
      </c>
      <c r="B27" s="880" t="s">
        <v>22</v>
      </c>
      <c r="C27" s="987" t="s">
        <v>89</v>
      </c>
      <c r="D27" s="73" t="s">
        <v>227</v>
      </c>
      <c r="E27" s="399" t="str">
        <f>VLOOKUP(F27,'Quy đổi'!A:D,4,0)</f>
        <v>Xơ sợi</v>
      </c>
      <c r="F27" s="987" t="s">
        <v>463</v>
      </c>
      <c r="G27" s="72" t="s">
        <v>464</v>
      </c>
      <c r="H27" s="257" t="str">
        <f>IFERROR(VLOOKUP(F27,'Quy đổi'!A:C,3,0),"-")</f>
        <v>WSS05SB-2</v>
      </c>
      <c r="I27" s="1096">
        <v>11000</v>
      </c>
      <c r="J27" s="1096">
        <v>209000000</v>
      </c>
      <c r="K27" s="1096">
        <v>209000000</v>
      </c>
      <c r="L27" s="1097"/>
      <c r="M27" s="1097"/>
      <c r="N27" s="1097"/>
      <c r="O27" s="1097">
        <f t="shared" si="3"/>
        <v>209000000</v>
      </c>
      <c r="P27" s="1096">
        <f t="shared" si="0"/>
        <v>19000</v>
      </c>
      <c r="Q27" s="1096">
        <f t="shared" si="13"/>
        <v>762.74588518667201</v>
      </c>
      <c r="R27" s="1096">
        <v>270133389</v>
      </c>
      <c r="S27" s="1096">
        <f t="shared" si="5"/>
        <v>24557.580818181817</v>
      </c>
      <c r="T27" s="1096">
        <f t="shared" si="6"/>
        <v>1002.3502374768088</v>
      </c>
      <c r="U27" s="1096">
        <f t="shared" si="7"/>
        <v>-61133389</v>
      </c>
      <c r="V27" s="1102">
        <f t="shared" si="1"/>
        <v>-0.29250425358851673</v>
      </c>
      <c r="W27" s="1166">
        <v>24910</v>
      </c>
      <c r="X27" s="1181">
        <f t="shared" si="10"/>
        <v>8390.2047370533928</v>
      </c>
      <c r="Y27" s="1181">
        <f t="shared" si="2"/>
        <v>8390.2047370533928</v>
      </c>
      <c r="Z27" s="1181">
        <f t="shared" si="8"/>
        <v>-2454.1705740666398</v>
      </c>
      <c r="AA27" s="1181">
        <f>R27/W27</f>
        <v>10844.375311120031</v>
      </c>
      <c r="AB27" s="1052">
        <v>1000</v>
      </c>
      <c r="AC27" s="1166"/>
      <c r="AD27" s="1053">
        <f t="shared" si="9"/>
        <v>-237.25411481332787</v>
      </c>
      <c r="AE27" s="82"/>
    </row>
    <row r="28" spans="1:31" s="72" customFormat="1" hidden="1" x14ac:dyDescent="0.35">
      <c r="A28" s="373" t="s">
        <v>271</v>
      </c>
      <c r="B28" s="880" t="s">
        <v>22</v>
      </c>
      <c r="C28" s="987" t="s">
        <v>150</v>
      </c>
      <c r="D28" s="73" t="s">
        <v>149</v>
      </c>
      <c r="E28" s="399" t="str">
        <f>VLOOKUP(F28,'Quy đổi'!A:D,4,0)</f>
        <v>rPET</v>
      </c>
      <c r="F28" s="987" t="s">
        <v>122</v>
      </c>
      <c r="G28" s="72" t="s">
        <v>121</v>
      </c>
      <c r="H28" s="257" t="str">
        <f>IFERROR(VLOOKUP(F28,'Quy đổi'!A:C,3,0),"-")</f>
        <v>WSS01</v>
      </c>
      <c r="I28" s="1096">
        <v>22000</v>
      </c>
      <c r="J28" s="1096">
        <v>718440492</v>
      </c>
      <c r="K28" s="1096">
        <v>718440492</v>
      </c>
      <c r="L28" s="1097"/>
      <c r="M28" s="1097"/>
      <c r="N28" s="1097"/>
      <c r="O28" s="1097">
        <f t="shared" si="3"/>
        <v>718440492</v>
      </c>
      <c r="P28" s="1096">
        <f t="shared" si="0"/>
        <v>32656.385999999999</v>
      </c>
      <c r="Q28" s="1096">
        <f t="shared" si="13"/>
        <v>1310.9749498193496</v>
      </c>
      <c r="R28" s="1096">
        <v>625409890</v>
      </c>
      <c r="S28" s="1096">
        <f t="shared" si="5"/>
        <v>28427.722272727271</v>
      </c>
      <c r="T28" s="1096">
        <f t="shared" si="6"/>
        <v>1160.3151948051948</v>
      </c>
      <c r="U28" s="1096">
        <f t="shared" si="7"/>
        <v>93030602</v>
      </c>
      <c r="V28" s="1102">
        <f t="shared" si="1"/>
        <v>0.12948964185053199</v>
      </c>
      <c r="W28" s="1166">
        <v>24910</v>
      </c>
      <c r="X28" s="1181">
        <f t="shared" si="10"/>
        <v>28841.448896025693</v>
      </c>
      <c r="Y28" s="1181">
        <f t="shared" si="2"/>
        <v>28841.448896025693</v>
      </c>
      <c r="Z28" s="1181">
        <f t="shared" si="8"/>
        <v>3734.6688879967883</v>
      </c>
      <c r="AA28" s="1181">
        <f t="shared" si="11"/>
        <v>25106.780008028905</v>
      </c>
      <c r="AB28" s="1052">
        <v>1230</v>
      </c>
      <c r="AC28" s="1166">
        <f>X28/I28*1000</f>
        <v>1310.9749498193496</v>
      </c>
      <c r="AD28" s="1053">
        <f t="shared" si="9"/>
        <v>80.974949819349604</v>
      </c>
      <c r="AE28" s="82"/>
    </row>
    <row r="29" spans="1:31" s="72" customFormat="1" hidden="1" x14ac:dyDescent="0.35">
      <c r="A29" s="373" t="s">
        <v>271</v>
      </c>
      <c r="B29" s="880" t="s">
        <v>22</v>
      </c>
      <c r="C29" s="987" t="s">
        <v>150</v>
      </c>
      <c r="D29" s="73" t="s">
        <v>149</v>
      </c>
      <c r="E29" s="399" t="str">
        <f>VLOOKUP(F29,'Quy đổi'!A:D,4,0)</f>
        <v>rPET</v>
      </c>
      <c r="F29" s="987" t="s">
        <v>110</v>
      </c>
      <c r="G29" s="72" t="s">
        <v>109</v>
      </c>
      <c r="H29" s="257" t="str">
        <f>IFERROR(VLOOKUP(F29,'Quy đổi'!A:C,3,0),"-")</f>
        <v>WSS01G</v>
      </c>
      <c r="I29" s="1096">
        <v>44000</v>
      </c>
      <c r="J29" s="1096">
        <v>1436880984</v>
      </c>
      <c r="K29" s="1096">
        <v>1436880984</v>
      </c>
      <c r="L29" s="1097"/>
      <c r="M29" s="1097"/>
      <c r="N29" s="1097"/>
      <c r="O29" s="1097">
        <f t="shared" si="3"/>
        <v>1436880984</v>
      </c>
      <c r="P29" s="1096">
        <f t="shared" si="0"/>
        <v>32656.385999999999</v>
      </c>
      <c r="Q29" s="1096">
        <f t="shared" si="13"/>
        <v>1310.9749498193496</v>
      </c>
      <c r="R29" s="1096">
        <v>1125578088</v>
      </c>
      <c r="S29" s="1096">
        <f t="shared" si="5"/>
        <v>25581.320181818181</v>
      </c>
      <c r="T29" s="1096">
        <f t="shared" si="6"/>
        <v>1044.1355176252318</v>
      </c>
      <c r="U29" s="1096">
        <f t="shared" si="7"/>
        <v>311302896</v>
      </c>
      <c r="V29" s="1102">
        <f t="shared" si="1"/>
        <v>0.21665183092157897</v>
      </c>
      <c r="W29" s="1166">
        <v>24910</v>
      </c>
      <c r="X29" s="1181">
        <f>O29/W29</f>
        <v>57682.897792051386</v>
      </c>
      <c r="Y29" s="1181">
        <f t="shared" si="2"/>
        <v>57682.897792051386</v>
      </c>
      <c r="Z29" s="1181">
        <f t="shared" si="8"/>
        <v>12497.105419510237</v>
      </c>
      <c r="AA29" s="1181">
        <f t="shared" si="11"/>
        <v>45185.792372541146</v>
      </c>
      <c r="AB29" s="1052">
        <v>1230</v>
      </c>
      <c r="AC29" s="1166"/>
      <c r="AD29" s="1053">
        <f t="shared" si="9"/>
        <v>80.974949819349604</v>
      </c>
      <c r="AE29" s="82"/>
    </row>
    <row r="30" spans="1:31" s="72" customFormat="1" hidden="1" x14ac:dyDescent="0.35">
      <c r="A30" s="373" t="s">
        <v>271</v>
      </c>
      <c r="B30" s="880" t="s">
        <v>22</v>
      </c>
      <c r="C30" s="987" t="s">
        <v>71</v>
      </c>
      <c r="D30" s="73" t="s">
        <v>70</v>
      </c>
      <c r="E30" s="399" t="str">
        <f>VLOOKUP(F30,'Quy đổi'!A:D,4,0)</f>
        <v>rHDPE thổi</v>
      </c>
      <c r="F30" s="987" t="s">
        <v>187</v>
      </c>
      <c r="G30" s="72" t="s">
        <v>188</v>
      </c>
      <c r="H30" s="257" t="str">
        <f>IFERROR(VLOOKUP(F30,'Quy đổi'!A:C,3,0),"-")</f>
        <v>rHDB03N02</v>
      </c>
      <c r="I30" s="1096">
        <v>22000</v>
      </c>
      <c r="J30" s="1096">
        <v>759102300</v>
      </c>
      <c r="K30" s="1096">
        <v>759102300</v>
      </c>
      <c r="L30" s="1097"/>
      <c r="M30" s="1097"/>
      <c r="N30" s="1097"/>
      <c r="O30" s="1097">
        <f t="shared" si="3"/>
        <v>759102300</v>
      </c>
      <c r="P30" s="1096">
        <f t="shared" si="0"/>
        <v>34504.65</v>
      </c>
      <c r="Q30" s="1096">
        <f t="shared" si="13"/>
        <v>1385.1726214371738</v>
      </c>
      <c r="R30" s="1096">
        <v>739262888</v>
      </c>
      <c r="S30" s="1096">
        <f t="shared" si="5"/>
        <v>33602.858545454546</v>
      </c>
      <c r="T30" s="1096">
        <f t="shared" si="6"/>
        <v>1371.5452467532468</v>
      </c>
      <c r="U30" s="1096">
        <f t="shared" si="7"/>
        <v>19839412</v>
      </c>
      <c r="V30" s="1102">
        <f t="shared" si="1"/>
        <v>2.6135360148427954E-2</v>
      </c>
      <c r="W30" s="1166">
        <v>24910</v>
      </c>
      <c r="X30" s="1181">
        <f t="shared" si="10"/>
        <v>30473.797671617824</v>
      </c>
      <c r="Y30" s="1181">
        <f t="shared" si="2"/>
        <v>30473.797671617824</v>
      </c>
      <c r="Z30" s="1181">
        <f t="shared" si="8"/>
        <v>796.44367723805703</v>
      </c>
      <c r="AA30" s="1181">
        <f t="shared" si="11"/>
        <v>29677.353994379766</v>
      </c>
      <c r="AB30" s="1052">
        <v>1350</v>
      </c>
      <c r="AC30" s="1166"/>
      <c r="AD30" s="1053">
        <f t="shared" si="9"/>
        <v>35.172621437173802</v>
      </c>
      <c r="AE30" s="82"/>
    </row>
    <row r="31" spans="1:31" s="72" customFormat="1" hidden="1" x14ac:dyDescent="0.35">
      <c r="A31" s="373" t="s">
        <v>271</v>
      </c>
      <c r="B31" s="880"/>
      <c r="C31" s="987" t="s">
        <v>353</v>
      </c>
      <c r="D31" s="73" t="s">
        <v>354</v>
      </c>
      <c r="E31" s="399" t="str">
        <f>VLOOKUP(F31,'Quy đổi'!A:D,4,0)</f>
        <v>Phó sản</v>
      </c>
      <c r="F31" s="987" t="s">
        <v>355</v>
      </c>
      <c r="G31" s="72" t="s">
        <v>356</v>
      </c>
      <c r="H31" s="257">
        <f>IFERROR(VLOOKUP(F31,'Quy đổi'!A:C,3,0),"-")</f>
        <v>0</v>
      </c>
      <c r="I31" s="1096">
        <v>2490</v>
      </c>
      <c r="J31" s="1096">
        <v>12450000</v>
      </c>
      <c r="K31" s="1096">
        <v>12450000</v>
      </c>
      <c r="L31" s="1097"/>
      <c r="M31" s="1097"/>
      <c r="N31" s="1097"/>
      <c r="O31" s="1097">
        <f t="shared" si="3"/>
        <v>12450000</v>
      </c>
      <c r="P31" s="1096">
        <f t="shared" si="0"/>
        <v>5000</v>
      </c>
      <c r="Q31" s="1096">
        <f t="shared" si="12"/>
        <v>204.08163265306123</v>
      </c>
      <c r="R31" s="1096">
        <v>31364384</v>
      </c>
      <c r="S31" s="1096">
        <f t="shared" si="5"/>
        <v>12596.138152610441</v>
      </c>
      <c r="T31" s="1096">
        <f t="shared" si="6"/>
        <v>514.12808786165067</v>
      </c>
      <c r="U31" s="1096">
        <f>O31-R31</f>
        <v>-18914384</v>
      </c>
      <c r="V31" s="1102">
        <f t="shared" si="1"/>
        <v>-1.5192276305220884</v>
      </c>
      <c r="W31" s="1166">
        <v>24910</v>
      </c>
      <c r="X31" s="1181">
        <f t="shared" si="10"/>
        <v>499.79927739863507</v>
      </c>
      <c r="Y31" s="1181">
        <f t="shared" si="2"/>
        <v>499.79927739863507</v>
      </c>
      <c r="Z31" s="1181">
        <f t="shared" si="8"/>
        <v>-759.30887193898036</v>
      </c>
      <c r="AA31" s="1181">
        <f t="shared" si="11"/>
        <v>1259.1081493376155</v>
      </c>
      <c r="AB31" s="1053"/>
      <c r="AC31" s="1167"/>
      <c r="AD31" s="1053">
        <f t="shared" si="9"/>
        <v>200.72260136491369</v>
      </c>
      <c r="AE31" s="82"/>
    </row>
    <row r="32" spans="1:31" s="72" customFormat="1" hidden="1" x14ac:dyDescent="0.35">
      <c r="A32" s="373" t="s">
        <v>271</v>
      </c>
      <c r="B32" s="880"/>
      <c r="C32" s="987" t="s">
        <v>353</v>
      </c>
      <c r="D32" s="73" t="s">
        <v>354</v>
      </c>
      <c r="E32" s="399" t="str">
        <f>VLOOKUP(F32,'Quy đổi'!A:D,4,0)</f>
        <v>Phó sản</v>
      </c>
      <c r="F32" s="987" t="s">
        <v>357</v>
      </c>
      <c r="G32" s="72" t="s">
        <v>356</v>
      </c>
      <c r="H32" s="257">
        <f>IFERROR(VLOOKUP(F32,'Quy đổi'!A:C,3,0),"-")</f>
        <v>0</v>
      </c>
      <c r="I32" s="1096">
        <v>2420</v>
      </c>
      <c r="J32" s="1096">
        <v>12100000</v>
      </c>
      <c r="K32" s="1096">
        <v>12100000</v>
      </c>
      <c r="L32" s="1097"/>
      <c r="M32" s="1097"/>
      <c r="N32" s="1097"/>
      <c r="O32" s="1097">
        <f t="shared" si="3"/>
        <v>12100000</v>
      </c>
      <c r="P32" s="1096">
        <f t="shared" si="0"/>
        <v>5000</v>
      </c>
      <c r="Q32" s="1096">
        <f t="shared" si="12"/>
        <v>204.08163265306123</v>
      </c>
      <c r="R32" s="1096">
        <v>30383600</v>
      </c>
      <c r="S32" s="1096">
        <f t="shared" si="5"/>
        <v>12555.206611570247</v>
      </c>
      <c r="T32" s="1096">
        <f t="shared" si="6"/>
        <v>512.45741271715292</v>
      </c>
      <c r="U32" s="1096">
        <f t="shared" si="7"/>
        <v>-18283600</v>
      </c>
      <c r="V32" s="1102">
        <f t="shared" si="1"/>
        <v>-1.5110413223140495</v>
      </c>
      <c r="W32" s="1166">
        <v>24910</v>
      </c>
      <c r="X32" s="1181">
        <f t="shared" si="10"/>
        <v>485.74869530309115</v>
      </c>
      <c r="Y32" s="1181">
        <f t="shared" si="2"/>
        <v>485.74869530309115</v>
      </c>
      <c r="Z32" s="1181">
        <f t="shared" si="8"/>
        <v>-733.98635086310719</v>
      </c>
      <c r="AA32" s="1181">
        <f t="shared" si="11"/>
        <v>1219.7350461661983</v>
      </c>
      <c r="AB32" s="1053"/>
      <c r="AC32" s="1167"/>
      <c r="AD32" s="1053">
        <f t="shared" si="9"/>
        <v>200.72260136491371</v>
      </c>
      <c r="AE32" s="82"/>
    </row>
    <row r="33" spans="1:31" s="72" customFormat="1" hidden="1" x14ac:dyDescent="0.35">
      <c r="A33" s="373" t="s">
        <v>271</v>
      </c>
      <c r="B33" s="880"/>
      <c r="C33" s="987" t="s">
        <v>353</v>
      </c>
      <c r="D33" s="73" t="s">
        <v>354</v>
      </c>
      <c r="E33" s="399" t="str">
        <f>VLOOKUP(F33,'Quy đổi'!A:D,4,0)</f>
        <v>Phó sản</v>
      </c>
      <c r="F33" s="987" t="s">
        <v>358</v>
      </c>
      <c r="G33" s="72" t="s">
        <v>356</v>
      </c>
      <c r="H33" s="257">
        <f>IFERROR(VLOOKUP(F33,'Quy đổi'!A:C,3,0),"-")</f>
        <v>0</v>
      </c>
      <c r="I33" s="1096">
        <v>2290</v>
      </c>
      <c r="J33" s="1096">
        <v>11450000</v>
      </c>
      <c r="K33" s="1096">
        <v>11450000</v>
      </c>
      <c r="L33" s="1097"/>
      <c r="M33" s="1097"/>
      <c r="N33" s="1097"/>
      <c r="O33" s="1097">
        <f t="shared" si="3"/>
        <v>11450000</v>
      </c>
      <c r="P33" s="1096">
        <f t="shared" si="0"/>
        <v>5000</v>
      </c>
      <c r="Q33" s="1096">
        <f t="shared" si="12"/>
        <v>204.08163265306123</v>
      </c>
      <c r="R33" s="1096">
        <v>28748879</v>
      </c>
      <c r="S33" s="1096">
        <f t="shared" si="5"/>
        <v>12554.095633187773</v>
      </c>
      <c r="T33" s="1096">
        <f t="shared" si="6"/>
        <v>512.41206666072549</v>
      </c>
      <c r="U33" s="1096">
        <f t="shared" si="7"/>
        <v>-17298879</v>
      </c>
      <c r="V33" s="1102">
        <f t="shared" si="1"/>
        <v>-1.5108191266375546</v>
      </c>
      <c r="W33" s="1166">
        <v>24910</v>
      </c>
      <c r="X33" s="1181">
        <f t="shared" si="10"/>
        <v>459.65475712565234</v>
      </c>
      <c r="Y33" s="1181">
        <f t="shared" si="2"/>
        <v>459.65475712565234</v>
      </c>
      <c r="Z33" s="1181">
        <f t="shared" si="8"/>
        <v>-694.45519871537533</v>
      </c>
      <c r="AA33" s="1181">
        <f t="shared" si="11"/>
        <v>1154.1099558410276</v>
      </c>
      <c r="AB33" s="1053"/>
      <c r="AC33" s="1167"/>
      <c r="AD33" s="1053">
        <f t="shared" si="9"/>
        <v>200.72260136491369</v>
      </c>
      <c r="AE33" s="82"/>
    </row>
    <row r="34" spans="1:31" s="72" customFormat="1" hidden="1" x14ac:dyDescent="0.35">
      <c r="A34" s="373" t="s">
        <v>271</v>
      </c>
      <c r="B34" s="880"/>
      <c r="C34" s="987" t="s">
        <v>353</v>
      </c>
      <c r="D34" s="73" t="s">
        <v>354</v>
      </c>
      <c r="E34" s="399" t="str">
        <f>VLOOKUP(F34,'Quy đổi'!A:D,4,0)</f>
        <v>Phó sản</v>
      </c>
      <c r="F34" s="987" t="s">
        <v>359</v>
      </c>
      <c r="G34" s="72" t="s">
        <v>356</v>
      </c>
      <c r="H34" s="257">
        <f>IFERROR(VLOOKUP(F34,'Quy đổi'!A:C,3,0),"-")</f>
        <v>0</v>
      </c>
      <c r="I34" s="1096">
        <v>2590</v>
      </c>
      <c r="J34" s="1096">
        <v>12950000</v>
      </c>
      <c r="K34" s="1096">
        <v>12950000</v>
      </c>
      <c r="L34" s="1097"/>
      <c r="M34" s="1097"/>
      <c r="N34" s="1097"/>
      <c r="O34" s="1097">
        <f t="shared" si="3"/>
        <v>12950000</v>
      </c>
      <c r="P34" s="1096">
        <f t="shared" si="0"/>
        <v>5000</v>
      </c>
      <c r="Q34" s="1096">
        <f t="shared" si="12"/>
        <v>204.08163265306123</v>
      </c>
      <c r="R34" s="1096">
        <v>32520368</v>
      </c>
      <c r="S34" s="1096">
        <f t="shared" si="5"/>
        <v>12556.126640926641</v>
      </c>
      <c r="T34" s="1096">
        <f t="shared" si="6"/>
        <v>512.49496493578124</v>
      </c>
      <c r="U34" s="1096">
        <f t="shared" si="7"/>
        <v>-19570368</v>
      </c>
      <c r="V34" s="1102">
        <f t="shared" si="1"/>
        <v>-1.5112253281853283</v>
      </c>
      <c r="W34" s="1166">
        <v>24910</v>
      </c>
      <c r="X34" s="1181">
        <f t="shared" si="10"/>
        <v>519.87153753512644</v>
      </c>
      <c r="Y34" s="1181">
        <f t="shared" si="2"/>
        <v>519.87153753512644</v>
      </c>
      <c r="Z34" s="1181">
        <f t="shared" si="8"/>
        <v>-785.64303492573265</v>
      </c>
      <c r="AA34" s="1181">
        <f t="shared" si="11"/>
        <v>1305.5145724608592</v>
      </c>
      <c r="AB34" s="1053"/>
      <c r="AC34" s="1167"/>
      <c r="AD34" s="1053">
        <f t="shared" si="9"/>
        <v>200.72260136491369</v>
      </c>
      <c r="AE34" s="82"/>
    </row>
    <row r="35" spans="1:31" s="72" customFormat="1" hidden="1" x14ac:dyDescent="0.35">
      <c r="A35" s="373" t="s">
        <v>271</v>
      </c>
      <c r="B35" s="880" t="s">
        <v>22</v>
      </c>
      <c r="C35" s="987" t="s">
        <v>13</v>
      </c>
      <c r="D35" s="72" t="s">
        <v>12</v>
      </c>
      <c r="E35" s="399" t="str">
        <f>VLOOKUP(F35,'Quy đổi'!A:D,4,0)</f>
        <v>rPET</v>
      </c>
      <c r="F35" s="987" t="s">
        <v>110</v>
      </c>
      <c r="G35" s="72" t="s">
        <v>109</v>
      </c>
      <c r="H35" s="257" t="str">
        <f>IFERROR(VLOOKUP(F35,'Quy đổi'!A:C,3,0),"-")</f>
        <v>WSS01G</v>
      </c>
      <c r="I35" s="1096">
        <v>3300</v>
      </c>
      <c r="J35" s="1096">
        <v>108043822</v>
      </c>
      <c r="K35" s="1096">
        <v>108043822</v>
      </c>
      <c r="L35" s="1097"/>
      <c r="M35" s="1097"/>
      <c r="N35" s="1097"/>
      <c r="O35" s="1097">
        <f t="shared" si="3"/>
        <v>108043822</v>
      </c>
      <c r="P35" s="1096">
        <f t="shared" si="0"/>
        <v>32740.55212121212</v>
      </c>
      <c r="Q35" s="1096">
        <f t="shared" ref="Q35:Q37" si="15">P35/W35*1000</f>
        <v>1314.3537583786481</v>
      </c>
      <c r="R35" s="1096">
        <v>84418357</v>
      </c>
      <c r="S35" s="1096">
        <f t="shared" si="5"/>
        <v>25581.320303030305</v>
      </c>
      <c r="T35" s="1096">
        <f t="shared" si="6"/>
        <v>1044.1355225726654</v>
      </c>
      <c r="U35" s="1096">
        <f t="shared" si="7"/>
        <v>23625465</v>
      </c>
      <c r="V35" s="1102">
        <f t="shared" si="1"/>
        <v>0.21866557997180069</v>
      </c>
      <c r="W35" s="1166">
        <v>24910</v>
      </c>
      <c r="X35" s="1181">
        <f t="shared" si="10"/>
        <v>4337.3674026495382</v>
      </c>
      <c r="Y35" s="1181">
        <f t="shared" si="2"/>
        <v>4337.3674026495382</v>
      </c>
      <c r="Z35" s="1181">
        <f t="shared" si="8"/>
        <v>948.43295865114408</v>
      </c>
      <c r="AA35" s="1181">
        <f>R35/W35</f>
        <v>3388.9344439983943</v>
      </c>
      <c r="AB35" s="1052">
        <v>1230</v>
      </c>
      <c r="AC35" s="1166"/>
      <c r="AD35" s="1053">
        <f t="shared" si="9"/>
        <v>84.353758378648081</v>
      </c>
      <c r="AE35" s="82"/>
    </row>
    <row r="36" spans="1:31" s="72" customFormat="1" hidden="1" x14ac:dyDescent="0.35">
      <c r="A36" s="373" t="s">
        <v>271</v>
      </c>
      <c r="B36" s="880" t="s">
        <v>22</v>
      </c>
      <c r="C36" s="987" t="s">
        <v>373</v>
      </c>
      <c r="D36" s="72" t="s">
        <v>374</v>
      </c>
      <c r="E36" s="399" t="str">
        <f>VLOOKUP(F36,'Quy đổi'!A:D,4,0)</f>
        <v>rPET</v>
      </c>
      <c r="F36" s="987" t="s">
        <v>110</v>
      </c>
      <c r="G36" s="72" t="s">
        <v>109</v>
      </c>
      <c r="H36" s="257" t="str">
        <f>IFERROR(VLOOKUP(F36,'Quy đổi'!A:C,3,0),"-")</f>
        <v>WSS01G</v>
      </c>
      <c r="I36" s="1096">
        <v>22000</v>
      </c>
      <c r="J36" s="1096">
        <v>711068380000</v>
      </c>
      <c r="K36" s="1096">
        <f>711068380000-710357311620</f>
        <v>711068380</v>
      </c>
      <c r="L36" s="1097"/>
      <c r="M36" s="1097"/>
      <c r="N36" s="1097"/>
      <c r="O36" s="1097">
        <f t="shared" si="3"/>
        <v>711068380</v>
      </c>
      <c r="P36" s="1096">
        <f t="shared" si="0"/>
        <v>32321.29</v>
      </c>
      <c r="Q36" s="1096">
        <f t="shared" si="15"/>
        <v>1297.5226816539541</v>
      </c>
      <c r="R36" s="1096">
        <v>562789044</v>
      </c>
      <c r="S36" s="1096">
        <f t="shared" si="5"/>
        <v>25581.320181818181</v>
      </c>
      <c r="T36" s="1096">
        <f t="shared" si="6"/>
        <v>1044.1355176252318</v>
      </c>
      <c r="U36" s="1096">
        <f t="shared" si="7"/>
        <v>148279336</v>
      </c>
      <c r="V36" s="1102">
        <f t="shared" si="1"/>
        <v>0.20853034696888081</v>
      </c>
      <c r="W36" s="1166">
        <v>24910</v>
      </c>
      <c r="X36" s="1181">
        <f t="shared" si="10"/>
        <v>28545.498996386992</v>
      </c>
      <c r="Y36" s="1181">
        <f t="shared" si="2"/>
        <v>28545.498996386992</v>
      </c>
      <c r="Z36" s="1181">
        <f>U36/W36</f>
        <v>5952.6028101164193</v>
      </c>
      <c r="AA36" s="1181">
        <f t="shared" si="11"/>
        <v>22592.896186270573</v>
      </c>
      <c r="AB36" s="1052">
        <v>1230</v>
      </c>
      <c r="AC36" s="1166"/>
      <c r="AD36" s="1053">
        <f t="shared" si="9"/>
        <v>67.522681653954123</v>
      </c>
      <c r="AE36" s="82"/>
    </row>
    <row r="37" spans="1:31" s="72" customFormat="1" hidden="1" x14ac:dyDescent="0.35">
      <c r="A37" s="373" t="s">
        <v>271</v>
      </c>
      <c r="B37" s="880" t="s">
        <v>22</v>
      </c>
      <c r="C37" s="987" t="s">
        <v>452</v>
      </c>
      <c r="D37" s="73" t="s">
        <v>453</v>
      </c>
      <c r="E37" s="399" t="str">
        <f>VLOOKUP(F37,'Quy đổi'!A:D,4,0)</f>
        <v>rHDPE ép</v>
      </c>
      <c r="F37" s="987" t="s">
        <v>48</v>
      </c>
      <c r="G37" s="72" t="s">
        <v>47</v>
      </c>
      <c r="H37" s="257" t="str">
        <f>IFERROR(VLOOKUP(F37,'Quy đổi'!A:C,3,0),"-")</f>
        <v>rHDI3W01</v>
      </c>
      <c r="I37" s="1096">
        <v>3000</v>
      </c>
      <c r="J37" s="1096">
        <v>80445000</v>
      </c>
      <c r="K37" s="1096">
        <v>80445000</v>
      </c>
      <c r="L37" s="1097"/>
      <c r="M37" s="1097"/>
      <c r="N37" s="1097"/>
      <c r="O37" s="1097">
        <f t="shared" si="3"/>
        <v>80445000</v>
      </c>
      <c r="P37" s="1096">
        <f t="shared" si="0"/>
        <v>26815</v>
      </c>
      <c r="Q37" s="1096">
        <f t="shared" si="15"/>
        <v>1076.4753111200321</v>
      </c>
      <c r="R37" s="1096">
        <v>24763924</v>
      </c>
      <c r="S37" s="1096">
        <f t="shared" si="5"/>
        <v>8254.641333333333</v>
      </c>
      <c r="T37" s="1096">
        <f t="shared" ref="T37:T100" si="16">S37/24.5</f>
        <v>336.92413605442175</v>
      </c>
      <c r="U37" s="1096">
        <f t="shared" si="7"/>
        <v>55681076</v>
      </c>
      <c r="V37" s="1102">
        <f t="shared" si="1"/>
        <v>0.69216329168997448</v>
      </c>
      <c r="W37" s="1166">
        <v>24910</v>
      </c>
      <c r="X37" s="1181">
        <f t="shared" si="10"/>
        <v>3229.4259333600962</v>
      </c>
      <c r="Y37" s="1181">
        <f t="shared" si="2"/>
        <v>3229.4259333600962</v>
      </c>
      <c r="Z37" s="1181">
        <f t="shared" si="8"/>
        <v>2235.2900843034927</v>
      </c>
      <c r="AA37" s="1181">
        <f t="shared" si="11"/>
        <v>994.13584905660377</v>
      </c>
      <c r="AB37" s="1052">
        <v>870</v>
      </c>
      <c r="AC37" s="1166"/>
      <c r="AD37" s="1053">
        <f t="shared" si="9"/>
        <v>206.47531112003207</v>
      </c>
      <c r="AE37" s="82"/>
    </row>
    <row r="38" spans="1:31" s="72" customFormat="1" hidden="1" x14ac:dyDescent="0.35">
      <c r="A38" s="373" t="s">
        <v>271</v>
      </c>
      <c r="B38" s="880"/>
      <c r="C38" s="987" t="s">
        <v>454</v>
      </c>
      <c r="D38" s="73" t="s">
        <v>455</v>
      </c>
      <c r="E38" s="399" t="str">
        <f>VLOOKUP(F38,'Quy đổi'!A:D,4,0)</f>
        <v>Khác</v>
      </c>
      <c r="F38" s="987" t="s">
        <v>465</v>
      </c>
      <c r="G38" s="72" t="s">
        <v>466</v>
      </c>
      <c r="H38" s="257">
        <f>IFERROR(VLOOKUP(F38,'Quy đổi'!A:C,3,0),"-")</f>
        <v>0</v>
      </c>
      <c r="I38" s="1096">
        <v>1861</v>
      </c>
      <c r="J38" s="1096">
        <v>33870200</v>
      </c>
      <c r="K38" s="1096">
        <v>33870200</v>
      </c>
      <c r="L38" s="1097"/>
      <c r="M38" s="1097"/>
      <c r="N38" s="1097"/>
      <c r="O38" s="1097">
        <f t="shared" si="3"/>
        <v>33870200</v>
      </c>
      <c r="P38" s="1096">
        <f t="shared" si="0"/>
        <v>18200</v>
      </c>
      <c r="Q38" s="1096">
        <f t="shared" ref="Q38:Q40" si="17">P38/24.5</f>
        <v>742.85714285714289</v>
      </c>
      <c r="R38" s="1096">
        <v>33870200</v>
      </c>
      <c r="S38" s="1096">
        <f t="shared" si="5"/>
        <v>18200</v>
      </c>
      <c r="T38" s="1096">
        <f t="shared" si="16"/>
        <v>742.85714285714289</v>
      </c>
      <c r="U38" s="1096">
        <f t="shared" si="7"/>
        <v>0</v>
      </c>
      <c r="V38" s="1102">
        <f t="shared" si="1"/>
        <v>0</v>
      </c>
      <c r="W38" s="1166">
        <v>24910</v>
      </c>
      <c r="X38" s="1181">
        <f t="shared" si="10"/>
        <v>1359.70293054998</v>
      </c>
      <c r="Y38" s="1181">
        <f t="shared" si="2"/>
        <v>1359.70293054998</v>
      </c>
      <c r="Z38" s="1181">
        <f t="shared" si="8"/>
        <v>0</v>
      </c>
      <c r="AA38" s="1181">
        <f t="shared" si="11"/>
        <v>1359.70293054998</v>
      </c>
      <c r="AB38" s="1053"/>
      <c r="AC38" s="1167"/>
      <c r="AD38" s="1053">
        <f t="shared" si="9"/>
        <v>730.63026896828592</v>
      </c>
      <c r="AE38" s="82"/>
    </row>
    <row r="39" spans="1:31" s="72" customFormat="1" hidden="1" x14ac:dyDescent="0.35">
      <c r="A39" s="373" t="s">
        <v>271</v>
      </c>
      <c r="B39" s="880"/>
      <c r="C39" s="987" t="s">
        <v>454</v>
      </c>
      <c r="D39" s="73" t="s">
        <v>455</v>
      </c>
      <c r="E39" s="399" t="str">
        <f>VLOOKUP(F39,'Quy đổi'!A:D,4,0)</f>
        <v>Khác</v>
      </c>
      <c r="F39" s="987" t="s">
        <v>223</v>
      </c>
      <c r="G39" s="72" t="s">
        <v>372</v>
      </c>
      <c r="H39" s="257">
        <f>IFERROR(VLOOKUP(F39,'Quy đổi'!A:C,3,0),"-")</f>
        <v>0</v>
      </c>
      <c r="I39" s="1096">
        <v>4966</v>
      </c>
      <c r="J39" s="1096">
        <v>100313200</v>
      </c>
      <c r="K39" s="1096">
        <v>100313200</v>
      </c>
      <c r="L39" s="1097"/>
      <c r="M39" s="1097"/>
      <c r="N39" s="1097"/>
      <c r="O39" s="1097">
        <f t="shared" si="3"/>
        <v>100313200</v>
      </c>
      <c r="P39" s="1096">
        <f t="shared" si="0"/>
        <v>20200</v>
      </c>
      <c r="Q39" s="1096">
        <f t="shared" si="17"/>
        <v>824.48979591836735</v>
      </c>
      <c r="R39" s="1096">
        <v>105279200</v>
      </c>
      <c r="S39" s="1096">
        <f t="shared" si="5"/>
        <v>21200</v>
      </c>
      <c r="T39" s="1096">
        <f t="shared" si="16"/>
        <v>865.30612244897964</v>
      </c>
      <c r="U39" s="1096">
        <f t="shared" si="7"/>
        <v>-4966000</v>
      </c>
      <c r="V39" s="1102">
        <f t="shared" si="1"/>
        <v>-4.9504950495049507E-2</v>
      </c>
      <c r="W39" s="1166">
        <v>24910</v>
      </c>
      <c r="X39" s="1181">
        <f t="shared" si="10"/>
        <v>4027.025291047772</v>
      </c>
      <c r="Y39" s="1181">
        <f t="shared" si="2"/>
        <v>4027.025291047772</v>
      </c>
      <c r="Z39" s="1181">
        <f t="shared" si="8"/>
        <v>-199.35768767563226</v>
      </c>
      <c r="AA39" s="1181">
        <f t="shared" si="11"/>
        <v>4226.3829787234044</v>
      </c>
      <c r="AB39" s="1053"/>
      <c r="AC39" s="1167"/>
      <c r="AD39" s="1053">
        <f t="shared" si="9"/>
        <v>810.91930951425127</v>
      </c>
      <c r="AE39" s="82"/>
    </row>
    <row r="40" spans="1:31" s="72" customFormat="1" hidden="1" x14ac:dyDescent="0.35">
      <c r="A40" s="373" t="s">
        <v>271</v>
      </c>
      <c r="B40" s="880"/>
      <c r="C40" s="987" t="s">
        <v>454</v>
      </c>
      <c r="D40" s="73" t="s">
        <v>455</v>
      </c>
      <c r="E40" s="399" t="str">
        <f>VLOOKUP(F40,'Quy đổi'!A:D,4,0)</f>
        <v>Khác</v>
      </c>
      <c r="F40" s="987" t="s">
        <v>467</v>
      </c>
      <c r="G40" s="72" t="s">
        <v>466</v>
      </c>
      <c r="H40" s="257">
        <f>IFERROR(VLOOKUP(F40,'Quy đổi'!A:C,3,0),"-")</f>
        <v>0</v>
      </c>
      <c r="I40" s="1096">
        <v>12897</v>
      </c>
      <c r="J40" s="1096">
        <v>234725400</v>
      </c>
      <c r="K40" s="1096">
        <v>234725400</v>
      </c>
      <c r="L40" s="1097"/>
      <c r="M40" s="1097"/>
      <c r="N40" s="1097"/>
      <c r="O40" s="1097">
        <f t="shared" si="3"/>
        <v>234725400</v>
      </c>
      <c r="P40" s="1096">
        <f t="shared" si="0"/>
        <v>18200</v>
      </c>
      <c r="Q40" s="1096">
        <f t="shared" si="17"/>
        <v>742.85714285714289</v>
      </c>
      <c r="R40" s="1096">
        <v>234725400</v>
      </c>
      <c r="S40" s="1096">
        <f t="shared" si="5"/>
        <v>18200</v>
      </c>
      <c r="T40" s="1096">
        <f t="shared" si="16"/>
        <v>742.85714285714289</v>
      </c>
      <c r="U40" s="1096">
        <f t="shared" si="7"/>
        <v>0</v>
      </c>
      <c r="V40" s="1102">
        <f t="shared" si="1"/>
        <v>0</v>
      </c>
      <c r="W40" s="1166">
        <v>24910</v>
      </c>
      <c r="X40" s="1181">
        <f t="shared" si="10"/>
        <v>9422.9385788839827</v>
      </c>
      <c r="Y40" s="1181">
        <f t="shared" si="2"/>
        <v>9422.9385788839827</v>
      </c>
      <c r="Z40" s="1181">
        <f t="shared" si="8"/>
        <v>0</v>
      </c>
      <c r="AA40" s="1181">
        <f t="shared" si="11"/>
        <v>9422.9385788839827</v>
      </c>
      <c r="AB40" s="1053"/>
      <c r="AC40" s="1167"/>
      <c r="AD40" s="1053">
        <f t="shared" si="9"/>
        <v>730.63026896828592</v>
      </c>
      <c r="AE40" s="82"/>
    </row>
    <row r="41" spans="1:31" s="72" customFormat="1" hidden="1" x14ac:dyDescent="0.35">
      <c r="A41" s="373" t="s">
        <v>271</v>
      </c>
      <c r="B41" s="880" t="s">
        <v>22</v>
      </c>
      <c r="C41" s="987" t="s">
        <v>456</v>
      </c>
      <c r="D41" s="73" t="s">
        <v>457</v>
      </c>
      <c r="E41" s="399" t="str">
        <f>VLOOKUP(F41,'Quy đổi'!A:D,4,0)</f>
        <v>rHDPE ép</v>
      </c>
      <c r="F41" s="987" t="s">
        <v>37</v>
      </c>
      <c r="G41" s="72" t="s">
        <v>36</v>
      </c>
      <c r="H41" s="257" t="str">
        <f>IFERROR(VLOOKUP(F41,'Quy đổi'!A:C,3,0),"-")</f>
        <v>Vảy HD Ép Đỏ</v>
      </c>
      <c r="I41" s="1096">
        <v>6000</v>
      </c>
      <c r="J41" s="1096">
        <v>94444445</v>
      </c>
      <c r="K41" s="1096">
        <v>94444445</v>
      </c>
      <c r="L41" s="1097"/>
      <c r="M41" s="1097"/>
      <c r="N41" s="1097"/>
      <c r="O41" s="1097">
        <f t="shared" si="3"/>
        <v>94444445</v>
      </c>
      <c r="P41" s="1096">
        <f t="shared" si="0"/>
        <v>15740.740833333333</v>
      </c>
      <c r="Q41" s="1096">
        <f t="shared" ref="Q41:Q46" si="18">P41/W41*1000</f>
        <v>631.90448949551717</v>
      </c>
      <c r="R41" s="1096">
        <v>165642451</v>
      </c>
      <c r="S41" s="1096">
        <f t="shared" si="5"/>
        <v>27607.075166666666</v>
      </c>
      <c r="T41" s="1096">
        <f t="shared" si="16"/>
        <v>1126.819394557823</v>
      </c>
      <c r="U41" s="1096">
        <f t="shared" si="7"/>
        <v>-71198006</v>
      </c>
      <c r="V41" s="1102">
        <f t="shared" si="1"/>
        <v>-0.75386123556552209</v>
      </c>
      <c r="W41" s="1166">
        <v>24910</v>
      </c>
      <c r="X41" s="1181">
        <f t="shared" si="10"/>
        <v>3791.4269369731032</v>
      </c>
      <c r="Y41" s="1181">
        <f t="shared" si="2"/>
        <v>3791.4269369731032</v>
      </c>
      <c r="Z41" s="1181">
        <f t="shared" si="8"/>
        <v>-2858.2097952629465</v>
      </c>
      <c r="AA41" s="1181">
        <f t="shared" si="11"/>
        <v>6649.6367322360502</v>
      </c>
      <c r="AB41" s="1052">
        <v>825</v>
      </c>
      <c r="AC41" s="1166"/>
      <c r="AD41" s="1053">
        <f t="shared" si="9"/>
        <v>-193.09551050448272</v>
      </c>
      <c r="AE41" s="82"/>
    </row>
    <row r="42" spans="1:31" s="72" customFormat="1" hidden="1" x14ac:dyDescent="0.35">
      <c r="A42" s="373" t="s">
        <v>271</v>
      </c>
      <c r="B42" s="880" t="s">
        <v>22</v>
      </c>
      <c r="C42" s="987" t="s">
        <v>456</v>
      </c>
      <c r="D42" s="72" t="s">
        <v>457</v>
      </c>
      <c r="E42" s="399" t="str">
        <f>VLOOKUP(F42,'Quy đổi'!A:D,4,0)</f>
        <v>rHDPE ép</v>
      </c>
      <c r="F42" s="987" t="s">
        <v>39</v>
      </c>
      <c r="G42" s="72" t="s">
        <v>38</v>
      </c>
      <c r="H42" s="257" t="str">
        <f>IFERROR(VLOOKUP(F42,'Quy đổi'!A:C,3,0),"-")</f>
        <v>Vảy HD Ép Vàng</v>
      </c>
      <c r="I42" s="1096">
        <v>1500</v>
      </c>
      <c r="J42" s="1096">
        <v>23611111</v>
      </c>
      <c r="K42" s="1096">
        <v>23611111</v>
      </c>
      <c r="L42" s="1097"/>
      <c r="M42" s="1097"/>
      <c r="N42" s="1097"/>
      <c r="O42" s="1097">
        <f t="shared" si="3"/>
        <v>23611111</v>
      </c>
      <c r="P42" s="1096">
        <f t="shared" si="0"/>
        <v>15740.740666666667</v>
      </c>
      <c r="Q42" s="1096">
        <f t="shared" si="18"/>
        <v>631.9044828047638</v>
      </c>
      <c r="R42" s="1096">
        <v>37044409</v>
      </c>
      <c r="S42" s="1096">
        <f t="shared" si="5"/>
        <v>24696.272666666668</v>
      </c>
      <c r="T42" s="1096">
        <f t="shared" si="16"/>
        <v>1008.0111292517007</v>
      </c>
      <c r="U42" s="1096">
        <f t="shared" si="7"/>
        <v>-13433298</v>
      </c>
      <c r="V42" s="1102">
        <f t="shared" si="1"/>
        <v>-0.56893968267736317</v>
      </c>
      <c r="W42" s="1166">
        <v>24910</v>
      </c>
      <c r="X42" s="1181">
        <f t="shared" si="10"/>
        <v>947.8567242071457</v>
      </c>
      <c r="Y42" s="1181">
        <f t="shared" si="2"/>
        <v>947.8567242071457</v>
      </c>
      <c r="Z42" s="1181">
        <f t="shared" si="8"/>
        <v>-539.27330389401845</v>
      </c>
      <c r="AA42" s="1181">
        <f t="shared" si="11"/>
        <v>1487.1300281011643</v>
      </c>
      <c r="AB42" s="1052">
        <v>825</v>
      </c>
      <c r="AC42" s="1166"/>
      <c r="AD42" s="1053">
        <f t="shared" si="9"/>
        <v>-193.0955171952362</v>
      </c>
      <c r="AE42" s="82"/>
    </row>
    <row r="43" spans="1:31" s="72" customFormat="1" x14ac:dyDescent="0.35">
      <c r="A43" s="373" t="s">
        <v>271</v>
      </c>
      <c r="B43" s="880" t="s">
        <v>26</v>
      </c>
      <c r="C43" s="987" t="s">
        <v>165</v>
      </c>
      <c r="D43" s="72" t="s">
        <v>164</v>
      </c>
      <c r="E43" s="399" t="str">
        <f>VLOOKUP(F43,'Quy đổi'!A:D,4,0)</f>
        <v>rPET</v>
      </c>
      <c r="F43" s="987" t="s">
        <v>110</v>
      </c>
      <c r="G43" s="72" t="s">
        <v>109</v>
      </c>
      <c r="H43" s="257" t="str">
        <f>IFERROR(VLOOKUP(F43,'Quy đổi'!A:C,3,0),"-")</f>
        <v>WSS01G</v>
      </c>
      <c r="I43" s="1096">
        <v>2376000</v>
      </c>
      <c r="J43" s="1096">
        <v>72787646470</v>
      </c>
      <c r="K43" s="1096">
        <v>72787646470</v>
      </c>
      <c r="L43" s="1105">
        <v>660995068</v>
      </c>
      <c r="M43" s="1097">
        <v>1091693120</v>
      </c>
      <c r="N43" s="1097"/>
      <c r="O43" s="1097">
        <f t="shared" si="3"/>
        <v>71034958282</v>
      </c>
      <c r="P43" s="1096">
        <f t="shared" si="0"/>
        <v>29896.867963804714</v>
      </c>
      <c r="Q43" s="1096">
        <f t="shared" si="18"/>
        <v>1200.1954220716464</v>
      </c>
      <c r="R43" s="1096">
        <v>60781216644</v>
      </c>
      <c r="S43" s="1096">
        <f t="shared" si="5"/>
        <v>25581.320136363636</v>
      </c>
      <c r="T43" s="1096">
        <f t="shared" si="16"/>
        <v>1044.1355157699443</v>
      </c>
      <c r="U43" s="1096">
        <f t="shared" si="7"/>
        <v>10253741638</v>
      </c>
      <c r="V43" s="1102">
        <f t="shared" si="1"/>
        <v>0.14087200418310214</v>
      </c>
      <c r="W43" s="1166">
        <v>24910</v>
      </c>
      <c r="X43" s="1181">
        <f t="shared" si="10"/>
        <v>2851664.322842232</v>
      </c>
      <c r="Y43" s="1181">
        <f t="shared" si="2"/>
        <v>2922025.1493376154</v>
      </c>
      <c r="Z43" s="1181">
        <f t="shared" si="8"/>
        <v>411631.5390606182</v>
      </c>
      <c r="AA43" s="1181">
        <f t="shared" si="11"/>
        <v>2440032.7837816137</v>
      </c>
      <c r="AB43" s="1052">
        <v>1230</v>
      </c>
      <c r="AC43" s="1166"/>
      <c r="AD43" s="1053">
        <f t="shared" si="9"/>
        <v>-29.804577928353638</v>
      </c>
      <c r="AE43" s="82"/>
    </row>
    <row r="44" spans="1:31" s="72" customFormat="1" hidden="1" x14ac:dyDescent="0.35">
      <c r="A44" s="373" t="s">
        <v>271</v>
      </c>
      <c r="B44" s="880" t="s">
        <v>26</v>
      </c>
      <c r="C44" s="987" t="s">
        <v>458</v>
      </c>
      <c r="D44" s="72" t="s">
        <v>459</v>
      </c>
      <c r="E44" s="399" t="str">
        <f>VLOOKUP(F44,'Quy đổi'!A:D,4,0)</f>
        <v>rPET</v>
      </c>
      <c r="F44" s="987" t="s">
        <v>110</v>
      </c>
      <c r="G44" s="72" t="s">
        <v>109</v>
      </c>
      <c r="H44" s="257" t="str">
        <f>IFERROR(VLOOKUP(F44,'Quy đổi'!A:C,3,0),"-")</f>
        <v>WSS01G</v>
      </c>
      <c r="I44" s="1096">
        <v>1100</v>
      </c>
      <c r="J44" s="1096">
        <v>40071295</v>
      </c>
      <c r="K44" s="1096">
        <v>40071295</v>
      </c>
      <c r="L44" s="1105">
        <v>1846968</v>
      </c>
      <c r="M44" s="1097"/>
      <c r="N44" s="1097"/>
      <c r="O44" s="1097">
        <f t="shared" si="3"/>
        <v>38224327</v>
      </c>
      <c r="P44" s="1096">
        <f t="shared" si="0"/>
        <v>34749.388181818184</v>
      </c>
      <c r="Q44" s="1096">
        <f t="shared" si="18"/>
        <v>1394.9975183387469</v>
      </c>
      <c r="R44" s="1096">
        <v>28139452</v>
      </c>
      <c r="S44" s="1096">
        <f t="shared" si="5"/>
        <v>25581.32</v>
      </c>
      <c r="T44" s="1096">
        <f t="shared" si="16"/>
        <v>1044.1355102040816</v>
      </c>
      <c r="U44" s="1096">
        <f t="shared" si="7"/>
        <v>10084875</v>
      </c>
      <c r="V44" s="1102">
        <f t="shared" si="1"/>
        <v>0.25167329880404415</v>
      </c>
      <c r="W44" s="1166">
        <v>24910</v>
      </c>
      <c r="X44" s="1181">
        <f t="shared" si="10"/>
        <v>1534.4972701726215</v>
      </c>
      <c r="Y44" s="1181">
        <f t="shared" si="2"/>
        <v>1608.6429144921717</v>
      </c>
      <c r="Z44" s="1181">
        <f t="shared" si="8"/>
        <v>404.85246888799679</v>
      </c>
      <c r="AA44" s="1181">
        <f t="shared" si="11"/>
        <v>1129.6448012846247</v>
      </c>
      <c r="AB44" s="1052">
        <v>1230</v>
      </c>
      <c r="AC44" s="1166"/>
      <c r="AD44" s="1053">
        <f t="shared" si="9"/>
        <v>164.99751833874689</v>
      </c>
      <c r="AE44" s="82"/>
    </row>
    <row r="45" spans="1:31" s="72" customFormat="1" hidden="1" x14ac:dyDescent="0.35">
      <c r="A45" s="373" t="s">
        <v>271</v>
      </c>
      <c r="B45" s="880" t="s">
        <v>26</v>
      </c>
      <c r="C45" s="987" t="s">
        <v>364</v>
      </c>
      <c r="D45" s="72" t="s">
        <v>365</v>
      </c>
      <c r="E45" s="399" t="str">
        <f>VLOOKUP(F45,'Quy đổi'!A:D,4,0)</f>
        <v>rPET</v>
      </c>
      <c r="F45" s="987" t="s">
        <v>100</v>
      </c>
      <c r="G45" s="72" t="s">
        <v>99</v>
      </c>
      <c r="H45" s="257" t="str">
        <f>IFERROR(VLOOKUP(F45,'Quy đổi'!A:C,3,0),"-")</f>
        <v>iSS01G</v>
      </c>
      <c r="I45" s="1096">
        <v>132000</v>
      </c>
      <c r="J45" s="1096">
        <v>4555359600</v>
      </c>
      <c r="K45" s="1096">
        <v>4710530000</v>
      </c>
      <c r="L45" s="1105">
        <v>507573333</v>
      </c>
      <c r="M45" s="1097"/>
      <c r="N45" s="1097"/>
      <c r="O45" s="1097">
        <f t="shared" si="3"/>
        <v>4202956667</v>
      </c>
      <c r="P45" s="1096">
        <f t="shared" si="0"/>
        <v>31840.580810606061</v>
      </c>
      <c r="Q45" s="1096">
        <f t="shared" si="18"/>
        <v>1278.2248418549202</v>
      </c>
      <c r="R45" s="1096">
        <v>3413830062</v>
      </c>
      <c r="S45" s="1096">
        <f t="shared" si="5"/>
        <v>25862.348954545454</v>
      </c>
      <c r="T45" s="1096">
        <f t="shared" si="16"/>
        <v>1055.6060797773655</v>
      </c>
      <c r="U45" s="1096">
        <f t="shared" si="7"/>
        <v>789126605</v>
      </c>
      <c r="V45" s="1102">
        <f t="shared" si="1"/>
        <v>0.16752395271869619</v>
      </c>
      <c r="W45" s="1166">
        <v>24910</v>
      </c>
      <c r="X45" s="1181">
        <f t="shared" si="10"/>
        <v>168725.67912484947</v>
      </c>
      <c r="Y45" s="1181">
        <f t="shared" si="2"/>
        <v>189101.96708149338</v>
      </c>
      <c r="Z45" s="1181">
        <f t="shared" si="8"/>
        <v>31679.108992372541</v>
      </c>
      <c r="AA45" s="1181">
        <f t="shared" si="11"/>
        <v>137046.57013247692</v>
      </c>
      <c r="AB45" s="1052">
        <v>1260</v>
      </c>
      <c r="AC45" s="1166"/>
      <c r="AD45" s="1053">
        <f t="shared" si="9"/>
        <v>18.224841854920214</v>
      </c>
      <c r="AE45" s="82"/>
    </row>
    <row r="46" spans="1:31" s="72" customFormat="1" hidden="1" x14ac:dyDescent="0.35">
      <c r="A46" s="373" t="s">
        <v>271</v>
      </c>
      <c r="B46" s="880" t="s">
        <v>26</v>
      </c>
      <c r="C46" s="987" t="s">
        <v>460</v>
      </c>
      <c r="D46" s="72" t="s">
        <v>461</v>
      </c>
      <c r="E46" s="399" t="str">
        <f>VLOOKUP(F46,'Quy đổi'!A:D,4,0)</f>
        <v>rPET</v>
      </c>
      <c r="F46" s="987" t="s">
        <v>127</v>
      </c>
      <c r="G46" s="72" t="s">
        <v>114</v>
      </c>
      <c r="H46" s="257" t="str">
        <f>IFERROR(VLOOKUP(F46,'Quy đổi'!A:C,3,0),"-")</f>
        <v>iSS01084G</v>
      </c>
      <c r="I46" s="1096">
        <v>44000</v>
      </c>
      <c r="J46" s="1096">
        <v>1732366680</v>
      </c>
      <c r="K46" s="1096">
        <v>1732366680</v>
      </c>
      <c r="L46" s="1105">
        <v>210125000</v>
      </c>
      <c r="M46" s="1097">
        <v>22167200</v>
      </c>
      <c r="N46" s="1097"/>
      <c r="O46" s="1097">
        <f t="shared" si="3"/>
        <v>1500074480</v>
      </c>
      <c r="P46" s="1096">
        <f t="shared" si="0"/>
        <v>34092.601818181822</v>
      </c>
      <c r="Q46" s="1096">
        <f t="shared" si="18"/>
        <v>1368.6311448487284</v>
      </c>
      <c r="R46" s="1096">
        <v>1166793262</v>
      </c>
      <c r="S46" s="1096">
        <f t="shared" si="5"/>
        <v>26518.028681818181</v>
      </c>
      <c r="T46" s="1096">
        <f t="shared" si="16"/>
        <v>1082.3685176252318</v>
      </c>
      <c r="U46" s="1096">
        <f t="shared" si="7"/>
        <v>333281218</v>
      </c>
      <c r="V46" s="1102">
        <f t="shared" si="1"/>
        <v>0.19238491587704745</v>
      </c>
      <c r="W46" s="1166">
        <v>24910</v>
      </c>
      <c r="X46" s="1181">
        <f t="shared" si="10"/>
        <v>60219.770373344036</v>
      </c>
      <c r="Y46" s="1181">
        <f t="shared" si="2"/>
        <v>69545.029305499804</v>
      </c>
      <c r="Z46" s="1181">
        <f t="shared" si="8"/>
        <v>13379.41461260538</v>
      </c>
      <c r="AA46" s="1181">
        <f t="shared" si="11"/>
        <v>46840.355760738661</v>
      </c>
      <c r="AB46" s="1052">
        <v>1320</v>
      </c>
      <c r="AC46" s="1166">
        <f>X46/I46*1000</f>
        <v>1368.6311448487281</v>
      </c>
      <c r="AD46" s="1053">
        <f t="shared" si="9"/>
        <v>48.631144848728127</v>
      </c>
      <c r="AE46" s="82"/>
    </row>
    <row r="47" spans="1:31" hidden="1" x14ac:dyDescent="0.35">
      <c r="A47" s="179">
        <v>2</v>
      </c>
      <c r="B47" s="880" t="s">
        <v>22</v>
      </c>
      <c r="C47" s="986" t="s">
        <v>30</v>
      </c>
      <c r="D47" s="83" t="s">
        <v>29</v>
      </c>
      <c r="E47" s="399" t="str">
        <f>VLOOKUP(F47,'Quy đổi'!A:D,4,0)</f>
        <v>rPET</v>
      </c>
      <c r="F47" s="986" t="s">
        <v>110</v>
      </c>
      <c r="G47" s="82" t="s">
        <v>109</v>
      </c>
      <c r="H47" s="257" t="str">
        <f>IFERROR(VLOOKUP(F47,'Quy đổi'!A:C,3,0),"-")</f>
        <v>WSS01G</v>
      </c>
      <c r="I47" s="1098">
        <v>23100</v>
      </c>
      <c r="J47" s="1098">
        <v>725857440</v>
      </c>
      <c r="K47" s="1098">
        <v>725857440</v>
      </c>
      <c r="O47" s="1097">
        <f t="shared" si="3"/>
        <v>725857440</v>
      </c>
      <c r="P47" s="1096">
        <f t="shared" ref="P47:P110" si="19">O47/I47</f>
        <v>31422.400000000001</v>
      </c>
      <c r="Q47" s="1096">
        <f t="shared" ref="Q47:Q110" si="20">P47/W47*1000</f>
        <v>1237.5896022055929</v>
      </c>
      <c r="R47" s="1099">
        <v>578896135</v>
      </c>
      <c r="S47" s="1096">
        <f t="shared" si="5"/>
        <v>25060.438744588744</v>
      </c>
      <c r="T47" s="1096">
        <f t="shared" si="16"/>
        <v>1022.8750507995405</v>
      </c>
      <c r="U47" s="1096">
        <f t="shared" ref="U47:U105" si="21">O47-R47</f>
        <v>146961305</v>
      </c>
      <c r="V47" s="1102">
        <f t="shared" ref="V47:V105" si="22">U47/K47</f>
        <v>0.20246579686501526</v>
      </c>
      <c r="W47" s="1098">
        <v>25390</v>
      </c>
      <c r="X47" s="1181">
        <f>O47/W47</f>
        <v>28588.319810949193</v>
      </c>
      <c r="Y47" s="1181">
        <f>K47/W47</f>
        <v>28588.319810949193</v>
      </c>
      <c r="Z47" s="1181">
        <f t="shared" ref="Z47:Z49" si="23">U47/W47</f>
        <v>5788.1569515557303</v>
      </c>
      <c r="AA47" s="1181">
        <f t="shared" ref="AA47:AA49" si="24">R47/W47</f>
        <v>22800.162859393462</v>
      </c>
      <c r="AB47" s="1054">
        <v>1230</v>
      </c>
      <c r="AC47" s="1098">
        <f>X47/I47*1000</f>
        <v>1237.5896022055929</v>
      </c>
      <c r="AD47" s="1054">
        <f>AC47-AB47</f>
        <v>7.5896022055928825</v>
      </c>
    </row>
    <row r="48" spans="1:31" hidden="1" x14ac:dyDescent="0.35">
      <c r="A48" s="179">
        <v>2</v>
      </c>
      <c r="B48" s="880" t="s">
        <v>22</v>
      </c>
      <c r="C48" s="986" t="s">
        <v>30</v>
      </c>
      <c r="D48" s="83" t="s">
        <v>29</v>
      </c>
      <c r="E48" s="399" t="str">
        <f>VLOOKUP(F48,'Quy đổi'!A:D,4,0)</f>
        <v>rHDPE ép</v>
      </c>
      <c r="F48" s="986" t="s">
        <v>208</v>
      </c>
      <c r="G48" s="82" t="s">
        <v>209</v>
      </c>
      <c r="H48" s="257" t="str">
        <f>IFERROR(VLOOKUP(F48,'Quy đổi'!A:C,3,0),"-")</f>
        <v>rHDI4L01</v>
      </c>
      <c r="I48" s="1098">
        <v>11000</v>
      </c>
      <c r="J48" s="1098">
        <v>222361700</v>
      </c>
      <c r="K48" s="1098">
        <v>222361700</v>
      </c>
      <c r="O48" s="1097">
        <f t="shared" si="3"/>
        <v>222361700</v>
      </c>
      <c r="P48" s="1096">
        <f t="shared" si="19"/>
        <v>20214.7</v>
      </c>
      <c r="Q48" s="1096">
        <f t="shared" si="20"/>
        <v>796.16778259157149</v>
      </c>
      <c r="R48" s="1099">
        <v>346109595</v>
      </c>
      <c r="S48" s="1096">
        <f t="shared" si="5"/>
        <v>31464.508636363636</v>
      </c>
      <c r="T48" s="1096">
        <f t="shared" si="16"/>
        <v>1284.2656586270873</v>
      </c>
      <c r="U48" s="1096">
        <f t="shared" si="21"/>
        <v>-123747895</v>
      </c>
      <c r="V48" s="1102">
        <f t="shared" si="22"/>
        <v>-0.55651623008818518</v>
      </c>
      <c r="W48" s="1098">
        <v>25390</v>
      </c>
      <c r="X48" s="1181">
        <f t="shared" ref="X48:X49" si="25">O48/W48</f>
        <v>8757.8456085072867</v>
      </c>
      <c r="Y48" s="1181">
        <f t="shared" ref="Y48:Y49" si="26">K48/W48</f>
        <v>8757.8456085072867</v>
      </c>
      <c r="Z48" s="1181">
        <f t="shared" si="23"/>
        <v>-4873.8832217408426</v>
      </c>
      <c r="AA48" s="1181">
        <f t="shared" si="24"/>
        <v>13631.728830248128</v>
      </c>
      <c r="AB48" s="1054">
        <v>800</v>
      </c>
      <c r="AC48" s="1098">
        <f t="shared" ref="AC48:AC111" si="27">X48/I48*1000</f>
        <v>796.16778259157149</v>
      </c>
      <c r="AD48" s="1054">
        <f t="shared" ref="AD48:AD105" si="28">AC48-AB48</f>
        <v>-3.8322174084285052</v>
      </c>
    </row>
    <row r="49" spans="1:30" hidden="1" x14ac:dyDescent="0.35">
      <c r="A49" s="179">
        <v>2</v>
      </c>
      <c r="B49" s="880" t="s">
        <v>22</v>
      </c>
      <c r="C49" s="986" t="s">
        <v>30</v>
      </c>
      <c r="D49" s="83" t="s">
        <v>29</v>
      </c>
      <c r="E49" s="399" t="str">
        <f>VLOOKUP(F49,'Quy đổi'!A:D,4,0)</f>
        <v>rHDPE ép</v>
      </c>
      <c r="F49" s="986" t="s">
        <v>206</v>
      </c>
      <c r="G49" s="82" t="s">
        <v>207</v>
      </c>
      <c r="H49" s="257" t="str">
        <f>IFERROR(VLOOKUP(F49,'Quy đổi'!A:C,3,0),"-")</f>
        <v>rHDI3R01</v>
      </c>
      <c r="I49" s="1098">
        <v>16500</v>
      </c>
      <c r="J49" s="1098">
        <v>333542550</v>
      </c>
      <c r="K49" s="1098">
        <v>333542550</v>
      </c>
      <c r="O49" s="1097">
        <f t="shared" si="3"/>
        <v>333542550</v>
      </c>
      <c r="P49" s="1096">
        <f t="shared" si="19"/>
        <v>20214.7</v>
      </c>
      <c r="Q49" s="1096">
        <f t="shared" si="20"/>
        <v>796.16778259157149</v>
      </c>
      <c r="R49" s="1099">
        <v>202219902</v>
      </c>
      <c r="S49" s="1096">
        <f t="shared" si="5"/>
        <v>12255.751636363637</v>
      </c>
      <c r="T49" s="1096">
        <f t="shared" si="16"/>
        <v>500.23476066790357</v>
      </c>
      <c r="U49" s="1096">
        <f t="shared" si="21"/>
        <v>131322648</v>
      </c>
      <c r="V49" s="1102">
        <f t="shared" si="22"/>
        <v>0.39372082512411083</v>
      </c>
      <c r="W49" s="1098">
        <v>25390</v>
      </c>
      <c r="X49" s="1181">
        <f t="shared" si="25"/>
        <v>13136.76841276093</v>
      </c>
      <c r="Y49" s="1181">
        <f t="shared" si="26"/>
        <v>13136.76841276093</v>
      </c>
      <c r="Z49" s="1181">
        <f t="shared" si="23"/>
        <v>5172.2192989365894</v>
      </c>
      <c r="AA49" s="1181">
        <f t="shared" si="24"/>
        <v>7964.5491138243406</v>
      </c>
      <c r="AB49" s="1054">
        <v>800</v>
      </c>
      <c r="AC49" s="1098">
        <f t="shared" si="27"/>
        <v>796.16778259157149</v>
      </c>
      <c r="AD49" s="1054">
        <f t="shared" si="28"/>
        <v>-3.8322174084285052</v>
      </c>
    </row>
    <row r="50" spans="1:30" hidden="1" x14ac:dyDescent="0.35">
      <c r="A50" s="179">
        <v>2</v>
      </c>
      <c r="B50" s="880" t="s">
        <v>22</v>
      </c>
      <c r="C50" s="986" t="s">
        <v>30</v>
      </c>
      <c r="D50" s="83" t="s">
        <v>29</v>
      </c>
      <c r="E50" s="399" t="str">
        <f>VLOOKUP(F50,'Quy đổi'!A:D,4,0)</f>
        <v>rHDPE ép</v>
      </c>
      <c r="F50" s="986" t="s">
        <v>216</v>
      </c>
      <c r="G50" s="82" t="s">
        <v>217</v>
      </c>
      <c r="H50" s="257" t="str">
        <f>IFERROR(VLOOKUP(F50,'Quy đổi'!A:C,3,0),"-")</f>
        <v>rHDI3Gy01</v>
      </c>
      <c r="I50" s="1098">
        <v>1000</v>
      </c>
      <c r="J50" s="1098">
        <v>20214700</v>
      </c>
      <c r="K50" s="1098">
        <v>20214700</v>
      </c>
      <c r="O50" s="1097">
        <f t="shared" si="3"/>
        <v>20214700</v>
      </c>
      <c r="P50" s="1096">
        <f t="shared" si="19"/>
        <v>20214.7</v>
      </c>
      <c r="Q50" s="1096">
        <f t="shared" si="20"/>
        <v>796.16778259157149</v>
      </c>
      <c r="R50" s="1099">
        <v>18639792</v>
      </c>
      <c r="S50" s="1096">
        <f t="shared" si="5"/>
        <v>18639.792000000001</v>
      </c>
      <c r="T50" s="1096">
        <f t="shared" si="16"/>
        <v>760.80783673469398</v>
      </c>
      <c r="U50" s="1096">
        <f t="shared" si="21"/>
        <v>1574908</v>
      </c>
      <c r="V50" s="1102">
        <f t="shared" si="22"/>
        <v>7.7909046387035177E-2</v>
      </c>
      <c r="W50" s="1098">
        <v>25390</v>
      </c>
      <c r="X50" s="1181">
        <f t="shared" ref="X50:X106" si="29">O50/W50</f>
        <v>796.16778259157149</v>
      </c>
      <c r="Y50" s="1181">
        <f t="shared" ref="Y50:Y106" si="30">K50/W50</f>
        <v>796.16778259157149</v>
      </c>
      <c r="Z50" s="1181">
        <f t="shared" ref="Z50:Z106" si="31">U50/W50</f>
        <v>62.028672705789681</v>
      </c>
      <c r="AA50" s="1181">
        <f t="shared" ref="AA50:AA106" si="32">R50/W50</f>
        <v>734.13910988578175</v>
      </c>
      <c r="AB50" s="1054">
        <v>800</v>
      </c>
      <c r="AC50" s="1098">
        <f t="shared" si="27"/>
        <v>796.16778259157149</v>
      </c>
      <c r="AD50" s="1054">
        <f t="shared" si="28"/>
        <v>-3.8322174084285052</v>
      </c>
    </row>
    <row r="51" spans="1:30" hidden="1" x14ac:dyDescent="0.35">
      <c r="A51" s="179">
        <v>2</v>
      </c>
      <c r="B51" s="880" t="s">
        <v>22</v>
      </c>
      <c r="C51" s="986" t="s">
        <v>30</v>
      </c>
      <c r="D51" s="83" t="s">
        <v>29</v>
      </c>
      <c r="E51" s="399" t="str">
        <f>VLOOKUP(F51,'Quy đổi'!A:D,4,0)</f>
        <v>rHDPE ép</v>
      </c>
      <c r="F51" s="986" t="s">
        <v>210</v>
      </c>
      <c r="G51" s="82" t="s">
        <v>211</v>
      </c>
      <c r="H51" s="257" t="str">
        <f>IFERROR(VLOOKUP(F51,'Quy đổi'!A:C,3,0),"-")</f>
        <v>rHDI3Y01</v>
      </c>
      <c r="I51" s="1098">
        <v>5500</v>
      </c>
      <c r="J51" s="1098">
        <v>111180850</v>
      </c>
      <c r="K51" s="1098">
        <v>111180850</v>
      </c>
      <c r="O51" s="1097">
        <f t="shared" si="3"/>
        <v>111180850</v>
      </c>
      <c r="P51" s="1096">
        <f t="shared" si="19"/>
        <v>20214.7</v>
      </c>
      <c r="Q51" s="1096">
        <f t="shared" si="20"/>
        <v>796.16778259157149</v>
      </c>
      <c r="R51" s="1099">
        <v>221191792</v>
      </c>
      <c r="S51" s="1096">
        <f t="shared" si="5"/>
        <v>40216.689454545456</v>
      </c>
      <c r="T51" s="1096">
        <f t="shared" si="16"/>
        <v>1641.4975287569573</v>
      </c>
      <c r="U51" s="1096">
        <f t="shared" si="21"/>
        <v>-110010942</v>
      </c>
      <c r="V51" s="1102">
        <f t="shared" si="22"/>
        <v>-0.98947743248949793</v>
      </c>
      <c r="W51" s="1098">
        <v>25390</v>
      </c>
      <c r="X51" s="1181">
        <f t="shared" si="29"/>
        <v>4378.9228042536433</v>
      </c>
      <c r="Y51" s="1181">
        <f t="shared" si="30"/>
        <v>4378.9228042536433</v>
      </c>
      <c r="Z51" s="1181">
        <f t="shared" si="31"/>
        <v>-4332.845293422607</v>
      </c>
      <c r="AA51" s="1181">
        <f t="shared" si="32"/>
        <v>8711.7680976762513</v>
      </c>
      <c r="AB51" s="1054">
        <v>800</v>
      </c>
      <c r="AC51" s="1098">
        <f t="shared" si="27"/>
        <v>796.16778259157149</v>
      </c>
      <c r="AD51" s="1054">
        <f t="shared" si="28"/>
        <v>-3.8322174084285052</v>
      </c>
    </row>
    <row r="52" spans="1:30" hidden="1" x14ac:dyDescent="0.35">
      <c r="A52" s="179">
        <v>2</v>
      </c>
      <c r="B52" s="880" t="s">
        <v>22</v>
      </c>
      <c r="C52" s="986" t="s">
        <v>73</v>
      </c>
      <c r="D52" s="83" t="s">
        <v>72</v>
      </c>
      <c r="E52" s="399" t="str">
        <f>VLOOKUP(F52,'Quy đổi'!A:D,4,0)</f>
        <v>rHDPE thổi</v>
      </c>
      <c r="F52" s="986" t="s">
        <v>69</v>
      </c>
      <c r="G52" s="82" t="s">
        <v>68</v>
      </c>
      <c r="H52" s="257" t="str">
        <f>IFERROR(VLOOKUP(F52,'Quy đổi'!A:C,3,0),"-")</f>
        <v>MBF01</v>
      </c>
      <c r="I52" s="1098">
        <v>2750</v>
      </c>
      <c r="J52" s="1098">
        <v>98362000</v>
      </c>
      <c r="K52" s="1098">
        <v>98362000</v>
      </c>
      <c r="O52" s="1097">
        <f t="shared" si="3"/>
        <v>98362000</v>
      </c>
      <c r="P52" s="1096">
        <f t="shared" si="19"/>
        <v>35768</v>
      </c>
      <c r="Q52" s="1096">
        <f t="shared" si="20"/>
        <v>1408.7435998424576</v>
      </c>
      <c r="R52" s="1099">
        <v>76830268</v>
      </c>
      <c r="S52" s="1096">
        <f t="shared" si="5"/>
        <v>27938.279272727272</v>
      </c>
      <c r="T52" s="1096">
        <f t="shared" si="16"/>
        <v>1140.3379294990723</v>
      </c>
      <c r="U52" s="1096">
        <f t="shared" si="21"/>
        <v>21531732</v>
      </c>
      <c r="V52" s="1102">
        <f t="shared" si="22"/>
        <v>0.21890295032634555</v>
      </c>
      <c r="W52" s="1098">
        <v>25390</v>
      </c>
      <c r="X52" s="1181">
        <f t="shared" si="29"/>
        <v>3874.0448995667584</v>
      </c>
      <c r="Y52" s="1181">
        <f t="shared" si="30"/>
        <v>3874.0448995667584</v>
      </c>
      <c r="Z52" s="1181">
        <f t="shared" si="31"/>
        <v>848.0398582118944</v>
      </c>
      <c r="AA52" s="1181">
        <f t="shared" si="32"/>
        <v>3026.0050413548643</v>
      </c>
      <c r="AB52" s="1054">
        <v>1350</v>
      </c>
      <c r="AC52" s="1098">
        <f t="shared" si="27"/>
        <v>1408.7435998424576</v>
      </c>
      <c r="AD52" s="1054">
        <f t="shared" si="28"/>
        <v>58.74359984245757</v>
      </c>
    </row>
    <row r="53" spans="1:30" hidden="1" x14ac:dyDescent="0.35">
      <c r="A53" s="179">
        <v>2</v>
      </c>
      <c r="B53" s="880" t="s">
        <v>22</v>
      </c>
      <c r="C53" s="986" t="s">
        <v>132</v>
      </c>
      <c r="D53" s="83" t="s">
        <v>213</v>
      </c>
      <c r="E53" s="399" t="str">
        <f>VLOOKUP(F53,'Quy đổi'!A:D,4,0)</f>
        <v>rPET</v>
      </c>
      <c r="F53" s="986" t="s">
        <v>110</v>
      </c>
      <c r="G53" s="82" t="s">
        <v>109</v>
      </c>
      <c r="H53" s="257" t="str">
        <f>IFERROR(VLOOKUP(F53,'Quy đổi'!A:C,3,0),"-")</f>
        <v>WSS01G</v>
      </c>
      <c r="I53" s="1098">
        <v>352000</v>
      </c>
      <c r="J53" s="1098">
        <v>11623040000</v>
      </c>
      <c r="K53" s="1098">
        <v>11623040000</v>
      </c>
      <c r="L53" s="1056">
        <f>I53*140</f>
        <v>49280000</v>
      </c>
      <c r="O53" s="1097">
        <f t="shared" si="3"/>
        <v>11573760000</v>
      </c>
      <c r="P53" s="1096">
        <f t="shared" si="19"/>
        <v>32880</v>
      </c>
      <c r="Q53" s="1096">
        <f t="shared" si="20"/>
        <v>1294.9980307207563</v>
      </c>
      <c r="R53" s="1099">
        <v>8821274432</v>
      </c>
      <c r="S53" s="1096">
        <f t="shared" si="5"/>
        <v>25060.438727272729</v>
      </c>
      <c r="T53" s="1096">
        <f t="shared" si="16"/>
        <v>1022.8750500927645</v>
      </c>
      <c r="U53" s="1096">
        <f t="shared" si="21"/>
        <v>2752485568</v>
      </c>
      <c r="V53" s="1102">
        <f t="shared" si="22"/>
        <v>0.23681287924673752</v>
      </c>
      <c r="W53" s="1098">
        <v>25390</v>
      </c>
      <c r="X53" s="1181">
        <f t="shared" si="29"/>
        <v>455839.30681370618</v>
      </c>
      <c r="Y53" s="1181">
        <f t="shared" si="30"/>
        <v>457780.22843639227</v>
      </c>
      <c r="Z53" s="1181">
        <f t="shared" si="31"/>
        <v>108408.25395825128</v>
      </c>
      <c r="AA53" s="1181">
        <f t="shared" si="32"/>
        <v>347431.05285545491</v>
      </c>
      <c r="AB53" s="1054">
        <v>1230</v>
      </c>
      <c r="AC53" s="1098">
        <f t="shared" si="27"/>
        <v>1294.9980307207563</v>
      </c>
      <c r="AD53" s="1054">
        <f t="shared" si="28"/>
        <v>64.998030720756333</v>
      </c>
    </row>
    <row r="54" spans="1:30" hidden="1" x14ac:dyDescent="0.35">
      <c r="A54" s="179">
        <v>2</v>
      </c>
      <c r="B54" s="880" t="s">
        <v>22</v>
      </c>
      <c r="C54" s="986" t="s">
        <v>65</v>
      </c>
      <c r="D54" s="83" t="s">
        <v>571</v>
      </c>
      <c r="E54" s="399" t="str">
        <f>VLOOKUP(F54,'Quy đổi'!A:D,4,0)</f>
        <v>rHDPE ép</v>
      </c>
      <c r="F54" s="986" t="s">
        <v>37</v>
      </c>
      <c r="G54" s="82" t="s">
        <v>36</v>
      </c>
      <c r="H54" s="257" t="str">
        <f>IFERROR(VLOOKUP(F54,'Quy đổi'!A:C,3,0),"-")</f>
        <v>Vảy HD Ép Đỏ</v>
      </c>
      <c r="I54" s="1098">
        <v>750</v>
      </c>
      <c r="J54" s="1098">
        <v>13541667</v>
      </c>
      <c r="K54" s="1098">
        <v>13541667</v>
      </c>
      <c r="L54" s="1097"/>
      <c r="O54" s="1097">
        <f t="shared" si="3"/>
        <v>13541667</v>
      </c>
      <c r="P54" s="1096">
        <f t="shared" si="19"/>
        <v>18055.556</v>
      </c>
      <c r="Q54" s="1096">
        <f t="shared" si="20"/>
        <v>711.12863332020481</v>
      </c>
      <c r="R54" s="1099">
        <v>21506225</v>
      </c>
      <c r="S54" s="1096">
        <f t="shared" si="5"/>
        <v>28674.966666666667</v>
      </c>
      <c r="T54" s="1096">
        <f t="shared" si="16"/>
        <v>1170.4068027210885</v>
      </c>
      <c r="U54" s="1096">
        <f t="shared" si="21"/>
        <v>-7964558</v>
      </c>
      <c r="V54" s="1102">
        <f t="shared" si="22"/>
        <v>-0.5881519609070287</v>
      </c>
      <c r="W54" s="1098">
        <v>25390</v>
      </c>
      <c r="X54" s="1181">
        <f t="shared" si="29"/>
        <v>533.34647499015364</v>
      </c>
      <c r="Y54" s="1181">
        <f t="shared" si="30"/>
        <v>533.34647499015364</v>
      </c>
      <c r="Z54" s="1181">
        <f t="shared" si="31"/>
        <v>-313.68877510831038</v>
      </c>
      <c r="AA54" s="1181">
        <f t="shared" si="32"/>
        <v>847.03525009846396</v>
      </c>
      <c r="AB54" s="1054">
        <v>750</v>
      </c>
      <c r="AC54" s="1098">
        <f t="shared" si="27"/>
        <v>711.12863332020481</v>
      </c>
      <c r="AD54" s="1054">
        <f t="shared" si="28"/>
        <v>-38.871366679795187</v>
      </c>
    </row>
    <row r="55" spans="1:30" hidden="1" x14ac:dyDescent="0.35">
      <c r="A55" s="179">
        <v>2</v>
      </c>
      <c r="B55" s="880" t="s">
        <v>22</v>
      </c>
      <c r="C55" s="986" t="s">
        <v>65</v>
      </c>
      <c r="D55" s="83" t="s">
        <v>571</v>
      </c>
      <c r="E55" s="399" t="str">
        <f>VLOOKUP(F55,'Quy đổi'!A:D,4,0)</f>
        <v>rHDPE ép</v>
      </c>
      <c r="F55" s="986" t="s">
        <v>536</v>
      </c>
      <c r="G55" s="82" t="s">
        <v>537</v>
      </c>
      <c r="H55" s="257" t="str">
        <f>IFERROR(VLOOKUP(F55,'Quy đổi'!A:C,3,0),"-")</f>
        <v>Vảy HD Ép Trắng</v>
      </c>
      <c r="I55" s="1098">
        <v>750</v>
      </c>
      <c r="J55" s="1098">
        <v>13541667</v>
      </c>
      <c r="K55" s="1098">
        <v>13541667</v>
      </c>
      <c r="L55" s="1097"/>
      <c r="O55" s="1097">
        <f t="shared" si="3"/>
        <v>13541667</v>
      </c>
      <c r="P55" s="1096">
        <f t="shared" si="19"/>
        <v>18055.556</v>
      </c>
      <c r="Q55" s="1096">
        <f t="shared" si="20"/>
        <v>711.12863332020481</v>
      </c>
      <c r="R55" s="1099">
        <v>18164119</v>
      </c>
      <c r="S55" s="1096">
        <f t="shared" si="5"/>
        <v>24218.825333333334</v>
      </c>
      <c r="T55" s="1096">
        <f t="shared" si="16"/>
        <v>988.52348299319726</v>
      </c>
      <c r="U55" s="1096">
        <f t="shared" si="21"/>
        <v>-4622452</v>
      </c>
      <c r="V55" s="1102">
        <f t="shared" si="22"/>
        <v>-0.3413502931359928</v>
      </c>
      <c r="W55" s="1098">
        <v>25390</v>
      </c>
      <c r="X55" s="1181">
        <f t="shared" si="29"/>
        <v>533.34647499015364</v>
      </c>
      <c r="Y55" s="1181">
        <f t="shared" si="30"/>
        <v>533.34647499015364</v>
      </c>
      <c r="Z55" s="1181">
        <f t="shared" si="31"/>
        <v>-182.05797558093738</v>
      </c>
      <c r="AA55" s="1181">
        <f t="shared" si="32"/>
        <v>715.40445057109093</v>
      </c>
      <c r="AB55" s="1054">
        <v>750</v>
      </c>
      <c r="AC55" s="1098">
        <f t="shared" si="27"/>
        <v>711.12863332020481</v>
      </c>
      <c r="AD55" s="1054">
        <f t="shared" si="28"/>
        <v>-38.871366679795187</v>
      </c>
    </row>
    <row r="56" spans="1:30" hidden="1" x14ac:dyDescent="0.35">
      <c r="A56" s="179">
        <v>2</v>
      </c>
      <c r="B56" s="880" t="s">
        <v>22</v>
      </c>
      <c r="C56" s="986" t="s">
        <v>65</v>
      </c>
      <c r="D56" s="83" t="s">
        <v>571</v>
      </c>
      <c r="E56" s="399" t="str">
        <f>VLOOKUP(F56,'Quy đổi'!A:D,4,0)</f>
        <v>rHDPE ép</v>
      </c>
      <c r="F56" s="986" t="s">
        <v>41</v>
      </c>
      <c r="G56" s="82" t="s">
        <v>40</v>
      </c>
      <c r="H56" s="257" t="str">
        <f>IFERROR(VLOOKUP(F56,'Quy đổi'!A:C,3,0),"-")</f>
        <v>Vảy HD Ép Lá</v>
      </c>
      <c r="I56" s="1098">
        <v>750</v>
      </c>
      <c r="J56" s="1098">
        <v>13541666</v>
      </c>
      <c r="K56" s="1098">
        <v>13541666</v>
      </c>
      <c r="L56" s="1097"/>
      <c r="O56" s="1097">
        <f t="shared" si="3"/>
        <v>13541666</v>
      </c>
      <c r="P56" s="1096">
        <f t="shared" si="19"/>
        <v>18055.554666666667</v>
      </c>
      <c r="Q56" s="1096">
        <f t="shared" si="20"/>
        <v>711.12858080609169</v>
      </c>
      <c r="R56" s="1099">
        <v>18436900</v>
      </c>
      <c r="S56" s="1096">
        <f t="shared" si="5"/>
        <v>24582.533333333333</v>
      </c>
      <c r="T56" s="1096">
        <f t="shared" si="16"/>
        <v>1003.3687074829932</v>
      </c>
      <c r="U56" s="1096">
        <f t="shared" si="21"/>
        <v>-4895234</v>
      </c>
      <c r="V56" s="1102">
        <f t="shared" si="22"/>
        <v>-0.36149422087356164</v>
      </c>
      <c r="W56" s="1098">
        <v>25390</v>
      </c>
      <c r="X56" s="1181">
        <f t="shared" si="29"/>
        <v>533.34643560456868</v>
      </c>
      <c r="Y56" s="1181">
        <f t="shared" si="30"/>
        <v>533.34643560456868</v>
      </c>
      <c r="Z56" s="1181">
        <f t="shared" si="31"/>
        <v>-192.80165419456478</v>
      </c>
      <c r="AA56" s="1181">
        <f t="shared" si="32"/>
        <v>726.14808979913357</v>
      </c>
      <c r="AB56" s="1054">
        <v>750</v>
      </c>
      <c r="AC56" s="1098">
        <f t="shared" si="27"/>
        <v>711.12858080609158</v>
      </c>
      <c r="AD56" s="1054">
        <f t="shared" si="28"/>
        <v>-38.871419193908423</v>
      </c>
    </row>
    <row r="57" spans="1:30" hidden="1" x14ac:dyDescent="0.35">
      <c r="A57" s="179">
        <v>2</v>
      </c>
      <c r="B57" s="880" t="s">
        <v>22</v>
      </c>
      <c r="C57" s="986" t="s">
        <v>176</v>
      </c>
      <c r="D57" s="83" t="s">
        <v>177</v>
      </c>
      <c r="E57" s="399" t="str">
        <f>VLOOKUP(F57,'Quy đổi'!A:D,4,0)</f>
        <v>rPET</v>
      </c>
      <c r="F57" s="986" t="s">
        <v>127</v>
      </c>
      <c r="G57" s="82" t="s">
        <v>114</v>
      </c>
      <c r="H57" s="257" t="str">
        <f>IFERROR(VLOOKUP(F57,'Quy đổi'!A:C,3,0),"-")</f>
        <v>iSS01084G</v>
      </c>
      <c r="I57" s="1098">
        <v>484000</v>
      </c>
      <c r="J57" s="1098">
        <v>17735696000</v>
      </c>
      <c r="K57" s="1098">
        <v>17469660560</v>
      </c>
      <c r="L57" s="1056">
        <f>13148148.1481481*20+56000000</f>
        <v>318962962.96296203</v>
      </c>
      <c r="O57" s="1097">
        <f t="shared" si="3"/>
        <v>17150697597.037039</v>
      </c>
      <c r="P57" s="1096">
        <f t="shared" si="19"/>
        <v>35435.325613712892</v>
      </c>
      <c r="Q57" s="1096">
        <f t="shared" si="20"/>
        <v>1395.6410245652971</v>
      </c>
      <c r="R57" s="1099">
        <v>12780849686</v>
      </c>
      <c r="S57" s="1096">
        <f t="shared" si="5"/>
        <v>26406.714227272729</v>
      </c>
      <c r="T57" s="1096">
        <f t="shared" si="16"/>
        <v>1077.8250705009277</v>
      </c>
      <c r="U57" s="1096">
        <f t="shared" si="21"/>
        <v>4369847911.0370388</v>
      </c>
      <c r="V57" s="1102">
        <f t="shared" si="22"/>
        <v>0.2501392569150776</v>
      </c>
      <c r="W57" s="1098">
        <v>25390</v>
      </c>
      <c r="X57" s="1181">
        <f t="shared" si="29"/>
        <v>675490.25588960375</v>
      </c>
      <c r="Y57" s="1181">
        <f t="shared" si="30"/>
        <v>688052.79873966123</v>
      </c>
      <c r="Z57" s="1181">
        <f t="shared" si="31"/>
        <v>172109.01579507833</v>
      </c>
      <c r="AA57" s="1181">
        <f t="shared" si="32"/>
        <v>503381.24009452539</v>
      </c>
      <c r="AB57" s="1054">
        <v>1280</v>
      </c>
      <c r="AC57" s="1098">
        <f t="shared" si="27"/>
        <v>1395.6410245652971</v>
      </c>
      <c r="AD57" s="1054">
        <f t="shared" si="28"/>
        <v>115.64102456529713</v>
      </c>
    </row>
    <row r="58" spans="1:30" hidden="1" x14ac:dyDescent="0.35">
      <c r="A58" s="179">
        <v>2</v>
      </c>
      <c r="B58" s="880" t="s">
        <v>22</v>
      </c>
      <c r="C58" s="986" t="s">
        <v>176</v>
      </c>
      <c r="D58" s="83" t="s">
        <v>177</v>
      </c>
      <c r="E58" s="399" t="str">
        <f>VLOOKUP(F58,'Quy đổi'!A:D,4,0)</f>
        <v>rPET</v>
      </c>
      <c r="F58" s="986" t="s">
        <v>100</v>
      </c>
      <c r="G58" s="82" t="s">
        <v>99</v>
      </c>
      <c r="H58" s="257" t="str">
        <f>IFERROR(VLOOKUP(F58,'Quy đổi'!A:C,3,0),"-")</f>
        <v>iSS01G</v>
      </c>
      <c r="I58" s="1098">
        <v>154000</v>
      </c>
      <c r="J58" s="1098">
        <v>5643176000</v>
      </c>
      <c r="K58" s="1098">
        <v>5558528360</v>
      </c>
      <c r="L58" s="1056">
        <f>13148148.1481481*6+28000000</f>
        <v>106888888.8888886</v>
      </c>
      <c r="O58" s="1097">
        <f t="shared" si="3"/>
        <v>5451639471.1111116</v>
      </c>
      <c r="P58" s="1096">
        <f t="shared" si="19"/>
        <v>35400.256305916308</v>
      </c>
      <c r="Q58" s="1096">
        <f t="shared" si="20"/>
        <v>1394.2597993665345</v>
      </c>
      <c r="R58" s="1099">
        <v>3870002668</v>
      </c>
      <c r="S58" s="1096">
        <f t="shared" si="5"/>
        <v>25129.887454545453</v>
      </c>
      <c r="T58" s="1096">
        <f t="shared" si="16"/>
        <v>1025.7096920222634</v>
      </c>
      <c r="U58" s="1096">
        <f t="shared" si="21"/>
        <v>1581636803.1111116</v>
      </c>
      <c r="V58" s="1102">
        <f t="shared" si="22"/>
        <v>0.28454236457491272</v>
      </c>
      <c r="W58" s="1098">
        <v>25390</v>
      </c>
      <c r="X58" s="1181">
        <f t="shared" si="29"/>
        <v>214716.00910244629</v>
      </c>
      <c r="Y58" s="1181">
        <f t="shared" si="30"/>
        <v>218925.89050807405</v>
      </c>
      <c r="Z58" s="1181">
        <f t="shared" si="31"/>
        <v>62293.690551835825</v>
      </c>
      <c r="AA58" s="1181">
        <f t="shared" si="32"/>
        <v>152422.31855061048</v>
      </c>
      <c r="AB58" s="1054">
        <v>1260</v>
      </c>
      <c r="AC58" s="1098">
        <f t="shared" si="27"/>
        <v>1394.2597993665345</v>
      </c>
      <c r="AD58" s="1054">
        <f t="shared" si="28"/>
        <v>134.25979936653448</v>
      </c>
    </row>
    <row r="59" spans="1:30" hidden="1" x14ac:dyDescent="0.35">
      <c r="A59" s="179">
        <v>2</v>
      </c>
      <c r="B59" s="880" t="s">
        <v>22</v>
      </c>
      <c r="C59" s="986" t="s">
        <v>131</v>
      </c>
      <c r="D59" s="83" t="s">
        <v>214</v>
      </c>
      <c r="E59" s="399" t="str">
        <f>VLOOKUP(F59,'Quy đổi'!A:D,4,0)</f>
        <v>rPET</v>
      </c>
      <c r="F59" s="986" t="s">
        <v>110</v>
      </c>
      <c r="G59" s="82" t="s">
        <v>109</v>
      </c>
      <c r="H59" s="257" t="str">
        <f>IFERROR(VLOOKUP(F59,'Quy đổi'!A:C,3,0),"-")</f>
        <v>WSS01G</v>
      </c>
      <c r="I59" s="1098">
        <v>33000</v>
      </c>
      <c r="J59" s="1098">
        <v>1026927000</v>
      </c>
      <c r="K59" s="1098">
        <v>1026927000</v>
      </c>
      <c r="L59" s="1056">
        <v>3080000</v>
      </c>
      <c r="O59" s="1097">
        <f t="shared" si="3"/>
        <v>1023847000</v>
      </c>
      <c r="P59" s="1096">
        <f t="shared" si="19"/>
        <v>31025.666666666668</v>
      </c>
      <c r="Q59" s="1096">
        <f t="shared" si="20"/>
        <v>1221.9640278324798</v>
      </c>
      <c r="R59" s="1099">
        <v>826994478</v>
      </c>
      <c r="S59" s="1096">
        <f t="shared" si="5"/>
        <v>25060.438727272729</v>
      </c>
      <c r="T59" s="1096">
        <f t="shared" si="16"/>
        <v>1022.8750500927645</v>
      </c>
      <c r="U59" s="1096">
        <f t="shared" si="21"/>
        <v>196852522</v>
      </c>
      <c r="V59" s="1102">
        <f t="shared" si="22"/>
        <v>0.19169086215475881</v>
      </c>
      <c r="W59" s="1098">
        <v>25390</v>
      </c>
      <c r="X59" s="1181">
        <f t="shared" si="29"/>
        <v>40324.812918471842</v>
      </c>
      <c r="Y59" s="1181">
        <f t="shared" si="30"/>
        <v>40446.120519889722</v>
      </c>
      <c r="Z59" s="1181">
        <f t="shared" si="31"/>
        <v>7753.1517132729423</v>
      </c>
      <c r="AA59" s="1181">
        <f t="shared" si="32"/>
        <v>32571.661205198896</v>
      </c>
      <c r="AB59" s="1054">
        <v>1230</v>
      </c>
      <c r="AC59" s="1098">
        <f t="shared" si="27"/>
        <v>1221.96402783248</v>
      </c>
      <c r="AD59" s="1054">
        <f t="shared" si="28"/>
        <v>-8.035972167519958</v>
      </c>
    </row>
    <row r="60" spans="1:30" hidden="1" x14ac:dyDescent="0.35">
      <c r="A60" s="179">
        <v>2</v>
      </c>
      <c r="B60" s="880" t="s">
        <v>22</v>
      </c>
      <c r="C60" s="986" t="s">
        <v>129</v>
      </c>
      <c r="D60" s="83" t="s">
        <v>510</v>
      </c>
      <c r="E60" s="399" t="str">
        <f>VLOOKUP(F60,'Quy đổi'!A:D,4,0)</f>
        <v>rPET</v>
      </c>
      <c r="F60" s="986" t="s">
        <v>127</v>
      </c>
      <c r="G60" s="82" t="s">
        <v>114</v>
      </c>
      <c r="H60" s="257" t="str">
        <f>IFERROR(VLOOKUP(F60,'Quy đổi'!A:C,3,0),"-")</f>
        <v>iSS01084G</v>
      </c>
      <c r="I60" s="1098">
        <v>22000</v>
      </c>
      <c r="J60" s="1098">
        <v>796901490</v>
      </c>
      <c r="K60" s="1098">
        <v>784947968</v>
      </c>
      <c r="L60" s="1056">
        <f>I60*160</f>
        <v>3520000</v>
      </c>
      <c r="O60" s="1097">
        <f t="shared" si="3"/>
        <v>781427968</v>
      </c>
      <c r="P60" s="1096">
        <f t="shared" si="19"/>
        <v>35519.45309090909</v>
      </c>
      <c r="Q60" s="1096">
        <f t="shared" si="20"/>
        <v>1398.9544344588062</v>
      </c>
      <c r="R60" s="1099">
        <v>580947713</v>
      </c>
      <c r="S60" s="1096">
        <f t="shared" si="5"/>
        <v>26406.714227272729</v>
      </c>
      <c r="T60" s="1096">
        <f t="shared" si="16"/>
        <v>1077.8250705009277</v>
      </c>
      <c r="U60" s="1096">
        <f t="shared" si="21"/>
        <v>200480255</v>
      </c>
      <c r="V60" s="1102">
        <f t="shared" si="22"/>
        <v>0.2554057888840856</v>
      </c>
      <c r="W60" s="1098">
        <v>25390</v>
      </c>
      <c r="X60" s="1181">
        <f t="shared" si="29"/>
        <v>30776.997558093739</v>
      </c>
      <c r="Y60" s="1181">
        <f t="shared" si="30"/>
        <v>30915.634816857029</v>
      </c>
      <c r="Z60" s="1181">
        <f t="shared" si="31"/>
        <v>7896.0320992516736</v>
      </c>
      <c r="AA60" s="1181">
        <f t="shared" si="32"/>
        <v>22880.965458842064</v>
      </c>
      <c r="AB60" s="1054">
        <v>1280</v>
      </c>
      <c r="AC60" s="1098">
        <f t="shared" si="27"/>
        <v>1398.9544344588062</v>
      </c>
      <c r="AD60" s="1054">
        <f t="shared" si="28"/>
        <v>118.95443445880619</v>
      </c>
    </row>
    <row r="61" spans="1:30" hidden="1" x14ac:dyDescent="0.35">
      <c r="A61" s="179">
        <v>2</v>
      </c>
      <c r="B61" s="880" t="s">
        <v>22</v>
      </c>
      <c r="C61" s="986" t="s">
        <v>181</v>
      </c>
      <c r="D61" s="83" t="s">
        <v>182</v>
      </c>
      <c r="E61" s="399" t="str">
        <f>VLOOKUP(F61,'Quy đổi'!A:D,4,0)</f>
        <v>rPET</v>
      </c>
      <c r="F61" s="986" t="s">
        <v>127</v>
      </c>
      <c r="G61" s="82" t="s">
        <v>114</v>
      </c>
      <c r="H61" s="257" t="str">
        <f>IFERROR(VLOOKUP(F61,'Quy đổi'!A:C,3,0),"-")</f>
        <v>iSS01084G</v>
      </c>
      <c r="I61" s="1098">
        <v>88000</v>
      </c>
      <c r="J61" s="1098">
        <v>3197744000</v>
      </c>
      <c r="K61" s="1098">
        <v>3197744000</v>
      </c>
      <c r="L61" s="1104">
        <f>13148148.1481481*4</f>
        <v>52592592.592592403</v>
      </c>
      <c r="O61" s="1097">
        <f t="shared" si="3"/>
        <v>3145151407.4074078</v>
      </c>
      <c r="P61" s="1096">
        <f t="shared" si="19"/>
        <v>35740.356902356907</v>
      </c>
      <c r="Q61" s="1096">
        <f t="shared" si="20"/>
        <v>1407.6548602740017</v>
      </c>
      <c r="R61" s="1099">
        <v>2323790852</v>
      </c>
      <c r="S61" s="1096">
        <f t="shared" si="5"/>
        <v>26406.714227272729</v>
      </c>
      <c r="T61" s="1096">
        <f t="shared" si="16"/>
        <v>1077.8250705009277</v>
      </c>
      <c r="U61" s="1096">
        <f t="shared" si="21"/>
        <v>821360555.40740776</v>
      </c>
      <c r="V61" s="1102">
        <f t="shared" si="22"/>
        <v>0.25685625722615935</v>
      </c>
      <c r="W61" s="1098">
        <v>25390</v>
      </c>
      <c r="X61" s="1181">
        <f t="shared" si="29"/>
        <v>123873.62770411216</v>
      </c>
      <c r="Y61" s="1181">
        <f t="shared" si="30"/>
        <v>125945.0177235132</v>
      </c>
      <c r="Z61" s="1181">
        <f t="shared" si="31"/>
        <v>32349.765868743907</v>
      </c>
      <c r="AA61" s="1181">
        <f t="shared" si="32"/>
        <v>91523.861835368254</v>
      </c>
      <c r="AB61" s="1098">
        <v>1280</v>
      </c>
      <c r="AC61" s="1098">
        <f t="shared" si="27"/>
        <v>1407.6548602740017</v>
      </c>
      <c r="AD61" s="1098">
        <f t="shared" si="28"/>
        <v>127.65486027400175</v>
      </c>
    </row>
    <row r="62" spans="1:30" hidden="1" x14ac:dyDescent="0.35">
      <c r="A62" s="179">
        <v>2</v>
      </c>
      <c r="B62" s="880" t="s">
        <v>22</v>
      </c>
      <c r="C62" s="986" t="s">
        <v>77</v>
      </c>
      <c r="D62" s="83" t="s">
        <v>76</v>
      </c>
      <c r="E62" s="399" t="str">
        <f>VLOOKUP(F62,'Quy đổi'!A:D,4,0)</f>
        <v>rHDPE thổi</v>
      </c>
      <c r="F62" s="986" t="s">
        <v>69</v>
      </c>
      <c r="G62" s="82" t="s">
        <v>68</v>
      </c>
      <c r="H62" s="257" t="str">
        <f>IFERROR(VLOOKUP(F62,'Quy đổi'!A:C,3,0),"-")</f>
        <v>MBF01</v>
      </c>
      <c r="I62" s="1098">
        <v>24750</v>
      </c>
      <c r="J62" s="1098">
        <v>900108000</v>
      </c>
      <c r="K62" s="1098">
        <v>900108000</v>
      </c>
      <c r="L62" s="1056">
        <v>18981481.481481481</v>
      </c>
      <c r="O62" s="1097">
        <f t="shared" si="3"/>
        <v>881126518.51851857</v>
      </c>
      <c r="P62" s="1096">
        <f t="shared" si="19"/>
        <v>35601.071455293677</v>
      </c>
      <c r="Q62" s="1096">
        <f t="shared" si="20"/>
        <v>1402.1690214767104</v>
      </c>
      <c r="R62" s="1099">
        <v>691472410</v>
      </c>
      <c r="S62" s="1096">
        <f t="shared" si="5"/>
        <v>27938.279191919191</v>
      </c>
      <c r="T62" s="1096">
        <f t="shared" si="16"/>
        <v>1140.3379262007834</v>
      </c>
      <c r="U62" s="1096">
        <f t="shared" si="21"/>
        <v>189654108.51851857</v>
      </c>
      <c r="V62" s="1102">
        <f t="shared" si="22"/>
        <v>0.21070150306243091</v>
      </c>
      <c r="W62" s="1098">
        <v>25390</v>
      </c>
      <c r="X62" s="1181">
        <f t="shared" si="29"/>
        <v>34703.683281548583</v>
      </c>
      <c r="Y62" s="1181">
        <f t="shared" si="30"/>
        <v>35451.280031508468</v>
      </c>
      <c r="Z62" s="1181">
        <f t="shared" si="31"/>
        <v>7469.6379881259772</v>
      </c>
      <c r="AA62" s="1181">
        <f t="shared" si="32"/>
        <v>27234.045293422609</v>
      </c>
      <c r="AB62" s="1054">
        <v>1350</v>
      </c>
      <c r="AC62" s="1098">
        <f t="shared" si="27"/>
        <v>1402.1690214767104</v>
      </c>
      <c r="AD62" s="1054">
        <f t="shared" si="28"/>
        <v>52.169021476710441</v>
      </c>
    </row>
    <row r="63" spans="1:30" hidden="1" x14ac:dyDescent="0.35">
      <c r="A63" s="179">
        <v>2</v>
      </c>
      <c r="B63" s="880" t="s">
        <v>22</v>
      </c>
      <c r="C63" s="986" t="s">
        <v>82</v>
      </c>
      <c r="D63" s="83" t="s">
        <v>81</v>
      </c>
      <c r="E63" s="399" t="str">
        <f>VLOOKUP(F63,'Quy đổi'!A:D,4,0)</f>
        <v>rHDPE thổi</v>
      </c>
      <c r="F63" s="986" t="s">
        <v>69</v>
      </c>
      <c r="G63" s="82" t="s">
        <v>68</v>
      </c>
      <c r="H63" s="257" t="str">
        <f>IFERROR(VLOOKUP(F63,'Quy đổi'!A:C,3,0),"-")</f>
        <v>MBF01</v>
      </c>
      <c r="I63" s="1098">
        <v>77000</v>
      </c>
      <c r="J63" s="1098">
        <v>2738120000</v>
      </c>
      <c r="K63" s="1098">
        <v>2738120000</v>
      </c>
      <c r="O63" s="1097">
        <f t="shared" si="3"/>
        <v>2738120000</v>
      </c>
      <c r="P63" s="1096">
        <f t="shared" si="19"/>
        <v>35560</v>
      </c>
      <c r="Q63" s="1096">
        <f t="shared" si="20"/>
        <v>1400.5513981882632</v>
      </c>
      <c r="R63" s="1099">
        <v>2151247500</v>
      </c>
      <c r="S63" s="1096">
        <f t="shared" si="5"/>
        <v>27938.279220779219</v>
      </c>
      <c r="T63" s="1096">
        <f t="shared" si="16"/>
        <v>1140.3379273787436</v>
      </c>
      <c r="U63" s="1096">
        <f t="shared" si="21"/>
        <v>586872500</v>
      </c>
      <c r="V63" s="1102">
        <f t="shared" si="22"/>
        <v>0.21433410515244036</v>
      </c>
      <c r="W63" s="1098">
        <v>25390</v>
      </c>
      <c r="X63" s="1181">
        <f t="shared" si="29"/>
        <v>107842.45766049626</v>
      </c>
      <c r="Y63" s="1181">
        <f t="shared" si="30"/>
        <v>107842.45766049626</v>
      </c>
      <c r="Z63" s="1181">
        <f t="shared" si="31"/>
        <v>23114.316660102402</v>
      </c>
      <c r="AA63" s="1181">
        <f t="shared" si="32"/>
        <v>84728.141000393851</v>
      </c>
      <c r="AB63" s="1054">
        <v>1350</v>
      </c>
      <c r="AC63" s="1098">
        <f t="shared" si="27"/>
        <v>1400.5513981882632</v>
      </c>
      <c r="AD63" s="1054">
        <f t="shared" si="28"/>
        <v>50.551398188263192</v>
      </c>
    </row>
    <row r="64" spans="1:30" hidden="1" x14ac:dyDescent="0.35">
      <c r="A64" s="179">
        <v>2</v>
      </c>
      <c r="B64" s="880" t="s">
        <v>22</v>
      </c>
      <c r="C64" s="986" t="s">
        <v>82</v>
      </c>
      <c r="D64" s="83" t="s">
        <v>81</v>
      </c>
      <c r="E64" s="399" t="str">
        <f>VLOOKUP(F64,'Quy đổi'!A:D,4,0)</f>
        <v>rPET</v>
      </c>
      <c r="F64" s="986" t="s">
        <v>110</v>
      </c>
      <c r="G64" s="82" t="s">
        <v>109</v>
      </c>
      <c r="H64" s="257" t="str">
        <f>IFERROR(VLOOKUP(F64,'Quy đổi'!A:C,3,0),"-")</f>
        <v>WSS01G</v>
      </c>
      <c r="I64" s="1098">
        <v>11000</v>
      </c>
      <c r="J64" s="1098">
        <v>363220000</v>
      </c>
      <c r="K64" s="1098">
        <v>363220000</v>
      </c>
      <c r="O64" s="1097">
        <f t="shared" si="3"/>
        <v>363220000</v>
      </c>
      <c r="P64" s="1096">
        <f t="shared" si="19"/>
        <v>33020</v>
      </c>
      <c r="Q64" s="1096">
        <f t="shared" si="20"/>
        <v>1300.5120126033871</v>
      </c>
      <c r="R64" s="1099">
        <v>275664826</v>
      </c>
      <c r="S64" s="1096">
        <f t="shared" si="5"/>
        <v>25060.438727272729</v>
      </c>
      <c r="T64" s="1096">
        <f t="shared" si="16"/>
        <v>1022.8750500927645</v>
      </c>
      <c r="U64" s="1096">
        <f t="shared" si="21"/>
        <v>87555174</v>
      </c>
      <c r="V64" s="1102">
        <f t="shared" si="22"/>
        <v>0.24105273388029294</v>
      </c>
      <c r="W64" s="1098">
        <v>25390</v>
      </c>
      <c r="X64" s="1181">
        <f t="shared" si="29"/>
        <v>14305.632138637258</v>
      </c>
      <c r="Y64" s="1181">
        <f t="shared" si="30"/>
        <v>14305.632138637258</v>
      </c>
      <c r="Z64" s="1181">
        <f t="shared" si="31"/>
        <v>3448.4117369042929</v>
      </c>
      <c r="AA64" s="1181">
        <f t="shared" si="32"/>
        <v>10857.220401732966</v>
      </c>
      <c r="AB64" s="1054">
        <v>1230</v>
      </c>
      <c r="AC64" s="1098">
        <f t="shared" si="27"/>
        <v>1300.5120126033871</v>
      </c>
      <c r="AD64" s="1054">
        <f t="shared" si="28"/>
        <v>70.51201260338712</v>
      </c>
    </row>
    <row r="65" spans="1:30" hidden="1" x14ac:dyDescent="0.35">
      <c r="A65" s="179">
        <v>2</v>
      </c>
      <c r="B65" s="880" t="s">
        <v>22</v>
      </c>
      <c r="C65" s="986" t="s">
        <v>82</v>
      </c>
      <c r="D65" s="83" t="s">
        <v>81</v>
      </c>
      <c r="E65" s="399" t="str">
        <f>VLOOKUP(F65,'Quy đổi'!A:D,4,0)</f>
        <v>rHDPE thổi</v>
      </c>
      <c r="F65" s="986" t="s">
        <v>84</v>
      </c>
      <c r="G65" s="82" t="s">
        <v>83</v>
      </c>
      <c r="H65" s="257" t="str">
        <f>IFERROR(VLOOKUP(F65,'Quy đổi'!A:C,3,0),"-")</f>
        <v>HCBF-Whi-U</v>
      </c>
      <c r="I65" s="1098">
        <v>5500</v>
      </c>
      <c r="J65" s="1098">
        <v>188595000</v>
      </c>
      <c r="K65" s="1098">
        <v>188595000</v>
      </c>
      <c r="O65" s="1097">
        <f t="shared" si="3"/>
        <v>188595000</v>
      </c>
      <c r="P65" s="1096">
        <f t="shared" si="19"/>
        <v>34290</v>
      </c>
      <c r="Q65" s="1096">
        <f t="shared" si="20"/>
        <v>1350.5317053958252</v>
      </c>
      <c r="R65" s="1099">
        <v>131784881</v>
      </c>
      <c r="S65" s="1096">
        <f t="shared" si="5"/>
        <v>23960.887454545453</v>
      </c>
      <c r="T65" s="1096">
        <f t="shared" si="16"/>
        <v>977.99540630797765</v>
      </c>
      <c r="U65" s="1096">
        <f t="shared" si="21"/>
        <v>56810119</v>
      </c>
      <c r="V65" s="1102">
        <f t="shared" si="22"/>
        <v>0.30122812905962515</v>
      </c>
      <c r="W65" s="1098">
        <v>25390</v>
      </c>
      <c r="X65" s="1181">
        <f t="shared" si="29"/>
        <v>7427.9243796770379</v>
      </c>
      <c r="Y65" s="1181">
        <f t="shared" si="30"/>
        <v>7427.9243796770379</v>
      </c>
      <c r="Z65" s="1181">
        <f t="shared" si="31"/>
        <v>2237.499763686491</v>
      </c>
      <c r="AA65" s="1181">
        <f t="shared" si="32"/>
        <v>5190.4246159905479</v>
      </c>
      <c r="AB65" s="1054">
        <v>1350</v>
      </c>
      <c r="AC65" s="1098">
        <f t="shared" si="27"/>
        <v>1350.5317053958249</v>
      </c>
      <c r="AD65" s="1054">
        <f t="shared" si="28"/>
        <v>0.53170539582492893</v>
      </c>
    </row>
    <row r="66" spans="1:30" hidden="1" x14ac:dyDescent="0.35">
      <c r="A66" s="179">
        <v>2</v>
      </c>
      <c r="B66" s="880" t="s">
        <v>22</v>
      </c>
      <c r="C66" s="986" t="s">
        <v>82</v>
      </c>
      <c r="D66" s="83" t="s">
        <v>81</v>
      </c>
      <c r="E66" s="399" t="str">
        <f>VLOOKUP(F66,'Quy đổi'!A:D,4,0)</f>
        <v>rHDPE thổi</v>
      </c>
      <c r="F66" s="986" t="s">
        <v>75</v>
      </c>
      <c r="G66" s="82" t="s">
        <v>74</v>
      </c>
      <c r="H66" s="257" t="str">
        <f>IFERROR(VLOOKUP(F66,'Quy đổi'!A:C,3,0),"-")</f>
        <v>HCBF-Yel-U</v>
      </c>
      <c r="I66" s="1098">
        <v>44000</v>
      </c>
      <c r="J66" s="1098">
        <v>1508760000</v>
      </c>
      <c r="K66" s="1098">
        <v>1508760000</v>
      </c>
      <c r="O66" s="1097">
        <f t="shared" si="3"/>
        <v>1508760000</v>
      </c>
      <c r="P66" s="1096">
        <f t="shared" si="19"/>
        <v>34290</v>
      </c>
      <c r="Q66" s="1096">
        <f t="shared" si="20"/>
        <v>1350.5317053958252</v>
      </c>
      <c r="R66" s="1099">
        <v>1159244922</v>
      </c>
      <c r="S66" s="1096">
        <f t="shared" si="5"/>
        <v>26346.4755</v>
      </c>
      <c r="T66" s="1096">
        <f t="shared" si="16"/>
        <v>1075.3663469387755</v>
      </c>
      <c r="U66" s="1096">
        <f t="shared" si="21"/>
        <v>349515078</v>
      </c>
      <c r="V66" s="1102">
        <f t="shared" si="22"/>
        <v>0.23165717410323711</v>
      </c>
      <c r="W66" s="1098">
        <v>25390</v>
      </c>
      <c r="X66" s="1181">
        <f t="shared" si="29"/>
        <v>59423.395037416303</v>
      </c>
      <c r="Y66" s="1181">
        <f t="shared" si="30"/>
        <v>59423.395037416303</v>
      </c>
      <c r="Z66" s="1181">
        <f t="shared" si="31"/>
        <v>13765.855769988184</v>
      </c>
      <c r="AA66" s="1181">
        <f t="shared" si="32"/>
        <v>45657.539267428125</v>
      </c>
      <c r="AB66" s="1054">
        <v>1350</v>
      </c>
      <c r="AC66" s="1098">
        <f t="shared" si="27"/>
        <v>1350.5317053958249</v>
      </c>
      <c r="AD66" s="1054">
        <f t="shared" si="28"/>
        <v>0.53170539582492893</v>
      </c>
    </row>
    <row r="67" spans="1:30" hidden="1" x14ac:dyDescent="0.35">
      <c r="A67" s="179">
        <v>2</v>
      </c>
      <c r="B67" s="880" t="s">
        <v>22</v>
      </c>
      <c r="C67" s="986" t="s">
        <v>82</v>
      </c>
      <c r="D67" s="83" t="s">
        <v>81</v>
      </c>
      <c r="E67" s="399" t="str">
        <f>VLOOKUP(F67,'Quy đổi'!A:D,4,0)</f>
        <v>rHDPE thổi</v>
      </c>
      <c r="F67" s="986" t="s">
        <v>80</v>
      </c>
      <c r="G67" s="82" t="s">
        <v>79</v>
      </c>
      <c r="H67" s="257" t="str">
        <f>IFERROR(VLOOKUP(F67,'Quy đổi'!A:C,3,0),"-")</f>
        <v>PCF01</v>
      </c>
      <c r="I67" s="1098">
        <v>24000</v>
      </c>
      <c r="J67" s="1098">
        <v>853440000</v>
      </c>
      <c r="K67" s="1098">
        <v>853440000</v>
      </c>
      <c r="O67" s="1097">
        <f t="shared" si="3"/>
        <v>853440000</v>
      </c>
      <c r="P67" s="1096">
        <f t="shared" si="19"/>
        <v>35560</v>
      </c>
      <c r="Q67" s="1096">
        <f t="shared" si="20"/>
        <v>1400.5513981882632</v>
      </c>
      <c r="R67" s="1099">
        <v>676833471</v>
      </c>
      <c r="S67" s="1096">
        <f t="shared" si="5"/>
        <v>28201.394625000001</v>
      </c>
      <c r="T67" s="1096">
        <f t="shared" si="16"/>
        <v>1151.0773316326531</v>
      </c>
      <c r="U67" s="1096">
        <f t="shared" si="21"/>
        <v>176606529</v>
      </c>
      <c r="V67" s="1102">
        <f t="shared" si="22"/>
        <v>0.20693490930821148</v>
      </c>
      <c r="W67" s="1098">
        <v>25390</v>
      </c>
      <c r="X67" s="1181">
        <f t="shared" si="29"/>
        <v>33613.233556518317</v>
      </c>
      <c r="Y67" s="1181">
        <f t="shared" si="30"/>
        <v>33613.233556518317</v>
      </c>
      <c r="Z67" s="1181">
        <f t="shared" si="31"/>
        <v>6955.7514375738483</v>
      </c>
      <c r="AA67" s="1181">
        <f t="shared" si="32"/>
        <v>26657.482118944466</v>
      </c>
      <c r="AB67" s="1054">
        <v>1400</v>
      </c>
      <c r="AC67" s="1098">
        <f t="shared" si="27"/>
        <v>1400.5513981882632</v>
      </c>
      <c r="AD67" s="1054">
        <f t="shared" si="28"/>
        <v>0.55139818826319242</v>
      </c>
    </row>
    <row r="68" spans="1:30" hidden="1" x14ac:dyDescent="0.35">
      <c r="A68" s="179">
        <v>2</v>
      </c>
      <c r="B68" s="880" t="s">
        <v>22</v>
      </c>
      <c r="C68" s="986" t="s">
        <v>235</v>
      </c>
      <c r="D68" s="83" t="s">
        <v>236</v>
      </c>
      <c r="E68" s="399" t="str">
        <f>VLOOKUP(F68,'Quy đổi'!A:D,4,0)</f>
        <v>rPET</v>
      </c>
      <c r="F68" s="986" t="s">
        <v>110</v>
      </c>
      <c r="G68" s="82" t="s">
        <v>109</v>
      </c>
      <c r="H68" s="257" t="str">
        <f>IFERROR(VLOOKUP(F68,'Quy đổi'!A:C,3,0),"-")</f>
        <v>WSS01G</v>
      </c>
      <c r="I68" s="1098">
        <v>1100</v>
      </c>
      <c r="J68" s="1098">
        <v>34230900</v>
      </c>
      <c r="K68" s="1098">
        <v>34230900</v>
      </c>
      <c r="O68" s="1097">
        <f t="shared" si="3"/>
        <v>34230900</v>
      </c>
      <c r="P68" s="1096">
        <f t="shared" si="19"/>
        <v>31119</v>
      </c>
      <c r="Q68" s="1096">
        <f t="shared" si="20"/>
        <v>1225.6400157542339</v>
      </c>
      <c r="R68" s="1099">
        <v>27566483</v>
      </c>
      <c r="S68" s="1096">
        <f t="shared" si="5"/>
        <v>25060.439090909091</v>
      </c>
      <c r="T68" s="1096">
        <f t="shared" si="16"/>
        <v>1022.875064935065</v>
      </c>
      <c r="U68" s="1096">
        <f t="shared" si="21"/>
        <v>6664417</v>
      </c>
      <c r="V68" s="1102">
        <f t="shared" si="22"/>
        <v>0.19469008994797099</v>
      </c>
      <c r="W68" s="1098">
        <v>25390</v>
      </c>
      <c r="X68" s="1181">
        <f t="shared" si="29"/>
        <v>1348.2040173296573</v>
      </c>
      <c r="Y68" s="1181">
        <f t="shared" si="30"/>
        <v>1348.2040173296573</v>
      </c>
      <c r="Z68" s="1181">
        <f t="shared" si="31"/>
        <v>262.48196140212684</v>
      </c>
      <c r="AA68" s="1181">
        <f t="shared" si="32"/>
        <v>1085.7220559275306</v>
      </c>
      <c r="AB68" s="1054">
        <v>1230</v>
      </c>
      <c r="AC68" s="1098">
        <f t="shared" si="27"/>
        <v>1225.6400157542339</v>
      </c>
      <c r="AD68" s="1054">
        <f t="shared" si="28"/>
        <v>-4.3599842457660998</v>
      </c>
    </row>
    <row r="69" spans="1:30" hidden="1" x14ac:dyDescent="0.35">
      <c r="A69" s="179">
        <v>2</v>
      </c>
      <c r="B69" s="880" t="s">
        <v>22</v>
      </c>
      <c r="C69" s="986" t="s">
        <v>89</v>
      </c>
      <c r="D69" s="83" t="s">
        <v>227</v>
      </c>
      <c r="E69" s="399" t="str">
        <f>VLOOKUP(F69,'Quy đổi'!A:D,4,0)</f>
        <v>Xơ sợi</v>
      </c>
      <c r="F69" s="986" t="s">
        <v>463</v>
      </c>
      <c r="G69" s="82" t="s">
        <v>464</v>
      </c>
      <c r="H69" s="257" t="str">
        <f>IFERROR(VLOOKUP(F69,'Quy đổi'!A:C,3,0),"-")</f>
        <v>WSS05SB-2</v>
      </c>
      <c r="I69" s="1098">
        <v>11000</v>
      </c>
      <c r="J69" s="1098">
        <v>209000000</v>
      </c>
      <c r="K69" s="1098">
        <v>209000000</v>
      </c>
      <c r="O69" s="1097">
        <f t="shared" si="3"/>
        <v>209000000</v>
      </c>
      <c r="P69" s="1096">
        <f t="shared" si="19"/>
        <v>19000</v>
      </c>
      <c r="Q69" s="1096">
        <f>P69/W69*1000</f>
        <v>748.32611264277273</v>
      </c>
      <c r="R69" s="1099">
        <v>223727199</v>
      </c>
      <c r="S69" s="1096">
        <f t="shared" si="5"/>
        <v>20338.836272727272</v>
      </c>
      <c r="T69" s="1096">
        <f t="shared" si="16"/>
        <v>830.15658256029678</v>
      </c>
      <c r="U69" s="1096">
        <f t="shared" si="21"/>
        <v>-14727199</v>
      </c>
      <c r="V69" s="1102">
        <f t="shared" si="22"/>
        <v>-7.0465066985645933E-2</v>
      </c>
      <c r="W69" s="1098">
        <v>25390</v>
      </c>
      <c r="X69" s="1181">
        <f t="shared" si="29"/>
        <v>8231.5872390705008</v>
      </c>
      <c r="Y69" s="1181">
        <f t="shared" si="30"/>
        <v>8231.5872390705008</v>
      </c>
      <c r="Z69" s="1181">
        <f t="shared" si="31"/>
        <v>-580.039346199291</v>
      </c>
      <c r="AA69" s="1181">
        <f>R69/W69</f>
        <v>8811.6265852697907</v>
      </c>
      <c r="AB69" s="1054">
        <v>1000</v>
      </c>
      <c r="AC69" s="1098">
        <f t="shared" si="27"/>
        <v>748.32611264277284</v>
      </c>
      <c r="AD69" s="1054">
        <f t="shared" si="28"/>
        <v>-251.67388735722716</v>
      </c>
    </row>
    <row r="70" spans="1:30" hidden="1" x14ac:dyDescent="0.35">
      <c r="A70" s="179">
        <v>2</v>
      </c>
      <c r="B70" s="880" t="s">
        <v>22</v>
      </c>
      <c r="C70" s="986" t="s">
        <v>150</v>
      </c>
      <c r="D70" s="83" t="s">
        <v>149</v>
      </c>
      <c r="E70" s="399" t="str">
        <f>VLOOKUP(F70,'Quy đổi'!A:D,4,0)</f>
        <v>rPET</v>
      </c>
      <c r="F70" s="986" t="s">
        <v>110</v>
      </c>
      <c r="G70" s="82" t="s">
        <v>109</v>
      </c>
      <c r="H70" s="257" t="str">
        <f>IFERROR(VLOOKUP(F70,'Quy đổi'!A:C,3,0),"-")</f>
        <v>WSS01G</v>
      </c>
      <c r="I70" s="1098">
        <v>77000</v>
      </c>
      <c r="J70" s="1098">
        <v>2410180080</v>
      </c>
      <c r="K70" s="1098">
        <v>2410180080</v>
      </c>
      <c r="O70" s="1097">
        <f t="shared" ref="O70:O133" si="33">K70-SUM(L70:N70)</f>
        <v>2410180080</v>
      </c>
      <c r="P70" s="1096">
        <f t="shared" si="19"/>
        <v>31301.040000000001</v>
      </c>
      <c r="Q70" s="1096">
        <f t="shared" si="20"/>
        <v>1232.8097676250493</v>
      </c>
      <c r="R70" s="1099">
        <v>1929653782</v>
      </c>
      <c r="S70" s="1096">
        <f t="shared" ref="S70:S105" si="34">R70/I70</f>
        <v>25060.438727272729</v>
      </c>
      <c r="T70" s="1096">
        <f t="shared" si="16"/>
        <v>1022.8750500927645</v>
      </c>
      <c r="U70" s="1096">
        <f t="shared" si="21"/>
        <v>480526298</v>
      </c>
      <c r="V70" s="1102">
        <f t="shared" si="22"/>
        <v>0.19937360780112331</v>
      </c>
      <c r="W70" s="1098">
        <v>25390</v>
      </c>
      <c r="X70" s="1181">
        <f t="shared" si="29"/>
        <v>94926.352107128798</v>
      </c>
      <c r="Y70" s="1181">
        <f t="shared" si="30"/>
        <v>94926.352107128798</v>
      </c>
      <c r="Z70" s="1181">
        <f t="shared" si="31"/>
        <v>18925.809294998031</v>
      </c>
      <c r="AA70" s="1181">
        <f t="shared" si="32"/>
        <v>76000.542812130763</v>
      </c>
      <c r="AB70" s="1054">
        <v>1230</v>
      </c>
      <c r="AC70" s="1098">
        <f t="shared" si="27"/>
        <v>1232.8097676250493</v>
      </c>
      <c r="AD70" s="1054">
        <f t="shared" si="28"/>
        <v>2.8097676250492896</v>
      </c>
    </row>
    <row r="71" spans="1:30" hidden="1" x14ac:dyDescent="0.35">
      <c r="A71" s="179">
        <v>2</v>
      </c>
      <c r="B71" s="880" t="s">
        <v>22</v>
      </c>
      <c r="C71" s="986" t="s">
        <v>71</v>
      </c>
      <c r="D71" s="83" t="s">
        <v>70</v>
      </c>
      <c r="E71" s="399" t="str">
        <f>VLOOKUP(F71,'Quy đổi'!A:D,4,0)</f>
        <v>rHDPE thổi</v>
      </c>
      <c r="F71" s="986" t="s">
        <v>187</v>
      </c>
      <c r="G71" s="82" t="s">
        <v>188</v>
      </c>
      <c r="H71" s="257" t="str">
        <f>IFERROR(VLOOKUP(F71,'Quy đổi'!A:C,3,0),"-")</f>
        <v>rHDB03N02</v>
      </c>
      <c r="I71" s="1098">
        <v>22000</v>
      </c>
      <c r="J71" s="1098">
        <v>759102300</v>
      </c>
      <c r="K71" s="1098">
        <v>759102300</v>
      </c>
      <c r="O71" s="1097">
        <f t="shared" si="33"/>
        <v>759102300</v>
      </c>
      <c r="P71" s="1096">
        <f t="shared" si="19"/>
        <v>34504.65</v>
      </c>
      <c r="Q71" s="1096">
        <f t="shared" si="20"/>
        <v>1358.9858211894448</v>
      </c>
      <c r="R71" s="1099">
        <v>1170426163</v>
      </c>
      <c r="S71" s="1096">
        <f t="shared" si="34"/>
        <v>53201.189227272727</v>
      </c>
      <c r="T71" s="1096">
        <f t="shared" si="16"/>
        <v>2171.4771113172542</v>
      </c>
      <c r="U71" s="1096">
        <f t="shared" si="21"/>
        <v>-411323863</v>
      </c>
      <c r="V71" s="1102">
        <f t="shared" si="22"/>
        <v>-0.54185564053751389</v>
      </c>
      <c r="W71" s="1098">
        <v>25390</v>
      </c>
      <c r="X71" s="1181">
        <f t="shared" si="29"/>
        <v>29897.688066167782</v>
      </c>
      <c r="Y71" s="1181">
        <f t="shared" si="30"/>
        <v>29897.688066167782</v>
      </c>
      <c r="Z71" s="1181">
        <f t="shared" si="31"/>
        <v>-16200.230917684128</v>
      </c>
      <c r="AA71" s="1181">
        <f t="shared" si="32"/>
        <v>46097.918983851909</v>
      </c>
      <c r="AB71" s="1054">
        <v>1350</v>
      </c>
      <c r="AC71" s="1098">
        <f t="shared" si="27"/>
        <v>1358.9858211894446</v>
      </c>
      <c r="AD71" s="1054">
        <f t="shared" si="28"/>
        <v>8.9858211894445503</v>
      </c>
    </row>
    <row r="72" spans="1:30" hidden="1" x14ac:dyDescent="0.35">
      <c r="A72" s="179">
        <v>2</v>
      </c>
      <c r="B72" s="880" t="s">
        <v>22</v>
      </c>
      <c r="C72" s="986" t="s">
        <v>351</v>
      </c>
      <c r="D72" s="83" t="s">
        <v>352</v>
      </c>
      <c r="E72" s="399" t="str">
        <f>VLOOKUP(F72,'Quy đổi'!A:D,4,0)</f>
        <v>rPET</v>
      </c>
      <c r="F72" s="986" t="s">
        <v>100</v>
      </c>
      <c r="G72" s="82" t="s">
        <v>99</v>
      </c>
      <c r="H72" s="257" t="str">
        <f>IFERROR(VLOOKUP(F72,'Quy đổi'!A:C,3,0),"-")</f>
        <v>iSS01G</v>
      </c>
      <c r="I72" s="1098">
        <v>4400</v>
      </c>
      <c r="J72" s="1098">
        <v>145072928</v>
      </c>
      <c r="K72" s="1098">
        <v>145072928</v>
      </c>
      <c r="O72" s="1097">
        <f t="shared" si="33"/>
        <v>145072928</v>
      </c>
      <c r="P72" s="1096">
        <f t="shared" si="19"/>
        <v>32971.120000000003</v>
      </c>
      <c r="Q72" s="1096">
        <f t="shared" si="20"/>
        <v>1298.5868452146517</v>
      </c>
      <c r="R72" s="1099">
        <v>110571504</v>
      </c>
      <c r="S72" s="1096">
        <f t="shared" si="34"/>
        <v>25129.887272727272</v>
      </c>
      <c r="T72" s="1096">
        <f t="shared" si="16"/>
        <v>1025.7096846011132</v>
      </c>
      <c r="U72" s="1096">
        <f t="shared" si="21"/>
        <v>34501424</v>
      </c>
      <c r="V72" s="1102">
        <f t="shared" si="22"/>
        <v>0.23782124256842738</v>
      </c>
      <c r="W72" s="1098">
        <v>25390</v>
      </c>
      <c r="X72" s="1181">
        <f t="shared" si="29"/>
        <v>5713.7821189444667</v>
      </c>
      <c r="Y72" s="1181">
        <f t="shared" si="30"/>
        <v>5713.7821189444667</v>
      </c>
      <c r="Z72" s="1181">
        <f t="shared" si="31"/>
        <v>1358.8587632926349</v>
      </c>
      <c r="AA72" s="1181">
        <f t="shared" si="32"/>
        <v>4354.9233556518311</v>
      </c>
      <c r="AB72" s="1054">
        <v>1260</v>
      </c>
      <c r="AC72" s="1098">
        <f t="shared" si="27"/>
        <v>1298.5868452146517</v>
      </c>
      <c r="AD72" s="1054">
        <f t="shared" si="28"/>
        <v>38.586845214651703</v>
      </c>
    </row>
    <row r="73" spans="1:30" hidden="1" x14ac:dyDescent="0.35">
      <c r="A73" s="179">
        <v>2</v>
      </c>
      <c r="B73" s="880" t="s">
        <v>22</v>
      </c>
      <c r="C73" s="986" t="s">
        <v>13</v>
      </c>
      <c r="D73" s="83" t="s">
        <v>12</v>
      </c>
      <c r="E73" s="399" t="str">
        <f>VLOOKUP(F73,'Quy đổi'!A:D,4,0)</f>
        <v>rPET</v>
      </c>
      <c r="F73" s="986" t="s">
        <v>110</v>
      </c>
      <c r="G73" s="82" t="s">
        <v>109</v>
      </c>
      <c r="H73" s="257" t="str">
        <f>IFERROR(VLOOKUP(F73,'Quy đổi'!A:C,3,0),"-")</f>
        <v>WSS01G</v>
      </c>
      <c r="I73" s="1098">
        <v>3300</v>
      </c>
      <c r="J73" s="1098">
        <v>103935678</v>
      </c>
      <c r="K73" s="1098">
        <v>103935678</v>
      </c>
      <c r="O73" s="1097">
        <f t="shared" si="33"/>
        <v>103935678</v>
      </c>
      <c r="P73" s="1096">
        <f t="shared" si="19"/>
        <v>31495.66</v>
      </c>
      <c r="Q73" s="1096">
        <f t="shared" si="20"/>
        <v>1240.4749901536038</v>
      </c>
      <c r="R73" s="1099">
        <v>82699448</v>
      </c>
      <c r="S73" s="1096">
        <f t="shared" si="34"/>
        <v>25060.438787878789</v>
      </c>
      <c r="T73" s="1096">
        <f t="shared" si="16"/>
        <v>1022.8750525664811</v>
      </c>
      <c r="U73" s="1096">
        <f t="shared" si="21"/>
        <v>21236230</v>
      </c>
      <c r="V73" s="1102">
        <f t="shared" si="22"/>
        <v>0.2043208877706075</v>
      </c>
      <c r="W73" s="1098">
        <v>25390</v>
      </c>
      <c r="X73" s="1181">
        <f t="shared" si="29"/>
        <v>4093.5674675068926</v>
      </c>
      <c r="Y73" s="1181">
        <f t="shared" si="30"/>
        <v>4093.5674675068926</v>
      </c>
      <c r="Z73" s="1181">
        <f t="shared" si="31"/>
        <v>836.40133910988573</v>
      </c>
      <c r="AA73" s="1181">
        <f t="shared" si="32"/>
        <v>3257.1661283970066</v>
      </c>
      <c r="AB73" s="1054">
        <v>1230</v>
      </c>
      <c r="AC73" s="1098">
        <f t="shared" si="27"/>
        <v>1240.4749901536038</v>
      </c>
      <c r="AD73" s="1054">
        <f t="shared" si="28"/>
        <v>10.474990153603812</v>
      </c>
    </row>
    <row r="74" spans="1:30" hidden="1" x14ac:dyDescent="0.35">
      <c r="A74" s="179">
        <v>2</v>
      </c>
      <c r="B74" s="880" t="s">
        <v>22</v>
      </c>
      <c r="C74" s="986" t="s">
        <v>13</v>
      </c>
      <c r="D74" s="83" t="s">
        <v>12</v>
      </c>
      <c r="E74" s="399" t="str">
        <f>VLOOKUP(F74,'Quy đổi'!A:D,4,0)</f>
        <v>rPP</v>
      </c>
      <c r="F74" s="986" t="s">
        <v>11</v>
      </c>
      <c r="G74" s="82" t="s">
        <v>10</v>
      </c>
      <c r="H74" s="257" t="str">
        <f>IFERROR(VLOOKUP(F74,'Quy đổi'!A:C,3,0),"-")</f>
        <v>rPP20B01</v>
      </c>
      <c r="I74" s="1098">
        <v>500</v>
      </c>
      <c r="J74" s="1098">
        <v>14601680</v>
      </c>
      <c r="K74" s="1098">
        <v>14601680</v>
      </c>
      <c r="O74" s="1097">
        <f t="shared" si="33"/>
        <v>14601680</v>
      </c>
      <c r="P74" s="1096">
        <f t="shared" si="19"/>
        <v>29203.360000000001</v>
      </c>
      <c r="Q74" s="1096">
        <f t="shared" si="20"/>
        <v>1150.1914139424971</v>
      </c>
      <c r="R74" s="1099">
        <v>10713486</v>
      </c>
      <c r="S74" s="1096">
        <f t="shared" si="34"/>
        <v>21426.972000000002</v>
      </c>
      <c r="T74" s="1096">
        <f t="shared" si="16"/>
        <v>874.57028571428577</v>
      </c>
      <c r="U74" s="1096">
        <f t="shared" si="21"/>
        <v>3888194</v>
      </c>
      <c r="V74" s="1102">
        <f t="shared" si="22"/>
        <v>0.26628401663370244</v>
      </c>
      <c r="W74" s="1098">
        <v>25390</v>
      </c>
      <c r="X74" s="1181">
        <f t="shared" si="29"/>
        <v>575.09570697124855</v>
      </c>
      <c r="Y74" s="1181">
        <f t="shared" si="30"/>
        <v>575.09570697124855</v>
      </c>
      <c r="Z74" s="1181">
        <f t="shared" si="31"/>
        <v>153.13879480110279</v>
      </c>
      <c r="AA74" s="1181">
        <f t="shared" si="32"/>
        <v>421.9569121701457</v>
      </c>
      <c r="AB74" s="1054">
        <v>820</v>
      </c>
      <c r="AC74" s="1098">
        <f t="shared" si="27"/>
        <v>1150.1914139424971</v>
      </c>
      <c r="AD74" s="1054">
        <f t="shared" si="28"/>
        <v>330.19141394249709</v>
      </c>
    </row>
    <row r="75" spans="1:30" hidden="1" x14ac:dyDescent="0.35">
      <c r="A75" s="179">
        <v>2</v>
      </c>
      <c r="B75" s="880" t="s">
        <v>22</v>
      </c>
      <c r="C75" s="986" t="s">
        <v>54</v>
      </c>
      <c r="D75" s="83" t="s">
        <v>53</v>
      </c>
      <c r="E75" s="399" t="str">
        <f>VLOOKUP(F75,'Quy đổi'!A:D,4,0)</f>
        <v>rHDPE thổi</v>
      </c>
      <c r="F75" s="986" t="s">
        <v>52</v>
      </c>
      <c r="G75" s="82" t="s">
        <v>51</v>
      </c>
      <c r="H75" s="257" t="str">
        <f>IFERROR(VLOOKUP(F75,'Quy đổi'!A:C,3,0),"-")</f>
        <v>rHDB04B01</v>
      </c>
      <c r="I75" s="1098">
        <v>11000</v>
      </c>
      <c r="J75" s="1098">
        <v>187000000</v>
      </c>
      <c r="K75" s="1098">
        <v>187000000</v>
      </c>
      <c r="O75" s="1097">
        <f t="shared" si="33"/>
        <v>187000000</v>
      </c>
      <c r="P75" s="1096">
        <f t="shared" si="19"/>
        <v>17000</v>
      </c>
      <c r="Q75" s="1096">
        <f t="shared" si="20"/>
        <v>669.55494289090188</v>
      </c>
      <c r="R75" s="1099">
        <v>255357507</v>
      </c>
      <c r="S75" s="1096">
        <f t="shared" si="34"/>
        <v>23214.318818181819</v>
      </c>
      <c r="T75" s="1096">
        <f t="shared" si="16"/>
        <v>947.52321706864564</v>
      </c>
      <c r="U75" s="1096">
        <f t="shared" si="21"/>
        <v>-68357507</v>
      </c>
      <c r="V75" s="1102">
        <f t="shared" si="22"/>
        <v>-0.36554816577540106</v>
      </c>
      <c r="W75" s="1098">
        <v>25390</v>
      </c>
      <c r="X75" s="1181">
        <f t="shared" si="29"/>
        <v>7365.104371799921</v>
      </c>
      <c r="Y75" s="1181">
        <f t="shared" si="30"/>
        <v>7365.104371799921</v>
      </c>
      <c r="Z75" s="1181">
        <f t="shared" si="31"/>
        <v>-2692.3003938558486</v>
      </c>
      <c r="AA75" s="1181">
        <f t="shared" si="32"/>
        <v>10057.40476565577</v>
      </c>
      <c r="AB75" s="1054">
        <v>950</v>
      </c>
      <c r="AC75" s="1098">
        <f t="shared" si="27"/>
        <v>669.55494289090188</v>
      </c>
      <c r="AD75" s="1054">
        <f t="shared" si="28"/>
        <v>-280.44505710909812</v>
      </c>
    </row>
    <row r="76" spans="1:30" hidden="1" x14ac:dyDescent="0.35">
      <c r="A76" s="179">
        <v>2</v>
      </c>
      <c r="B76" s="880" t="s">
        <v>22</v>
      </c>
      <c r="C76" s="986" t="s">
        <v>511</v>
      </c>
      <c r="D76" s="83" t="s">
        <v>512</v>
      </c>
      <c r="E76" s="399" t="str">
        <f>VLOOKUP(F76,'Quy đổi'!A:D,4,0)</f>
        <v>Xơ sợi</v>
      </c>
      <c r="F76" s="986" t="s">
        <v>87</v>
      </c>
      <c r="G76" s="82" t="s">
        <v>86</v>
      </c>
      <c r="H76" s="257" t="str">
        <f>IFERROR(VLOOKUP(F76,'Quy đổi'!A:C,3,0),"-")</f>
        <v>WSS05SB</v>
      </c>
      <c r="I76" s="1098">
        <v>5500</v>
      </c>
      <c r="J76" s="1098">
        <v>105050000</v>
      </c>
      <c r="K76" s="1098">
        <v>105050000</v>
      </c>
      <c r="O76" s="1097">
        <f t="shared" si="33"/>
        <v>105050000</v>
      </c>
      <c r="P76" s="1096">
        <f>O76/I76</f>
        <v>19100</v>
      </c>
      <c r="Q76" s="1096">
        <f>P76/W76*1000</f>
        <v>752.26467113036631</v>
      </c>
      <c r="R76" s="1099">
        <v>125207151</v>
      </c>
      <c r="S76" s="1096">
        <f t="shared" si="34"/>
        <v>22764.936545454544</v>
      </c>
      <c r="T76" s="1096">
        <f t="shared" si="16"/>
        <v>929.18108348794055</v>
      </c>
      <c r="U76" s="1096">
        <f t="shared" si="21"/>
        <v>-20157151</v>
      </c>
      <c r="V76" s="1102">
        <f t="shared" si="22"/>
        <v>-0.19188149452641598</v>
      </c>
      <c r="W76" s="1098">
        <v>25390</v>
      </c>
      <c r="X76" s="1181">
        <f t="shared" si="29"/>
        <v>4137.4556912170146</v>
      </c>
      <c r="Y76" s="1181">
        <f t="shared" si="30"/>
        <v>4137.4556912170146</v>
      </c>
      <c r="Z76" s="1181">
        <f t="shared" si="31"/>
        <v>-793.90118156754625</v>
      </c>
      <c r="AA76" s="1181">
        <f t="shared" si="32"/>
        <v>4931.3568727845604</v>
      </c>
      <c r="AB76" s="1054">
        <v>950</v>
      </c>
      <c r="AC76" s="1098">
        <f t="shared" si="27"/>
        <v>752.26467113036631</v>
      </c>
      <c r="AD76" s="1054">
        <f t="shared" si="28"/>
        <v>-197.73532886963369</v>
      </c>
    </row>
    <row r="77" spans="1:30" hidden="1" x14ac:dyDescent="0.35">
      <c r="A77" s="179">
        <v>2</v>
      </c>
      <c r="B77" s="880" t="s">
        <v>22</v>
      </c>
      <c r="C77" s="986" t="s">
        <v>456</v>
      </c>
      <c r="D77" s="83" t="s">
        <v>457</v>
      </c>
      <c r="E77" s="399" t="str">
        <f>VLOOKUP(F77,'Quy đổi'!A:D,4,0)</f>
        <v>rHDPE ép</v>
      </c>
      <c r="F77" s="986" t="s">
        <v>37</v>
      </c>
      <c r="G77" s="82" t="s">
        <v>36</v>
      </c>
      <c r="H77" s="257" t="str">
        <f>IFERROR(VLOOKUP(F77,'Quy đổi'!A:C,3,0),"-")</f>
        <v>Vảy HD Ép Đỏ</v>
      </c>
      <c r="I77" s="1098">
        <v>9750</v>
      </c>
      <c r="J77" s="1098">
        <v>153472222</v>
      </c>
      <c r="K77" s="1098">
        <v>153472222</v>
      </c>
      <c r="L77" s="1097"/>
      <c r="O77" s="1097">
        <f t="shared" si="33"/>
        <v>153472222</v>
      </c>
      <c r="P77" s="1096">
        <f t="shared" si="19"/>
        <v>15740.740717948718</v>
      </c>
      <c r="Q77" s="1096">
        <f t="shared" si="20"/>
        <v>619.95827955686173</v>
      </c>
      <c r="R77" s="1099">
        <v>279580921</v>
      </c>
      <c r="S77" s="1096">
        <f t="shared" si="34"/>
        <v>28674.966256410258</v>
      </c>
      <c r="T77" s="1096">
        <f t="shared" si="16"/>
        <v>1170.4067859759289</v>
      </c>
      <c r="U77" s="1096">
        <f t="shared" si="21"/>
        <v>-126108699</v>
      </c>
      <c r="V77" s="1102">
        <f t="shared" si="22"/>
        <v>-0.821703741280295</v>
      </c>
      <c r="W77" s="1098">
        <v>25390</v>
      </c>
      <c r="X77" s="1181">
        <f t="shared" si="29"/>
        <v>6044.5932256794013</v>
      </c>
      <c r="Y77" s="1181">
        <f t="shared" si="30"/>
        <v>6044.5932256794013</v>
      </c>
      <c r="Z77" s="1181">
        <f t="shared" si="31"/>
        <v>-4966.864868058291</v>
      </c>
      <c r="AA77" s="1181">
        <f t="shared" si="32"/>
        <v>11011.458093737692</v>
      </c>
      <c r="AB77" s="1054">
        <v>750</v>
      </c>
      <c r="AC77" s="1098">
        <f t="shared" si="27"/>
        <v>619.95827955686173</v>
      </c>
      <c r="AD77" s="1054">
        <f t="shared" si="28"/>
        <v>-130.04172044313827</v>
      </c>
    </row>
    <row r="78" spans="1:30" hidden="1" x14ac:dyDescent="0.35">
      <c r="A78" s="179">
        <v>2</v>
      </c>
      <c r="B78" s="880" t="s">
        <v>22</v>
      </c>
      <c r="C78" s="986" t="s">
        <v>456</v>
      </c>
      <c r="D78" s="83" t="s">
        <v>457</v>
      </c>
      <c r="E78" s="399" t="str">
        <f>VLOOKUP(F78,'Quy đổi'!A:D,4,0)</f>
        <v>rHDPE ép</v>
      </c>
      <c r="F78" s="986" t="s">
        <v>39</v>
      </c>
      <c r="G78" s="82" t="s">
        <v>38</v>
      </c>
      <c r="H78" s="257" t="str">
        <f>IFERROR(VLOOKUP(F78,'Quy đổi'!A:C,3,0),"-")</f>
        <v>Vảy HD Ép Vàng</v>
      </c>
      <c r="I78" s="1098">
        <v>1500</v>
      </c>
      <c r="J78" s="1098">
        <v>23611111</v>
      </c>
      <c r="K78" s="1098">
        <v>23611111</v>
      </c>
      <c r="L78" s="1097"/>
      <c r="O78" s="1097">
        <f t="shared" si="33"/>
        <v>23611111</v>
      </c>
      <c r="P78" s="1096">
        <f t="shared" si="19"/>
        <v>15740.740666666667</v>
      </c>
      <c r="Q78" s="1096">
        <f t="shared" si="20"/>
        <v>619.95827753708807</v>
      </c>
      <c r="R78" s="1099">
        <v>37254059</v>
      </c>
      <c r="S78" s="1096">
        <f t="shared" si="34"/>
        <v>24836.039333333334</v>
      </c>
      <c r="T78" s="1096">
        <f t="shared" si="16"/>
        <v>1013.7158911564626</v>
      </c>
      <c r="U78" s="1096">
        <f t="shared" si="21"/>
        <v>-13642948</v>
      </c>
      <c r="V78" s="1102">
        <f t="shared" si="22"/>
        <v>-0.57781897683679517</v>
      </c>
      <c r="W78" s="1098">
        <v>25390</v>
      </c>
      <c r="X78" s="1181">
        <f t="shared" si="29"/>
        <v>929.93741630563215</v>
      </c>
      <c r="Y78" s="1181">
        <f t="shared" si="30"/>
        <v>929.93741630563215</v>
      </c>
      <c r="Z78" s="1181">
        <f t="shared" si="31"/>
        <v>-537.33548641197319</v>
      </c>
      <c r="AA78" s="1181">
        <f t="shared" si="32"/>
        <v>1467.2729027176053</v>
      </c>
      <c r="AB78" s="1054">
        <v>750</v>
      </c>
      <c r="AC78" s="1098">
        <f t="shared" si="27"/>
        <v>619.95827753708807</v>
      </c>
      <c r="AD78" s="1054">
        <f t="shared" si="28"/>
        <v>-130.04172246291193</v>
      </c>
    </row>
    <row r="79" spans="1:30" hidden="1" x14ac:dyDescent="0.35">
      <c r="A79" s="179">
        <v>2</v>
      </c>
      <c r="B79" s="880" t="s">
        <v>22</v>
      </c>
      <c r="C79" s="986" t="s">
        <v>456</v>
      </c>
      <c r="D79" s="83" t="s">
        <v>457</v>
      </c>
      <c r="E79" s="399" t="str">
        <f>VLOOKUP(F79,'Quy đổi'!A:D,4,0)</f>
        <v>rHDPE ép</v>
      </c>
      <c r="F79" s="986" t="s">
        <v>43</v>
      </c>
      <c r="G79" s="82" t="s">
        <v>42</v>
      </c>
      <c r="H79" s="257" t="str">
        <f>IFERROR(VLOOKUP(F79,'Quy đổi'!A:C,3,0),"-")</f>
        <v>Vảy HD Ép dương</v>
      </c>
      <c r="I79" s="1098">
        <v>750</v>
      </c>
      <c r="J79" s="1098">
        <v>11805556</v>
      </c>
      <c r="K79" s="1098">
        <v>11805556</v>
      </c>
      <c r="L79" s="1097"/>
      <c r="O79" s="1097">
        <f t="shared" si="33"/>
        <v>11805556</v>
      </c>
      <c r="P79" s="1096">
        <f t="shared" si="19"/>
        <v>15740.741333333333</v>
      </c>
      <c r="Q79" s="1096">
        <f t="shared" si="20"/>
        <v>619.95830379414463</v>
      </c>
      <c r="R79" s="1099">
        <v>18714634</v>
      </c>
      <c r="S79" s="1096">
        <f t="shared" si="34"/>
        <v>24952.845333333335</v>
      </c>
      <c r="T79" s="1096">
        <f t="shared" si="16"/>
        <v>1018.4834829931973</v>
      </c>
      <c r="U79" s="1096">
        <f t="shared" si="21"/>
        <v>-6909078</v>
      </c>
      <c r="V79" s="1102">
        <f t="shared" si="22"/>
        <v>-0.58523952620274722</v>
      </c>
      <c r="W79" s="1098">
        <v>25390</v>
      </c>
      <c r="X79" s="1181">
        <f t="shared" si="29"/>
        <v>464.9687278456085</v>
      </c>
      <c r="Y79" s="1181">
        <f t="shared" si="30"/>
        <v>464.9687278456085</v>
      </c>
      <c r="Z79" s="1181">
        <f t="shared" si="31"/>
        <v>-272.11807798345808</v>
      </c>
      <c r="AA79" s="1181">
        <f t="shared" si="32"/>
        <v>737.08680582906652</v>
      </c>
      <c r="AB79" s="1054">
        <v>750</v>
      </c>
      <c r="AC79" s="1098">
        <f t="shared" si="27"/>
        <v>619.95830379414463</v>
      </c>
      <c r="AD79" s="1054">
        <f t="shared" si="28"/>
        <v>-130.04169620585537</v>
      </c>
    </row>
    <row r="80" spans="1:30" hidden="1" x14ac:dyDescent="0.35">
      <c r="A80" s="179">
        <v>2</v>
      </c>
      <c r="B80" s="880" t="s">
        <v>22</v>
      </c>
      <c r="C80" s="986" t="s">
        <v>513</v>
      </c>
      <c r="D80" s="83" t="s">
        <v>514</v>
      </c>
      <c r="E80" s="399" t="str">
        <f>VLOOKUP(F80,'Quy đổi'!A:D,4,0)</f>
        <v>rPP</v>
      </c>
      <c r="F80" s="986" t="s">
        <v>538</v>
      </c>
      <c r="G80" s="82" t="s">
        <v>539</v>
      </c>
      <c r="H80" s="257" t="str">
        <f>IFERROR(VLOOKUP(F80,'Quy đổi'!A:C,3,0),"-")</f>
        <v>rPP20R02</v>
      </c>
      <c r="I80" s="1098">
        <v>5</v>
      </c>
      <c r="J80" s="1098">
        <v>105000</v>
      </c>
      <c r="K80" s="1098">
        <v>105000</v>
      </c>
      <c r="O80" s="1097">
        <f t="shared" si="33"/>
        <v>105000</v>
      </c>
      <c r="P80" s="1096">
        <f t="shared" si="19"/>
        <v>21000</v>
      </c>
      <c r="Q80" s="1096">
        <f t="shared" si="20"/>
        <v>827.09728239464357</v>
      </c>
      <c r="R80" s="1099">
        <v>109791</v>
      </c>
      <c r="S80" s="1096">
        <f t="shared" si="34"/>
        <v>21958.2</v>
      </c>
      <c r="T80" s="1096">
        <f t="shared" si="16"/>
        <v>896.25306122448978</v>
      </c>
      <c r="U80" s="1096">
        <f t="shared" si="21"/>
        <v>-4791</v>
      </c>
      <c r="V80" s="1102">
        <f t="shared" si="22"/>
        <v>-4.5628571428571428E-2</v>
      </c>
      <c r="W80" s="1098">
        <v>25390</v>
      </c>
      <c r="X80" s="1181">
        <f t="shared" si="29"/>
        <v>4.1354864119732175</v>
      </c>
      <c r="Y80" s="1181">
        <f t="shared" si="30"/>
        <v>4.1354864119732175</v>
      </c>
      <c r="Z80" s="1181">
        <f t="shared" si="31"/>
        <v>-0.18869633714060655</v>
      </c>
      <c r="AA80" s="1181">
        <f t="shared" si="32"/>
        <v>4.3241827491138247</v>
      </c>
      <c r="AB80" s="1054">
        <v>820</v>
      </c>
      <c r="AC80" s="1098">
        <f t="shared" si="27"/>
        <v>827.09728239464357</v>
      </c>
      <c r="AD80" s="1054">
        <f t="shared" si="28"/>
        <v>7.097282394643571</v>
      </c>
    </row>
    <row r="81" spans="1:30" hidden="1" x14ac:dyDescent="0.35">
      <c r="A81" s="179">
        <v>2</v>
      </c>
      <c r="B81" s="880" t="s">
        <v>22</v>
      </c>
      <c r="C81" s="986" t="s">
        <v>513</v>
      </c>
      <c r="D81" s="83" t="s">
        <v>514</v>
      </c>
      <c r="E81" s="399" t="str">
        <f>VLOOKUP(F81,'Quy đổi'!A:D,4,0)</f>
        <v>rPP</v>
      </c>
      <c r="F81" s="986" t="s">
        <v>11</v>
      </c>
      <c r="G81" s="82" t="s">
        <v>10</v>
      </c>
      <c r="H81" s="257" t="str">
        <f>IFERROR(VLOOKUP(F81,'Quy đổi'!A:C,3,0),"-")</f>
        <v>rPP20B01</v>
      </c>
      <c r="I81" s="1098">
        <v>5</v>
      </c>
      <c r="J81" s="1098">
        <v>89250</v>
      </c>
      <c r="K81" s="1098">
        <v>89250</v>
      </c>
      <c r="O81" s="1097">
        <f t="shared" si="33"/>
        <v>89250</v>
      </c>
      <c r="P81" s="1096">
        <f t="shared" si="19"/>
        <v>17850</v>
      </c>
      <c r="Q81" s="1096">
        <f t="shared" si="20"/>
        <v>703.03269003544699</v>
      </c>
      <c r="R81" s="1099">
        <v>107135</v>
      </c>
      <c r="S81" s="1096">
        <f t="shared" si="34"/>
        <v>21427</v>
      </c>
      <c r="T81" s="1096">
        <f t="shared" si="16"/>
        <v>874.57142857142856</v>
      </c>
      <c r="U81" s="1096">
        <f t="shared" si="21"/>
        <v>-17885</v>
      </c>
      <c r="V81" s="1102">
        <f t="shared" si="22"/>
        <v>-0.20039215686274509</v>
      </c>
      <c r="W81" s="1098">
        <v>25390</v>
      </c>
      <c r="X81" s="1181">
        <f t="shared" si="29"/>
        <v>3.5151634501772353</v>
      </c>
      <c r="Y81" s="1181">
        <f t="shared" si="30"/>
        <v>3.5151634501772353</v>
      </c>
      <c r="Z81" s="1181">
        <f t="shared" si="31"/>
        <v>-0.70441118550610482</v>
      </c>
      <c r="AA81" s="1181">
        <f t="shared" si="32"/>
        <v>4.2195746356833395</v>
      </c>
      <c r="AB81" s="1054">
        <v>720</v>
      </c>
      <c r="AC81" s="1098">
        <f t="shared" si="27"/>
        <v>703.0326900354471</v>
      </c>
      <c r="AD81" s="1054">
        <f t="shared" si="28"/>
        <v>-16.967309964552896</v>
      </c>
    </row>
    <row r="82" spans="1:30" hidden="1" x14ac:dyDescent="0.35">
      <c r="A82" s="179">
        <v>2</v>
      </c>
      <c r="B82" s="880" t="s">
        <v>22</v>
      </c>
      <c r="C82" s="986" t="s">
        <v>513</v>
      </c>
      <c r="D82" s="83" t="s">
        <v>514</v>
      </c>
      <c r="E82" s="399" t="str">
        <f>VLOOKUP(F82,'Quy đổi'!A:D,4,0)</f>
        <v>rPP</v>
      </c>
      <c r="F82" s="986" t="s">
        <v>15</v>
      </c>
      <c r="G82" s="82" t="s">
        <v>14</v>
      </c>
      <c r="H82" s="257" t="str">
        <f>IFERROR(VLOOKUP(F82,'Quy đổi'!A:C,3,0),"-")</f>
        <v>rPP20L03</v>
      </c>
      <c r="I82" s="1098">
        <v>5</v>
      </c>
      <c r="J82" s="1098">
        <v>105000</v>
      </c>
      <c r="K82" s="1098">
        <v>105000</v>
      </c>
      <c r="O82" s="1097">
        <f t="shared" si="33"/>
        <v>105000</v>
      </c>
      <c r="P82" s="1096">
        <f t="shared" si="19"/>
        <v>21000</v>
      </c>
      <c r="Q82" s="1096">
        <f t="shared" si="20"/>
        <v>827.09728239464357</v>
      </c>
      <c r="R82" s="1099">
        <v>145207</v>
      </c>
      <c r="S82" s="1096">
        <f t="shared" si="34"/>
        <v>29041.4</v>
      </c>
      <c r="T82" s="1096">
        <f t="shared" si="16"/>
        <v>1185.3632653061225</v>
      </c>
      <c r="U82" s="1096">
        <f t="shared" si="21"/>
        <v>-40207</v>
      </c>
      <c r="V82" s="1102">
        <f t="shared" si="22"/>
        <v>-0.3829238095238095</v>
      </c>
      <c r="W82" s="1098">
        <v>25390</v>
      </c>
      <c r="X82" s="1181">
        <f t="shared" si="29"/>
        <v>4.1354864119732175</v>
      </c>
      <c r="Y82" s="1181">
        <f t="shared" si="30"/>
        <v>4.1354864119732175</v>
      </c>
      <c r="Z82" s="1181">
        <f t="shared" si="31"/>
        <v>-1.5835762111067349</v>
      </c>
      <c r="AA82" s="1181">
        <f t="shared" si="32"/>
        <v>5.7190626230799531</v>
      </c>
      <c r="AB82" s="1054">
        <v>820</v>
      </c>
      <c r="AC82" s="1098">
        <f t="shared" si="27"/>
        <v>827.09728239464357</v>
      </c>
      <c r="AD82" s="1054">
        <f t="shared" si="28"/>
        <v>7.097282394643571</v>
      </c>
    </row>
    <row r="83" spans="1:30" hidden="1" x14ac:dyDescent="0.35">
      <c r="A83" s="179">
        <v>2</v>
      </c>
      <c r="B83" s="880" t="s">
        <v>22</v>
      </c>
      <c r="C83" s="986" t="s">
        <v>513</v>
      </c>
      <c r="D83" s="83" t="s">
        <v>514</v>
      </c>
      <c r="E83" s="399" t="str">
        <f>VLOOKUP(F83,'Quy đổi'!A:D,4,0)</f>
        <v>rPP</v>
      </c>
      <c r="F83" s="986" t="s">
        <v>9</v>
      </c>
      <c r="G83" s="82" t="s">
        <v>8</v>
      </c>
      <c r="H83" s="257" t="str">
        <f>IFERROR(VLOOKUP(F83,'Quy đổi'!A:C,3,0),"-")</f>
        <v>rPP20Gy01</v>
      </c>
      <c r="I83" s="1098">
        <v>5</v>
      </c>
      <c r="J83" s="1098">
        <v>105000</v>
      </c>
      <c r="K83" s="1098">
        <v>105000</v>
      </c>
      <c r="O83" s="1097">
        <f t="shared" si="33"/>
        <v>105000</v>
      </c>
      <c r="P83" s="1096">
        <f t="shared" si="19"/>
        <v>21000</v>
      </c>
      <c r="Q83" s="1096">
        <f t="shared" si="20"/>
        <v>827.09728239464357</v>
      </c>
      <c r="R83" s="1099">
        <v>170156</v>
      </c>
      <c r="S83" s="1096">
        <f t="shared" si="34"/>
        <v>34031.199999999997</v>
      </c>
      <c r="T83" s="1096">
        <f t="shared" si="16"/>
        <v>1389.0285714285712</v>
      </c>
      <c r="U83" s="1096">
        <f t="shared" si="21"/>
        <v>-65156</v>
      </c>
      <c r="V83" s="1102">
        <f t="shared" si="22"/>
        <v>-0.62053333333333338</v>
      </c>
      <c r="W83" s="1098">
        <v>25390</v>
      </c>
      <c r="X83" s="1181">
        <f t="shared" si="29"/>
        <v>4.1354864119732175</v>
      </c>
      <c r="Y83" s="1181">
        <f t="shared" si="30"/>
        <v>4.1354864119732175</v>
      </c>
      <c r="Z83" s="1181">
        <f t="shared" si="31"/>
        <v>-2.5662071681764473</v>
      </c>
      <c r="AA83" s="1181">
        <f t="shared" si="32"/>
        <v>6.7016935801496649</v>
      </c>
      <c r="AB83" s="1054">
        <v>820</v>
      </c>
      <c r="AC83" s="1098">
        <f t="shared" si="27"/>
        <v>827.09728239464357</v>
      </c>
      <c r="AD83" s="1054">
        <f t="shared" si="28"/>
        <v>7.097282394643571</v>
      </c>
    </row>
    <row r="84" spans="1:30" hidden="1" x14ac:dyDescent="0.35">
      <c r="A84" s="179">
        <v>2</v>
      </c>
      <c r="B84" s="880" t="s">
        <v>22</v>
      </c>
      <c r="C84" s="986" t="s">
        <v>513</v>
      </c>
      <c r="D84" s="83" t="s">
        <v>514</v>
      </c>
      <c r="E84" s="399" t="str">
        <f>VLOOKUP(F84,'Quy đổi'!A:D,4,0)</f>
        <v>rPP</v>
      </c>
      <c r="F84" s="986" t="s">
        <v>231</v>
      </c>
      <c r="G84" s="82" t="s">
        <v>232</v>
      </c>
      <c r="H84" s="257" t="str">
        <f>IFERROR(VLOOKUP(F84,'Quy đổi'!A:C,3,0),"-")</f>
        <v>rPP20W01</v>
      </c>
      <c r="I84" s="1098">
        <v>5</v>
      </c>
      <c r="J84" s="1098">
        <v>105000</v>
      </c>
      <c r="K84" s="1098">
        <v>105000</v>
      </c>
      <c r="O84" s="1097">
        <f t="shared" si="33"/>
        <v>105000</v>
      </c>
      <c r="P84" s="1096">
        <f t="shared" si="19"/>
        <v>21000</v>
      </c>
      <c r="Q84" s="1096">
        <f t="shared" si="20"/>
        <v>827.09728239464357</v>
      </c>
      <c r="R84" s="1099">
        <v>195675</v>
      </c>
      <c r="S84" s="1096">
        <f t="shared" si="34"/>
        <v>39135</v>
      </c>
      <c r="T84" s="1096">
        <f t="shared" si="16"/>
        <v>1597.3469387755101</v>
      </c>
      <c r="U84" s="1096">
        <f t="shared" si="21"/>
        <v>-90675</v>
      </c>
      <c r="V84" s="1102">
        <f t="shared" si="22"/>
        <v>-0.86357142857142855</v>
      </c>
      <c r="W84" s="1098">
        <v>25390</v>
      </c>
      <c r="X84" s="1181">
        <f t="shared" si="29"/>
        <v>4.1354864119732175</v>
      </c>
      <c r="Y84" s="1181">
        <f t="shared" si="30"/>
        <v>4.1354864119732175</v>
      </c>
      <c r="Z84" s="1181">
        <f t="shared" si="31"/>
        <v>-3.5712879086254432</v>
      </c>
      <c r="AA84" s="1181">
        <f t="shared" si="32"/>
        <v>7.7067743205986607</v>
      </c>
      <c r="AB84" s="1054">
        <v>820</v>
      </c>
      <c r="AC84" s="1098">
        <f t="shared" si="27"/>
        <v>827.09728239464357</v>
      </c>
      <c r="AD84" s="1054">
        <f t="shared" si="28"/>
        <v>7.097282394643571</v>
      </c>
    </row>
    <row r="85" spans="1:30" hidden="1" x14ac:dyDescent="0.35">
      <c r="A85" s="179">
        <v>2</v>
      </c>
      <c r="B85" s="880" t="s">
        <v>22</v>
      </c>
      <c r="C85" s="986" t="s">
        <v>515</v>
      </c>
      <c r="D85" s="83" t="s">
        <v>516</v>
      </c>
      <c r="E85" s="399" t="str">
        <f>VLOOKUP(F85,'Quy đổi'!A:D,4,0)</f>
        <v>rPP</v>
      </c>
      <c r="F85" s="986" t="s">
        <v>11</v>
      </c>
      <c r="G85" s="82" t="s">
        <v>10</v>
      </c>
      <c r="H85" s="257" t="str">
        <f>IFERROR(VLOOKUP(F85,'Quy đổi'!A:C,3,0),"-")</f>
        <v>rPP20B01</v>
      </c>
      <c r="I85" s="1098">
        <v>100</v>
      </c>
      <c r="J85" s="1098">
        <v>1955000</v>
      </c>
      <c r="K85" s="1098">
        <v>1955000</v>
      </c>
      <c r="O85" s="1097">
        <f t="shared" si="33"/>
        <v>1955000</v>
      </c>
      <c r="P85" s="1096">
        <f t="shared" si="19"/>
        <v>19550</v>
      </c>
      <c r="Q85" s="1096">
        <f t="shared" si="20"/>
        <v>769.9881843245372</v>
      </c>
      <c r="R85" s="1099">
        <v>2142697</v>
      </c>
      <c r="S85" s="1096">
        <f t="shared" si="34"/>
        <v>21426.97</v>
      </c>
      <c r="T85" s="1096">
        <f t="shared" si="16"/>
        <v>874.57020408163271</v>
      </c>
      <c r="U85" s="1096">
        <f t="shared" si="21"/>
        <v>-187697</v>
      </c>
      <c r="V85" s="1102">
        <f t="shared" si="22"/>
        <v>-9.6008695652173917E-2</v>
      </c>
      <c r="W85" s="1098">
        <v>25390</v>
      </c>
      <c r="X85" s="1181">
        <f t="shared" si="29"/>
        <v>76.998818432453717</v>
      </c>
      <c r="Y85" s="1181">
        <f t="shared" si="30"/>
        <v>76.998818432453717</v>
      </c>
      <c r="Z85" s="1181">
        <f t="shared" si="31"/>
        <v>-7.3925561244584479</v>
      </c>
      <c r="AA85" s="1181">
        <f t="shared" si="32"/>
        <v>84.391374556912169</v>
      </c>
      <c r="AB85" s="1054">
        <v>720</v>
      </c>
      <c r="AC85" s="1098">
        <f t="shared" si="27"/>
        <v>769.9881843245372</v>
      </c>
      <c r="AD85" s="1054">
        <f t="shared" si="28"/>
        <v>49.988184324537201</v>
      </c>
    </row>
    <row r="86" spans="1:30" hidden="1" x14ac:dyDescent="0.35">
      <c r="A86" s="179">
        <v>2</v>
      </c>
      <c r="B86" s="880" t="s">
        <v>22</v>
      </c>
      <c r="C86" s="986" t="s">
        <v>517</v>
      </c>
      <c r="D86" s="83" t="s">
        <v>518</v>
      </c>
      <c r="E86" s="399" t="str">
        <f>VLOOKUP(F86,'Quy đổi'!A:D,4,0)</f>
        <v>rPET</v>
      </c>
      <c r="F86" s="986" t="s">
        <v>102</v>
      </c>
      <c r="G86" s="82" t="s">
        <v>101</v>
      </c>
      <c r="H86" s="257" t="str">
        <f>IFERROR(VLOOKUP(F86,'Quy đổi'!A:C,3,0),"-")</f>
        <v>WSS03G</v>
      </c>
      <c r="I86" s="1098">
        <v>1100</v>
      </c>
      <c r="J86" s="1098">
        <v>31680000</v>
      </c>
      <c r="K86" s="1098">
        <v>31680000</v>
      </c>
      <c r="O86" s="1097">
        <f t="shared" si="33"/>
        <v>31680000</v>
      </c>
      <c r="P86" s="1096">
        <f t="shared" si="19"/>
        <v>28800</v>
      </c>
      <c r="Q86" s="1096">
        <f t="shared" si="20"/>
        <v>1134.3048444269398</v>
      </c>
      <c r="R86" s="1099">
        <v>28909693</v>
      </c>
      <c r="S86" s="1096">
        <f t="shared" si="34"/>
        <v>26281.539090909089</v>
      </c>
      <c r="T86" s="1096">
        <f t="shared" si="16"/>
        <v>1072.7158812615955</v>
      </c>
      <c r="U86" s="1096">
        <f t="shared" si="21"/>
        <v>2770307</v>
      </c>
      <c r="V86" s="1102">
        <f t="shared" si="22"/>
        <v>8.7446559343434344E-2</v>
      </c>
      <c r="W86" s="1098">
        <v>25390</v>
      </c>
      <c r="X86" s="1181">
        <f t="shared" si="29"/>
        <v>1247.7353288696338</v>
      </c>
      <c r="Y86" s="1181">
        <f t="shared" si="30"/>
        <v>1247.7353288696338</v>
      </c>
      <c r="Z86" s="1181">
        <f t="shared" si="31"/>
        <v>109.11016148089799</v>
      </c>
      <c r="AA86" s="1181">
        <f t="shared" si="32"/>
        <v>1138.6251673887357</v>
      </c>
      <c r="AB86" s="1054">
        <v>1160</v>
      </c>
      <c r="AC86" s="1098">
        <f t="shared" si="27"/>
        <v>1134.30484442694</v>
      </c>
      <c r="AD86" s="1054">
        <f t="shared" si="28"/>
        <v>-25.695155573059992</v>
      </c>
    </row>
    <row r="87" spans="1:30" hidden="1" x14ac:dyDescent="0.35">
      <c r="A87" s="179">
        <v>2</v>
      </c>
      <c r="B87" s="880" t="s">
        <v>22</v>
      </c>
      <c r="C87" s="986" t="s">
        <v>519</v>
      </c>
      <c r="D87" s="83" t="s">
        <v>520</v>
      </c>
      <c r="E87" s="399" t="str">
        <f>VLOOKUP(F87,'Quy đổi'!A:D,4,0)</f>
        <v>rHDPE ép</v>
      </c>
      <c r="F87" s="986" t="s">
        <v>536</v>
      </c>
      <c r="G87" s="82" t="s">
        <v>537</v>
      </c>
      <c r="H87" s="257" t="str">
        <f>IFERROR(VLOOKUP(F87,'Quy đổi'!A:C,3,0),"-")</f>
        <v>Vảy HD Ép Trắng</v>
      </c>
      <c r="I87" s="1098">
        <v>750</v>
      </c>
      <c r="J87" s="1098">
        <v>11250000</v>
      </c>
      <c r="K87" s="1098">
        <v>11250000</v>
      </c>
      <c r="L87" s="1097"/>
      <c r="O87" s="1097">
        <f t="shared" si="33"/>
        <v>11250000</v>
      </c>
      <c r="P87" s="1096">
        <f t="shared" si="19"/>
        <v>15000</v>
      </c>
      <c r="Q87" s="1096">
        <f t="shared" si="20"/>
        <v>590.78377313903104</v>
      </c>
      <c r="R87" s="1099">
        <v>18164119</v>
      </c>
      <c r="S87" s="1096">
        <f t="shared" si="34"/>
        <v>24218.825333333334</v>
      </c>
      <c r="T87" s="1096">
        <f t="shared" si="16"/>
        <v>988.52348299319726</v>
      </c>
      <c r="U87" s="1096">
        <f t="shared" si="21"/>
        <v>-6914119</v>
      </c>
      <c r="V87" s="1102">
        <f t="shared" si="22"/>
        <v>-0.61458835555555558</v>
      </c>
      <c r="W87" s="1098">
        <v>25390</v>
      </c>
      <c r="X87" s="1181">
        <f t="shared" si="29"/>
        <v>443.08782985427331</v>
      </c>
      <c r="Y87" s="1181">
        <f t="shared" si="30"/>
        <v>443.08782985427331</v>
      </c>
      <c r="Z87" s="1181">
        <f t="shared" si="31"/>
        <v>-272.31662071681762</v>
      </c>
      <c r="AA87" s="1181">
        <f t="shared" si="32"/>
        <v>715.40445057109093</v>
      </c>
      <c r="AB87" s="1054">
        <v>750</v>
      </c>
      <c r="AC87" s="1098">
        <f t="shared" si="27"/>
        <v>590.78377313903104</v>
      </c>
      <c r="AD87" s="1054">
        <f t="shared" si="28"/>
        <v>-159.21622686096896</v>
      </c>
    </row>
    <row r="88" spans="1:30" hidden="1" x14ac:dyDescent="0.35">
      <c r="A88" s="179">
        <v>2</v>
      </c>
      <c r="B88" s="880" t="s">
        <v>22</v>
      </c>
      <c r="C88" s="986" t="s">
        <v>519</v>
      </c>
      <c r="D88" s="83" t="s">
        <v>520</v>
      </c>
      <c r="E88" s="399" t="str">
        <f>VLOOKUP(F88,'Quy đổi'!A:D,4,0)</f>
        <v>rHDPE ép</v>
      </c>
      <c r="F88" s="986" t="s">
        <v>41</v>
      </c>
      <c r="G88" s="82" t="s">
        <v>40</v>
      </c>
      <c r="H88" s="257" t="str">
        <f>IFERROR(VLOOKUP(F88,'Quy đổi'!A:C,3,0),"-")</f>
        <v>Vảy HD Ép Lá</v>
      </c>
      <c r="I88" s="1098">
        <v>750</v>
      </c>
      <c r="J88" s="1098">
        <v>11250000</v>
      </c>
      <c r="K88" s="1098">
        <v>11250000</v>
      </c>
      <c r="L88" s="1097"/>
      <c r="O88" s="1097">
        <f t="shared" si="33"/>
        <v>11250000</v>
      </c>
      <c r="P88" s="1096">
        <f t="shared" si="19"/>
        <v>15000</v>
      </c>
      <c r="Q88" s="1096">
        <f t="shared" si="20"/>
        <v>590.78377313903104</v>
      </c>
      <c r="R88" s="1099">
        <v>18436900</v>
      </c>
      <c r="S88" s="1096">
        <f t="shared" si="34"/>
        <v>24582.533333333333</v>
      </c>
      <c r="T88" s="1096">
        <f t="shared" si="16"/>
        <v>1003.3687074829932</v>
      </c>
      <c r="U88" s="1096">
        <f t="shared" si="21"/>
        <v>-7186900</v>
      </c>
      <c r="V88" s="1102">
        <f t="shared" si="22"/>
        <v>-0.6388355555555556</v>
      </c>
      <c r="W88" s="1098">
        <v>25390</v>
      </c>
      <c r="X88" s="1181">
        <f t="shared" si="29"/>
        <v>443.08782985427331</v>
      </c>
      <c r="Y88" s="1181">
        <f t="shared" si="30"/>
        <v>443.08782985427331</v>
      </c>
      <c r="Z88" s="1181">
        <f t="shared" si="31"/>
        <v>-283.06025994486021</v>
      </c>
      <c r="AA88" s="1181">
        <f t="shared" si="32"/>
        <v>726.14808979913357</v>
      </c>
      <c r="AB88" s="1054">
        <v>750</v>
      </c>
      <c r="AC88" s="1098">
        <f t="shared" si="27"/>
        <v>590.78377313903104</v>
      </c>
      <c r="AD88" s="1054">
        <f t="shared" si="28"/>
        <v>-159.21622686096896</v>
      </c>
    </row>
    <row r="89" spans="1:30" hidden="1" x14ac:dyDescent="0.35">
      <c r="A89" s="179">
        <v>2</v>
      </c>
      <c r="B89" s="880" t="s">
        <v>22</v>
      </c>
      <c r="C89" s="986" t="s">
        <v>519</v>
      </c>
      <c r="D89" s="83" t="s">
        <v>520</v>
      </c>
      <c r="E89" s="399" t="str">
        <f>VLOOKUP(F89,'Quy đổi'!A:D,4,0)</f>
        <v>rHDPE ép</v>
      </c>
      <c r="F89" s="986" t="s">
        <v>43</v>
      </c>
      <c r="G89" s="82" t="s">
        <v>42</v>
      </c>
      <c r="H89" s="257" t="str">
        <f>IFERROR(VLOOKUP(F89,'Quy đổi'!A:C,3,0),"-")</f>
        <v>Vảy HD Ép dương</v>
      </c>
      <c r="I89" s="1098">
        <v>750</v>
      </c>
      <c r="J89" s="1098">
        <v>11250000</v>
      </c>
      <c r="K89" s="1098">
        <v>11250000</v>
      </c>
      <c r="L89" s="1097"/>
      <c r="O89" s="1097">
        <f t="shared" si="33"/>
        <v>11250000</v>
      </c>
      <c r="P89" s="1096">
        <f t="shared" si="19"/>
        <v>15000</v>
      </c>
      <c r="Q89" s="1096">
        <f t="shared" si="20"/>
        <v>590.78377313903104</v>
      </c>
      <c r="R89" s="1099">
        <v>18714634</v>
      </c>
      <c r="S89" s="1096">
        <f t="shared" si="34"/>
        <v>24952.845333333335</v>
      </c>
      <c r="T89" s="1096">
        <f t="shared" si="16"/>
        <v>1018.4834829931973</v>
      </c>
      <c r="U89" s="1096">
        <f t="shared" si="21"/>
        <v>-7464634</v>
      </c>
      <c r="V89" s="1102">
        <f t="shared" si="22"/>
        <v>-0.66352302222222226</v>
      </c>
      <c r="W89" s="1098">
        <v>25390</v>
      </c>
      <c r="X89" s="1181">
        <f t="shared" si="29"/>
        <v>443.08782985427331</v>
      </c>
      <c r="Y89" s="1181">
        <f t="shared" si="30"/>
        <v>443.08782985427331</v>
      </c>
      <c r="Z89" s="1181">
        <f t="shared" si="31"/>
        <v>-293.99897597479321</v>
      </c>
      <c r="AA89" s="1181">
        <f t="shared" si="32"/>
        <v>737.08680582906652</v>
      </c>
      <c r="AB89" s="1054">
        <v>750</v>
      </c>
      <c r="AC89" s="1098">
        <f t="shared" si="27"/>
        <v>590.78377313903104</v>
      </c>
      <c r="AD89" s="1054">
        <f t="shared" si="28"/>
        <v>-159.21622686096896</v>
      </c>
    </row>
    <row r="90" spans="1:30" hidden="1" x14ac:dyDescent="0.35">
      <c r="A90" s="179">
        <v>2</v>
      </c>
      <c r="B90" s="880" t="s">
        <v>22</v>
      </c>
      <c r="C90" s="986" t="s">
        <v>521</v>
      </c>
      <c r="D90" s="83" t="s">
        <v>522</v>
      </c>
      <c r="E90" s="399" t="str">
        <f>VLOOKUP(F90,'Quy đổi'!A:D,4,0)</f>
        <v>rPP</v>
      </c>
      <c r="F90" s="986" t="s">
        <v>9</v>
      </c>
      <c r="G90" s="82" t="s">
        <v>8</v>
      </c>
      <c r="H90" s="257" t="str">
        <f>IFERROR(VLOOKUP(F90,'Quy đổi'!A:C,3,0),"-")</f>
        <v>rPP20Gy01</v>
      </c>
      <c r="I90" s="1098">
        <v>50</v>
      </c>
      <c r="J90" s="1098">
        <v>1347700</v>
      </c>
      <c r="K90" s="1098">
        <v>1347700</v>
      </c>
      <c r="O90" s="1097">
        <f t="shared" si="33"/>
        <v>1347700</v>
      </c>
      <c r="P90" s="1096">
        <f t="shared" si="19"/>
        <v>26954</v>
      </c>
      <c r="Q90" s="1096">
        <f t="shared" si="20"/>
        <v>1061.599054745963</v>
      </c>
      <c r="R90" s="1099">
        <v>1701562</v>
      </c>
      <c r="S90" s="1096">
        <f t="shared" si="34"/>
        <v>34031.24</v>
      </c>
      <c r="T90" s="1096">
        <f t="shared" si="16"/>
        <v>1389.0302040816325</v>
      </c>
      <c r="U90" s="1096">
        <f t="shared" si="21"/>
        <v>-353862</v>
      </c>
      <c r="V90" s="1102">
        <f t="shared" si="22"/>
        <v>-0.26256733694442386</v>
      </c>
      <c r="W90" s="1098">
        <v>25390</v>
      </c>
      <c r="X90" s="1181">
        <f t="shared" si="29"/>
        <v>53.07995273729815</v>
      </c>
      <c r="Y90" s="1181">
        <f t="shared" si="30"/>
        <v>53.07995273729815</v>
      </c>
      <c r="Z90" s="1181">
        <f t="shared" si="31"/>
        <v>-13.937061835368254</v>
      </c>
      <c r="AA90" s="1181">
        <f t="shared" si="32"/>
        <v>67.017014572666397</v>
      </c>
      <c r="AB90" s="1054">
        <v>820</v>
      </c>
      <c r="AC90" s="1098">
        <f t="shared" si="27"/>
        <v>1061.599054745963</v>
      </c>
      <c r="AD90" s="1054">
        <f t="shared" si="28"/>
        <v>241.59905474596303</v>
      </c>
    </row>
    <row r="91" spans="1:30" x14ac:dyDescent="0.35">
      <c r="A91" s="179">
        <v>2</v>
      </c>
      <c r="B91" s="880" t="s">
        <v>26</v>
      </c>
      <c r="C91" s="986" t="s">
        <v>165</v>
      </c>
      <c r="D91" s="83" t="s">
        <v>164</v>
      </c>
      <c r="E91" s="399" t="str">
        <f>VLOOKUP(F91,'Quy đổi'!A:D,4,0)</f>
        <v>rPET</v>
      </c>
      <c r="F91" s="986" t="s">
        <v>110</v>
      </c>
      <c r="G91" s="82" t="s">
        <v>109</v>
      </c>
      <c r="H91" s="257" t="str">
        <f>IFERROR(VLOOKUP(F91,'Quy đổi'!A:C,3,0),"-")</f>
        <v>WSS01G</v>
      </c>
      <c r="I91" s="1098">
        <v>1672000</v>
      </c>
      <c r="J91" s="1098">
        <v>53916439509</v>
      </c>
      <c r="K91" s="1098">
        <v>53916439509</v>
      </c>
      <c r="L91" s="1104">
        <v>639112458</v>
      </c>
      <c r="M91" s="1056">
        <v>808977840</v>
      </c>
      <c r="O91" s="1097">
        <f t="shared" si="33"/>
        <v>52468349211</v>
      </c>
      <c r="P91" s="1096">
        <f t="shared" si="19"/>
        <v>31380.591633373206</v>
      </c>
      <c r="Q91" s="1096">
        <f t="shared" si="20"/>
        <v>1235.942955233289</v>
      </c>
      <c r="R91" s="1099">
        <v>41901053552</v>
      </c>
      <c r="S91" s="1096">
        <f t="shared" si="34"/>
        <v>25060.438727272729</v>
      </c>
      <c r="T91" s="1096">
        <f t="shared" si="16"/>
        <v>1022.8750500927645</v>
      </c>
      <c r="U91" s="1096">
        <f t="shared" si="21"/>
        <v>10567295659</v>
      </c>
      <c r="V91" s="1102">
        <f t="shared" si="22"/>
        <v>0.1959939446156502</v>
      </c>
      <c r="W91" s="1098">
        <v>25390</v>
      </c>
      <c r="X91" s="1181">
        <f t="shared" si="29"/>
        <v>2066496.6211500592</v>
      </c>
      <c r="Y91" s="1181">
        <f t="shared" si="30"/>
        <v>2123530.5044899569</v>
      </c>
      <c r="Z91" s="1181">
        <f t="shared" si="31"/>
        <v>416199.12008664827</v>
      </c>
      <c r="AA91" s="1181">
        <f t="shared" si="32"/>
        <v>1650297.5010634109</v>
      </c>
      <c r="AB91" s="1054">
        <v>1230</v>
      </c>
      <c r="AC91" s="1098">
        <f t="shared" si="27"/>
        <v>1235.942955233289</v>
      </c>
      <c r="AD91" s="1054">
        <f t="shared" si="28"/>
        <v>5.9429552332890125</v>
      </c>
    </row>
    <row r="92" spans="1:30" hidden="1" x14ac:dyDescent="0.35">
      <c r="A92" s="179">
        <v>2</v>
      </c>
      <c r="B92" s="880" t="s">
        <v>26</v>
      </c>
      <c r="C92" s="986" t="s">
        <v>67</v>
      </c>
      <c r="D92" s="83" t="s">
        <v>66</v>
      </c>
      <c r="E92" s="399" t="str">
        <f>VLOOKUP(F92,'Quy đổi'!A:D,4,0)</f>
        <v>rPET</v>
      </c>
      <c r="F92" s="986" t="s">
        <v>127</v>
      </c>
      <c r="G92" s="82" t="s">
        <v>114</v>
      </c>
      <c r="H92" s="257" t="str">
        <f>IFERROR(VLOOKUP(F92,'Quy đổi'!A:C,3,0),"-")</f>
        <v>iSS01084G</v>
      </c>
      <c r="I92" s="1098">
        <v>66000</v>
      </c>
      <c r="J92" s="1098">
        <v>2392533000</v>
      </c>
      <c r="K92" s="1098">
        <v>2392533000</v>
      </c>
      <c r="L92" s="1104">
        <v>236491412</v>
      </c>
      <c r="O92" s="1097">
        <f t="shared" si="33"/>
        <v>2156041588</v>
      </c>
      <c r="P92" s="1096">
        <f t="shared" si="19"/>
        <v>32667.296787878789</v>
      </c>
      <c r="Q92" s="1096">
        <f t="shared" si="20"/>
        <v>1286.6205903063722</v>
      </c>
      <c r="R92" s="1099">
        <v>1742843139</v>
      </c>
      <c r="S92" s="1096">
        <f t="shared" si="34"/>
        <v>26406.714227272729</v>
      </c>
      <c r="T92" s="1096">
        <f t="shared" si="16"/>
        <v>1077.8250705009277</v>
      </c>
      <c r="U92" s="1096">
        <f t="shared" si="21"/>
        <v>413198449</v>
      </c>
      <c r="V92" s="1102">
        <f t="shared" si="22"/>
        <v>0.17270334369473692</v>
      </c>
      <c r="W92" s="1098">
        <v>25390</v>
      </c>
      <c r="X92" s="1181">
        <f t="shared" si="29"/>
        <v>84916.958960220552</v>
      </c>
      <c r="Y92" s="1181">
        <f t="shared" si="30"/>
        <v>94231.311539976363</v>
      </c>
      <c r="Z92" s="1181">
        <f t="shared" si="31"/>
        <v>16274.062583694367</v>
      </c>
      <c r="AA92" s="1181">
        <f t="shared" si="32"/>
        <v>68642.896376526187</v>
      </c>
      <c r="AB92" s="1054">
        <v>1280</v>
      </c>
      <c r="AC92" s="1098">
        <f t="shared" si="27"/>
        <v>1286.6205903063722</v>
      </c>
      <c r="AD92" s="1054">
        <f t="shared" si="28"/>
        <v>6.6205903063721507</v>
      </c>
    </row>
    <row r="93" spans="1:30" hidden="1" x14ac:dyDescent="0.35">
      <c r="A93" s="179">
        <v>2</v>
      </c>
      <c r="B93" s="880" t="s">
        <v>26</v>
      </c>
      <c r="C93" s="986" t="s">
        <v>28</v>
      </c>
      <c r="D93" s="83" t="s">
        <v>523</v>
      </c>
      <c r="E93" s="399" t="str">
        <f>VLOOKUP(F93,'Quy đổi'!A:D,4,0)</f>
        <v>rHDPE ép</v>
      </c>
      <c r="F93" s="986" t="s">
        <v>206</v>
      </c>
      <c r="G93" s="82" t="s">
        <v>207</v>
      </c>
      <c r="H93" s="257" t="str">
        <f>IFERROR(VLOOKUP(F93,'Quy đổi'!A:C,3,0),"-")</f>
        <v>rHDI3R01</v>
      </c>
      <c r="I93" s="1098">
        <v>25000</v>
      </c>
      <c r="J93" s="1098">
        <v>602062500</v>
      </c>
      <c r="K93" s="1098">
        <v>602062500</v>
      </c>
      <c r="L93" s="1104">
        <v>125293407</v>
      </c>
      <c r="O93" s="1097">
        <f t="shared" si="33"/>
        <v>476769093</v>
      </c>
      <c r="P93" s="1096">
        <f t="shared" si="19"/>
        <v>19070.763719999999</v>
      </c>
      <c r="Q93" s="1096">
        <f t="shared" si="20"/>
        <v>751.11318314296955</v>
      </c>
      <c r="R93" s="1099">
        <v>306393792</v>
      </c>
      <c r="S93" s="1096">
        <f t="shared" si="34"/>
        <v>12255.751679999999</v>
      </c>
      <c r="T93" s="1096">
        <f t="shared" si="16"/>
        <v>500.23476244897955</v>
      </c>
      <c r="U93" s="1096">
        <f t="shared" si="21"/>
        <v>170375301</v>
      </c>
      <c r="V93" s="1102">
        <f t="shared" si="22"/>
        <v>0.28298607038305823</v>
      </c>
      <c r="W93" s="1098">
        <v>25390</v>
      </c>
      <c r="X93" s="1181">
        <f t="shared" si="29"/>
        <v>18777.829578574241</v>
      </c>
      <c r="Y93" s="1181">
        <f t="shared" si="30"/>
        <v>23712.583694367862</v>
      </c>
      <c r="Z93" s="1181">
        <f t="shared" si="31"/>
        <v>6710.3308782985423</v>
      </c>
      <c r="AA93" s="1181">
        <f t="shared" si="32"/>
        <v>12067.498700275699</v>
      </c>
      <c r="AB93" s="1054">
        <v>800</v>
      </c>
      <c r="AC93" s="1098">
        <f t="shared" si="27"/>
        <v>751.11318314296955</v>
      </c>
      <c r="AD93" s="1054">
        <f t="shared" si="28"/>
        <v>-48.886816857030453</v>
      </c>
    </row>
    <row r="94" spans="1:30" hidden="1" x14ac:dyDescent="0.35">
      <c r="A94" s="179">
        <v>2</v>
      </c>
      <c r="B94" s="880" t="s">
        <v>26</v>
      </c>
      <c r="C94" s="986" t="s">
        <v>138</v>
      </c>
      <c r="D94" s="83" t="s">
        <v>524</v>
      </c>
      <c r="E94" s="399" t="str">
        <f>VLOOKUP(F94,'Quy đổi'!A:D,4,0)</f>
        <v>rPET</v>
      </c>
      <c r="F94" s="986" t="s">
        <v>102</v>
      </c>
      <c r="G94" s="82" t="s">
        <v>101</v>
      </c>
      <c r="H94" s="257" t="str">
        <f>IFERROR(VLOOKUP(F94,'Quy đổi'!A:C,3,0),"-")</f>
        <v>WSS03G</v>
      </c>
      <c r="I94" s="1098">
        <v>22000</v>
      </c>
      <c r="J94" s="1098">
        <v>613470000</v>
      </c>
      <c r="K94" s="1098">
        <v>613470000</v>
      </c>
      <c r="L94" s="1104">
        <v>15397937</v>
      </c>
      <c r="O94" s="1097">
        <f t="shared" si="33"/>
        <v>598072063</v>
      </c>
      <c r="P94" s="1096">
        <f t="shared" si="19"/>
        <v>27185.093772727272</v>
      </c>
      <c r="Q94" s="1096">
        <f t="shared" si="20"/>
        <v>1070.700818146013</v>
      </c>
      <c r="R94" s="1099">
        <v>578193865</v>
      </c>
      <c r="S94" s="1096">
        <f t="shared" si="34"/>
        <v>26281.539318181818</v>
      </c>
      <c r="T94" s="1096">
        <f t="shared" si="16"/>
        <v>1072.7158905380334</v>
      </c>
      <c r="U94" s="1096">
        <f t="shared" si="21"/>
        <v>19878198</v>
      </c>
      <c r="V94" s="1102">
        <f t="shared" si="22"/>
        <v>3.2402885226661453E-2</v>
      </c>
      <c r="W94" s="1098">
        <v>25390</v>
      </c>
      <c r="X94" s="1181">
        <f t="shared" si="29"/>
        <v>23555.417999212288</v>
      </c>
      <c r="Y94" s="1181">
        <f t="shared" si="30"/>
        <v>24161.874753840093</v>
      </c>
      <c r="Z94" s="1181">
        <f t="shared" si="31"/>
        <v>782.91445450964943</v>
      </c>
      <c r="AA94" s="1181">
        <f t="shared" si="32"/>
        <v>22772.503544702638</v>
      </c>
      <c r="AB94" s="1054">
        <v>1160</v>
      </c>
      <c r="AC94" s="1098">
        <f t="shared" si="27"/>
        <v>1070.700818146013</v>
      </c>
      <c r="AD94" s="1054">
        <f t="shared" si="28"/>
        <v>-89.299181853986966</v>
      </c>
    </row>
    <row r="95" spans="1:30" hidden="1" x14ac:dyDescent="0.35">
      <c r="A95" s="179">
        <v>2</v>
      </c>
      <c r="B95" s="880" t="s">
        <v>26</v>
      </c>
      <c r="C95" s="986" t="s">
        <v>46</v>
      </c>
      <c r="D95" s="83" t="s">
        <v>525</v>
      </c>
      <c r="E95" s="399" t="str">
        <f>VLOOKUP(F95,'Quy đổi'!A:D,4,0)</f>
        <v>rPET</v>
      </c>
      <c r="F95" s="986" t="s">
        <v>100</v>
      </c>
      <c r="G95" s="82" t="s">
        <v>99</v>
      </c>
      <c r="H95" s="257" t="str">
        <f>IFERROR(VLOOKUP(F95,'Quy đổi'!A:C,3,0),"-")</f>
        <v>iSS01G</v>
      </c>
      <c r="I95" s="1098">
        <v>880000</v>
      </c>
      <c r="J95" s="1098">
        <v>27867125000</v>
      </c>
      <c r="K95" s="1098">
        <v>27867125000</v>
      </c>
      <c r="L95" s="1104">
        <v>343819740</v>
      </c>
      <c r="O95" s="1097">
        <f t="shared" si="33"/>
        <v>27523305260</v>
      </c>
      <c r="P95" s="1096">
        <f t="shared" si="19"/>
        <v>31276.483250000001</v>
      </c>
      <c r="Q95" s="1096">
        <f t="shared" si="20"/>
        <v>1231.8425856636472</v>
      </c>
      <c r="R95" s="1099">
        <v>22114300960</v>
      </c>
      <c r="S95" s="1096">
        <f t="shared" si="34"/>
        <v>25129.887454545453</v>
      </c>
      <c r="T95" s="1096">
        <f t="shared" si="16"/>
        <v>1025.7096920222634</v>
      </c>
      <c r="U95" s="1096">
        <f t="shared" si="21"/>
        <v>5409004300</v>
      </c>
      <c r="V95" s="1102">
        <f t="shared" si="22"/>
        <v>0.19409983268815853</v>
      </c>
      <c r="W95" s="1098">
        <v>25390</v>
      </c>
      <c r="X95" s="1181">
        <f t="shared" si="29"/>
        <v>1084021.4753840095</v>
      </c>
      <c r="Y95" s="1181">
        <f t="shared" si="30"/>
        <v>1097563.0169358016</v>
      </c>
      <c r="Z95" s="1181">
        <f t="shared" si="31"/>
        <v>213036.79795194959</v>
      </c>
      <c r="AA95" s="1181">
        <f t="shared" si="32"/>
        <v>870984.67743205989</v>
      </c>
      <c r="AB95" s="1054">
        <v>1260</v>
      </c>
      <c r="AC95" s="1098">
        <f t="shared" si="27"/>
        <v>1231.8425856636472</v>
      </c>
      <c r="AD95" s="1054">
        <f t="shared" si="28"/>
        <v>-28.157414336352758</v>
      </c>
    </row>
    <row r="96" spans="1:30" hidden="1" x14ac:dyDescent="0.35">
      <c r="A96" s="179">
        <v>2</v>
      </c>
      <c r="B96" s="880" t="s">
        <v>26</v>
      </c>
      <c r="C96" s="986" t="s">
        <v>46</v>
      </c>
      <c r="D96" s="83" t="s">
        <v>525</v>
      </c>
      <c r="E96" s="399" t="str">
        <f>VLOOKUP(F96,'Quy đổi'!A:D,4,0)</f>
        <v>rHDPE ép</v>
      </c>
      <c r="F96" s="986" t="s">
        <v>540</v>
      </c>
      <c r="G96" s="82" t="s">
        <v>541</v>
      </c>
      <c r="H96" s="257" t="str">
        <f>IFERROR(VLOOKUP(F96,'Quy đổi'!A:C,3,0),"-")</f>
        <v>rHDI7DL02</v>
      </c>
      <c r="I96" s="1098">
        <v>25000</v>
      </c>
      <c r="J96" s="1098">
        <v>760500000</v>
      </c>
      <c r="K96" s="1098">
        <v>760500000</v>
      </c>
      <c r="L96" s="1104">
        <v>14653000</v>
      </c>
      <c r="O96" s="1097">
        <f t="shared" si="33"/>
        <v>745847000</v>
      </c>
      <c r="P96" s="1096">
        <f t="shared" si="19"/>
        <v>29833.88</v>
      </c>
      <c r="Q96" s="1096">
        <f t="shared" si="20"/>
        <v>1175.024812918472</v>
      </c>
      <c r="R96" s="1099">
        <v>816436810</v>
      </c>
      <c r="S96" s="1096">
        <f t="shared" si="34"/>
        <v>32657.472399999999</v>
      </c>
      <c r="T96" s="1096">
        <f t="shared" si="16"/>
        <v>1332.9580571428571</v>
      </c>
      <c r="U96" s="1096">
        <f t="shared" si="21"/>
        <v>-70589810</v>
      </c>
      <c r="V96" s="1102">
        <f t="shared" si="22"/>
        <v>-9.2820262984878374E-2</v>
      </c>
      <c r="W96" s="1098">
        <v>25390</v>
      </c>
      <c r="X96" s="1181">
        <f t="shared" si="29"/>
        <v>29375.620322961797</v>
      </c>
      <c r="Y96" s="1181">
        <f t="shared" si="30"/>
        <v>29952.737298148877</v>
      </c>
      <c r="Z96" s="1181">
        <f t="shared" si="31"/>
        <v>-2780.2209531311541</v>
      </c>
      <c r="AA96" s="1181">
        <f t="shared" si="32"/>
        <v>32155.84127609295</v>
      </c>
      <c r="AB96" s="1054">
        <v>800</v>
      </c>
      <c r="AC96" s="1098">
        <f t="shared" si="27"/>
        <v>1175.024812918472</v>
      </c>
      <c r="AD96" s="1054">
        <f t="shared" si="28"/>
        <v>375.02481291847198</v>
      </c>
    </row>
    <row r="97" spans="1:30" hidden="1" x14ac:dyDescent="0.35">
      <c r="A97" s="179">
        <v>2</v>
      </c>
      <c r="B97" s="880" t="s">
        <v>26</v>
      </c>
      <c r="C97" s="986" t="s">
        <v>526</v>
      </c>
      <c r="D97" s="83" t="s">
        <v>527</v>
      </c>
      <c r="E97" s="399" t="str">
        <f>VLOOKUP(F97,'Quy đổi'!A:D,4,0)</f>
        <v>rPET</v>
      </c>
      <c r="F97" s="986" t="s">
        <v>100</v>
      </c>
      <c r="G97" s="82" t="s">
        <v>99</v>
      </c>
      <c r="H97" s="257" t="str">
        <f>IFERROR(VLOOKUP(F97,'Quy đổi'!A:C,3,0),"-")</f>
        <v>iSS01G</v>
      </c>
      <c r="I97" s="1098">
        <v>22000</v>
      </c>
      <c r="J97" s="1098">
        <v>782012000</v>
      </c>
      <c r="K97" s="1098">
        <v>782012000</v>
      </c>
      <c r="L97" s="1104">
        <v>83381276</v>
      </c>
      <c r="O97" s="1097">
        <f t="shared" si="33"/>
        <v>698630724</v>
      </c>
      <c r="P97" s="1096">
        <f t="shared" si="19"/>
        <v>31755.941999999999</v>
      </c>
      <c r="Q97" s="1096">
        <f t="shared" si="20"/>
        <v>1250.726348956282</v>
      </c>
      <c r="R97" s="1099">
        <v>552857524</v>
      </c>
      <c r="S97" s="1096">
        <f t="shared" si="34"/>
        <v>25129.887454545453</v>
      </c>
      <c r="T97" s="1096">
        <f t="shared" si="16"/>
        <v>1025.7096920222634</v>
      </c>
      <c r="U97" s="1096">
        <f t="shared" si="21"/>
        <v>145773200</v>
      </c>
      <c r="V97" s="1102">
        <f t="shared" si="22"/>
        <v>0.18640788120898399</v>
      </c>
      <c r="W97" s="1098">
        <v>25390</v>
      </c>
      <c r="X97" s="1181">
        <f t="shared" si="29"/>
        <v>27515.979677038205</v>
      </c>
      <c r="Y97" s="1181">
        <f t="shared" si="30"/>
        <v>30800</v>
      </c>
      <c r="Z97" s="1181">
        <f t="shared" si="31"/>
        <v>5741.3627412367077</v>
      </c>
      <c r="AA97" s="1181">
        <f t="shared" si="32"/>
        <v>21774.616935801496</v>
      </c>
      <c r="AB97" s="1054">
        <v>1260</v>
      </c>
      <c r="AC97" s="1098">
        <f t="shared" si="27"/>
        <v>1250.7263489562822</v>
      </c>
      <c r="AD97" s="1054">
        <f t="shared" si="28"/>
        <v>-9.2736510437177913</v>
      </c>
    </row>
    <row r="98" spans="1:30" hidden="1" x14ac:dyDescent="0.35">
      <c r="A98" s="179">
        <v>2</v>
      </c>
      <c r="B98" s="880" t="s">
        <v>26</v>
      </c>
      <c r="C98" s="986" t="s">
        <v>140</v>
      </c>
      <c r="D98" s="83" t="s">
        <v>139</v>
      </c>
      <c r="E98" s="399" t="str">
        <f>VLOOKUP(F98,'Quy đổi'!A:D,4,0)</f>
        <v>rPET</v>
      </c>
      <c r="F98" s="986" t="s">
        <v>100</v>
      </c>
      <c r="G98" s="82" t="s">
        <v>99</v>
      </c>
      <c r="H98" s="257" t="str">
        <f>IFERROR(VLOOKUP(F98,'Quy đổi'!A:C,3,0),"-")</f>
        <v>iSS01G</v>
      </c>
      <c r="I98" s="1098">
        <v>110000</v>
      </c>
      <c r="J98" s="1098">
        <v>3783384000</v>
      </c>
      <c r="K98" s="1098">
        <v>3783384000</v>
      </c>
      <c r="L98" s="1104">
        <v>248400000</v>
      </c>
      <c r="O98" s="1097">
        <f t="shared" si="33"/>
        <v>3534984000</v>
      </c>
      <c r="P98" s="1096">
        <f t="shared" si="19"/>
        <v>32136.218181818182</v>
      </c>
      <c r="Q98" s="1096">
        <f t="shared" si="20"/>
        <v>1265.7037487915786</v>
      </c>
      <c r="R98" s="1099">
        <v>2764287620</v>
      </c>
      <c r="S98" s="1096">
        <f t="shared" si="34"/>
        <v>25129.887454545453</v>
      </c>
      <c r="T98" s="1096">
        <f t="shared" si="16"/>
        <v>1025.7096920222634</v>
      </c>
      <c r="U98" s="1096">
        <f t="shared" si="21"/>
        <v>770696380</v>
      </c>
      <c r="V98" s="1102">
        <f t="shared" si="22"/>
        <v>0.20370556623382666</v>
      </c>
      <c r="W98" s="1098">
        <v>25390</v>
      </c>
      <c r="X98" s="1181">
        <f t="shared" si="29"/>
        <v>139227.41236707364</v>
      </c>
      <c r="Y98" s="1181">
        <f t="shared" si="30"/>
        <v>149010.791650256</v>
      </c>
      <c r="Z98" s="1181">
        <f t="shared" si="31"/>
        <v>30354.327688066169</v>
      </c>
      <c r="AA98" s="1181">
        <f t="shared" si="32"/>
        <v>108873.08467900749</v>
      </c>
      <c r="AB98" s="1054">
        <v>1260</v>
      </c>
      <c r="AC98" s="1098">
        <f t="shared" si="27"/>
        <v>1265.7037487915786</v>
      </c>
      <c r="AD98" s="1054">
        <f t="shared" si="28"/>
        <v>5.7037487915786187</v>
      </c>
    </row>
    <row r="99" spans="1:30" hidden="1" x14ac:dyDescent="0.35">
      <c r="A99" s="179">
        <v>2</v>
      </c>
      <c r="B99" s="880" t="s">
        <v>26</v>
      </c>
      <c r="C99" s="986" t="s">
        <v>243</v>
      </c>
      <c r="D99" s="83" t="s">
        <v>244</v>
      </c>
      <c r="E99" s="399" t="str">
        <f>VLOOKUP(F99,'Quy đổi'!A:D,4,0)</f>
        <v>rPET</v>
      </c>
      <c r="F99" s="986" t="s">
        <v>100</v>
      </c>
      <c r="G99" s="82" t="s">
        <v>99</v>
      </c>
      <c r="H99" s="257" t="str">
        <f>IFERROR(VLOOKUP(F99,'Quy đổi'!A:C,3,0),"-")</f>
        <v>iSS01G</v>
      </c>
      <c r="I99" s="1098">
        <v>22000</v>
      </c>
      <c r="J99" s="1098">
        <v>708279000</v>
      </c>
      <c r="K99" s="1098">
        <v>708279000</v>
      </c>
      <c r="L99" s="1104">
        <v>15397937</v>
      </c>
      <c r="O99" s="1097">
        <f t="shared" si="33"/>
        <v>692881063</v>
      </c>
      <c r="P99" s="1096">
        <f t="shared" si="19"/>
        <v>31494.593772727272</v>
      </c>
      <c r="Q99" s="1096">
        <f t="shared" si="20"/>
        <v>1240.4329961688568</v>
      </c>
      <c r="R99" s="1099">
        <v>552857524</v>
      </c>
      <c r="S99" s="1096">
        <f t="shared" si="34"/>
        <v>25129.887454545453</v>
      </c>
      <c r="T99" s="1096">
        <f t="shared" si="16"/>
        <v>1025.7096920222634</v>
      </c>
      <c r="U99" s="1096">
        <f t="shared" si="21"/>
        <v>140023539</v>
      </c>
      <c r="V99" s="1102">
        <f t="shared" si="22"/>
        <v>0.19769545475723549</v>
      </c>
      <c r="W99" s="1098">
        <v>25390</v>
      </c>
      <c r="X99" s="1181">
        <f t="shared" si="29"/>
        <v>27289.525915714847</v>
      </c>
      <c r="Y99" s="1181">
        <f t="shared" si="30"/>
        <v>27895.982670342655</v>
      </c>
      <c r="Z99" s="1181">
        <f t="shared" si="31"/>
        <v>5514.9089799133517</v>
      </c>
      <c r="AA99" s="1181">
        <f t="shared" si="32"/>
        <v>21774.616935801496</v>
      </c>
      <c r="AB99" s="1054">
        <v>1260</v>
      </c>
      <c r="AC99" s="1098">
        <f t="shared" si="27"/>
        <v>1240.4329961688568</v>
      </c>
      <c r="AD99" s="1054">
        <f t="shared" si="28"/>
        <v>-19.567003831143211</v>
      </c>
    </row>
    <row r="100" spans="1:30" hidden="1" x14ac:dyDescent="0.35">
      <c r="A100" s="179">
        <v>2</v>
      </c>
      <c r="B100" s="880" t="s">
        <v>26</v>
      </c>
      <c r="C100" s="986" t="s">
        <v>243</v>
      </c>
      <c r="D100" s="83" t="s">
        <v>244</v>
      </c>
      <c r="E100" s="399" t="str">
        <f>VLOOKUP(F100,'Quy đổi'!A:D,4,0)</f>
        <v>rPET</v>
      </c>
      <c r="F100" s="986" t="s">
        <v>102</v>
      </c>
      <c r="G100" s="82" t="s">
        <v>101</v>
      </c>
      <c r="H100" s="257" t="str">
        <f>IFERROR(VLOOKUP(F100,'Quy đổi'!A:C,3,0),"-")</f>
        <v>WSS03G</v>
      </c>
      <c r="I100" s="1098">
        <v>22000</v>
      </c>
      <c r="J100" s="1098">
        <v>613470000</v>
      </c>
      <c r="K100" s="1098">
        <v>613470000</v>
      </c>
      <c r="L100" s="1104">
        <v>15397937</v>
      </c>
      <c r="O100" s="1097">
        <f t="shared" si="33"/>
        <v>598072063</v>
      </c>
      <c r="P100" s="1096">
        <f t="shared" si="19"/>
        <v>27185.093772727272</v>
      </c>
      <c r="Q100" s="1096">
        <f t="shared" si="20"/>
        <v>1070.700818146013</v>
      </c>
      <c r="R100" s="1099">
        <v>578193865</v>
      </c>
      <c r="S100" s="1096">
        <f t="shared" si="34"/>
        <v>26281.539318181818</v>
      </c>
      <c r="T100" s="1096">
        <f t="shared" si="16"/>
        <v>1072.7158905380334</v>
      </c>
      <c r="U100" s="1096">
        <f t="shared" si="21"/>
        <v>19878198</v>
      </c>
      <c r="V100" s="1102">
        <f t="shared" si="22"/>
        <v>3.2402885226661453E-2</v>
      </c>
      <c r="W100" s="1098">
        <v>25390</v>
      </c>
      <c r="X100" s="1181">
        <f t="shared" si="29"/>
        <v>23555.417999212288</v>
      </c>
      <c r="Y100" s="1181">
        <f t="shared" si="30"/>
        <v>24161.874753840093</v>
      </c>
      <c r="Z100" s="1181">
        <f t="shared" si="31"/>
        <v>782.91445450964943</v>
      </c>
      <c r="AA100" s="1181">
        <f t="shared" si="32"/>
        <v>22772.503544702638</v>
      </c>
      <c r="AB100" s="1054">
        <v>1160</v>
      </c>
      <c r="AC100" s="1098">
        <f t="shared" si="27"/>
        <v>1070.700818146013</v>
      </c>
      <c r="AD100" s="1054">
        <f t="shared" si="28"/>
        <v>-89.299181853986966</v>
      </c>
    </row>
    <row r="101" spans="1:30" hidden="1" x14ac:dyDescent="0.35">
      <c r="A101" s="179">
        <v>2</v>
      </c>
      <c r="B101" s="880" t="s">
        <v>26</v>
      </c>
      <c r="C101" s="986" t="s">
        <v>362</v>
      </c>
      <c r="D101" s="83" t="s">
        <v>363</v>
      </c>
      <c r="E101" s="399" t="str">
        <f>VLOOKUP(F101,'Quy đổi'!A:D,4,0)</f>
        <v>rPET</v>
      </c>
      <c r="F101" s="986" t="s">
        <v>100</v>
      </c>
      <c r="G101" s="82" t="s">
        <v>99</v>
      </c>
      <c r="H101" s="257" t="str">
        <f>IFERROR(VLOOKUP(F101,'Quy đổi'!A:C,3,0),"-")</f>
        <v>iSS01G</v>
      </c>
      <c r="I101" s="1098">
        <v>330000</v>
      </c>
      <c r="J101" s="1098">
        <v>10423413000</v>
      </c>
      <c r="K101" s="1098">
        <v>10423413000</v>
      </c>
      <c r="L101" s="1104">
        <v>142037444</v>
      </c>
      <c r="O101" s="1097">
        <f t="shared" si="33"/>
        <v>10281375556</v>
      </c>
      <c r="P101" s="1096">
        <f t="shared" si="19"/>
        <v>31155.683503030305</v>
      </c>
      <c r="Q101" s="1096">
        <f t="shared" si="20"/>
        <v>1227.0848169763806</v>
      </c>
      <c r="R101" s="1099">
        <v>8292862860</v>
      </c>
      <c r="S101" s="1096">
        <f t="shared" si="34"/>
        <v>25129.887454545453</v>
      </c>
      <c r="T101" s="1096">
        <f t="shared" ref="T101:T105" si="35">S101/24.5</f>
        <v>1025.7096920222634</v>
      </c>
      <c r="U101" s="1096">
        <f t="shared" si="21"/>
        <v>1988512696</v>
      </c>
      <c r="V101" s="1102">
        <f t="shared" si="22"/>
        <v>0.19077366463364734</v>
      </c>
      <c r="W101" s="1098">
        <v>25390</v>
      </c>
      <c r="X101" s="1181">
        <f t="shared" si="29"/>
        <v>404937.98960220558</v>
      </c>
      <c r="Y101" s="1181">
        <f t="shared" si="30"/>
        <v>410532.21740842849</v>
      </c>
      <c r="Z101" s="1181">
        <f t="shared" si="31"/>
        <v>78318.735565183146</v>
      </c>
      <c r="AA101" s="1181">
        <f t="shared" si="32"/>
        <v>326619.25403702247</v>
      </c>
      <c r="AB101" s="1054">
        <v>1260</v>
      </c>
      <c r="AC101" s="1098">
        <f t="shared" si="27"/>
        <v>1227.0848169763806</v>
      </c>
      <c r="AD101" s="1054">
        <f t="shared" si="28"/>
        <v>-32.91518302361942</v>
      </c>
    </row>
    <row r="102" spans="1:30" hidden="1" x14ac:dyDescent="0.35">
      <c r="A102" s="179">
        <v>2</v>
      </c>
      <c r="B102" s="880" t="s">
        <v>26</v>
      </c>
      <c r="C102" s="986" t="s">
        <v>528</v>
      </c>
      <c r="D102" s="83" t="s">
        <v>529</v>
      </c>
      <c r="E102" s="399" t="str">
        <f>VLOOKUP(F102,'Quy đổi'!A:D,4,0)</f>
        <v>rPET</v>
      </c>
      <c r="F102" s="986" t="s">
        <v>100</v>
      </c>
      <c r="G102" s="82" t="s">
        <v>99</v>
      </c>
      <c r="H102" s="257" t="str">
        <f>IFERROR(VLOOKUP(F102,'Quy đổi'!A:C,3,0),"-")</f>
        <v>iSS01G</v>
      </c>
      <c r="I102" s="1098">
        <v>22000</v>
      </c>
      <c r="J102" s="1098">
        <v>800371000</v>
      </c>
      <c r="K102" s="1098">
        <v>800371000</v>
      </c>
      <c r="L102" s="1104">
        <v>103874956</v>
      </c>
      <c r="O102" s="1097">
        <f t="shared" si="33"/>
        <v>696496044</v>
      </c>
      <c r="P102" s="1096">
        <f t="shared" si="19"/>
        <v>31658.911090909092</v>
      </c>
      <c r="Q102" s="1096">
        <f t="shared" si="20"/>
        <v>1246.9047298506928</v>
      </c>
      <c r="R102" s="1099">
        <v>552857524</v>
      </c>
      <c r="S102" s="1096">
        <f t="shared" si="34"/>
        <v>25129.887454545453</v>
      </c>
      <c r="T102" s="1096">
        <f t="shared" si="35"/>
        <v>1025.7096920222634</v>
      </c>
      <c r="U102" s="1096">
        <f t="shared" si="21"/>
        <v>143638520</v>
      </c>
      <c r="V102" s="1102">
        <f t="shared" si="22"/>
        <v>0.17946492314189294</v>
      </c>
      <c r="W102" s="1098">
        <v>25390</v>
      </c>
      <c r="X102" s="1181">
        <f t="shared" si="29"/>
        <v>27431.904056715241</v>
      </c>
      <c r="Y102" s="1181">
        <f t="shared" si="30"/>
        <v>31523.079952737298</v>
      </c>
      <c r="Z102" s="1181">
        <f t="shared" si="31"/>
        <v>5657.2871209137456</v>
      </c>
      <c r="AA102" s="1181">
        <f t="shared" si="32"/>
        <v>21774.616935801496</v>
      </c>
      <c r="AB102" s="1054">
        <v>1260</v>
      </c>
      <c r="AC102" s="1098">
        <f t="shared" si="27"/>
        <v>1246.9047298506928</v>
      </c>
      <c r="AD102" s="1054">
        <f t="shared" si="28"/>
        <v>-13.095270149307225</v>
      </c>
    </row>
    <row r="103" spans="1:30" hidden="1" x14ac:dyDescent="0.35">
      <c r="A103" s="179">
        <v>2</v>
      </c>
      <c r="B103" s="880" t="s">
        <v>26</v>
      </c>
      <c r="C103" s="986" t="s">
        <v>530</v>
      </c>
      <c r="D103" s="83" t="s">
        <v>531</v>
      </c>
      <c r="E103" s="399" t="str">
        <f>VLOOKUP(F103,'Quy đổi'!A:D,4,0)</f>
        <v>rPET</v>
      </c>
      <c r="F103" s="986" t="s">
        <v>100</v>
      </c>
      <c r="G103" s="82" t="s">
        <v>99</v>
      </c>
      <c r="H103" s="257" t="str">
        <f>IFERROR(VLOOKUP(F103,'Quy đổi'!A:C,3,0),"-")</f>
        <v>iSS01G</v>
      </c>
      <c r="I103" s="1098">
        <v>440000</v>
      </c>
      <c r="J103" s="1098">
        <v>15166438320</v>
      </c>
      <c r="K103" s="1098">
        <v>15166438320</v>
      </c>
      <c r="L103" s="1104">
        <v>1239442625</v>
      </c>
      <c r="O103" s="1097">
        <f t="shared" si="33"/>
        <v>13926995695</v>
      </c>
      <c r="P103" s="1096">
        <f t="shared" si="19"/>
        <v>31652.262943181817</v>
      </c>
      <c r="Q103" s="1096">
        <f t="shared" si="20"/>
        <v>1246.6428886641124</v>
      </c>
      <c r="R103" s="1099">
        <v>11057150480</v>
      </c>
      <c r="S103" s="1096">
        <f t="shared" si="34"/>
        <v>25129.887454545453</v>
      </c>
      <c r="T103" s="1096">
        <f t="shared" si="35"/>
        <v>1025.7096920222634</v>
      </c>
      <c r="U103" s="1096">
        <f t="shared" si="21"/>
        <v>2869845215</v>
      </c>
      <c r="V103" s="1102">
        <f t="shared" si="22"/>
        <v>0.1892234125408028</v>
      </c>
      <c r="W103" s="1098">
        <v>25390</v>
      </c>
      <c r="X103" s="1181">
        <f t="shared" si="29"/>
        <v>548522.87101220957</v>
      </c>
      <c r="Y103" s="1181">
        <f t="shared" si="30"/>
        <v>597339.04371799924</v>
      </c>
      <c r="Z103" s="1181">
        <f t="shared" si="31"/>
        <v>113030.5322961796</v>
      </c>
      <c r="AA103" s="1181">
        <f t="shared" si="32"/>
        <v>435492.33871602995</v>
      </c>
      <c r="AB103" s="1054">
        <v>1260</v>
      </c>
      <c r="AC103" s="1098">
        <f t="shared" si="27"/>
        <v>1246.6428886641124</v>
      </c>
      <c r="AD103" s="1054">
        <f t="shared" si="28"/>
        <v>-13.357111335887566</v>
      </c>
    </row>
    <row r="104" spans="1:30" hidden="1" x14ac:dyDescent="0.35">
      <c r="A104" s="179">
        <v>2</v>
      </c>
      <c r="B104" s="880" t="s">
        <v>26</v>
      </c>
      <c r="C104" s="986" t="s">
        <v>532</v>
      </c>
      <c r="D104" s="83" t="s">
        <v>533</v>
      </c>
      <c r="E104" s="399" t="str">
        <f>VLOOKUP(F104,'Quy đổi'!A:D,4,0)</f>
        <v>rPET</v>
      </c>
      <c r="F104" s="986" t="s">
        <v>100</v>
      </c>
      <c r="G104" s="82" t="s">
        <v>99</v>
      </c>
      <c r="H104" s="257" t="str">
        <f>IFERROR(VLOOKUP(F104,'Quy đổi'!A:C,3,0),"-")</f>
        <v>iSS01G</v>
      </c>
      <c r="I104" s="1098">
        <v>220000</v>
      </c>
      <c r="J104" s="1098">
        <v>6907758000</v>
      </c>
      <c r="K104" s="1098">
        <v>6907758000</v>
      </c>
      <c r="L104" s="1104">
        <v>92914889</v>
      </c>
      <c r="O104" s="1097">
        <f t="shared" si="33"/>
        <v>6814843111</v>
      </c>
      <c r="P104" s="1096">
        <f t="shared" si="19"/>
        <v>30976.559595454546</v>
      </c>
      <c r="Q104" s="1096">
        <f t="shared" si="20"/>
        <v>1220.0299171112463</v>
      </c>
      <c r="R104" s="1099">
        <v>5528575240</v>
      </c>
      <c r="S104" s="1096">
        <f t="shared" si="34"/>
        <v>25129.887454545453</v>
      </c>
      <c r="T104" s="1096">
        <f t="shared" si="35"/>
        <v>1025.7096920222634</v>
      </c>
      <c r="U104" s="1096">
        <f t="shared" si="21"/>
        <v>1286267871</v>
      </c>
      <c r="V104" s="1102">
        <f t="shared" si="22"/>
        <v>0.18620627286016678</v>
      </c>
      <c r="W104" s="1098">
        <v>25390</v>
      </c>
      <c r="X104" s="1181">
        <f t="shared" si="29"/>
        <v>268406.58176447422</v>
      </c>
      <c r="Y104" s="1181">
        <f t="shared" si="30"/>
        <v>272066.08901142183</v>
      </c>
      <c r="Z104" s="1181">
        <f t="shared" si="31"/>
        <v>50660.412406459232</v>
      </c>
      <c r="AA104" s="1181">
        <f t="shared" si="32"/>
        <v>217746.16935801497</v>
      </c>
      <c r="AB104" s="1054">
        <v>1260</v>
      </c>
      <c r="AC104" s="1098">
        <f t="shared" si="27"/>
        <v>1220.0299171112465</v>
      </c>
      <c r="AD104" s="1054">
        <f t="shared" si="28"/>
        <v>-39.970082888753495</v>
      </c>
    </row>
    <row r="105" spans="1:30" hidden="1" x14ac:dyDescent="0.35">
      <c r="A105" s="179">
        <v>2</v>
      </c>
      <c r="B105" s="880" t="s">
        <v>26</v>
      </c>
      <c r="C105" s="986" t="s">
        <v>534</v>
      </c>
      <c r="D105" s="83" t="s">
        <v>535</v>
      </c>
      <c r="E105" s="399" t="str">
        <f>VLOOKUP(F105,'Quy đổi'!A:D,4,0)</f>
        <v>rPET</v>
      </c>
      <c r="F105" s="986" t="s">
        <v>100</v>
      </c>
      <c r="G105" s="82" t="s">
        <v>99</v>
      </c>
      <c r="H105" s="257" t="str">
        <f>IFERROR(VLOOKUP(F105,'Quy đổi'!A:C,3,0),"-")</f>
        <v>iSS01G</v>
      </c>
      <c r="I105" s="1098">
        <v>66000</v>
      </c>
      <c r="J105" s="1098">
        <v>2417629500</v>
      </c>
      <c r="K105" s="1098">
        <v>2417629500</v>
      </c>
      <c r="L105" s="1104">
        <v>237271968</v>
      </c>
      <c r="M105" s="1056">
        <v>33462000</v>
      </c>
      <c r="O105" s="1097">
        <f t="shared" si="33"/>
        <v>2146895532</v>
      </c>
      <c r="P105" s="1096">
        <f t="shared" si="19"/>
        <v>32528.720181818182</v>
      </c>
      <c r="Q105" s="1096">
        <f t="shared" si="20"/>
        <v>1281.162669626553</v>
      </c>
      <c r="R105" s="1099">
        <v>1658572572</v>
      </c>
      <c r="S105" s="1096">
        <f t="shared" si="34"/>
        <v>25129.887454545453</v>
      </c>
      <c r="T105" s="1096">
        <f t="shared" si="35"/>
        <v>1025.7096920222634</v>
      </c>
      <c r="U105" s="1096">
        <f t="shared" si="21"/>
        <v>488322960</v>
      </c>
      <c r="V105" s="1102">
        <f t="shared" si="22"/>
        <v>0.2019841998122541</v>
      </c>
      <c r="W105" s="1098">
        <v>25390</v>
      </c>
      <c r="X105" s="1181">
        <f t="shared" si="29"/>
        <v>84556.736195352496</v>
      </c>
      <c r="Y105" s="1181">
        <f t="shared" si="30"/>
        <v>95219.751870815278</v>
      </c>
      <c r="Z105" s="1181">
        <f t="shared" si="31"/>
        <v>19232.885387948012</v>
      </c>
      <c r="AA105" s="1181">
        <f t="shared" si="32"/>
        <v>65323.850807404488</v>
      </c>
      <c r="AB105" s="1054">
        <v>1260</v>
      </c>
      <c r="AC105" s="1098">
        <f t="shared" si="27"/>
        <v>1281.162669626553</v>
      </c>
      <c r="AD105" s="1054">
        <f t="shared" si="28"/>
        <v>21.162669626552997</v>
      </c>
    </row>
    <row r="106" spans="1:30" hidden="1" x14ac:dyDescent="0.35">
      <c r="A106" s="179">
        <v>3</v>
      </c>
      <c r="B106" s="880" t="s">
        <v>22</v>
      </c>
      <c r="C106" s="986" t="s">
        <v>628</v>
      </c>
      <c r="D106" s="83" t="s">
        <v>1030</v>
      </c>
      <c r="E106" s="399" t="str">
        <f>VLOOKUP(F106,'Quy đổi'!A:D,4,0)</f>
        <v>rPET</v>
      </c>
      <c r="F106" s="986" t="s">
        <v>127</v>
      </c>
      <c r="G106" s="82" t="s">
        <v>114</v>
      </c>
      <c r="H106" s="257" t="str">
        <f>IFERROR(VLOOKUP(F106,'Quy đổi'!A:C,3,0),"-")</f>
        <v>iSS01084G</v>
      </c>
      <c r="I106" s="1098">
        <v>88000</v>
      </c>
      <c r="J106" s="1098">
        <v>3183576000</v>
      </c>
      <c r="K106" s="1098">
        <f>3183576000-94442040</f>
        <v>3089133960</v>
      </c>
      <c r="L106" s="1104">
        <f>22000*160+22000*200+44000*140</f>
        <v>14080000</v>
      </c>
      <c r="O106" s="1097">
        <f t="shared" si="33"/>
        <v>3075053960</v>
      </c>
      <c r="P106" s="1096">
        <f t="shared" si="19"/>
        <v>34943.794999999998</v>
      </c>
      <c r="Q106" s="1096">
        <f t="shared" si="20"/>
        <v>1375.7399606299211</v>
      </c>
      <c r="R106" s="1099">
        <v>2321433900</v>
      </c>
      <c r="S106" s="1096">
        <f t="shared" ref="S106:S169" si="36">R106/I106</f>
        <v>26379.930681818183</v>
      </c>
      <c r="T106" s="1096">
        <f t="shared" ref="T106:T169" si="37">S106/24.5</f>
        <v>1076.7318645640075</v>
      </c>
      <c r="U106" s="1096">
        <f t="shared" ref="U106:U169" si="38">O106-R106</f>
        <v>753620060</v>
      </c>
      <c r="V106" s="1102">
        <f t="shared" ref="V106:V169" si="39">U106/K106</f>
        <v>0.24395836171507435</v>
      </c>
      <c r="W106" s="1098">
        <v>25400</v>
      </c>
      <c r="X106" s="1106">
        <f t="shared" si="29"/>
        <v>121065.11653543307</v>
      </c>
      <c r="Y106" s="1106">
        <f t="shared" si="30"/>
        <v>121619.44724409448</v>
      </c>
      <c r="Z106" s="1106">
        <f t="shared" si="31"/>
        <v>29670.081102362205</v>
      </c>
      <c r="AA106" s="1106">
        <f t="shared" si="32"/>
        <v>91395.035433070865</v>
      </c>
      <c r="AB106" s="1098">
        <v>1320</v>
      </c>
      <c r="AC106" s="1098">
        <f>X106/I106*1000</f>
        <v>1375.7399606299211</v>
      </c>
      <c r="AD106" s="1098">
        <f>AC106-AB106</f>
        <v>55.739960629921143</v>
      </c>
    </row>
    <row r="107" spans="1:30" hidden="1" x14ac:dyDescent="0.35">
      <c r="A107" s="179">
        <v>3</v>
      </c>
      <c r="B107" s="880" t="s">
        <v>22</v>
      </c>
      <c r="C107" s="986" t="s">
        <v>181</v>
      </c>
      <c r="D107" s="83" t="s">
        <v>182</v>
      </c>
      <c r="E107" s="399" t="str">
        <f>VLOOKUP(F107,'Quy đổi'!A:D,4,0)</f>
        <v>rPET</v>
      </c>
      <c r="F107" s="986" t="s">
        <v>127</v>
      </c>
      <c r="G107" s="82" t="s">
        <v>114</v>
      </c>
      <c r="H107" s="257" t="str">
        <f>IFERROR(VLOOKUP(F107,'Quy đổi'!A:C,3,0),"-")</f>
        <v>iSS01084G</v>
      </c>
      <c r="I107" s="1098">
        <v>66000</v>
      </c>
      <c r="J107" s="1098">
        <v>2418042000</v>
      </c>
      <c r="K107" s="1098">
        <f>2418042000-165516120</f>
        <v>2252525880</v>
      </c>
      <c r="L107" s="1104">
        <f>14074074.0740741*3</f>
        <v>42222222.222222298</v>
      </c>
      <c r="O107" s="1097">
        <f t="shared" si="33"/>
        <v>2210303657.7777777</v>
      </c>
      <c r="P107" s="1096">
        <f t="shared" si="19"/>
        <v>33489.449360269362</v>
      </c>
      <c r="Q107" s="1096">
        <f t="shared" si="20"/>
        <v>1318.4822582783213</v>
      </c>
      <c r="R107" s="1099">
        <v>1741075425</v>
      </c>
      <c r="S107" s="1096">
        <f t="shared" si="36"/>
        <v>26379.930681818183</v>
      </c>
      <c r="T107" s="1096">
        <f t="shared" si="37"/>
        <v>1076.7318645640075</v>
      </c>
      <c r="U107" s="1096">
        <f t="shared" si="38"/>
        <v>469228232.77777767</v>
      </c>
      <c r="V107" s="1102">
        <f t="shared" si="39"/>
        <v>0.20831202737514282</v>
      </c>
      <c r="W107" s="1098">
        <v>25400</v>
      </c>
      <c r="X107" s="1106">
        <f t="shared" ref="X107:X170" si="40">O107/W107</f>
        <v>87019.829046369196</v>
      </c>
      <c r="Y107" s="1106">
        <f t="shared" ref="Y107:Y170" si="41">K107/W107</f>
        <v>88682.121259842519</v>
      </c>
      <c r="Z107" s="1106">
        <f t="shared" ref="Z107:Z170" si="42">U107/W107</f>
        <v>18473.55247156605</v>
      </c>
      <c r="AA107" s="1106">
        <f t="shared" ref="AA107:AA170" si="43">R107/W107</f>
        <v>68546.276574803152</v>
      </c>
      <c r="AB107" s="1098">
        <v>1320</v>
      </c>
      <c r="AC107" s="1098">
        <f t="shared" si="27"/>
        <v>1318.4822582783211</v>
      </c>
      <c r="AD107" s="1098">
        <f t="shared" ref="AD107:AD123" si="44">AC107-AB107</f>
        <v>-1.5177417216789308</v>
      </c>
    </row>
    <row r="108" spans="1:30" hidden="1" x14ac:dyDescent="0.35">
      <c r="A108" s="179">
        <v>3</v>
      </c>
      <c r="B108" s="880" t="s">
        <v>26</v>
      </c>
      <c r="C108" s="986" t="s">
        <v>629</v>
      </c>
      <c r="D108" s="83" t="s">
        <v>630</v>
      </c>
      <c r="E108" s="399" t="str">
        <f>VLOOKUP(F108,'Quy đổi'!A:D,4,0)</f>
        <v>rPET</v>
      </c>
      <c r="F108" s="986" t="s">
        <v>645</v>
      </c>
      <c r="G108" s="82" t="s">
        <v>646</v>
      </c>
      <c r="H108" s="257" t="str">
        <f>IFERROR(VLOOKUP(F108,'Quy đổi'!A:C,3,0),"-")</f>
        <v>WSS01L</v>
      </c>
      <c r="I108" s="1098">
        <v>1100</v>
      </c>
      <c r="J108" s="1098">
        <v>33047080</v>
      </c>
      <c r="K108" s="1098">
        <v>33047080</v>
      </c>
      <c r="L108" s="1104">
        <f>6592388-540000</f>
        <v>6052388</v>
      </c>
      <c r="O108" s="1097">
        <f t="shared" si="33"/>
        <v>26994692</v>
      </c>
      <c r="P108" s="1096">
        <f t="shared" si="19"/>
        <v>24540.629090909089</v>
      </c>
      <c r="Q108" s="1096">
        <f t="shared" si="20"/>
        <v>966.16649964209012</v>
      </c>
      <c r="R108" s="1099">
        <v>27929767</v>
      </c>
      <c r="S108" s="1096">
        <f t="shared" si="36"/>
        <v>25390.697272727273</v>
      </c>
      <c r="T108" s="1096">
        <f t="shared" si="37"/>
        <v>1036.3549907235622</v>
      </c>
      <c r="U108" s="1096">
        <f t="shared" si="38"/>
        <v>-935075</v>
      </c>
      <c r="V108" s="1102">
        <f t="shared" si="39"/>
        <v>-2.8295238187458618E-2</v>
      </c>
      <c r="W108" s="1098">
        <v>25400</v>
      </c>
      <c r="X108" s="1106">
        <f t="shared" si="40"/>
        <v>1062.7831496062993</v>
      </c>
      <c r="Y108" s="1106">
        <f t="shared" si="41"/>
        <v>1301.0661417322835</v>
      </c>
      <c r="Z108" s="1106">
        <f t="shared" si="42"/>
        <v>-36.813976377952756</v>
      </c>
      <c r="AA108" s="1106">
        <f t="shared" si="43"/>
        <v>1099.597125984252</v>
      </c>
      <c r="AB108" s="1054">
        <v>1230</v>
      </c>
      <c r="AC108" s="1098">
        <f t="shared" si="27"/>
        <v>966.16649964209023</v>
      </c>
      <c r="AD108" s="1054">
        <f t="shared" si="44"/>
        <v>-263.83350035790977</v>
      </c>
    </row>
    <row r="109" spans="1:30" hidden="1" x14ac:dyDescent="0.35">
      <c r="A109" s="179">
        <v>3</v>
      </c>
      <c r="B109" s="880" t="s">
        <v>26</v>
      </c>
      <c r="C109" s="986" t="s">
        <v>631</v>
      </c>
      <c r="D109" s="83" t="s">
        <v>632</v>
      </c>
      <c r="E109" s="399" t="str">
        <f>VLOOKUP(F109,'Quy đổi'!A:D,4,0)</f>
        <v>rPET</v>
      </c>
      <c r="F109" s="986" t="s">
        <v>127</v>
      </c>
      <c r="G109" s="82" t="s">
        <v>114</v>
      </c>
      <c r="H109" s="257" t="str">
        <f>IFERROR(VLOOKUP(F109,'Quy đổi'!A:C,3,0),"-")</f>
        <v>iSS01084G</v>
      </c>
      <c r="I109" s="1098">
        <v>1100</v>
      </c>
      <c r="J109" s="1098">
        <v>37528040</v>
      </c>
      <c r="K109" s="1098">
        <v>37528040</v>
      </c>
      <c r="L109" s="1104">
        <f>14060290/22000*I109</f>
        <v>703014.5</v>
      </c>
      <c r="O109" s="1097">
        <f t="shared" si="33"/>
        <v>36825025.5</v>
      </c>
      <c r="P109" s="1096">
        <f t="shared" si="19"/>
        <v>33477.295909090906</v>
      </c>
      <c r="Q109" s="1096">
        <f t="shared" si="20"/>
        <v>1318.0037759484608</v>
      </c>
      <c r="R109" s="1099">
        <v>29017924</v>
      </c>
      <c r="S109" s="1096">
        <f t="shared" si="36"/>
        <v>26379.930909090908</v>
      </c>
      <c r="T109" s="1096">
        <f t="shared" si="37"/>
        <v>1076.7318738404451</v>
      </c>
      <c r="U109" s="1096">
        <f t="shared" si="38"/>
        <v>7807101.5</v>
      </c>
      <c r="V109" s="1102">
        <f t="shared" si="39"/>
        <v>0.20803381951202354</v>
      </c>
      <c r="W109" s="1098">
        <v>25400</v>
      </c>
      <c r="X109" s="1106">
        <f t="shared" si="40"/>
        <v>1449.8041535433072</v>
      </c>
      <c r="Y109" s="1106">
        <f t="shared" si="41"/>
        <v>1477.4818897637795</v>
      </c>
      <c r="Z109" s="1106">
        <f t="shared" si="42"/>
        <v>307.36620078740157</v>
      </c>
      <c r="AA109" s="1106">
        <f t="shared" si="43"/>
        <v>1142.4379527559056</v>
      </c>
      <c r="AB109" s="1054">
        <v>1320</v>
      </c>
      <c r="AC109" s="1098">
        <f t="shared" si="27"/>
        <v>1318.003775948461</v>
      </c>
      <c r="AD109" s="1054">
        <f t="shared" si="44"/>
        <v>-1.9962240515390022</v>
      </c>
    </row>
    <row r="110" spans="1:30" hidden="1" x14ac:dyDescent="0.35">
      <c r="A110" s="179">
        <v>3</v>
      </c>
      <c r="B110" s="880" t="s">
        <v>26</v>
      </c>
      <c r="C110" s="986" t="s">
        <v>631</v>
      </c>
      <c r="D110" s="83" t="s">
        <v>632</v>
      </c>
      <c r="E110" s="399" t="str">
        <f>VLOOKUP(F110,'Quy đổi'!A:D,4,0)</f>
        <v>rPET</v>
      </c>
      <c r="F110" s="986" t="s">
        <v>110</v>
      </c>
      <c r="G110" s="82" t="s">
        <v>109</v>
      </c>
      <c r="H110" s="257" t="str">
        <f>IFERROR(VLOOKUP(F110,'Quy đổi'!A:C,3,0),"-")</f>
        <v>WSS01G</v>
      </c>
      <c r="I110" s="1098">
        <v>11000</v>
      </c>
      <c r="J110" s="1098">
        <v>350075000</v>
      </c>
      <c r="K110" s="1098">
        <v>350075000</v>
      </c>
      <c r="L110" s="1104">
        <f>14060290/22000*I110</f>
        <v>7030145</v>
      </c>
      <c r="O110" s="1097">
        <f t="shared" si="33"/>
        <v>343044855</v>
      </c>
      <c r="P110" s="1096">
        <f t="shared" si="19"/>
        <v>31185.895909090908</v>
      </c>
      <c r="Q110" s="1096">
        <f t="shared" si="20"/>
        <v>1227.7911775232642</v>
      </c>
      <c r="R110" s="1099">
        <v>288612628</v>
      </c>
      <c r="S110" s="1096">
        <f t="shared" si="36"/>
        <v>26237.511636363637</v>
      </c>
      <c r="T110" s="1096">
        <f t="shared" si="37"/>
        <v>1070.9188423005567</v>
      </c>
      <c r="U110" s="1096">
        <f t="shared" si="38"/>
        <v>54432227</v>
      </c>
      <c r="V110" s="1102">
        <f t="shared" si="39"/>
        <v>0.1554873298578876</v>
      </c>
      <c r="W110" s="1098">
        <v>25400</v>
      </c>
      <c r="X110" s="1106">
        <f t="shared" si="40"/>
        <v>13505.702952755906</v>
      </c>
      <c r="Y110" s="1106">
        <f t="shared" si="41"/>
        <v>13782.48031496063</v>
      </c>
      <c r="Z110" s="1106">
        <f t="shared" si="42"/>
        <v>2143.0010629921262</v>
      </c>
      <c r="AA110" s="1106">
        <f t="shared" si="43"/>
        <v>11362.701889763779</v>
      </c>
      <c r="AB110" s="1054">
        <v>1230</v>
      </c>
      <c r="AC110" s="1098">
        <f t="shared" si="27"/>
        <v>1227.7911775232642</v>
      </c>
      <c r="AD110" s="1054">
        <f t="shared" si="44"/>
        <v>-2.2088224767358042</v>
      </c>
    </row>
    <row r="111" spans="1:30" hidden="1" x14ac:dyDescent="0.35">
      <c r="A111" s="179">
        <v>3</v>
      </c>
      <c r="B111" s="880" t="s">
        <v>26</v>
      </c>
      <c r="C111" s="986" t="s">
        <v>631</v>
      </c>
      <c r="D111" s="83" t="s">
        <v>632</v>
      </c>
      <c r="E111" s="399" t="str">
        <f>VLOOKUP(F111,'Quy đổi'!A:D,4,0)</f>
        <v>rPET</v>
      </c>
      <c r="F111" s="986" t="s">
        <v>100</v>
      </c>
      <c r="G111" s="82" t="s">
        <v>99</v>
      </c>
      <c r="H111" s="257" t="str">
        <f>IFERROR(VLOOKUP(F111,'Quy đổi'!A:C,3,0),"-")</f>
        <v>iSS01G</v>
      </c>
      <c r="I111" s="1098">
        <v>9900</v>
      </c>
      <c r="J111" s="1098">
        <v>325149660</v>
      </c>
      <c r="K111" s="1098">
        <v>325149660</v>
      </c>
      <c r="L111" s="1104">
        <f>14060290/22000*I111</f>
        <v>6327130.5</v>
      </c>
      <c r="O111" s="1097">
        <f t="shared" si="33"/>
        <v>318822529.5</v>
      </c>
      <c r="P111" s="1096">
        <f t="shared" ref="P111:P174" si="45">O111/I111</f>
        <v>32204.29590909091</v>
      </c>
      <c r="Q111" s="1096">
        <f t="shared" ref="Q111:Q174" si="46">P111/W111*1000</f>
        <v>1267.8856657122406</v>
      </c>
      <c r="R111" s="1099">
        <v>250876006</v>
      </c>
      <c r="S111" s="1096">
        <f t="shared" si="36"/>
        <v>25341.010707070705</v>
      </c>
      <c r="T111" s="1096">
        <f t="shared" si="37"/>
        <v>1034.3269676355389</v>
      </c>
      <c r="U111" s="1096">
        <f t="shared" si="38"/>
        <v>67946523.5</v>
      </c>
      <c r="V111" s="1102">
        <f t="shared" si="39"/>
        <v>0.2089699970776534</v>
      </c>
      <c r="W111" s="1098">
        <v>25400</v>
      </c>
      <c r="X111" s="1106">
        <f t="shared" si="40"/>
        <v>12552.068090551182</v>
      </c>
      <c r="Y111" s="1106">
        <f t="shared" si="41"/>
        <v>12801.167716535432</v>
      </c>
      <c r="Z111" s="1106">
        <f t="shared" si="42"/>
        <v>2675.0599803149607</v>
      </c>
      <c r="AA111" s="1106">
        <f t="shared" si="43"/>
        <v>9877.0081102362201</v>
      </c>
      <c r="AB111" s="1054">
        <v>1260</v>
      </c>
      <c r="AC111" s="1098">
        <f t="shared" si="27"/>
        <v>1267.8856657122406</v>
      </c>
      <c r="AD111" s="1054">
        <f t="shared" si="44"/>
        <v>7.8856657122405522</v>
      </c>
    </row>
    <row r="112" spans="1:30" hidden="1" x14ac:dyDescent="0.35">
      <c r="A112" s="179">
        <v>3</v>
      </c>
      <c r="B112" s="880" t="s">
        <v>22</v>
      </c>
      <c r="C112" s="986" t="s">
        <v>30</v>
      </c>
      <c r="D112" s="83" t="s">
        <v>29</v>
      </c>
      <c r="E112" s="399" t="str">
        <f>VLOOKUP(F112,'Quy đổi'!A:D,4,0)</f>
        <v>rPET</v>
      </c>
      <c r="F112" s="986" t="s">
        <v>110</v>
      </c>
      <c r="G112" s="82" t="s">
        <v>109</v>
      </c>
      <c r="H112" s="257" t="str">
        <f>IFERROR(VLOOKUP(F112,'Quy đổi'!A:C,3,0),"-")</f>
        <v>WSS01G</v>
      </c>
      <c r="I112" s="1098">
        <v>11000</v>
      </c>
      <c r="J112" s="1098">
        <v>342309000</v>
      </c>
      <c r="K112" s="1098">
        <v>342309000</v>
      </c>
      <c r="O112" s="1097">
        <f t="shared" si="33"/>
        <v>342309000</v>
      </c>
      <c r="P112" s="1096">
        <f t="shared" si="45"/>
        <v>31119</v>
      </c>
      <c r="Q112" s="1096">
        <f t="shared" si="46"/>
        <v>1225.1574803149606</v>
      </c>
      <c r="R112" s="1099">
        <v>288612628</v>
      </c>
      <c r="S112" s="1096">
        <f t="shared" si="36"/>
        <v>26237.511636363637</v>
      </c>
      <c r="T112" s="1096">
        <f t="shared" si="37"/>
        <v>1070.9188423005567</v>
      </c>
      <c r="U112" s="1096">
        <f t="shared" si="38"/>
        <v>53696372</v>
      </c>
      <c r="V112" s="1102">
        <f t="shared" si="39"/>
        <v>0.15686520658235686</v>
      </c>
      <c r="W112" s="1098">
        <v>25400</v>
      </c>
      <c r="X112" s="1106">
        <f t="shared" si="40"/>
        <v>13476.732283464567</v>
      </c>
      <c r="Y112" s="1106">
        <f t="shared" si="41"/>
        <v>13476.732283464567</v>
      </c>
      <c r="Z112" s="1106">
        <f t="shared" si="42"/>
        <v>2114.0303937007875</v>
      </c>
      <c r="AA112" s="1106">
        <f t="shared" si="43"/>
        <v>11362.701889763779</v>
      </c>
      <c r="AB112" s="1054">
        <v>1230</v>
      </c>
      <c r="AC112" s="1098">
        <f t="shared" ref="AC112:AC123" si="47">X112/I112*1000</f>
        <v>1225.1574803149608</v>
      </c>
      <c r="AD112" s="1054">
        <f t="shared" si="44"/>
        <v>-4.8425196850391785</v>
      </c>
    </row>
    <row r="113" spans="1:30" hidden="1" x14ac:dyDescent="0.35">
      <c r="A113" s="179">
        <v>3</v>
      </c>
      <c r="B113" s="880" t="s">
        <v>22</v>
      </c>
      <c r="C113" s="986" t="s">
        <v>30</v>
      </c>
      <c r="D113" s="83" t="s">
        <v>29</v>
      </c>
      <c r="E113" s="399" t="str">
        <f>VLOOKUP(F113,'Quy đổi'!A:D,4,0)</f>
        <v>rHDPE ép</v>
      </c>
      <c r="F113" s="986" t="s">
        <v>208</v>
      </c>
      <c r="G113" s="82" t="s">
        <v>209</v>
      </c>
      <c r="H113" s="257" t="str">
        <f>IFERROR(VLOOKUP(F113,'Quy đổi'!A:C,3,0),"-")</f>
        <v>rHDI4L01</v>
      </c>
      <c r="I113" s="1098">
        <v>16500</v>
      </c>
      <c r="J113" s="1098">
        <v>341758725</v>
      </c>
      <c r="K113" s="1098">
        <v>341758725</v>
      </c>
      <c r="O113" s="1097">
        <f t="shared" si="33"/>
        <v>341758725</v>
      </c>
      <c r="P113" s="1096">
        <f t="shared" si="45"/>
        <v>20712.650000000001</v>
      </c>
      <c r="Q113" s="1096">
        <f t="shared" si="46"/>
        <v>815.4586614173229</v>
      </c>
      <c r="R113" s="1099">
        <v>483775455</v>
      </c>
      <c r="S113" s="1096">
        <f t="shared" si="36"/>
        <v>29319.724545454545</v>
      </c>
      <c r="T113" s="1096">
        <f t="shared" si="37"/>
        <v>1196.7234508348793</v>
      </c>
      <c r="U113" s="1096">
        <f t="shared" si="38"/>
        <v>-142016730</v>
      </c>
      <c r="V113" s="1102">
        <f t="shared" si="39"/>
        <v>-0.41554675743830682</v>
      </c>
      <c r="W113" s="1098">
        <v>25400</v>
      </c>
      <c r="X113" s="1106">
        <f t="shared" si="40"/>
        <v>13455.067913385827</v>
      </c>
      <c r="Y113" s="1106">
        <f t="shared" si="41"/>
        <v>13455.067913385827</v>
      </c>
      <c r="Z113" s="1106">
        <f t="shared" si="42"/>
        <v>-5591.2098425196855</v>
      </c>
      <c r="AA113" s="1106">
        <f t="shared" si="43"/>
        <v>19046.27775590551</v>
      </c>
      <c r="AB113" s="1054">
        <v>805</v>
      </c>
      <c r="AC113" s="1098">
        <f t="shared" si="47"/>
        <v>815.45866141732279</v>
      </c>
      <c r="AD113" s="1054">
        <f t="shared" si="44"/>
        <v>10.458661417322787</v>
      </c>
    </row>
    <row r="114" spans="1:30" hidden="1" x14ac:dyDescent="0.35">
      <c r="A114" s="179">
        <v>3</v>
      </c>
      <c r="B114" s="880" t="s">
        <v>22</v>
      </c>
      <c r="C114" s="986" t="s">
        <v>30</v>
      </c>
      <c r="D114" s="83" t="s">
        <v>29</v>
      </c>
      <c r="E114" s="399" t="str">
        <f>VLOOKUP(F114,'Quy đổi'!A:D,4,0)</f>
        <v>rHDPE ép</v>
      </c>
      <c r="F114" s="986" t="s">
        <v>210</v>
      </c>
      <c r="G114" s="82" t="s">
        <v>211</v>
      </c>
      <c r="H114" s="257" t="str">
        <f>IFERROR(VLOOKUP(F114,'Quy đổi'!A:C,3,0),"-")</f>
        <v>rHDI3Y01</v>
      </c>
      <c r="I114" s="1098">
        <v>11000</v>
      </c>
      <c r="J114" s="1098">
        <v>227839150</v>
      </c>
      <c r="K114" s="1098">
        <v>227839150</v>
      </c>
      <c r="O114" s="1097">
        <f t="shared" si="33"/>
        <v>227839150</v>
      </c>
      <c r="P114" s="1096">
        <f t="shared" si="45"/>
        <v>20712.650000000001</v>
      </c>
      <c r="Q114" s="1096">
        <f t="shared" si="46"/>
        <v>815.4586614173229</v>
      </c>
      <c r="R114" s="1099">
        <v>377824483</v>
      </c>
      <c r="S114" s="1096">
        <f t="shared" si="36"/>
        <v>34347.680272727273</v>
      </c>
      <c r="T114" s="1096">
        <f t="shared" si="37"/>
        <v>1401.946133580705</v>
      </c>
      <c r="U114" s="1096">
        <f t="shared" si="38"/>
        <v>-149985333</v>
      </c>
      <c r="V114" s="1102">
        <f t="shared" si="39"/>
        <v>-0.6582948233435737</v>
      </c>
      <c r="W114" s="1098">
        <v>25400</v>
      </c>
      <c r="X114" s="1106">
        <f t="shared" si="40"/>
        <v>8970.0452755905517</v>
      </c>
      <c r="Y114" s="1106">
        <f t="shared" si="41"/>
        <v>8970.0452755905517</v>
      </c>
      <c r="Z114" s="1106">
        <f t="shared" si="42"/>
        <v>-5904.9343700787404</v>
      </c>
      <c r="AA114" s="1106">
        <f t="shared" si="43"/>
        <v>14874.979645669291</v>
      </c>
      <c r="AB114" s="1054">
        <v>805</v>
      </c>
      <c r="AC114" s="1098">
        <f t="shared" si="47"/>
        <v>815.4586614173229</v>
      </c>
      <c r="AD114" s="1054">
        <f t="shared" si="44"/>
        <v>10.458661417322901</v>
      </c>
    </row>
    <row r="115" spans="1:30" hidden="1" x14ac:dyDescent="0.35">
      <c r="A115" s="179">
        <v>3</v>
      </c>
      <c r="B115" s="880" t="s">
        <v>22</v>
      </c>
      <c r="C115" s="986" t="s">
        <v>30</v>
      </c>
      <c r="D115" s="83" t="s">
        <v>29</v>
      </c>
      <c r="E115" s="399" t="str">
        <f>VLOOKUP(F115,'Quy đổi'!A:D,4,0)</f>
        <v>rHDPE thổi</v>
      </c>
      <c r="F115" s="986" t="s">
        <v>647</v>
      </c>
      <c r="G115" s="82" t="s">
        <v>648</v>
      </c>
      <c r="H115" s="257" t="str">
        <f>IFERROR(VLOOKUP(F115,'Quy đổi'!A:C,3,0),"-")</f>
        <v>rHDA03W01</v>
      </c>
      <c r="I115" s="1098">
        <v>500</v>
      </c>
      <c r="J115" s="1098">
        <v>17077500</v>
      </c>
      <c r="K115" s="1098">
        <v>17077500</v>
      </c>
      <c r="O115" s="1097">
        <f t="shared" si="33"/>
        <v>17077500</v>
      </c>
      <c r="P115" s="1096">
        <f t="shared" si="45"/>
        <v>34155</v>
      </c>
      <c r="Q115" s="1096">
        <f t="shared" si="46"/>
        <v>1344.6850393700786</v>
      </c>
      <c r="R115" s="1099">
        <v>15263627</v>
      </c>
      <c r="S115" s="1096">
        <f t="shared" si="36"/>
        <v>30527.254000000001</v>
      </c>
      <c r="T115" s="1096">
        <f t="shared" si="37"/>
        <v>1246.0103673469389</v>
      </c>
      <c r="U115" s="1096">
        <f t="shared" si="38"/>
        <v>1813873</v>
      </c>
      <c r="V115" s="1102">
        <f t="shared" si="39"/>
        <v>0.10621419997072171</v>
      </c>
      <c r="W115" s="1098">
        <v>25400</v>
      </c>
      <c r="X115" s="1106">
        <f t="shared" si="40"/>
        <v>672.34251968503941</v>
      </c>
      <c r="Y115" s="1106">
        <f t="shared" si="41"/>
        <v>672.34251968503941</v>
      </c>
      <c r="Z115" s="1106">
        <f t="shared" si="42"/>
        <v>71.412322834645664</v>
      </c>
      <c r="AA115" s="1106">
        <f t="shared" si="43"/>
        <v>600.93019685039371</v>
      </c>
      <c r="AB115" s="1054">
        <v>1300</v>
      </c>
      <c r="AC115" s="1098">
        <f t="shared" si="47"/>
        <v>1344.6850393700788</v>
      </c>
      <c r="AD115" s="1054">
        <f t="shared" si="44"/>
        <v>44.685039370078812</v>
      </c>
    </row>
    <row r="116" spans="1:30" hidden="1" x14ac:dyDescent="0.35">
      <c r="A116" s="179">
        <v>3</v>
      </c>
      <c r="B116" s="880" t="s">
        <v>22</v>
      </c>
      <c r="C116" s="986" t="s">
        <v>131</v>
      </c>
      <c r="D116" s="83" t="s">
        <v>214</v>
      </c>
      <c r="E116" s="399" t="str">
        <f>VLOOKUP(F116,'Quy đổi'!A:D,4,0)</f>
        <v>rPET</v>
      </c>
      <c r="F116" s="986" t="s">
        <v>110</v>
      </c>
      <c r="G116" s="82" t="s">
        <v>109</v>
      </c>
      <c r="H116" s="257" t="str">
        <f>IFERROR(VLOOKUP(F116,'Quy đổi'!A:C,3,0),"-")</f>
        <v>WSS01G</v>
      </c>
      <c r="I116" s="1098">
        <v>17600</v>
      </c>
      <c r="J116" s="1098">
        <v>577614400</v>
      </c>
      <c r="K116" s="1098">
        <v>577614400</v>
      </c>
      <c r="L116" s="1056">
        <f>140*I116</f>
        <v>2464000</v>
      </c>
      <c r="O116" s="1097">
        <f t="shared" si="33"/>
        <v>575150400</v>
      </c>
      <c r="P116" s="1096">
        <f t="shared" si="45"/>
        <v>32679</v>
      </c>
      <c r="Q116" s="1096">
        <f t="shared" si="46"/>
        <v>1286.5748031496062</v>
      </c>
      <c r="R116" s="1099">
        <v>461780205</v>
      </c>
      <c r="S116" s="1096">
        <f t="shared" si="36"/>
        <v>26237.511647727271</v>
      </c>
      <c r="T116" s="1096">
        <f t="shared" si="37"/>
        <v>1070.9188427643785</v>
      </c>
      <c r="U116" s="1096">
        <f t="shared" si="38"/>
        <v>113370195</v>
      </c>
      <c r="V116" s="1102">
        <f t="shared" si="39"/>
        <v>0.19627314519859615</v>
      </c>
      <c r="W116" s="1098">
        <v>25400</v>
      </c>
      <c r="X116" s="1106">
        <f t="shared" si="40"/>
        <v>22643.716535433072</v>
      </c>
      <c r="Y116" s="1106">
        <f t="shared" si="41"/>
        <v>22740.72440944882</v>
      </c>
      <c r="Z116" s="1106">
        <f t="shared" si="42"/>
        <v>4463.3935039370081</v>
      </c>
      <c r="AA116" s="1106">
        <f t="shared" si="43"/>
        <v>18180.323031496064</v>
      </c>
      <c r="AB116" s="1054">
        <v>1230</v>
      </c>
      <c r="AC116" s="1098">
        <f t="shared" si="47"/>
        <v>1286.5748031496062</v>
      </c>
      <c r="AD116" s="1054">
        <f t="shared" si="44"/>
        <v>56.574803149606169</v>
      </c>
    </row>
    <row r="117" spans="1:30" hidden="1" x14ac:dyDescent="0.35">
      <c r="A117" s="179">
        <v>3</v>
      </c>
      <c r="B117" s="880" t="s">
        <v>22</v>
      </c>
      <c r="C117" s="986" t="s">
        <v>131</v>
      </c>
      <c r="D117" s="83" t="s">
        <v>214</v>
      </c>
      <c r="E117" s="399" t="str">
        <f>VLOOKUP(F117,'Quy đổi'!A:D,4,0)</f>
        <v>rPET</v>
      </c>
      <c r="F117" s="986" t="s">
        <v>110</v>
      </c>
      <c r="G117" s="82" t="s">
        <v>109</v>
      </c>
      <c r="H117" s="257" t="str">
        <f>IFERROR(VLOOKUP(F117,'Quy đổi'!A:C,3,0),"-")</f>
        <v>WSS01G</v>
      </c>
      <c r="I117" s="1098">
        <v>27400</v>
      </c>
      <c r="J117" s="1098">
        <v>899240600</v>
      </c>
      <c r="K117" s="1098">
        <v>899240600</v>
      </c>
      <c r="L117" s="1056">
        <f>140*I117</f>
        <v>3836000</v>
      </c>
      <c r="O117" s="1097">
        <f t="shared" si="33"/>
        <v>895404600</v>
      </c>
      <c r="P117" s="1096">
        <f t="shared" si="45"/>
        <v>32679</v>
      </c>
      <c r="Q117" s="1096">
        <f t="shared" si="46"/>
        <v>1286.5748031496062</v>
      </c>
      <c r="R117" s="1099">
        <v>718907819</v>
      </c>
      <c r="S117" s="1096">
        <f t="shared" si="36"/>
        <v>26237.511642335765</v>
      </c>
      <c r="T117" s="1096">
        <f t="shared" si="37"/>
        <v>1070.9188425443169</v>
      </c>
      <c r="U117" s="1096">
        <f t="shared" si="38"/>
        <v>176496781</v>
      </c>
      <c r="V117" s="1102">
        <f t="shared" si="39"/>
        <v>0.19627314536287618</v>
      </c>
      <c r="W117" s="1098">
        <v>25400</v>
      </c>
      <c r="X117" s="1106">
        <f t="shared" si="40"/>
        <v>35252.149606299216</v>
      </c>
      <c r="Y117" s="1106">
        <f t="shared" si="41"/>
        <v>35403.173228346459</v>
      </c>
      <c r="Z117" s="1106">
        <f t="shared" si="42"/>
        <v>6948.6921653543304</v>
      </c>
      <c r="AA117" s="1106">
        <f t="shared" si="43"/>
        <v>28303.457440944883</v>
      </c>
      <c r="AB117" s="1054">
        <v>1230</v>
      </c>
      <c r="AC117" s="1098">
        <f t="shared" si="47"/>
        <v>1286.5748031496064</v>
      </c>
      <c r="AD117" s="1054">
        <f t="shared" si="44"/>
        <v>56.574803149606396</v>
      </c>
    </row>
    <row r="118" spans="1:30" hidden="1" x14ac:dyDescent="0.35">
      <c r="A118" s="179">
        <v>3</v>
      </c>
      <c r="B118" s="880" t="s">
        <v>22</v>
      </c>
      <c r="C118" s="986" t="s">
        <v>185</v>
      </c>
      <c r="D118" s="83" t="s">
        <v>186</v>
      </c>
      <c r="E118" s="399" t="str">
        <f>VLOOKUP(F118,'Quy đổi'!A:D,4,0)</f>
        <v>rHDPE thổi</v>
      </c>
      <c r="F118" s="986" t="s">
        <v>187</v>
      </c>
      <c r="G118" s="82" t="s">
        <v>188</v>
      </c>
      <c r="H118" s="257" t="str">
        <f>IFERROR(VLOOKUP(F118,'Quy đổi'!A:C,3,0),"-")</f>
        <v>rHDB03N02</v>
      </c>
      <c r="I118" s="1098">
        <v>300</v>
      </c>
      <c r="J118" s="1098">
        <v>10019100</v>
      </c>
      <c r="K118" s="1098">
        <v>10019100</v>
      </c>
      <c r="O118" s="1097">
        <f t="shared" si="33"/>
        <v>10019100</v>
      </c>
      <c r="P118" s="1096">
        <f t="shared" si="45"/>
        <v>33397</v>
      </c>
      <c r="Q118" s="1096">
        <f t="shared" si="46"/>
        <v>1314.8425196850392</v>
      </c>
      <c r="R118" s="1099">
        <v>12785551</v>
      </c>
      <c r="S118" s="1096">
        <f t="shared" si="36"/>
        <v>42618.503333333334</v>
      </c>
      <c r="T118" s="1096">
        <f t="shared" si="37"/>
        <v>1739.5307482993198</v>
      </c>
      <c r="U118" s="1096">
        <f t="shared" si="38"/>
        <v>-2766451</v>
      </c>
      <c r="V118" s="1102">
        <f t="shared" si="39"/>
        <v>-0.27611771516403671</v>
      </c>
      <c r="W118" s="1098">
        <v>25400</v>
      </c>
      <c r="X118" s="1106">
        <f t="shared" si="40"/>
        <v>394.45275590551182</v>
      </c>
      <c r="Y118" s="1106">
        <f t="shared" si="41"/>
        <v>394.45275590551182</v>
      </c>
      <c r="Z118" s="1106">
        <f t="shared" si="42"/>
        <v>-108.9153937007874</v>
      </c>
      <c r="AA118" s="1106">
        <f t="shared" si="43"/>
        <v>503.3681496062992</v>
      </c>
      <c r="AB118" s="1054">
        <v>1250</v>
      </c>
      <c r="AC118" s="1098">
        <f t="shared" si="47"/>
        <v>1314.8425196850394</v>
      </c>
      <c r="AD118" s="1054">
        <f t="shared" si="44"/>
        <v>64.842519685039406</v>
      </c>
    </row>
    <row r="119" spans="1:30" hidden="1" x14ac:dyDescent="0.35">
      <c r="A119" s="179">
        <v>3</v>
      </c>
      <c r="B119" s="880" t="s">
        <v>22</v>
      </c>
      <c r="C119" s="986" t="s">
        <v>77</v>
      </c>
      <c r="D119" s="83" t="s">
        <v>76</v>
      </c>
      <c r="E119" s="399" t="str">
        <f>VLOOKUP(F119,'Quy đổi'!A:D,4,0)</f>
        <v>rHDPE thổi</v>
      </c>
      <c r="F119" s="986" t="s">
        <v>69</v>
      </c>
      <c r="G119" s="82" t="s">
        <v>68</v>
      </c>
      <c r="H119" s="257" t="str">
        <f>IFERROR(VLOOKUP(F119,'Quy đổi'!A:C,3,0),"-")</f>
        <v>MBF01</v>
      </c>
      <c r="I119" s="1098">
        <v>24750</v>
      </c>
      <c r="J119" s="1098">
        <v>900108000</v>
      </c>
      <c r="K119" s="1098">
        <v>900108000</v>
      </c>
      <c r="L119" s="1056">
        <v>19444444.444444444</v>
      </c>
      <c r="O119" s="1097">
        <f t="shared" si="33"/>
        <v>880663555.55555558</v>
      </c>
      <c r="P119" s="1096">
        <f t="shared" si="45"/>
        <v>35582.365881032551</v>
      </c>
      <c r="Q119" s="1096">
        <f t="shared" si="46"/>
        <v>1400.8805464973445</v>
      </c>
      <c r="R119" s="1099">
        <v>692101180</v>
      </c>
      <c r="S119" s="1096">
        <f t="shared" si="36"/>
        <v>27963.684040404041</v>
      </c>
      <c r="T119" s="1096">
        <f t="shared" si="37"/>
        <v>1141.3748587920018</v>
      </c>
      <c r="U119" s="1096">
        <f t="shared" si="38"/>
        <v>188562375.55555558</v>
      </c>
      <c r="V119" s="1102">
        <f t="shared" si="39"/>
        <v>0.20948861198384591</v>
      </c>
      <c r="W119" s="1098">
        <v>25400</v>
      </c>
      <c r="X119" s="1106">
        <f t="shared" si="40"/>
        <v>34671.793525809277</v>
      </c>
      <c r="Y119" s="1106">
        <f t="shared" si="41"/>
        <v>35437.322834645667</v>
      </c>
      <c r="Z119" s="1106">
        <f t="shared" si="42"/>
        <v>7423.7155730533696</v>
      </c>
      <c r="AA119" s="1106">
        <f t="shared" si="43"/>
        <v>27248.077952755906</v>
      </c>
      <c r="AB119" s="1054">
        <v>1350</v>
      </c>
      <c r="AC119" s="1098">
        <f t="shared" si="47"/>
        <v>1400.8805464973445</v>
      </c>
      <c r="AD119" s="1054">
        <f t="shared" si="44"/>
        <v>50.88054649734454</v>
      </c>
    </row>
    <row r="120" spans="1:30" hidden="1" x14ac:dyDescent="0.35">
      <c r="A120" s="179">
        <v>3</v>
      </c>
      <c r="B120" s="880" t="s">
        <v>22</v>
      </c>
      <c r="C120" s="986" t="s">
        <v>73</v>
      </c>
      <c r="D120" s="83" t="s">
        <v>72</v>
      </c>
      <c r="E120" s="399" t="str">
        <f>VLOOKUP(F120,'Quy đổi'!A:D,4,0)</f>
        <v>rHDPE thổi</v>
      </c>
      <c r="F120" s="986" t="s">
        <v>69</v>
      </c>
      <c r="G120" s="82" t="s">
        <v>68</v>
      </c>
      <c r="H120" s="257" t="str">
        <f>IFERROR(VLOOKUP(F120,'Quy đổi'!A:C,3,0),"-")</f>
        <v>MBF01</v>
      </c>
      <c r="I120" s="1098">
        <v>9625</v>
      </c>
      <c r="J120" s="1098">
        <v>344267000</v>
      </c>
      <c r="K120" s="1098">
        <v>344267000</v>
      </c>
      <c r="O120" s="1097">
        <f t="shared" si="33"/>
        <v>344267000</v>
      </c>
      <c r="P120" s="1096">
        <f t="shared" si="45"/>
        <v>35768</v>
      </c>
      <c r="Q120" s="1096">
        <f t="shared" si="46"/>
        <v>1408.1889763779527</v>
      </c>
      <c r="R120" s="1099">
        <v>269150459</v>
      </c>
      <c r="S120" s="1096">
        <f t="shared" si="36"/>
        <v>27963.68405194805</v>
      </c>
      <c r="T120" s="1096">
        <f t="shared" si="37"/>
        <v>1141.3748592631857</v>
      </c>
      <c r="U120" s="1096">
        <f t="shared" si="38"/>
        <v>75116541</v>
      </c>
      <c r="V120" s="1102">
        <f t="shared" si="39"/>
        <v>0.21819268474759415</v>
      </c>
      <c r="W120" s="1098">
        <v>25400</v>
      </c>
      <c r="X120" s="1106">
        <f t="shared" si="40"/>
        <v>13553.818897637795</v>
      </c>
      <c r="Y120" s="1106">
        <f t="shared" si="41"/>
        <v>13553.818897637795</v>
      </c>
      <c r="Z120" s="1106">
        <f t="shared" si="42"/>
        <v>2957.3441338582679</v>
      </c>
      <c r="AA120" s="1106">
        <f t="shared" si="43"/>
        <v>10596.474763779528</v>
      </c>
      <c r="AB120" s="1054">
        <v>1350</v>
      </c>
      <c r="AC120" s="1098">
        <f t="shared" si="47"/>
        <v>1408.1889763779527</v>
      </c>
      <c r="AD120" s="1054">
        <f t="shared" si="44"/>
        <v>58.188976377952713</v>
      </c>
    </row>
    <row r="121" spans="1:30" hidden="1" x14ac:dyDescent="0.35">
      <c r="A121" s="179">
        <v>3</v>
      </c>
      <c r="B121" s="880" t="s">
        <v>22</v>
      </c>
      <c r="C121" s="986" t="s">
        <v>21</v>
      </c>
      <c r="D121" s="83" t="s">
        <v>20</v>
      </c>
      <c r="E121" s="399" t="str">
        <f>VLOOKUP(F121,'Quy đổi'!A:D,4,0)</f>
        <v>rPP</v>
      </c>
      <c r="F121" s="986" t="s">
        <v>538</v>
      </c>
      <c r="G121" s="82" t="s">
        <v>539</v>
      </c>
      <c r="H121" s="257" t="str">
        <f>IFERROR(VLOOKUP(F121,'Quy đổi'!A:C,3,0),"-")</f>
        <v>rPP20R02</v>
      </c>
      <c r="I121" s="1098">
        <v>23625</v>
      </c>
      <c r="J121" s="1098">
        <v>459374999</v>
      </c>
      <c r="K121" s="1098">
        <v>459374999</v>
      </c>
      <c r="O121" s="1097">
        <f t="shared" si="33"/>
        <v>459374999</v>
      </c>
      <c r="P121" s="1096">
        <f t="shared" si="45"/>
        <v>19444.444402116402</v>
      </c>
      <c r="Q121" s="1096">
        <f t="shared" si="46"/>
        <v>765.52930716993706</v>
      </c>
      <c r="R121" s="1099">
        <v>573691403</v>
      </c>
      <c r="S121" s="1096">
        <f t="shared" si="36"/>
        <v>24283.23398941799</v>
      </c>
      <c r="T121" s="1096">
        <f t="shared" si="37"/>
        <v>991.15240773134656</v>
      </c>
      <c r="U121" s="1096">
        <f t="shared" si="38"/>
        <v>-114316404</v>
      </c>
      <c r="V121" s="1102">
        <f t="shared" si="39"/>
        <v>-0.24885203646008608</v>
      </c>
      <c r="W121" s="1098">
        <v>25400</v>
      </c>
      <c r="X121" s="1106">
        <f t="shared" si="40"/>
        <v>18085.629881889763</v>
      </c>
      <c r="Y121" s="1106">
        <f t="shared" si="41"/>
        <v>18085.629881889763</v>
      </c>
      <c r="Z121" s="1106">
        <f t="shared" si="42"/>
        <v>-4500.6458267716534</v>
      </c>
      <c r="AA121" s="1106">
        <f t="shared" si="43"/>
        <v>22586.275708661418</v>
      </c>
      <c r="AB121" s="1054">
        <v>840</v>
      </c>
      <c r="AC121" s="1098">
        <f t="shared" si="47"/>
        <v>765.52930716993706</v>
      </c>
      <c r="AD121" s="1054">
        <f t="shared" si="44"/>
        <v>-74.470692830062944</v>
      </c>
    </row>
    <row r="122" spans="1:30" hidden="1" x14ac:dyDescent="0.35">
      <c r="A122" s="179">
        <v>3</v>
      </c>
      <c r="B122" s="880" t="s">
        <v>22</v>
      </c>
      <c r="C122" s="986" t="s">
        <v>21</v>
      </c>
      <c r="D122" s="83" t="s">
        <v>20</v>
      </c>
      <c r="E122" s="399" t="str">
        <f>VLOOKUP(F122,'Quy đổi'!A:D,4,0)</f>
        <v>rPP</v>
      </c>
      <c r="F122" s="986" t="s">
        <v>19</v>
      </c>
      <c r="G122" s="82" t="s">
        <v>18</v>
      </c>
      <c r="H122" s="257" t="str">
        <f>IFERROR(VLOOKUP(F122,'Quy đổi'!A:C,3,0),"-")</f>
        <v>Vảy PP Đỏ Nhạt</v>
      </c>
      <c r="I122" s="1098">
        <v>5250</v>
      </c>
      <c r="J122" s="1098">
        <v>97222222</v>
      </c>
      <c r="K122" s="1098">
        <v>97222222</v>
      </c>
      <c r="O122" s="1097">
        <f t="shared" si="33"/>
        <v>97222222</v>
      </c>
      <c r="P122" s="1096">
        <f t="shared" si="45"/>
        <v>18518.518476190475</v>
      </c>
      <c r="Q122" s="1096">
        <f t="shared" si="46"/>
        <v>729.07553055868016</v>
      </c>
      <c r="R122" s="1099">
        <v>107012120</v>
      </c>
      <c r="S122" s="1096">
        <f t="shared" si="36"/>
        <v>20383.260952380951</v>
      </c>
      <c r="T122" s="1096">
        <f t="shared" si="37"/>
        <v>831.96983479105927</v>
      </c>
      <c r="U122" s="1096">
        <f t="shared" si="38"/>
        <v>-9789898</v>
      </c>
      <c r="V122" s="1102">
        <f t="shared" si="39"/>
        <v>-0.10069609394444821</v>
      </c>
      <c r="W122" s="1098">
        <v>25400</v>
      </c>
      <c r="X122" s="1106">
        <f t="shared" si="40"/>
        <v>3827.6465354330708</v>
      </c>
      <c r="Y122" s="1106">
        <f t="shared" si="41"/>
        <v>3827.6465354330708</v>
      </c>
      <c r="Z122" s="1106">
        <f t="shared" si="42"/>
        <v>-385.42905511811023</v>
      </c>
      <c r="AA122" s="1106">
        <f t="shared" si="43"/>
        <v>4213.0755905511814</v>
      </c>
      <c r="AB122" s="1054">
        <v>790</v>
      </c>
      <c r="AC122" s="1098">
        <f t="shared" si="47"/>
        <v>729.07553055868016</v>
      </c>
      <c r="AD122" s="1054">
        <f t="shared" si="44"/>
        <v>-60.924469441319843</v>
      </c>
    </row>
    <row r="123" spans="1:30" hidden="1" x14ac:dyDescent="0.35">
      <c r="A123" s="179">
        <v>3</v>
      </c>
      <c r="B123" s="880" t="s">
        <v>22</v>
      </c>
      <c r="C123" s="986" t="s">
        <v>633</v>
      </c>
      <c r="D123" s="83" t="s">
        <v>634</v>
      </c>
      <c r="E123" s="399" t="str">
        <f>VLOOKUP(F123,'Quy đổi'!A:D,4,0)</f>
        <v>rHDPE thổi</v>
      </c>
      <c r="F123" s="986" t="s">
        <v>52</v>
      </c>
      <c r="G123" s="82" t="s">
        <v>51</v>
      </c>
      <c r="H123" s="257" t="str">
        <f>IFERROR(VLOOKUP(F123,'Quy đổi'!A:C,3,0),"-")</f>
        <v>rHDB04B01</v>
      </c>
      <c r="I123" s="1098">
        <v>100</v>
      </c>
      <c r="J123" s="1098">
        <v>1700000</v>
      </c>
      <c r="K123" s="1098">
        <v>1700000</v>
      </c>
      <c r="O123" s="1097">
        <f t="shared" si="33"/>
        <v>1700000</v>
      </c>
      <c r="P123" s="1096">
        <f t="shared" si="45"/>
        <v>17000</v>
      </c>
      <c r="Q123" s="1096">
        <f t="shared" si="46"/>
        <v>669.29133858267721</v>
      </c>
      <c r="R123" s="1099">
        <v>2323531</v>
      </c>
      <c r="S123" s="1096">
        <f t="shared" si="36"/>
        <v>23235.31</v>
      </c>
      <c r="T123" s="1096">
        <f t="shared" si="37"/>
        <v>948.38000000000011</v>
      </c>
      <c r="U123" s="1096">
        <f t="shared" si="38"/>
        <v>-623531</v>
      </c>
      <c r="V123" s="1102">
        <f t="shared" si="39"/>
        <v>-0.36678294117647059</v>
      </c>
      <c r="W123" s="1098">
        <v>25400</v>
      </c>
      <c r="X123" s="1106">
        <f t="shared" si="40"/>
        <v>66.929133858267718</v>
      </c>
      <c r="Y123" s="1106">
        <f t="shared" si="41"/>
        <v>66.929133858267718</v>
      </c>
      <c r="Z123" s="1106">
        <f t="shared" si="42"/>
        <v>-24.548464566929134</v>
      </c>
      <c r="AA123" s="1106">
        <f t="shared" si="43"/>
        <v>91.477598425196845</v>
      </c>
      <c r="AB123" s="1054">
        <v>950</v>
      </c>
      <c r="AC123" s="1098">
        <f t="shared" si="47"/>
        <v>669.29133858267721</v>
      </c>
      <c r="AD123" s="1054">
        <f t="shared" si="44"/>
        <v>-280.70866141732279</v>
      </c>
    </row>
    <row r="124" spans="1:30" hidden="1" x14ac:dyDescent="0.35">
      <c r="A124" s="179">
        <v>3</v>
      </c>
      <c r="C124" s="986" t="s">
        <v>635</v>
      </c>
      <c r="D124" s="83" t="s">
        <v>636</v>
      </c>
      <c r="E124" s="399" t="str">
        <f>VLOOKUP(F124,'Quy đổi'!A:D,4,0)</f>
        <v>Dây đai</v>
      </c>
      <c r="F124" s="986" t="s">
        <v>649</v>
      </c>
      <c r="G124" s="82" t="s">
        <v>650</v>
      </c>
      <c r="H124" s="257">
        <f>IFERROR(VLOOKUP(F124,'Quy đổi'!A:C,3,0),"-")</f>
        <v>0</v>
      </c>
      <c r="I124" s="1098">
        <v>140000</v>
      </c>
      <c r="J124" s="1098">
        <v>2755000000</v>
      </c>
      <c r="K124" s="1098">
        <v>2755000000</v>
      </c>
      <c r="M124" s="1056">
        <v>205500000</v>
      </c>
      <c r="O124" s="1097">
        <f t="shared" si="33"/>
        <v>2549500000</v>
      </c>
      <c r="P124" s="1096">
        <f t="shared" si="45"/>
        <v>18210.714285714286</v>
      </c>
      <c r="Q124" s="1096">
        <f t="shared" si="46"/>
        <v>716.95725534308224</v>
      </c>
      <c r="R124" s="1099">
        <v>2621615897</v>
      </c>
      <c r="S124" s="1096">
        <f t="shared" si="36"/>
        <v>18725.827835714284</v>
      </c>
      <c r="T124" s="1096">
        <f t="shared" si="37"/>
        <v>764.31950349854219</v>
      </c>
      <c r="U124" s="1096">
        <f t="shared" si="38"/>
        <v>-72115897</v>
      </c>
      <c r="V124" s="1102">
        <f t="shared" si="39"/>
        <v>-2.6176369147005444E-2</v>
      </c>
      <c r="W124" s="1098">
        <v>25400</v>
      </c>
      <c r="X124" s="1106">
        <f t="shared" si="40"/>
        <v>100374.0157480315</v>
      </c>
      <c r="Y124" s="1106">
        <f t="shared" si="41"/>
        <v>108464.56692913386</v>
      </c>
      <c r="Z124" s="1106">
        <f t="shared" si="42"/>
        <v>-2839.2085433070865</v>
      </c>
      <c r="AA124" s="1106">
        <f t="shared" si="43"/>
        <v>103213.22429133859</v>
      </c>
    </row>
    <row r="125" spans="1:30" hidden="1" x14ac:dyDescent="0.35">
      <c r="A125" s="179">
        <v>3</v>
      </c>
      <c r="C125" s="986" t="s">
        <v>353</v>
      </c>
      <c r="D125" s="83" t="s">
        <v>354</v>
      </c>
      <c r="E125" s="399" t="str">
        <f>VLOOKUP(F125,'Quy đổi'!A:D,4,0)</f>
        <v>Phó sản</v>
      </c>
      <c r="F125" s="986" t="s">
        <v>357</v>
      </c>
      <c r="G125" s="82" t="s">
        <v>356</v>
      </c>
      <c r="H125" s="257">
        <f>IFERROR(VLOOKUP(F125,'Quy đổi'!A:C,3,0),"-")</f>
        <v>0</v>
      </c>
      <c r="I125" s="1098">
        <v>25940</v>
      </c>
      <c r="J125" s="1098">
        <v>129700000</v>
      </c>
      <c r="K125" s="1098">
        <v>129700000</v>
      </c>
      <c r="O125" s="1097">
        <f t="shared" si="33"/>
        <v>129700000</v>
      </c>
      <c r="P125" s="1096">
        <f t="shared" si="45"/>
        <v>5000</v>
      </c>
      <c r="Q125" s="1096">
        <f t="shared" si="46"/>
        <v>196.85039370078741</v>
      </c>
      <c r="R125" s="1099">
        <v>326511261</v>
      </c>
      <c r="S125" s="1096">
        <f t="shared" si="36"/>
        <v>12587.172744795682</v>
      </c>
      <c r="T125" s="1096">
        <f t="shared" si="37"/>
        <v>513.76215284880334</v>
      </c>
      <c r="U125" s="1096">
        <f t="shared" si="38"/>
        <v>-196811261</v>
      </c>
      <c r="V125" s="1102">
        <f t="shared" si="39"/>
        <v>-1.5174345489591365</v>
      </c>
      <c r="W125" s="1098">
        <v>25400</v>
      </c>
      <c r="X125" s="1106">
        <f t="shared" si="40"/>
        <v>5106.2992125984256</v>
      </c>
      <c r="Y125" s="1106">
        <f t="shared" si="41"/>
        <v>5106.2992125984256</v>
      </c>
      <c r="Z125" s="1106">
        <f t="shared" si="42"/>
        <v>-7748.4748425196849</v>
      </c>
      <c r="AA125" s="1106">
        <f t="shared" si="43"/>
        <v>12854.77405511811</v>
      </c>
    </row>
    <row r="126" spans="1:30" hidden="1" x14ac:dyDescent="0.35">
      <c r="A126" s="179">
        <v>3</v>
      </c>
      <c r="C126" s="986" t="s">
        <v>353</v>
      </c>
      <c r="D126" s="83" t="s">
        <v>354</v>
      </c>
      <c r="E126" s="399" t="str">
        <f>VLOOKUP(F126,'Quy đổi'!A:D,4,0)</f>
        <v>Phó sản</v>
      </c>
      <c r="F126" s="986" t="s">
        <v>358</v>
      </c>
      <c r="G126" s="82" t="s">
        <v>356</v>
      </c>
      <c r="H126" s="257">
        <f>IFERROR(VLOOKUP(F126,'Quy đổi'!A:C,3,0),"-")</f>
        <v>0</v>
      </c>
      <c r="I126" s="1098">
        <v>25230</v>
      </c>
      <c r="J126" s="1098">
        <v>126150000</v>
      </c>
      <c r="K126" s="1098">
        <v>126150000</v>
      </c>
      <c r="O126" s="1097">
        <f t="shared" si="33"/>
        <v>126150000</v>
      </c>
      <c r="P126" s="1096">
        <f t="shared" si="45"/>
        <v>5000</v>
      </c>
      <c r="Q126" s="1096">
        <f t="shared" si="46"/>
        <v>196.85039370078741</v>
      </c>
      <c r="R126" s="1099">
        <v>317510441</v>
      </c>
      <c r="S126" s="1096">
        <f t="shared" si="36"/>
        <v>12584.638961553706</v>
      </c>
      <c r="T126" s="1096">
        <f t="shared" si="37"/>
        <v>513.65873312464112</v>
      </c>
      <c r="U126" s="1096">
        <f t="shared" si="38"/>
        <v>-191360441</v>
      </c>
      <c r="V126" s="1102">
        <f t="shared" si="39"/>
        <v>-1.5169277923107412</v>
      </c>
      <c r="W126" s="1098">
        <v>25400</v>
      </c>
      <c r="X126" s="1106">
        <f t="shared" si="40"/>
        <v>4966.535433070866</v>
      </c>
      <c r="Y126" s="1106">
        <f t="shared" si="41"/>
        <v>4966.535433070866</v>
      </c>
      <c r="Z126" s="1106">
        <f t="shared" si="42"/>
        <v>-7533.87562992126</v>
      </c>
      <c r="AA126" s="1106">
        <f t="shared" si="43"/>
        <v>12500.411062992125</v>
      </c>
    </row>
    <row r="127" spans="1:30" hidden="1" x14ac:dyDescent="0.35">
      <c r="A127" s="179">
        <v>3</v>
      </c>
      <c r="C127" s="986" t="s">
        <v>353</v>
      </c>
      <c r="D127" s="83" t="s">
        <v>354</v>
      </c>
      <c r="E127" s="399" t="str">
        <f>VLOOKUP(F127,'Quy đổi'!A:D,4,0)</f>
        <v>Phó sản</v>
      </c>
      <c r="F127" s="986" t="s">
        <v>359</v>
      </c>
      <c r="G127" s="82" t="s">
        <v>356</v>
      </c>
      <c r="H127" s="257">
        <f>IFERROR(VLOOKUP(F127,'Quy đổi'!A:C,3,0),"-")</f>
        <v>0</v>
      </c>
      <c r="I127" s="1098">
        <v>32430</v>
      </c>
      <c r="J127" s="1098">
        <v>162150000</v>
      </c>
      <c r="K127" s="1098">
        <v>162150000</v>
      </c>
      <c r="O127" s="1097">
        <f t="shared" si="33"/>
        <v>162150000</v>
      </c>
      <c r="P127" s="1096">
        <f t="shared" si="45"/>
        <v>5000</v>
      </c>
      <c r="Q127" s="1096">
        <f t="shared" si="46"/>
        <v>196.85039370078741</v>
      </c>
      <c r="R127" s="1099">
        <v>407923906</v>
      </c>
      <c r="S127" s="1096">
        <f t="shared" si="36"/>
        <v>12578.597163120567</v>
      </c>
      <c r="T127" s="1096">
        <f t="shared" si="37"/>
        <v>513.41212910696186</v>
      </c>
      <c r="U127" s="1096">
        <f t="shared" si="38"/>
        <v>-245773906</v>
      </c>
      <c r="V127" s="1102">
        <f t="shared" si="39"/>
        <v>-1.5157194326241135</v>
      </c>
      <c r="W127" s="1098">
        <v>25400</v>
      </c>
      <c r="X127" s="1106">
        <f t="shared" si="40"/>
        <v>6383.858267716535</v>
      </c>
      <c r="Y127" s="1106">
        <f t="shared" si="41"/>
        <v>6383.858267716535</v>
      </c>
      <c r="Z127" s="1106">
        <f t="shared" si="42"/>
        <v>-9676.1380314960625</v>
      </c>
      <c r="AA127" s="1106">
        <f t="shared" si="43"/>
        <v>16059.996299212598</v>
      </c>
    </row>
    <row r="128" spans="1:30" hidden="1" x14ac:dyDescent="0.35">
      <c r="A128" s="179">
        <v>3</v>
      </c>
      <c r="C128" s="986" t="s">
        <v>353</v>
      </c>
      <c r="D128" s="83" t="s">
        <v>354</v>
      </c>
      <c r="E128" s="399" t="str">
        <f>VLOOKUP(F128,'Quy đổi'!A:D,4,0)</f>
        <v>Phó sản</v>
      </c>
      <c r="F128" s="986" t="s">
        <v>651</v>
      </c>
      <c r="G128" s="82" t="s">
        <v>652</v>
      </c>
      <c r="H128" s="257">
        <f>IFERROR(VLOOKUP(F128,'Quy đổi'!A:C,3,0),"-")</f>
        <v>0</v>
      </c>
      <c r="I128" s="1098">
        <v>30396</v>
      </c>
      <c r="J128" s="1098">
        <v>60792000</v>
      </c>
      <c r="K128" s="1098">
        <v>60792000</v>
      </c>
      <c r="O128" s="1097">
        <f t="shared" si="33"/>
        <v>60792000</v>
      </c>
      <c r="P128" s="1096">
        <f t="shared" si="45"/>
        <v>2000</v>
      </c>
      <c r="Q128" s="1096">
        <f t="shared" si="46"/>
        <v>78.740157480314963</v>
      </c>
      <c r="R128" s="1099">
        <v>382941720</v>
      </c>
      <c r="S128" s="1096">
        <f t="shared" si="36"/>
        <v>12598.424792735887</v>
      </c>
      <c r="T128" s="1096">
        <f t="shared" si="37"/>
        <v>514.22142011166886</v>
      </c>
      <c r="U128" s="1096">
        <f t="shared" si="38"/>
        <v>-322149720</v>
      </c>
      <c r="V128" s="1102">
        <f t="shared" si="39"/>
        <v>-5.2992123963679427</v>
      </c>
      <c r="W128" s="1098">
        <v>25400</v>
      </c>
      <c r="X128" s="1106">
        <f t="shared" si="40"/>
        <v>2393.3858267716537</v>
      </c>
      <c r="Y128" s="1106">
        <f t="shared" si="41"/>
        <v>2393.3858267716537</v>
      </c>
      <c r="Z128" s="1106">
        <f t="shared" si="42"/>
        <v>-12683.059842519686</v>
      </c>
      <c r="AA128" s="1106">
        <f t="shared" si="43"/>
        <v>15076.445669291339</v>
      </c>
    </row>
    <row r="129" spans="1:30" hidden="1" x14ac:dyDescent="0.35">
      <c r="A129" s="179">
        <v>3</v>
      </c>
      <c r="B129" s="880" t="s">
        <v>22</v>
      </c>
      <c r="C129" s="986" t="s">
        <v>637</v>
      </c>
      <c r="D129" s="83" t="s">
        <v>638</v>
      </c>
      <c r="E129" s="399" t="str">
        <f>VLOOKUP(F129,'Quy đổi'!A:D,4,0)</f>
        <v>rHDPE ép</v>
      </c>
      <c r="F129" s="986" t="s">
        <v>37</v>
      </c>
      <c r="G129" s="82" t="s">
        <v>36</v>
      </c>
      <c r="H129" s="257" t="str">
        <f>IFERROR(VLOOKUP(F129,'Quy đổi'!A:C,3,0),"-")</f>
        <v>Vảy HD Ép Đỏ</v>
      </c>
      <c r="I129" s="1098">
        <v>50</v>
      </c>
      <c r="J129" s="1098">
        <v>856482</v>
      </c>
      <c r="K129" s="1098">
        <v>856482</v>
      </c>
      <c r="L129" s="1097"/>
      <c r="M129" s="1056">
        <f>I129*1000</f>
        <v>50000</v>
      </c>
      <c r="O129" s="1097">
        <f t="shared" si="33"/>
        <v>806482</v>
      </c>
      <c r="P129" s="1096">
        <f t="shared" si="45"/>
        <v>16129.64</v>
      </c>
      <c r="Q129" s="1096">
        <f t="shared" si="46"/>
        <v>635.02519685039374</v>
      </c>
      <c r="R129" s="1099">
        <v>1526946</v>
      </c>
      <c r="S129" s="1096">
        <f t="shared" si="36"/>
        <v>30538.92</v>
      </c>
      <c r="T129" s="1096">
        <f t="shared" si="37"/>
        <v>1246.4865306122449</v>
      </c>
      <c r="U129" s="1096">
        <f t="shared" si="38"/>
        <v>-720464</v>
      </c>
      <c r="V129" s="1102">
        <f t="shared" si="39"/>
        <v>-0.84118989073909323</v>
      </c>
      <c r="W129" s="1098">
        <v>25400</v>
      </c>
      <c r="X129" s="1106">
        <f t="shared" si="40"/>
        <v>31.751259842519683</v>
      </c>
      <c r="Y129" s="1106">
        <f t="shared" si="41"/>
        <v>33.719763779527561</v>
      </c>
      <c r="Z129" s="1106">
        <f t="shared" si="42"/>
        <v>-28.364724409448819</v>
      </c>
      <c r="AA129" s="1106">
        <f t="shared" si="43"/>
        <v>60.115984251968506</v>
      </c>
      <c r="AB129" s="1054">
        <v>750</v>
      </c>
      <c r="AC129" s="1098">
        <f t="shared" ref="AC129:AC141" si="48">X129/I129*1000</f>
        <v>635.02519685039374</v>
      </c>
      <c r="AD129" s="1054">
        <f t="shared" ref="AD129:AD141" si="49">AC129-AB129</f>
        <v>-114.97480314960626</v>
      </c>
    </row>
    <row r="130" spans="1:30" hidden="1" x14ac:dyDescent="0.35">
      <c r="A130" s="179">
        <v>3</v>
      </c>
      <c r="B130" s="880" t="s">
        <v>22</v>
      </c>
      <c r="C130" s="986" t="s">
        <v>637</v>
      </c>
      <c r="D130" s="83" t="s">
        <v>638</v>
      </c>
      <c r="E130" s="399" t="str">
        <f>VLOOKUP(F130,'Quy đổi'!A:D,4,0)</f>
        <v>rHDPE ép</v>
      </c>
      <c r="F130" s="986" t="s">
        <v>536</v>
      </c>
      <c r="G130" s="82" t="s">
        <v>537</v>
      </c>
      <c r="H130" s="257" t="str">
        <f>IFERROR(VLOOKUP(F130,'Quy đổi'!A:C,3,0),"-")</f>
        <v>Vảy HD Ép Trắng</v>
      </c>
      <c r="I130" s="1098">
        <v>50</v>
      </c>
      <c r="J130" s="1098">
        <v>856482</v>
      </c>
      <c r="K130" s="1098">
        <v>856482</v>
      </c>
      <c r="L130" s="1097"/>
      <c r="M130" s="1056">
        <f>I130*1000</f>
        <v>50000</v>
      </c>
      <c r="O130" s="1097">
        <f t="shared" si="33"/>
        <v>806482</v>
      </c>
      <c r="P130" s="1096">
        <f t="shared" si="45"/>
        <v>16129.64</v>
      </c>
      <c r="Q130" s="1096">
        <f t="shared" si="46"/>
        <v>635.02519685039374</v>
      </c>
      <c r="R130" s="1099">
        <v>1197538</v>
      </c>
      <c r="S130" s="1096">
        <f t="shared" si="36"/>
        <v>23950.76</v>
      </c>
      <c r="T130" s="1096">
        <f t="shared" si="37"/>
        <v>977.58204081632641</v>
      </c>
      <c r="U130" s="1096">
        <f t="shared" si="38"/>
        <v>-391056</v>
      </c>
      <c r="V130" s="1102">
        <f t="shared" si="39"/>
        <v>-0.45658402628426514</v>
      </c>
      <c r="W130" s="1098">
        <v>25400</v>
      </c>
      <c r="X130" s="1106">
        <f t="shared" si="40"/>
        <v>31.751259842519683</v>
      </c>
      <c r="Y130" s="1106">
        <f t="shared" si="41"/>
        <v>33.719763779527561</v>
      </c>
      <c r="Z130" s="1106">
        <f t="shared" si="42"/>
        <v>-15.395905511811023</v>
      </c>
      <c r="AA130" s="1106">
        <f t="shared" si="43"/>
        <v>47.14716535433071</v>
      </c>
      <c r="AB130" s="1054">
        <v>750</v>
      </c>
      <c r="AC130" s="1098">
        <f t="shared" si="48"/>
        <v>635.02519685039374</v>
      </c>
      <c r="AD130" s="1054">
        <f t="shared" si="49"/>
        <v>-114.97480314960626</v>
      </c>
    </row>
    <row r="131" spans="1:30" hidden="1" x14ac:dyDescent="0.35">
      <c r="A131" s="179">
        <v>3</v>
      </c>
      <c r="B131" s="880" t="s">
        <v>22</v>
      </c>
      <c r="C131" s="986" t="s">
        <v>637</v>
      </c>
      <c r="D131" s="83" t="s">
        <v>638</v>
      </c>
      <c r="E131" s="399" t="str">
        <f>VLOOKUP(F131,'Quy đổi'!A:D,4,0)</f>
        <v>rHDPE ép</v>
      </c>
      <c r="F131" s="986" t="s">
        <v>39</v>
      </c>
      <c r="G131" s="82" t="s">
        <v>38</v>
      </c>
      <c r="H131" s="257" t="str">
        <f>IFERROR(VLOOKUP(F131,'Quy đổi'!A:C,3,0),"-")</f>
        <v>Vảy HD Ép Vàng</v>
      </c>
      <c r="I131" s="1098">
        <v>50</v>
      </c>
      <c r="J131" s="1098">
        <v>856482</v>
      </c>
      <c r="K131" s="1098">
        <v>856482</v>
      </c>
      <c r="L131" s="1097"/>
      <c r="M131" s="1056">
        <f>I131*1000</f>
        <v>50000</v>
      </c>
      <c r="O131" s="1097">
        <f t="shared" si="33"/>
        <v>806482</v>
      </c>
      <c r="P131" s="1096">
        <f t="shared" si="45"/>
        <v>16129.64</v>
      </c>
      <c r="Q131" s="1096">
        <f t="shared" si="46"/>
        <v>635.02519685039374</v>
      </c>
      <c r="R131" s="1099">
        <v>1245876</v>
      </c>
      <c r="S131" s="1096">
        <f t="shared" si="36"/>
        <v>24917.52</v>
      </c>
      <c r="T131" s="1096">
        <f t="shared" si="37"/>
        <v>1017.0416326530612</v>
      </c>
      <c r="U131" s="1096">
        <f t="shared" si="38"/>
        <v>-439394</v>
      </c>
      <c r="V131" s="1102">
        <f t="shared" si="39"/>
        <v>-0.51302187319756865</v>
      </c>
      <c r="W131" s="1098">
        <v>25400</v>
      </c>
      <c r="X131" s="1106">
        <f t="shared" si="40"/>
        <v>31.751259842519683</v>
      </c>
      <c r="Y131" s="1106">
        <f t="shared" si="41"/>
        <v>33.719763779527561</v>
      </c>
      <c r="Z131" s="1106">
        <f t="shared" si="42"/>
        <v>-17.298976377952755</v>
      </c>
      <c r="AA131" s="1106">
        <f t="shared" si="43"/>
        <v>49.050236220472442</v>
      </c>
      <c r="AB131" s="1054">
        <v>750</v>
      </c>
      <c r="AC131" s="1098">
        <f t="shared" si="48"/>
        <v>635.02519685039374</v>
      </c>
      <c r="AD131" s="1054">
        <f t="shared" si="49"/>
        <v>-114.97480314960626</v>
      </c>
    </row>
    <row r="132" spans="1:30" hidden="1" x14ac:dyDescent="0.35">
      <c r="A132" s="179">
        <v>3</v>
      </c>
      <c r="B132" s="880" t="s">
        <v>22</v>
      </c>
      <c r="C132" s="986" t="s">
        <v>637</v>
      </c>
      <c r="D132" s="83" t="s">
        <v>638</v>
      </c>
      <c r="E132" s="399" t="str">
        <f>VLOOKUP(F132,'Quy đổi'!A:D,4,0)</f>
        <v>rHDPE ép</v>
      </c>
      <c r="F132" s="986" t="s">
        <v>41</v>
      </c>
      <c r="G132" s="82" t="s">
        <v>40</v>
      </c>
      <c r="H132" s="257" t="str">
        <f>IFERROR(VLOOKUP(F132,'Quy đổi'!A:C,3,0),"-")</f>
        <v>Vảy HD Ép Lá</v>
      </c>
      <c r="I132" s="1098">
        <v>50</v>
      </c>
      <c r="J132" s="1098">
        <v>856482</v>
      </c>
      <c r="K132" s="1098">
        <v>856482</v>
      </c>
      <c r="L132" s="1097"/>
      <c r="M132" s="1056">
        <f>I132*1000</f>
        <v>50000</v>
      </c>
      <c r="O132" s="1097">
        <f t="shared" si="33"/>
        <v>806482</v>
      </c>
      <c r="P132" s="1096">
        <f t="shared" si="45"/>
        <v>16129.64</v>
      </c>
      <c r="Q132" s="1096">
        <f t="shared" si="46"/>
        <v>635.02519685039374</v>
      </c>
      <c r="R132" s="1099">
        <v>1230747</v>
      </c>
      <c r="S132" s="1096">
        <f t="shared" si="36"/>
        <v>24614.94</v>
      </c>
      <c r="T132" s="1096">
        <f t="shared" si="37"/>
        <v>1004.6914285714286</v>
      </c>
      <c r="U132" s="1096">
        <f t="shared" si="38"/>
        <v>-424265</v>
      </c>
      <c r="V132" s="1102">
        <f t="shared" si="39"/>
        <v>-0.49535775416179206</v>
      </c>
      <c r="W132" s="1098">
        <v>25400</v>
      </c>
      <c r="X132" s="1106">
        <f t="shared" si="40"/>
        <v>31.751259842519683</v>
      </c>
      <c r="Y132" s="1106">
        <f t="shared" si="41"/>
        <v>33.719763779527561</v>
      </c>
      <c r="Z132" s="1106">
        <f t="shared" si="42"/>
        <v>-16.703346456692913</v>
      </c>
      <c r="AA132" s="1106">
        <f t="shared" si="43"/>
        <v>48.4546062992126</v>
      </c>
      <c r="AB132" s="1054">
        <v>750</v>
      </c>
      <c r="AC132" s="1098">
        <f t="shared" si="48"/>
        <v>635.02519685039374</v>
      </c>
      <c r="AD132" s="1054">
        <f t="shared" si="49"/>
        <v>-114.97480314960626</v>
      </c>
    </row>
    <row r="133" spans="1:30" hidden="1" x14ac:dyDescent="0.35">
      <c r="A133" s="179">
        <v>3</v>
      </c>
      <c r="B133" s="880" t="s">
        <v>22</v>
      </c>
      <c r="C133" s="986" t="s">
        <v>637</v>
      </c>
      <c r="D133" s="83" t="s">
        <v>638</v>
      </c>
      <c r="E133" s="399" t="str">
        <f>VLOOKUP(F133,'Quy đổi'!A:D,4,0)</f>
        <v>rHDPE ép</v>
      </c>
      <c r="F133" s="986" t="s">
        <v>43</v>
      </c>
      <c r="G133" s="82" t="s">
        <v>42</v>
      </c>
      <c r="H133" s="257" t="str">
        <f>IFERROR(VLOOKUP(F133,'Quy đổi'!A:C,3,0),"-")</f>
        <v>Vảy HD Ép dương</v>
      </c>
      <c r="I133" s="1098">
        <v>50</v>
      </c>
      <c r="J133" s="1098">
        <v>856482</v>
      </c>
      <c r="K133" s="1098">
        <v>856482</v>
      </c>
      <c r="L133" s="1097"/>
      <c r="M133" s="1056">
        <f>I133*1000</f>
        <v>50000</v>
      </c>
      <c r="O133" s="1097">
        <f t="shared" si="33"/>
        <v>806482</v>
      </c>
      <c r="P133" s="1096">
        <f t="shared" si="45"/>
        <v>16129.64</v>
      </c>
      <c r="Q133" s="1096">
        <f t="shared" si="46"/>
        <v>635.02519685039374</v>
      </c>
      <c r="R133" s="1099">
        <v>1249497</v>
      </c>
      <c r="S133" s="1096">
        <f t="shared" si="36"/>
        <v>24989.94</v>
      </c>
      <c r="T133" s="1096">
        <f t="shared" si="37"/>
        <v>1019.9975510204081</v>
      </c>
      <c r="U133" s="1096">
        <f t="shared" si="38"/>
        <v>-443015</v>
      </c>
      <c r="V133" s="1102">
        <f t="shared" si="39"/>
        <v>-0.51724963280022229</v>
      </c>
      <c r="W133" s="1098">
        <v>25400</v>
      </c>
      <c r="X133" s="1106">
        <f t="shared" si="40"/>
        <v>31.751259842519683</v>
      </c>
      <c r="Y133" s="1106">
        <f t="shared" si="41"/>
        <v>33.719763779527561</v>
      </c>
      <c r="Z133" s="1106">
        <f t="shared" si="42"/>
        <v>-17.441535433070865</v>
      </c>
      <c r="AA133" s="1106">
        <f t="shared" si="43"/>
        <v>49.192795275590548</v>
      </c>
      <c r="AB133" s="1054">
        <v>750</v>
      </c>
      <c r="AC133" s="1098">
        <f t="shared" si="48"/>
        <v>635.02519685039374</v>
      </c>
      <c r="AD133" s="1054">
        <f t="shared" si="49"/>
        <v>-114.97480314960626</v>
      </c>
    </row>
    <row r="134" spans="1:30" hidden="1" x14ac:dyDescent="0.35">
      <c r="A134" s="179">
        <v>3</v>
      </c>
      <c r="B134" s="880" t="s">
        <v>22</v>
      </c>
      <c r="C134" s="986" t="s">
        <v>637</v>
      </c>
      <c r="D134" s="83" t="s">
        <v>638</v>
      </c>
      <c r="E134" s="399" t="str">
        <f>VLOOKUP(F134,'Quy đổi'!A:D,4,0)</f>
        <v>rHDPE ép</v>
      </c>
      <c r="F134" s="986" t="s">
        <v>43</v>
      </c>
      <c r="G134" s="82" t="s">
        <v>42</v>
      </c>
      <c r="H134" s="257" t="str">
        <f>IFERROR(VLOOKUP(F134,'Quy đổi'!A:C,3,0),"-")</f>
        <v>Vảy HD Ép dương</v>
      </c>
      <c r="I134" s="1098">
        <v>10500</v>
      </c>
      <c r="J134" s="1098">
        <v>179861111</v>
      </c>
      <c r="K134" s="1098">
        <v>179861111</v>
      </c>
      <c r="L134" s="1097"/>
      <c r="M134" s="1056">
        <f>I134*1000/1.08</f>
        <v>9722222.222222222</v>
      </c>
      <c r="O134" s="1097">
        <f t="shared" ref="O134:O197" si="50">K134-SUM(L134:N134)</f>
        <v>170138888.77777779</v>
      </c>
      <c r="P134" s="1096">
        <f t="shared" si="45"/>
        <v>16203.703693121694</v>
      </c>
      <c r="Q134" s="1096">
        <f t="shared" si="46"/>
        <v>637.94109028038156</v>
      </c>
      <c r="R134" s="1099">
        <v>262394289</v>
      </c>
      <c r="S134" s="1096">
        <f t="shared" si="36"/>
        <v>24989.932285714287</v>
      </c>
      <c r="T134" s="1096">
        <f t="shared" si="37"/>
        <v>1019.9972361516036</v>
      </c>
      <c r="U134" s="1096">
        <f t="shared" si="38"/>
        <v>-92255400.222222209</v>
      </c>
      <c r="V134" s="1102">
        <f t="shared" si="39"/>
        <v>-0.51292577761416258</v>
      </c>
      <c r="W134" s="1098">
        <v>25400</v>
      </c>
      <c r="X134" s="1106">
        <f t="shared" si="40"/>
        <v>6698.381447944008</v>
      </c>
      <c r="Y134" s="1106">
        <f t="shared" si="41"/>
        <v>7081.1461023622051</v>
      </c>
      <c r="Z134" s="1106">
        <f t="shared" si="42"/>
        <v>-3632.1023709536303</v>
      </c>
      <c r="AA134" s="1106">
        <f t="shared" si="43"/>
        <v>10330.483818897637</v>
      </c>
      <c r="AB134" s="1054">
        <v>750</v>
      </c>
      <c r="AC134" s="1098">
        <f t="shared" si="48"/>
        <v>637.94109028038167</v>
      </c>
      <c r="AD134" s="1054">
        <f t="shared" si="49"/>
        <v>-112.05890971961833</v>
      </c>
    </row>
    <row r="135" spans="1:30" hidden="1" x14ac:dyDescent="0.35">
      <c r="A135" s="179">
        <v>3</v>
      </c>
      <c r="B135" s="880" t="s">
        <v>22</v>
      </c>
      <c r="C135" s="986" t="s">
        <v>637</v>
      </c>
      <c r="D135" s="83" t="s">
        <v>638</v>
      </c>
      <c r="E135" s="399" t="str">
        <f>VLOOKUP(F135,'Quy đổi'!A:D,4,0)</f>
        <v>rHDPE ép</v>
      </c>
      <c r="F135" s="986" t="s">
        <v>653</v>
      </c>
      <c r="G135" s="82" t="s">
        <v>654</v>
      </c>
      <c r="H135" s="257" t="str">
        <f>IFERROR(VLOOKUP(F135,'Quy đổi'!A:C,3,0),"-")</f>
        <v>Vảy HD Ép Đồng</v>
      </c>
      <c r="I135" s="1098">
        <v>50</v>
      </c>
      <c r="J135" s="1098">
        <v>833331</v>
      </c>
      <c r="K135" s="1098">
        <v>833331</v>
      </c>
      <c r="L135" s="1097"/>
      <c r="M135" s="1056">
        <f>I135*1000</f>
        <v>50000</v>
      </c>
      <c r="O135" s="1097">
        <f t="shared" si="50"/>
        <v>783331</v>
      </c>
      <c r="P135" s="1096">
        <f t="shared" si="45"/>
        <v>15666.62</v>
      </c>
      <c r="Q135" s="1096">
        <f t="shared" si="46"/>
        <v>616.79606299212594</v>
      </c>
      <c r="R135" s="1099">
        <v>861615</v>
      </c>
      <c r="S135" s="1096">
        <f t="shared" si="36"/>
        <v>17232.3</v>
      </c>
      <c r="T135" s="1096">
        <f t="shared" si="37"/>
        <v>703.35918367346937</v>
      </c>
      <c r="U135" s="1096">
        <f t="shared" si="38"/>
        <v>-78284</v>
      </c>
      <c r="V135" s="1102">
        <f t="shared" si="39"/>
        <v>-9.3941063034976499E-2</v>
      </c>
      <c r="W135" s="1098">
        <v>25400</v>
      </c>
      <c r="X135" s="1106">
        <f t="shared" si="40"/>
        <v>30.839803149606301</v>
      </c>
      <c r="Y135" s="1106">
        <f t="shared" si="41"/>
        <v>32.808307086614171</v>
      </c>
      <c r="Z135" s="1106">
        <f t="shared" si="42"/>
        <v>-3.0820472440944884</v>
      </c>
      <c r="AA135" s="1106">
        <f t="shared" si="43"/>
        <v>33.921850393700787</v>
      </c>
      <c r="AB135" s="1054">
        <v>750</v>
      </c>
      <c r="AC135" s="1098">
        <f t="shared" si="48"/>
        <v>616.79606299212594</v>
      </c>
      <c r="AD135" s="1054">
        <f t="shared" si="49"/>
        <v>-133.20393700787406</v>
      </c>
    </row>
    <row r="136" spans="1:30" hidden="1" x14ac:dyDescent="0.35">
      <c r="A136" s="179">
        <v>3</v>
      </c>
      <c r="B136" s="880" t="s">
        <v>26</v>
      </c>
      <c r="C136" s="986" t="s">
        <v>530</v>
      </c>
      <c r="D136" s="83" t="s">
        <v>531</v>
      </c>
      <c r="E136" s="399" t="str">
        <f>VLOOKUP(F136,'Quy đổi'!A:D,4,0)</f>
        <v>rPET</v>
      </c>
      <c r="F136" s="986" t="s">
        <v>100</v>
      </c>
      <c r="G136" s="82" t="s">
        <v>99</v>
      </c>
      <c r="H136" s="257" t="str">
        <f>IFERROR(VLOOKUP(F136,'Quy đổi'!A:C,3,0),"-")</f>
        <v>iSS01G</v>
      </c>
      <c r="I136" s="1098">
        <v>66000</v>
      </c>
      <c r="J136" s="1098">
        <v>2429103600</v>
      </c>
      <c r="K136" s="1098">
        <v>2429103600</v>
      </c>
      <c r="L136" s="1104">
        <v>254838023</v>
      </c>
      <c r="O136" s="1097">
        <f t="shared" si="50"/>
        <v>2174265577</v>
      </c>
      <c r="P136" s="1096">
        <f t="shared" si="45"/>
        <v>32943.417833333333</v>
      </c>
      <c r="Q136" s="1096">
        <f t="shared" si="46"/>
        <v>1296.9849540682414</v>
      </c>
      <c r="R136" s="1099">
        <v>1672506708</v>
      </c>
      <c r="S136" s="1096">
        <f t="shared" si="36"/>
        <v>25341.010727272725</v>
      </c>
      <c r="T136" s="1096">
        <f t="shared" si="37"/>
        <v>1034.3269684601112</v>
      </c>
      <c r="U136" s="1096">
        <f t="shared" si="38"/>
        <v>501758869</v>
      </c>
      <c r="V136" s="1102">
        <f t="shared" si="39"/>
        <v>0.20656132945503025</v>
      </c>
      <c r="W136" s="1098">
        <v>25400</v>
      </c>
      <c r="X136" s="1106">
        <f t="shared" si="40"/>
        <v>85601.006968503934</v>
      </c>
      <c r="Y136" s="1106">
        <f t="shared" si="41"/>
        <v>95634</v>
      </c>
      <c r="Z136" s="1106">
        <f t="shared" si="42"/>
        <v>19754.286181102361</v>
      </c>
      <c r="AA136" s="1106">
        <f t="shared" si="43"/>
        <v>65846.720787401573</v>
      </c>
      <c r="AB136" s="1054">
        <v>1260</v>
      </c>
      <c r="AC136" s="1098">
        <f t="shared" si="48"/>
        <v>1296.9849540682414</v>
      </c>
      <c r="AD136" s="1054">
        <f t="shared" si="49"/>
        <v>36.98495406824145</v>
      </c>
    </row>
    <row r="137" spans="1:30" hidden="1" x14ac:dyDescent="0.35">
      <c r="A137" s="179">
        <v>3</v>
      </c>
      <c r="B137" s="880" t="s">
        <v>26</v>
      </c>
      <c r="C137" s="986" t="s">
        <v>530</v>
      </c>
      <c r="D137" s="83" t="s">
        <v>531</v>
      </c>
      <c r="E137" s="399" t="str">
        <f>VLOOKUP(F137,'Quy đổi'!A:D,4,0)</f>
        <v>rHDPE thổi</v>
      </c>
      <c r="F137" s="986" t="s">
        <v>375</v>
      </c>
      <c r="G137" s="82" t="s">
        <v>376</v>
      </c>
      <c r="H137" s="257" t="str">
        <f>IFERROR(VLOOKUP(F137,'Quy đổi'!A:C,3,0),"-")</f>
        <v>A03N01</v>
      </c>
      <c r="I137" s="1098">
        <v>99000</v>
      </c>
      <c r="J137" s="1098">
        <v>3734181000</v>
      </c>
      <c r="K137" s="1098">
        <v>3734181000</v>
      </c>
      <c r="L137" s="1104">
        <v>251922668</v>
      </c>
      <c r="O137" s="1097">
        <f t="shared" si="50"/>
        <v>3482258332</v>
      </c>
      <c r="P137" s="1096">
        <f t="shared" si="45"/>
        <v>35174.326585858587</v>
      </c>
      <c r="Q137" s="1096">
        <f t="shared" si="46"/>
        <v>1384.8160073172673</v>
      </c>
      <c r="R137" s="1099">
        <v>2811578452</v>
      </c>
      <c r="S137" s="1096">
        <f t="shared" si="36"/>
        <v>28399.782343434345</v>
      </c>
      <c r="T137" s="1096">
        <f t="shared" si="37"/>
        <v>1159.1747895279325</v>
      </c>
      <c r="U137" s="1096">
        <f t="shared" si="38"/>
        <v>670679880</v>
      </c>
      <c r="V137" s="1102">
        <f t="shared" si="39"/>
        <v>0.17960561633193464</v>
      </c>
      <c r="W137" s="1098">
        <v>25400</v>
      </c>
      <c r="X137" s="1106">
        <f t="shared" si="40"/>
        <v>137096.78472440946</v>
      </c>
      <c r="Y137" s="1106">
        <f t="shared" si="41"/>
        <v>147015</v>
      </c>
      <c r="Z137" s="1106">
        <f t="shared" si="42"/>
        <v>26404.71968503937</v>
      </c>
      <c r="AA137" s="1106">
        <f t="shared" si="43"/>
        <v>110692.06503937008</v>
      </c>
      <c r="AB137" s="1054">
        <v>1350</v>
      </c>
      <c r="AC137" s="1098">
        <f t="shared" si="48"/>
        <v>1384.8160073172673</v>
      </c>
      <c r="AD137" s="1054">
        <f t="shared" si="49"/>
        <v>34.816007317267349</v>
      </c>
    </row>
    <row r="138" spans="1:30" hidden="1" x14ac:dyDescent="0.35">
      <c r="A138" s="179">
        <v>3</v>
      </c>
      <c r="B138" s="880" t="s">
        <v>22</v>
      </c>
      <c r="C138" s="986" t="s">
        <v>89</v>
      </c>
      <c r="D138" s="83" t="s">
        <v>227</v>
      </c>
      <c r="E138" s="399" t="str">
        <f>VLOOKUP(F138,'Quy đổi'!A:D,4,0)</f>
        <v>Xơ sợi</v>
      </c>
      <c r="F138" s="986" t="s">
        <v>463</v>
      </c>
      <c r="G138" s="82" t="s">
        <v>470</v>
      </c>
      <c r="H138" s="257" t="str">
        <f>IFERROR(VLOOKUP(F138,'Quy đổi'!A:C,3,0),"-")</f>
        <v>WSS05SB-2</v>
      </c>
      <c r="I138" s="1098">
        <v>33000</v>
      </c>
      <c r="J138" s="1098">
        <v>627000000</v>
      </c>
      <c r="K138" s="1098">
        <v>627000000</v>
      </c>
      <c r="O138" s="1097">
        <f t="shared" si="50"/>
        <v>627000000</v>
      </c>
      <c r="P138" s="1096">
        <f t="shared" si="45"/>
        <v>19000</v>
      </c>
      <c r="Q138" s="1096">
        <f t="shared" si="46"/>
        <v>748.03149606299212</v>
      </c>
      <c r="R138" s="1099">
        <v>669965622</v>
      </c>
      <c r="S138" s="1096">
        <f t="shared" si="36"/>
        <v>20301.988545454544</v>
      </c>
      <c r="T138" s="1096">
        <f t="shared" si="37"/>
        <v>828.65259369202215</v>
      </c>
      <c r="U138" s="1096">
        <f t="shared" si="38"/>
        <v>-42965622</v>
      </c>
      <c r="V138" s="1102">
        <f t="shared" si="39"/>
        <v>-6.8525712918660289E-2</v>
      </c>
      <c r="W138" s="1098">
        <v>25400</v>
      </c>
      <c r="X138" s="1106">
        <f t="shared" si="40"/>
        <v>24685.039370078739</v>
      </c>
      <c r="Y138" s="1106">
        <f t="shared" si="41"/>
        <v>24685.039370078739</v>
      </c>
      <c r="Z138" s="1106">
        <f t="shared" si="42"/>
        <v>-1691.5599212598424</v>
      </c>
      <c r="AA138" s="1106">
        <f t="shared" si="43"/>
        <v>26376.599291338582</v>
      </c>
      <c r="AB138" s="1054">
        <v>1000</v>
      </c>
      <c r="AC138" s="1098">
        <f t="shared" si="48"/>
        <v>748.03149606299212</v>
      </c>
      <c r="AD138" s="1054">
        <f t="shared" si="49"/>
        <v>-251.96850393700788</v>
      </c>
    </row>
    <row r="139" spans="1:30" hidden="1" x14ac:dyDescent="0.35">
      <c r="A139" s="179">
        <v>3</v>
      </c>
      <c r="B139" s="880" t="s">
        <v>22</v>
      </c>
      <c r="C139" s="986" t="s">
        <v>519</v>
      </c>
      <c r="D139" s="83" t="s">
        <v>520</v>
      </c>
      <c r="E139" s="399" t="str">
        <f>VLOOKUP(F139,'Quy đổi'!A:D,4,0)</f>
        <v>rHDPE ép</v>
      </c>
      <c r="F139" s="986" t="s">
        <v>41</v>
      </c>
      <c r="G139" s="82" t="s">
        <v>40</v>
      </c>
      <c r="H139" s="257" t="str">
        <f>IFERROR(VLOOKUP(F139,'Quy đổi'!A:C,3,0),"-")</f>
        <v>Vảy HD Ép Lá</v>
      </c>
      <c r="I139" s="1098">
        <v>24000</v>
      </c>
      <c r="J139" s="1098">
        <v>360000000</v>
      </c>
      <c r="K139" s="1098">
        <v>360000000</v>
      </c>
      <c r="L139" s="1097"/>
      <c r="O139" s="1097">
        <f t="shared" si="50"/>
        <v>360000000</v>
      </c>
      <c r="P139" s="1096">
        <f t="shared" si="45"/>
        <v>15000</v>
      </c>
      <c r="Q139" s="1096">
        <f t="shared" si="46"/>
        <v>590.55118110236219</v>
      </c>
      <c r="R139" s="1099">
        <v>590758568</v>
      </c>
      <c r="S139" s="1096">
        <f t="shared" si="36"/>
        <v>24614.940333333332</v>
      </c>
      <c r="T139" s="1096">
        <f t="shared" si="37"/>
        <v>1004.6914421768707</v>
      </c>
      <c r="U139" s="1096">
        <f t="shared" si="38"/>
        <v>-230758568</v>
      </c>
      <c r="V139" s="1102">
        <f t="shared" si="39"/>
        <v>-0.64099602222222218</v>
      </c>
      <c r="W139" s="1098">
        <v>25400</v>
      </c>
      <c r="X139" s="1106">
        <f t="shared" si="40"/>
        <v>14173.228346456694</v>
      </c>
      <c r="Y139" s="1106">
        <f t="shared" si="41"/>
        <v>14173.228346456694</v>
      </c>
      <c r="Z139" s="1106">
        <f t="shared" si="42"/>
        <v>-9084.9829921259843</v>
      </c>
      <c r="AA139" s="1106">
        <f t="shared" si="43"/>
        <v>23258.211338582678</v>
      </c>
      <c r="AB139" s="1054">
        <v>750</v>
      </c>
      <c r="AC139" s="1098">
        <f t="shared" si="48"/>
        <v>590.55118110236231</v>
      </c>
      <c r="AD139" s="1054">
        <f t="shared" si="49"/>
        <v>-159.44881889763769</v>
      </c>
    </row>
    <row r="140" spans="1:30" hidden="1" x14ac:dyDescent="0.35">
      <c r="A140" s="179">
        <v>3</v>
      </c>
      <c r="B140" s="880" t="s">
        <v>26</v>
      </c>
      <c r="C140" s="986" t="s">
        <v>364</v>
      </c>
      <c r="D140" s="83" t="s">
        <v>365</v>
      </c>
      <c r="E140" s="399" t="str">
        <f>VLOOKUP(F140,'Quy đổi'!A:D,4,0)</f>
        <v>rPET</v>
      </c>
      <c r="F140" s="986" t="s">
        <v>100</v>
      </c>
      <c r="G140" s="82" t="s">
        <v>99</v>
      </c>
      <c r="H140" s="257" t="str">
        <f>IFERROR(VLOOKUP(F140,'Quy đổi'!A:C,3,0),"-")</f>
        <v>iSS01G</v>
      </c>
      <c r="I140" s="1098">
        <v>44000</v>
      </c>
      <c r="J140" s="1098">
        <v>1592580000</v>
      </c>
      <c r="K140" s="1098">
        <v>1592580000</v>
      </c>
      <c r="L140" s="1104">
        <v>153631915</v>
      </c>
      <c r="O140" s="1097">
        <f t="shared" si="50"/>
        <v>1438948085</v>
      </c>
      <c r="P140" s="1096">
        <f t="shared" si="45"/>
        <v>32703.36556818182</v>
      </c>
      <c r="Q140" s="1096">
        <f t="shared" si="46"/>
        <v>1287.5340774874733</v>
      </c>
      <c r="R140" s="1099">
        <v>1115004472</v>
      </c>
      <c r="S140" s="1096">
        <f t="shared" si="36"/>
        <v>25341.010727272725</v>
      </c>
      <c r="T140" s="1096">
        <f t="shared" si="37"/>
        <v>1034.3269684601112</v>
      </c>
      <c r="U140" s="1096">
        <f t="shared" si="38"/>
        <v>323943613</v>
      </c>
      <c r="V140" s="1102">
        <f t="shared" si="39"/>
        <v>0.20340806301724246</v>
      </c>
      <c r="W140" s="1098">
        <v>25400</v>
      </c>
      <c r="X140" s="1106">
        <f t="shared" si="40"/>
        <v>56651.499409448821</v>
      </c>
      <c r="Y140" s="1106">
        <f t="shared" si="41"/>
        <v>62700</v>
      </c>
      <c r="Z140" s="1106">
        <f t="shared" si="42"/>
        <v>12753.685551181103</v>
      </c>
      <c r="AA140" s="1106">
        <f t="shared" si="43"/>
        <v>43897.813858267713</v>
      </c>
      <c r="AB140" s="1054">
        <v>1260</v>
      </c>
      <c r="AC140" s="1098">
        <f t="shared" si="48"/>
        <v>1287.5340774874733</v>
      </c>
      <c r="AD140" s="1054">
        <f t="shared" si="49"/>
        <v>27.534077487473269</v>
      </c>
    </row>
    <row r="141" spans="1:30" hidden="1" x14ac:dyDescent="0.35">
      <c r="A141" s="179">
        <v>3</v>
      </c>
      <c r="B141" s="880" t="s">
        <v>26</v>
      </c>
      <c r="C141" s="986" t="s">
        <v>146</v>
      </c>
      <c r="D141" s="83" t="s">
        <v>180</v>
      </c>
      <c r="E141" s="399" t="str">
        <f>VLOOKUP(F141,'Quy đổi'!A:D,4,0)</f>
        <v>rPET</v>
      </c>
      <c r="F141" s="986" t="s">
        <v>102</v>
      </c>
      <c r="G141" s="82" t="s">
        <v>101</v>
      </c>
      <c r="H141" s="257" t="str">
        <f>IFERROR(VLOOKUP(F141,'Quy đổi'!A:C,3,0),"-")</f>
        <v>WSS03G</v>
      </c>
      <c r="I141" s="1098">
        <v>220000</v>
      </c>
      <c r="J141" s="1098">
        <v>6312552400</v>
      </c>
      <c r="K141" s="1098">
        <v>6312552400</v>
      </c>
      <c r="L141" s="1104">
        <v>90963468</v>
      </c>
      <c r="O141" s="1097">
        <f t="shared" si="50"/>
        <v>6221588932</v>
      </c>
      <c r="P141" s="1096">
        <f t="shared" si="45"/>
        <v>28279.949690909092</v>
      </c>
      <c r="Q141" s="1096">
        <f t="shared" si="46"/>
        <v>1113.3838460987831</v>
      </c>
      <c r="R141" s="1099">
        <v>5783823400</v>
      </c>
      <c r="S141" s="1096">
        <f t="shared" si="36"/>
        <v>26290.106363636365</v>
      </c>
      <c r="T141" s="1096">
        <f t="shared" si="37"/>
        <v>1073.0655658627088</v>
      </c>
      <c r="U141" s="1096">
        <f t="shared" si="38"/>
        <v>437765532</v>
      </c>
      <c r="V141" s="1102">
        <f t="shared" si="39"/>
        <v>6.934841950777311E-2</v>
      </c>
      <c r="W141" s="1098">
        <v>25400</v>
      </c>
      <c r="X141" s="1106">
        <f t="shared" si="40"/>
        <v>244944.44614173227</v>
      </c>
      <c r="Y141" s="1106">
        <f t="shared" si="41"/>
        <v>248525.68503937009</v>
      </c>
      <c r="Z141" s="1106">
        <f t="shared" si="42"/>
        <v>17234.86346456693</v>
      </c>
      <c r="AA141" s="1106">
        <f t="shared" si="43"/>
        <v>227709.58267716537</v>
      </c>
      <c r="AB141" s="1054">
        <v>1160</v>
      </c>
      <c r="AC141" s="1098">
        <f t="shared" si="48"/>
        <v>1113.3838460987831</v>
      </c>
      <c r="AD141" s="1054">
        <f t="shared" si="49"/>
        <v>-46.616153901216876</v>
      </c>
    </row>
    <row r="142" spans="1:30" hidden="1" x14ac:dyDescent="0.35">
      <c r="A142" s="179">
        <v>3</v>
      </c>
      <c r="C142" s="986" t="s">
        <v>221</v>
      </c>
      <c r="D142" s="83" t="s">
        <v>222</v>
      </c>
      <c r="E142" s="399" t="str">
        <f>VLOOKUP(F142,'Quy đổi'!A:D,4,0)</f>
        <v>Khác</v>
      </c>
      <c r="F142" s="986" t="s">
        <v>223</v>
      </c>
      <c r="G142" s="82" t="s">
        <v>372</v>
      </c>
      <c r="H142" s="257">
        <f>IFERROR(VLOOKUP(F142,'Quy đổi'!A:C,3,0),"-")</f>
        <v>0</v>
      </c>
      <c r="I142" s="1098">
        <v>20980</v>
      </c>
      <c r="J142" s="1098">
        <v>434286000</v>
      </c>
      <c r="K142" s="1098">
        <v>434286000</v>
      </c>
      <c r="O142" s="1097">
        <f t="shared" si="50"/>
        <v>434286000</v>
      </c>
      <c r="P142" s="1096">
        <f t="shared" si="45"/>
        <v>20700</v>
      </c>
      <c r="Q142" s="1096">
        <f t="shared" si="46"/>
        <v>814.96062992125985</v>
      </c>
      <c r="R142" s="1099">
        <v>444776000</v>
      </c>
      <c r="S142" s="1096">
        <f t="shared" si="36"/>
        <v>21200</v>
      </c>
      <c r="T142" s="1096">
        <f t="shared" si="37"/>
        <v>865.30612244897964</v>
      </c>
      <c r="U142" s="1096">
        <f t="shared" si="38"/>
        <v>-10490000</v>
      </c>
      <c r="V142" s="1102">
        <f t="shared" si="39"/>
        <v>-2.4154589371980676E-2</v>
      </c>
      <c r="W142" s="1098">
        <v>25400</v>
      </c>
      <c r="X142" s="1106">
        <f t="shared" si="40"/>
        <v>17097.874015748032</v>
      </c>
      <c r="Y142" s="1106">
        <f t="shared" si="41"/>
        <v>17097.874015748032</v>
      </c>
      <c r="Z142" s="1106">
        <f t="shared" si="42"/>
        <v>-412.99212598425197</v>
      </c>
      <c r="AA142" s="1106">
        <f t="shared" si="43"/>
        <v>17510.866141732284</v>
      </c>
    </row>
    <row r="143" spans="1:30" hidden="1" x14ac:dyDescent="0.35">
      <c r="A143" s="179">
        <v>3</v>
      </c>
      <c r="C143" s="986" t="s">
        <v>221</v>
      </c>
      <c r="D143" s="83" t="s">
        <v>222</v>
      </c>
      <c r="E143" s="399" t="str">
        <f>VLOOKUP(F143,'Quy đổi'!A:D,4,0)</f>
        <v>Phó sản</v>
      </c>
      <c r="F143" s="986" t="s">
        <v>655</v>
      </c>
      <c r="G143" s="82" t="s">
        <v>656</v>
      </c>
      <c r="H143" s="257">
        <f>IFERROR(VLOOKUP(F143,'Quy đổi'!A:C,3,0),"-")</f>
        <v>0</v>
      </c>
      <c r="I143" s="1098">
        <v>20894</v>
      </c>
      <c r="J143" s="1098">
        <v>396986000</v>
      </c>
      <c r="K143" s="1098">
        <v>396986000</v>
      </c>
      <c r="O143" s="1097">
        <f t="shared" si="50"/>
        <v>396986000</v>
      </c>
      <c r="P143" s="1096">
        <f t="shared" si="45"/>
        <v>19000</v>
      </c>
      <c r="Q143" s="1096">
        <f t="shared" si="46"/>
        <v>748.03149606299212</v>
      </c>
      <c r="R143" s="1099">
        <v>396986000</v>
      </c>
      <c r="S143" s="1096">
        <f t="shared" si="36"/>
        <v>19000</v>
      </c>
      <c r="T143" s="1096">
        <f t="shared" si="37"/>
        <v>775.51020408163265</v>
      </c>
      <c r="U143" s="1096">
        <f t="shared" si="38"/>
        <v>0</v>
      </c>
      <c r="V143" s="1102">
        <f t="shared" si="39"/>
        <v>0</v>
      </c>
      <c r="W143" s="1098">
        <v>25400</v>
      </c>
      <c r="X143" s="1106">
        <f t="shared" si="40"/>
        <v>15629.370078740158</v>
      </c>
      <c r="Y143" s="1106">
        <f t="shared" si="41"/>
        <v>15629.370078740158</v>
      </c>
      <c r="Z143" s="1106">
        <f t="shared" si="42"/>
        <v>0</v>
      </c>
      <c r="AA143" s="1106">
        <f t="shared" si="43"/>
        <v>15629.370078740158</v>
      </c>
    </row>
    <row r="144" spans="1:30" hidden="1" x14ac:dyDescent="0.35">
      <c r="A144" s="179">
        <v>3</v>
      </c>
      <c r="C144" s="986" t="s">
        <v>221</v>
      </c>
      <c r="D144" s="83" t="s">
        <v>222</v>
      </c>
      <c r="E144" s="399" t="str">
        <f>VLOOKUP(F144,'Quy đổi'!A:D,4,0)</f>
        <v>Khác</v>
      </c>
      <c r="F144" s="986" t="s">
        <v>467</v>
      </c>
      <c r="G144" s="82" t="s">
        <v>466</v>
      </c>
      <c r="H144" s="257">
        <f>IFERROR(VLOOKUP(F144,'Quy đổi'!A:C,3,0),"-")</f>
        <v>0</v>
      </c>
      <c r="I144" s="1098">
        <v>1494</v>
      </c>
      <c r="J144" s="1098">
        <v>28386000</v>
      </c>
      <c r="K144" s="1098">
        <v>28386000</v>
      </c>
      <c r="O144" s="1097">
        <f t="shared" si="50"/>
        <v>28386000</v>
      </c>
      <c r="P144" s="1096">
        <f t="shared" si="45"/>
        <v>19000</v>
      </c>
      <c r="Q144" s="1096">
        <f t="shared" si="46"/>
        <v>748.03149606299212</v>
      </c>
      <c r="R144" s="1099">
        <v>26967964</v>
      </c>
      <c r="S144" s="1096">
        <f t="shared" si="36"/>
        <v>18050.846050870146</v>
      </c>
      <c r="T144" s="1096">
        <f t="shared" si="37"/>
        <v>736.7692265661284</v>
      </c>
      <c r="U144" s="1096">
        <f t="shared" si="38"/>
        <v>1418036</v>
      </c>
      <c r="V144" s="1102">
        <f t="shared" si="39"/>
        <v>4.9955471006834354E-2</v>
      </c>
      <c r="W144" s="1098">
        <v>25400</v>
      </c>
      <c r="X144" s="1106">
        <f t="shared" si="40"/>
        <v>1117.5590551181103</v>
      </c>
      <c r="Y144" s="1106">
        <f t="shared" si="41"/>
        <v>1117.5590551181103</v>
      </c>
      <c r="Z144" s="1106">
        <f t="shared" si="42"/>
        <v>55.828188976377952</v>
      </c>
      <c r="AA144" s="1106">
        <f t="shared" si="43"/>
        <v>1061.7308661417323</v>
      </c>
    </row>
    <row r="145" spans="1:30" hidden="1" x14ac:dyDescent="0.35">
      <c r="A145" s="179">
        <v>3</v>
      </c>
      <c r="B145" s="880" t="s">
        <v>22</v>
      </c>
      <c r="C145" s="986" t="s">
        <v>351</v>
      </c>
      <c r="D145" s="83" t="s">
        <v>352</v>
      </c>
      <c r="E145" s="399" t="str">
        <f>VLOOKUP(F145,'Quy đổi'!A:D,4,0)</f>
        <v>rPET</v>
      </c>
      <c r="F145" s="986" t="s">
        <v>100</v>
      </c>
      <c r="G145" s="82" t="s">
        <v>99</v>
      </c>
      <c r="H145" s="257" t="str">
        <f>IFERROR(VLOOKUP(F145,'Quy đổi'!A:C,3,0),"-")</f>
        <v>iSS01G</v>
      </c>
      <c r="I145" s="1098">
        <v>12100</v>
      </c>
      <c r="J145" s="1098">
        <v>398950552</v>
      </c>
      <c r="K145" s="1098">
        <v>398950552</v>
      </c>
      <c r="O145" s="1097">
        <f t="shared" si="50"/>
        <v>398950552</v>
      </c>
      <c r="P145" s="1096">
        <f t="shared" si="45"/>
        <v>32971.120000000003</v>
      </c>
      <c r="Q145" s="1096">
        <f t="shared" si="46"/>
        <v>1298.0755905511812</v>
      </c>
      <c r="R145" s="1099">
        <v>306626230</v>
      </c>
      <c r="S145" s="1096">
        <f t="shared" si="36"/>
        <v>25341.010743801653</v>
      </c>
      <c r="T145" s="1096">
        <f t="shared" si="37"/>
        <v>1034.3269691347614</v>
      </c>
      <c r="U145" s="1096">
        <f t="shared" si="38"/>
        <v>92324322</v>
      </c>
      <c r="V145" s="1102">
        <f t="shared" si="39"/>
        <v>0.23141795778239704</v>
      </c>
      <c r="W145" s="1098">
        <v>25400</v>
      </c>
      <c r="X145" s="1106">
        <f t="shared" si="40"/>
        <v>15706.714645669292</v>
      </c>
      <c r="Y145" s="1106">
        <f t="shared" si="41"/>
        <v>15706.714645669292</v>
      </c>
      <c r="Z145" s="1106">
        <f t="shared" si="42"/>
        <v>3634.8158267716535</v>
      </c>
      <c r="AA145" s="1106">
        <f t="shared" si="43"/>
        <v>12071.898818897638</v>
      </c>
      <c r="AB145" s="1054">
        <v>1260</v>
      </c>
      <c r="AC145" s="1098">
        <f t="shared" ref="AC145:AC157" si="51">X145/I145*1000</f>
        <v>1298.0755905511812</v>
      </c>
      <c r="AD145" s="1054">
        <f t="shared" ref="AD145:AD157" si="52">AC145-AB145</f>
        <v>38.075590551181222</v>
      </c>
    </row>
    <row r="146" spans="1:30" hidden="1" x14ac:dyDescent="0.35">
      <c r="A146" s="179">
        <v>3</v>
      </c>
      <c r="B146" s="880" t="s">
        <v>22</v>
      </c>
      <c r="C146" s="986" t="s">
        <v>71</v>
      </c>
      <c r="D146" s="83" t="s">
        <v>70</v>
      </c>
      <c r="E146" s="399" t="str">
        <f>VLOOKUP(F146,'Quy đổi'!A:D,4,0)</f>
        <v>rHDPE thổi</v>
      </c>
      <c r="F146" s="986" t="s">
        <v>187</v>
      </c>
      <c r="G146" s="82" t="s">
        <v>188</v>
      </c>
      <c r="H146" s="257" t="str">
        <f>IFERROR(VLOOKUP(F146,'Quy đổi'!A:C,3,0),"-")</f>
        <v>rHDB03N02</v>
      </c>
      <c r="I146" s="1098">
        <v>33000</v>
      </c>
      <c r="J146" s="1098">
        <v>1127115000</v>
      </c>
      <c r="K146" s="1098">
        <v>1127115000</v>
      </c>
      <c r="O146" s="1097">
        <f t="shared" si="50"/>
        <v>1127115000</v>
      </c>
      <c r="P146" s="1096">
        <f t="shared" si="45"/>
        <v>34155</v>
      </c>
      <c r="Q146" s="1096">
        <f t="shared" si="46"/>
        <v>1344.6850393700786</v>
      </c>
      <c r="R146" s="1099">
        <v>1406410653</v>
      </c>
      <c r="S146" s="1096">
        <f t="shared" si="36"/>
        <v>42618.504636363636</v>
      </c>
      <c r="T146" s="1096">
        <f t="shared" si="37"/>
        <v>1739.5308014842301</v>
      </c>
      <c r="U146" s="1096">
        <f t="shared" si="38"/>
        <v>-279295653</v>
      </c>
      <c r="V146" s="1102">
        <f t="shared" si="39"/>
        <v>-0.24779694441117367</v>
      </c>
      <c r="W146" s="1098">
        <v>25400</v>
      </c>
      <c r="X146" s="1106">
        <f t="shared" si="40"/>
        <v>44374.606299212595</v>
      </c>
      <c r="Y146" s="1106">
        <f t="shared" si="41"/>
        <v>44374.606299212595</v>
      </c>
      <c r="Z146" s="1106">
        <f t="shared" si="42"/>
        <v>-10995.8918503937</v>
      </c>
      <c r="AA146" s="1106">
        <f t="shared" si="43"/>
        <v>55370.498149606297</v>
      </c>
      <c r="AB146" s="1054">
        <v>1250</v>
      </c>
      <c r="AC146" s="1098">
        <f t="shared" si="51"/>
        <v>1344.6850393700786</v>
      </c>
      <c r="AD146" s="1054">
        <f t="shared" si="52"/>
        <v>94.685039370078584</v>
      </c>
    </row>
    <row r="147" spans="1:30" hidden="1" x14ac:dyDescent="0.35">
      <c r="A147" s="179">
        <v>3</v>
      </c>
      <c r="B147" s="880" t="s">
        <v>22</v>
      </c>
      <c r="C147" s="986" t="s">
        <v>373</v>
      </c>
      <c r="D147" s="83" t="s">
        <v>374</v>
      </c>
      <c r="E147" s="399" t="str">
        <f>VLOOKUP(F147,'Quy đổi'!A:D,4,0)</f>
        <v>rPET</v>
      </c>
      <c r="F147" s="986" t="s">
        <v>110</v>
      </c>
      <c r="G147" s="82" t="s">
        <v>109</v>
      </c>
      <c r="H147" s="257" t="str">
        <f>IFERROR(VLOOKUP(F147,'Quy đổi'!A:C,3,0),"-")</f>
        <v>WSS01G</v>
      </c>
      <c r="I147" s="1098">
        <v>22000</v>
      </c>
      <c r="J147" s="1098">
        <v>714225600</v>
      </c>
      <c r="K147" s="1098">
        <v>714225600</v>
      </c>
      <c r="O147" s="1097">
        <f t="shared" si="50"/>
        <v>714225600</v>
      </c>
      <c r="P147" s="1096">
        <f t="shared" si="45"/>
        <v>32464.799999999999</v>
      </c>
      <c r="Q147" s="1096">
        <f t="shared" si="46"/>
        <v>1278.1417322834645</v>
      </c>
      <c r="R147" s="1099">
        <v>577225256</v>
      </c>
      <c r="S147" s="1096">
        <f t="shared" si="36"/>
        <v>26237.511636363637</v>
      </c>
      <c r="T147" s="1096">
        <f t="shared" si="37"/>
        <v>1070.9188423005567</v>
      </c>
      <c r="U147" s="1096">
        <f t="shared" si="38"/>
        <v>137000344</v>
      </c>
      <c r="V147" s="1102">
        <f t="shared" si="39"/>
        <v>0.19181662488715051</v>
      </c>
      <c r="W147" s="1098">
        <v>25400</v>
      </c>
      <c r="X147" s="1106">
        <f t="shared" si="40"/>
        <v>28119.118110236221</v>
      </c>
      <c r="Y147" s="1106">
        <f t="shared" si="41"/>
        <v>28119.118110236221</v>
      </c>
      <c r="Z147" s="1106">
        <f t="shared" si="42"/>
        <v>5393.7143307086617</v>
      </c>
      <c r="AA147" s="1106">
        <f t="shared" si="43"/>
        <v>22725.403779527558</v>
      </c>
      <c r="AB147" s="1054">
        <v>1230</v>
      </c>
      <c r="AC147" s="1098">
        <f t="shared" si="51"/>
        <v>1278.1417322834645</v>
      </c>
      <c r="AD147" s="1054">
        <f t="shared" si="52"/>
        <v>48.141732283464535</v>
      </c>
    </row>
    <row r="148" spans="1:30" x14ac:dyDescent="0.35">
      <c r="A148" s="179">
        <v>3</v>
      </c>
      <c r="B148" s="880" t="s">
        <v>26</v>
      </c>
      <c r="C148" s="986" t="s">
        <v>165</v>
      </c>
      <c r="D148" s="83" t="s">
        <v>164</v>
      </c>
      <c r="E148" s="399" t="str">
        <f>VLOOKUP(F148,'Quy đổi'!A:D,4,0)</f>
        <v>rPET</v>
      </c>
      <c r="F148" s="986" t="s">
        <v>110</v>
      </c>
      <c r="G148" s="82" t="s">
        <v>109</v>
      </c>
      <c r="H148" s="257" t="str">
        <f>IFERROR(VLOOKUP(F148,'Quy đổi'!A:C,3,0),"-")</f>
        <v>WSS01G</v>
      </c>
      <c r="I148" s="1098">
        <v>1012000</v>
      </c>
      <c r="J148" s="1098">
        <v>32185238223</v>
      </c>
      <c r="K148" s="1098">
        <v>32185238223</v>
      </c>
      <c r="L148" s="1104">
        <v>402415833</v>
      </c>
      <c r="M148" s="1056">
        <f>K148*1.5%</f>
        <v>482778573.34499997</v>
      </c>
      <c r="O148" s="1097">
        <f t="shared" si="50"/>
        <v>31300043816.654999</v>
      </c>
      <c r="P148" s="1096">
        <f t="shared" si="45"/>
        <v>30928.897052030632</v>
      </c>
      <c r="Q148" s="1096">
        <f t="shared" si="46"/>
        <v>1217.6731122846704</v>
      </c>
      <c r="R148" s="1099">
        <v>26552361776</v>
      </c>
      <c r="S148" s="1096">
        <f t="shared" si="36"/>
        <v>26237.511636363637</v>
      </c>
      <c r="T148" s="1096">
        <f t="shared" si="37"/>
        <v>1070.9188423005567</v>
      </c>
      <c r="U148" s="1096">
        <f t="shared" si="38"/>
        <v>4747682040.6549988</v>
      </c>
      <c r="V148" s="1102">
        <f t="shared" si="39"/>
        <v>0.14751116669573824</v>
      </c>
      <c r="W148" s="1098">
        <v>25400</v>
      </c>
      <c r="X148" s="1106">
        <f t="shared" si="40"/>
        <v>1232285.1896320865</v>
      </c>
      <c r="Y148" s="1106">
        <f t="shared" si="41"/>
        <v>1267135.3631102361</v>
      </c>
      <c r="Z148" s="1106">
        <f t="shared" si="42"/>
        <v>186916.61577381886</v>
      </c>
      <c r="AA148" s="1106">
        <f t="shared" si="43"/>
        <v>1045368.5738582677</v>
      </c>
      <c r="AB148" s="1054">
        <v>1230</v>
      </c>
      <c r="AC148" s="1098">
        <f t="shared" si="51"/>
        <v>1217.6731122846704</v>
      </c>
      <c r="AD148" s="1054">
        <f t="shared" si="52"/>
        <v>-12.326887715329576</v>
      </c>
    </row>
    <row r="149" spans="1:30" x14ac:dyDescent="0.35">
      <c r="A149" s="179">
        <v>3</v>
      </c>
      <c r="B149" s="880" t="s">
        <v>26</v>
      </c>
      <c r="C149" s="986" t="s">
        <v>165</v>
      </c>
      <c r="D149" s="83" t="s">
        <v>164</v>
      </c>
      <c r="E149" s="399" t="str">
        <f>VLOOKUP(F149,'Quy đổi'!A:D,4,0)</f>
        <v>rPET</v>
      </c>
      <c r="F149" s="986" t="s">
        <v>110</v>
      </c>
      <c r="G149" s="82" t="s">
        <v>109</v>
      </c>
      <c r="H149" s="257" t="str">
        <f>IFERROR(VLOOKUP(F149,'Quy đổi'!A:C,3,0),"-")</f>
        <v>WSS01G</v>
      </c>
      <c r="I149" s="1098">
        <v>66000</v>
      </c>
      <c r="J149" s="1098">
        <v>2045006832</v>
      </c>
      <c r="K149" s="1098">
        <v>2045006832</v>
      </c>
      <c r="L149" s="1104">
        <v>27819899.000000004</v>
      </c>
      <c r="M149" s="1056">
        <f>K149*1.5%</f>
        <v>30675102.48</v>
      </c>
      <c r="O149" s="1097">
        <f t="shared" si="50"/>
        <v>1986511830.52</v>
      </c>
      <c r="P149" s="1096">
        <f t="shared" si="45"/>
        <v>30098.664098787878</v>
      </c>
      <c r="Q149" s="1096">
        <f t="shared" si="46"/>
        <v>1184.9867755428297</v>
      </c>
      <c r="R149" s="1099">
        <v>1731675768</v>
      </c>
      <c r="S149" s="1096">
        <f t="shared" si="36"/>
        <v>26237.511636363637</v>
      </c>
      <c r="T149" s="1096">
        <f t="shared" si="37"/>
        <v>1070.9188423005567</v>
      </c>
      <c r="U149" s="1096">
        <f t="shared" si="38"/>
        <v>254836062.51999998</v>
      </c>
      <c r="V149" s="1102">
        <f t="shared" si="39"/>
        <v>0.12461379518755562</v>
      </c>
      <c r="W149" s="1098">
        <v>25400</v>
      </c>
      <c r="X149" s="1106">
        <f t="shared" si="40"/>
        <v>78209.127185826772</v>
      </c>
      <c r="Y149" s="1106">
        <f t="shared" si="41"/>
        <v>80512.08</v>
      </c>
      <c r="Z149" s="1106">
        <f t="shared" si="42"/>
        <v>10032.915847244094</v>
      </c>
      <c r="AA149" s="1106">
        <f t="shared" si="43"/>
        <v>68176.211338582681</v>
      </c>
      <c r="AB149" s="1054">
        <v>1230</v>
      </c>
      <c r="AC149" s="1098">
        <f t="shared" si="51"/>
        <v>1184.9867755428297</v>
      </c>
      <c r="AD149" s="1054">
        <f t="shared" si="52"/>
        <v>-45.013224457170281</v>
      </c>
    </row>
    <row r="150" spans="1:30" hidden="1" x14ac:dyDescent="0.35">
      <c r="A150" s="179">
        <v>3</v>
      </c>
      <c r="B150" s="880" t="s">
        <v>26</v>
      </c>
      <c r="C150" s="986" t="s">
        <v>639</v>
      </c>
      <c r="D150" s="83" t="s">
        <v>640</v>
      </c>
      <c r="E150" s="399" t="str">
        <f>VLOOKUP(F150,'Quy đổi'!A:D,4,0)</f>
        <v>rPET</v>
      </c>
      <c r="F150" s="986" t="s">
        <v>110</v>
      </c>
      <c r="G150" s="82" t="s">
        <v>109</v>
      </c>
      <c r="H150" s="257" t="str">
        <f>IFERROR(VLOOKUP(F150,'Quy đổi'!A:C,3,0),"-")</f>
        <v>WSS01G</v>
      </c>
      <c r="I150" s="1098">
        <v>11000</v>
      </c>
      <c r="J150" s="1098">
        <v>364284800</v>
      </c>
      <c r="K150" s="1098">
        <v>364284800</v>
      </c>
      <c r="L150" s="1104">
        <f>30478653+(10*1764000)</f>
        <v>48118653</v>
      </c>
      <c r="O150" s="1097">
        <f t="shared" si="50"/>
        <v>316166147</v>
      </c>
      <c r="P150" s="1096">
        <f t="shared" si="45"/>
        <v>28742.377</v>
      </c>
      <c r="Q150" s="1096">
        <f t="shared" si="46"/>
        <v>1131.5896456692913</v>
      </c>
      <c r="R150" s="1099">
        <v>288612628</v>
      </c>
      <c r="S150" s="1096">
        <f t="shared" si="36"/>
        <v>26237.511636363637</v>
      </c>
      <c r="T150" s="1096">
        <f t="shared" si="37"/>
        <v>1070.9188423005567</v>
      </c>
      <c r="U150" s="1096">
        <f t="shared" si="38"/>
        <v>27553519</v>
      </c>
      <c r="V150" s="1102">
        <f t="shared" si="39"/>
        <v>7.5637300815186354E-2</v>
      </c>
      <c r="W150" s="1098">
        <v>25400</v>
      </c>
      <c r="X150" s="1106">
        <f t="shared" si="40"/>
        <v>12447.486102362205</v>
      </c>
      <c r="Y150" s="1106">
        <f t="shared" si="41"/>
        <v>14341.92125984252</v>
      </c>
      <c r="Z150" s="1106">
        <f t="shared" si="42"/>
        <v>1084.7842125984253</v>
      </c>
      <c r="AA150" s="1106">
        <f t="shared" si="43"/>
        <v>11362.701889763779</v>
      </c>
      <c r="AB150" s="1054">
        <v>1230</v>
      </c>
      <c r="AC150" s="1098">
        <f t="shared" si="51"/>
        <v>1131.5896456692913</v>
      </c>
      <c r="AD150" s="1054">
        <f t="shared" si="52"/>
        <v>-98.410354330708742</v>
      </c>
    </row>
    <row r="151" spans="1:30" hidden="1" x14ac:dyDescent="0.35">
      <c r="A151" s="179">
        <v>3</v>
      </c>
      <c r="B151" s="880" t="s">
        <v>22</v>
      </c>
      <c r="C151" s="986" t="s">
        <v>54</v>
      </c>
      <c r="D151" s="83" t="s">
        <v>53</v>
      </c>
      <c r="E151" s="399" t="str">
        <f>VLOOKUP(F151,'Quy đổi'!A:D,4,0)</f>
        <v>rHDPE thổi</v>
      </c>
      <c r="F151" s="986" t="s">
        <v>52</v>
      </c>
      <c r="G151" s="82" t="s">
        <v>51</v>
      </c>
      <c r="H151" s="257" t="str">
        <f>IFERROR(VLOOKUP(F151,'Quy đổi'!A:C,3,0),"-")</f>
        <v>rHDB04B01</v>
      </c>
      <c r="I151" s="1098">
        <v>11000</v>
      </c>
      <c r="J151" s="1098">
        <v>187000000</v>
      </c>
      <c r="K151" s="1098">
        <v>187000000</v>
      </c>
      <c r="O151" s="1097">
        <f t="shared" si="50"/>
        <v>187000000</v>
      </c>
      <c r="P151" s="1096">
        <f t="shared" si="45"/>
        <v>17000</v>
      </c>
      <c r="Q151" s="1096">
        <f t="shared" si="46"/>
        <v>669.29133858267721</v>
      </c>
      <c r="R151" s="1099">
        <v>255588426</v>
      </c>
      <c r="S151" s="1096">
        <f t="shared" si="36"/>
        <v>23235.311454545455</v>
      </c>
      <c r="T151" s="1096">
        <f t="shared" si="37"/>
        <v>948.38005936920229</v>
      </c>
      <c r="U151" s="1096">
        <f t="shared" si="38"/>
        <v>-68588426</v>
      </c>
      <c r="V151" s="1102">
        <f t="shared" si="39"/>
        <v>-0.36678302673796792</v>
      </c>
      <c r="W151" s="1098">
        <v>25400</v>
      </c>
      <c r="X151" s="1106">
        <f t="shared" si="40"/>
        <v>7362.2047244094492</v>
      </c>
      <c r="Y151" s="1106">
        <f t="shared" si="41"/>
        <v>7362.2047244094492</v>
      </c>
      <c r="Z151" s="1106">
        <f t="shared" si="42"/>
        <v>-2700.3317322834646</v>
      </c>
      <c r="AA151" s="1106">
        <f t="shared" si="43"/>
        <v>10062.536456692913</v>
      </c>
      <c r="AB151" s="1054">
        <v>950</v>
      </c>
      <c r="AC151" s="1098">
        <f t="shared" si="51"/>
        <v>669.29133858267721</v>
      </c>
      <c r="AD151" s="1054">
        <f t="shared" si="52"/>
        <v>-280.70866141732279</v>
      </c>
    </row>
    <row r="152" spans="1:30" hidden="1" x14ac:dyDescent="0.35">
      <c r="A152" s="179">
        <v>3</v>
      </c>
      <c r="B152" s="880" t="s">
        <v>22</v>
      </c>
      <c r="C152" s="986" t="s">
        <v>456</v>
      </c>
      <c r="D152" s="83" t="s">
        <v>457</v>
      </c>
      <c r="E152" s="399" t="str">
        <f>VLOOKUP(F152,'Quy đổi'!A:D,4,0)</f>
        <v>rHDPE ép</v>
      </c>
      <c r="F152" s="986" t="s">
        <v>37</v>
      </c>
      <c r="G152" s="82" t="s">
        <v>36</v>
      </c>
      <c r="H152" s="257" t="str">
        <f>IFERROR(VLOOKUP(F152,'Quy đổi'!A:C,3,0),"-")</f>
        <v>Vảy HD Ép Đỏ</v>
      </c>
      <c r="I152" s="1098">
        <v>14250</v>
      </c>
      <c r="J152" s="1098">
        <v>224305555</v>
      </c>
      <c r="K152" s="1098">
        <v>224305555</v>
      </c>
      <c r="L152" s="1097"/>
      <c r="O152" s="1097">
        <f t="shared" si="50"/>
        <v>224305555</v>
      </c>
      <c r="P152" s="1096">
        <f t="shared" si="45"/>
        <v>15740.740701754386</v>
      </c>
      <c r="Q152" s="1096">
        <f t="shared" si="46"/>
        <v>619.71420085647185</v>
      </c>
      <c r="R152" s="1099">
        <v>435179509</v>
      </c>
      <c r="S152" s="1096">
        <f t="shared" si="36"/>
        <v>30538.912912280703</v>
      </c>
      <c r="T152" s="1096">
        <f t="shared" si="37"/>
        <v>1246.4862413175797</v>
      </c>
      <c r="U152" s="1096">
        <f t="shared" si="38"/>
        <v>-210873954</v>
      </c>
      <c r="V152" s="1102">
        <f t="shared" si="39"/>
        <v>-0.94011917805602274</v>
      </c>
      <c r="W152" s="1098">
        <v>25400</v>
      </c>
      <c r="X152" s="1106">
        <f t="shared" si="40"/>
        <v>8830.927362204724</v>
      </c>
      <c r="Y152" s="1106">
        <f t="shared" si="41"/>
        <v>8830.927362204724</v>
      </c>
      <c r="Z152" s="1106">
        <f t="shared" si="42"/>
        <v>-8302.124173228347</v>
      </c>
      <c r="AA152" s="1106">
        <f t="shared" si="43"/>
        <v>17133.051535433071</v>
      </c>
      <c r="AB152" s="1054">
        <v>750</v>
      </c>
      <c r="AC152" s="1098">
        <f t="shared" si="51"/>
        <v>619.71420085647185</v>
      </c>
      <c r="AD152" s="1054">
        <f t="shared" si="52"/>
        <v>-130.28579914352815</v>
      </c>
    </row>
    <row r="153" spans="1:30" hidden="1" x14ac:dyDescent="0.35">
      <c r="A153" s="179">
        <v>3</v>
      </c>
      <c r="B153" s="880" t="s">
        <v>22</v>
      </c>
      <c r="C153" s="986" t="s">
        <v>456</v>
      </c>
      <c r="D153" s="83" t="s">
        <v>457</v>
      </c>
      <c r="E153" s="399" t="str">
        <f>VLOOKUP(F153,'Quy đổi'!A:D,4,0)</f>
        <v>rHDPE ép</v>
      </c>
      <c r="F153" s="986" t="s">
        <v>39</v>
      </c>
      <c r="G153" s="82" t="s">
        <v>38</v>
      </c>
      <c r="H153" s="257" t="str">
        <f>IFERROR(VLOOKUP(F153,'Quy đổi'!A:C,3,0),"-")</f>
        <v>Vảy HD Ép Vàng</v>
      </c>
      <c r="I153" s="1098">
        <v>7500</v>
      </c>
      <c r="J153" s="1098">
        <v>118055556</v>
      </c>
      <c r="K153" s="1098">
        <v>118055556</v>
      </c>
      <c r="L153" s="1097"/>
      <c r="O153" s="1097">
        <f t="shared" si="50"/>
        <v>118055556</v>
      </c>
      <c r="P153" s="1096">
        <f t="shared" si="45"/>
        <v>15740.7408</v>
      </c>
      <c r="Q153" s="1096">
        <f t="shared" si="46"/>
        <v>619.71420472440946</v>
      </c>
      <c r="R153" s="1099">
        <v>186881443</v>
      </c>
      <c r="S153" s="1096">
        <f t="shared" si="36"/>
        <v>24917.525733333332</v>
      </c>
      <c r="T153" s="1096">
        <f t="shared" si="37"/>
        <v>1017.0418666666666</v>
      </c>
      <c r="U153" s="1096">
        <f t="shared" si="38"/>
        <v>-68825887</v>
      </c>
      <c r="V153" s="1102">
        <f t="shared" si="39"/>
        <v>-0.58299574651107489</v>
      </c>
      <c r="W153" s="1098">
        <v>25400</v>
      </c>
      <c r="X153" s="1106">
        <f t="shared" si="40"/>
        <v>4647.8565354330713</v>
      </c>
      <c r="Y153" s="1106">
        <f t="shared" si="41"/>
        <v>4647.8565354330713</v>
      </c>
      <c r="Z153" s="1106">
        <f t="shared" si="42"/>
        <v>-2709.680590551181</v>
      </c>
      <c r="AA153" s="1106">
        <f t="shared" si="43"/>
        <v>7357.5371259842523</v>
      </c>
      <c r="AB153" s="1054">
        <v>750</v>
      </c>
      <c r="AC153" s="1098">
        <f t="shared" si="51"/>
        <v>619.71420472440957</v>
      </c>
      <c r="AD153" s="1054">
        <f t="shared" si="52"/>
        <v>-130.28579527559043</v>
      </c>
    </row>
    <row r="154" spans="1:30" hidden="1" x14ac:dyDescent="0.35">
      <c r="A154" s="179">
        <v>3</v>
      </c>
      <c r="B154" s="880" t="s">
        <v>22</v>
      </c>
      <c r="C154" s="986" t="s">
        <v>456</v>
      </c>
      <c r="D154" s="83" t="s">
        <v>457</v>
      </c>
      <c r="E154" s="399" t="str">
        <f>VLOOKUP(F154,'Quy đổi'!A:D,4,0)</f>
        <v>rHDPE ép</v>
      </c>
      <c r="F154" s="986" t="s">
        <v>657</v>
      </c>
      <c r="G154" s="82" t="s">
        <v>658</v>
      </c>
      <c r="H154" s="257" t="str">
        <f>IFERROR(VLOOKUP(F154,'Quy đổi'!A:C,3,0),"-")</f>
        <v>Vảy HD Ép Đen</v>
      </c>
      <c r="I154" s="1098">
        <v>6000</v>
      </c>
      <c r="J154" s="1098">
        <v>72222222</v>
      </c>
      <c r="K154" s="1098">
        <v>72222222</v>
      </c>
      <c r="L154" s="1097"/>
      <c r="O154" s="1097">
        <f t="shared" si="50"/>
        <v>72222222</v>
      </c>
      <c r="P154" s="1096">
        <f t="shared" si="45"/>
        <v>12037.037</v>
      </c>
      <c r="Q154" s="1096">
        <f t="shared" si="46"/>
        <v>473.89909448818901</v>
      </c>
      <c r="R154" s="1099">
        <v>125994498</v>
      </c>
      <c r="S154" s="1096">
        <f t="shared" si="36"/>
        <v>20999.082999999999</v>
      </c>
      <c r="T154" s="1096">
        <f t="shared" si="37"/>
        <v>857.10542857142855</v>
      </c>
      <c r="U154" s="1096">
        <f t="shared" si="38"/>
        <v>-53772276</v>
      </c>
      <c r="V154" s="1102">
        <f t="shared" si="39"/>
        <v>-0.74453920844473598</v>
      </c>
      <c r="W154" s="1098">
        <v>25400</v>
      </c>
      <c r="X154" s="1106">
        <f t="shared" si="40"/>
        <v>2843.3945669291338</v>
      </c>
      <c r="Y154" s="1106">
        <f t="shared" si="41"/>
        <v>2843.3945669291338</v>
      </c>
      <c r="Z154" s="1106">
        <f t="shared" si="42"/>
        <v>-2117.0187401574804</v>
      </c>
      <c r="AA154" s="1106">
        <f t="shared" si="43"/>
        <v>4960.4133070866146</v>
      </c>
      <c r="AB154" s="1054">
        <v>750</v>
      </c>
      <c r="AC154" s="1098">
        <f t="shared" si="51"/>
        <v>473.89909448818895</v>
      </c>
      <c r="AD154" s="1054">
        <f t="shared" si="52"/>
        <v>-276.10090551181105</v>
      </c>
    </row>
    <row r="155" spans="1:30" hidden="1" x14ac:dyDescent="0.35">
      <c r="A155" s="179">
        <v>3</v>
      </c>
      <c r="B155" s="880" t="s">
        <v>26</v>
      </c>
      <c r="C155" s="986" t="s">
        <v>46</v>
      </c>
      <c r="D155" s="83" t="s">
        <v>525</v>
      </c>
      <c r="E155" s="399" t="str">
        <f>VLOOKUP(F155,'Quy đổi'!A:D,4,0)</f>
        <v>rPET</v>
      </c>
      <c r="F155" s="986" t="s">
        <v>100</v>
      </c>
      <c r="G155" s="82" t="s">
        <v>99</v>
      </c>
      <c r="H155" s="257" t="str">
        <f>IFERROR(VLOOKUP(F155,'Quy đổi'!A:C,3,0),"-")</f>
        <v>iSS01G</v>
      </c>
      <c r="I155" s="1098">
        <v>880000</v>
      </c>
      <c r="J155" s="1098">
        <v>27864650000</v>
      </c>
      <c r="K155" s="1098">
        <v>27864650000</v>
      </c>
      <c r="L155" s="1104">
        <v>381965887</v>
      </c>
      <c r="O155" s="1097">
        <f t="shared" si="50"/>
        <v>27482684113</v>
      </c>
      <c r="P155" s="1096">
        <f t="shared" si="45"/>
        <v>31230.322855681818</v>
      </c>
      <c r="Q155" s="1096">
        <f t="shared" si="46"/>
        <v>1229.5402699087331</v>
      </c>
      <c r="R155" s="1099">
        <v>22300089440</v>
      </c>
      <c r="S155" s="1096">
        <f t="shared" si="36"/>
        <v>25341.010727272725</v>
      </c>
      <c r="T155" s="1096">
        <f t="shared" si="37"/>
        <v>1034.3269684601112</v>
      </c>
      <c r="U155" s="1096">
        <f t="shared" si="38"/>
        <v>5182594673</v>
      </c>
      <c r="V155" s="1102">
        <f t="shared" si="39"/>
        <v>0.18599173766761828</v>
      </c>
      <c r="W155" s="1098">
        <v>25400</v>
      </c>
      <c r="X155" s="1106">
        <f t="shared" si="40"/>
        <v>1081995.4375196851</v>
      </c>
      <c r="Y155" s="1106">
        <f t="shared" si="41"/>
        <v>1097033.464566929</v>
      </c>
      <c r="Z155" s="1106">
        <f t="shared" si="42"/>
        <v>204039.1603543307</v>
      </c>
      <c r="AA155" s="1106">
        <f t="shared" si="43"/>
        <v>877956.27716535435</v>
      </c>
      <c r="AB155" s="1054">
        <v>1260</v>
      </c>
      <c r="AC155" s="1098">
        <f t="shared" si="51"/>
        <v>1229.5402699087331</v>
      </c>
      <c r="AD155" s="1054">
        <f t="shared" si="52"/>
        <v>-30.45973009126692</v>
      </c>
    </row>
    <row r="156" spans="1:30" hidden="1" x14ac:dyDescent="0.35">
      <c r="A156" s="179">
        <v>3</v>
      </c>
      <c r="B156" s="880" t="s">
        <v>22</v>
      </c>
      <c r="C156" s="986" t="s">
        <v>150</v>
      </c>
      <c r="D156" s="83" t="s">
        <v>149</v>
      </c>
      <c r="E156" s="399" t="str">
        <f>VLOOKUP(F156,'Quy đổi'!A:D,4,0)</f>
        <v>rPET</v>
      </c>
      <c r="F156" s="986" t="s">
        <v>110</v>
      </c>
      <c r="G156" s="82" t="s">
        <v>109</v>
      </c>
      <c r="H156" s="257" t="str">
        <f>IFERROR(VLOOKUP(F156,'Quy đổi'!A:C,3,0),"-")</f>
        <v>WSS01G</v>
      </c>
      <c r="I156" s="1098">
        <v>110000</v>
      </c>
      <c r="J156" s="1098">
        <v>3434725800</v>
      </c>
      <c r="K156" s="1098">
        <v>3434725800</v>
      </c>
      <c r="O156" s="1097">
        <f t="shared" si="50"/>
        <v>3434725800</v>
      </c>
      <c r="P156" s="1096">
        <f t="shared" si="45"/>
        <v>31224.78</v>
      </c>
      <c r="Q156" s="1096">
        <f t="shared" si="46"/>
        <v>1229.3220472440944</v>
      </c>
      <c r="R156" s="1099">
        <v>2886126280</v>
      </c>
      <c r="S156" s="1096">
        <f t="shared" si="36"/>
        <v>26237.511636363637</v>
      </c>
      <c r="T156" s="1096">
        <f t="shared" si="37"/>
        <v>1070.9188423005567</v>
      </c>
      <c r="U156" s="1096">
        <f t="shared" si="38"/>
        <v>548599520</v>
      </c>
      <c r="V156" s="1102">
        <f t="shared" si="39"/>
        <v>0.15972148926706173</v>
      </c>
      <c r="W156" s="1098">
        <v>25400</v>
      </c>
      <c r="X156" s="1106">
        <f t="shared" si="40"/>
        <v>135225.42519685038</v>
      </c>
      <c r="Y156" s="1106">
        <f t="shared" si="41"/>
        <v>135225.42519685038</v>
      </c>
      <c r="Z156" s="1106">
        <f t="shared" si="42"/>
        <v>21598.406299212598</v>
      </c>
      <c r="AA156" s="1106">
        <f t="shared" si="43"/>
        <v>113627.0188976378</v>
      </c>
      <c r="AB156" s="1054">
        <v>1230</v>
      </c>
      <c r="AC156" s="1098">
        <f t="shared" si="51"/>
        <v>1229.3220472440944</v>
      </c>
      <c r="AD156" s="1054">
        <f t="shared" si="52"/>
        <v>-0.67795275590560777</v>
      </c>
    </row>
    <row r="157" spans="1:30" hidden="1" x14ac:dyDescent="0.35">
      <c r="A157" s="179">
        <v>3</v>
      </c>
      <c r="B157" s="880" t="s">
        <v>26</v>
      </c>
      <c r="C157" s="986" t="s">
        <v>161</v>
      </c>
      <c r="D157" s="83" t="s">
        <v>160</v>
      </c>
      <c r="E157" s="399" t="str">
        <f>VLOOKUP(F157,'Quy đổi'!A:D,4,0)</f>
        <v>rPET</v>
      </c>
      <c r="F157" s="986" t="s">
        <v>110</v>
      </c>
      <c r="G157" s="82" t="s">
        <v>109</v>
      </c>
      <c r="H157" s="257" t="str">
        <f>IFERROR(VLOOKUP(F157,'Quy đổi'!A:C,3,0),"-")</f>
        <v>WSS01G</v>
      </c>
      <c r="I157" s="1098">
        <v>44000</v>
      </c>
      <c r="J157" s="1098">
        <v>1399346960</v>
      </c>
      <c r="K157" s="1098">
        <v>1399346960</v>
      </c>
      <c r="L157" s="1104">
        <v>21357090</v>
      </c>
      <c r="O157" s="1097">
        <f t="shared" si="50"/>
        <v>1377989870</v>
      </c>
      <c r="P157" s="1096">
        <f t="shared" si="45"/>
        <v>31317.951590909091</v>
      </c>
      <c r="Q157" s="1096">
        <f t="shared" si="46"/>
        <v>1232.990220114531</v>
      </c>
      <c r="R157" s="1099">
        <v>1154450512</v>
      </c>
      <c r="S157" s="1096">
        <f t="shared" si="36"/>
        <v>26237.511636363637</v>
      </c>
      <c r="T157" s="1096">
        <f t="shared" si="37"/>
        <v>1070.9188423005567</v>
      </c>
      <c r="U157" s="1096">
        <f t="shared" si="38"/>
        <v>223539358</v>
      </c>
      <c r="V157" s="1102">
        <f t="shared" si="39"/>
        <v>0.15974548442224792</v>
      </c>
      <c r="W157" s="1098">
        <v>25400</v>
      </c>
      <c r="X157" s="1106">
        <f t="shared" si="40"/>
        <v>54251.569685039372</v>
      </c>
      <c r="Y157" s="1106">
        <f t="shared" si="41"/>
        <v>55092.4</v>
      </c>
      <c r="Z157" s="1106">
        <f t="shared" si="42"/>
        <v>8800.7621259842526</v>
      </c>
      <c r="AA157" s="1106">
        <f t="shared" si="43"/>
        <v>45450.807559055116</v>
      </c>
      <c r="AB157" s="1054">
        <v>1230</v>
      </c>
      <c r="AC157" s="1098">
        <f t="shared" si="51"/>
        <v>1232.9902201145312</v>
      </c>
      <c r="AD157" s="1054">
        <f t="shared" si="52"/>
        <v>2.9902201145312119</v>
      </c>
    </row>
    <row r="158" spans="1:30" hidden="1" x14ac:dyDescent="0.35">
      <c r="A158" s="179">
        <v>3</v>
      </c>
      <c r="C158" s="986" t="s">
        <v>454</v>
      </c>
      <c r="D158" s="83" t="s">
        <v>455</v>
      </c>
      <c r="E158" s="399" t="str">
        <f>VLOOKUP(F158,'Quy đổi'!A:D,4,0)</f>
        <v>Khác</v>
      </c>
      <c r="F158" s="986" t="s">
        <v>223</v>
      </c>
      <c r="G158" s="82" t="s">
        <v>372</v>
      </c>
      <c r="H158" s="257">
        <f>IFERROR(VLOOKUP(F158,'Quy đổi'!A:C,3,0),"-")</f>
        <v>0</v>
      </c>
      <c r="I158" s="1098">
        <v>506</v>
      </c>
      <c r="J158" s="1098">
        <v>10474200</v>
      </c>
      <c r="K158" s="1098">
        <v>10474200</v>
      </c>
      <c r="O158" s="1097">
        <f t="shared" si="50"/>
        <v>10474200</v>
      </c>
      <c r="P158" s="1096">
        <f t="shared" si="45"/>
        <v>20700</v>
      </c>
      <c r="Q158" s="1096">
        <f t="shared" si="46"/>
        <v>814.96062992125985</v>
      </c>
      <c r="R158" s="1099">
        <v>10727200</v>
      </c>
      <c r="S158" s="1096">
        <f t="shared" si="36"/>
        <v>21200</v>
      </c>
      <c r="T158" s="1096">
        <f t="shared" si="37"/>
        <v>865.30612244897964</v>
      </c>
      <c r="U158" s="1096">
        <f t="shared" si="38"/>
        <v>-253000</v>
      </c>
      <c r="V158" s="1102">
        <f t="shared" si="39"/>
        <v>-2.4154589371980676E-2</v>
      </c>
      <c r="W158" s="1098">
        <v>25400</v>
      </c>
      <c r="X158" s="1106">
        <f t="shared" si="40"/>
        <v>412.37007874015745</v>
      </c>
      <c r="Y158" s="1106">
        <f t="shared" si="41"/>
        <v>412.37007874015745</v>
      </c>
      <c r="Z158" s="1106">
        <f t="shared" si="42"/>
        <v>-9.9606299212598426</v>
      </c>
      <c r="AA158" s="1106">
        <f t="shared" si="43"/>
        <v>422.3307086614173</v>
      </c>
    </row>
    <row r="159" spans="1:30" hidden="1" x14ac:dyDescent="0.35">
      <c r="A159" s="179">
        <v>3</v>
      </c>
      <c r="C159" s="986" t="s">
        <v>454</v>
      </c>
      <c r="D159" s="83" t="s">
        <v>455</v>
      </c>
      <c r="E159" s="399"/>
      <c r="F159" s="986" t="s">
        <v>659</v>
      </c>
      <c r="G159" s="82" t="s">
        <v>466</v>
      </c>
      <c r="H159" s="257">
        <f>IFERROR(VLOOKUP(F159,'Quy đổi'!A:C,3,0),"-")</f>
        <v>0</v>
      </c>
      <c r="I159" s="1098">
        <v>258</v>
      </c>
      <c r="J159" s="1098">
        <v>4695600</v>
      </c>
      <c r="K159" s="1098">
        <v>4695600</v>
      </c>
      <c r="O159" s="1097">
        <f t="shared" si="50"/>
        <v>4695600</v>
      </c>
      <c r="P159" s="1096">
        <f t="shared" si="45"/>
        <v>18200</v>
      </c>
      <c r="Q159" s="1096">
        <f t="shared" si="46"/>
        <v>716.53543307086613</v>
      </c>
      <c r="R159" s="1099">
        <v>5945942</v>
      </c>
      <c r="S159" s="1096">
        <f t="shared" si="36"/>
        <v>23046.286821705427</v>
      </c>
      <c r="T159" s="1096">
        <f t="shared" si="37"/>
        <v>940.66476823287462</v>
      </c>
      <c r="U159" s="1096">
        <f t="shared" si="38"/>
        <v>-1250342</v>
      </c>
      <c r="V159" s="1102">
        <f t="shared" si="39"/>
        <v>-0.26627949569810033</v>
      </c>
      <c r="W159" s="1098">
        <v>25400</v>
      </c>
      <c r="X159" s="1106">
        <f t="shared" si="40"/>
        <v>184.86614173228347</v>
      </c>
      <c r="Y159" s="1106">
        <f t="shared" si="41"/>
        <v>184.86614173228347</v>
      </c>
      <c r="Z159" s="1106">
        <f t="shared" si="42"/>
        <v>-49.226062992125982</v>
      </c>
      <c r="AA159" s="1106">
        <f t="shared" si="43"/>
        <v>234.09220472440944</v>
      </c>
    </row>
    <row r="160" spans="1:30" hidden="1" x14ac:dyDescent="0.35">
      <c r="A160" s="179">
        <v>3</v>
      </c>
      <c r="B160" s="880" t="s">
        <v>22</v>
      </c>
      <c r="C160" s="986" t="s">
        <v>452</v>
      </c>
      <c r="D160" s="83" t="s">
        <v>453</v>
      </c>
      <c r="E160" s="399" t="str">
        <f>VLOOKUP(F160,'Quy đổi'!A:D,4,0)</f>
        <v>rHDPE ép</v>
      </c>
      <c r="F160" s="986" t="s">
        <v>48</v>
      </c>
      <c r="G160" s="82" t="s">
        <v>47</v>
      </c>
      <c r="H160" s="257" t="str">
        <f>IFERROR(VLOOKUP(F160,'Quy đổi'!A:C,3,0),"-")</f>
        <v>rHDI3W01</v>
      </c>
      <c r="I160" s="1098">
        <v>5000</v>
      </c>
      <c r="J160" s="1098">
        <v>134875000</v>
      </c>
      <c r="K160" s="1098">
        <v>134875000</v>
      </c>
      <c r="O160" s="1097">
        <f t="shared" si="50"/>
        <v>134875000</v>
      </c>
      <c r="P160" s="1096">
        <f t="shared" si="45"/>
        <v>26975</v>
      </c>
      <c r="Q160" s="1096">
        <f t="shared" si="46"/>
        <v>1062.007874015748</v>
      </c>
      <c r="R160" s="1099">
        <v>41345673</v>
      </c>
      <c r="S160" s="1096">
        <f t="shared" si="36"/>
        <v>8269.1345999999994</v>
      </c>
      <c r="T160" s="1096">
        <f t="shared" si="37"/>
        <v>337.51569795918363</v>
      </c>
      <c r="U160" s="1096">
        <f t="shared" si="38"/>
        <v>93529327</v>
      </c>
      <c r="V160" s="1102">
        <f t="shared" si="39"/>
        <v>0.69345191473586654</v>
      </c>
      <c r="W160" s="1098">
        <v>25400</v>
      </c>
      <c r="X160" s="1106">
        <f t="shared" si="40"/>
        <v>5310.0393700787399</v>
      </c>
      <c r="Y160" s="1106">
        <f t="shared" si="41"/>
        <v>5310.0393700787399</v>
      </c>
      <c r="Z160" s="1106">
        <f t="shared" si="42"/>
        <v>3682.2569685039371</v>
      </c>
      <c r="AA160" s="1106">
        <f t="shared" si="43"/>
        <v>1627.7824015748031</v>
      </c>
      <c r="AB160" s="1054">
        <v>805</v>
      </c>
      <c r="AC160" s="1098">
        <f t="shared" ref="AC160:AC163" si="53">X160/I160*1000</f>
        <v>1062.007874015748</v>
      </c>
      <c r="AD160" s="1054">
        <f t="shared" ref="AD160:AD163" si="54">AC160-AB160</f>
        <v>257.00787401574803</v>
      </c>
    </row>
    <row r="161" spans="1:30" hidden="1" x14ac:dyDescent="0.35">
      <c r="A161" s="179">
        <v>3</v>
      </c>
      <c r="B161" s="880" t="s">
        <v>26</v>
      </c>
      <c r="C161" s="986" t="s">
        <v>7</v>
      </c>
      <c r="D161" s="83" t="s">
        <v>6</v>
      </c>
      <c r="E161" s="399" t="str">
        <f>VLOOKUP(F161,'Quy đổi'!A:D,4,0)</f>
        <v>rPP</v>
      </c>
      <c r="F161" s="986" t="s">
        <v>660</v>
      </c>
      <c r="G161" s="82" t="s">
        <v>661</v>
      </c>
      <c r="H161" s="257" t="str">
        <f>IFERROR(VLOOKUP(F161,'Quy đổi'!A:C,3,0),"-")</f>
        <v>rPP20L04</v>
      </c>
      <c r="I161" s="1098">
        <v>50</v>
      </c>
      <c r="J161" s="1098">
        <v>1372680</v>
      </c>
      <c r="K161" s="1098">
        <v>1372680</v>
      </c>
      <c r="L161" s="1104">
        <f>17467256/24050*I161</f>
        <v>36314.461538461539</v>
      </c>
      <c r="O161" s="1097">
        <f t="shared" si="50"/>
        <v>1336365.5384615385</v>
      </c>
      <c r="P161" s="1096">
        <f t="shared" si="45"/>
        <v>26727.310769230771</v>
      </c>
      <c r="Q161" s="1096">
        <f t="shared" si="46"/>
        <v>1052.2563294972745</v>
      </c>
      <c r="R161" s="1099">
        <v>856738</v>
      </c>
      <c r="S161" s="1096">
        <f t="shared" si="36"/>
        <v>17134.759999999998</v>
      </c>
      <c r="T161" s="1096">
        <f t="shared" si="37"/>
        <v>699.3779591836734</v>
      </c>
      <c r="U161" s="1096">
        <f t="shared" si="38"/>
        <v>479627.5384615385</v>
      </c>
      <c r="V161" s="1102">
        <f t="shared" si="39"/>
        <v>0.34940957722232313</v>
      </c>
      <c r="W161" s="1098">
        <v>25400</v>
      </c>
      <c r="X161" s="1106">
        <f t="shared" si="40"/>
        <v>52.61281647486372</v>
      </c>
      <c r="Y161" s="1106">
        <f t="shared" si="41"/>
        <v>54.042519685039373</v>
      </c>
      <c r="Z161" s="1106">
        <f t="shared" si="42"/>
        <v>18.882973955178681</v>
      </c>
      <c r="AA161" s="1106">
        <f t="shared" si="43"/>
        <v>33.729842519685036</v>
      </c>
      <c r="AB161" s="1054">
        <v>840</v>
      </c>
      <c r="AC161" s="1098">
        <f t="shared" si="53"/>
        <v>1052.2563294972745</v>
      </c>
      <c r="AD161" s="1054">
        <f t="shared" si="54"/>
        <v>212.25632949727446</v>
      </c>
    </row>
    <row r="162" spans="1:30" hidden="1" x14ac:dyDescent="0.35">
      <c r="A162" s="179">
        <v>3</v>
      </c>
      <c r="B162" s="880" t="s">
        <v>26</v>
      </c>
      <c r="C162" s="986" t="s">
        <v>7</v>
      </c>
      <c r="D162" s="83" t="s">
        <v>6</v>
      </c>
      <c r="E162" s="399" t="str">
        <f>VLOOKUP(F162,'Quy đổi'!A:D,4,0)</f>
        <v>rPP</v>
      </c>
      <c r="F162" s="986" t="s">
        <v>5</v>
      </c>
      <c r="G162" s="82" t="s">
        <v>4</v>
      </c>
      <c r="H162" s="257" t="str">
        <f>IFERROR(VLOOKUP(F162,'Quy đổi'!A:C,3,0),"-")</f>
        <v>rPP20L05</v>
      </c>
      <c r="I162" s="1098">
        <v>19000</v>
      </c>
      <c r="J162" s="1098">
        <v>520797600</v>
      </c>
      <c r="K162" s="1098">
        <v>520797600</v>
      </c>
      <c r="L162" s="1104">
        <f>17467256/24050*I162</f>
        <v>13799495.384615386</v>
      </c>
      <c r="O162" s="1097">
        <f t="shared" si="50"/>
        <v>506998104.61538464</v>
      </c>
      <c r="P162" s="1096">
        <f t="shared" si="45"/>
        <v>26684.110769230771</v>
      </c>
      <c r="Q162" s="1096">
        <f t="shared" si="46"/>
        <v>1050.5555420956996</v>
      </c>
      <c r="R162" s="1099">
        <v>549829797</v>
      </c>
      <c r="S162" s="1096">
        <f t="shared" si="36"/>
        <v>28938.410368421053</v>
      </c>
      <c r="T162" s="1096">
        <f t="shared" si="37"/>
        <v>1181.1596068743288</v>
      </c>
      <c r="U162" s="1096">
        <f t="shared" si="38"/>
        <v>-42831692.384615362</v>
      </c>
      <c r="V162" s="1102">
        <f t="shared" si="39"/>
        <v>-8.2242491871343804E-2</v>
      </c>
      <c r="W162" s="1098">
        <v>25400</v>
      </c>
      <c r="X162" s="1106">
        <f t="shared" si="40"/>
        <v>19960.555299818294</v>
      </c>
      <c r="Y162" s="1106">
        <f t="shared" si="41"/>
        <v>20503.84251968504</v>
      </c>
      <c r="Z162" s="1106">
        <f t="shared" si="42"/>
        <v>-1686.2871017565103</v>
      </c>
      <c r="AA162" s="1106">
        <f t="shared" si="43"/>
        <v>21646.842401574802</v>
      </c>
      <c r="AB162" s="1054">
        <v>840</v>
      </c>
      <c r="AC162" s="1098">
        <f t="shared" si="53"/>
        <v>1050.5555420956996</v>
      </c>
      <c r="AD162" s="1054">
        <f t="shared" si="54"/>
        <v>210.55554209569959</v>
      </c>
    </row>
    <row r="163" spans="1:30" hidden="1" x14ac:dyDescent="0.35">
      <c r="A163" s="179">
        <v>3</v>
      </c>
      <c r="B163" s="880" t="s">
        <v>26</v>
      </c>
      <c r="C163" s="986" t="s">
        <v>7</v>
      </c>
      <c r="D163" s="83" t="s">
        <v>6</v>
      </c>
      <c r="E163" s="399" t="str">
        <f>VLOOKUP(F163,'Quy đổi'!A:D,4,0)</f>
        <v>rPP</v>
      </c>
      <c r="F163" s="986" t="s">
        <v>9</v>
      </c>
      <c r="G163" s="82" t="s">
        <v>8</v>
      </c>
      <c r="H163" s="257" t="str">
        <f>IFERROR(VLOOKUP(F163,'Quy đổi'!A:C,3,0),"-")</f>
        <v>rPP20Gy01</v>
      </c>
      <c r="I163" s="1098">
        <v>5000</v>
      </c>
      <c r="J163" s="1098">
        <v>137052000</v>
      </c>
      <c r="K163" s="1098">
        <v>137052000</v>
      </c>
      <c r="L163" s="1104">
        <f>17467256/24050*I163</f>
        <v>3631446.153846154</v>
      </c>
      <c r="O163" s="1097">
        <f t="shared" si="50"/>
        <v>133420553.84615384</v>
      </c>
      <c r="P163" s="1096">
        <f t="shared" si="45"/>
        <v>26684.110769230767</v>
      </c>
      <c r="Q163" s="1096">
        <f t="shared" si="46"/>
        <v>1050.5555420956996</v>
      </c>
      <c r="R163" s="1099">
        <v>138259082</v>
      </c>
      <c r="S163" s="1096">
        <f t="shared" si="36"/>
        <v>27651.8164</v>
      </c>
      <c r="T163" s="1096">
        <f t="shared" si="37"/>
        <v>1128.6455673469388</v>
      </c>
      <c r="U163" s="1096">
        <f t="shared" si="38"/>
        <v>-4838528.1538461596</v>
      </c>
      <c r="V163" s="1102">
        <f t="shared" si="39"/>
        <v>-3.5304323569493035E-2</v>
      </c>
      <c r="W163" s="1098">
        <v>25400</v>
      </c>
      <c r="X163" s="1106">
        <f t="shared" si="40"/>
        <v>5252.7777104784973</v>
      </c>
      <c r="Y163" s="1106">
        <f t="shared" si="41"/>
        <v>5395.748031496063</v>
      </c>
      <c r="Z163" s="1106">
        <f t="shared" si="42"/>
        <v>-190.49323440339211</v>
      </c>
      <c r="AA163" s="1106">
        <f t="shared" si="43"/>
        <v>5443.2709448818896</v>
      </c>
      <c r="AB163" s="1054">
        <v>840</v>
      </c>
      <c r="AC163" s="1098">
        <f t="shared" si="53"/>
        <v>1050.5555420956994</v>
      </c>
      <c r="AD163" s="1054">
        <f t="shared" si="54"/>
        <v>210.55554209569937</v>
      </c>
    </row>
    <row r="164" spans="1:30" hidden="1" x14ac:dyDescent="0.35">
      <c r="A164" s="179">
        <v>3</v>
      </c>
      <c r="C164" s="986" t="s">
        <v>641</v>
      </c>
      <c r="D164" s="83" t="s">
        <v>642</v>
      </c>
      <c r="E164" s="399" t="str">
        <f>VLOOKUP(F164,'Quy đổi'!A:D,4,0)</f>
        <v>Khác</v>
      </c>
      <c r="F164" s="986" t="s">
        <v>223</v>
      </c>
      <c r="G164" s="82" t="s">
        <v>372</v>
      </c>
      <c r="H164" s="257">
        <f>IFERROR(VLOOKUP(F164,'Quy đổi'!A:C,3,0),"-")</f>
        <v>0</v>
      </c>
      <c r="I164" s="1098">
        <v>18182</v>
      </c>
      <c r="J164" s="1098">
        <v>374377900</v>
      </c>
      <c r="K164" s="1098">
        <v>374377900</v>
      </c>
      <c r="O164" s="1097">
        <f t="shared" si="50"/>
        <v>374377900</v>
      </c>
      <c r="P164" s="1096">
        <f t="shared" si="45"/>
        <v>20590.578594214057</v>
      </c>
      <c r="Q164" s="1096">
        <f t="shared" si="46"/>
        <v>810.65270055960855</v>
      </c>
      <c r="R164" s="1099">
        <v>385458400</v>
      </c>
      <c r="S164" s="1096">
        <f t="shared" si="36"/>
        <v>21200</v>
      </c>
      <c r="T164" s="1096">
        <f t="shared" si="37"/>
        <v>865.30612244897964</v>
      </c>
      <c r="U164" s="1096">
        <f t="shared" si="38"/>
        <v>-11080500</v>
      </c>
      <c r="V164" s="1102">
        <f t="shared" si="39"/>
        <v>-2.9597099615121511E-2</v>
      </c>
      <c r="W164" s="1098">
        <v>25400</v>
      </c>
      <c r="X164" s="1106">
        <f t="shared" si="40"/>
        <v>14739.287401574804</v>
      </c>
      <c r="Y164" s="1106">
        <f t="shared" si="41"/>
        <v>14739.287401574804</v>
      </c>
      <c r="Z164" s="1106">
        <f t="shared" si="42"/>
        <v>-436.24015748031496</v>
      </c>
      <c r="AA164" s="1106">
        <f t="shared" si="43"/>
        <v>15175.527559055117</v>
      </c>
    </row>
    <row r="165" spans="1:30" hidden="1" x14ac:dyDescent="0.35">
      <c r="A165" s="179">
        <v>3</v>
      </c>
      <c r="C165" s="986" t="s">
        <v>641</v>
      </c>
      <c r="D165" s="83" t="s">
        <v>642</v>
      </c>
      <c r="E165" s="399" t="str">
        <f>VLOOKUP(F165,'Quy đổi'!A:D,4,0)</f>
        <v>Khác</v>
      </c>
      <c r="F165" s="986" t="s">
        <v>467</v>
      </c>
      <c r="G165" s="82" t="s">
        <v>466</v>
      </c>
      <c r="H165" s="257">
        <f>IFERROR(VLOOKUP(F165,'Quy đổi'!A:C,3,0),"-")</f>
        <v>0</v>
      </c>
      <c r="I165" s="1098">
        <v>2738</v>
      </c>
      <c r="J165" s="1098">
        <v>52022000</v>
      </c>
      <c r="K165" s="1098">
        <v>52022000</v>
      </c>
      <c r="O165" s="1097">
        <f t="shared" si="50"/>
        <v>52022000</v>
      </c>
      <c r="P165" s="1096">
        <f t="shared" si="45"/>
        <v>19000</v>
      </c>
      <c r="Q165" s="1096">
        <f t="shared" si="46"/>
        <v>748.03149606299212</v>
      </c>
      <c r="R165" s="1099">
        <v>49423216</v>
      </c>
      <c r="S165" s="1096">
        <f t="shared" si="36"/>
        <v>18050.845872899929</v>
      </c>
      <c r="T165" s="1096">
        <f t="shared" si="37"/>
        <v>736.76921930203787</v>
      </c>
      <c r="U165" s="1096">
        <f t="shared" si="38"/>
        <v>2598784</v>
      </c>
      <c r="V165" s="1102">
        <f t="shared" si="39"/>
        <v>4.9955480373688056E-2</v>
      </c>
      <c r="W165" s="1098">
        <v>25400</v>
      </c>
      <c r="X165" s="1106">
        <f t="shared" si="40"/>
        <v>2048.1102362204724</v>
      </c>
      <c r="Y165" s="1106">
        <f t="shared" si="41"/>
        <v>2048.1102362204724</v>
      </c>
      <c r="Z165" s="1106">
        <f t="shared" si="42"/>
        <v>102.31433070866142</v>
      </c>
      <c r="AA165" s="1106">
        <f t="shared" si="43"/>
        <v>1945.795905511811</v>
      </c>
    </row>
    <row r="166" spans="1:30" hidden="1" x14ac:dyDescent="0.35">
      <c r="A166" s="179">
        <v>3</v>
      </c>
      <c r="B166" s="880" t="s">
        <v>22</v>
      </c>
      <c r="C166" s="986" t="s">
        <v>120</v>
      </c>
      <c r="D166" s="83" t="s">
        <v>226</v>
      </c>
      <c r="E166" s="399" t="str">
        <f>VLOOKUP(F166,'Quy đổi'!A:D,4,0)</f>
        <v>rPET</v>
      </c>
      <c r="F166" s="986" t="s">
        <v>127</v>
      </c>
      <c r="G166" s="82" t="s">
        <v>114</v>
      </c>
      <c r="H166" s="257" t="str">
        <f>IFERROR(VLOOKUP(F166,'Quy đổi'!A:C,3,0),"-")</f>
        <v>iSS01084G</v>
      </c>
      <c r="I166" s="1098">
        <v>22000</v>
      </c>
      <c r="J166" s="1098">
        <v>776600000</v>
      </c>
      <c r="K166" s="1098">
        <f>776600000-11564718</f>
        <v>765035282</v>
      </c>
      <c r="L166" s="1056">
        <f>I166*140</f>
        <v>3080000</v>
      </c>
      <c r="O166" s="1097">
        <f t="shared" si="50"/>
        <v>761955282</v>
      </c>
      <c r="P166" s="1096">
        <f t="shared" si="45"/>
        <v>34634.330999999998</v>
      </c>
      <c r="Q166" s="1096">
        <f t="shared" si="46"/>
        <v>1363.556338582677</v>
      </c>
      <c r="R166" s="1099">
        <v>580358475</v>
      </c>
      <c r="S166" s="1096">
        <f t="shared" si="36"/>
        <v>26379.930681818183</v>
      </c>
      <c r="T166" s="1096">
        <f t="shared" si="37"/>
        <v>1076.7318645640075</v>
      </c>
      <c r="U166" s="1096">
        <f t="shared" si="38"/>
        <v>181596807</v>
      </c>
      <c r="V166" s="1102">
        <f t="shared" si="39"/>
        <v>0.23737049946933036</v>
      </c>
      <c r="W166" s="1098">
        <v>25400</v>
      </c>
      <c r="X166" s="1106">
        <f t="shared" si="40"/>
        <v>29998.239448818898</v>
      </c>
      <c r="Y166" s="1106">
        <f t="shared" si="41"/>
        <v>30119.499291338583</v>
      </c>
      <c r="Z166" s="1106">
        <f t="shared" si="42"/>
        <v>7149.4805905511812</v>
      </c>
      <c r="AA166" s="1106">
        <f t="shared" si="43"/>
        <v>22848.758858267716</v>
      </c>
      <c r="AB166" s="1054">
        <v>1320</v>
      </c>
      <c r="AC166" s="1098">
        <f t="shared" ref="AC166:AC229" si="55">X166/I166*1000</f>
        <v>1363.5563385826772</v>
      </c>
      <c r="AD166" s="1054">
        <f t="shared" ref="AD166:AD229" si="56">AC166-AB166</f>
        <v>43.556338582677199</v>
      </c>
    </row>
    <row r="167" spans="1:30" hidden="1" x14ac:dyDescent="0.35">
      <c r="A167" s="179">
        <v>3</v>
      </c>
      <c r="B167" s="880" t="s">
        <v>22</v>
      </c>
      <c r="C167" s="986" t="s">
        <v>129</v>
      </c>
      <c r="D167" s="83" t="s">
        <v>510</v>
      </c>
      <c r="E167" s="399" t="str">
        <f>VLOOKUP(F167,'Quy đổi'!A:D,4,0)</f>
        <v>rPET</v>
      </c>
      <c r="F167" s="986" t="s">
        <v>127</v>
      </c>
      <c r="G167" s="82" t="s">
        <v>114</v>
      </c>
      <c r="H167" s="257" t="str">
        <f>IFERROR(VLOOKUP(F167,'Quy đổi'!A:C,3,0),"-")</f>
        <v>iSS01084G</v>
      </c>
      <c r="I167" s="1098">
        <v>88000</v>
      </c>
      <c r="J167" s="1098">
        <v>3106435200</v>
      </c>
      <c r="K167" s="1098">
        <f>3106435200-46258872</f>
        <v>3060176328</v>
      </c>
      <c r="L167" s="1056">
        <f>160*I167</f>
        <v>14080000</v>
      </c>
      <c r="O167" s="1097">
        <f t="shared" si="50"/>
        <v>3046096328</v>
      </c>
      <c r="P167" s="1096">
        <f t="shared" si="45"/>
        <v>34614.731</v>
      </c>
      <c r="Q167" s="1096">
        <f t="shared" si="46"/>
        <v>1362.7846850393701</v>
      </c>
      <c r="R167" s="1099">
        <v>2321433900</v>
      </c>
      <c r="S167" s="1096">
        <f t="shared" si="36"/>
        <v>26379.930681818183</v>
      </c>
      <c r="T167" s="1096">
        <f t="shared" si="37"/>
        <v>1076.7318645640075</v>
      </c>
      <c r="U167" s="1096">
        <f t="shared" si="38"/>
        <v>724662428</v>
      </c>
      <c r="V167" s="1102">
        <f t="shared" si="39"/>
        <v>0.23680414143769563</v>
      </c>
      <c r="W167" s="1098">
        <v>25400</v>
      </c>
      <c r="X167" s="1106">
        <f t="shared" si="40"/>
        <v>119925.05228346457</v>
      </c>
      <c r="Y167" s="1106">
        <f t="shared" si="41"/>
        <v>120479.38299212599</v>
      </c>
      <c r="Z167" s="1106">
        <f t="shared" si="42"/>
        <v>28530.016850393702</v>
      </c>
      <c r="AA167" s="1106">
        <f t="shared" si="43"/>
        <v>91395.035433070865</v>
      </c>
      <c r="AB167" s="1054">
        <v>1320</v>
      </c>
      <c r="AC167" s="1098">
        <f t="shared" si="55"/>
        <v>1362.7846850393701</v>
      </c>
      <c r="AD167" s="1054">
        <f t="shared" si="56"/>
        <v>42.784685039370061</v>
      </c>
    </row>
    <row r="168" spans="1:30" hidden="1" x14ac:dyDescent="0.35">
      <c r="A168" s="179">
        <v>3</v>
      </c>
      <c r="B168" s="880" t="s">
        <v>22</v>
      </c>
      <c r="C168" s="986" t="s">
        <v>176</v>
      </c>
      <c r="D168" s="83" t="s">
        <v>177</v>
      </c>
      <c r="E168" s="399" t="str">
        <f>VLOOKUP(F168,'Quy đổi'!A:D,4,0)</f>
        <v>rPET</v>
      </c>
      <c r="F168" s="986" t="s">
        <v>127</v>
      </c>
      <c r="G168" s="82" t="s">
        <v>114</v>
      </c>
      <c r="H168" s="257" t="str">
        <f>IFERROR(VLOOKUP(F168,'Quy đổi'!A:C,3,0),"-")</f>
        <v>iSS01084G</v>
      </c>
      <c r="I168" s="1098">
        <v>154000</v>
      </c>
      <c r="J168" s="1098">
        <v>5521472000</v>
      </c>
      <c r="K168" s="1098">
        <f>5521472000-81257502</f>
        <v>5440214498</v>
      </c>
      <c r="L168" s="1056">
        <f>14074074.0740741/22000*I168</f>
        <v>98518518.518518716</v>
      </c>
      <c r="O168" s="1097">
        <f t="shared" si="50"/>
        <v>5341695979.4814816</v>
      </c>
      <c r="P168" s="1096">
        <f t="shared" si="45"/>
        <v>34686.337529100529</v>
      </c>
      <c r="Q168" s="1096">
        <f t="shared" si="46"/>
        <v>1365.6038397283671</v>
      </c>
      <c r="R168" s="1099">
        <v>4062509325</v>
      </c>
      <c r="S168" s="1096">
        <f t="shared" si="36"/>
        <v>26379.930681818183</v>
      </c>
      <c r="T168" s="1096">
        <f t="shared" si="37"/>
        <v>1076.7318645640075</v>
      </c>
      <c r="U168" s="1096">
        <f t="shared" si="38"/>
        <v>1279186654.4814816</v>
      </c>
      <c r="V168" s="1102">
        <f t="shared" si="39"/>
        <v>0.23513533426885139</v>
      </c>
      <c r="W168" s="1098">
        <v>25400</v>
      </c>
      <c r="X168" s="1106">
        <f t="shared" si="40"/>
        <v>210302.99131816856</v>
      </c>
      <c r="Y168" s="1106">
        <f t="shared" si="41"/>
        <v>214181.6731496063</v>
      </c>
      <c r="Z168" s="1106">
        <f t="shared" si="42"/>
        <v>50361.679310294552</v>
      </c>
      <c r="AA168" s="1106">
        <f t="shared" si="43"/>
        <v>159941.31200787402</v>
      </c>
      <c r="AB168" s="1054">
        <v>1320</v>
      </c>
      <c r="AC168" s="1098">
        <f t="shared" si="55"/>
        <v>1365.6038397283671</v>
      </c>
      <c r="AD168" s="1054">
        <f t="shared" si="56"/>
        <v>45.60383972836712</v>
      </c>
    </row>
    <row r="169" spans="1:30" hidden="1" x14ac:dyDescent="0.35">
      <c r="A169" s="179">
        <v>3</v>
      </c>
      <c r="B169" s="880" t="s">
        <v>22</v>
      </c>
      <c r="C169" s="986" t="s">
        <v>176</v>
      </c>
      <c r="D169" s="635" t="s">
        <v>177</v>
      </c>
      <c r="E169" s="399" t="str">
        <f>VLOOKUP(F169,'Quy đổi'!A:D,4,0)</f>
        <v>rPET</v>
      </c>
      <c r="F169" s="986" t="s">
        <v>100</v>
      </c>
      <c r="G169" s="82" t="s">
        <v>99</v>
      </c>
      <c r="H169" s="257" t="str">
        <f>IFERROR(VLOOKUP(F169,'Quy đổi'!A:C,3,0),"-")</f>
        <v>iSS01G</v>
      </c>
      <c r="I169" s="1100">
        <v>-1100</v>
      </c>
      <c r="J169" s="1098">
        <v>0</v>
      </c>
      <c r="K169" s="1100">
        <v>-40308400</v>
      </c>
      <c r="L169" s="1099"/>
      <c r="M169" s="1099"/>
      <c r="N169" s="1099"/>
      <c r="O169" s="1097">
        <f t="shared" si="50"/>
        <v>-40308400</v>
      </c>
      <c r="P169" s="1096">
        <f t="shared" si="45"/>
        <v>36644</v>
      </c>
      <c r="Q169" s="1096">
        <f t="shared" si="46"/>
        <v>1442.6771653543306</v>
      </c>
      <c r="R169" s="1099">
        <v>-27875112</v>
      </c>
      <c r="S169" s="1096">
        <f t="shared" si="36"/>
        <v>25341.01090909091</v>
      </c>
      <c r="T169" s="1096">
        <f t="shared" si="37"/>
        <v>1034.3269758812617</v>
      </c>
      <c r="U169" s="1096">
        <f t="shared" si="38"/>
        <v>-12433288</v>
      </c>
      <c r="V169" s="1102">
        <f t="shared" si="39"/>
        <v>0.30845401950958112</v>
      </c>
      <c r="W169" s="1100">
        <v>25400</v>
      </c>
      <c r="X169" s="1100">
        <f t="shared" si="40"/>
        <v>-1586.9448818897638</v>
      </c>
      <c r="Y169" s="1100">
        <f t="shared" si="41"/>
        <v>-1586.9448818897638</v>
      </c>
      <c r="Z169" s="1100">
        <f t="shared" si="42"/>
        <v>-489.49952755905514</v>
      </c>
      <c r="AA169" s="1100">
        <f t="shared" si="43"/>
        <v>-1097.4453543307086</v>
      </c>
      <c r="AB169" s="1054">
        <v>1260</v>
      </c>
      <c r="AC169" s="1098">
        <f t="shared" si="55"/>
        <v>1442.6771653543306</v>
      </c>
      <c r="AD169" s="1054">
        <f t="shared" si="56"/>
        <v>182.67716535433055</v>
      </c>
    </row>
    <row r="170" spans="1:30" hidden="1" x14ac:dyDescent="0.35">
      <c r="A170" s="179">
        <v>3</v>
      </c>
      <c r="B170" s="880" t="s">
        <v>22</v>
      </c>
      <c r="C170" s="986" t="s">
        <v>643</v>
      </c>
      <c r="D170" s="83" t="s">
        <v>644</v>
      </c>
      <c r="E170" s="399" t="str">
        <f>VLOOKUP(F170,'Quy đổi'!A:D,4,0)</f>
        <v>rHDPE ép</v>
      </c>
      <c r="F170" s="986" t="s">
        <v>39</v>
      </c>
      <c r="G170" s="82" t="s">
        <v>38</v>
      </c>
      <c r="H170" s="257" t="str">
        <f>IFERROR(VLOOKUP(F170,'Quy đổi'!A:C,3,0),"-")</f>
        <v>Vảy HD Ép Vàng</v>
      </c>
      <c r="I170" s="1098">
        <v>10000</v>
      </c>
      <c r="J170" s="1098">
        <v>146000000</v>
      </c>
      <c r="K170" s="1098">
        <v>146000000</v>
      </c>
      <c r="L170" s="1097"/>
      <c r="O170" s="1097">
        <f t="shared" si="50"/>
        <v>146000000</v>
      </c>
      <c r="P170" s="1096">
        <f t="shared" si="45"/>
        <v>14600</v>
      </c>
      <c r="Q170" s="1096">
        <f t="shared" si="46"/>
        <v>574.80314960629914</v>
      </c>
      <c r="R170" s="1099">
        <v>249175256</v>
      </c>
      <c r="S170" s="1096">
        <f t="shared" ref="S170:S233" si="57">R170/I170</f>
        <v>24917.525600000001</v>
      </c>
      <c r="T170" s="1096">
        <f t="shared" ref="T170:T233" si="58">S170/24.5</f>
        <v>1017.0418612244898</v>
      </c>
      <c r="U170" s="1096">
        <f t="shared" ref="U170:U233" si="59">O170-R170</f>
        <v>-103175256</v>
      </c>
      <c r="V170" s="1102">
        <f t="shared" ref="V170:V233" si="60">U170/K170</f>
        <v>-0.70667983561643832</v>
      </c>
      <c r="W170" s="1098">
        <v>25400</v>
      </c>
      <c r="X170" s="1106">
        <f t="shared" si="40"/>
        <v>5748.0314960629921</v>
      </c>
      <c r="Y170" s="1106">
        <f t="shared" si="41"/>
        <v>5748.0314960629921</v>
      </c>
      <c r="Z170" s="1106">
        <f t="shared" si="42"/>
        <v>-4062.0179527559053</v>
      </c>
      <c r="AA170" s="1106">
        <f t="shared" si="43"/>
        <v>9810.0494488188979</v>
      </c>
      <c r="AB170" s="1054">
        <v>750</v>
      </c>
      <c r="AC170" s="1098">
        <f t="shared" si="55"/>
        <v>574.80314960629914</v>
      </c>
      <c r="AD170" s="1054">
        <f t="shared" si="56"/>
        <v>-175.19685039370086</v>
      </c>
    </row>
    <row r="171" spans="1:30" hidden="1" x14ac:dyDescent="0.35">
      <c r="A171" s="179">
        <v>3</v>
      </c>
      <c r="B171" s="880" t="s">
        <v>22</v>
      </c>
      <c r="C171" s="986" t="s">
        <v>643</v>
      </c>
      <c r="D171" s="83" t="s">
        <v>644</v>
      </c>
      <c r="E171" s="399" t="str">
        <f>VLOOKUP(F171,'Quy đổi'!A:D,4,0)</f>
        <v>rHDPE ép</v>
      </c>
      <c r="F171" s="986" t="s">
        <v>43</v>
      </c>
      <c r="G171" s="82" t="s">
        <v>42</v>
      </c>
      <c r="H171" s="257" t="str">
        <f>IFERROR(VLOOKUP(F171,'Quy đổi'!A:C,3,0),"-")</f>
        <v>Vảy HD Ép dương</v>
      </c>
      <c r="I171" s="1098">
        <v>10000</v>
      </c>
      <c r="J171" s="1098">
        <v>146000000</v>
      </c>
      <c r="K171" s="1098">
        <v>146000000</v>
      </c>
      <c r="L171" s="1097"/>
      <c r="O171" s="1097">
        <f t="shared" si="50"/>
        <v>146000000</v>
      </c>
      <c r="P171" s="1096">
        <f t="shared" si="45"/>
        <v>14600</v>
      </c>
      <c r="Q171" s="1096">
        <f t="shared" si="46"/>
        <v>574.80314960629914</v>
      </c>
      <c r="R171" s="1099">
        <v>249899323</v>
      </c>
      <c r="S171" s="1096">
        <f t="shared" si="57"/>
        <v>24989.9323</v>
      </c>
      <c r="T171" s="1096">
        <f t="shared" si="58"/>
        <v>1019.9972367346938</v>
      </c>
      <c r="U171" s="1096">
        <f t="shared" si="59"/>
        <v>-103899323</v>
      </c>
      <c r="V171" s="1102">
        <f t="shared" si="60"/>
        <v>-0.71163919863013703</v>
      </c>
      <c r="W171" s="1098">
        <v>25400</v>
      </c>
      <c r="X171" s="1106">
        <f t="shared" ref="X171:X180" si="61">O171/W171</f>
        <v>5748.0314960629921</v>
      </c>
      <c r="Y171" s="1106">
        <f t="shared" ref="Y171:Y180" si="62">K171/W171</f>
        <v>5748.0314960629921</v>
      </c>
      <c r="Z171" s="1106">
        <f t="shared" ref="Z171:Z180" si="63">U171/W171</f>
        <v>-4090.5245275590551</v>
      </c>
      <c r="AA171" s="1106">
        <f t="shared" ref="AA171:AA180" si="64">R171/W171</f>
        <v>9838.5560236220481</v>
      </c>
      <c r="AB171" s="1054">
        <v>750</v>
      </c>
      <c r="AC171" s="1098">
        <f t="shared" si="55"/>
        <v>574.80314960629914</v>
      </c>
      <c r="AD171" s="1054">
        <f t="shared" si="56"/>
        <v>-175.19685039370086</v>
      </c>
    </row>
    <row r="172" spans="1:30" hidden="1" x14ac:dyDescent="0.35">
      <c r="A172" s="179">
        <v>3</v>
      </c>
      <c r="B172" s="880" t="s">
        <v>22</v>
      </c>
      <c r="C172" s="986" t="s">
        <v>237</v>
      </c>
      <c r="D172" s="83" t="s">
        <v>238</v>
      </c>
      <c r="E172" s="399" t="str">
        <f>VLOOKUP(F172,'Quy đổi'!A:D,4,0)</f>
        <v>rPET</v>
      </c>
      <c r="F172" s="986" t="s">
        <v>102</v>
      </c>
      <c r="G172" s="82" t="s">
        <v>101</v>
      </c>
      <c r="H172" s="257" t="str">
        <f>IFERROR(VLOOKUP(F172,'Quy đổi'!A:C,3,0),"-")</f>
        <v>WSS03G</v>
      </c>
      <c r="I172" s="1098">
        <v>11000</v>
      </c>
      <c r="J172" s="1098">
        <v>310486000</v>
      </c>
      <c r="K172" s="1098">
        <v>310486000</v>
      </c>
      <c r="O172" s="1097">
        <f t="shared" si="50"/>
        <v>310486000</v>
      </c>
      <c r="P172" s="1096">
        <f t="shared" si="45"/>
        <v>28226</v>
      </c>
      <c r="Q172" s="1096">
        <f t="shared" si="46"/>
        <v>1111.2598425196852</v>
      </c>
      <c r="R172" s="1099">
        <v>289191170</v>
      </c>
      <c r="S172" s="1096">
        <f t="shared" si="57"/>
        <v>26290.106363636365</v>
      </c>
      <c r="T172" s="1096">
        <f t="shared" si="58"/>
        <v>1073.0655658627088</v>
      </c>
      <c r="U172" s="1096">
        <f t="shared" si="59"/>
        <v>21294830</v>
      </c>
      <c r="V172" s="1102">
        <f t="shared" si="60"/>
        <v>6.858547567362136E-2</v>
      </c>
      <c r="W172" s="1098">
        <v>25400</v>
      </c>
      <c r="X172" s="1106">
        <f t="shared" si="61"/>
        <v>12223.858267716536</v>
      </c>
      <c r="Y172" s="1106">
        <f t="shared" si="62"/>
        <v>12223.858267716536</v>
      </c>
      <c r="Z172" s="1106">
        <f t="shared" si="63"/>
        <v>838.37913385826766</v>
      </c>
      <c r="AA172" s="1106">
        <f t="shared" si="64"/>
        <v>11385.479133858267</v>
      </c>
      <c r="AB172" s="1054">
        <v>1160</v>
      </c>
      <c r="AC172" s="1098">
        <f t="shared" si="55"/>
        <v>1111.2598425196852</v>
      </c>
      <c r="AD172" s="1054">
        <f t="shared" si="56"/>
        <v>-48.740157480314792</v>
      </c>
    </row>
    <row r="173" spans="1:30" hidden="1" x14ac:dyDescent="0.35">
      <c r="A173" s="179">
        <v>3</v>
      </c>
      <c r="B173" s="880" t="s">
        <v>22</v>
      </c>
      <c r="C173" s="986" t="s">
        <v>82</v>
      </c>
      <c r="D173" s="83" t="s">
        <v>81</v>
      </c>
      <c r="E173" s="399" t="str">
        <f>VLOOKUP(F173,'Quy đổi'!A:D,4,0)</f>
        <v>rHDPE thổi</v>
      </c>
      <c r="F173" s="986" t="s">
        <v>69</v>
      </c>
      <c r="G173" s="82" t="s">
        <v>68</v>
      </c>
      <c r="H173" s="257" t="str">
        <f>IFERROR(VLOOKUP(F173,'Quy đổi'!A:C,3,0),"-")</f>
        <v>MBF01</v>
      </c>
      <c r="I173" s="1098">
        <v>88000</v>
      </c>
      <c r="J173" s="1098">
        <v>3129280000</v>
      </c>
      <c r="K173" s="1098">
        <v>3129280000</v>
      </c>
      <c r="O173" s="1097">
        <f t="shared" si="50"/>
        <v>3129280000</v>
      </c>
      <c r="P173" s="1096">
        <f t="shared" si="45"/>
        <v>35560</v>
      </c>
      <c r="Q173" s="1096">
        <f t="shared" si="46"/>
        <v>1400</v>
      </c>
      <c r="R173" s="1099">
        <v>2460804192</v>
      </c>
      <c r="S173" s="1096">
        <f t="shared" si="57"/>
        <v>27963.684000000001</v>
      </c>
      <c r="T173" s="1096">
        <f t="shared" si="58"/>
        <v>1141.3748571428571</v>
      </c>
      <c r="U173" s="1096">
        <f t="shared" si="59"/>
        <v>668475808</v>
      </c>
      <c r="V173" s="1102">
        <f t="shared" si="60"/>
        <v>0.21361968503937007</v>
      </c>
      <c r="W173" s="1098">
        <v>25400</v>
      </c>
      <c r="X173" s="1106">
        <f t="shared" si="61"/>
        <v>123200</v>
      </c>
      <c r="Y173" s="1106">
        <f t="shared" si="62"/>
        <v>123200</v>
      </c>
      <c r="Z173" s="1106">
        <f t="shared" si="63"/>
        <v>26317.945196850393</v>
      </c>
      <c r="AA173" s="1106">
        <f t="shared" si="64"/>
        <v>96882.0548031496</v>
      </c>
      <c r="AB173" s="1054">
        <v>1350</v>
      </c>
      <c r="AC173" s="1098">
        <f t="shared" si="55"/>
        <v>1400</v>
      </c>
      <c r="AD173" s="1054">
        <f t="shared" si="56"/>
        <v>50</v>
      </c>
    </row>
    <row r="174" spans="1:30" hidden="1" x14ac:dyDescent="0.35">
      <c r="A174" s="179">
        <v>3</v>
      </c>
      <c r="B174" s="880" t="s">
        <v>22</v>
      </c>
      <c r="C174" s="986" t="s">
        <v>82</v>
      </c>
      <c r="D174" s="83" t="s">
        <v>81</v>
      </c>
      <c r="E174" s="399" t="str">
        <f>VLOOKUP(F174,'Quy đổi'!A:D,4,0)</f>
        <v>rPET</v>
      </c>
      <c r="F174" s="986" t="s">
        <v>110</v>
      </c>
      <c r="G174" s="82" t="s">
        <v>109</v>
      </c>
      <c r="H174" s="257" t="str">
        <f>IFERROR(VLOOKUP(F174,'Quy đổi'!A:C,3,0),"-")</f>
        <v>WSS01G</v>
      </c>
      <c r="I174" s="1098">
        <v>22000</v>
      </c>
      <c r="J174" s="1098">
        <v>726440000</v>
      </c>
      <c r="K174" s="1098">
        <v>726440000</v>
      </c>
      <c r="O174" s="1097">
        <f t="shared" si="50"/>
        <v>726440000</v>
      </c>
      <c r="P174" s="1096">
        <f t="shared" si="45"/>
        <v>33020</v>
      </c>
      <c r="Q174" s="1096">
        <f t="shared" si="46"/>
        <v>1300</v>
      </c>
      <c r="R174" s="1099">
        <v>577225256</v>
      </c>
      <c r="S174" s="1096">
        <f t="shared" si="57"/>
        <v>26237.511636363637</v>
      </c>
      <c r="T174" s="1096">
        <f t="shared" si="58"/>
        <v>1070.9188423005567</v>
      </c>
      <c r="U174" s="1096">
        <f t="shared" si="59"/>
        <v>149214744</v>
      </c>
      <c r="V174" s="1102">
        <f t="shared" si="60"/>
        <v>0.20540546225428116</v>
      </c>
      <c r="W174" s="1098">
        <v>25400</v>
      </c>
      <c r="X174" s="1106">
        <f t="shared" si="61"/>
        <v>28600</v>
      </c>
      <c r="Y174" s="1106">
        <f t="shared" si="62"/>
        <v>28600</v>
      </c>
      <c r="Z174" s="1106">
        <f t="shared" si="63"/>
        <v>5874.596220472441</v>
      </c>
      <c r="AA174" s="1106">
        <f t="shared" si="64"/>
        <v>22725.403779527558</v>
      </c>
      <c r="AB174" s="1054">
        <v>1230</v>
      </c>
      <c r="AC174" s="1098">
        <f t="shared" si="55"/>
        <v>1300</v>
      </c>
      <c r="AD174" s="1054">
        <f t="shared" si="56"/>
        <v>70</v>
      </c>
    </row>
    <row r="175" spans="1:30" hidden="1" x14ac:dyDescent="0.35">
      <c r="A175" s="179">
        <v>3</v>
      </c>
      <c r="B175" s="880" t="s">
        <v>22</v>
      </c>
      <c r="C175" s="986" t="s">
        <v>82</v>
      </c>
      <c r="D175" s="83" t="s">
        <v>81</v>
      </c>
      <c r="E175" s="399" t="str">
        <f>VLOOKUP(F175,'Quy đổi'!A:D,4,0)</f>
        <v>rHDPE thổi</v>
      </c>
      <c r="F175" s="986" t="s">
        <v>84</v>
      </c>
      <c r="G175" s="82" t="s">
        <v>83</v>
      </c>
      <c r="H175" s="257" t="str">
        <f>IFERROR(VLOOKUP(F175,'Quy đổi'!A:C,3,0),"-")</f>
        <v>HCBF-Whi-U</v>
      </c>
      <c r="I175" s="1098">
        <v>5500</v>
      </c>
      <c r="J175" s="1098">
        <v>188595000</v>
      </c>
      <c r="K175" s="1098">
        <v>188595000</v>
      </c>
      <c r="O175" s="1097">
        <f t="shared" si="50"/>
        <v>188595000</v>
      </c>
      <c r="P175" s="1096">
        <f t="shared" ref="P175:P238" si="65">O175/I175</f>
        <v>34290</v>
      </c>
      <c r="Q175" s="1096">
        <f t="shared" ref="Q175:Q238" si="66">P175/W175*1000</f>
        <v>1350</v>
      </c>
      <c r="R175" s="1099">
        <v>132937779</v>
      </c>
      <c r="S175" s="1096">
        <f t="shared" si="57"/>
        <v>24170.505272727274</v>
      </c>
      <c r="T175" s="1096">
        <f t="shared" si="58"/>
        <v>986.55123562152141</v>
      </c>
      <c r="U175" s="1096">
        <f t="shared" si="59"/>
        <v>55657221</v>
      </c>
      <c r="V175" s="1102">
        <f t="shared" si="60"/>
        <v>0.29511504016543388</v>
      </c>
      <c r="W175" s="1098">
        <v>25400</v>
      </c>
      <c r="X175" s="1106">
        <f t="shared" si="61"/>
        <v>7425</v>
      </c>
      <c r="Y175" s="1106">
        <f t="shared" si="62"/>
        <v>7425</v>
      </c>
      <c r="Z175" s="1106">
        <f t="shared" si="63"/>
        <v>2191.2291732283466</v>
      </c>
      <c r="AA175" s="1106">
        <f t="shared" si="64"/>
        <v>5233.7708267716534</v>
      </c>
      <c r="AB175" s="1054">
        <v>1300</v>
      </c>
      <c r="AC175" s="1098">
        <f t="shared" si="55"/>
        <v>1350</v>
      </c>
      <c r="AD175" s="1054">
        <f t="shared" si="56"/>
        <v>50</v>
      </c>
    </row>
    <row r="176" spans="1:30" hidden="1" x14ac:dyDescent="0.35">
      <c r="A176" s="179">
        <v>3</v>
      </c>
      <c r="B176" s="880" t="s">
        <v>22</v>
      </c>
      <c r="C176" s="986" t="s">
        <v>82</v>
      </c>
      <c r="D176" s="83" t="s">
        <v>81</v>
      </c>
      <c r="E176" s="399" t="str">
        <f>VLOOKUP(F176,'Quy đổi'!A:D,4,0)</f>
        <v>rHDPE thổi</v>
      </c>
      <c r="F176" s="986" t="s">
        <v>75</v>
      </c>
      <c r="G176" s="82" t="s">
        <v>74</v>
      </c>
      <c r="H176" s="257" t="str">
        <f>IFERROR(VLOOKUP(F176,'Quy đổi'!A:C,3,0),"-")</f>
        <v>HCBF-Yel-U</v>
      </c>
      <c r="I176" s="1098">
        <v>44000</v>
      </c>
      <c r="J176" s="1098">
        <v>1508760000</v>
      </c>
      <c r="K176" s="1098">
        <v>1508760000</v>
      </c>
      <c r="O176" s="1097">
        <f t="shared" si="50"/>
        <v>1508760000</v>
      </c>
      <c r="P176" s="1096">
        <f t="shared" si="65"/>
        <v>34290</v>
      </c>
      <c r="Q176" s="1096">
        <f t="shared" si="66"/>
        <v>1350</v>
      </c>
      <c r="R176" s="1099">
        <v>1197079984</v>
      </c>
      <c r="S176" s="1096">
        <f t="shared" si="57"/>
        <v>27206.363272727274</v>
      </c>
      <c r="T176" s="1096">
        <f t="shared" si="58"/>
        <v>1110.4638070500928</v>
      </c>
      <c r="U176" s="1096">
        <f t="shared" si="59"/>
        <v>311680016</v>
      </c>
      <c r="V176" s="1102">
        <f t="shared" si="60"/>
        <v>0.20658024868103608</v>
      </c>
      <c r="W176" s="1098">
        <v>25400</v>
      </c>
      <c r="X176" s="1106">
        <f t="shared" si="61"/>
        <v>59400</v>
      </c>
      <c r="Y176" s="1106">
        <f t="shared" si="62"/>
        <v>59400</v>
      </c>
      <c r="Z176" s="1106">
        <f t="shared" si="63"/>
        <v>12270.866771653544</v>
      </c>
      <c r="AA176" s="1106">
        <f t="shared" si="64"/>
        <v>47129.133228346458</v>
      </c>
      <c r="AB176" s="1054">
        <v>1300</v>
      </c>
      <c r="AC176" s="1098">
        <f t="shared" si="55"/>
        <v>1350</v>
      </c>
      <c r="AD176" s="1054">
        <f t="shared" si="56"/>
        <v>50</v>
      </c>
    </row>
    <row r="177" spans="1:30" hidden="1" x14ac:dyDescent="0.35">
      <c r="A177" s="179">
        <v>3</v>
      </c>
      <c r="B177" s="880" t="s">
        <v>22</v>
      </c>
      <c r="C177" s="986" t="s">
        <v>82</v>
      </c>
      <c r="D177" s="83" t="s">
        <v>81</v>
      </c>
      <c r="E177" s="399" t="str">
        <f>VLOOKUP(F177,'Quy đổi'!A:D,4,0)</f>
        <v>rHDPE thổi</v>
      </c>
      <c r="F177" s="986" t="s">
        <v>80</v>
      </c>
      <c r="G177" s="82" t="s">
        <v>79</v>
      </c>
      <c r="H177" s="257" t="str">
        <f>IFERROR(VLOOKUP(F177,'Quy đổi'!A:C,3,0),"-")</f>
        <v>PCF01</v>
      </c>
      <c r="I177" s="1098">
        <v>44000</v>
      </c>
      <c r="J177" s="1098">
        <v>1564640000</v>
      </c>
      <c r="K177" s="1098">
        <v>1564640000</v>
      </c>
      <c r="O177" s="1097">
        <f t="shared" si="50"/>
        <v>1564640000</v>
      </c>
      <c r="P177" s="1096">
        <f t="shared" si="65"/>
        <v>35560</v>
      </c>
      <c r="Q177" s="1096">
        <f t="shared" si="66"/>
        <v>1400</v>
      </c>
      <c r="R177" s="1099">
        <v>1242735448</v>
      </c>
      <c r="S177" s="1096">
        <f t="shared" si="57"/>
        <v>28243.987454545455</v>
      </c>
      <c r="T177" s="1096">
        <f t="shared" si="58"/>
        <v>1152.8158144712431</v>
      </c>
      <c r="U177" s="1096">
        <f t="shared" si="59"/>
        <v>321904552</v>
      </c>
      <c r="V177" s="1102">
        <f t="shared" si="60"/>
        <v>0.20573713569894672</v>
      </c>
      <c r="W177" s="1098">
        <v>25400</v>
      </c>
      <c r="X177" s="1106">
        <f>O177/W177</f>
        <v>61600</v>
      </c>
      <c r="Y177" s="1106">
        <f t="shared" si="62"/>
        <v>61600</v>
      </c>
      <c r="Z177" s="1106">
        <f t="shared" si="63"/>
        <v>12673.407559055118</v>
      </c>
      <c r="AA177" s="1106">
        <f t="shared" si="64"/>
        <v>48926.592440944885</v>
      </c>
      <c r="AB177" s="1054">
        <v>1350</v>
      </c>
      <c r="AC177" s="1098">
        <f t="shared" si="55"/>
        <v>1400</v>
      </c>
      <c r="AD177" s="1054">
        <f t="shared" si="56"/>
        <v>50</v>
      </c>
    </row>
    <row r="178" spans="1:30" hidden="1" x14ac:dyDescent="0.35">
      <c r="A178" s="179">
        <v>3</v>
      </c>
      <c r="B178" s="880" t="s">
        <v>22</v>
      </c>
      <c r="C178" s="986" t="s">
        <v>132</v>
      </c>
      <c r="D178" s="83" t="s">
        <v>213</v>
      </c>
      <c r="E178" s="399" t="str">
        <f>VLOOKUP(F178,'Quy đổi'!A:D,4,0)</f>
        <v>rPET</v>
      </c>
      <c r="F178" s="986" t="s">
        <v>110</v>
      </c>
      <c r="G178" s="82" t="s">
        <v>109</v>
      </c>
      <c r="H178" s="257" t="str">
        <f>IFERROR(VLOOKUP(F178,'Quy đổi'!A:C,3,0),"-")</f>
        <v>WSS01G</v>
      </c>
      <c r="I178" s="1098">
        <v>227700</v>
      </c>
      <c r="J178" s="1098">
        <v>7504016300</v>
      </c>
      <c r="K178" s="1098">
        <v>7504016300</v>
      </c>
      <c r="L178" s="1056">
        <f>I178*140</f>
        <v>31878000</v>
      </c>
      <c r="O178" s="1097">
        <f t="shared" si="50"/>
        <v>7472138300</v>
      </c>
      <c r="P178" s="1096">
        <f t="shared" si="65"/>
        <v>32815.714975845411</v>
      </c>
      <c r="Q178" s="1096">
        <f t="shared" si="66"/>
        <v>1291.9572825135988</v>
      </c>
      <c r="R178" s="1099">
        <v>5974281400</v>
      </c>
      <c r="S178" s="1096">
        <f t="shared" si="57"/>
        <v>26237.511638120333</v>
      </c>
      <c r="T178" s="1096">
        <f t="shared" si="58"/>
        <v>1070.9188423722585</v>
      </c>
      <c r="U178" s="1096">
        <f t="shared" si="59"/>
        <v>1497856900</v>
      </c>
      <c r="V178" s="1102">
        <f t="shared" si="60"/>
        <v>0.19960736226012729</v>
      </c>
      <c r="W178" s="1098">
        <v>25400</v>
      </c>
      <c r="X178" s="1106">
        <f t="shared" si="61"/>
        <v>294178.67322834645</v>
      </c>
      <c r="Y178" s="1106">
        <f t="shared" si="62"/>
        <v>295433.71259842522</v>
      </c>
      <c r="Z178" s="1106">
        <f t="shared" si="63"/>
        <v>58970.744094488189</v>
      </c>
      <c r="AA178" s="1106">
        <f t="shared" si="64"/>
        <v>235207.92913385827</v>
      </c>
      <c r="AB178" s="1054">
        <v>1230</v>
      </c>
      <c r="AC178" s="1098">
        <f t="shared" si="55"/>
        <v>1291.9572825135988</v>
      </c>
      <c r="AD178" s="1054">
        <f t="shared" si="56"/>
        <v>61.957282513598784</v>
      </c>
    </row>
    <row r="179" spans="1:30" hidden="1" x14ac:dyDescent="0.35">
      <c r="A179" s="179">
        <v>3</v>
      </c>
      <c r="B179" s="880" t="s">
        <v>22</v>
      </c>
      <c r="C179" s="986" t="s">
        <v>517</v>
      </c>
      <c r="D179" s="83" t="s">
        <v>518</v>
      </c>
      <c r="E179" s="399" t="str">
        <f>VLOOKUP(F179,'Quy đổi'!A:D,4,0)</f>
        <v>rPET</v>
      </c>
      <c r="F179" s="986" t="s">
        <v>100</v>
      </c>
      <c r="G179" s="82" t="s">
        <v>99</v>
      </c>
      <c r="H179" s="257" t="str">
        <f>IFERROR(VLOOKUP(F179,'Quy đổi'!A:C,3,0),"-")</f>
        <v>iSS01G</v>
      </c>
      <c r="I179" s="1098">
        <v>5500</v>
      </c>
      <c r="J179" s="1098">
        <v>181341160</v>
      </c>
      <c r="K179" s="1098">
        <v>181341160</v>
      </c>
      <c r="L179" s="1056">
        <f>25*W179</f>
        <v>635000</v>
      </c>
      <c r="O179" s="1097">
        <f t="shared" si="50"/>
        <v>180706160</v>
      </c>
      <c r="P179" s="1096">
        <f t="shared" si="65"/>
        <v>32855.665454545451</v>
      </c>
      <c r="Q179" s="1096">
        <f t="shared" si="66"/>
        <v>1293.5301360057265</v>
      </c>
      <c r="R179" s="1099">
        <v>139375559</v>
      </c>
      <c r="S179" s="1096">
        <f t="shared" si="57"/>
        <v>25341.010727272725</v>
      </c>
      <c r="T179" s="1096">
        <f t="shared" si="58"/>
        <v>1034.3269684601112</v>
      </c>
      <c r="U179" s="1096">
        <f t="shared" si="59"/>
        <v>41330601</v>
      </c>
      <c r="V179" s="1102">
        <f t="shared" si="60"/>
        <v>0.22791627118741273</v>
      </c>
      <c r="W179" s="1098">
        <v>25400</v>
      </c>
      <c r="X179" s="1106">
        <f t="shared" si="61"/>
        <v>7114.4157480314962</v>
      </c>
      <c r="Y179" s="1106">
        <f t="shared" si="62"/>
        <v>7139.4157480314962</v>
      </c>
      <c r="Z179" s="1106">
        <f t="shared" si="63"/>
        <v>1627.1890157480316</v>
      </c>
      <c r="AA179" s="1106">
        <f t="shared" si="64"/>
        <v>5487.2267322834641</v>
      </c>
      <c r="AB179" s="1054">
        <v>1260</v>
      </c>
      <c r="AC179" s="1098">
        <f t="shared" si="55"/>
        <v>1293.5301360057265</v>
      </c>
      <c r="AD179" s="1054">
        <f t="shared" si="56"/>
        <v>33.53013600572649</v>
      </c>
    </row>
    <row r="180" spans="1:30" hidden="1" x14ac:dyDescent="0.35">
      <c r="A180" s="179">
        <v>3</v>
      </c>
      <c r="B180" s="880" t="s">
        <v>26</v>
      </c>
      <c r="C180" s="986" t="s">
        <v>362</v>
      </c>
      <c r="D180" s="83" t="s">
        <v>363</v>
      </c>
      <c r="E180" s="399" t="str">
        <f>VLOOKUP(F180,'Quy đổi'!A:D,4,0)</f>
        <v>rPET</v>
      </c>
      <c r="F180" s="986" t="s">
        <v>100</v>
      </c>
      <c r="G180" s="82" t="s">
        <v>99</v>
      </c>
      <c r="H180" s="257" t="str">
        <f>IFERROR(VLOOKUP(F180,'Quy đổi'!A:C,3,0),"-")</f>
        <v>iSS01G</v>
      </c>
      <c r="I180" s="1098">
        <v>770000</v>
      </c>
      <c r="J180" s="1098">
        <v>24336015000</v>
      </c>
      <c r="K180" s="1098">
        <v>24336015000</v>
      </c>
      <c r="L180" s="1104">
        <v>298059292.03999996</v>
      </c>
      <c r="O180" s="1097">
        <f t="shared" si="50"/>
        <v>24037955707.959999</v>
      </c>
      <c r="P180" s="1096">
        <f t="shared" si="65"/>
        <v>31218.124296051948</v>
      </c>
      <c r="Q180" s="1096">
        <f t="shared" si="66"/>
        <v>1229.0600116555886</v>
      </c>
      <c r="R180" s="1099">
        <v>19512578260</v>
      </c>
      <c r="S180" s="1096">
        <f t="shared" si="57"/>
        <v>25341.010727272725</v>
      </c>
      <c r="T180" s="1096">
        <f t="shared" si="58"/>
        <v>1034.3269684601112</v>
      </c>
      <c r="U180" s="1096">
        <f t="shared" si="59"/>
        <v>4525377447.9599991</v>
      </c>
      <c r="V180" s="1102">
        <f t="shared" si="60"/>
        <v>0.18595392252840076</v>
      </c>
      <c r="W180" s="1098">
        <v>25400</v>
      </c>
      <c r="X180" s="1106">
        <f t="shared" si="61"/>
        <v>946376.2089748031</v>
      </c>
      <c r="Y180" s="1106">
        <f t="shared" si="62"/>
        <v>958110.82677165349</v>
      </c>
      <c r="Z180" s="1106">
        <f t="shared" si="63"/>
        <v>178164.46645511806</v>
      </c>
      <c r="AA180" s="1106">
        <f t="shared" si="64"/>
        <v>768211.74251968507</v>
      </c>
      <c r="AB180" s="1054">
        <v>1260</v>
      </c>
      <c r="AC180" s="1098">
        <f t="shared" si="55"/>
        <v>1229.0600116555886</v>
      </c>
      <c r="AD180" s="1054">
        <f t="shared" si="56"/>
        <v>-30.939988344411404</v>
      </c>
    </row>
    <row r="181" spans="1:30" hidden="1" x14ac:dyDescent="0.35">
      <c r="A181" s="179">
        <v>4</v>
      </c>
      <c r="B181" s="880" t="s">
        <v>22</v>
      </c>
      <c r="C181" s="986" t="s">
        <v>30</v>
      </c>
      <c r="D181" s="83" t="s">
        <v>29</v>
      </c>
      <c r="E181" s="399" t="str">
        <f>VLOOKUP(F181,'Quy đổi'!A:D,4,0)</f>
        <v>rHDPE ép</v>
      </c>
      <c r="F181" s="986" t="s">
        <v>208</v>
      </c>
      <c r="G181" s="82" t="s">
        <v>209</v>
      </c>
      <c r="H181" s="257" t="str">
        <f>IFERROR(VLOOKUP(F181,'Quy đổi'!A:C,3,0),"-")</f>
        <v>rHDI4L01</v>
      </c>
      <c r="I181" s="1098">
        <v>16500</v>
      </c>
      <c r="J181" s="1098">
        <v>330000000</v>
      </c>
      <c r="K181" s="1098">
        <v>330000000</v>
      </c>
      <c r="O181" s="1097">
        <f t="shared" si="50"/>
        <v>330000000</v>
      </c>
      <c r="P181" s="1096">
        <f t="shared" si="65"/>
        <v>20000</v>
      </c>
      <c r="Q181" s="1096">
        <f t="shared" si="66"/>
        <v>774.29345722028654</v>
      </c>
      <c r="R181" s="1099">
        <v>487944809</v>
      </c>
      <c r="S181" s="1096">
        <f t="shared" si="57"/>
        <v>29572.412666666667</v>
      </c>
      <c r="T181" s="1096">
        <f t="shared" si="58"/>
        <v>1207.0372517006804</v>
      </c>
      <c r="U181" s="1096">
        <f t="shared" si="59"/>
        <v>-157944809</v>
      </c>
      <c r="V181" s="1102">
        <f t="shared" si="60"/>
        <v>-0.47862063333333332</v>
      </c>
      <c r="W181" s="1098">
        <v>25830</v>
      </c>
      <c r="X181" s="1106">
        <f t="shared" ref="X181:X244" si="67">O181/W181</f>
        <v>12775.842044134726</v>
      </c>
      <c r="Y181" s="1106">
        <f t="shared" ref="Y181:Y244" si="68">K181/W181</f>
        <v>12775.842044134726</v>
      </c>
      <c r="Z181" s="1106">
        <f t="shared" ref="Z181:Z244" si="69">U181/W181</f>
        <v>-6114.7816105303909</v>
      </c>
      <c r="AA181" s="1106">
        <f t="shared" ref="AA181:AA244" si="70">R181/W181</f>
        <v>18890.62365466512</v>
      </c>
      <c r="AC181" s="1098">
        <f t="shared" si="55"/>
        <v>774.29345722028643</v>
      </c>
      <c r="AD181" s="1054">
        <f t="shared" si="56"/>
        <v>774.29345722028643</v>
      </c>
    </row>
    <row r="182" spans="1:30" hidden="1" x14ac:dyDescent="0.35">
      <c r="A182" s="179">
        <v>4</v>
      </c>
      <c r="B182" s="880" t="s">
        <v>22</v>
      </c>
      <c r="C182" s="986" t="s">
        <v>30</v>
      </c>
      <c r="D182" s="83" t="s">
        <v>29</v>
      </c>
      <c r="E182" s="399" t="str">
        <f>VLOOKUP(F182,'Quy đổi'!A:D,4,0)</f>
        <v>rHDPE ép</v>
      </c>
      <c r="F182" s="986" t="s">
        <v>206</v>
      </c>
      <c r="G182" s="82" t="s">
        <v>207</v>
      </c>
      <c r="H182" s="257" t="str">
        <f>IFERROR(VLOOKUP(F182,'Quy đổi'!A:C,3,0),"-")</f>
        <v>rHDI3R01</v>
      </c>
      <c r="I182" s="1098">
        <v>11000</v>
      </c>
      <c r="J182" s="1098">
        <v>220000000</v>
      </c>
      <c r="K182" s="1098">
        <v>220000000</v>
      </c>
      <c r="O182" s="1097">
        <f t="shared" si="50"/>
        <v>220000000</v>
      </c>
      <c r="P182" s="1096">
        <f t="shared" si="65"/>
        <v>20000</v>
      </c>
      <c r="Q182" s="1096">
        <f t="shared" si="66"/>
        <v>774.29345722028654</v>
      </c>
      <c r="R182" s="1099">
        <v>142381349</v>
      </c>
      <c r="S182" s="1096">
        <f t="shared" si="57"/>
        <v>12943.759</v>
      </c>
      <c r="T182" s="1096">
        <f t="shared" si="58"/>
        <v>528.31669387755107</v>
      </c>
      <c r="U182" s="1096">
        <f t="shared" si="59"/>
        <v>77618651</v>
      </c>
      <c r="V182" s="1102">
        <f t="shared" si="60"/>
        <v>0.35281204999999999</v>
      </c>
      <c r="W182" s="1098">
        <v>25830</v>
      </c>
      <c r="X182" s="1106">
        <f t="shared" si="67"/>
        <v>8517.2280294231514</v>
      </c>
      <c r="Y182" s="1106">
        <f t="shared" si="68"/>
        <v>8517.2280294231514</v>
      </c>
      <c r="Z182" s="1106">
        <f t="shared" si="69"/>
        <v>3004.9806813782425</v>
      </c>
      <c r="AA182" s="1106">
        <f t="shared" si="70"/>
        <v>5512.2473480449089</v>
      </c>
      <c r="AC182" s="1098">
        <f t="shared" si="55"/>
        <v>774.29345722028654</v>
      </c>
      <c r="AD182" s="1054">
        <f t="shared" si="56"/>
        <v>774.29345722028654</v>
      </c>
    </row>
    <row r="183" spans="1:30" hidden="1" x14ac:dyDescent="0.35">
      <c r="A183" s="179">
        <v>4</v>
      </c>
      <c r="B183" s="880" t="s">
        <v>22</v>
      </c>
      <c r="C183" s="986" t="s">
        <v>132</v>
      </c>
      <c r="D183" s="83" t="s">
        <v>213</v>
      </c>
      <c r="E183" s="399" t="str">
        <f>VLOOKUP(F183,'Quy đổi'!A:D,4,0)</f>
        <v>rPET</v>
      </c>
      <c r="F183" s="986" t="s">
        <v>110</v>
      </c>
      <c r="G183" s="82" t="s">
        <v>109</v>
      </c>
      <c r="H183" s="257" t="str">
        <f>IFERROR(VLOOKUP(F183,'Quy đổi'!A:C,3,0),"-")</f>
        <v>WSS01G</v>
      </c>
      <c r="I183" s="1098">
        <v>176000</v>
      </c>
      <c r="J183" s="1098">
        <v>5643088000</v>
      </c>
      <c r="K183" s="1098">
        <v>5643088000</v>
      </c>
      <c r="L183" s="1056">
        <f>I183*140</f>
        <v>24640000</v>
      </c>
      <c r="O183" s="1097">
        <f t="shared" si="50"/>
        <v>5618448000</v>
      </c>
      <c r="P183" s="1096">
        <f t="shared" si="65"/>
        <v>31923</v>
      </c>
      <c r="Q183" s="1096">
        <f t="shared" si="66"/>
        <v>1235.8885017421603</v>
      </c>
      <c r="R183" s="1099">
        <v>4729249312</v>
      </c>
      <c r="S183" s="1096">
        <f t="shared" si="57"/>
        <v>26870.734727272727</v>
      </c>
      <c r="T183" s="1096">
        <f t="shared" si="58"/>
        <v>1096.7646827458257</v>
      </c>
      <c r="U183" s="1096">
        <f t="shared" si="59"/>
        <v>889198688</v>
      </c>
      <c r="V183" s="1102">
        <f t="shared" si="60"/>
        <v>0.15757306779550487</v>
      </c>
      <c r="W183" s="1098">
        <v>25830</v>
      </c>
      <c r="X183" s="1106">
        <f t="shared" si="67"/>
        <v>217516.37630662022</v>
      </c>
      <c r="Y183" s="1106">
        <f t="shared" si="68"/>
        <v>218470.3058459156</v>
      </c>
      <c r="Z183" s="1106">
        <f t="shared" si="69"/>
        <v>34425.03631436314</v>
      </c>
      <c r="AA183" s="1106">
        <f t="shared" si="70"/>
        <v>183091.33999225707</v>
      </c>
      <c r="AC183" s="1098">
        <f t="shared" si="55"/>
        <v>1235.8885017421603</v>
      </c>
      <c r="AD183" s="1054">
        <f t="shared" si="56"/>
        <v>1235.8885017421603</v>
      </c>
    </row>
    <row r="184" spans="1:30" hidden="1" x14ac:dyDescent="0.35">
      <c r="A184" s="179">
        <v>4</v>
      </c>
      <c r="B184" s="880" t="s">
        <v>22</v>
      </c>
      <c r="C184" s="986" t="s">
        <v>176</v>
      </c>
      <c r="D184" s="83" t="s">
        <v>177</v>
      </c>
      <c r="E184" s="399" t="str">
        <f>VLOOKUP(F184,'Quy đổi'!A:D,4,0)</f>
        <v>rPET</v>
      </c>
      <c r="F184" s="986" t="s">
        <v>127</v>
      </c>
      <c r="G184" s="82" t="s">
        <v>114</v>
      </c>
      <c r="H184" s="257" t="str">
        <f>IFERROR(VLOOKUP(F184,'Quy đổi'!A:C,3,0),"-")</f>
        <v>iSS01084G</v>
      </c>
      <c r="I184" s="1098">
        <v>374000</v>
      </c>
      <c r="J184" s="1098">
        <v>13360028000</v>
      </c>
      <c r="K184" s="1098">
        <v>13163427794</v>
      </c>
      <c r="L184" s="1056">
        <f>631.313131313131*I184</f>
        <v>236111111.11111099</v>
      </c>
      <c r="O184" s="1097">
        <f t="shared" si="50"/>
        <v>12927316682.888889</v>
      </c>
      <c r="P184" s="1096">
        <f t="shared" si="65"/>
        <v>34565.017868686868</v>
      </c>
      <c r="Q184" s="1096">
        <f t="shared" si="66"/>
        <v>1338.1733592213268</v>
      </c>
      <c r="R184" s="1099">
        <v>9939007075</v>
      </c>
      <c r="S184" s="1096">
        <f t="shared" si="57"/>
        <v>26574.885227272727</v>
      </c>
      <c r="T184" s="1096">
        <f t="shared" si="58"/>
        <v>1084.6891929499072</v>
      </c>
      <c r="U184" s="1096">
        <f t="shared" si="59"/>
        <v>2988309607.8888893</v>
      </c>
      <c r="V184" s="1102">
        <f t="shared" si="60"/>
        <v>0.22701606714103645</v>
      </c>
      <c r="W184" s="1098">
        <v>25830</v>
      </c>
      <c r="X184" s="1106">
        <f t="shared" si="67"/>
        <v>500476.83634877618</v>
      </c>
      <c r="Y184" s="1106">
        <f t="shared" si="68"/>
        <v>509617.80077429349</v>
      </c>
      <c r="Z184" s="1106">
        <f t="shared" si="69"/>
        <v>115691.42887684434</v>
      </c>
      <c r="AA184" s="1106">
        <f t="shared" si="70"/>
        <v>384785.40747193189</v>
      </c>
      <c r="AC184" s="1098">
        <f t="shared" si="55"/>
        <v>1338.1733592213268</v>
      </c>
      <c r="AD184" s="1054">
        <f t="shared" si="56"/>
        <v>1338.1733592213268</v>
      </c>
    </row>
    <row r="185" spans="1:30" hidden="1" x14ac:dyDescent="0.35">
      <c r="A185" s="179">
        <v>4</v>
      </c>
      <c r="B185" s="880" t="s">
        <v>22</v>
      </c>
      <c r="C185" s="986" t="s">
        <v>131</v>
      </c>
      <c r="D185" s="83" t="s">
        <v>214</v>
      </c>
      <c r="E185" s="399" t="str">
        <f>VLOOKUP(F185,'Quy đổi'!A:D,4,0)</f>
        <v>rPET</v>
      </c>
      <c r="F185" s="986" t="s">
        <v>110</v>
      </c>
      <c r="G185" s="82" t="s">
        <v>109</v>
      </c>
      <c r="H185" s="257" t="str">
        <f>IFERROR(VLOOKUP(F185,'Quy đổi'!A:C,3,0),"-")</f>
        <v>WSS01G</v>
      </c>
      <c r="I185" s="1098">
        <v>11000</v>
      </c>
      <c r="J185" s="1098">
        <v>352693000</v>
      </c>
      <c r="K185" s="1098">
        <v>352693000</v>
      </c>
      <c r="L185" s="1056">
        <f>I185*140</f>
        <v>1540000</v>
      </c>
      <c r="O185" s="1097">
        <f t="shared" si="50"/>
        <v>351153000</v>
      </c>
      <c r="P185" s="1096">
        <f t="shared" si="65"/>
        <v>31923</v>
      </c>
      <c r="Q185" s="1096">
        <f t="shared" si="66"/>
        <v>1235.8885017421603</v>
      </c>
      <c r="R185" s="1099">
        <v>295578082</v>
      </c>
      <c r="S185" s="1096">
        <f t="shared" si="57"/>
        <v>26870.734727272727</v>
      </c>
      <c r="T185" s="1096">
        <f t="shared" si="58"/>
        <v>1096.7646827458257</v>
      </c>
      <c r="U185" s="1096">
        <f t="shared" si="59"/>
        <v>55574918</v>
      </c>
      <c r="V185" s="1102">
        <f t="shared" si="60"/>
        <v>0.15757306779550487</v>
      </c>
      <c r="W185" s="1098">
        <v>25830</v>
      </c>
      <c r="X185" s="1106">
        <f t="shared" si="67"/>
        <v>13594.773519163764</v>
      </c>
      <c r="Y185" s="1106">
        <f t="shared" si="68"/>
        <v>13654.394115369725</v>
      </c>
      <c r="Z185" s="1106">
        <f t="shared" si="69"/>
        <v>2151.5647696476963</v>
      </c>
      <c r="AA185" s="1106">
        <f t="shared" si="70"/>
        <v>11443.208749516067</v>
      </c>
      <c r="AC185" s="1098">
        <f t="shared" si="55"/>
        <v>1235.8885017421603</v>
      </c>
      <c r="AD185" s="1054">
        <f t="shared" si="56"/>
        <v>1235.8885017421603</v>
      </c>
    </row>
    <row r="186" spans="1:30" hidden="1" x14ac:dyDescent="0.35">
      <c r="A186" s="179">
        <v>4</v>
      </c>
      <c r="B186" s="880" t="s">
        <v>22</v>
      </c>
      <c r="C186" s="986" t="s">
        <v>129</v>
      </c>
      <c r="D186" s="83" t="s">
        <v>510</v>
      </c>
      <c r="E186" s="399" t="str">
        <f>VLOOKUP(F186,'Quy đổi'!A:D,4,0)</f>
        <v>rPET</v>
      </c>
      <c r="F186" s="986" t="s">
        <v>127</v>
      </c>
      <c r="G186" s="82" t="s">
        <v>114</v>
      </c>
      <c r="H186" s="257" t="str">
        <f>IFERROR(VLOOKUP(F186,'Quy đổi'!A:C,3,0),"-")</f>
        <v>iSS01084G</v>
      </c>
      <c r="I186" s="1098">
        <v>44000</v>
      </c>
      <c r="J186" s="1098">
        <v>1566767400</v>
      </c>
      <c r="K186" s="1098">
        <v>1543435575</v>
      </c>
      <c r="L186" s="1056">
        <f>I186*160</f>
        <v>7040000</v>
      </c>
      <c r="O186" s="1097">
        <f t="shared" si="50"/>
        <v>1536395575</v>
      </c>
      <c r="P186" s="1096">
        <f t="shared" si="65"/>
        <v>34918.081250000003</v>
      </c>
      <c r="Q186" s="1096">
        <f t="shared" si="66"/>
        <v>1351.8420925280684</v>
      </c>
      <c r="R186" s="1099">
        <v>1169294950</v>
      </c>
      <c r="S186" s="1096">
        <f t="shared" si="57"/>
        <v>26574.885227272727</v>
      </c>
      <c r="T186" s="1096">
        <f t="shared" si="58"/>
        <v>1084.6891929499072</v>
      </c>
      <c r="U186" s="1096">
        <f t="shared" si="59"/>
        <v>367100625</v>
      </c>
      <c r="V186" s="1102">
        <f t="shared" si="60"/>
        <v>0.23784641934277043</v>
      </c>
      <c r="W186" s="1098">
        <v>25830</v>
      </c>
      <c r="X186" s="1106">
        <f t="shared" si="67"/>
        <v>59481.052071234997</v>
      </c>
      <c r="Y186" s="1106">
        <f t="shared" si="68"/>
        <v>59753.60336817654</v>
      </c>
      <c r="Z186" s="1106">
        <f t="shared" si="69"/>
        <v>14212.180603948897</v>
      </c>
      <c r="AA186" s="1106">
        <f t="shared" si="70"/>
        <v>45268.871467286102</v>
      </c>
      <c r="AC186" s="1098">
        <f t="shared" si="55"/>
        <v>1351.8420925280682</v>
      </c>
      <c r="AD186" s="1054">
        <f t="shared" si="56"/>
        <v>1351.8420925280682</v>
      </c>
    </row>
    <row r="187" spans="1:30" hidden="1" x14ac:dyDescent="0.35">
      <c r="A187" s="179">
        <v>4</v>
      </c>
      <c r="B187" s="880" t="s">
        <v>22</v>
      </c>
      <c r="C187" s="986" t="s">
        <v>710</v>
      </c>
      <c r="D187" s="83" t="s">
        <v>711</v>
      </c>
      <c r="E187" s="399" t="str">
        <f>VLOOKUP(F187,'Quy đổi'!A:D,4,0)</f>
        <v>rHDPE ép</v>
      </c>
      <c r="F187" s="986" t="s">
        <v>37</v>
      </c>
      <c r="G187" s="82" t="s">
        <v>36</v>
      </c>
      <c r="H187" s="257" t="str">
        <f>IFERROR(VLOOKUP(F187,'Quy đổi'!A:C,3,0),"-")</f>
        <v>Vảy HD Ép Đỏ</v>
      </c>
      <c r="I187" s="1098">
        <v>25</v>
      </c>
      <c r="J187" s="1098">
        <v>375000</v>
      </c>
      <c r="K187" s="1098">
        <v>375000</v>
      </c>
      <c r="O187" s="1097">
        <f t="shared" si="50"/>
        <v>375000</v>
      </c>
      <c r="P187" s="1096">
        <f t="shared" si="65"/>
        <v>15000</v>
      </c>
      <c r="Q187" s="1096">
        <f t="shared" si="66"/>
        <v>580.72009291521488</v>
      </c>
      <c r="R187" s="1099">
        <v>697841</v>
      </c>
      <c r="S187" s="1096">
        <f t="shared" si="57"/>
        <v>27913.64</v>
      </c>
      <c r="T187" s="1096">
        <f t="shared" si="58"/>
        <v>1139.3322448979591</v>
      </c>
      <c r="U187" s="1096">
        <f t="shared" si="59"/>
        <v>-322841</v>
      </c>
      <c r="V187" s="1102">
        <f t="shared" si="60"/>
        <v>-0.8609093333333333</v>
      </c>
      <c r="W187" s="1098">
        <v>25830</v>
      </c>
      <c r="X187" s="1106">
        <f t="shared" si="67"/>
        <v>14.518002322880372</v>
      </c>
      <c r="Y187" s="1106">
        <f t="shared" si="68"/>
        <v>14.518002322880372</v>
      </c>
      <c r="Z187" s="1106">
        <f t="shared" si="69"/>
        <v>-12.498683701122726</v>
      </c>
      <c r="AA187" s="1106">
        <f t="shared" si="70"/>
        <v>27.016686024003096</v>
      </c>
      <c r="AC187" s="1098">
        <f t="shared" si="55"/>
        <v>580.72009291521488</v>
      </c>
      <c r="AD187" s="1054">
        <f t="shared" si="56"/>
        <v>580.72009291521488</v>
      </c>
    </row>
    <row r="188" spans="1:30" hidden="1" x14ac:dyDescent="0.35">
      <c r="A188" s="179">
        <v>4</v>
      </c>
      <c r="B188" s="880" t="s">
        <v>22</v>
      </c>
      <c r="C188" s="986" t="s">
        <v>710</v>
      </c>
      <c r="D188" s="83" t="s">
        <v>711</v>
      </c>
      <c r="E188" s="399" t="str">
        <f>VLOOKUP(F188,'Quy đổi'!A:D,4,0)</f>
        <v>rHDPE ép</v>
      </c>
      <c r="F188" s="986" t="s">
        <v>536</v>
      </c>
      <c r="G188" s="82" t="s">
        <v>537</v>
      </c>
      <c r="H188" s="257" t="str">
        <f>IFERROR(VLOOKUP(F188,'Quy đổi'!A:C,3,0),"-")</f>
        <v>Vảy HD Ép Trắng</v>
      </c>
      <c r="I188" s="1098">
        <v>25</v>
      </c>
      <c r="J188" s="1098">
        <v>375000</v>
      </c>
      <c r="K188" s="1098">
        <v>375000</v>
      </c>
      <c r="O188" s="1097">
        <f t="shared" si="50"/>
        <v>375000</v>
      </c>
      <c r="P188" s="1096">
        <f t="shared" si="65"/>
        <v>15000</v>
      </c>
      <c r="Q188" s="1096">
        <f t="shared" si="66"/>
        <v>580.72009291521488</v>
      </c>
      <c r="R188" s="1099">
        <v>601360</v>
      </c>
      <c r="S188" s="1096">
        <f t="shared" si="57"/>
        <v>24054.400000000001</v>
      </c>
      <c r="T188" s="1096">
        <f t="shared" si="58"/>
        <v>981.8122448979592</v>
      </c>
      <c r="U188" s="1096">
        <f t="shared" si="59"/>
        <v>-226360</v>
      </c>
      <c r="V188" s="1102">
        <f t="shared" si="60"/>
        <v>-0.60362666666666664</v>
      </c>
      <c r="W188" s="1098">
        <v>25830</v>
      </c>
      <c r="X188" s="1106">
        <f t="shared" si="67"/>
        <v>14.518002322880372</v>
      </c>
      <c r="Y188" s="1106">
        <f t="shared" si="68"/>
        <v>14.518002322880372</v>
      </c>
      <c r="Z188" s="1106">
        <f t="shared" si="69"/>
        <v>-8.763453348819203</v>
      </c>
      <c r="AA188" s="1106">
        <f t="shared" si="70"/>
        <v>23.281455671699575</v>
      </c>
      <c r="AC188" s="1098">
        <f t="shared" si="55"/>
        <v>580.72009291521488</v>
      </c>
      <c r="AD188" s="1054">
        <f t="shared" si="56"/>
        <v>580.72009291521488</v>
      </c>
    </row>
    <row r="189" spans="1:30" hidden="1" x14ac:dyDescent="0.35">
      <c r="A189" s="179">
        <v>4</v>
      </c>
      <c r="B189" s="880" t="s">
        <v>22</v>
      </c>
      <c r="C189" s="986" t="s">
        <v>710</v>
      </c>
      <c r="D189" s="83" t="s">
        <v>711</v>
      </c>
      <c r="E189" s="399" t="str">
        <f>VLOOKUP(F189,'Quy đổi'!A:D,4,0)</f>
        <v>rHDPE ép</v>
      </c>
      <c r="F189" s="986" t="s">
        <v>39</v>
      </c>
      <c r="G189" s="82" t="s">
        <v>38</v>
      </c>
      <c r="H189" s="257" t="str">
        <f>IFERROR(VLOOKUP(F189,'Quy đổi'!A:C,3,0),"-")</f>
        <v>Vảy HD Ép Vàng</v>
      </c>
      <c r="I189" s="1098">
        <v>25</v>
      </c>
      <c r="J189" s="1098">
        <v>375000</v>
      </c>
      <c r="K189" s="1098">
        <v>375000</v>
      </c>
      <c r="O189" s="1097">
        <f t="shared" si="50"/>
        <v>375000</v>
      </c>
      <c r="P189" s="1096">
        <f t="shared" si="65"/>
        <v>15000</v>
      </c>
      <c r="Q189" s="1096">
        <f t="shared" si="66"/>
        <v>580.72009291521488</v>
      </c>
      <c r="R189" s="1099">
        <v>627279</v>
      </c>
      <c r="S189" s="1096">
        <f t="shared" si="57"/>
        <v>25091.16</v>
      </c>
      <c r="T189" s="1096">
        <f t="shared" si="58"/>
        <v>1024.1289795918367</v>
      </c>
      <c r="U189" s="1096">
        <f t="shared" si="59"/>
        <v>-252279</v>
      </c>
      <c r="V189" s="1102">
        <f t="shared" si="60"/>
        <v>-0.67274400000000001</v>
      </c>
      <c r="W189" s="1098">
        <v>25830</v>
      </c>
      <c r="X189" s="1106">
        <f t="shared" si="67"/>
        <v>14.518002322880372</v>
      </c>
      <c r="Y189" s="1106">
        <f t="shared" si="68"/>
        <v>14.518002322880372</v>
      </c>
      <c r="Z189" s="1106">
        <f t="shared" si="69"/>
        <v>-9.7668989547038336</v>
      </c>
      <c r="AA189" s="1106">
        <f t="shared" si="70"/>
        <v>24.284901277584204</v>
      </c>
      <c r="AC189" s="1098">
        <f t="shared" si="55"/>
        <v>580.72009291521488</v>
      </c>
      <c r="AD189" s="1054">
        <f t="shared" si="56"/>
        <v>580.72009291521488</v>
      </c>
    </row>
    <row r="190" spans="1:30" hidden="1" x14ac:dyDescent="0.35">
      <c r="A190" s="179">
        <v>4</v>
      </c>
      <c r="B190" s="880" t="s">
        <v>22</v>
      </c>
      <c r="C190" s="986" t="s">
        <v>710</v>
      </c>
      <c r="D190" s="83" t="s">
        <v>711</v>
      </c>
      <c r="E190" s="399" t="str">
        <f>VLOOKUP(F190,'Quy đổi'!A:D,4,0)</f>
        <v>rHDPE ép</v>
      </c>
      <c r="F190" s="986" t="s">
        <v>41</v>
      </c>
      <c r="G190" s="82" t="s">
        <v>40</v>
      </c>
      <c r="H190" s="257" t="str">
        <f>IFERROR(VLOOKUP(F190,'Quy đổi'!A:C,3,0),"-")</f>
        <v>Vảy HD Ép Lá</v>
      </c>
      <c r="I190" s="1098">
        <v>25</v>
      </c>
      <c r="J190" s="1098">
        <v>375000</v>
      </c>
      <c r="K190" s="1098">
        <v>375000</v>
      </c>
      <c r="O190" s="1097">
        <f t="shared" si="50"/>
        <v>375000</v>
      </c>
      <c r="P190" s="1096">
        <f t="shared" si="65"/>
        <v>15000</v>
      </c>
      <c r="Q190" s="1096">
        <f t="shared" si="66"/>
        <v>580.72009291521488</v>
      </c>
      <c r="R190" s="1099">
        <v>622352</v>
      </c>
      <c r="S190" s="1096">
        <f t="shared" si="57"/>
        <v>24894.080000000002</v>
      </c>
      <c r="T190" s="1096">
        <f t="shared" si="58"/>
        <v>1016.0848979591838</v>
      </c>
      <c r="U190" s="1096">
        <f t="shared" si="59"/>
        <v>-247352</v>
      </c>
      <c r="V190" s="1102">
        <f t="shared" si="60"/>
        <v>-0.65960533333333338</v>
      </c>
      <c r="W190" s="1098">
        <v>25830</v>
      </c>
      <c r="X190" s="1106">
        <f t="shared" si="67"/>
        <v>14.518002322880372</v>
      </c>
      <c r="Y190" s="1106">
        <f t="shared" si="68"/>
        <v>14.518002322880372</v>
      </c>
      <c r="Z190" s="1106">
        <f t="shared" si="69"/>
        <v>-9.5761517615176146</v>
      </c>
      <c r="AA190" s="1106">
        <f t="shared" si="70"/>
        <v>24.094154084397985</v>
      </c>
      <c r="AC190" s="1098">
        <f t="shared" si="55"/>
        <v>580.72009291521488</v>
      </c>
      <c r="AD190" s="1054">
        <f t="shared" si="56"/>
        <v>580.72009291521488</v>
      </c>
    </row>
    <row r="191" spans="1:30" hidden="1" x14ac:dyDescent="0.35">
      <c r="A191" s="179">
        <v>4</v>
      </c>
      <c r="B191" s="880" t="s">
        <v>22</v>
      </c>
      <c r="C191" s="986" t="s">
        <v>710</v>
      </c>
      <c r="D191" s="83" t="s">
        <v>711</v>
      </c>
      <c r="E191" s="399" t="str">
        <f>VLOOKUP(F191,'Quy đổi'!A:D,4,0)</f>
        <v>rHDPE ép</v>
      </c>
      <c r="F191" s="986" t="s">
        <v>43</v>
      </c>
      <c r="G191" s="82" t="s">
        <v>42</v>
      </c>
      <c r="H191" s="257" t="str">
        <f>IFERROR(VLOOKUP(F191,'Quy đổi'!A:C,3,0),"-")</f>
        <v>Vảy HD Ép dương</v>
      </c>
      <c r="I191" s="1098">
        <v>25</v>
      </c>
      <c r="J191" s="1098">
        <v>375000</v>
      </c>
      <c r="K191" s="1098">
        <v>375000</v>
      </c>
      <c r="O191" s="1097">
        <f t="shared" si="50"/>
        <v>375000</v>
      </c>
      <c r="P191" s="1096">
        <f t="shared" si="65"/>
        <v>15000</v>
      </c>
      <c r="Q191" s="1096">
        <f t="shared" si="66"/>
        <v>580.72009291521488</v>
      </c>
      <c r="R191" s="1099">
        <v>625515</v>
      </c>
      <c r="S191" s="1096">
        <f t="shared" si="57"/>
        <v>25020.6</v>
      </c>
      <c r="T191" s="1096">
        <f t="shared" si="58"/>
        <v>1021.2489795918367</v>
      </c>
      <c r="U191" s="1096">
        <f t="shared" si="59"/>
        <v>-250515</v>
      </c>
      <c r="V191" s="1102">
        <f t="shared" si="60"/>
        <v>-0.66803999999999997</v>
      </c>
      <c r="W191" s="1098">
        <v>25830</v>
      </c>
      <c r="X191" s="1106">
        <f t="shared" si="67"/>
        <v>14.518002322880372</v>
      </c>
      <c r="Y191" s="1106">
        <f t="shared" si="68"/>
        <v>14.518002322880372</v>
      </c>
      <c r="Z191" s="1106">
        <f t="shared" si="69"/>
        <v>-9.6986062717770043</v>
      </c>
      <c r="AA191" s="1106">
        <f t="shared" si="70"/>
        <v>24.216608594657377</v>
      </c>
      <c r="AC191" s="1098">
        <f t="shared" si="55"/>
        <v>580.72009291521488</v>
      </c>
      <c r="AD191" s="1054">
        <f t="shared" si="56"/>
        <v>580.72009291521488</v>
      </c>
    </row>
    <row r="192" spans="1:30" hidden="1" x14ac:dyDescent="0.35">
      <c r="A192" s="179">
        <v>4</v>
      </c>
      <c r="B192" s="880" t="s">
        <v>22</v>
      </c>
      <c r="C192" s="986" t="s">
        <v>710</v>
      </c>
      <c r="D192" s="83" t="s">
        <v>711</v>
      </c>
      <c r="E192" s="399" t="str">
        <f>VLOOKUP(F192,'Quy đổi'!A:D,4,0)</f>
        <v>rHDPE ép</v>
      </c>
      <c r="F192" s="986" t="s">
        <v>657</v>
      </c>
      <c r="G192" s="82" t="s">
        <v>658</v>
      </c>
      <c r="H192" s="257" t="str">
        <f>IFERROR(VLOOKUP(F192,'Quy đổi'!A:C,3,0),"-")</f>
        <v>Vảy HD Ép Đen</v>
      </c>
      <c r="I192" s="1098">
        <v>25</v>
      </c>
      <c r="J192" s="1098">
        <v>375000</v>
      </c>
      <c r="K192" s="1098">
        <v>375000</v>
      </c>
      <c r="O192" s="1097">
        <f t="shared" si="50"/>
        <v>375000</v>
      </c>
      <c r="P192" s="1096">
        <f t="shared" si="65"/>
        <v>15000</v>
      </c>
      <c r="Q192" s="1096">
        <f t="shared" si="66"/>
        <v>580.72009291521488</v>
      </c>
      <c r="R192" s="1099">
        <v>524982</v>
      </c>
      <c r="S192" s="1096">
        <f t="shared" si="57"/>
        <v>20999.279999999999</v>
      </c>
      <c r="T192" s="1096">
        <f t="shared" si="58"/>
        <v>857.113469387755</v>
      </c>
      <c r="U192" s="1096">
        <f t="shared" si="59"/>
        <v>-149982</v>
      </c>
      <c r="V192" s="1102">
        <f t="shared" si="60"/>
        <v>-0.39995199999999997</v>
      </c>
      <c r="W192" s="1098">
        <v>25830</v>
      </c>
      <c r="X192" s="1106">
        <f t="shared" si="67"/>
        <v>14.518002322880372</v>
      </c>
      <c r="Y192" s="1106">
        <f t="shared" si="68"/>
        <v>14.518002322880372</v>
      </c>
      <c r="Z192" s="1106">
        <f t="shared" si="69"/>
        <v>-5.8065040650406505</v>
      </c>
      <c r="AA192" s="1106">
        <f t="shared" si="70"/>
        <v>20.324506387921023</v>
      </c>
      <c r="AC192" s="1098">
        <f t="shared" si="55"/>
        <v>580.72009291521488</v>
      </c>
      <c r="AD192" s="1054">
        <f t="shared" si="56"/>
        <v>580.72009291521488</v>
      </c>
    </row>
    <row r="193" spans="1:30" hidden="1" x14ac:dyDescent="0.35">
      <c r="A193" s="179">
        <v>4</v>
      </c>
      <c r="B193" s="880" t="s">
        <v>22</v>
      </c>
      <c r="C193" s="986" t="s">
        <v>710</v>
      </c>
      <c r="D193" s="83" t="s">
        <v>711</v>
      </c>
      <c r="E193" s="399" t="str">
        <f>VLOOKUP(F193,'Quy đổi'!A:D,4,0)</f>
        <v>rHDPE ép</v>
      </c>
      <c r="F193" s="986" t="s">
        <v>653</v>
      </c>
      <c r="G193" s="82" t="s">
        <v>654</v>
      </c>
      <c r="H193" s="257" t="str">
        <f>IFERROR(VLOOKUP(F193,'Quy đổi'!A:C,3,0),"-")</f>
        <v>Vảy HD Ép Đồng</v>
      </c>
      <c r="I193" s="1098">
        <v>25</v>
      </c>
      <c r="J193" s="1098">
        <v>375000</v>
      </c>
      <c r="K193" s="1098">
        <v>375000</v>
      </c>
      <c r="O193" s="1097">
        <f t="shared" si="50"/>
        <v>375000</v>
      </c>
      <c r="P193" s="1096">
        <f t="shared" si="65"/>
        <v>15000</v>
      </c>
      <c r="Q193" s="1096">
        <f t="shared" si="66"/>
        <v>580.72009291521488</v>
      </c>
      <c r="R193" s="1099">
        <v>437576</v>
      </c>
      <c r="S193" s="1096">
        <f t="shared" si="57"/>
        <v>17503.04</v>
      </c>
      <c r="T193" s="1096">
        <f t="shared" si="58"/>
        <v>714.40979591836742</v>
      </c>
      <c r="U193" s="1096">
        <f t="shared" si="59"/>
        <v>-62576</v>
      </c>
      <c r="V193" s="1102">
        <f t="shared" si="60"/>
        <v>-0.16686933333333334</v>
      </c>
      <c r="W193" s="1098">
        <v>25830</v>
      </c>
      <c r="X193" s="1106">
        <f t="shared" si="67"/>
        <v>14.518002322880372</v>
      </c>
      <c r="Y193" s="1106">
        <f t="shared" si="68"/>
        <v>14.518002322880372</v>
      </c>
      <c r="Z193" s="1106">
        <f t="shared" si="69"/>
        <v>-2.4226093689508326</v>
      </c>
      <c r="AA193" s="1106">
        <f t="shared" si="70"/>
        <v>16.940611691831204</v>
      </c>
      <c r="AC193" s="1098">
        <f t="shared" si="55"/>
        <v>580.72009291521488</v>
      </c>
      <c r="AD193" s="1054">
        <f t="shared" si="56"/>
        <v>580.72009291521488</v>
      </c>
    </row>
    <row r="194" spans="1:30" hidden="1" x14ac:dyDescent="0.35">
      <c r="A194" s="179">
        <v>4</v>
      </c>
      <c r="B194" s="880" t="s">
        <v>22</v>
      </c>
      <c r="C194" s="986" t="s">
        <v>77</v>
      </c>
      <c r="D194" s="83" t="s">
        <v>76</v>
      </c>
      <c r="E194" s="399" t="str">
        <f>VLOOKUP(F194,'Quy đổi'!A:D,4,0)</f>
        <v>rHDPE thổi</v>
      </c>
      <c r="F194" s="986" t="s">
        <v>69</v>
      </c>
      <c r="G194" s="82" t="s">
        <v>68</v>
      </c>
      <c r="H194" s="257" t="str">
        <f>IFERROR(VLOOKUP(F194,'Quy đổi'!A:C,3,0),"-")</f>
        <v>MBF01</v>
      </c>
      <c r="I194" s="1098">
        <v>24750</v>
      </c>
      <c r="J194" s="1098">
        <v>900108000</v>
      </c>
      <c r="K194" s="1098">
        <v>900108000</v>
      </c>
      <c r="L194" s="1056">
        <v>19444444.444444444</v>
      </c>
      <c r="O194" s="1097">
        <f t="shared" si="50"/>
        <v>880663555.55555558</v>
      </c>
      <c r="P194" s="1096">
        <f t="shared" si="65"/>
        <v>35582.365881032551</v>
      </c>
      <c r="Q194" s="1096">
        <f t="shared" si="66"/>
        <v>1377.559654705093</v>
      </c>
      <c r="R194" s="1099">
        <v>689780727</v>
      </c>
      <c r="S194" s="1096">
        <f t="shared" si="57"/>
        <v>27869.928363636365</v>
      </c>
      <c r="T194" s="1096">
        <f t="shared" si="58"/>
        <v>1137.5480964749536</v>
      </c>
      <c r="U194" s="1096">
        <f t="shared" si="59"/>
        <v>190882828.55555558</v>
      </c>
      <c r="V194" s="1102">
        <f t="shared" si="60"/>
        <v>0.2120665837383465</v>
      </c>
      <c r="W194" s="1098">
        <v>25830</v>
      </c>
      <c r="X194" s="1106">
        <f t="shared" si="67"/>
        <v>34094.601453951051</v>
      </c>
      <c r="Y194" s="1106">
        <f t="shared" si="68"/>
        <v>34847.386759581881</v>
      </c>
      <c r="Z194" s="1106">
        <f t="shared" si="69"/>
        <v>7389.9662623134182</v>
      </c>
      <c r="AA194" s="1106">
        <f t="shared" si="70"/>
        <v>26704.63519163763</v>
      </c>
      <c r="AC194" s="1098">
        <f t="shared" si="55"/>
        <v>1377.559654705093</v>
      </c>
      <c r="AD194" s="1054">
        <f t="shared" si="56"/>
        <v>1377.559654705093</v>
      </c>
    </row>
    <row r="195" spans="1:30" hidden="1" x14ac:dyDescent="0.35">
      <c r="A195" s="179">
        <v>4</v>
      </c>
      <c r="C195" s="986" t="s">
        <v>635</v>
      </c>
      <c r="D195" s="83" t="s">
        <v>636</v>
      </c>
      <c r="E195" s="399" t="str">
        <f>VLOOKUP(F195,'Quy đổi'!A:D,4,0)</f>
        <v>Dây đai</v>
      </c>
      <c r="F195" s="986" t="s">
        <v>649</v>
      </c>
      <c r="G195" s="82" t="s">
        <v>650</v>
      </c>
      <c r="H195" s="257">
        <f>IFERROR(VLOOKUP(F195,'Quy đổi'!A:C,3,0),"-")</f>
        <v>0</v>
      </c>
      <c r="I195" s="1098">
        <v>120000</v>
      </c>
      <c r="J195" s="1098">
        <v>2242500000</v>
      </c>
      <c r="K195" s="1098">
        <v>2242500000</v>
      </c>
      <c r="M195" s="1056">
        <v>164250000</v>
      </c>
      <c r="O195" s="1097">
        <f t="shared" si="50"/>
        <v>2078250000</v>
      </c>
      <c r="P195" s="1096">
        <f t="shared" si="65"/>
        <v>17318.75</v>
      </c>
      <c r="Q195" s="1096">
        <f t="shared" si="66"/>
        <v>670.4897406116919</v>
      </c>
      <c r="R195" s="1099">
        <v>2404187840</v>
      </c>
      <c r="S195" s="1096">
        <f t="shared" si="57"/>
        <v>20034.898666666668</v>
      </c>
      <c r="T195" s="1096">
        <f t="shared" si="58"/>
        <v>817.75096598639459</v>
      </c>
      <c r="U195" s="1096">
        <f t="shared" si="59"/>
        <v>-325937840</v>
      </c>
      <c r="V195" s="1102">
        <f t="shared" si="60"/>
        <v>-0.1453457480490524</v>
      </c>
      <c r="W195" s="1098">
        <v>25830</v>
      </c>
      <c r="X195" s="1106">
        <f t="shared" si="67"/>
        <v>80458.768873403023</v>
      </c>
      <c r="Y195" s="1106">
        <f t="shared" si="68"/>
        <v>86817.653890824629</v>
      </c>
      <c r="Z195" s="1106">
        <f t="shared" si="69"/>
        <v>-12618.576848625629</v>
      </c>
      <c r="AA195" s="1106">
        <f t="shared" si="70"/>
        <v>93077.345722028651</v>
      </c>
      <c r="AC195" s="1098">
        <f t="shared" si="55"/>
        <v>670.4897406116919</v>
      </c>
      <c r="AD195" s="1054">
        <f t="shared" si="56"/>
        <v>670.4897406116919</v>
      </c>
    </row>
    <row r="196" spans="1:30" hidden="1" x14ac:dyDescent="0.35">
      <c r="A196" s="179">
        <v>4</v>
      </c>
      <c r="B196" s="880" t="s">
        <v>22</v>
      </c>
      <c r="C196" s="986" t="s">
        <v>21</v>
      </c>
      <c r="D196" s="83" t="s">
        <v>20</v>
      </c>
      <c r="E196" s="399" t="str">
        <f>VLOOKUP(F196,'Quy đổi'!A:D,4,0)</f>
        <v>rPP</v>
      </c>
      <c r="F196" s="986" t="s">
        <v>538</v>
      </c>
      <c r="G196" s="82" t="s">
        <v>539</v>
      </c>
      <c r="H196" s="257" t="str">
        <f>IFERROR(VLOOKUP(F196,'Quy đổi'!A:C,3,0),"-")</f>
        <v>rPP20R02</v>
      </c>
      <c r="I196" s="1098">
        <v>6375</v>
      </c>
      <c r="J196" s="1098">
        <v>123958333</v>
      </c>
      <c r="K196" s="1098">
        <v>123958333</v>
      </c>
      <c r="O196" s="1097">
        <f t="shared" si="50"/>
        <v>123958333</v>
      </c>
      <c r="P196" s="1096">
        <f t="shared" si="65"/>
        <v>19444.444392156864</v>
      </c>
      <c r="Q196" s="1096">
        <f t="shared" si="66"/>
        <v>752.78530360653747</v>
      </c>
      <c r="R196" s="1099">
        <v>163843228</v>
      </c>
      <c r="S196" s="1096">
        <f t="shared" si="57"/>
        <v>25700.898509803923</v>
      </c>
      <c r="T196" s="1096">
        <f t="shared" si="58"/>
        <v>1049.0162657062826</v>
      </c>
      <c r="U196" s="1096">
        <f t="shared" si="59"/>
        <v>-39884895</v>
      </c>
      <c r="V196" s="1102">
        <f t="shared" si="60"/>
        <v>-0.32176049834422993</v>
      </c>
      <c r="W196" s="1098">
        <v>25830</v>
      </c>
      <c r="X196" s="1106">
        <f t="shared" si="67"/>
        <v>4799.0063104916762</v>
      </c>
      <c r="Y196" s="1106">
        <f t="shared" si="68"/>
        <v>4799.0063104916762</v>
      </c>
      <c r="Z196" s="1106">
        <f t="shared" si="69"/>
        <v>-1544.1306620209059</v>
      </c>
      <c r="AA196" s="1106">
        <f t="shared" si="70"/>
        <v>6343.1369725125824</v>
      </c>
      <c r="AC196" s="1098">
        <f t="shared" si="55"/>
        <v>752.78530360653735</v>
      </c>
      <c r="AD196" s="1054">
        <f t="shared" si="56"/>
        <v>752.78530360653735</v>
      </c>
    </row>
    <row r="197" spans="1:30" hidden="1" x14ac:dyDescent="0.35">
      <c r="A197" s="179">
        <v>4</v>
      </c>
      <c r="B197" s="880" t="s">
        <v>22</v>
      </c>
      <c r="C197" s="986" t="s">
        <v>82</v>
      </c>
      <c r="D197" s="83" t="s">
        <v>81</v>
      </c>
      <c r="E197" s="399" t="str">
        <f>VLOOKUP(F197,'Quy đổi'!A:D,4,0)</f>
        <v>rHDPE thổi</v>
      </c>
      <c r="F197" s="986" t="s">
        <v>69</v>
      </c>
      <c r="G197" s="82" t="s">
        <v>68</v>
      </c>
      <c r="H197" s="257" t="str">
        <f>IFERROR(VLOOKUP(F197,'Quy đổi'!A:C,3,0),"-")</f>
        <v>MBF01</v>
      </c>
      <c r="I197" s="1098">
        <v>22000</v>
      </c>
      <c r="J197" s="1098">
        <v>761805000</v>
      </c>
      <c r="K197" s="1098">
        <v>761805000</v>
      </c>
      <c r="O197" s="1097">
        <f t="shared" si="50"/>
        <v>761805000</v>
      </c>
      <c r="P197" s="1096">
        <f t="shared" si="65"/>
        <v>34627.5</v>
      </c>
      <c r="Q197" s="1096">
        <f t="shared" si="66"/>
        <v>1340.5923344947735</v>
      </c>
      <c r="R197" s="1099">
        <v>613138424</v>
      </c>
      <c r="S197" s="1096">
        <f t="shared" si="57"/>
        <v>27869.928363636365</v>
      </c>
      <c r="T197" s="1096">
        <f t="shared" si="58"/>
        <v>1137.5480964749536</v>
      </c>
      <c r="U197" s="1096">
        <f t="shared" si="59"/>
        <v>148666576</v>
      </c>
      <c r="V197" s="1102">
        <f t="shared" si="60"/>
        <v>0.1951504335098877</v>
      </c>
      <c r="W197" s="1098">
        <v>25830</v>
      </c>
      <c r="X197" s="1106">
        <f t="shared" si="67"/>
        <v>29493.031358885019</v>
      </c>
      <c r="Y197" s="1106">
        <f t="shared" si="68"/>
        <v>29493.031358885019</v>
      </c>
      <c r="Z197" s="1106">
        <f t="shared" si="69"/>
        <v>5755.5778552071233</v>
      </c>
      <c r="AA197" s="1106">
        <f t="shared" si="70"/>
        <v>23737.453503677894</v>
      </c>
      <c r="AC197" s="1098">
        <f t="shared" si="55"/>
        <v>1340.5923344947737</v>
      </c>
      <c r="AD197" s="1054">
        <f t="shared" si="56"/>
        <v>1340.5923344947737</v>
      </c>
    </row>
    <row r="198" spans="1:30" hidden="1" x14ac:dyDescent="0.35">
      <c r="A198" s="179">
        <v>4</v>
      </c>
      <c r="B198" s="880" t="s">
        <v>22</v>
      </c>
      <c r="C198" s="986" t="s">
        <v>82</v>
      </c>
      <c r="D198" s="83" t="s">
        <v>81</v>
      </c>
      <c r="E198" s="399" t="str">
        <f>VLOOKUP(F198,'Quy đổi'!A:D,4,0)</f>
        <v>rHDPE thổi</v>
      </c>
      <c r="F198" s="986" t="s">
        <v>75</v>
      </c>
      <c r="G198" s="82" t="s">
        <v>74</v>
      </c>
      <c r="H198" s="257" t="str">
        <f>IFERROR(VLOOKUP(F198,'Quy đổi'!A:C,3,0),"-")</f>
        <v>HCBF-Yel-U</v>
      </c>
      <c r="I198" s="1098">
        <v>22000</v>
      </c>
      <c r="J198" s="1098">
        <v>733590000</v>
      </c>
      <c r="K198" s="1098">
        <v>733590000</v>
      </c>
      <c r="O198" s="1097">
        <f t="shared" ref="O198:O261" si="71">K198-SUM(L198:N198)</f>
        <v>733590000</v>
      </c>
      <c r="P198" s="1096">
        <f t="shared" si="65"/>
        <v>33345</v>
      </c>
      <c r="Q198" s="1096">
        <f t="shared" si="66"/>
        <v>1290.9407665505225</v>
      </c>
      <c r="R198" s="1099">
        <v>598954874</v>
      </c>
      <c r="S198" s="1096">
        <f t="shared" si="57"/>
        <v>27225.221545454544</v>
      </c>
      <c r="T198" s="1096">
        <f t="shared" si="58"/>
        <v>1111.2335324675323</v>
      </c>
      <c r="U198" s="1096">
        <f t="shared" si="59"/>
        <v>134635126</v>
      </c>
      <c r="V198" s="1102">
        <f t="shared" si="60"/>
        <v>0.18352911844490791</v>
      </c>
      <c r="W198" s="1098">
        <v>25830</v>
      </c>
      <c r="X198" s="1106">
        <f t="shared" si="67"/>
        <v>28400.696864111498</v>
      </c>
      <c r="Y198" s="1106">
        <f t="shared" si="68"/>
        <v>28400.696864111498</v>
      </c>
      <c r="Z198" s="1106">
        <f t="shared" si="69"/>
        <v>5212.354858691444</v>
      </c>
      <c r="AA198" s="1106">
        <f t="shared" si="70"/>
        <v>23188.342005420054</v>
      </c>
      <c r="AC198" s="1098">
        <f t="shared" si="55"/>
        <v>1290.9407665505225</v>
      </c>
      <c r="AD198" s="1054">
        <f t="shared" si="56"/>
        <v>1290.9407665505225</v>
      </c>
    </row>
    <row r="199" spans="1:30" hidden="1" x14ac:dyDescent="0.35">
      <c r="A199" s="179">
        <v>4</v>
      </c>
      <c r="B199" s="880" t="s">
        <v>22</v>
      </c>
      <c r="C199" s="986" t="s">
        <v>82</v>
      </c>
      <c r="D199" s="83" t="s">
        <v>81</v>
      </c>
      <c r="E199" s="399" t="str">
        <f>VLOOKUP(F199,'Quy đổi'!A:D,4,0)</f>
        <v>rHDPE thổi</v>
      </c>
      <c r="F199" s="986" t="s">
        <v>80</v>
      </c>
      <c r="G199" s="82" t="s">
        <v>79</v>
      </c>
      <c r="H199" s="257" t="str">
        <f>IFERROR(VLOOKUP(F199,'Quy đổi'!A:C,3,0),"-")</f>
        <v>PCF01</v>
      </c>
      <c r="I199" s="1098">
        <v>22000</v>
      </c>
      <c r="J199" s="1098">
        <v>761805000</v>
      </c>
      <c r="K199" s="1098">
        <v>761805000</v>
      </c>
      <c r="O199" s="1097">
        <f t="shared" si="71"/>
        <v>761805000</v>
      </c>
      <c r="P199" s="1096">
        <f t="shared" si="65"/>
        <v>34627.5</v>
      </c>
      <c r="Q199" s="1096">
        <f t="shared" si="66"/>
        <v>1340.5923344947735</v>
      </c>
      <c r="R199" s="1099">
        <v>621583720</v>
      </c>
      <c r="S199" s="1096">
        <f t="shared" si="57"/>
        <v>28253.805454545454</v>
      </c>
      <c r="T199" s="1096">
        <f t="shared" si="58"/>
        <v>1153.2165491651206</v>
      </c>
      <c r="U199" s="1096">
        <f t="shared" si="59"/>
        <v>140221280</v>
      </c>
      <c r="V199" s="1102">
        <f t="shared" si="60"/>
        <v>0.18406453094952122</v>
      </c>
      <c r="W199" s="1098">
        <v>25830</v>
      </c>
      <c r="X199" s="1106">
        <f t="shared" si="67"/>
        <v>29493.031358885019</v>
      </c>
      <c r="Y199" s="1106">
        <f t="shared" si="68"/>
        <v>29493.031358885019</v>
      </c>
      <c r="Z199" s="1106">
        <f t="shared" si="69"/>
        <v>5428.6209833526909</v>
      </c>
      <c r="AA199" s="1106">
        <f t="shared" si="70"/>
        <v>24064.410375532327</v>
      </c>
      <c r="AC199" s="1098">
        <f t="shared" si="55"/>
        <v>1340.5923344947737</v>
      </c>
      <c r="AD199" s="1054">
        <f t="shared" si="56"/>
        <v>1340.5923344947737</v>
      </c>
    </row>
    <row r="200" spans="1:30" hidden="1" x14ac:dyDescent="0.35">
      <c r="A200" s="179">
        <v>4</v>
      </c>
      <c r="B200" s="880" t="s">
        <v>22</v>
      </c>
      <c r="C200" s="986" t="s">
        <v>120</v>
      </c>
      <c r="D200" s="83" t="s">
        <v>226</v>
      </c>
      <c r="E200" s="399" t="str">
        <f>VLOOKUP(F200,'Quy đổi'!A:D,4,0)</f>
        <v>rPET</v>
      </c>
      <c r="F200" s="986" t="s">
        <v>127</v>
      </c>
      <c r="G200" s="82" t="s">
        <v>114</v>
      </c>
      <c r="H200" s="257" t="str">
        <f>IFERROR(VLOOKUP(F200,'Quy đổi'!A:C,3,0),"-")</f>
        <v>iSS01084G</v>
      </c>
      <c r="I200" s="1098">
        <v>22000</v>
      </c>
      <c r="J200" s="1098">
        <v>783376000</v>
      </c>
      <c r="K200" s="1098">
        <v>771710087</v>
      </c>
      <c r="L200" s="1056">
        <f>I200*140</f>
        <v>3080000</v>
      </c>
      <c r="O200" s="1097">
        <f t="shared" si="71"/>
        <v>768630087</v>
      </c>
      <c r="P200" s="1096">
        <f t="shared" si="65"/>
        <v>34937.731227272729</v>
      </c>
      <c r="Q200" s="1096">
        <f t="shared" si="66"/>
        <v>1352.6028349699081</v>
      </c>
      <c r="R200" s="1099">
        <v>584647475</v>
      </c>
      <c r="S200" s="1096">
        <f t="shared" si="57"/>
        <v>26574.885227272727</v>
      </c>
      <c r="T200" s="1096">
        <f t="shared" si="58"/>
        <v>1084.6891929499072</v>
      </c>
      <c r="U200" s="1096">
        <f t="shared" si="59"/>
        <v>183982612</v>
      </c>
      <c r="V200" s="1102">
        <f t="shared" si="60"/>
        <v>0.23840897650467022</v>
      </c>
      <c r="W200" s="1098">
        <v>25830</v>
      </c>
      <c r="X200" s="1106">
        <f t="shared" si="67"/>
        <v>29757.262369337979</v>
      </c>
      <c r="Y200" s="1106">
        <f t="shared" si="68"/>
        <v>29876.503561749902</v>
      </c>
      <c r="Z200" s="1106">
        <f t="shared" si="69"/>
        <v>7122.826635694928</v>
      </c>
      <c r="AA200" s="1106">
        <f t="shared" si="70"/>
        <v>22634.435733643051</v>
      </c>
      <c r="AC200" s="1098">
        <f t="shared" si="55"/>
        <v>1352.6028349699081</v>
      </c>
      <c r="AD200" s="1054">
        <f t="shared" si="56"/>
        <v>1352.6028349699081</v>
      </c>
    </row>
    <row r="201" spans="1:30" hidden="1" x14ac:dyDescent="0.35">
      <c r="A201" s="179">
        <v>4</v>
      </c>
      <c r="B201" s="880" t="s">
        <v>22</v>
      </c>
      <c r="C201" s="986" t="s">
        <v>150</v>
      </c>
      <c r="D201" s="83" t="s">
        <v>149</v>
      </c>
      <c r="E201" s="399" t="str">
        <f>VLOOKUP(F201,'Quy đổi'!A:D,4,0)</f>
        <v>rPET</v>
      </c>
      <c r="F201" s="986" t="s">
        <v>110</v>
      </c>
      <c r="G201" s="82" t="s">
        <v>109</v>
      </c>
      <c r="H201" s="257" t="str">
        <f>IFERROR(VLOOKUP(F201,'Quy đổi'!A:C,3,0),"-")</f>
        <v>WSS01G</v>
      </c>
      <c r="I201" s="1098">
        <v>56100</v>
      </c>
      <c r="J201" s="1098">
        <v>1806420000</v>
      </c>
      <c r="K201" s="1098">
        <v>1806420000</v>
      </c>
      <c r="O201" s="1097">
        <f t="shared" si="71"/>
        <v>1806420000</v>
      </c>
      <c r="P201" s="1096">
        <f t="shared" si="65"/>
        <v>32200</v>
      </c>
      <c r="Q201" s="1096">
        <f t="shared" si="66"/>
        <v>1246.6124661246611</v>
      </c>
      <c r="R201" s="1099">
        <v>1507448218</v>
      </c>
      <c r="S201" s="1096">
        <f t="shared" si="57"/>
        <v>26870.734723707665</v>
      </c>
      <c r="T201" s="1096">
        <f t="shared" si="58"/>
        <v>1096.7646826003129</v>
      </c>
      <c r="U201" s="1096">
        <f t="shared" si="59"/>
        <v>298971782</v>
      </c>
      <c r="V201" s="1102">
        <f t="shared" si="60"/>
        <v>0.16550513280410978</v>
      </c>
      <c r="W201" s="1098">
        <v>25830</v>
      </c>
      <c r="X201" s="1106">
        <f t="shared" si="67"/>
        <v>69934.959349593497</v>
      </c>
      <c r="Y201" s="1106">
        <f t="shared" si="68"/>
        <v>69934.959349593497</v>
      </c>
      <c r="Z201" s="1106">
        <f t="shared" si="69"/>
        <v>11574.59473480449</v>
      </c>
      <c r="AA201" s="1106">
        <f t="shared" si="70"/>
        <v>58360.364614789003</v>
      </c>
      <c r="AC201" s="1098">
        <f t="shared" si="55"/>
        <v>1246.6124661246613</v>
      </c>
      <c r="AD201" s="1054">
        <f t="shared" si="56"/>
        <v>1246.6124661246613</v>
      </c>
    </row>
    <row r="202" spans="1:30" hidden="1" x14ac:dyDescent="0.35">
      <c r="A202" s="179">
        <v>4</v>
      </c>
      <c r="B202" s="880" t="s">
        <v>22</v>
      </c>
      <c r="C202" s="986" t="s">
        <v>71</v>
      </c>
      <c r="D202" s="83" t="s">
        <v>70</v>
      </c>
      <c r="E202" s="399" t="str">
        <f>VLOOKUP(F202,'Quy đổi'!A:D,4,0)</f>
        <v>rHDPE thổi</v>
      </c>
      <c r="F202" s="986" t="s">
        <v>187</v>
      </c>
      <c r="G202" s="82" t="s">
        <v>188</v>
      </c>
      <c r="H202" s="257" t="str">
        <f>IFERROR(VLOOKUP(F202,'Quy đổi'!A:C,3,0),"-")</f>
        <v>rHDB03N02</v>
      </c>
      <c r="I202" s="1098">
        <v>11000</v>
      </c>
      <c r="J202" s="1098">
        <v>353787500</v>
      </c>
      <c r="K202" s="1098">
        <v>353787500</v>
      </c>
      <c r="O202" s="1097">
        <f t="shared" si="71"/>
        <v>353787500</v>
      </c>
      <c r="P202" s="1096">
        <f t="shared" si="65"/>
        <v>32162.5</v>
      </c>
      <c r="Q202" s="1096">
        <f t="shared" si="66"/>
        <v>1245.1606658923733</v>
      </c>
      <c r="R202" s="1099">
        <v>444887784</v>
      </c>
      <c r="S202" s="1096">
        <f t="shared" si="57"/>
        <v>40444.343999999997</v>
      </c>
      <c r="T202" s="1096">
        <f t="shared" si="58"/>
        <v>1650.789551020408</v>
      </c>
      <c r="U202" s="1096">
        <f t="shared" si="59"/>
        <v>-91100284</v>
      </c>
      <c r="V202" s="1102">
        <f t="shared" si="60"/>
        <v>-0.25750000777302762</v>
      </c>
      <c r="W202" s="1098">
        <v>25830</v>
      </c>
      <c r="X202" s="1106">
        <f t="shared" si="67"/>
        <v>13696.767324816105</v>
      </c>
      <c r="Y202" s="1106">
        <f t="shared" si="68"/>
        <v>13696.767324816105</v>
      </c>
      <c r="Z202" s="1106">
        <f t="shared" si="69"/>
        <v>-3526.9176926054975</v>
      </c>
      <c r="AA202" s="1106">
        <f t="shared" si="70"/>
        <v>17223.685017421602</v>
      </c>
      <c r="AC202" s="1098">
        <f t="shared" si="55"/>
        <v>1245.1606658923731</v>
      </c>
      <c r="AD202" s="1054">
        <f t="shared" si="56"/>
        <v>1245.1606658923731</v>
      </c>
    </row>
    <row r="203" spans="1:30" hidden="1" x14ac:dyDescent="0.35">
      <c r="A203" s="179">
        <v>4</v>
      </c>
      <c r="B203" s="880" t="s">
        <v>22</v>
      </c>
      <c r="C203" s="986" t="s">
        <v>71</v>
      </c>
      <c r="D203" s="83" t="s">
        <v>70</v>
      </c>
      <c r="E203" s="399" t="str">
        <f>VLOOKUP(F203,'Quy đổi'!A:D,4,0)</f>
        <v>rHDPE thổi</v>
      </c>
      <c r="F203" s="986" t="s">
        <v>187</v>
      </c>
      <c r="G203" s="82" t="s">
        <v>188</v>
      </c>
      <c r="H203" s="257" t="str">
        <f>IFERROR(VLOOKUP(F203,'Quy đổi'!A:C,3,0),"-")</f>
        <v>rHDB03N02</v>
      </c>
      <c r="I203" s="1098">
        <v>22000</v>
      </c>
      <c r="J203" s="1098">
        <v>708400000</v>
      </c>
      <c r="K203" s="1098">
        <v>708400000</v>
      </c>
      <c r="O203" s="1097">
        <f t="shared" si="71"/>
        <v>708400000</v>
      </c>
      <c r="P203" s="1096">
        <f t="shared" si="65"/>
        <v>32200</v>
      </c>
      <c r="Q203" s="1096">
        <f t="shared" si="66"/>
        <v>1246.6124661246611</v>
      </c>
      <c r="R203" s="1099">
        <v>889775568</v>
      </c>
      <c r="S203" s="1096">
        <f t="shared" si="57"/>
        <v>40444.343999999997</v>
      </c>
      <c r="T203" s="1096">
        <f t="shared" si="58"/>
        <v>1650.789551020408</v>
      </c>
      <c r="U203" s="1096">
        <f t="shared" si="59"/>
        <v>-181375568</v>
      </c>
      <c r="V203" s="1102">
        <f t="shared" si="60"/>
        <v>-0.25603552795031054</v>
      </c>
      <c r="W203" s="1098">
        <v>25830</v>
      </c>
      <c r="X203" s="1106">
        <f t="shared" si="67"/>
        <v>27425.474254742549</v>
      </c>
      <c r="Y203" s="1106">
        <f t="shared" si="68"/>
        <v>27425.474254742549</v>
      </c>
      <c r="Z203" s="1106">
        <f t="shared" si="69"/>
        <v>-7021.8957801006582</v>
      </c>
      <c r="AA203" s="1106">
        <f t="shared" si="70"/>
        <v>34447.370034843203</v>
      </c>
      <c r="AC203" s="1098">
        <f t="shared" si="55"/>
        <v>1246.6124661246613</v>
      </c>
      <c r="AD203" s="1054">
        <f t="shared" si="56"/>
        <v>1246.6124661246613</v>
      </c>
    </row>
    <row r="204" spans="1:30" hidden="1" x14ac:dyDescent="0.35">
      <c r="A204" s="179">
        <v>4</v>
      </c>
      <c r="B204" s="880" t="s">
        <v>22</v>
      </c>
      <c r="C204" s="986" t="s">
        <v>351</v>
      </c>
      <c r="D204" s="83" t="s">
        <v>352</v>
      </c>
      <c r="E204" s="399" t="str">
        <f>VLOOKUP(F204,'Quy đổi'!A:D,4,0)</f>
        <v>rPET</v>
      </c>
      <c r="F204" s="986" t="s">
        <v>100</v>
      </c>
      <c r="G204" s="82" t="s">
        <v>99</v>
      </c>
      <c r="H204" s="257" t="str">
        <f>IFERROR(VLOOKUP(F204,'Quy đổi'!A:C,3,0),"-")</f>
        <v>iSS01G</v>
      </c>
      <c r="I204" s="1098">
        <v>1100</v>
      </c>
      <c r="J204" s="1098">
        <v>36268232</v>
      </c>
      <c r="K204" s="1098">
        <v>36268232</v>
      </c>
      <c r="O204" s="1097">
        <f t="shared" si="71"/>
        <v>36268232</v>
      </c>
      <c r="P204" s="1096">
        <f t="shared" si="65"/>
        <v>32971.120000000003</v>
      </c>
      <c r="Q204" s="1096">
        <f t="shared" si="66"/>
        <v>1276.4661246612468</v>
      </c>
      <c r="R204" s="1099">
        <v>27662085</v>
      </c>
      <c r="S204" s="1096">
        <f t="shared" si="57"/>
        <v>25147.35</v>
      </c>
      <c r="T204" s="1096">
        <f t="shared" si="58"/>
        <v>1026.4224489795918</v>
      </c>
      <c r="U204" s="1096">
        <f t="shared" si="59"/>
        <v>8606147</v>
      </c>
      <c r="V204" s="1102">
        <f t="shared" si="60"/>
        <v>0.23729160550202724</v>
      </c>
      <c r="W204" s="1098">
        <v>25830</v>
      </c>
      <c r="X204" s="1106">
        <f t="shared" si="67"/>
        <v>1404.1127371273712</v>
      </c>
      <c r="Y204" s="1106">
        <f t="shared" si="68"/>
        <v>1404.1127371273712</v>
      </c>
      <c r="Z204" s="1106">
        <f t="shared" si="69"/>
        <v>333.18416569879986</v>
      </c>
      <c r="AA204" s="1106">
        <f t="shared" si="70"/>
        <v>1070.9285714285713</v>
      </c>
      <c r="AC204" s="1098">
        <f t="shared" si="55"/>
        <v>1276.4661246612466</v>
      </c>
      <c r="AD204" s="1054">
        <f t="shared" si="56"/>
        <v>1276.4661246612466</v>
      </c>
    </row>
    <row r="205" spans="1:30" hidden="1" x14ac:dyDescent="0.35">
      <c r="A205" s="179">
        <v>4</v>
      </c>
      <c r="B205" s="880" t="s">
        <v>22</v>
      </c>
      <c r="C205" s="986" t="s">
        <v>351</v>
      </c>
      <c r="D205" s="83" t="s">
        <v>352</v>
      </c>
      <c r="E205" s="399" t="str">
        <f>VLOOKUP(F205,'Quy đổi'!A:D,4,0)</f>
        <v>rPET</v>
      </c>
      <c r="F205" s="986" t="s">
        <v>100</v>
      </c>
      <c r="G205" s="82" t="s">
        <v>99</v>
      </c>
      <c r="H205" s="257" t="str">
        <f>IFERROR(VLOOKUP(F205,'Quy đổi'!A:C,3,0),"-")</f>
        <v>iSS01G</v>
      </c>
      <c r="I205" s="1098">
        <v>5500</v>
      </c>
      <c r="J205" s="1098">
        <v>184614540</v>
      </c>
      <c r="K205" s="1098">
        <v>184614540</v>
      </c>
      <c r="O205" s="1097">
        <f t="shared" si="71"/>
        <v>184614540</v>
      </c>
      <c r="P205" s="1096">
        <f t="shared" si="65"/>
        <v>33566.28</v>
      </c>
      <c r="Q205" s="1096">
        <f t="shared" si="66"/>
        <v>1299.5075493612078</v>
      </c>
      <c r="R205" s="1099">
        <v>138310425</v>
      </c>
      <c r="S205" s="1096">
        <f t="shared" si="57"/>
        <v>25147.35</v>
      </c>
      <c r="T205" s="1096">
        <f t="shared" si="58"/>
        <v>1026.4224489795918</v>
      </c>
      <c r="U205" s="1096">
        <f t="shared" si="59"/>
        <v>46304115</v>
      </c>
      <c r="V205" s="1102">
        <f t="shared" si="60"/>
        <v>0.25081510372909954</v>
      </c>
      <c r="W205" s="1098">
        <v>25830</v>
      </c>
      <c r="X205" s="1106">
        <f t="shared" si="67"/>
        <v>7147.2915214866434</v>
      </c>
      <c r="Y205" s="1106">
        <f t="shared" si="68"/>
        <v>7147.2915214866434</v>
      </c>
      <c r="Z205" s="1106">
        <f t="shared" si="69"/>
        <v>1792.6486643437863</v>
      </c>
      <c r="AA205" s="1106">
        <f t="shared" si="70"/>
        <v>5354.6428571428569</v>
      </c>
      <c r="AC205" s="1098">
        <f t="shared" si="55"/>
        <v>1299.5075493612078</v>
      </c>
      <c r="AD205" s="1054">
        <f t="shared" si="56"/>
        <v>1299.5075493612078</v>
      </c>
    </row>
    <row r="206" spans="1:30" hidden="1" x14ac:dyDescent="0.35">
      <c r="A206" s="179">
        <v>4</v>
      </c>
      <c r="C206" s="986" t="s">
        <v>353</v>
      </c>
      <c r="D206" s="83" t="s">
        <v>354</v>
      </c>
      <c r="E206" s="399" t="str">
        <f>VLOOKUP(F206,'Quy đổi'!A:D,4,0)</f>
        <v>Phó sản</v>
      </c>
      <c r="F206" s="986" t="s">
        <v>355</v>
      </c>
      <c r="G206" s="82" t="s">
        <v>356</v>
      </c>
      <c r="H206" s="257">
        <f>IFERROR(VLOOKUP(F206,'Quy đổi'!A:C,3,0),"-")</f>
        <v>0</v>
      </c>
      <c r="I206" s="1098">
        <v>6590</v>
      </c>
      <c r="J206" s="1098">
        <v>32950000</v>
      </c>
      <c r="K206" s="1098">
        <v>32950000</v>
      </c>
      <c r="O206" s="1097">
        <f t="shared" si="71"/>
        <v>32950000</v>
      </c>
      <c r="P206" s="1096">
        <f t="shared" si="65"/>
        <v>5000</v>
      </c>
      <c r="Q206" s="1096">
        <f t="shared" si="66"/>
        <v>193.57336430507164</v>
      </c>
      <c r="R206" s="1099">
        <v>83027552</v>
      </c>
      <c r="S206" s="1096">
        <f t="shared" si="57"/>
        <v>12599.021547799697</v>
      </c>
      <c r="T206" s="1096">
        <f t="shared" si="58"/>
        <v>514.24577746121213</v>
      </c>
      <c r="U206" s="1096">
        <f t="shared" si="59"/>
        <v>-50077552</v>
      </c>
      <c r="V206" s="1102">
        <f t="shared" si="60"/>
        <v>-1.5198043095599394</v>
      </c>
      <c r="W206" s="1098">
        <v>25830</v>
      </c>
      <c r="X206" s="1106">
        <f t="shared" si="67"/>
        <v>1275.6484707704219</v>
      </c>
      <c r="Y206" s="1106">
        <f t="shared" si="68"/>
        <v>1275.6484707704219</v>
      </c>
      <c r="Z206" s="1106">
        <f t="shared" si="69"/>
        <v>-1938.7360433604335</v>
      </c>
      <c r="AA206" s="1106">
        <f t="shared" si="70"/>
        <v>3214.3845141308557</v>
      </c>
      <c r="AC206" s="1098">
        <f t="shared" si="55"/>
        <v>193.57336430507161</v>
      </c>
      <c r="AD206" s="1054">
        <f t="shared" si="56"/>
        <v>193.57336430507161</v>
      </c>
    </row>
    <row r="207" spans="1:30" hidden="1" x14ac:dyDescent="0.35">
      <c r="A207" s="179">
        <v>4</v>
      </c>
      <c r="C207" s="986" t="s">
        <v>353</v>
      </c>
      <c r="D207" s="83" t="s">
        <v>354</v>
      </c>
      <c r="E207" s="399" t="str">
        <f>VLOOKUP(F207,'Quy đổi'!A:D,4,0)</f>
        <v>Phó sản</v>
      </c>
      <c r="F207" s="986" t="s">
        <v>357</v>
      </c>
      <c r="G207" s="82" t="s">
        <v>356</v>
      </c>
      <c r="H207" s="257">
        <f>IFERROR(VLOOKUP(F207,'Quy đổi'!A:C,3,0),"-")</f>
        <v>0</v>
      </c>
      <c r="I207" s="1098">
        <v>3832</v>
      </c>
      <c r="J207" s="1098">
        <v>19160000</v>
      </c>
      <c r="K207" s="1098">
        <v>19160000</v>
      </c>
      <c r="O207" s="1097">
        <f t="shared" si="71"/>
        <v>19160000</v>
      </c>
      <c r="P207" s="1096">
        <f t="shared" si="65"/>
        <v>5000</v>
      </c>
      <c r="Q207" s="1096">
        <f t="shared" si="66"/>
        <v>193.57336430507164</v>
      </c>
      <c r="R207" s="1099">
        <v>48242993</v>
      </c>
      <c r="S207" s="1096">
        <f t="shared" si="57"/>
        <v>12589.507567849687</v>
      </c>
      <c r="T207" s="1096">
        <f t="shared" si="58"/>
        <v>513.85745174896681</v>
      </c>
      <c r="U207" s="1096">
        <f t="shared" si="59"/>
        <v>-29082993</v>
      </c>
      <c r="V207" s="1102">
        <f t="shared" si="60"/>
        <v>-1.5179015135699374</v>
      </c>
      <c r="W207" s="1098">
        <v>25830</v>
      </c>
      <c r="X207" s="1106">
        <f t="shared" si="67"/>
        <v>741.77313201703441</v>
      </c>
      <c r="Y207" s="1106">
        <f t="shared" si="68"/>
        <v>741.77313201703441</v>
      </c>
      <c r="Z207" s="1106">
        <f t="shared" si="69"/>
        <v>-1125.9385598141696</v>
      </c>
      <c r="AA207" s="1106">
        <f t="shared" si="70"/>
        <v>1867.711691831204</v>
      </c>
      <c r="AC207" s="1098">
        <f t="shared" si="55"/>
        <v>193.57336430507161</v>
      </c>
      <c r="AD207" s="1054">
        <f t="shared" si="56"/>
        <v>193.57336430507161</v>
      </c>
    </row>
    <row r="208" spans="1:30" hidden="1" x14ac:dyDescent="0.35">
      <c r="A208" s="179">
        <v>4</v>
      </c>
      <c r="C208" s="986" t="s">
        <v>353</v>
      </c>
      <c r="D208" s="83" t="s">
        <v>354</v>
      </c>
      <c r="E208" s="399" t="str">
        <f>VLOOKUP(F208,'Quy đổi'!A:D,4,0)</f>
        <v>Phó sản</v>
      </c>
      <c r="F208" s="986" t="s">
        <v>358</v>
      </c>
      <c r="G208" s="82" t="s">
        <v>356</v>
      </c>
      <c r="H208" s="257">
        <f>IFERROR(VLOOKUP(F208,'Quy đổi'!A:C,3,0),"-")</f>
        <v>0</v>
      </c>
      <c r="I208" s="1098">
        <v>10716</v>
      </c>
      <c r="J208" s="1098">
        <v>53580000</v>
      </c>
      <c r="K208" s="1098">
        <v>53580000</v>
      </c>
      <c r="O208" s="1097">
        <f t="shared" si="71"/>
        <v>53580000</v>
      </c>
      <c r="P208" s="1096">
        <f t="shared" si="65"/>
        <v>5000</v>
      </c>
      <c r="Q208" s="1096">
        <f t="shared" si="66"/>
        <v>193.57336430507164</v>
      </c>
      <c r="R208" s="1099">
        <v>134872811</v>
      </c>
      <c r="S208" s="1096">
        <f t="shared" si="57"/>
        <v>12586.11524822695</v>
      </c>
      <c r="T208" s="1096">
        <f t="shared" si="58"/>
        <v>513.71898972354893</v>
      </c>
      <c r="U208" s="1096">
        <f t="shared" si="59"/>
        <v>-81292811</v>
      </c>
      <c r="V208" s="1102">
        <f t="shared" si="60"/>
        <v>-1.51722304964539</v>
      </c>
      <c r="W208" s="1098">
        <v>25830</v>
      </c>
      <c r="X208" s="1106">
        <f t="shared" si="67"/>
        <v>2074.3321718931475</v>
      </c>
      <c r="Y208" s="1106">
        <f t="shared" si="68"/>
        <v>2074.3321718931475</v>
      </c>
      <c r="Z208" s="1106">
        <f t="shared" si="69"/>
        <v>-3147.2245838172666</v>
      </c>
      <c r="AA208" s="1106">
        <f t="shared" si="70"/>
        <v>5221.5567557104141</v>
      </c>
      <c r="AC208" s="1098">
        <f t="shared" si="55"/>
        <v>193.57336430507161</v>
      </c>
      <c r="AD208" s="1054">
        <f t="shared" si="56"/>
        <v>193.57336430507161</v>
      </c>
    </row>
    <row r="209" spans="1:30" hidden="1" x14ac:dyDescent="0.35">
      <c r="A209" s="179">
        <v>4</v>
      </c>
      <c r="C209" s="986" t="s">
        <v>353</v>
      </c>
      <c r="D209" s="83" t="s">
        <v>354</v>
      </c>
      <c r="E209" s="399" t="str">
        <f>VLOOKUP(F209,'Quy đổi'!A:D,4,0)</f>
        <v>Phó sản</v>
      </c>
      <c r="F209" s="986" t="s">
        <v>359</v>
      </c>
      <c r="G209" s="82" t="s">
        <v>356</v>
      </c>
      <c r="H209" s="257">
        <f>IFERROR(VLOOKUP(F209,'Quy đổi'!A:C,3,0),"-")</f>
        <v>0</v>
      </c>
      <c r="I209" s="1098">
        <v>30806</v>
      </c>
      <c r="J209" s="1098">
        <v>154030000</v>
      </c>
      <c r="K209" s="1098">
        <v>154030000</v>
      </c>
      <c r="O209" s="1097">
        <f t="shared" si="71"/>
        <v>154030000</v>
      </c>
      <c r="P209" s="1096">
        <f t="shared" si="65"/>
        <v>5000</v>
      </c>
      <c r="Q209" s="1096">
        <f t="shared" si="66"/>
        <v>193.57336430507164</v>
      </c>
      <c r="R209" s="1099">
        <v>387674367</v>
      </c>
      <c r="S209" s="1096">
        <f t="shared" si="57"/>
        <v>12584.378595078881</v>
      </c>
      <c r="T209" s="1096">
        <f t="shared" si="58"/>
        <v>513.64810592158699</v>
      </c>
      <c r="U209" s="1096">
        <f t="shared" si="59"/>
        <v>-233644367</v>
      </c>
      <c r="V209" s="1102">
        <f t="shared" si="60"/>
        <v>-1.5168757190157762</v>
      </c>
      <c r="W209" s="1098">
        <v>25830</v>
      </c>
      <c r="X209" s="1106">
        <f t="shared" si="67"/>
        <v>5963.2210607820361</v>
      </c>
      <c r="Y209" s="1106">
        <f t="shared" si="68"/>
        <v>5963.2210607820361</v>
      </c>
      <c r="Z209" s="1106">
        <f t="shared" si="69"/>
        <v>-9045.4652342237714</v>
      </c>
      <c r="AA209" s="1106">
        <f t="shared" si="70"/>
        <v>15008.686295005808</v>
      </c>
      <c r="AC209" s="1098">
        <f t="shared" si="55"/>
        <v>193.57336430507161</v>
      </c>
      <c r="AD209" s="1054">
        <f t="shared" si="56"/>
        <v>193.57336430507161</v>
      </c>
    </row>
    <row r="210" spans="1:30" hidden="1" x14ac:dyDescent="0.35">
      <c r="A210" s="179">
        <v>4</v>
      </c>
      <c r="C210" s="986" t="s">
        <v>353</v>
      </c>
      <c r="D210" s="83" t="s">
        <v>354</v>
      </c>
      <c r="E210" s="399" t="str">
        <f>VLOOKUP(F210,'Quy đổi'!A:D,4,0)</f>
        <v>Phó sản</v>
      </c>
      <c r="F210" s="986" t="s">
        <v>651</v>
      </c>
      <c r="G210" s="82" t="s">
        <v>652</v>
      </c>
      <c r="H210" s="257">
        <f>IFERROR(VLOOKUP(F210,'Quy đổi'!A:C,3,0),"-")</f>
        <v>0</v>
      </c>
      <c r="I210" s="1098">
        <v>31366</v>
      </c>
      <c r="J210" s="1098">
        <v>62732000</v>
      </c>
      <c r="K210" s="1098">
        <v>62732000</v>
      </c>
      <c r="O210" s="1097">
        <f t="shared" si="71"/>
        <v>62732000</v>
      </c>
      <c r="P210" s="1096">
        <f t="shared" si="65"/>
        <v>2000</v>
      </c>
      <c r="Q210" s="1096">
        <f t="shared" si="66"/>
        <v>77.429345722028657</v>
      </c>
      <c r="R210" s="1099">
        <v>395057570</v>
      </c>
      <c r="S210" s="1096">
        <f t="shared" si="57"/>
        <v>12595.089268634827</v>
      </c>
      <c r="T210" s="1096">
        <f t="shared" si="58"/>
        <v>514.08527627080923</v>
      </c>
      <c r="U210" s="1096">
        <f t="shared" si="59"/>
        <v>-332325570</v>
      </c>
      <c r="V210" s="1102">
        <f t="shared" si="60"/>
        <v>-5.297544634317414</v>
      </c>
      <c r="W210" s="1098">
        <v>25830</v>
      </c>
      <c r="X210" s="1106">
        <f t="shared" si="67"/>
        <v>2428.6488579171505</v>
      </c>
      <c r="Y210" s="1106">
        <f t="shared" si="68"/>
        <v>2428.6488579171505</v>
      </c>
      <c r="Z210" s="1106">
        <f t="shared" si="69"/>
        <v>-12865.875725900116</v>
      </c>
      <c r="AA210" s="1106">
        <f t="shared" si="70"/>
        <v>15294.524583817267</v>
      </c>
      <c r="AC210" s="1098">
        <f t="shared" si="55"/>
        <v>77.429345722028643</v>
      </c>
      <c r="AD210" s="1054">
        <f t="shared" si="56"/>
        <v>77.429345722028643</v>
      </c>
    </row>
    <row r="211" spans="1:30" hidden="1" x14ac:dyDescent="0.35">
      <c r="A211" s="179">
        <v>4</v>
      </c>
      <c r="B211" s="880" t="s">
        <v>22</v>
      </c>
      <c r="C211" s="986" t="s">
        <v>13</v>
      </c>
      <c r="D211" s="83" t="s">
        <v>12</v>
      </c>
      <c r="E211" s="399" t="str">
        <f>VLOOKUP(F211,'Quy đổi'!A:D,4,0)</f>
        <v>rPET</v>
      </c>
      <c r="F211" s="986" t="s">
        <v>110</v>
      </c>
      <c r="G211" s="82" t="s">
        <v>109</v>
      </c>
      <c r="H211" s="257" t="str">
        <f>IFERROR(VLOOKUP(F211,'Quy đổi'!A:C,3,0),"-")</f>
        <v>WSS01G</v>
      </c>
      <c r="I211" s="1098">
        <v>4400</v>
      </c>
      <c r="J211" s="1098">
        <v>142805320</v>
      </c>
      <c r="K211" s="1098">
        <v>142805320</v>
      </c>
      <c r="O211" s="1097">
        <f t="shared" si="71"/>
        <v>142805320</v>
      </c>
      <c r="P211" s="1096">
        <f t="shared" si="65"/>
        <v>32455.754545454547</v>
      </c>
      <c r="Q211" s="1096">
        <f t="shared" si="66"/>
        <v>1256.5139196846515</v>
      </c>
      <c r="R211" s="1099">
        <v>118231233</v>
      </c>
      <c r="S211" s="1096">
        <f t="shared" si="57"/>
        <v>26870.734772727272</v>
      </c>
      <c r="T211" s="1096">
        <f t="shared" si="58"/>
        <v>1096.7646846011132</v>
      </c>
      <c r="U211" s="1096">
        <f t="shared" si="59"/>
        <v>24574087</v>
      </c>
      <c r="V211" s="1102">
        <f t="shared" si="60"/>
        <v>0.17208103311557302</v>
      </c>
      <c r="W211" s="1098">
        <v>25830</v>
      </c>
      <c r="X211" s="1106">
        <f t="shared" si="67"/>
        <v>5528.6612466124661</v>
      </c>
      <c r="Y211" s="1106">
        <f t="shared" si="68"/>
        <v>5528.6612466124661</v>
      </c>
      <c r="Z211" s="1106">
        <f t="shared" si="69"/>
        <v>951.37773906310497</v>
      </c>
      <c r="AA211" s="1106">
        <f t="shared" si="70"/>
        <v>4577.2835075493613</v>
      </c>
      <c r="AC211" s="1098">
        <f t="shared" si="55"/>
        <v>1256.5139196846512</v>
      </c>
      <c r="AD211" s="1054">
        <f t="shared" si="56"/>
        <v>1256.5139196846512</v>
      </c>
    </row>
    <row r="212" spans="1:30" hidden="1" x14ac:dyDescent="0.35">
      <c r="A212" s="179">
        <v>4</v>
      </c>
      <c r="B212" s="880" t="s">
        <v>22</v>
      </c>
      <c r="C212" s="986" t="s">
        <v>54</v>
      </c>
      <c r="D212" s="83" t="s">
        <v>53</v>
      </c>
      <c r="E212" s="399" t="str">
        <f>VLOOKUP(F212,'Quy đổi'!A:D,4,0)</f>
        <v>rHDPE thổi</v>
      </c>
      <c r="F212" s="986" t="s">
        <v>52</v>
      </c>
      <c r="G212" s="82" t="s">
        <v>51</v>
      </c>
      <c r="H212" s="257" t="str">
        <f>IFERROR(VLOOKUP(F212,'Quy đổi'!A:C,3,0),"-")</f>
        <v>rHDB04B01</v>
      </c>
      <c r="I212" s="1098">
        <v>28000</v>
      </c>
      <c r="J212" s="1098">
        <v>476000000</v>
      </c>
      <c r="K212" s="1098">
        <v>476000000</v>
      </c>
      <c r="O212" s="1097">
        <f t="shared" si="71"/>
        <v>476000000</v>
      </c>
      <c r="P212" s="1096">
        <f t="shared" si="65"/>
        <v>17000</v>
      </c>
      <c r="Q212" s="1096">
        <f t="shared" si="66"/>
        <v>658.14943863724352</v>
      </c>
      <c r="R212" s="1099">
        <v>643977804</v>
      </c>
      <c r="S212" s="1096">
        <f t="shared" si="57"/>
        <v>22999.207285714285</v>
      </c>
      <c r="T212" s="1096">
        <f t="shared" si="58"/>
        <v>938.7431545189504</v>
      </c>
      <c r="U212" s="1096">
        <f t="shared" si="59"/>
        <v>-167977804</v>
      </c>
      <c r="V212" s="1102">
        <f t="shared" si="60"/>
        <v>-0.35289454621848737</v>
      </c>
      <c r="W212" s="1098">
        <v>25830</v>
      </c>
      <c r="X212" s="1106">
        <f t="shared" si="67"/>
        <v>18428.184281842819</v>
      </c>
      <c r="Y212" s="1106">
        <f t="shared" si="68"/>
        <v>18428.184281842819</v>
      </c>
      <c r="Z212" s="1106">
        <f t="shared" si="69"/>
        <v>-6503.2057297715837</v>
      </c>
      <c r="AA212" s="1106">
        <f t="shared" si="70"/>
        <v>24931.390011614403</v>
      </c>
      <c r="AC212" s="1098">
        <f t="shared" si="55"/>
        <v>658.14943863724352</v>
      </c>
      <c r="AD212" s="1054">
        <f t="shared" si="56"/>
        <v>658.14943863724352</v>
      </c>
    </row>
    <row r="213" spans="1:30" hidden="1" x14ac:dyDescent="0.35">
      <c r="A213" s="179">
        <v>4</v>
      </c>
      <c r="C213" s="986" t="s">
        <v>454</v>
      </c>
      <c r="D213" s="83" t="s">
        <v>455</v>
      </c>
      <c r="E213" s="399" t="str">
        <f>VLOOKUP(F213,'Quy đổi'!A:D,4,0)</f>
        <v>Khác</v>
      </c>
      <c r="F213" s="986" t="s">
        <v>223</v>
      </c>
      <c r="G213" s="82" t="s">
        <v>372</v>
      </c>
      <c r="H213" s="257">
        <f>IFERROR(VLOOKUP(F213,'Quy đổi'!A:C,3,0),"-")</f>
        <v>0</v>
      </c>
      <c r="I213" s="1098">
        <v>3134</v>
      </c>
      <c r="J213" s="1098">
        <v>62274300</v>
      </c>
      <c r="K213" s="1098">
        <v>62274300</v>
      </c>
      <c r="O213" s="1097">
        <f t="shared" si="71"/>
        <v>62274300</v>
      </c>
      <c r="P213" s="1096">
        <f t="shared" si="65"/>
        <v>19870.548819400126</v>
      </c>
      <c r="Q213" s="1096">
        <f t="shared" si="66"/>
        <v>769.28179711189023</v>
      </c>
      <c r="R213" s="1099">
        <v>65507316</v>
      </c>
      <c r="S213" s="1096">
        <f t="shared" si="57"/>
        <v>20902.142948308869</v>
      </c>
      <c r="T213" s="1096">
        <f t="shared" si="58"/>
        <v>853.1486917677089</v>
      </c>
      <c r="U213" s="1096">
        <f t="shared" si="59"/>
        <v>-3233016</v>
      </c>
      <c r="V213" s="1102">
        <f t="shared" si="60"/>
        <v>-5.1915734098978233E-2</v>
      </c>
      <c r="W213" s="1098">
        <v>25830</v>
      </c>
      <c r="X213" s="1106">
        <f t="shared" si="67"/>
        <v>2410.9291521486643</v>
      </c>
      <c r="Y213" s="1106">
        <f t="shared" si="68"/>
        <v>2410.9291521486643</v>
      </c>
      <c r="Z213" s="1106">
        <f t="shared" si="69"/>
        <v>-125.16515679442509</v>
      </c>
      <c r="AA213" s="1106">
        <f t="shared" si="70"/>
        <v>2536.0943089430893</v>
      </c>
      <c r="AC213" s="1098">
        <f t="shared" si="55"/>
        <v>769.28179711189034</v>
      </c>
      <c r="AD213" s="1054">
        <f t="shared" si="56"/>
        <v>769.28179711189034</v>
      </c>
    </row>
    <row r="214" spans="1:30" hidden="1" x14ac:dyDescent="0.35">
      <c r="A214" s="179">
        <v>4</v>
      </c>
      <c r="C214" s="986" t="s">
        <v>454</v>
      </c>
      <c r="D214" s="83" t="s">
        <v>455</v>
      </c>
      <c r="E214" s="399" t="str">
        <f>VLOOKUP(F214,'Quy đổi'!A:D,4,0)</f>
        <v>Khác</v>
      </c>
      <c r="F214" s="986" t="s">
        <v>467</v>
      </c>
      <c r="G214" s="82" t="s">
        <v>466</v>
      </c>
      <c r="H214" s="257">
        <f>IFERROR(VLOOKUP(F214,'Quy đổi'!A:C,3,0),"-")</f>
        <v>0</v>
      </c>
      <c r="I214" s="1098">
        <v>398</v>
      </c>
      <c r="J214" s="1098">
        <v>7562000</v>
      </c>
      <c r="K214" s="1098">
        <v>7562000</v>
      </c>
      <c r="O214" s="1097">
        <f t="shared" si="71"/>
        <v>7562000</v>
      </c>
      <c r="P214" s="1096">
        <f t="shared" si="65"/>
        <v>19000</v>
      </c>
      <c r="Q214" s="1096">
        <f t="shared" si="66"/>
        <v>735.57878435927216</v>
      </c>
      <c r="R214" s="1099">
        <v>7234166</v>
      </c>
      <c r="S214" s="1096">
        <f t="shared" si="57"/>
        <v>18176.296482412061</v>
      </c>
      <c r="T214" s="1096">
        <f t="shared" si="58"/>
        <v>741.88965234334944</v>
      </c>
      <c r="U214" s="1096">
        <f t="shared" si="59"/>
        <v>327834</v>
      </c>
      <c r="V214" s="1102">
        <f t="shared" si="60"/>
        <v>4.3352816715154723E-2</v>
      </c>
      <c r="W214" s="1098">
        <v>25830</v>
      </c>
      <c r="X214" s="1106">
        <f t="shared" si="67"/>
        <v>292.76035617499031</v>
      </c>
      <c r="Y214" s="1106">
        <f t="shared" si="68"/>
        <v>292.76035617499031</v>
      </c>
      <c r="Z214" s="1106">
        <f t="shared" si="69"/>
        <v>12.691986062717771</v>
      </c>
      <c r="AA214" s="1106">
        <f t="shared" si="70"/>
        <v>280.06837011227253</v>
      </c>
      <c r="AC214" s="1098">
        <f t="shared" si="55"/>
        <v>735.57878435927216</v>
      </c>
      <c r="AD214" s="1054">
        <f t="shared" si="56"/>
        <v>735.57878435927216</v>
      </c>
    </row>
    <row r="215" spans="1:30" hidden="1" x14ac:dyDescent="0.35">
      <c r="A215" s="179">
        <v>4</v>
      </c>
      <c r="B215" s="880" t="s">
        <v>22</v>
      </c>
      <c r="C215" s="986" t="s">
        <v>456</v>
      </c>
      <c r="D215" s="83" t="s">
        <v>457</v>
      </c>
      <c r="E215" s="399" t="str">
        <f>VLOOKUP(F215,'Quy đổi'!A:D,4,0)</f>
        <v>rHDPE ép</v>
      </c>
      <c r="F215" s="986" t="s">
        <v>37</v>
      </c>
      <c r="G215" s="82" t="s">
        <v>36</v>
      </c>
      <c r="H215" s="257" t="str">
        <f>IFERROR(VLOOKUP(F215,'Quy đổi'!A:C,3,0),"-")</f>
        <v>Vảy HD Ép Đỏ</v>
      </c>
      <c r="I215" s="1098">
        <v>3000</v>
      </c>
      <c r="J215" s="1098">
        <v>47222222</v>
      </c>
      <c r="K215" s="1098">
        <v>47222222</v>
      </c>
      <c r="L215" s="1097"/>
      <c r="O215" s="1097">
        <f t="shared" si="71"/>
        <v>47222222</v>
      </c>
      <c r="P215" s="1096">
        <f t="shared" si="65"/>
        <v>15740.740666666667</v>
      </c>
      <c r="Q215" s="1096">
        <f t="shared" si="66"/>
        <v>609.39762550006446</v>
      </c>
      <c r="R215" s="1099">
        <v>83740900</v>
      </c>
      <c r="S215" s="1096">
        <f t="shared" si="57"/>
        <v>27913.633333333335</v>
      </c>
      <c r="T215" s="1096">
        <f t="shared" si="58"/>
        <v>1139.3319727891158</v>
      </c>
      <c r="U215" s="1096">
        <f t="shared" si="59"/>
        <v>-36518678</v>
      </c>
      <c r="V215" s="1102">
        <f t="shared" si="60"/>
        <v>-0.77333671422746686</v>
      </c>
      <c r="W215" s="1098">
        <v>25830</v>
      </c>
      <c r="X215" s="1106">
        <f t="shared" si="67"/>
        <v>1828.1928765001935</v>
      </c>
      <c r="Y215" s="1106">
        <f t="shared" si="68"/>
        <v>1828.1928765001935</v>
      </c>
      <c r="Z215" s="1106">
        <f t="shared" si="69"/>
        <v>-1413.8086720867209</v>
      </c>
      <c r="AA215" s="1106">
        <f t="shared" si="70"/>
        <v>3242.0015485869144</v>
      </c>
      <c r="AC215" s="1098">
        <f t="shared" si="55"/>
        <v>609.39762550006446</v>
      </c>
      <c r="AD215" s="1054">
        <f t="shared" si="56"/>
        <v>609.39762550006446</v>
      </c>
    </row>
    <row r="216" spans="1:30" hidden="1" x14ac:dyDescent="0.35">
      <c r="A216" s="179">
        <v>4</v>
      </c>
      <c r="B216" s="880" t="s">
        <v>22</v>
      </c>
      <c r="C216" s="986" t="s">
        <v>456</v>
      </c>
      <c r="D216" s="83" t="s">
        <v>457</v>
      </c>
      <c r="E216" s="399" t="str">
        <f>VLOOKUP(F216,'Quy đổi'!A:D,4,0)</f>
        <v>rHDPE ép</v>
      </c>
      <c r="F216" s="986" t="s">
        <v>37</v>
      </c>
      <c r="G216" s="82" t="s">
        <v>36</v>
      </c>
      <c r="H216" s="257" t="str">
        <f>IFERROR(VLOOKUP(F216,'Quy đổi'!A:C,3,0),"-")</f>
        <v>Vảy HD Ép Đỏ</v>
      </c>
      <c r="I216" s="1098">
        <v>20250</v>
      </c>
      <c r="J216" s="1098">
        <v>315555557</v>
      </c>
      <c r="K216" s="1098">
        <v>315555557</v>
      </c>
      <c r="L216" s="1097"/>
      <c r="O216" s="1097">
        <f t="shared" si="71"/>
        <v>315555557</v>
      </c>
      <c r="P216" s="1096">
        <f t="shared" si="65"/>
        <v>15582.990469135802</v>
      </c>
      <c r="Q216" s="1096">
        <f t="shared" si="66"/>
        <v>603.29037820889675</v>
      </c>
      <c r="R216" s="1099">
        <v>565251075</v>
      </c>
      <c r="S216" s="1096">
        <f t="shared" si="57"/>
        <v>27913.633333333335</v>
      </c>
      <c r="T216" s="1096">
        <f t="shared" si="58"/>
        <v>1139.3319727891158</v>
      </c>
      <c r="U216" s="1096">
        <f t="shared" si="59"/>
        <v>-249695518</v>
      </c>
      <c r="V216" s="1102">
        <f t="shared" si="60"/>
        <v>-0.79128860975818593</v>
      </c>
      <c r="W216" s="1098">
        <v>25830</v>
      </c>
      <c r="X216" s="1106">
        <f t="shared" si="67"/>
        <v>12216.630158730159</v>
      </c>
      <c r="Y216" s="1106">
        <f t="shared" si="68"/>
        <v>12216.630158730159</v>
      </c>
      <c r="Z216" s="1106">
        <f t="shared" si="69"/>
        <v>-9666.8802942315142</v>
      </c>
      <c r="AA216" s="1106">
        <f t="shared" si="70"/>
        <v>21883.510452961673</v>
      </c>
      <c r="AC216" s="1098">
        <f t="shared" si="55"/>
        <v>603.29037820889675</v>
      </c>
      <c r="AD216" s="1054">
        <f t="shared" si="56"/>
        <v>603.29037820889675</v>
      </c>
    </row>
    <row r="217" spans="1:30" hidden="1" x14ac:dyDescent="0.35">
      <c r="A217" s="179">
        <v>4</v>
      </c>
      <c r="B217" s="880" t="s">
        <v>22</v>
      </c>
      <c r="C217" s="986" t="s">
        <v>456</v>
      </c>
      <c r="D217" s="83" t="s">
        <v>457</v>
      </c>
      <c r="E217" s="399" t="str">
        <f>VLOOKUP(F217,'Quy đổi'!A:D,4,0)</f>
        <v>rHDPE ép</v>
      </c>
      <c r="F217" s="986" t="s">
        <v>536</v>
      </c>
      <c r="G217" s="82" t="s">
        <v>537</v>
      </c>
      <c r="H217" s="257" t="str">
        <f>IFERROR(VLOOKUP(F217,'Quy đổi'!A:C,3,0),"-")</f>
        <v>Vảy HD Ép Trắng</v>
      </c>
      <c r="I217" s="1098">
        <v>4500</v>
      </c>
      <c r="J217" s="1098">
        <v>69166668</v>
      </c>
      <c r="K217" s="1098">
        <v>69166668</v>
      </c>
      <c r="L217" s="1097"/>
      <c r="O217" s="1097">
        <f t="shared" si="71"/>
        <v>69166668</v>
      </c>
      <c r="P217" s="1096">
        <f t="shared" si="65"/>
        <v>15370.370666666666</v>
      </c>
      <c r="Q217" s="1096">
        <f t="shared" si="66"/>
        <v>595.05887211253059</v>
      </c>
      <c r="R217" s="1099">
        <v>108244774</v>
      </c>
      <c r="S217" s="1096">
        <f t="shared" si="57"/>
        <v>24054.394222222221</v>
      </c>
      <c r="T217" s="1096">
        <f t="shared" si="58"/>
        <v>981.81200907029472</v>
      </c>
      <c r="U217" s="1096">
        <f t="shared" si="59"/>
        <v>-39078106</v>
      </c>
      <c r="V217" s="1102">
        <f t="shared" si="60"/>
        <v>-0.56498465416897048</v>
      </c>
      <c r="W217" s="1098">
        <v>25830</v>
      </c>
      <c r="X217" s="1106">
        <f t="shared" si="67"/>
        <v>2677.7649245063881</v>
      </c>
      <c r="Y217" s="1106">
        <f t="shared" si="68"/>
        <v>2677.7649245063881</v>
      </c>
      <c r="Z217" s="1106">
        <f t="shared" si="69"/>
        <v>-1512.896089818041</v>
      </c>
      <c r="AA217" s="1106">
        <f t="shared" si="70"/>
        <v>4190.6610143244288</v>
      </c>
      <c r="AC217" s="1098">
        <f t="shared" si="55"/>
        <v>595.05887211253071</v>
      </c>
      <c r="AD217" s="1054">
        <f t="shared" si="56"/>
        <v>595.05887211253071</v>
      </c>
    </row>
    <row r="218" spans="1:30" hidden="1" x14ac:dyDescent="0.35">
      <c r="A218" s="179">
        <v>4</v>
      </c>
      <c r="B218" s="880" t="s">
        <v>22</v>
      </c>
      <c r="C218" s="986" t="s">
        <v>456</v>
      </c>
      <c r="D218" s="83" t="s">
        <v>457</v>
      </c>
      <c r="E218" s="399" t="str">
        <f>VLOOKUP(F218,'Quy đổi'!A:D,4,0)</f>
        <v>rHDPE ép</v>
      </c>
      <c r="F218" s="986" t="s">
        <v>39</v>
      </c>
      <c r="G218" s="82" t="s">
        <v>38</v>
      </c>
      <c r="H218" s="257" t="str">
        <f>IFERROR(VLOOKUP(F218,'Quy đổi'!A:C,3,0),"-")</f>
        <v>Vảy HD Ép Vàng</v>
      </c>
      <c r="I218" s="1098">
        <v>9750</v>
      </c>
      <c r="J218" s="1098">
        <v>149598148</v>
      </c>
      <c r="K218" s="1098">
        <v>149598148</v>
      </c>
      <c r="L218" s="1097"/>
      <c r="O218" s="1097">
        <f t="shared" si="71"/>
        <v>149598148</v>
      </c>
      <c r="P218" s="1096">
        <f t="shared" si="65"/>
        <v>15343.399794871795</v>
      </c>
      <c r="Q218" s="1096">
        <f t="shared" si="66"/>
        <v>594.01470363421583</v>
      </c>
      <c r="R218" s="1099">
        <v>244638641</v>
      </c>
      <c r="S218" s="1096">
        <f t="shared" si="57"/>
        <v>25091.142666666667</v>
      </c>
      <c r="T218" s="1096">
        <f t="shared" si="58"/>
        <v>1024.1282721088435</v>
      </c>
      <c r="U218" s="1096">
        <f t="shared" si="59"/>
        <v>-95040493</v>
      </c>
      <c r="V218" s="1102">
        <f t="shared" si="60"/>
        <v>-0.63530527797710434</v>
      </c>
      <c r="W218" s="1098">
        <v>25830</v>
      </c>
      <c r="X218" s="1106">
        <f t="shared" si="67"/>
        <v>5791.6433604336044</v>
      </c>
      <c r="Y218" s="1106">
        <f t="shared" si="68"/>
        <v>5791.6433604336044</v>
      </c>
      <c r="Z218" s="1106">
        <f t="shared" si="69"/>
        <v>-3679.4615950445218</v>
      </c>
      <c r="AA218" s="1106">
        <f t="shared" si="70"/>
        <v>9471.1049554781257</v>
      </c>
      <c r="AC218" s="1098">
        <f t="shared" si="55"/>
        <v>594.01470363421583</v>
      </c>
      <c r="AD218" s="1054">
        <f t="shared" si="56"/>
        <v>594.01470363421583</v>
      </c>
    </row>
    <row r="219" spans="1:30" hidden="1" x14ac:dyDescent="0.35">
      <c r="A219" s="179">
        <v>4</v>
      </c>
      <c r="B219" s="880" t="s">
        <v>22</v>
      </c>
      <c r="C219" s="986" t="s">
        <v>628</v>
      </c>
      <c r="D219" s="83" t="s">
        <v>1030</v>
      </c>
      <c r="E219" s="399" t="str">
        <f>VLOOKUP(F219,'Quy đổi'!A:D,4,0)</f>
        <v>rPET</v>
      </c>
      <c r="F219" s="986" t="s">
        <v>127</v>
      </c>
      <c r="G219" s="82" t="s">
        <v>114</v>
      </c>
      <c r="H219" s="257" t="str">
        <f>IFERROR(VLOOKUP(F219,'Quy đổi'!A:C,3,0),"-")</f>
        <v>iSS01084G</v>
      </c>
      <c r="I219" s="1098">
        <v>66000</v>
      </c>
      <c r="J219" s="1098">
        <v>2392566000</v>
      </c>
      <c r="K219" s="1098">
        <v>2321297880</v>
      </c>
      <c r="L219" s="1104">
        <f>200*I219</f>
        <v>13200000</v>
      </c>
      <c r="O219" s="1097">
        <f t="shared" si="71"/>
        <v>2308097880</v>
      </c>
      <c r="P219" s="1096">
        <f t="shared" si="65"/>
        <v>34971.18</v>
      </c>
      <c r="Q219" s="1096">
        <f t="shared" si="66"/>
        <v>1353.8977932636469</v>
      </c>
      <c r="R219" s="1099">
        <v>1753942425</v>
      </c>
      <c r="S219" s="1096">
        <f t="shared" si="57"/>
        <v>26574.885227272727</v>
      </c>
      <c r="T219" s="1096">
        <f t="shared" si="58"/>
        <v>1084.6891929499072</v>
      </c>
      <c r="U219" s="1096">
        <f t="shared" si="59"/>
        <v>554155455</v>
      </c>
      <c r="V219" s="1102">
        <f t="shared" si="60"/>
        <v>0.23872655886800706</v>
      </c>
      <c r="W219" s="1098">
        <v>25830</v>
      </c>
      <c r="X219" s="1106">
        <f t="shared" si="67"/>
        <v>89357.254355400699</v>
      </c>
      <c r="Y219" s="1106">
        <f t="shared" si="68"/>
        <v>89868.288037166087</v>
      </c>
      <c r="Z219" s="1106">
        <f t="shared" si="69"/>
        <v>21453.947154471545</v>
      </c>
      <c r="AA219" s="1106">
        <f t="shared" si="70"/>
        <v>67903.30720092915</v>
      </c>
      <c r="AB219" s="1098"/>
      <c r="AC219" s="1098">
        <f t="shared" si="55"/>
        <v>1353.8977932636469</v>
      </c>
      <c r="AD219" s="1098">
        <f t="shared" si="56"/>
        <v>1353.8977932636469</v>
      </c>
    </row>
    <row r="220" spans="1:30" hidden="1" x14ac:dyDescent="0.35">
      <c r="A220" s="179">
        <v>4</v>
      </c>
      <c r="B220" s="880" t="s">
        <v>22</v>
      </c>
      <c r="C220" s="986" t="s">
        <v>519</v>
      </c>
      <c r="D220" s="83" t="s">
        <v>520</v>
      </c>
      <c r="E220" s="399" t="str">
        <f>VLOOKUP(F220,'Quy đổi'!A:D,4,0)</f>
        <v>rHDPE ép</v>
      </c>
      <c r="F220" s="986" t="s">
        <v>41</v>
      </c>
      <c r="G220" s="82" t="s">
        <v>40</v>
      </c>
      <c r="H220" s="257" t="str">
        <f>IFERROR(VLOOKUP(F220,'Quy đổi'!A:C,3,0),"-")</f>
        <v>Vảy HD Ép Lá</v>
      </c>
      <c r="I220" s="1098">
        <v>9000</v>
      </c>
      <c r="J220" s="1098">
        <v>139500000</v>
      </c>
      <c r="K220" s="1098">
        <v>139500000</v>
      </c>
      <c r="O220" s="1097">
        <f t="shared" si="71"/>
        <v>139500000</v>
      </c>
      <c r="P220" s="1096">
        <f t="shared" si="65"/>
        <v>15500</v>
      </c>
      <c r="Q220" s="1096">
        <f t="shared" si="66"/>
        <v>600.07742934572207</v>
      </c>
      <c r="R220" s="1099">
        <v>224046608</v>
      </c>
      <c r="S220" s="1096">
        <f t="shared" si="57"/>
        <v>24894.067555555557</v>
      </c>
      <c r="T220" s="1096">
        <f t="shared" si="58"/>
        <v>1016.0843900226758</v>
      </c>
      <c r="U220" s="1096">
        <f t="shared" si="59"/>
        <v>-84546608</v>
      </c>
      <c r="V220" s="1102">
        <f t="shared" si="60"/>
        <v>-0.60606887455197134</v>
      </c>
      <c r="W220" s="1098">
        <v>25830</v>
      </c>
      <c r="X220" s="1106">
        <f t="shared" si="67"/>
        <v>5400.6968641114981</v>
      </c>
      <c r="Y220" s="1106">
        <f t="shared" si="68"/>
        <v>5400.6968641114981</v>
      </c>
      <c r="Z220" s="1106">
        <f t="shared" si="69"/>
        <v>-3273.1942702284164</v>
      </c>
      <c r="AA220" s="1106">
        <f t="shared" si="70"/>
        <v>8673.8911343399141</v>
      </c>
      <c r="AC220" s="1098">
        <f t="shared" si="55"/>
        <v>600.07742934572207</v>
      </c>
      <c r="AD220" s="1054">
        <f t="shared" si="56"/>
        <v>600.07742934572207</v>
      </c>
    </row>
    <row r="221" spans="1:30" hidden="1" x14ac:dyDescent="0.35">
      <c r="A221" s="179">
        <v>4</v>
      </c>
      <c r="B221" s="880" t="s">
        <v>22</v>
      </c>
      <c r="C221" s="986" t="s">
        <v>519</v>
      </c>
      <c r="D221" s="83" t="s">
        <v>520</v>
      </c>
      <c r="E221" s="399" t="str">
        <f>VLOOKUP(F221,'Quy đổi'!A:D,4,0)</f>
        <v>rHDPE ép</v>
      </c>
      <c r="F221" s="986" t="s">
        <v>43</v>
      </c>
      <c r="G221" s="82" t="s">
        <v>42</v>
      </c>
      <c r="H221" s="257" t="str">
        <f>IFERROR(VLOOKUP(F221,'Quy đổi'!A:C,3,0),"-")</f>
        <v>Vảy HD Ép dương</v>
      </c>
      <c r="I221" s="1098">
        <v>3000</v>
      </c>
      <c r="J221" s="1098">
        <v>46500000</v>
      </c>
      <c r="K221" s="1098">
        <v>46500000</v>
      </c>
      <c r="O221" s="1097">
        <f t="shared" si="71"/>
        <v>46500000</v>
      </c>
      <c r="P221" s="1096">
        <f t="shared" si="65"/>
        <v>15500</v>
      </c>
      <c r="Q221" s="1096">
        <f t="shared" si="66"/>
        <v>600.07742934572207</v>
      </c>
      <c r="R221" s="1099">
        <v>75061757</v>
      </c>
      <c r="S221" s="1096">
        <f t="shared" si="57"/>
        <v>25020.585666666666</v>
      </c>
      <c r="T221" s="1096">
        <f t="shared" si="58"/>
        <v>1021.2483945578231</v>
      </c>
      <c r="U221" s="1096">
        <f t="shared" si="59"/>
        <v>-28561757</v>
      </c>
      <c r="V221" s="1102">
        <f t="shared" si="60"/>
        <v>-0.61423133333333335</v>
      </c>
      <c r="W221" s="1098">
        <v>25830</v>
      </c>
      <c r="X221" s="1106">
        <f t="shared" si="67"/>
        <v>1800.2322880371662</v>
      </c>
      <c r="Y221" s="1106">
        <f t="shared" si="68"/>
        <v>1800.2322880371662</v>
      </c>
      <c r="Z221" s="1106">
        <f t="shared" si="69"/>
        <v>-1105.759078590786</v>
      </c>
      <c r="AA221" s="1106">
        <f t="shared" si="70"/>
        <v>2905.9913666279522</v>
      </c>
      <c r="AC221" s="1098">
        <f t="shared" si="55"/>
        <v>600.07742934572207</v>
      </c>
      <c r="AD221" s="1054">
        <f t="shared" si="56"/>
        <v>600.07742934572207</v>
      </c>
    </row>
    <row r="222" spans="1:30" hidden="1" x14ac:dyDescent="0.35">
      <c r="A222" s="179">
        <v>4</v>
      </c>
      <c r="B222" s="880" t="s">
        <v>22</v>
      </c>
      <c r="C222" s="986" t="s">
        <v>633</v>
      </c>
      <c r="D222" s="83" t="s">
        <v>634</v>
      </c>
      <c r="E222" s="399" t="str">
        <f>VLOOKUP(F222,'Quy đổi'!A:D,4,0)</f>
        <v>rHDPE thổi</v>
      </c>
      <c r="F222" s="986" t="s">
        <v>52</v>
      </c>
      <c r="G222" s="82" t="s">
        <v>51</v>
      </c>
      <c r="H222" s="257" t="str">
        <f>IFERROR(VLOOKUP(F222,'Quy đổi'!A:C,3,0),"-")</f>
        <v>rHDB04B01</v>
      </c>
      <c r="I222" s="1098">
        <v>1000</v>
      </c>
      <c r="J222" s="1098">
        <v>17000000</v>
      </c>
      <c r="K222" s="1098">
        <v>17000000</v>
      </c>
      <c r="O222" s="1097">
        <f t="shared" si="71"/>
        <v>17000000</v>
      </c>
      <c r="P222" s="1096">
        <f t="shared" si="65"/>
        <v>17000</v>
      </c>
      <c r="Q222" s="1096">
        <f t="shared" si="66"/>
        <v>658.14943863724352</v>
      </c>
      <c r="R222" s="1099">
        <v>22999207</v>
      </c>
      <c r="S222" s="1096">
        <f t="shared" si="57"/>
        <v>22999.206999999999</v>
      </c>
      <c r="T222" s="1096">
        <f t="shared" si="58"/>
        <v>938.74314285714274</v>
      </c>
      <c r="U222" s="1096">
        <f t="shared" si="59"/>
        <v>-5999207</v>
      </c>
      <c r="V222" s="1102">
        <f t="shared" si="60"/>
        <v>-0.35289452941176469</v>
      </c>
      <c r="W222" s="1098">
        <v>25830</v>
      </c>
      <c r="X222" s="1106">
        <f t="shared" si="67"/>
        <v>658.14943863724352</v>
      </c>
      <c r="Y222" s="1106">
        <f t="shared" si="68"/>
        <v>658.14943863724352</v>
      </c>
      <c r="Z222" s="1106">
        <f t="shared" si="69"/>
        <v>-232.25733643050717</v>
      </c>
      <c r="AA222" s="1106">
        <f t="shared" si="70"/>
        <v>890.40677506775069</v>
      </c>
      <c r="AC222" s="1098">
        <f t="shared" si="55"/>
        <v>658.14943863724352</v>
      </c>
      <c r="AD222" s="1054">
        <f t="shared" si="56"/>
        <v>658.14943863724352</v>
      </c>
    </row>
    <row r="223" spans="1:30" hidden="1" x14ac:dyDescent="0.35">
      <c r="A223" s="179">
        <v>4</v>
      </c>
      <c r="B223" s="880" t="s">
        <v>22</v>
      </c>
      <c r="C223" s="986" t="s">
        <v>712</v>
      </c>
      <c r="D223" s="83" t="s">
        <v>713</v>
      </c>
      <c r="E223" s="399" t="str">
        <f>VLOOKUP(F223,'Quy đổi'!A:D,4,0)</f>
        <v>Xơ sợi</v>
      </c>
      <c r="F223" s="986" t="s">
        <v>218</v>
      </c>
      <c r="G223" s="82" t="s">
        <v>228</v>
      </c>
      <c r="H223" s="257" t="str">
        <f>IFERROR(VLOOKUP(F223,'Quy đổi'!A:C,3,0),"-")</f>
        <v>WSS04SB</v>
      </c>
      <c r="I223" s="1098">
        <v>1000</v>
      </c>
      <c r="J223" s="1098">
        <v>29187900</v>
      </c>
      <c r="K223" s="1098">
        <v>29187900</v>
      </c>
      <c r="L223" s="1056">
        <f>2200000</f>
        <v>2200000</v>
      </c>
      <c r="O223" s="1097">
        <f t="shared" si="71"/>
        <v>26987900</v>
      </c>
      <c r="P223" s="1096">
        <f t="shared" si="65"/>
        <v>26987.9</v>
      </c>
      <c r="Q223" s="1096">
        <f t="shared" si="66"/>
        <v>1044.8277197057685</v>
      </c>
      <c r="R223" s="1099">
        <v>24402916</v>
      </c>
      <c r="S223" s="1096">
        <f t="shared" si="57"/>
        <v>24402.916000000001</v>
      </c>
      <c r="T223" s="1096">
        <f t="shared" si="58"/>
        <v>996.03738775510203</v>
      </c>
      <c r="U223" s="1096">
        <f t="shared" si="59"/>
        <v>2584984</v>
      </c>
      <c r="V223" s="1102">
        <f t="shared" si="60"/>
        <v>8.8563548593766597E-2</v>
      </c>
      <c r="W223" s="1098">
        <v>25830</v>
      </c>
      <c r="X223" s="1106">
        <f t="shared" si="67"/>
        <v>1044.8277197057685</v>
      </c>
      <c r="Y223" s="1106">
        <f t="shared" si="68"/>
        <v>1130</v>
      </c>
      <c r="Z223" s="1106">
        <f t="shared" si="69"/>
        <v>100.07680991095626</v>
      </c>
      <c r="AA223" s="1106">
        <f t="shared" si="70"/>
        <v>944.75090979481229</v>
      </c>
      <c r="AC223" s="1098">
        <f t="shared" si="55"/>
        <v>1044.8277197057685</v>
      </c>
      <c r="AD223" s="1054">
        <f t="shared" si="56"/>
        <v>1044.8277197057685</v>
      </c>
    </row>
    <row r="224" spans="1:30" hidden="1" x14ac:dyDescent="0.35">
      <c r="A224" s="179">
        <v>4</v>
      </c>
      <c r="B224" s="880" t="s">
        <v>22</v>
      </c>
      <c r="C224" s="986" t="s">
        <v>637</v>
      </c>
      <c r="D224" s="83" t="s">
        <v>638</v>
      </c>
      <c r="E224" s="399" t="str">
        <f>VLOOKUP(F224,'Quy đổi'!A:D,4,0)</f>
        <v>rHDPE ép</v>
      </c>
      <c r="F224" s="986" t="s">
        <v>206</v>
      </c>
      <c r="G224" s="82" t="s">
        <v>207</v>
      </c>
      <c r="H224" s="257" t="str">
        <f>IFERROR(VLOOKUP(F224,'Quy đổi'!A:C,3,0),"-")</f>
        <v>rHDI3R01</v>
      </c>
      <c r="I224" s="1098">
        <v>1500</v>
      </c>
      <c r="J224" s="1098">
        <v>28472222</v>
      </c>
      <c r="K224" s="1098">
        <v>28472222</v>
      </c>
      <c r="M224" s="1056">
        <f>I224*1000/1.08</f>
        <v>1388888.8888888888</v>
      </c>
      <c r="O224" s="1097">
        <f t="shared" si="71"/>
        <v>27083333.111111112</v>
      </c>
      <c r="P224" s="1096">
        <f t="shared" si="65"/>
        <v>18055.555407407406</v>
      </c>
      <c r="Q224" s="1096">
        <f t="shared" si="66"/>
        <v>699.01492092169588</v>
      </c>
      <c r="R224" s="1099">
        <v>19415638</v>
      </c>
      <c r="S224" s="1096">
        <f t="shared" si="57"/>
        <v>12943.758666666667</v>
      </c>
      <c r="T224" s="1096">
        <f t="shared" si="58"/>
        <v>528.3166802721089</v>
      </c>
      <c r="U224" s="1096">
        <f t="shared" si="59"/>
        <v>7667695.1111111119</v>
      </c>
      <c r="V224" s="1102">
        <f t="shared" si="60"/>
        <v>0.26930441576042474</v>
      </c>
      <c r="W224" s="1098">
        <v>25830</v>
      </c>
      <c r="X224" s="1106">
        <f t="shared" si="67"/>
        <v>1048.5223813825439</v>
      </c>
      <c r="Y224" s="1106">
        <f t="shared" si="68"/>
        <v>1102.292760356175</v>
      </c>
      <c r="Z224" s="1106">
        <f t="shared" si="69"/>
        <v>296.85230782466556</v>
      </c>
      <c r="AA224" s="1106">
        <f t="shared" si="70"/>
        <v>751.67007355787848</v>
      </c>
      <c r="AC224" s="1098">
        <f t="shared" si="55"/>
        <v>699.01492092169588</v>
      </c>
      <c r="AD224" s="1054">
        <f t="shared" si="56"/>
        <v>699.01492092169588</v>
      </c>
    </row>
    <row r="225" spans="1:30" hidden="1" x14ac:dyDescent="0.35">
      <c r="A225" s="179">
        <v>4</v>
      </c>
      <c r="B225" s="880" t="s">
        <v>22</v>
      </c>
      <c r="C225" s="986" t="s">
        <v>637</v>
      </c>
      <c r="D225" s="83" t="s">
        <v>638</v>
      </c>
      <c r="E225" s="399" t="str">
        <f>VLOOKUP(F225,'Quy đổi'!A:D,4,0)</f>
        <v>rHDPE ép</v>
      </c>
      <c r="F225" s="986" t="s">
        <v>210</v>
      </c>
      <c r="G225" s="82" t="s">
        <v>211</v>
      </c>
      <c r="H225" s="257" t="str">
        <f>IFERROR(VLOOKUP(F225,'Quy đổi'!A:C,3,0),"-")</f>
        <v>rHDI3Y01</v>
      </c>
      <c r="I225" s="1098">
        <v>1500</v>
      </c>
      <c r="J225" s="1098">
        <v>28472222</v>
      </c>
      <c r="K225" s="1098">
        <v>28472222</v>
      </c>
      <c r="M225" s="1056">
        <f>I225*1000/1.08</f>
        <v>1388888.8888888888</v>
      </c>
      <c r="O225" s="1097">
        <f t="shared" si="71"/>
        <v>27083333.111111112</v>
      </c>
      <c r="P225" s="1096">
        <f t="shared" si="65"/>
        <v>18055.555407407406</v>
      </c>
      <c r="Q225" s="1096">
        <f t="shared" si="66"/>
        <v>699.01492092169588</v>
      </c>
      <c r="R225" s="1099">
        <v>51521520</v>
      </c>
      <c r="S225" s="1096">
        <f t="shared" si="57"/>
        <v>34347.68</v>
      </c>
      <c r="T225" s="1096">
        <f t="shared" si="58"/>
        <v>1401.9461224489796</v>
      </c>
      <c r="U225" s="1096">
        <f t="shared" si="59"/>
        <v>-24438186.888888888</v>
      </c>
      <c r="V225" s="1102">
        <f t="shared" si="60"/>
        <v>-0.85831681450393604</v>
      </c>
      <c r="W225" s="1098">
        <v>25830</v>
      </c>
      <c r="X225" s="1106">
        <f t="shared" si="67"/>
        <v>1048.5223813825439</v>
      </c>
      <c r="Y225" s="1106">
        <f t="shared" si="68"/>
        <v>1102.292760356175</v>
      </c>
      <c r="Z225" s="1106">
        <f t="shared" si="69"/>
        <v>-946.11641071966267</v>
      </c>
      <c r="AA225" s="1106">
        <f t="shared" si="70"/>
        <v>1994.6387921022067</v>
      </c>
      <c r="AC225" s="1098">
        <f t="shared" si="55"/>
        <v>699.01492092169588</v>
      </c>
      <c r="AD225" s="1054">
        <f t="shared" si="56"/>
        <v>699.01492092169588</v>
      </c>
    </row>
    <row r="226" spans="1:30" hidden="1" x14ac:dyDescent="0.35">
      <c r="A226" s="179">
        <v>4</v>
      </c>
      <c r="B226" s="880" t="s">
        <v>22</v>
      </c>
      <c r="C226" s="986" t="s">
        <v>637</v>
      </c>
      <c r="D226" s="83" t="s">
        <v>638</v>
      </c>
      <c r="E226" s="399" t="str">
        <f>VLOOKUP(F226,'Quy đổi'!A:D,4,0)</f>
        <v>rHDPE ép</v>
      </c>
      <c r="F226" s="986" t="s">
        <v>204</v>
      </c>
      <c r="G226" s="82" t="s">
        <v>205</v>
      </c>
      <c r="H226" s="257" t="str">
        <f>IFERROR(VLOOKUP(F226,'Quy đổi'!A:C,3,0),"-")</f>
        <v>rHDI3G01</v>
      </c>
      <c r="I226" s="1098">
        <v>26875</v>
      </c>
      <c r="J226" s="1098">
        <v>512118055</v>
      </c>
      <c r="K226" s="1098">
        <v>512118055</v>
      </c>
      <c r="M226" s="1056">
        <f>I226*1000</f>
        <v>26875000</v>
      </c>
      <c r="O226" s="1097">
        <f t="shared" si="71"/>
        <v>485243055</v>
      </c>
      <c r="P226" s="1096">
        <f t="shared" si="65"/>
        <v>18055.555534883722</v>
      </c>
      <c r="Q226" s="1096">
        <f t="shared" si="66"/>
        <v>699.01492585689982</v>
      </c>
      <c r="R226" s="1099">
        <v>700056754</v>
      </c>
      <c r="S226" s="1096">
        <f t="shared" si="57"/>
        <v>26048.623404651164</v>
      </c>
      <c r="T226" s="1096">
        <f t="shared" si="58"/>
        <v>1063.2091185571903</v>
      </c>
      <c r="U226" s="1096">
        <f t="shared" si="59"/>
        <v>-214813699</v>
      </c>
      <c r="V226" s="1102">
        <f t="shared" si="60"/>
        <v>-0.41946128808131944</v>
      </c>
      <c r="W226" s="1098">
        <v>25830</v>
      </c>
      <c r="X226" s="1106">
        <f t="shared" si="67"/>
        <v>18786.026132404182</v>
      </c>
      <c r="Y226" s="1106">
        <f t="shared" si="68"/>
        <v>19826.482965543943</v>
      </c>
      <c r="Z226" s="1106">
        <f t="shared" si="69"/>
        <v>-8316.4420828494003</v>
      </c>
      <c r="AA226" s="1106">
        <f t="shared" si="70"/>
        <v>27102.468215253582</v>
      </c>
      <c r="AC226" s="1098">
        <f t="shared" si="55"/>
        <v>699.01492585689982</v>
      </c>
      <c r="AD226" s="1054">
        <f t="shared" si="56"/>
        <v>699.01492585689982</v>
      </c>
    </row>
    <row r="227" spans="1:30" hidden="1" x14ac:dyDescent="0.35">
      <c r="A227" s="179">
        <v>4</v>
      </c>
      <c r="B227" s="880" t="s">
        <v>22</v>
      </c>
      <c r="C227" s="986" t="s">
        <v>637</v>
      </c>
      <c r="D227" s="83" t="s">
        <v>638</v>
      </c>
      <c r="E227" s="399" t="str">
        <f>VLOOKUP(F227,'Quy đổi'!A:D,4,0)</f>
        <v>rHDPE ép</v>
      </c>
      <c r="F227" s="986" t="s">
        <v>37</v>
      </c>
      <c r="G227" s="82" t="s">
        <v>36</v>
      </c>
      <c r="H227" s="257" t="str">
        <f>IFERROR(VLOOKUP(F227,'Quy đổi'!A:C,3,0),"-")</f>
        <v>Vảy HD Ép Đỏ</v>
      </c>
      <c r="I227" s="1098">
        <v>6000</v>
      </c>
      <c r="J227" s="1098">
        <v>103822222</v>
      </c>
      <c r="K227" s="1098">
        <v>103822222</v>
      </c>
      <c r="M227" s="1056">
        <f>I227*1100</f>
        <v>6600000</v>
      </c>
      <c r="O227" s="1097">
        <f t="shared" si="71"/>
        <v>97222222</v>
      </c>
      <c r="P227" s="1096">
        <f t="shared" si="65"/>
        <v>16203.703666666666</v>
      </c>
      <c r="Q227" s="1096">
        <f t="shared" si="66"/>
        <v>627.32108659181824</v>
      </c>
      <c r="R227" s="1099">
        <v>167481800</v>
      </c>
      <c r="S227" s="1096">
        <f t="shared" si="57"/>
        <v>27913.633333333335</v>
      </c>
      <c r="T227" s="1096">
        <f t="shared" si="58"/>
        <v>1139.3319727891158</v>
      </c>
      <c r="U227" s="1096">
        <f t="shared" si="59"/>
        <v>-70259578</v>
      </c>
      <c r="V227" s="1102">
        <f t="shared" si="60"/>
        <v>-0.67672966968478099</v>
      </c>
      <c r="W227" s="1098">
        <v>25830</v>
      </c>
      <c r="X227" s="1106">
        <f t="shared" si="67"/>
        <v>3763.9265195509097</v>
      </c>
      <c r="Y227" s="1106">
        <f t="shared" si="68"/>
        <v>4019.4433604336045</v>
      </c>
      <c r="Z227" s="1106">
        <f t="shared" si="69"/>
        <v>-2720.0765776229191</v>
      </c>
      <c r="AA227" s="1106">
        <f t="shared" si="70"/>
        <v>6484.0030971738288</v>
      </c>
      <c r="AC227" s="1098">
        <f t="shared" si="55"/>
        <v>627.32108659181824</v>
      </c>
      <c r="AD227" s="1054">
        <f t="shared" si="56"/>
        <v>627.32108659181824</v>
      </c>
    </row>
    <row r="228" spans="1:30" hidden="1" x14ac:dyDescent="0.35">
      <c r="A228" s="179">
        <v>4</v>
      </c>
      <c r="B228" s="880" t="s">
        <v>22</v>
      </c>
      <c r="C228" s="986" t="s">
        <v>714</v>
      </c>
      <c r="D228" s="83" t="s">
        <v>715</v>
      </c>
      <c r="E228" s="399" t="str">
        <f>VLOOKUP(F228,'Quy đổi'!A:D,4,0)</f>
        <v>rHDPE ép</v>
      </c>
      <c r="F228" s="986" t="s">
        <v>39</v>
      </c>
      <c r="G228" s="82" t="s">
        <v>38</v>
      </c>
      <c r="H228" s="257" t="str">
        <f>IFERROR(VLOOKUP(F228,'Quy đổi'!A:C,3,0),"-")</f>
        <v>Vảy HD Ép Vàng</v>
      </c>
      <c r="I228" s="1098">
        <v>750</v>
      </c>
      <c r="J228" s="1098">
        <v>11805556</v>
      </c>
      <c r="K228" s="1098">
        <v>11805556</v>
      </c>
      <c r="O228" s="1097">
        <f t="shared" si="71"/>
        <v>11805556</v>
      </c>
      <c r="P228" s="1096">
        <f t="shared" si="65"/>
        <v>15740.741333333333</v>
      </c>
      <c r="Q228" s="1096">
        <f t="shared" si="66"/>
        <v>609.39765130984642</v>
      </c>
      <c r="R228" s="1099">
        <v>18818357</v>
      </c>
      <c r="S228" s="1096">
        <f t="shared" si="57"/>
        <v>25091.142666666667</v>
      </c>
      <c r="T228" s="1096">
        <f t="shared" si="58"/>
        <v>1024.1282721088435</v>
      </c>
      <c r="U228" s="1096">
        <f t="shared" si="59"/>
        <v>-7012801</v>
      </c>
      <c r="V228" s="1102">
        <f t="shared" si="60"/>
        <v>-0.59402547410727624</v>
      </c>
      <c r="W228" s="1098">
        <v>25830</v>
      </c>
      <c r="X228" s="1106">
        <f t="shared" si="67"/>
        <v>457.04823848238482</v>
      </c>
      <c r="Y228" s="1106">
        <f t="shared" si="68"/>
        <v>457.04823848238482</v>
      </c>
      <c r="Z228" s="1106">
        <f t="shared" si="69"/>
        <v>-271.49829655439413</v>
      </c>
      <c r="AA228" s="1106">
        <f t="shared" si="70"/>
        <v>728.54653503677889</v>
      </c>
      <c r="AC228" s="1098">
        <f t="shared" si="55"/>
        <v>609.39765130984642</v>
      </c>
      <c r="AD228" s="1054">
        <f t="shared" si="56"/>
        <v>609.39765130984642</v>
      </c>
    </row>
    <row r="229" spans="1:30" hidden="1" x14ac:dyDescent="0.35">
      <c r="A229" s="179">
        <v>4</v>
      </c>
      <c r="B229" s="880" t="s">
        <v>22</v>
      </c>
      <c r="C229" s="986" t="s">
        <v>714</v>
      </c>
      <c r="D229" s="83" t="s">
        <v>715</v>
      </c>
      <c r="E229" s="399" t="str">
        <f>VLOOKUP(F229,'Quy đổi'!A:D,4,0)</f>
        <v>rHDPE ép</v>
      </c>
      <c r="F229" s="986" t="s">
        <v>41</v>
      </c>
      <c r="G229" s="82" t="s">
        <v>40</v>
      </c>
      <c r="H229" s="257" t="str">
        <f>IFERROR(VLOOKUP(F229,'Quy đổi'!A:C,3,0),"-")</f>
        <v>Vảy HD Ép Lá</v>
      </c>
      <c r="I229" s="1098">
        <v>750</v>
      </c>
      <c r="J229" s="1098">
        <v>11805556</v>
      </c>
      <c r="K229" s="1098">
        <v>11805556</v>
      </c>
      <c r="O229" s="1097">
        <f t="shared" si="71"/>
        <v>11805556</v>
      </c>
      <c r="P229" s="1096">
        <f t="shared" si="65"/>
        <v>15740.741333333333</v>
      </c>
      <c r="Q229" s="1096">
        <f t="shared" si="66"/>
        <v>609.39765130984642</v>
      </c>
      <c r="R229" s="1099">
        <v>18670551</v>
      </c>
      <c r="S229" s="1096">
        <f t="shared" si="57"/>
        <v>24894.067999999999</v>
      </c>
      <c r="T229" s="1096">
        <f t="shared" si="58"/>
        <v>1016.0844081632653</v>
      </c>
      <c r="U229" s="1096">
        <f t="shared" si="59"/>
        <v>-6864995</v>
      </c>
      <c r="V229" s="1102">
        <f t="shared" si="60"/>
        <v>-0.58150543693155998</v>
      </c>
      <c r="W229" s="1098">
        <v>25830</v>
      </c>
      <c r="X229" s="1106">
        <f t="shared" si="67"/>
        <v>457.04823848238482</v>
      </c>
      <c r="Y229" s="1106">
        <f t="shared" si="68"/>
        <v>457.04823848238482</v>
      </c>
      <c r="Z229" s="1106">
        <f t="shared" si="69"/>
        <v>-265.77603561749902</v>
      </c>
      <c r="AA229" s="1106">
        <f t="shared" si="70"/>
        <v>722.82427409988384</v>
      </c>
      <c r="AC229" s="1098">
        <f t="shared" si="55"/>
        <v>609.39765130984642</v>
      </c>
      <c r="AD229" s="1054">
        <f t="shared" si="56"/>
        <v>609.39765130984642</v>
      </c>
    </row>
    <row r="230" spans="1:30" hidden="1" x14ac:dyDescent="0.35">
      <c r="A230" s="179">
        <v>4</v>
      </c>
      <c r="B230" s="880" t="s">
        <v>22</v>
      </c>
      <c r="C230" s="986" t="s">
        <v>716</v>
      </c>
      <c r="D230" s="83" t="s">
        <v>717</v>
      </c>
      <c r="E230" s="399" t="str">
        <f>VLOOKUP(F230,'Quy đổi'!A:D,4,0)</f>
        <v>rPP</v>
      </c>
      <c r="F230" s="986" t="s">
        <v>11</v>
      </c>
      <c r="G230" s="82" t="s">
        <v>10</v>
      </c>
      <c r="H230" s="257" t="str">
        <f>IFERROR(VLOOKUP(F230,'Quy đổi'!A:C,3,0),"-")</f>
        <v>rPP20B01</v>
      </c>
      <c r="I230" s="1098">
        <v>100</v>
      </c>
      <c r="J230" s="1098">
        <v>1906240</v>
      </c>
      <c r="K230" s="1098">
        <v>1906240</v>
      </c>
      <c r="O230" s="1097">
        <f t="shared" si="71"/>
        <v>1906240</v>
      </c>
      <c r="P230" s="1096">
        <f t="shared" si="65"/>
        <v>19062.400000000001</v>
      </c>
      <c r="Q230" s="1096">
        <f t="shared" si="66"/>
        <v>737.9945799457995</v>
      </c>
      <c r="R230" s="1099">
        <v>2142697</v>
      </c>
      <c r="S230" s="1096">
        <f t="shared" si="57"/>
        <v>21426.97</v>
      </c>
      <c r="T230" s="1096">
        <f t="shared" si="58"/>
        <v>874.57020408163271</v>
      </c>
      <c r="U230" s="1096">
        <f t="shared" si="59"/>
        <v>-236457</v>
      </c>
      <c r="V230" s="1102">
        <f t="shared" si="60"/>
        <v>-0.12404366711431929</v>
      </c>
      <c r="W230" s="1098">
        <v>25830</v>
      </c>
      <c r="X230" s="1106">
        <f t="shared" si="67"/>
        <v>73.799457994579939</v>
      </c>
      <c r="Y230" s="1106">
        <f t="shared" si="68"/>
        <v>73.799457994579939</v>
      </c>
      <c r="Z230" s="1106">
        <f t="shared" si="69"/>
        <v>-9.1543554006968648</v>
      </c>
      <c r="AA230" s="1106">
        <f t="shared" si="70"/>
        <v>82.953813395276811</v>
      </c>
      <c r="AC230" s="1098">
        <f t="shared" ref="AC230:AC247" si="72">X230/I230*1000</f>
        <v>737.99457994579939</v>
      </c>
      <c r="AD230" s="1054">
        <f t="shared" ref="AD230:AD247" si="73">AC230-AB230</f>
        <v>737.99457994579939</v>
      </c>
    </row>
    <row r="231" spans="1:30" hidden="1" x14ac:dyDescent="0.35">
      <c r="A231" s="179">
        <v>4</v>
      </c>
      <c r="B231" s="880" t="s">
        <v>22</v>
      </c>
      <c r="C231" s="986" t="s">
        <v>716</v>
      </c>
      <c r="D231" s="83" t="s">
        <v>717</v>
      </c>
      <c r="E231" s="399" t="str">
        <f>VLOOKUP(F231,'Quy đổi'!A:D,4,0)</f>
        <v>rPP</v>
      </c>
      <c r="F231" s="986" t="s">
        <v>19</v>
      </c>
      <c r="G231" s="82" t="s">
        <v>18</v>
      </c>
      <c r="H231" s="257" t="str">
        <f>IFERROR(VLOOKUP(F231,'Quy đổi'!A:C,3,0),"-")</f>
        <v>Vảy PP Đỏ Nhạt</v>
      </c>
      <c r="I231" s="1098">
        <v>100</v>
      </c>
      <c r="J231" s="1098">
        <v>2022160</v>
      </c>
      <c r="K231" s="1098">
        <v>2022160</v>
      </c>
      <c r="O231" s="1097">
        <f t="shared" si="71"/>
        <v>2022160</v>
      </c>
      <c r="P231" s="1096">
        <f t="shared" si="65"/>
        <v>20221.599999999999</v>
      </c>
      <c r="Q231" s="1096">
        <f t="shared" si="66"/>
        <v>782.87262872628719</v>
      </c>
      <c r="R231" s="1099">
        <v>2038326</v>
      </c>
      <c r="S231" s="1096">
        <f t="shared" si="57"/>
        <v>20383.259999999998</v>
      </c>
      <c r="T231" s="1096">
        <f t="shared" si="58"/>
        <v>831.96979591836725</v>
      </c>
      <c r="U231" s="1096">
        <f t="shared" si="59"/>
        <v>-16166</v>
      </c>
      <c r="V231" s="1102">
        <f t="shared" si="60"/>
        <v>-7.9944218063852518E-3</v>
      </c>
      <c r="W231" s="1098">
        <v>25830</v>
      </c>
      <c r="X231" s="1106">
        <f t="shared" si="67"/>
        <v>78.28726287262873</v>
      </c>
      <c r="Y231" s="1106">
        <f t="shared" si="68"/>
        <v>78.28726287262873</v>
      </c>
      <c r="Z231" s="1106">
        <f t="shared" si="69"/>
        <v>-0.62586140147115754</v>
      </c>
      <c r="AA231" s="1106">
        <f t="shared" si="70"/>
        <v>78.913124274099886</v>
      </c>
      <c r="AC231" s="1098">
        <f t="shared" si="72"/>
        <v>782.8726287262873</v>
      </c>
      <c r="AD231" s="1054">
        <f t="shared" si="73"/>
        <v>782.8726287262873</v>
      </c>
    </row>
    <row r="232" spans="1:30" hidden="1" x14ac:dyDescent="0.35">
      <c r="A232" s="179">
        <v>4</v>
      </c>
      <c r="B232" s="880" t="s">
        <v>22</v>
      </c>
      <c r="C232" s="986" t="s">
        <v>716</v>
      </c>
      <c r="D232" s="83" t="s">
        <v>717</v>
      </c>
      <c r="E232" s="399" t="str">
        <f>VLOOKUP(F232,'Quy đổi'!A:D,4,0)</f>
        <v>rPP</v>
      </c>
      <c r="F232" s="986" t="s">
        <v>729</v>
      </c>
      <c r="G232" s="82" t="s">
        <v>730</v>
      </c>
      <c r="H232" s="257" t="str">
        <f>IFERROR(VLOOKUP(F232,'Quy đổi'!A:C,3,0),"-")</f>
        <v>Vảy PP Dương Nhạt</v>
      </c>
      <c r="I232" s="1098">
        <v>100</v>
      </c>
      <c r="J232" s="1098">
        <v>2022160</v>
      </c>
      <c r="K232" s="1098">
        <v>2022160</v>
      </c>
      <c r="O232" s="1097">
        <f t="shared" si="71"/>
        <v>2022160</v>
      </c>
      <c r="P232" s="1096">
        <f t="shared" si="65"/>
        <v>20221.599999999999</v>
      </c>
      <c r="Q232" s="1096">
        <f t="shared" si="66"/>
        <v>782.87262872628719</v>
      </c>
      <c r="R232" s="1099">
        <v>1942461</v>
      </c>
      <c r="S232" s="1096">
        <f t="shared" si="57"/>
        <v>19424.61</v>
      </c>
      <c r="T232" s="1096">
        <f t="shared" si="58"/>
        <v>792.84122448979599</v>
      </c>
      <c r="U232" s="1096">
        <f t="shared" si="59"/>
        <v>79699</v>
      </c>
      <c r="V232" s="1102">
        <f t="shared" si="60"/>
        <v>3.9412806108319813E-2</v>
      </c>
      <c r="W232" s="1098">
        <v>25830</v>
      </c>
      <c r="X232" s="1106">
        <f t="shared" si="67"/>
        <v>78.28726287262873</v>
      </c>
      <c r="Y232" s="1106">
        <f t="shared" si="68"/>
        <v>78.28726287262873</v>
      </c>
      <c r="Z232" s="1106">
        <f t="shared" si="69"/>
        <v>3.0855207123499806</v>
      </c>
      <c r="AA232" s="1106">
        <f t="shared" si="70"/>
        <v>75.201742160278741</v>
      </c>
      <c r="AC232" s="1098">
        <f t="shared" si="72"/>
        <v>782.8726287262873</v>
      </c>
      <c r="AD232" s="1054">
        <f t="shared" si="73"/>
        <v>782.8726287262873</v>
      </c>
    </row>
    <row r="233" spans="1:30" hidden="1" x14ac:dyDescent="0.35">
      <c r="A233" s="179">
        <v>4</v>
      </c>
      <c r="B233" s="880" t="s">
        <v>22</v>
      </c>
      <c r="C233" s="986" t="s">
        <v>718</v>
      </c>
      <c r="D233" s="83" t="s">
        <v>719</v>
      </c>
      <c r="E233" s="399" t="str">
        <f>VLOOKUP(F233,'Quy đổi'!A:D,4,0)</f>
        <v>rHDPE ép</v>
      </c>
      <c r="F233" s="986" t="s">
        <v>41</v>
      </c>
      <c r="G233" s="82" t="s">
        <v>40</v>
      </c>
      <c r="H233" s="257" t="str">
        <f>IFERROR(VLOOKUP(F233,'Quy đổi'!A:C,3,0),"-")</f>
        <v>Vảy HD Ép Lá</v>
      </c>
      <c r="I233" s="1098">
        <v>50</v>
      </c>
      <c r="J233" s="1098">
        <v>750000</v>
      </c>
      <c r="K233" s="1098">
        <v>750000</v>
      </c>
      <c r="O233" s="1097">
        <f t="shared" si="71"/>
        <v>750000</v>
      </c>
      <c r="P233" s="1096">
        <f t="shared" si="65"/>
        <v>15000</v>
      </c>
      <c r="Q233" s="1096">
        <f t="shared" si="66"/>
        <v>580.72009291521488</v>
      </c>
      <c r="R233" s="1099">
        <v>1244703</v>
      </c>
      <c r="S233" s="1096">
        <f t="shared" si="57"/>
        <v>24894.06</v>
      </c>
      <c r="T233" s="1096">
        <f t="shared" si="58"/>
        <v>1016.0840816326531</v>
      </c>
      <c r="U233" s="1096">
        <f t="shared" si="59"/>
        <v>-494703</v>
      </c>
      <c r="V233" s="1102">
        <f t="shared" si="60"/>
        <v>-0.65960399999999997</v>
      </c>
      <c r="W233" s="1098">
        <v>25830</v>
      </c>
      <c r="X233" s="1106">
        <f t="shared" si="67"/>
        <v>29.036004645760745</v>
      </c>
      <c r="Y233" s="1106">
        <f t="shared" si="68"/>
        <v>29.036004645760745</v>
      </c>
      <c r="Z233" s="1106">
        <f t="shared" si="69"/>
        <v>-19.152264808362368</v>
      </c>
      <c r="AA233" s="1106">
        <f t="shared" si="70"/>
        <v>48.188269454123116</v>
      </c>
      <c r="AC233" s="1098">
        <f t="shared" si="72"/>
        <v>580.72009291521488</v>
      </c>
      <c r="AD233" s="1054">
        <f t="shared" si="73"/>
        <v>580.72009291521488</v>
      </c>
    </row>
    <row r="234" spans="1:30" hidden="1" x14ac:dyDescent="0.35">
      <c r="A234" s="179">
        <v>4</v>
      </c>
      <c r="B234" s="880" t="s">
        <v>22</v>
      </c>
      <c r="C234" s="986" t="s">
        <v>720</v>
      </c>
      <c r="D234" s="83" t="s">
        <v>721</v>
      </c>
      <c r="E234" s="399" t="str">
        <f>VLOOKUP(F234,'Quy đổi'!A:D,4,0)</f>
        <v>rHDPE thổi</v>
      </c>
      <c r="F234" s="986" t="s">
        <v>375</v>
      </c>
      <c r="G234" s="82" t="s">
        <v>376</v>
      </c>
      <c r="H234" s="257" t="str">
        <f>IFERROR(VLOOKUP(F234,'Quy đổi'!A:C,3,0),"-")</f>
        <v>A03N01</v>
      </c>
      <c r="I234" s="1098">
        <v>500</v>
      </c>
      <c r="J234" s="1098">
        <v>17303300</v>
      </c>
      <c r="K234" s="1098">
        <v>17303300</v>
      </c>
      <c r="O234" s="1097">
        <f t="shared" si="71"/>
        <v>17303300</v>
      </c>
      <c r="P234" s="1096">
        <f t="shared" si="65"/>
        <v>34606.6</v>
      </c>
      <c r="Q234" s="1096">
        <f t="shared" si="66"/>
        <v>1339.7831978319782</v>
      </c>
      <c r="R234" s="1099">
        <v>14126913</v>
      </c>
      <c r="S234" s="1096">
        <f t="shared" ref="S234:S247" si="74">R234/I234</f>
        <v>28253.826000000001</v>
      </c>
      <c r="T234" s="1096">
        <f t="shared" ref="T234:T247" si="75">S234/24.5</f>
        <v>1153.217387755102</v>
      </c>
      <c r="U234" s="1096">
        <f t="shared" ref="U234:U247" si="76">O234-R234</f>
        <v>3176387</v>
      </c>
      <c r="V234" s="1102">
        <f t="shared" ref="V234:V247" si="77">U234/K234</f>
        <v>0.18357116850542959</v>
      </c>
      <c r="W234" s="1098">
        <v>25830</v>
      </c>
      <c r="X234" s="1106">
        <f t="shared" si="67"/>
        <v>669.89159891598911</v>
      </c>
      <c r="Y234" s="1106">
        <f t="shared" si="68"/>
        <v>669.89159891598911</v>
      </c>
      <c r="Z234" s="1106">
        <f t="shared" si="69"/>
        <v>122.9727835849787</v>
      </c>
      <c r="AA234" s="1106">
        <f t="shared" si="70"/>
        <v>546.91881533101048</v>
      </c>
      <c r="AC234" s="1098">
        <f t="shared" si="72"/>
        <v>1339.7831978319782</v>
      </c>
      <c r="AD234" s="1054">
        <f t="shared" si="73"/>
        <v>1339.7831978319782</v>
      </c>
    </row>
    <row r="235" spans="1:30" hidden="1" x14ac:dyDescent="0.35">
      <c r="A235" s="179">
        <v>4</v>
      </c>
      <c r="B235" s="880" t="s">
        <v>22</v>
      </c>
      <c r="C235" s="986" t="s">
        <v>722</v>
      </c>
      <c r="D235" s="83" t="s">
        <v>723</v>
      </c>
      <c r="E235" s="399" t="str">
        <f>VLOOKUP(F235,'Quy đổi'!A:D,4,0)</f>
        <v>rHDPE thổi</v>
      </c>
      <c r="F235" s="986" t="s">
        <v>52</v>
      </c>
      <c r="G235" s="82" t="s">
        <v>51</v>
      </c>
      <c r="H235" s="257" t="str">
        <f>IFERROR(VLOOKUP(F235,'Quy đổi'!A:C,3,0),"-")</f>
        <v>rHDB04B01</v>
      </c>
      <c r="I235" s="1098">
        <v>1000</v>
      </c>
      <c r="J235" s="1098">
        <v>16700000</v>
      </c>
      <c r="K235" s="1098">
        <v>16700000</v>
      </c>
      <c r="O235" s="1097">
        <f t="shared" si="71"/>
        <v>16700000</v>
      </c>
      <c r="P235" s="1096">
        <f t="shared" si="65"/>
        <v>16700</v>
      </c>
      <c r="Q235" s="1096">
        <f t="shared" si="66"/>
        <v>646.53503677893923</v>
      </c>
      <c r="R235" s="1099">
        <v>22999207</v>
      </c>
      <c r="S235" s="1096">
        <f t="shared" si="74"/>
        <v>22999.206999999999</v>
      </c>
      <c r="T235" s="1096">
        <f t="shared" si="75"/>
        <v>938.74314285714274</v>
      </c>
      <c r="U235" s="1096">
        <f t="shared" si="76"/>
        <v>-6299207</v>
      </c>
      <c r="V235" s="1102">
        <f t="shared" si="77"/>
        <v>-0.37719802395209578</v>
      </c>
      <c r="W235" s="1098">
        <v>25830</v>
      </c>
      <c r="X235" s="1106">
        <f t="shared" si="67"/>
        <v>646.53503677893923</v>
      </c>
      <c r="Y235" s="1106">
        <f t="shared" si="68"/>
        <v>646.53503677893923</v>
      </c>
      <c r="Z235" s="1106">
        <f t="shared" si="69"/>
        <v>-243.87173828881146</v>
      </c>
      <c r="AA235" s="1106">
        <f t="shared" si="70"/>
        <v>890.40677506775069</v>
      </c>
      <c r="AC235" s="1098">
        <f t="shared" si="72"/>
        <v>646.53503677893923</v>
      </c>
      <c r="AD235" s="1054">
        <f t="shared" si="73"/>
        <v>646.53503677893923</v>
      </c>
    </row>
    <row r="236" spans="1:30" hidden="1" x14ac:dyDescent="0.35">
      <c r="A236" s="179">
        <v>4</v>
      </c>
      <c r="B236" s="880" t="s">
        <v>22</v>
      </c>
      <c r="C236" s="986" t="s">
        <v>724</v>
      </c>
      <c r="D236" s="83" t="s">
        <v>731</v>
      </c>
      <c r="E236" s="399" t="str">
        <f>VLOOKUP(F236,'Quy đổi'!A:D,4,0)</f>
        <v>rPET</v>
      </c>
      <c r="F236" s="986" t="s">
        <v>127</v>
      </c>
      <c r="G236" s="82" t="s">
        <v>114</v>
      </c>
      <c r="H236" s="257" t="str">
        <f>IFERROR(VLOOKUP(F236,'Quy đổi'!A:C,3,0),"-")</f>
        <v>iSS01084G</v>
      </c>
      <c r="I236" s="1098">
        <v>3300</v>
      </c>
      <c r="J236" s="1098">
        <v>143649000</v>
      </c>
      <c r="K236" s="1098">
        <v>141924566</v>
      </c>
      <c r="L236" s="1056">
        <v>7500000</v>
      </c>
      <c r="O236" s="1097">
        <f t="shared" si="71"/>
        <v>134424566</v>
      </c>
      <c r="P236" s="1096">
        <f t="shared" si="65"/>
        <v>40734.716969696972</v>
      </c>
      <c r="Q236" s="1096">
        <f t="shared" si="66"/>
        <v>1577.031241567827</v>
      </c>
      <c r="R236" s="1099">
        <v>87697121</v>
      </c>
      <c r="S236" s="1096">
        <f t="shared" si="74"/>
        <v>26574.885151515151</v>
      </c>
      <c r="T236" s="1096">
        <f t="shared" si="75"/>
        <v>1084.6891898577612</v>
      </c>
      <c r="U236" s="1096">
        <f t="shared" si="76"/>
        <v>46727445</v>
      </c>
      <c r="V236" s="1102">
        <f t="shared" si="77"/>
        <v>0.32924141547137092</v>
      </c>
      <c r="W236" s="1098">
        <v>25830</v>
      </c>
      <c r="X236" s="1106">
        <f t="shared" si="67"/>
        <v>5204.2030971738286</v>
      </c>
      <c r="Y236" s="1106">
        <f t="shared" si="68"/>
        <v>5494.5631436314361</v>
      </c>
      <c r="Z236" s="1106">
        <f t="shared" si="69"/>
        <v>1809.0377468060394</v>
      </c>
      <c r="AA236" s="1106">
        <f t="shared" si="70"/>
        <v>3395.1653503677894</v>
      </c>
      <c r="AC236" s="1098">
        <f t="shared" si="72"/>
        <v>1577.031241567827</v>
      </c>
      <c r="AD236" s="1054">
        <f t="shared" si="73"/>
        <v>1577.031241567827</v>
      </c>
    </row>
    <row r="237" spans="1:30" hidden="1" x14ac:dyDescent="0.35">
      <c r="A237" s="179">
        <v>4</v>
      </c>
      <c r="B237" s="880" t="s">
        <v>26</v>
      </c>
      <c r="C237" s="986" t="s">
        <v>161</v>
      </c>
      <c r="D237" s="83" t="s">
        <v>160</v>
      </c>
      <c r="E237" s="399" t="str">
        <f>VLOOKUP(F237,'Quy đổi'!A:D,4,0)</f>
        <v>rPET</v>
      </c>
      <c r="F237" s="986" t="s">
        <v>110</v>
      </c>
      <c r="G237" s="82" t="s">
        <v>109</v>
      </c>
      <c r="H237" s="257" t="str">
        <f>IFERROR(VLOOKUP(F237,'Quy đổi'!A:C,3,0),"-")</f>
        <v>WSS01G</v>
      </c>
      <c r="I237" s="1098">
        <v>44000</v>
      </c>
      <c r="J237" s="1098">
        <v>1421181300</v>
      </c>
      <c r="K237" s="1098">
        <v>1430034672</v>
      </c>
      <c r="L237" s="1104">
        <v>19850444</v>
      </c>
      <c r="O237" s="1097">
        <f t="shared" si="71"/>
        <v>1410184228</v>
      </c>
      <c r="P237" s="1096">
        <f t="shared" si="65"/>
        <v>32049.641545454546</v>
      </c>
      <c r="Q237" s="1096">
        <f t="shared" si="66"/>
        <v>1240.7913877450462</v>
      </c>
      <c r="R237" s="1099">
        <v>1182312328</v>
      </c>
      <c r="S237" s="1096">
        <f t="shared" si="74"/>
        <v>26870.734727272727</v>
      </c>
      <c r="T237" s="1096">
        <f t="shared" si="75"/>
        <v>1096.7646827458257</v>
      </c>
      <c r="U237" s="1096">
        <f t="shared" si="76"/>
        <v>227871900</v>
      </c>
      <c r="V237" s="1102">
        <f t="shared" si="77"/>
        <v>0.15934711546630248</v>
      </c>
      <c r="W237" s="1098">
        <v>25830</v>
      </c>
      <c r="X237" s="1106">
        <f t="shared" si="67"/>
        <v>54594.821060782037</v>
      </c>
      <c r="Y237" s="1106">
        <f t="shared" si="68"/>
        <v>55363.324506387922</v>
      </c>
      <c r="Z237" s="1106">
        <f t="shared" si="69"/>
        <v>8821.9860627177695</v>
      </c>
      <c r="AA237" s="1106">
        <f t="shared" si="70"/>
        <v>45772.834998064267</v>
      </c>
      <c r="AC237" s="1098">
        <f t="shared" si="72"/>
        <v>1240.7913877450462</v>
      </c>
      <c r="AD237" s="1054">
        <f t="shared" si="73"/>
        <v>1240.7913877450462</v>
      </c>
    </row>
    <row r="238" spans="1:30" x14ac:dyDescent="0.35">
      <c r="A238" s="179">
        <v>4</v>
      </c>
      <c r="B238" s="880" t="s">
        <v>26</v>
      </c>
      <c r="C238" s="986" t="s">
        <v>165</v>
      </c>
      <c r="D238" s="83" t="s">
        <v>164</v>
      </c>
      <c r="E238" s="399" t="str">
        <f>VLOOKUP(F238,'Quy đổi'!A:D,4,0)</f>
        <v>rPET</v>
      </c>
      <c r="F238" s="986" t="s">
        <v>110</v>
      </c>
      <c r="G238" s="82" t="s">
        <v>109</v>
      </c>
      <c r="H238" s="257" t="str">
        <f>IFERROR(VLOOKUP(F238,'Quy đổi'!A:C,3,0),"-")</f>
        <v>WSS01G</v>
      </c>
      <c r="I238" s="1098">
        <v>374000</v>
      </c>
      <c r="J238" s="1098">
        <v>11787670645</v>
      </c>
      <c r="K238" s="1098">
        <v>11787670645</v>
      </c>
      <c r="L238" s="1104">
        <f>531002042/1408*374</f>
        <v>141047417.40625</v>
      </c>
      <c r="M238" s="1056">
        <v>176162677.96875</v>
      </c>
      <c r="O238" s="1097">
        <f t="shared" si="71"/>
        <v>11470460549.625</v>
      </c>
      <c r="P238" s="1096">
        <f t="shared" si="65"/>
        <v>30669.680613970588</v>
      </c>
      <c r="Q238" s="1096">
        <f t="shared" si="66"/>
        <v>1187.3666517216643</v>
      </c>
      <c r="R238" s="1099">
        <v>10049654788</v>
      </c>
      <c r="S238" s="1096">
        <f t="shared" si="74"/>
        <v>26870.734727272727</v>
      </c>
      <c r="T238" s="1096">
        <f t="shared" si="75"/>
        <v>1096.7646827458257</v>
      </c>
      <c r="U238" s="1096">
        <f t="shared" si="76"/>
        <v>1420805761.625</v>
      </c>
      <c r="V238" s="1102">
        <f t="shared" si="77"/>
        <v>0.12053320833388453</v>
      </c>
      <c r="W238" s="1098">
        <v>25830</v>
      </c>
      <c r="X238" s="1106">
        <f t="shared" si="67"/>
        <v>444075.12774390244</v>
      </c>
      <c r="Y238" s="1106">
        <f t="shared" si="68"/>
        <v>456355.8128145567</v>
      </c>
      <c r="Z238" s="1106">
        <f t="shared" si="69"/>
        <v>55006.030260356172</v>
      </c>
      <c r="AA238" s="1106">
        <f t="shared" si="70"/>
        <v>389069.09748354624</v>
      </c>
      <c r="AC238" s="1098">
        <f t="shared" si="72"/>
        <v>1187.3666517216643</v>
      </c>
      <c r="AD238" s="1054">
        <f t="shared" si="73"/>
        <v>1187.3666517216643</v>
      </c>
    </row>
    <row r="239" spans="1:30" x14ac:dyDescent="0.35">
      <c r="A239" s="179">
        <v>4</v>
      </c>
      <c r="B239" s="880" t="s">
        <v>26</v>
      </c>
      <c r="C239" s="986" t="s">
        <v>165</v>
      </c>
      <c r="D239" s="83" t="s">
        <v>164</v>
      </c>
      <c r="E239" s="399" t="str">
        <f>VLOOKUP(F239,'Quy đổi'!A:D,4,0)</f>
        <v>rPET</v>
      </c>
      <c r="F239" s="986" t="s">
        <v>110</v>
      </c>
      <c r="G239" s="82" t="s">
        <v>109</v>
      </c>
      <c r="H239" s="257" t="str">
        <f>IFERROR(VLOOKUP(F239,'Quy đổi'!A:C,3,0),"-")</f>
        <v>WSS01G</v>
      </c>
      <c r="I239" s="1098">
        <v>1034000</v>
      </c>
      <c r="J239" s="1098">
        <v>32435364928</v>
      </c>
      <c r="K239" s="1098">
        <v>32435364928</v>
      </c>
      <c r="L239" s="1104">
        <f>531002042/1408*1034</f>
        <v>389954624.59375</v>
      </c>
      <c r="M239" s="1056">
        <v>487037992.03125</v>
      </c>
      <c r="O239" s="1097">
        <f t="shared" si="71"/>
        <v>31558372311.375</v>
      </c>
      <c r="P239" s="1096">
        <f t="shared" ref="P239:P247" si="78">O239/I239</f>
        <v>30520.669546784331</v>
      </c>
      <c r="Q239" s="1096">
        <f t="shared" ref="Q239:Q247" si="79">P239/W239*1000</f>
        <v>1181.5977370028777</v>
      </c>
      <c r="R239" s="1099">
        <v>27784339708</v>
      </c>
      <c r="S239" s="1096">
        <f t="shared" si="74"/>
        <v>26870.734727272727</v>
      </c>
      <c r="T239" s="1096">
        <f t="shared" si="75"/>
        <v>1096.7646827458257</v>
      </c>
      <c r="U239" s="1096">
        <f t="shared" si="76"/>
        <v>3774032603.375</v>
      </c>
      <c r="V239" s="1102">
        <f t="shared" si="77"/>
        <v>0.1163554845691607</v>
      </c>
      <c r="W239" s="1098">
        <v>25830</v>
      </c>
      <c r="X239" s="1106">
        <f t="shared" si="67"/>
        <v>1221772.0600609756</v>
      </c>
      <c r="Y239" s="1106">
        <f t="shared" si="68"/>
        <v>1255724.5423151373</v>
      </c>
      <c r="Z239" s="1106">
        <f t="shared" si="69"/>
        <v>146110.43760646536</v>
      </c>
      <c r="AA239" s="1106">
        <f t="shared" si="70"/>
        <v>1075661.6224545103</v>
      </c>
      <c r="AC239" s="1098">
        <f t="shared" si="72"/>
        <v>1181.5977370028779</v>
      </c>
      <c r="AD239" s="1054">
        <f t="shared" si="73"/>
        <v>1181.5977370028779</v>
      </c>
    </row>
    <row r="240" spans="1:30" hidden="1" x14ac:dyDescent="0.35">
      <c r="A240" s="179">
        <v>4</v>
      </c>
      <c r="B240" s="880" t="s">
        <v>26</v>
      </c>
      <c r="C240" s="986" t="s">
        <v>46</v>
      </c>
      <c r="D240" s="83" t="s">
        <v>525</v>
      </c>
      <c r="E240" s="399" t="str">
        <f>VLOOKUP(F240,'Quy đổi'!A:D,4,0)</f>
        <v>rPET</v>
      </c>
      <c r="F240" s="986" t="s">
        <v>100</v>
      </c>
      <c r="G240" s="82" t="s">
        <v>99</v>
      </c>
      <c r="H240" s="257" t="str">
        <f>IFERROR(VLOOKUP(F240,'Quy đổi'!A:C,3,0),"-")</f>
        <v>iSS01G</v>
      </c>
      <c r="I240" s="1098">
        <v>880000</v>
      </c>
      <c r="J240" s="1098">
        <v>28283750000</v>
      </c>
      <c r="K240" s="1098">
        <v>28283750000</v>
      </c>
      <c r="L240" s="1104">
        <v>368631115</v>
      </c>
      <c r="O240" s="1097">
        <f t="shared" si="71"/>
        <v>27915118885</v>
      </c>
      <c r="P240" s="1096">
        <f t="shared" si="78"/>
        <v>31721.72600568182</v>
      </c>
      <c r="Q240" s="1096">
        <f t="shared" si="79"/>
        <v>1228.0962448967023</v>
      </c>
      <c r="R240" s="1099">
        <v>22129667800</v>
      </c>
      <c r="S240" s="1096">
        <f t="shared" si="74"/>
        <v>25147.349772727273</v>
      </c>
      <c r="T240" s="1096">
        <f t="shared" si="75"/>
        <v>1026.4224397031539</v>
      </c>
      <c r="U240" s="1096">
        <f t="shared" si="76"/>
        <v>5785451085</v>
      </c>
      <c r="V240" s="1102">
        <f t="shared" si="77"/>
        <v>0.2045503543554161</v>
      </c>
      <c r="W240" s="1098">
        <v>25830</v>
      </c>
      <c r="X240" s="1106">
        <f t="shared" si="67"/>
        <v>1080724.695509098</v>
      </c>
      <c r="Y240" s="1106">
        <f t="shared" si="68"/>
        <v>1094996.128532714</v>
      </c>
      <c r="Z240" s="1106">
        <f t="shared" si="69"/>
        <v>223981.84610917539</v>
      </c>
      <c r="AA240" s="1106">
        <f t="shared" si="70"/>
        <v>856742.84939992253</v>
      </c>
      <c r="AC240" s="1098">
        <f t="shared" si="72"/>
        <v>1228.0962448967023</v>
      </c>
      <c r="AD240" s="1054">
        <f t="shared" si="73"/>
        <v>1228.0962448967023</v>
      </c>
    </row>
    <row r="241" spans="1:30" hidden="1" x14ac:dyDescent="0.35">
      <c r="A241" s="179">
        <v>4</v>
      </c>
      <c r="B241" s="880" t="s">
        <v>26</v>
      </c>
      <c r="C241" s="986" t="s">
        <v>140</v>
      </c>
      <c r="D241" s="83" t="s">
        <v>139</v>
      </c>
      <c r="E241" s="399" t="str">
        <f>VLOOKUP(F241,'Quy đổi'!A:D,4,0)</f>
        <v>rPET</v>
      </c>
      <c r="F241" s="986" t="s">
        <v>100</v>
      </c>
      <c r="G241" s="82" t="s">
        <v>99</v>
      </c>
      <c r="H241" s="257" t="str">
        <f>IFERROR(VLOOKUP(F241,'Quy đổi'!A:C,3,0),"-")</f>
        <v>iSS01G</v>
      </c>
      <c r="I241" s="1098">
        <v>22000</v>
      </c>
      <c r="J241" s="1098">
        <v>720852000</v>
      </c>
      <c r="K241" s="1098">
        <v>720852000</v>
      </c>
      <c r="L241" s="1104">
        <v>12020741</v>
      </c>
      <c r="O241" s="1097">
        <f t="shared" si="71"/>
        <v>708831259</v>
      </c>
      <c r="P241" s="1096">
        <f t="shared" si="78"/>
        <v>32219.602681818182</v>
      </c>
      <c r="Q241" s="1096">
        <f t="shared" si="79"/>
        <v>1247.3713775384508</v>
      </c>
      <c r="R241" s="1099">
        <v>553241695</v>
      </c>
      <c r="S241" s="1096">
        <f t="shared" si="74"/>
        <v>25147.349772727273</v>
      </c>
      <c r="T241" s="1096">
        <f t="shared" si="75"/>
        <v>1026.4224397031539</v>
      </c>
      <c r="U241" s="1096">
        <f t="shared" si="76"/>
        <v>155589564</v>
      </c>
      <c r="V241" s="1102">
        <f t="shared" si="77"/>
        <v>0.21584120457458675</v>
      </c>
      <c r="W241" s="1098">
        <v>25830</v>
      </c>
      <c r="X241" s="1106">
        <f t="shared" si="67"/>
        <v>27442.170305845917</v>
      </c>
      <c r="Y241" s="1106">
        <f t="shared" si="68"/>
        <v>27907.549361207897</v>
      </c>
      <c r="Z241" s="1106">
        <f t="shared" si="69"/>
        <v>6023.5990708478512</v>
      </c>
      <c r="AA241" s="1106">
        <f t="shared" si="70"/>
        <v>21418.571234998064</v>
      </c>
      <c r="AC241" s="1098">
        <f t="shared" si="72"/>
        <v>1247.3713775384508</v>
      </c>
      <c r="AD241" s="1054">
        <f t="shared" si="73"/>
        <v>1247.3713775384508</v>
      </c>
    </row>
    <row r="242" spans="1:30" hidden="1" x14ac:dyDescent="0.35">
      <c r="A242" s="179">
        <v>4</v>
      </c>
      <c r="B242" s="880" t="s">
        <v>26</v>
      </c>
      <c r="C242" s="986" t="s">
        <v>243</v>
      </c>
      <c r="D242" s="83" t="s">
        <v>244</v>
      </c>
      <c r="E242" s="399" t="str">
        <f>VLOOKUP(F242,'Quy đổi'!A:D,4,0)</f>
        <v>rPET</v>
      </c>
      <c r="F242" s="986" t="s">
        <v>102</v>
      </c>
      <c r="G242" s="82" t="s">
        <v>101</v>
      </c>
      <c r="H242" s="257" t="str">
        <f>IFERROR(VLOOKUP(F242,'Quy đổi'!A:C,3,0),"-")</f>
        <v>WSS03G</v>
      </c>
      <c r="I242" s="1098">
        <v>44000</v>
      </c>
      <c r="J242" s="1098">
        <v>1290806000</v>
      </c>
      <c r="K242" s="1098">
        <v>1290806000</v>
      </c>
      <c r="L242" s="1104">
        <v>21052950</v>
      </c>
      <c r="O242" s="1097">
        <f t="shared" si="71"/>
        <v>1269753050</v>
      </c>
      <c r="P242" s="1096">
        <f t="shared" si="78"/>
        <v>28858.023863636365</v>
      </c>
      <c r="Q242" s="1096">
        <f t="shared" si="79"/>
        <v>1117.2289532960265</v>
      </c>
      <c r="R242" s="1099">
        <v>1155230772</v>
      </c>
      <c r="S242" s="1096">
        <f t="shared" si="74"/>
        <v>26255.244818181818</v>
      </c>
      <c r="T242" s="1096">
        <f t="shared" si="75"/>
        <v>1071.6426456400743</v>
      </c>
      <c r="U242" s="1096">
        <f t="shared" si="76"/>
        <v>114522278</v>
      </c>
      <c r="V242" s="1102">
        <f t="shared" si="77"/>
        <v>8.8721525930310213E-2</v>
      </c>
      <c r="W242" s="1098">
        <v>25830</v>
      </c>
      <c r="X242" s="1106">
        <f t="shared" si="67"/>
        <v>49158.073945025164</v>
      </c>
      <c r="Y242" s="1106">
        <f t="shared" si="68"/>
        <v>49973.132017034455</v>
      </c>
      <c r="Z242" s="1106">
        <f t="shared" si="69"/>
        <v>4433.692528068138</v>
      </c>
      <c r="AA242" s="1106">
        <f t="shared" si="70"/>
        <v>44724.381416957025</v>
      </c>
      <c r="AC242" s="1098">
        <f t="shared" si="72"/>
        <v>1117.2289532960265</v>
      </c>
      <c r="AD242" s="1054">
        <f t="shared" si="73"/>
        <v>1117.2289532960265</v>
      </c>
    </row>
    <row r="243" spans="1:30" hidden="1" x14ac:dyDescent="0.35">
      <c r="A243" s="179">
        <v>4</v>
      </c>
      <c r="B243" s="880" t="s">
        <v>26</v>
      </c>
      <c r="C243" s="986" t="s">
        <v>364</v>
      </c>
      <c r="D243" s="83" t="s">
        <v>365</v>
      </c>
      <c r="E243" s="399" t="str">
        <f>VLOOKUP(F243,'Quy đổi'!A:D,4,0)</f>
        <v>rPET</v>
      </c>
      <c r="F243" s="986" t="s">
        <v>100</v>
      </c>
      <c r="G243" s="82" t="s">
        <v>99</v>
      </c>
      <c r="H243" s="257" t="str">
        <f>IFERROR(VLOOKUP(F243,'Quy đổi'!A:C,3,0),"-")</f>
        <v>iSS01G</v>
      </c>
      <c r="I243" s="1098">
        <v>88000</v>
      </c>
      <c r="J243" s="1098">
        <v>2970765600</v>
      </c>
      <c r="K243" s="1098">
        <v>2970765600</v>
      </c>
      <c r="L243" s="1104">
        <v>39764726</v>
      </c>
      <c r="O243" s="1097">
        <f t="shared" si="71"/>
        <v>2931000874</v>
      </c>
      <c r="P243" s="1096">
        <f t="shared" si="78"/>
        <v>33306.828113636366</v>
      </c>
      <c r="Q243" s="1096">
        <f t="shared" si="79"/>
        <v>1289.4629544574668</v>
      </c>
      <c r="R243" s="1099">
        <v>2212966780</v>
      </c>
      <c r="S243" s="1096">
        <f t="shared" si="74"/>
        <v>25147.349772727273</v>
      </c>
      <c r="T243" s="1096">
        <f t="shared" si="75"/>
        <v>1026.4224397031539</v>
      </c>
      <c r="U243" s="1096">
        <f t="shared" si="76"/>
        <v>718034094</v>
      </c>
      <c r="V243" s="1102">
        <f t="shared" si="77"/>
        <v>0.24170001631902563</v>
      </c>
      <c r="W243" s="1098">
        <v>25830</v>
      </c>
      <c r="X243" s="1106">
        <f t="shared" si="67"/>
        <v>113472.73999225706</v>
      </c>
      <c r="Y243" s="1106">
        <f t="shared" si="68"/>
        <v>115012.21835075493</v>
      </c>
      <c r="Z243" s="1106">
        <f t="shared" si="69"/>
        <v>27798.45505226481</v>
      </c>
      <c r="AA243" s="1106">
        <f t="shared" si="70"/>
        <v>85674.284939992256</v>
      </c>
      <c r="AC243" s="1098">
        <f t="shared" si="72"/>
        <v>1289.4629544574668</v>
      </c>
      <c r="AD243" s="1054">
        <f t="shared" si="73"/>
        <v>1289.4629544574668</v>
      </c>
    </row>
    <row r="244" spans="1:30" hidden="1" x14ac:dyDescent="0.35">
      <c r="A244" s="179">
        <v>4</v>
      </c>
      <c r="B244" s="880" t="s">
        <v>26</v>
      </c>
      <c r="C244" s="986" t="s">
        <v>530</v>
      </c>
      <c r="D244" s="83" t="s">
        <v>531</v>
      </c>
      <c r="E244" s="399" t="str">
        <f>VLOOKUP(F244,'Quy đổi'!A:D,4,0)</f>
        <v>rPET</v>
      </c>
      <c r="F244" s="986" t="s">
        <v>127</v>
      </c>
      <c r="G244" s="82" t="s">
        <v>114</v>
      </c>
      <c r="H244" s="257" t="str">
        <f>IFERROR(VLOOKUP(F244,'Quy đổi'!A:C,3,0),"-")</f>
        <v>iSS01084G</v>
      </c>
      <c r="I244" s="1098">
        <v>22000</v>
      </c>
      <c r="J244" s="1098">
        <v>818819980</v>
      </c>
      <c r="K244" s="1098">
        <v>818819980</v>
      </c>
      <c r="L244" s="1104">
        <f>307409454/110*22</f>
        <v>61481890.799999997</v>
      </c>
      <c r="O244" s="1097">
        <f t="shared" si="71"/>
        <v>757338089.20000005</v>
      </c>
      <c r="P244" s="1096">
        <f t="shared" si="78"/>
        <v>34424.458600000005</v>
      </c>
      <c r="Q244" s="1096">
        <f t="shared" si="79"/>
        <v>1332.7316531165313</v>
      </c>
      <c r="R244" s="1099">
        <v>584647475</v>
      </c>
      <c r="S244" s="1096">
        <f t="shared" si="74"/>
        <v>26574.885227272727</v>
      </c>
      <c r="T244" s="1096">
        <f t="shared" si="75"/>
        <v>1084.6891929499072</v>
      </c>
      <c r="U244" s="1096">
        <f t="shared" si="76"/>
        <v>172690614.20000005</v>
      </c>
      <c r="V244" s="1102">
        <f t="shared" si="77"/>
        <v>0.21090180798959016</v>
      </c>
      <c r="W244" s="1098">
        <v>25830</v>
      </c>
      <c r="X244" s="1106">
        <f t="shared" si="67"/>
        <v>29320.096368563689</v>
      </c>
      <c r="Y244" s="1106">
        <f t="shared" si="68"/>
        <v>31700.347657762293</v>
      </c>
      <c r="Z244" s="1106">
        <f t="shared" si="69"/>
        <v>6685.6606349206368</v>
      </c>
      <c r="AA244" s="1106">
        <f t="shared" si="70"/>
        <v>22634.435733643051</v>
      </c>
      <c r="AC244" s="1098">
        <f t="shared" si="72"/>
        <v>1332.7316531165313</v>
      </c>
      <c r="AD244" s="1054">
        <f t="shared" si="73"/>
        <v>1332.7316531165313</v>
      </c>
    </row>
    <row r="245" spans="1:30" hidden="1" x14ac:dyDescent="0.35">
      <c r="A245" s="179">
        <v>4</v>
      </c>
      <c r="B245" s="880" t="s">
        <v>26</v>
      </c>
      <c r="C245" s="986" t="s">
        <v>530</v>
      </c>
      <c r="D245" s="83" t="s">
        <v>531</v>
      </c>
      <c r="E245" s="399" t="str">
        <f>VLOOKUP(F245,'Quy đổi'!A:D,4,0)</f>
        <v>rPET</v>
      </c>
      <c r="F245" s="986" t="s">
        <v>100</v>
      </c>
      <c r="G245" s="82" t="s">
        <v>99</v>
      </c>
      <c r="H245" s="257" t="str">
        <f>IFERROR(VLOOKUP(F245,'Quy đổi'!A:C,3,0),"-")</f>
        <v>iSS01G</v>
      </c>
      <c r="I245" s="1098">
        <v>88000</v>
      </c>
      <c r="J245" s="1098">
        <v>3207933520</v>
      </c>
      <c r="K245" s="1098">
        <v>3207933520</v>
      </c>
      <c r="L245" s="1104">
        <f>307409454/110*88</f>
        <v>245927563.19999999</v>
      </c>
      <c r="O245" s="1097">
        <f t="shared" si="71"/>
        <v>2962005956.8000002</v>
      </c>
      <c r="P245" s="1096">
        <f t="shared" si="78"/>
        <v>33659.158600000002</v>
      </c>
      <c r="Q245" s="1096">
        <f t="shared" si="79"/>
        <v>1303.103313975997</v>
      </c>
      <c r="R245" s="1099">
        <v>2212966780</v>
      </c>
      <c r="S245" s="1096">
        <f t="shared" si="74"/>
        <v>25147.349772727273</v>
      </c>
      <c r="T245" s="1096">
        <f t="shared" si="75"/>
        <v>1026.4224397031539</v>
      </c>
      <c r="U245" s="1096">
        <f t="shared" si="76"/>
        <v>749039176.80000019</v>
      </c>
      <c r="V245" s="1102">
        <f t="shared" si="77"/>
        <v>0.23349585399138825</v>
      </c>
      <c r="W245" s="1098">
        <v>25830</v>
      </c>
      <c r="X245" s="1106">
        <f t="shared" ref="X245:X247" si="80">O245/W245</f>
        <v>114673.09162988774</v>
      </c>
      <c r="Y245" s="1106">
        <f t="shared" ref="Y245:Y247" si="81">K245/W245</f>
        <v>124194.09678668216</v>
      </c>
      <c r="Z245" s="1106">
        <f t="shared" ref="Z245:Z247" si="82">U245/W245</f>
        <v>28998.806689895478</v>
      </c>
      <c r="AA245" s="1106">
        <f t="shared" ref="AA245:AA247" si="83">R245/W245</f>
        <v>85674.284939992256</v>
      </c>
      <c r="AC245" s="1098">
        <f t="shared" si="72"/>
        <v>1303.103313975997</v>
      </c>
      <c r="AD245" s="1054">
        <f t="shared" si="73"/>
        <v>1303.103313975997</v>
      </c>
    </row>
    <row r="246" spans="1:30" hidden="1" x14ac:dyDescent="0.35">
      <c r="A246" s="179">
        <v>4</v>
      </c>
      <c r="B246" s="880" t="s">
        <v>26</v>
      </c>
      <c r="C246" s="986" t="s">
        <v>725</v>
      </c>
      <c r="D246" s="83" t="s">
        <v>726</v>
      </c>
      <c r="E246" s="399" t="str">
        <f>VLOOKUP(F246,'Quy đổi'!A:D,4,0)</f>
        <v>rPET</v>
      </c>
      <c r="F246" s="986" t="s">
        <v>100</v>
      </c>
      <c r="G246" s="82" t="s">
        <v>99</v>
      </c>
      <c r="H246" s="257" t="str">
        <f>IFERROR(VLOOKUP(F246,'Quy đổi'!A:C,3,0),"-")</f>
        <v>iSS01G</v>
      </c>
      <c r="I246" s="1098">
        <v>105000</v>
      </c>
      <c r="J246" s="1098">
        <v>3471552000</v>
      </c>
      <c r="K246" s="1098">
        <v>3471552000</v>
      </c>
      <c r="L246" s="1104">
        <v>48637591</v>
      </c>
      <c r="O246" s="1097">
        <f t="shared" si="71"/>
        <v>3422914409</v>
      </c>
      <c r="P246" s="1096">
        <f t="shared" si="78"/>
        <v>32599.184847619046</v>
      </c>
      <c r="Q246" s="1096">
        <f t="shared" si="79"/>
        <v>1262.0667769113065</v>
      </c>
      <c r="R246" s="1099">
        <v>2640471730</v>
      </c>
      <c r="S246" s="1096">
        <f t="shared" si="74"/>
        <v>25147.34980952381</v>
      </c>
      <c r="T246" s="1096">
        <f t="shared" si="75"/>
        <v>1026.4224412050535</v>
      </c>
      <c r="U246" s="1096">
        <f t="shared" si="76"/>
        <v>782442679</v>
      </c>
      <c r="V246" s="1102">
        <f t="shared" si="77"/>
        <v>0.22538699665164169</v>
      </c>
      <c r="W246" s="1098">
        <v>25830</v>
      </c>
      <c r="X246" s="1106">
        <f t="shared" si="80"/>
        <v>132517.01157568718</v>
      </c>
      <c r="Y246" s="1106">
        <f t="shared" si="81"/>
        <v>134400</v>
      </c>
      <c r="Z246" s="1106">
        <f t="shared" si="82"/>
        <v>30292.012349980643</v>
      </c>
      <c r="AA246" s="1106">
        <f t="shared" si="83"/>
        <v>102224.99922570655</v>
      </c>
      <c r="AC246" s="1098">
        <f t="shared" si="72"/>
        <v>1262.0667769113065</v>
      </c>
      <c r="AD246" s="1054">
        <f t="shared" si="73"/>
        <v>1262.0667769113065</v>
      </c>
    </row>
    <row r="247" spans="1:30" hidden="1" x14ac:dyDescent="0.35">
      <c r="A247" s="179">
        <v>4</v>
      </c>
      <c r="B247" s="880" t="s">
        <v>26</v>
      </c>
      <c r="C247" s="986" t="s">
        <v>727</v>
      </c>
      <c r="D247" s="83" t="s">
        <v>728</v>
      </c>
      <c r="E247" s="399" t="str">
        <f>VLOOKUP(F247,'Quy đổi'!A:D,4,0)</f>
        <v>rPET</v>
      </c>
      <c r="F247" s="986" t="s">
        <v>102</v>
      </c>
      <c r="G247" s="82" t="s">
        <v>101</v>
      </c>
      <c r="H247" s="257" t="str">
        <f>IFERROR(VLOOKUP(F247,'Quy đổi'!A:C,3,0),"-")</f>
        <v>WSS03G</v>
      </c>
      <c r="I247" s="1098">
        <v>110000</v>
      </c>
      <c r="J247" s="1098">
        <v>3252315000</v>
      </c>
      <c r="K247" s="1098">
        <v>3252315000</v>
      </c>
      <c r="L247" s="1104">
        <v>51315713</v>
      </c>
      <c r="O247" s="1097">
        <f t="shared" si="71"/>
        <v>3200999287</v>
      </c>
      <c r="P247" s="1096">
        <f t="shared" si="78"/>
        <v>29099.993518181818</v>
      </c>
      <c r="Q247" s="1096">
        <f t="shared" si="79"/>
        <v>1126.5967293140463</v>
      </c>
      <c r="R247" s="1099">
        <v>2888076930</v>
      </c>
      <c r="S247" s="1096">
        <f t="shared" si="74"/>
        <v>26255.244818181818</v>
      </c>
      <c r="T247" s="1096">
        <f t="shared" si="75"/>
        <v>1071.6426456400743</v>
      </c>
      <c r="U247" s="1096">
        <f t="shared" si="76"/>
        <v>312922357</v>
      </c>
      <c r="V247" s="1102">
        <f t="shared" si="77"/>
        <v>9.6215267278845995E-2</v>
      </c>
      <c r="W247" s="1098">
        <v>25830</v>
      </c>
      <c r="X247" s="1106">
        <f t="shared" si="80"/>
        <v>123925.6402245451</v>
      </c>
      <c r="Y247" s="1106">
        <f t="shared" si="81"/>
        <v>125912.31126596981</v>
      </c>
      <c r="Z247" s="1106">
        <f t="shared" si="82"/>
        <v>12114.686682152536</v>
      </c>
      <c r="AA247" s="1106">
        <f t="shared" si="83"/>
        <v>111810.95354239257</v>
      </c>
      <c r="AC247" s="1098">
        <f t="shared" si="72"/>
        <v>1126.5967293140463</v>
      </c>
      <c r="AD247" s="1054">
        <f t="shared" si="73"/>
        <v>1126.5967293140463</v>
      </c>
    </row>
    <row r="248" spans="1:30" hidden="1" x14ac:dyDescent="0.35">
      <c r="A248" s="179">
        <v>2</v>
      </c>
      <c r="C248" s="986" t="s">
        <v>635</v>
      </c>
      <c r="D248" s="83" t="s">
        <v>636</v>
      </c>
      <c r="E248" s="892" t="str">
        <f>VLOOKUP(F248,'Quy đổi'!A:D,4,0)</f>
        <v>Dây đai</v>
      </c>
      <c r="F248" s="986" t="s">
        <v>649</v>
      </c>
      <c r="G248" s="82" t="s">
        <v>650</v>
      </c>
      <c r="H248" s="257">
        <f>IFERROR(VLOOKUP(F248,'Quy đổi'!A:C,3,0),"-")</f>
        <v>0</v>
      </c>
      <c r="I248" s="1098">
        <v>386000</v>
      </c>
      <c r="J248" s="1098">
        <v>7465500000</v>
      </c>
      <c r="K248" s="1098">
        <v>7465500000</v>
      </c>
      <c r="M248" s="1056">
        <v>553550000</v>
      </c>
      <c r="O248" s="1097">
        <f t="shared" si="71"/>
        <v>6911950000</v>
      </c>
      <c r="P248" s="1101">
        <f t="shared" ref="P248:P255" si="84">O248/I248</f>
        <v>17906.60621761658</v>
      </c>
      <c r="Q248" s="1101">
        <f t="shared" ref="Q248:Q255" si="85">P248/W248*1000</f>
        <v>705.26215902389049</v>
      </c>
      <c r="R248" s="1099">
        <v>7536056136</v>
      </c>
      <c r="S248" s="1101">
        <f t="shared" ref="S248:S255" si="86">R248/I248</f>
        <v>19523.46149222798</v>
      </c>
      <c r="T248" s="1101">
        <f t="shared" ref="T248:T255" si="87">S248/24.5</f>
        <v>796.87597927461138</v>
      </c>
      <c r="U248" s="1101">
        <f t="shared" ref="U248:U255" si="88">O248-R248</f>
        <v>-624106136</v>
      </c>
      <c r="V248" s="1103">
        <f t="shared" ref="V248:V255" si="89">U248/K248</f>
        <v>-8.3598705512021962E-2</v>
      </c>
      <c r="W248" s="1098">
        <v>25390</v>
      </c>
      <c r="X248" s="1181">
        <f t="shared" ref="X248:X256" si="90">O248/W248</f>
        <v>272231.19338322175</v>
      </c>
      <c r="Y248" s="1181">
        <f t="shared" ref="Y248:Y256" si="91">K248/W248</f>
        <v>294033.08389129577</v>
      </c>
      <c r="Z248" s="1181">
        <f t="shared" ref="Z248:Z256" si="92">U248/W248</f>
        <v>-24580.785191020088</v>
      </c>
      <c r="AA248" s="1181">
        <f t="shared" ref="AA248:AA256" si="93">R248/W248</f>
        <v>296811.9785742418</v>
      </c>
    </row>
    <row r="249" spans="1:30" hidden="1" x14ac:dyDescent="0.35">
      <c r="A249" s="179">
        <v>2</v>
      </c>
      <c r="C249" s="986" t="s">
        <v>221</v>
      </c>
      <c r="D249" s="83" t="s">
        <v>222</v>
      </c>
      <c r="E249" s="892" t="str">
        <f>VLOOKUP(F249,'Quy đổi'!A:D,4,0)</f>
        <v>Khác</v>
      </c>
      <c r="F249" s="986" t="s">
        <v>223</v>
      </c>
      <c r="G249" s="82" t="s">
        <v>372</v>
      </c>
      <c r="H249" s="257">
        <f>IFERROR(VLOOKUP(F249,'Quy đổi'!A:C,3,0),"-")</f>
        <v>0</v>
      </c>
      <c r="I249" s="1098">
        <v>1752</v>
      </c>
      <c r="J249" s="1098">
        <v>36266400</v>
      </c>
      <c r="K249" s="1098">
        <v>36266400</v>
      </c>
      <c r="O249" s="1097">
        <f t="shared" si="71"/>
        <v>36266400</v>
      </c>
      <c r="P249" s="1101">
        <f t="shared" si="84"/>
        <v>20700</v>
      </c>
      <c r="Q249" s="1101">
        <f t="shared" si="85"/>
        <v>815.28160693186294</v>
      </c>
      <c r="R249" s="1099">
        <v>37142400</v>
      </c>
      <c r="S249" s="1101">
        <f t="shared" si="86"/>
        <v>21200</v>
      </c>
      <c r="T249" s="1101">
        <f t="shared" si="87"/>
        <v>865.30612244897964</v>
      </c>
      <c r="U249" s="1101">
        <f t="shared" si="88"/>
        <v>-876000</v>
      </c>
      <c r="V249" s="1103">
        <f t="shared" si="89"/>
        <v>-2.4154589371980676E-2</v>
      </c>
      <c r="W249" s="1098">
        <v>25390</v>
      </c>
      <c r="X249" s="1181">
        <f t="shared" si="90"/>
        <v>1428.3733753446238</v>
      </c>
      <c r="Y249" s="1181">
        <f t="shared" si="91"/>
        <v>1428.3733753446238</v>
      </c>
      <c r="Z249" s="1181">
        <f t="shared" si="92"/>
        <v>-34.501772351319417</v>
      </c>
      <c r="AA249" s="1181">
        <f t="shared" si="93"/>
        <v>1462.8751476959433</v>
      </c>
    </row>
    <row r="250" spans="1:30" hidden="1" x14ac:dyDescent="0.35">
      <c r="A250" s="179">
        <v>2</v>
      </c>
      <c r="C250" s="986" t="s">
        <v>641</v>
      </c>
      <c r="D250" s="83" t="s">
        <v>642</v>
      </c>
      <c r="E250" s="892" t="str">
        <f>VLOOKUP(F250,'Quy đổi'!A:D,4,0)</f>
        <v>Khác</v>
      </c>
      <c r="F250" s="986" t="s">
        <v>223</v>
      </c>
      <c r="G250" s="82" t="s">
        <v>372</v>
      </c>
      <c r="H250" s="257">
        <f>IFERROR(VLOOKUP(F250,'Quy đổi'!A:C,3,0),"-")</f>
        <v>0</v>
      </c>
      <c r="I250" s="1098">
        <v>11072</v>
      </c>
      <c r="J250" s="1098">
        <v>229190400</v>
      </c>
      <c r="K250" s="1098">
        <v>229190400</v>
      </c>
      <c r="O250" s="1097">
        <f t="shared" si="71"/>
        <v>229190400</v>
      </c>
      <c r="P250" s="1101">
        <f t="shared" si="84"/>
        <v>20700</v>
      </c>
      <c r="Q250" s="1101">
        <f t="shared" si="85"/>
        <v>815.28160693186294</v>
      </c>
      <c r="R250" s="1099">
        <v>234726400</v>
      </c>
      <c r="S250" s="1101">
        <f t="shared" si="86"/>
        <v>21200</v>
      </c>
      <c r="T250" s="1101">
        <f t="shared" si="87"/>
        <v>865.30612244897964</v>
      </c>
      <c r="U250" s="1101">
        <f t="shared" si="88"/>
        <v>-5536000</v>
      </c>
      <c r="V250" s="1103">
        <f t="shared" si="89"/>
        <v>-2.4154589371980676E-2</v>
      </c>
      <c r="W250" s="1098">
        <v>25390</v>
      </c>
      <c r="X250" s="1181">
        <f t="shared" si="90"/>
        <v>9026.7979519495857</v>
      </c>
      <c r="Y250" s="1181">
        <f t="shared" si="91"/>
        <v>9026.7979519495857</v>
      </c>
      <c r="Z250" s="1181">
        <f t="shared" si="92"/>
        <v>-218.03859787317842</v>
      </c>
      <c r="AA250" s="1181">
        <f t="shared" si="93"/>
        <v>9244.8365498227649</v>
      </c>
    </row>
    <row r="251" spans="1:30" hidden="1" x14ac:dyDescent="0.35">
      <c r="A251" s="179">
        <v>2</v>
      </c>
      <c r="C251" s="986" t="s">
        <v>641</v>
      </c>
      <c r="D251" s="83" t="s">
        <v>642</v>
      </c>
      <c r="E251" s="892" t="str">
        <f>VLOOKUP(F251,'Quy đổi'!A:D,4,0)</f>
        <v>Khác</v>
      </c>
      <c r="F251" s="986" t="s">
        <v>467</v>
      </c>
      <c r="G251" s="82" t="s">
        <v>466</v>
      </c>
      <c r="H251" s="257">
        <f>IFERROR(VLOOKUP(F251,'Quy đổi'!A:C,3,0),"-")</f>
        <v>0</v>
      </c>
      <c r="I251" s="1098">
        <v>5406</v>
      </c>
      <c r="J251" s="1098">
        <v>98389200</v>
      </c>
      <c r="K251" s="1098">
        <v>98389200</v>
      </c>
      <c r="O251" s="1097">
        <f t="shared" si="71"/>
        <v>98389200</v>
      </c>
      <c r="P251" s="1101">
        <f t="shared" si="84"/>
        <v>18200</v>
      </c>
      <c r="Q251" s="1101">
        <f t="shared" si="85"/>
        <v>716.81764474202453</v>
      </c>
      <c r="R251" s="1099">
        <v>98389200</v>
      </c>
      <c r="S251" s="1101">
        <f t="shared" si="86"/>
        <v>18200</v>
      </c>
      <c r="T251" s="1101">
        <f t="shared" si="87"/>
        <v>742.85714285714289</v>
      </c>
      <c r="U251" s="1101">
        <f t="shared" si="88"/>
        <v>0</v>
      </c>
      <c r="V251" s="1103">
        <f t="shared" si="89"/>
        <v>0</v>
      </c>
      <c r="W251" s="1098">
        <v>25390</v>
      </c>
      <c r="X251" s="1181">
        <f t="shared" si="90"/>
        <v>3875.1161874753839</v>
      </c>
      <c r="Y251" s="1181">
        <f t="shared" si="91"/>
        <v>3875.1161874753839</v>
      </c>
      <c r="Z251" s="1181">
        <f t="shared" si="92"/>
        <v>0</v>
      </c>
      <c r="AA251" s="1181">
        <f t="shared" si="93"/>
        <v>3875.1161874753839</v>
      </c>
    </row>
    <row r="252" spans="1:30" hidden="1" x14ac:dyDescent="0.35">
      <c r="A252" s="179">
        <v>2</v>
      </c>
      <c r="C252" s="986" t="s">
        <v>353</v>
      </c>
      <c r="D252" s="83" t="s">
        <v>354</v>
      </c>
      <c r="E252" s="892" t="str">
        <f>VLOOKUP(F252,'Quy đổi'!A:D,4,0)</f>
        <v>Phó sản</v>
      </c>
      <c r="F252" s="986" t="s">
        <v>355</v>
      </c>
      <c r="G252" s="82" t="s">
        <v>356</v>
      </c>
      <c r="H252" s="257">
        <f>IFERROR(VLOOKUP(F252,'Quy đổi'!A:C,3,0),"-")</f>
        <v>0</v>
      </c>
      <c r="I252" s="1098">
        <v>21200</v>
      </c>
      <c r="J252" s="1098">
        <v>106000000</v>
      </c>
      <c r="K252" s="1098">
        <v>106000000</v>
      </c>
      <c r="O252" s="1097">
        <f t="shared" si="71"/>
        <v>106000000</v>
      </c>
      <c r="P252" s="1101">
        <f t="shared" si="84"/>
        <v>5000</v>
      </c>
      <c r="Q252" s="1101">
        <f t="shared" si="85"/>
        <v>196.92792437967705</v>
      </c>
      <c r="R252" s="1099">
        <v>267070688</v>
      </c>
      <c r="S252" s="1101">
        <f t="shared" si="86"/>
        <v>12597.673962264151</v>
      </c>
      <c r="T252" s="1101">
        <f t="shared" si="87"/>
        <v>514.19077396996533</v>
      </c>
      <c r="U252" s="1101">
        <f t="shared" si="88"/>
        <v>-161070688</v>
      </c>
      <c r="V252" s="1103">
        <f t="shared" si="89"/>
        <v>-1.5195347924528302</v>
      </c>
      <c r="W252" s="1098">
        <v>25390</v>
      </c>
      <c r="X252" s="1181">
        <f t="shared" si="90"/>
        <v>4174.8719968491532</v>
      </c>
      <c r="Y252" s="1181">
        <f t="shared" si="91"/>
        <v>4174.8719968491532</v>
      </c>
      <c r="Z252" s="1181">
        <f t="shared" si="92"/>
        <v>-6343.8632532493111</v>
      </c>
      <c r="AA252" s="1181">
        <f t="shared" si="93"/>
        <v>10518.735250098463</v>
      </c>
    </row>
    <row r="253" spans="1:30" hidden="1" x14ac:dyDescent="0.35">
      <c r="A253" s="179">
        <v>2</v>
      </c>
      <c r="C253" s="986" t="s">
        <v>353</v>
      </c>
      <c r="D253" s="83" t="s">
        <v>354</v>
      </c>
      <c r="E253" s="892" t="str">
        <f>VLOOKUP(F253,'Quy đổi'!A:D,4,0)</f>
        <v>Phó sản</v>
      </c>
      <c r="F253" s="986" t="s">
        <v>357</v>
      </c>
      <c r="G253" s="82" t="s">
        <v>356</v>
      </c>
      <c r="H253" s="257">
        <f>IFERROR(VLOOKUP(F253,'Quy đổi'!A:C,3,0),"-")</f>
        <v>0</v>
      </c>
      <c r="I253" s="1098">
        <v>23538</v>
      </c>
      <c r="J253" s="1098">
        <v>117690000</v>
      </c>
      <c r="K253" s="1098">
        <v>117690000</v>
      </c>
      <c r="O253" s="1097">
        <f t="shared" si="71"/>
        <v>117690000</v>
      </c>
      <c r="P253" s="1101">
        <f t="shared" si="84"/>
        <v>5000</v>
      </c>
      <c r="Q253" s="1101">
        <f t="shared" si="85"/>
        <v>196.92792437967705</v>
      </c>
      <c r="R253" s="1099">
        <v>295883186</v>
      </c>
      <c r="S253" s="1101">
        <f t="shared" si="86"/>
        <v>12570.447191775002</v>
      </c>
      <c r="T253" s="1101">
        <f t="shared" si="87"/>
        <v>513.07947721530616</v>
      </c>
      <c r="U253" s="1101">
        <f t="shared" si="88"/>
        <v>-178193186</v>
      </c>
      <c r="V253" s="1103">
        <f t="shared" si="89"/>
        <v>-1.5140894383550003</v>
      </c>
      <c r="W253" s="1098">
        <v>25390</v>
      </c>
      <c r="X253" s="1181">
        <f t="shared" si="90"/>
        <v>4635.2894840488379</v>
      </c>
      <c r="Y253" s="1181">
        <f t="shared" si="91"/>
        <v>4635.2894840488379</v>
      </c>
      <c r="Z253" s="1181">
        <f t="shared" si="92"/>
        <v>-7018.2428515163447</v>
      </c>
      <c r="AA253" s="1181">
        <f t="shared" si="93"/>
        <v>11653.532335565184</v>
      </c>
    </row>
    <row r="254" spans="1:30" hidden="1" x14ac:dyDescent="0.35">
      <c r="A254" s="179">
        <v>2</v>
      </c>
      <c r="C254" s="986" t="s">
        <v>353</v>
      </c>
      <c r="D254" s="83" t="s">
        <v>354</v>
      </c>
      <c r="E254" s="892" t="str">
        <f>VLOOKUP(F254,'Quy đổi'!A:D,4,0)</f>
        <v>Phó sản</v>
      </c>
      <c r="F254" s="986" t="s">
        <v>358</v>
      </c>
      <c r="G254" s="82" t="s">
        <v>356</v>
      </c>
      <c r="H254" s="257">
        <f>IFERROR(VLOOKUP(F254,'Quy đổi'!A:C,3,0),"-")</f>
        <v>0</v>
      </c>
      <c r="I254" s="1098">
        <v>28910</v>
      </c>
      <c r="J254" s="1098">
        <v>144550000</v>
      </c>
      <c r="K254" s="1098">
        <v>144550000</v>
      </c>
      <c r="O254" s="1097">
        <f t="shared" si="71"/>
        <v>144550000</v>
      </c>
      <c r="P254" s="1101">
        <f t="shared" si="84"/>
        <v>5000</v>
      </c>
      <c r="Q254" s="1101">
        <f t="shared" si="85"/>
        <v>196.92792437967705</v>
      </c>
      <c r="R254" s="1099">
        <v>363158498</v>
      </c>
      <c r="S254" s="1101">
        <f t="shared" si="86"/>
        <v>12561.6913870633</v>
      </c>
      <c r="T254" s="1101">
        <f t="shared" si="87"/>
        <v>512.72209743115513</v>
      </c>
      <c r="U254" s="1101">
        <f t="shared" si="88"/>
        <v>-218608498</v>
      </c>
      <c r="V254" s="1103">
        <f t="shared" si="89"/>
        <v>-1.5123382774126599</v>
      </c>
      <c r="W254" s="1098">
        <v>25390</v>
      </c>
      <c r="X254" s="1181">
        <f t="shared" si="90"/>
        <v>5693.1862938164631</v>
      </c>
      <c r="Y254" s="1181">
        <f t="shared" si="91"/>
        <v>5693.1862938164631</v>
      </c>
      <c r="Z254" s="1181">
        <f t="shared" si="92"/>
        <v>-8610.0235525797561</v>
      </c>
      <c r="AA254" s="1181">
        <f t="shared" si="93"/>
        <v>14303.209846396219</v>
      </c>
    </row>
    <row r="255" spans="1:30" hidden="1" x14ac:dyDescent="0.35">
      <c r="A255" s="179">
        <v>2</v>
      </c>
      <c r="C255" s="986" t="s">
        <v>353</v>
      </c>
      <c r="D255" s="83" t="s">
        <v>354</v>
      </c>
      <c r="E255" s="892" t="str">
        <f>VLOOKUP(F255,'Quy đổi'!A:D,4,0)</f>
        <v>Phó sản</v>
      </c>
      <c r="F255" s="986" t="s">
        <v>359</v>
      </c>
      <c r="G255" s="82" t="s">
        <v>356</v>
      </c>
      <c r="H255" s="257">
        <f>IFERROR(VLOOKUP(F255,'Quy đổi'!A:C,3,0),"-")</f>
        <v>0</v>
      </c>
      <c r="I255" s="1098">
        <v>31610</v>
      </c>
      <c r="J255" s="1098">
        <v>158050000</v>
      </c>
      <c r="K255" s="1098">
        <v>158050000</v>
      </c>
      <c r="O255" s="1097">
        <f t="shared" si="71"/>
        <v>158050000</v>
      </c>
      <c r="P255" s="1101">
        <f t="shared" si="84"/>
        <v>5000</v>
      </c>
      <c r="Q255" s="1101">
        <f t="shared" si="85"/>
        <v>196.92792437967705</v>
      </c>
      <c r="R255" s="1099">
        <v>397289001</v>
      </c>
      <c r="S255" s="1101">
        <f t="shared" si="86"/>
        <v>12568.459379943057</v>
      </c>
      <c r="T255" s="1101">
        <f t="shared" si="87"/>
        <v>512.99834203849207</v>
      </c>
      <c r="U255" s="1101">
        <f t="shared" si="88"/>
        <v>-239239001</v>
      </c>
      <c r="V255" s="1103">
        <f t="shared" si="89"/>
        <v>-1.5136918759886111</v>
      </c>
      <c r="W255" s="1098">
        <v>25390</v>
      </c>
      <c r="X255" s="1181">
        <f t="shared" si="90"/>
        <v>6224.8916896415913</v>
      </c>
      <c r="Y255" s="1181">
        <f t="shared" si="91"/>
        <v>6224.8916896415913</v>
      </c>
      <c r="Z255" s="1181">
        <f t="shared" si="92"/>
        <v>-9422.5679795194956</v>
      </c>
      <c r="AA255" s="1181">
        <f t="shared" si="93"/>
        <v>15647.459669161088</v>
      </c>
    </row>
    <row r="256" spans="1:30" hidden="1" x14ac:dyDescent="0.35">
      <c r="A256" s="179">
        <v>5</v>
      </c>
      <c r="B256" s="880" t="s">
        <v>22</v>
      </c>
      <c r="C256" s="986" t="s">
        <v>13</v>
      </c>
      <c r="D256" s="83" t="s">
        <v>12</v>
      </c>
      <c r="E256" s="892" t="str">
        <f>VLOOKUP(F256,'Quy đổi'!A:D,4,0)</f>
        <v>rPET</v>
      </c>
      <c r="F256" s="986" t="s">
        <v>110</v>
      </c>
      <c r="G256" s="82" t="s">
        <v>109</v>
      </c>
      <c r="H256" s="257" t="str">
        <f>IFERROR(VLOOKUP(F256,'Quy đổi'!A:C,3,0),"-")</f>
        <v>WSS01G</v>
      </c>
      <c r="I256" s="1098">
        <v>5500</v>
      </c>
      <c r="J256" s="1098">
        <v>183159717</v>
      </c>
      <c r="K256" s="1098">
        <v>183159717</v>
      </c>
      <c r="O256" s="1097">
        <f t="shared" si="71"/>
        <v>183159717</v>
      </c>
      <c r="P256" s="1101">
        <f t="shared" ref="P256:P319" si="94">O256/I256</f>
        <v>33301.766727272727</v>
      </c>
      <c r="Q256" s="1101">
        <f t="shared" ref="Q256:Q319" si="95">P256/W256*1000</f>
        <v>1287.7713351613584</v>
      </c>
      <c r="R256" s="1099">
        <v>149284095</v>
      </c>
      <c r="S256" s="1101">
        <f t="shared" ref="S256:S319" si="96">R256/I256</f>
        <v>27142.562727272729</v>
      </c>
      <c r="T256" s="1101">
        <f t="shared" ref="T256:T319" si="97">S256/24.5</f>
        <v>1107.8597031539889</v>
      </c>
      <c r="U256" s="1101">
        <f t="shared" ref="U256:U319" si="98">O256-R256</f>
        <v>33875622</v>
      </c>
      <c r="V256" s="1103">
        <f t="shared" ref="V256:V319" si="99">U256/K256</f>
        <v>0.18495126851500868</v>
      </c>
      <c r="W256" s="1098">
        <v>25860</v>
      </c>
      <c r="X256" s="1106">
        <f t="shared" si="90"/>
        <v>7082.742343387471</v>
      </c>
      <c r="Y256" s="1106">
        <f t="shared" si="91"/>
        <v>7082.742343387471</v>
      </c>
      <c r="Z256" s="1106">
        <f t="shared" si="92"/>
        <v>1309.9621809744779</v>
      </c>
      <c r="AA256" s="1181">
        <f t="shared" si="93"/>
        <v>5772.7801624129934</v>
      </c>
    </row>
    <row r="257" spans="1:29" hidden="1" x14ac:dyDescent="0.35">
      <c r="A257" s="179">
        <v>5</v>
      </c>
      <c r="B257" s="880" t="s">
        <v>22</v>
      </c>
      <c r="C257" s="986" t="s">
        <v>134</v>
      </c>
      <c r="D257" s="83" t="s">
        <v>133</v>
      </c>
      <c r="E257" s="892" t="str">
        <f>VLOOKUP(F257,'Quy đổi'!A:D,4,0)</f>
        <v>rPET</v>
      </c>
      <c r="F257" s="986" t="s">
        <v>462</v>
      </c>
      <c r="G257" s="72" t="s">
        <v>468</v>
      </c>
      <c r="H257" s="257" t="str">
        <f>IFERROR(VLOOKUP(F257,'Quy đổi'!A:C,3,0),"-")</f>
        <v>WSS01G-L</v>
      </c>
      <c r="I257" s="1098">
        <v>550</v>
      </c>
      <c r="J257" s="1098">
        <v>19289600</v>
      </c>
      <c r="K257" s="1098">
        <v>19289600</v>
      </c>
      <c r="O257" s="1097">
        <f t="shared" si="71"/>
        <v>19289600</v>
      </c>
      <c r="P257" s="1101">
        <f t="shared" si="94"/>
        <v>35072</v>
      </c>
      <c r="Q257" s="1101">
        <f t="shared" si="95"/>
        <v>1356.2258313998454</v>
      </c>
      <c r="R257" s="1099">
        <v>20515221</v>
      </c>
      <c r="S257" s="1101">
        <f t="shared" si="96"/>
        <v>37300.401818181817</v>
      </c>
      <c r="T257" s="1101">
        <f t="shared" si="97"/>
        <v>1522.4653803339518</v>
      </c>
      <c r="U257" s="1101">
        <f t="shared" si="98"/>
        <v>-1225621</v>
      </c>
      <c r="V257" s="1103">
        <f t="shared" si="99"/>
        <v>-6.3537916804910416E-2</v>
      </c>
      <c r="W257" s="1098">
        <v>25860</v>
      </c>
      <c r="X257" s="1106">
        <f t="shared" ref="X257:X316" si="100">O257/W257</f>
        <v>745.92420726991497</v>
      </c>
      <c r="Y257" s="1106">
        <f t="shared" ref="Y257:Y316" si="101">K257/W257</f>
        <v>745.92420726991497</v>
      </c>
      <c r="Z257" s="1106">
        <f t="shared" ref="Z257:Z315" si="102">U257/W257</f>
        <v>-47.394470224284611</v>
      </c>
      <c r="AA257" s="1181">
        <f t="shared" ref="AA257:AA315" si="103">R257/W257</f>
        <v>793.31867749419951</v>
      </c>
    </row>
    <row r="258" spans="1:29" hidden="1" x14ac:dyDescent="0.35">
      <c r="A258" s="179">
        <v>5</v>
      </c>
      <c r="B258" s="880" t="s">
        <v>22</v>
      </c>
      <c r="C258" s="986" t="s">
        <v>30</v>
      </c>
      <c r="D258" s="83" t="s">
        <v>29</v>
      </c>
      <c r="E258" s="892" t="str">
        <f>VLOOKUP(F258,'Quy đổi'!A:D,4,0)</f>
        <v>rPET</v>
      </c>
      <c r="F258" s="986" t="s">
        <v>110</v>
      </c>
      <c r="G258" s="82" t="s">
        <v>109</v>
      </c>
      <c r="H258" s="257" t="str">
        <f>IFERROR(VLOOKUP(F258,'Quy đổi'!A:C,3,0),"-")</f>
        <v>WSS01G</v>
      </c>
      <c r="I258" s="1098">
        <v>11000</v>
      </c>
      <c r="J258" s="1098">
        <v>354200000</v>
      </c>
      <c r="K258" s="1098">
        <v>354200000</v>
      </c>
      <c r="O258" s="1097">
        <f t="shared" si="71"/>
        <v>354200000</v>
      </c>
      <c r="P258" s="1101">
        <f t="shared" si="94"/>
        <v>32200</v>
      </c>
      <c r="Q258" s="1101">
        <f t="shared" si="95"/>
        <v>1245.1662799690641</v>
      </c>
      <c r="R258" s="1099">
        <v>298568190</v>
      </c>
      <c r="S258" s="1101">
        <f t="shared" si="96"/>
        <v>27142.562727272729</v>
      </c>
      <c r="T258" s="1101">
        <f t="shared" si="97"/>
        <v>1107.8597031539889</v>
      </c>
      <c r="U258" s="1101">
        <f t="shared" si="98"/>
        <v>55631810</v>
      </c>
      <c r="V258" s="1103">
        <f t="shared" si="99"/>
        <v>0.1570632693393563</v>
      </c>
      <c r="W258" s="1098">
        <v>25860</v>
      </c>
      <c r="X258" s="1106">
        <f t="shared" si="100"/>
        <v>13696.829079659707</v>
      </c>
      <c r="Y258" s="1106">
        <f t="shared" si="101"/>
        <v>13696.829079659707</v>
      </c>
      <c r="Z258" s="1106">
        <f t="shared" si="102"/>
        <v>2151.2687548337199</v>
      </c>
      <c r="AA258" s="1181">
        <f t="shared" si="103"/>
        <v>11545.560324825987</v>
      </c>
    </row>
    <row r="259" spans="1:29" hidden="1" x14ac:dyDescent="0.35">
      <c r="A259" s="179">
        <v>5</v>
      </c>
      <c r="B259" s="880" t="s">
        <v>22</v>
      </c>
      <c r="C259" s="986" t="s">
        <v>30</v>
      </c>
      <c r="D259" s="83" t="s">
        <v>29</v>
      </c>
      <c r="E259" s="892" t="str">
        <f>VLOOKUP(F259,'Quy đổi'!A:D,4,0)</f>
        <v>rHDPE ép</v>
      </c>
      <c r="F259" s="986" t="s">
        <v>208</v>
      </c>
      <c r="G259" s="82" t="s">
        <v>209</v>
      </c>
      <c r="H259" s="257" t="str">
        <f>IFERROR(VLOOKUP(F259,'Quy đổi'!A:C,3,0),"-")</f>
        <v>rHDI4L01</v>
      </c>
      <c r="I259" s="1098">
        <v>16500</v>
      </c>
      <c r="J259" s="1098">
        <v>330000000</v>
      </c>
      <c r="K259" s="1098">
        <v>330000000</v>
      </c>
      <c r="O259" s="1097">
        <f t="shared" si="71"/>
        <v>330000000</v>
      </c>
      <c r="P259" s="1101">
        <f t="shared" si="94"/>
        <v>20000</v>
      </c>
      <c r="Q259" s="1101">
        <f t="shared" si="95"/>
        <v>773.3952049497293</v>
      </c>
      <c r="R259" s="1099">
        <v>475054335</v>
      </c>
      <c r="S259" s="1101">
        <f t="shared" si="96"/>
        <v>28791.171818181818</v>
      </c>
      <c r="T259" s="1101">
        <f t="shared" si="97"/>
        <v>1175.1498701298701</v>
      </c>
      <c r="U259" s="1101">
        <f t="shared" si="98"/>
        <v>-145054335</v>
      </c>
      <c r="V259" s="1103">
        <f t="shared" si="99"/>
        <v>-0.43955859090909088</v>
      </c>
      <c r="W259" s="1098">
        <v>25860</v>
      </c>
      <c r="X259" s="1106">
        <f t="shared" si="100"/>
        <v>12761.020881670534</v>
      </c>
      <c r="Y259" s="1106">
        <f t="shared" si="101"/>
        <v>12761.020881670534</v>
      </c>
      <c r="Z259" s="1106">
        <f t="shared" si="102"/>
        <v>-5609.2163573085845</v>
      </c>
      <c r="AA259" s="1181">
        <f t="shared" si="103"/>
        <v>18370.23723897912</v>
      </c>
    </row>
    <row r="260" spans="1:29" hidden="1" x14ac:dyDescent="0.35">
      <c r="A260" s="179">
        <v>5</v>
      </c>
      <c r="B260" s="880" t="s">
        <v>22</v>
      </c>
      <c r="C260" s="986" t="s">
        <v>30</v>
      </c>
      <c r="D260" s="83" t="s">
        <v>29</v>
      </c>
      <c r="E260" s="892" t="str">
        <f>VLOOKUP(F260,'Quy đổi'!A:D,4,0)</f>
        <v>rHDPE ép</v>
      </c>
      <c r="F260" s="986" t="s">
        <v>206</v>
      </c>
      <c r="G260" s="82" t="s">
        <v>207</v>
      </c>
      <c r="H260" s="257" t="str">
        <f>IFERROR(VLOOKUP(F260,'Quy đổi'!A:C,3,0),"-")</f>
        <v>rHDI3R01</v>
      </c>
      <c r="I260" s="1098">
        <v>5500</v>
      </c>
      <c r="J260" s="1098">
        <v>110000000</v>
      </c>
      <c r="K260" s="1098">
        <v>110000000</v>
      </c>
      <c r="O260" s="1097">
        <f t="shared" si="71"/>
        <v>110000000</v>
      </c>
      <c r="P260" s="1101">
        <f t="shared" si="94"/>
        <v>20000</v>
      </c>
      <c r="Q260" s="1101">
        <f t="shared" si="95"/>
        <v>773.3952049497293</v>
      </c>
      <c r="R260" s="1099">
        <v>151561505</v>
      </c>
      <c r="S260" s="1101">
        <f t="shared" si="96"/>
        <v>27556.637272727272</v>
      </c>
      <c r="T260" s="1101">
        <f t="shared" si="97"/>
        <v>1124.7607050092763</v>
      </c>
      <c r="U260" s="1101">
        <f t="shared" si="98"/>
        <v>-41561505</v>
      </c>
      <c r="V260" s="1103">
        <f t="shared" si="99"/>
        <v>-0.37783186363636362</v>
      </c>
      <c r="W260" s="1098">
        <v>25860</v>
      </c>
      <c r="X260" s="1106">
        <f t="shared" si="100"/>
        <v>4253.6736272235112</v>
      </c>
      <c r="Y260" s="1106">
        <f t="shared" si="101"/>
        <v>4253.6736272235112</v>
      </c>
      <c r="Z260" s="1106">
        <f t="shared" si="102"/>
        <v>-1607.1734338747099</v>
      </c>
      <c r="AA260" s="1181">
        <f t="shared" si="103"/>
        <v>5860.8470610982213</v>
      </c>
    </row>
    <row r="261" spans="1:29" hidden="1" x14ac:dyDescent="0.35">
      <c r="A261" s="179">
        <v>5</v>
      </c>
      <c r="B261" s="880" t="s">
        <v>22</v>
      </c>
      <c r="C261" s="986" t="s">
        <v>30</v>
      </c>
      <c r="D261" s="83" t="s">
        <v>29</v>
      </c>
      <c r="E261" s="892" t="str">
        <f>VLOOKUP(F261,'Quy đổi'!A:D,4,0)</f>
        <v>rHDPE ép</v>
      </c>
      <c r="F261" s="986" t="s">
        <v>210</v>
      </c>
      <c r="G261" s="82" t="s">
        <v>211</v>
      </c>
      <c r="H261" s="257" t="str">
        <f>IFERROR(VLOOKUP(F261,'Quy đổi'!A:C,3,0),"-")</f>
        <v>rHDI3Y01</v>
      </c>
      <c r="I261" s="1098">
        <v>5500</v>
      </c>
      <c r="J261" s="1098">
        <v>110000000</v>
      </c>
      <c r="K261" s="1098">
        <v>110000000</v>
      </c>
      <c r="O261" s="1097">
        <f t="shared" si="71"/>
        <v>110000000</v>
      </c>
      <c r="P261" s="1101">
        <f t="shared" si="94"/>
        <v>20000</v>
      </c>
      <c r="Q261" s="1101">
        <f t="shared" si="95"/>
        <v>773.3952049497293</v>
      </c>
      <c r="R261" s="1099">
        <v>188912245</v>
      </c>
      <c r="S261" s="1101">
        <f t="shared" si="96"/>
        <v>34347.680909090908</v>
      </c>
      <c r="T261" s="1101">
        <f t="shared" si="97"/>
        <v>1401.9461595547309</v>
      </c>
      <c r="U261" s="1101">
        <f t="shared" si="98"/>
        <v>-78912245</v>
      </c>
      <c r="V261" s="1103">
        <f t="shared" si="99"/>
        <v>-0.71738404545454548</v>
      </c>
      <c r="W261" s="1098">
        <v>25860</v>
      </c>
      <c r="X261" s="1106">
        <f t="shared" si="100"/>
        <v>4253.6736272235112</v>
      </c>
      <c r="Y261" s="1106">
        <f t="shared" si="101"/>
        <v>4253.6736272235112</v>
      </c>
      <c r="Z261" s="1106">
        <f t="shared" si="102"/>
        <v>-3051.5175947409125</v>
      </c>
      <c r="AA261" s="1181">
        <f t="shared" si="103"/>
        <v>7305.1912219644237</v>
      </c>
    </row>
    <row r="262" spans="1:29" hidden="1" x14ac:dyDescent="0.35">
      <c r="A262" s="179">
        <v>5</v>
      </c>
      <c r="B262" s="880" t="s">
        <v>22</v>
      </c>
      <c r="C262" s="986" t="s">
        <v>30</v>
      </c>
      <c r="D262" s="83" t="s">
        <v>29</v>
      </c>
      <c r="E262" s="892" t="str">
        <f>VLOOKUP(F262,'Quy đổi'!A:D,4,0)</f>
        <v>rHDPE thổi</v>
      </c>
      <c r="F262" s="986" t="s">
        <v>84</v>
      </c>
      <c r="G262" s="82" t="s">
        <v>83</v>
      </c>
      <c r="H262" s="257" t="str">
        <f>IFERROR(VLOOKUP(F262,'Quy đổi'!A:C,3,0),"-")</f>
        <v>HCBF-Whi-U</v>
      </c>
      <c r="I262" s="1098">
        <v>25</v>
      </c>
      <c r="J262" s="1098">
        <v>833625</v>
      </c>
      <c r="K262" s="1098">
        <v>833625</v>
      </c>
      <c r="O262" s="1097">
        <f t="shared" ref="O262:O325" si="104">K262-SUM(L262:N262)</f>
        <v>833625</v>
      </c>
      <c r="P262" s="1101">
        <f t="shared" si="94"/>
        <v>33345</v>
      </c>
      <c r="Q262" s="1101">
        <f t="shared" si="95"/>
        <v>1289.4431554524363</v>
      </c>
      <c r="R262" s="1099">
        <v>605269</v>
      </c>
      <c r="S262" s="1101">
        <f t="shared" si="96"/>
        <v>24210.76</v>
      </c>
      <c r="T262" s="1101">
        <f t="shared" si="97"/>
        <v>988.19428571428568</v>
      </c>
      <c r="U262" s="1101">
        <f t="shared" si="98"/>
        <v>228356</v>
      </c>
      <c r="V262" s="1103">
        <f t="shared" si="99"/>
        <v>0.27393132403658721</v>
      </c>
      <c r="W262" s="1098">
        <v>25860</v>
      </c>
      <c r="X262" s="1106">
        <f t="shared" si="100"/>
        <v>32.236078886310906</v>
      </c>
      <c r="Y262" s="1106">
        <f t="shared" si="101"/>
        <v>32.236078886310906</v>
      </c>
      <c r="Z262" s="1106">
        <f t="shared" si="102"/>
        <v>8.83047177107502</v>
      </c>
      <c r="AA262" s="1181">
        <f t="shared" si="103"/>
        <v>23.405607115235885</v>
      </c>
    </row>
    <row r="263" spans="1:29" hidden="1" x14ac:dyDescent="0.35">
      <c r="A263" s="179">
        <v>5</v>
      </c>
      <c r="B263" s="880" t="s">
        <v>22</v>
      </c>
      <c r="C263" s="986" t="s">
        <v>131</v>
      </c>
      <c r="D263" s="83" t="s">
        <v>214</v>
      </c>
      <c r="E263" s="892" t="str">
        <f>VLOOKUP(F263,'Quy đổi'!A:D,4,0)</f>
        <v>rPET</v>
      </c>
      <c r="F263" s="986" t="s">
        <v>127</v>
      </c>
      <c r="G263" s="82" t="s">
        <v>114</v>
      </c>
      <c r="H263" s="257" t="str">
        <f>IFERROR(VLOOKUP(F263,'Quy đổi'!A:C,3,0),"-")</f>
        <v>iSS01084G</v>
      </c>
      <c r="I263" s="1098">
        <v>2200</v>
      </c>
      <c r="J263" s="1098">
        <v>76626000</v>
      </c>
      <c r="K263" s="1098">
        <v>76626000</v>
      </c>
      <c r="O263" s="1097">
        <f t="shared" si="104"/>
        <v>76626000</v>
      </c>
      <c r="P263" s="1101">
        <f t="shared" si="94"/>
        <v>34830</v>
      </c>
      <c r="Q263" s="1101">
        <f t="shared" si="95"/>
        <v>1346.8677494199537</v>
      </c>
      <c r="R263" s="1099">
        <v>61040200</v>
      </c>
      <c r="S263" s="1101">
        <f t="shared" si="96"/>
        <v>27745.545454545456</v>
      </c>
      <c r="T263" s="1101">
        <f t="shared" si="97"/>
        <v>1132.4712430426716</v>
      </c>
      <c r="U263" s="1101">
        <f t="shared" si="98"/>
        <v>15585800</v>
      </c>
      <c r="V263" s="1103">
        <f t="shared" si="99"/>
        <v>0.20340093440868634</v>
      </c>
      <c r="W263" s="1098">
        <v>25860</v>
      </c>
      <c r="X263" s="1106">
        <f t="shared" si="100"/>
        <v>2963.109048723898</v>
      </c>
      <c r="Y263" s="1106">
        <f t="shared" si="101"/>
        <v>2963.109048723898</v>
      </c>
      <c r="Z263" s="1106">
        <f t="shared" si="102"/>
        <v>602.69914926527451</v>
      </c>
      <c r="AA263" s="1181">
        <f t="shared" si="103"/>
        <v>2360.4098994586234</v>
      </c>
    </row>
    <row r="264" spans="1:29" hidden="1" x14ac:dyDescent="0.35">
      <c r="A264" s="179">
        <v>5</v>
      </c>
      <c r="B264" s="880" t="s">
        <v>22</v>
      </c>
      <c r="C264" s="986" t="s">
        <v>131</v>
      </c>
      <c r="D264" s="83" t="s">
        <v>214</v>
      </c>
      <c r="E264" s="892" t="str">
        <f>VLOOKUP(F264,'Quy đổi'!A:D,4,0)</f>
        <v>rPET</v>
      </c>
      <c r="F264" s="986" t="s">
        <v>110</v>
      </c>
      <c r="G264" s="82" t="s">
        <v>109</v>
      </c>
      <c r="H264" s="257" t="str">
        <f>IFERROR(VLOOKUP(F264,'Quy đổi'!A:C,3,0),"-")</f>
        <v>WSS01G</v>
      </c>
      <c r="I264" s="1098">
        <v>28600</v>
      </c>
      <c r="J264" s="1098">
        <v>974001600</v>
      </c>
      <c r="K264" s="1098">
        <v>974001600</v>
      </c>
      <c r="O264" s="1097">
        <f t="shared" si="104"/>
        <v>974001600</v>
      </c>
      <c r="P264" s="1101">
        <f t="shared" si="94"/>
        <v>34056</v>
      </c>
      <c r="Q264" s="1101">
        <f t="shared" si="95"/>
        <v>1316.9373549883992</v>
      </c>
      <c r="R264" s="1099">
        <v>776277294</v>
      </c>
      <c r="S264" s="1101">
        <f t="shared" si="96"/>
        <v>27142.562727272729</v>
      </c>
      <c r="T264" s="1101">
        <f t="shared" si="97"/>
        <v>1107.8597031539889</v>
      </c>
      <c r="U264" s="1101">
        <f t="shared" si="98"/>
        <v>197724306</v>
      </c>
      <c r="V264" s="1103">
        <f t="shared" si="99"/>
        <v>0.20300203408290088</v>
      </c>
      <c r="W264" s="1098">
        <v>25860</v>
      </c>
      <c r="X264" s="1106">
        <f t="shared" si="100"/>
        <v>37664.408352668215</v>
      </c>
      <c r="Y264" s="1106">
        <f t="shared" si="101"/>
        <v>37664.408352668215</v>
      </c>
      <c r="Z264" s="1106">
        <f t="shared" si="102"/>
        <v>7645.95150812065</v>
      </c>
      <c r="AA264" s="1181">
        <f t="shared" si="103"/>
        <v>30018.456844547563</v>
      </c>
    </row>
    <row r="265" spans="1:29" hidden="1" x14ac:dyDescent="0.35">
      <c r="A265" s="179">
        <v>5</v>
      </c>
      <c r="B265" s="880" t="s">
        <v>22</v>
      </c>
      <c r="C265" s="986" t="s">
        <v>77</v>
      </c>
      <c r="D265" s="83" t="s">
        <v>76</v>
      </c>
      <c r="E265" s="892" t="str">
        <f>VLOOKUP(F265,'Quy đổi'!A:D,4,0)</f>
        <v>rHDPE thổi</v>
      </c>
      <c r="F265" s="986" t="s">
        <v>69</v>
      </c>
      <c r="G265" s="82" t="s">
        <v>68</v>
      </c>
      <c r="H265" s="257" t="str">
        <f>IFERROR(VLOOKUP(F265,'Quy đổi'!A:C,3,0),"-")</f>
        <v>MBF01</v>
      </c>
      <c r="I265" s="1098">
        <v>24750</v>
      </c>
      <c r="J265" s="1098">
        <v>877041000</v>
      </c>
      <c r="K265" s="1098">
        <v>877041000</v>
      </c>
      <c r="L265" s="1056">
        <v>17870370.370370369</v>
      </c>
      <c r="O265" s="1097">
        <f t="shared" si="104"/>
        <v>859170629.62962961</v>
      </c>
      <c r="P265" s="1101">
        <f t="shared" si="94"/>
        <v>34713.964833520389</v>
      </c>
      <c r="Q265" s="1101">
        <f t="shared" si="95"/>
        <v>1342.3806973519099</v>
      </c>
      <c r="R265" s="1099">
        <v>680062918</v>
      </c>
      <c r="S265" s="1101">
        <f t="shared" si="96"/>
        <v>27477.289616161615</v>
      </c>
      <c r="T265" s="1101">
        <f t="shared" si="97"/>
        <v>1121.5220251494536</v>
      </c>
      <c r="U265" s="1101">
        <f t="shared" si="98"/>
        <v>179107711.62962961</v>
      </c>
      <c r="V265" s="1103">
        <f t="shared" si="99"/>
        <v>0.20421817409862209</v>
      </c>
      <c r="W265" s="1098">
        <v>25860</v>
      </c>
      <c r="X265" s="1106">
        <f t="shared" si="100"/>
        <v>33223.922259459767</v>
      </c>
      <c r="Y265" s="1106">
        <f t="shared" si="101"/>
        <v>33914.965197215781</v>
      </c>
      <c r="Z265" s="1106">
        <f t="shared" si="102"/>
        <v>6926.0522671937206</v>
      </c>
      <c r="AA265" s="1181">
        <f t="shared" si="103"/>
        <v>26297.869992266049</v>
      </c>
    </row>
    <row r="266" spans="1:29" hidden="1" x14ac:dyDescent="0.35">
      <c r="A266" s="179">
        <v>5</v>
      </c>
      <c r="B266" s="880" t="s">
        <v>22</v>
      </c>
      <c r="C266" s="986" t="s">
        <v>73</v>
      </c>
      <c r="D266" s="83" t="s">
        <v>72</v>
      </c>
      <c r="E266" s="892" t="str">
        <f>VLOOKUP(F266,'Quy đổi'!A:D,4,0)</f>
        <v>rHDPE thổi</v>
      </c>
      <c r="F266" s="986" t="s">
        <v>69</v>
      </c>
      <c r="G266" s="82" t="s">
        <v>68</v>
      </c>
      <c r="H266" s="257" t="str">
        <f>IFERROR(VLOOKUP(F266,'Quy đổi'!A:C,3,0),"-")</f>
        <v>MBF01</v>
      </c>
      <c r="I266" s="1098">
        <v>-25</v>
      </c>
      <c r="J266" s="1098">
        <v>0</v>
      </c>
      <c r="K266" s="1098">
        <v>-870875</v>
      </c>
      <c r="O266" s="1097">
        <f t="shared" si="104"/>
        <v>-870875</v>
      </c>
      <c r="P266" s="1101">
        <f t="shared" si="94"/>
        <v>34835</v>
      </c>
      <c r="Q266" s="1101">
        <f t="shared" si="95"/>
        <v>1347.0610982211911</v>
      </c>
      <c r="R266" s="1099">
        <v>-686932</v>
      </c>
      <c r="S266" s="1101">
        <f t="shared" si="96"/>
        <v>27477.279999999999</v>
      </c>
      <c r="T266" s="1101">
        <f t="shared" si="97"/>
        <v>1121.5216326530613</v>
      </c>
      <c r="U266" s="1101">
        <f t="shared" si="98"/>
        <v>-183943</v>
      </c>
      <c r="V266" s="1103">
        <f t="shared" si="99"/>
        <v>0.21121630543993111</v>
      </c>
      <c r="W266" s="1098">
        <v>25860</v>
      </c>
      <c r="X266" s="1106">
        <f t="shared" si="100"/>
        <v>-33.676527455529772</v>
      </c>
      <c r="Y266" s="1106">
        <f t="shared" si="101"/>
        <v>-33.676527455529772</v>
      </c>
      <c r="Z266" s="1106">
        <f t="shared" si="102"/>
        <v>-7.113031709203403</v>
      </c>
      <c r="AA266" s="1181">
        <f t="shared" si="103"/>
        <v>-26.563495746326371</v>
      </c>
    </row>
    <row r="267" spans="1:29" hidden="1" x14ac:dyDescent="0.35">
      <c r="A267" s="179">
        <v>5</v>
      </c>
      <c r="B267" s="880" t="s">
        <v>22</v>
      </c>
      <c r="C267" s="986" t="s">
        <v>73</v>
      </c>
      <c r="D267" s="83" t="s">
        <v>72</v>
      </c>
      <c r="E267" s="892" t="str">
        <f>VLOOKUP(F267,'Quy đổi'!A:D,4,0)</f>
        <v>rHDPE thổi</v>
      </c>
      <c r="F267" s="986" t="s">
        <v>69</v>
      </c>
      <c r="G267" s="82" t="s">
        <v>68</v>
      </c>
      <c r="H267" s="257" t="str">
        <f>IFERROR(VLOOKUP(F267,'Quy đổi'!A:C,3,0),"-")</f>
        <v>MBF01</v>
      </c>
      <c r="I267" s="1098">
        <v>9625</v>
      </c>
      <c r="J267" s="1098">
        <v>335286875</v>
      </c>
      <c r="K267" s="1098">
        <v>335286875</v>
      </c>
      <c r="O267" s="1097">
        <f t="shared" si="104"/>
        <v>335286875</v>
      </c>
      <c r="P267" s="1101">
        <f t="shared" si="94"/>
        <v>34835</v>
      </c>
      <c r="Q267" s="1101">
        <f t="shared" si="95"/>
        <v>1347.0610982211911</v>
      </c>
      <c r="R267" s="1099">
        <v>264468912</v>
      </c>
      <c r="S267" s="1101">
        <f t="shared" si="96"/>
        <v>27477.28955844156</v>
      </c>
      <c r="T267" s="1101">
        <f t="shared" si="97"/>
        <v>1121.5220227935331</v>
      </c>
      <c r="U267" s="1101">
        <f t="shared" si="98"/>
        <v>70817963</v>
      </c>
      <c r="V267" s="1103">
        <f t="shared" si="99"/>
        <v>0.2112160310480391</v>
      </c>
      <c r="W267" s="1098">
        <v>25860</v>
      </c>
      <c r="X267" s="1106">
        <f t="shared" si="100"/>
        <v>12965.463070378964</v>
      </c>
      <c r="Y267" s="1106">
        <f t="shared" si="101"/>
        <v>12965.463070378964</v>
      </c>
      <c r="Z267" s="1106">
        <f t="shared" si="102"/>
        <v>2738.5136504253674</v>
      </c>
      <c r="AA267" s="1181">
        <f t="shared" si="103"/>
        <v>10226.949419953597</v>
      </c>
    </row>
    <row r="268" spans="1:29" hidden="1" x14ac:dyDescent="0.35">
      <c r="A268" s="179">
        <v>5</v>
      </c>
      <c r="B268" s="880" t="s">
        <v>22</v>
      </c>
      <c r="C268" s="986" t="s">
        <v>21</v>
      </c>
      <c r="D268" s="83" t="s">
        <v>20</v>
      </c>
      <c r="E268" s="892" t="str">
        <f>VLOOKUP(F268,'Quy đổi'!A:D,4,0)</f>
        <v>rHDPE ép</v>
      </c>
      <c r="F268" s="986" t="s">
        <v>37</v>
      </c>
      <c r="G268" s="82" t="s">
        <v>36</v>
      </c>
      <c r="H268" s="257" t="str">
        <f>IFERROR(VLOOKUP(F268,'Quy đổi'!A:C,3,0),"-")</f>
        <v>Vảy HD Ép Đỏ</v>
      </c>
      <c r="I268" s="1098">
        <v>5250</v>
      </c>
      <c r="J268" s="1098">
        <v>87500000</v>
      </c>
      <c r="K268" s="1098">
        <v>87500000</v>
      </c>
      <c r="O268" s="1097">
        <f t="shared" si="104"/>
        <v>87500000</v>
      </c>
      <c r="P268" s="1101">
        <f t="shared" si="94"/>
        <v>16666.666666666668</v>
      </c>
      <c r="Q268" s="1101">
        <f t="shared" si="95"/>
        <v>644.49600412477446</v>
      </c>
      <c r="R268" s="1099">
        <v>132282036</v>
      </c>
      <c r="S268" s="1101">
        <f t="shared" si="96"/>
        <v>25196.578285714284</v>
      </c>
      <c r="T268" s="1101">
        <f t="shared" si="97"/>
        <v>1028.4317667638484</v>
      </c>
      <c r="U268" s="1101">
        <f t="shared" si="98"/>
        <v>-44782036</v>
      </c>
      <c r="V268" s="1103">
        <f t="shared" si="99"/>
        <v>-0.51179469714285719</v>
      </c>
      <c r="W268" s="1098">
        <v>25860</v>
      </c>
      <c r="X268" s="1106">
        <f t="shared" si="100"/>
        <v>3383.6040216550659</v>
      </c>
      <c r="Y268" s="1106">
        <f t="shared" si="101"/>
        <v>3383.6040216550659</v>
      </c>
      <c r="Z268" s="1106">
        <f t="shared" si="102"/>
        <v>-1731.7105955143079</v>
      </c>
      <c r="AA268" s="1181">
        <f t="shared" si="103"/>
        <v>5115.3146171693734</v>
      </c>
    </row>
    <row r="269" spans="1:29" hidden="1" x14ac:dyDescent="0.35">
      <c r="A269" s="179">
        <v>5</v>
      </c>
      <c r="B269" s="880" t="s">
        <v>22</v>
      </c>
      <c r="C269" s="986" t="s">
        <v>21</v>
      </c>
      <c r="D269" s="83" t="s">
        <v>20</v>
      </c>
      <c r="E269" s="892" t="str">
        <f>VLOOKUP(F269,'Quy đổi'!A:D,4,0)</f>
        <v>rPP</v>
      </c>
      <c r="F269" s="986" t="s">
        <v>19</v>
      </c>
      <c r="G269" s="82" t="s">
        <v>18</v>
      </c>
      <c r="H269" s="257" t="str">
        <f>IFERROR(VLOOKUP(F269,'Quy đổi'!A:C,3,0),"-")</f>
        <v>Vảy PP Đỏ Nhạt</v>
      </c>
      <c r="I269" s="1098">
        <v>20250</v>
      </c>
      <c r="J269" s="1098">
        <v>365625000</v>
      </c>
      <c r="K269" s="1098">
        <v>365625000</v>
      </c>
      <c r="O269" s="1097">
        <f t="shared" si="104"/>
        <v>365625000</v>
      </c>
      <c r="P269" s="1101">
        <f t="shared" si="94"/>
        <v>18055.555555555555</v>
      </c>
      <c r="Q269" s="1101">
        <f t="shared" si="95"/>
        <v>698.20400446850556</v>
      </c>
      <c r="R269" s="1099">
        <v>412761042</v>
      </c>
      <c r="S269" s="1101">
        <f t="shared" si="96"/>
        <v>20383.261333333332</v>
      </c>
      <c r="T269" s="1101">
        <f t="shared" si="97"/>
        <v>831.96985034013596</v>
      </c>
      <c r="U269" s="1101">
        <f t="shared" si="98"/>
        <v>-47136042</v>
      </c>
      <c r="V269" s="1103">
        <f t="shared" si="99"/>
        <v>-0.12891908923076922</v>
      </c>
      <c r="W269" s="1098">
        <v>25860</v>
      </c>
      <c r="X269" s="1106">
        <f t="shared" si="100"/>
        <v>14138.631090487239</v>
      </c>
      <c r="Y269" s="1106">
        <f t="shared" si="101"/>
        <v>14138.631090487239</v>
      </c>
      <c r="Z269" s="1106">
        <f t="shared" si="102"/>
        <v>-1822.7394431554524</v>
      </c>
      <c r="AA269" s="1181">
        <f t="shared" si="103"/>
        <v>15961.370533642692</v>
      </c>
    </row>
    <row r="270" spans="1:29" hidden="1" x14ac:dyDescent="0.35">
      <c r="A270" s="179">
        <v>5</v>
      </c>
      <c r="B270" s="880" t="s">
        <v>22</v>
      </c>
      <c r="C270" s="986" t="s">
        <v>832</v>
      </c>
      <c r="D270" s="83" t="s">
        <v>833</v>
      </c>
      <c r="E270" s="892" t="str">
        <f>VLOOKUP(F270,'Quy đổi'!A:D,4,0)</f>
        <v>rPET</v>
      </c>
      <c r="F270" s="986" t="s">
        <v>110</v>
      </c>
      <c r="G270" s="82" t="s">
        <v>109</v>
      </c>
      <c r="H270" s="257" t="str">
        <f>IFERROR(VLOOKUP(F270,'Quy đổi'!A:C,3,0),"-")</f>
        <v>WSS01G</v>
      </c>
      <c r="I270" s="1098">
        <v>3300</v>
      </c>
      <c r="J270" s="1098">
        <v>111222222</v>
      </c>
      <c r="K270" s="1098">
        <v>111222222</v>
      </c>
      <c r="O270" s="1097">
        <f t="shared" si="104"/>
        <v>111222222</v>
      </c>
      <c r="P270" s="1101">
        <f t="shared" si="94"/>
        <v>33703.703636363636</v>
      </c>
      <c r="Q270" s="1101">
        <f t="shared" si="95"/>
        <v>1303.3141390705196</v>
      </c>
      <c r="R270" s="1099">
        <v>89570457</v>
      </c>
      <c r="S270" s="1101">
        <f t="shared" si="96"/>
        <v>27142.562727272729</v>
      </c>
      <c r="T270" s="1101">
        <f t="shared" si="97"/>
        <v>1107.8597031539889</v>
      </c>
      <c r="U270" s="1101">
        <f t="shared" si="98"/>
        <v>21651765</v>
      </c>
      <c r="V270" s="1103">
        <f t="shared" si="99"/>
        <v>0.19467121417516725</v>
      </c>
      <c r="W270" s="1098">
        <v>25860</v>
      </c>
      <c r="X270" s="1106">
        <f t="shared" si="100"/>
        <v>4300.9366589327146</v>
      </c>
      <c r="Y270" s="1106">
        <f t="shared" si="101"/>
        <v>4300.9366589327146</v>
      </c>
      <c r="Z270" s="1106">
        <f t="shared" si="102"/>
        <v>837.26856148491879</v>
      </c>
      <c r="AA270" s="1181">
        <f t="shared" si="103"/>
        <v>3463.6680974477958</v>
      </c>
    </row>
    <row r="271" spans="1:29" hidden="1" x14ac:dyDescent="0.35">
      <c r="A271" s="179">
        <v>5</v>
      </c>
      <c r="B271" s="880" t="s">
        <v>26</v>
      </c>
      <c r="C271" s="986" t="s">
        <v>142</v>
      </c>
      <c r="D271" s="1173" t="s">
        <v>141</v>
      </c>
      <c r="E271" s="892" t="str">
        <f>VLOOKUP(F271,'Quy đổi'!A:D,4,0)</f>
        <v>rPET</v>
      </c>
      <c r="F271" s="986" t="s">
        <v>127</v>
      </c>
      <c r="G271" s="82" t="s">
        <v>114</v>
      </c>
      <c r="H271" s="257" t="str">
        <f>IFERROR(VLOOKUP(F271,'Quy đổi'!A:C,3,0),"-")</f>
        <v>iSS01084G</v>
      </c>
      <c r="I271" s="1098">
        <v>220000</v>
      </c>
      <c r="J271" s="1098">
        <v>8101579200</v>
      </c>
      <c r="K271" s="1098">
        <v>8101579200</v>
      </c>
      <c r="L271" s="1104">
        <f>530567473/242000*I271</f>
        <v>482334066.36363637</v>
      </c>
      <c r="O271" s="1097">
        <f t="shared" si="104"/>
        <v>7619245133.636364</v>
      </c>
      <c r="P271" s="1101">
        <f t="shared" si="94"/>
        <v>34632.932425619838</v>
      </c>
      <c r="Q271" s="1101">
        <f t="shared" si="95"/>
        <v>1339.247193566119</v>
      </c>
      <c r="R271" s="1099">
        <v>6104020010</v>
      </c>
      <c r="S271" s="1101">
        <f t="shared" si="96"/>
        <v>27745.5455</v>
      </c>
      <c r="T271" s="1101">
        <f t="shared" si="97"/>
        <v>1132.4712448979592</v>
      </c>
      <c r="U271" s="1101">
        <f t="shared" si="98"/>
        <v>1515225123.636364</v>
      </c>
      <c r="V271" s="1103">
        <f t="shared" si="99"/>
        <v>0.18702836647407756</v>
      </c>
      <c r="W271" s="1098">
        <v>25860</v>
      </c>
      <c r="X271" s="1106">
        <f t="shared" si="100"/>
        <v>294634.38258454617</v>
      </c>
      <c r="Y271" s="1106">
        <f t="shared" si="101"/>
        <v>313286.12529002322</v>
      </c>
      <c r="Z271" s="1106">
        <f t="shared" si="102"/>
        <v>58593.392251986232</v>
      </c>
      <c r="AA271" s="1181">
        <f t="shared" si="103"/>
        <v>236040.99033255994</v>
      </c>
      <c r="AC271" s="1098">
        <f t="shared" ref="AC271:AC272" si="105">X271/I271*1000</f>
        <v>1339.247193566119</v>
      </c>
    </row>
    <row r="272" spans="1:29" hidden="1" x14ac:dyDescent="0.35">
      <c r="A272" s="179">
        <v>5</v>
      </c>
      <c r="B272" s="880" t="s">
        <v>26</v>
      </c>
      <c r="C272" s="986" t="s">
        <v>142</v>
      </c>
      <c r="D272" s="1173" t="s">
        <v>141</v>
      </c>
      <c r="E272" s="892" t="str">
        <f>VLOOKUP(F272,'Quy đổi'!A:D,4,0)</f>
        <v>rPET</v>
      </c>
      <c r="F272" s="986" t="s">
        <v>100</v>
      </c>
      <c r="G272" s="82" t="s">
        <v>99</v>
      </c>
      <c r="H272" s="257" t="str">
        <f>IFERROR(VLOOKUP(F272,'Quy đổi'!A:C,3,0),"-")</f>
        <v>iSS01G</v>
      </c>
      <c r="I272" s="1098">
        <v>22000</v>
      </c>
      <c r="J272" s="1098">
        <v>782680800</v>
      </c>
      <c r="K272" s="1098">
        <v>782680800</v>
      </c>
      <c r="L272" s="1104">
        <f>530567473/242000*I272</f>
        <v>48233406.63636364</v>
      </c>
      <c r="O272" s="1097">
        <f t="shared" si="104"/>
        <v>734447393.36363637</v>
      </c>
      <c r="P272" s="1101">
        <f t="shared" si="94"/>
        <v>33383.972425619839</v>
      </c>
      <c r="Q272" s="1101">
        <f t="shared" si="95"/>
        <v>1290.9502098074183</v>
      </c>
      <c r="R272" s="1099">
        <v>567076923</v>
      </c>
      <c r="S272" s="1101">
        <f t="shared" si="96"/>
        <v>25776.223772727273</v>
      </c>
      <c r="T272" s="1101">
        <f t="shared" si="97"/>
        <v>1052.0907662337663</v>
      </c>
      <c r="U272" s="1101">
        <f t="shared" si="98"/>
        <v>167370470.36363637</v>
      </c>
      <c r="V272" s="1103">
        <f t="shared" si="99"/>
        <v>0.21384256565848603</v>
      </c>
      <c r="W272" s="1098">
        <v>25860</v>
      </c>
      <c r="X272" s="1106">
        <f t="shared" si="100"/>
        <v>28400.9046157632</v>
      </c>
      <c r="Y272" s="1106">
        <f t="shared" si="101"/>
        <v>30266.078886310905</v>
      </c>
      <c r="Z272" s="1106">
        <f t="shared" si="102"/>
        <v>6472.1759614708571</v>
      </c>
      <c r="AA272" s="1181">
        <f t="shared" si="103"/>
        <v>21928.728654292343</v>
      </c>
      <c r="AC272" s="1098">
        <f t="shared" si="105"/>
        <v>1290.9502098074181</v>
      </c>
    </row>
    <row r="273" spans="1:29" hidden="1" x14ac:dyDescent="0.35">
      <c r="A273" s="179">
        <v>5</v>
      </c>
      <c r="C273" s="986" t="s">
        <v>635</v>
      </c>
      <c r="D273" s="83" t="s">
        <v>636</v>
      </c>
      <c r="E273" s="892" t="str">
        <f>VLOOKUP(F273,'Quy đổi'!A:D,4,0)</f>
        <v>Dây đai</v>
      </c>
      <c r="F273" s="986" t="s">
        <v>649</v>
      </c>
      <c r="G273" s="82" t="s">
        <v>650</v>
      </c>
      <c r="H273" s="257">
        <f>IFERROR(VLOOKUP(F273,'Quy đổi'!A:C,3,0),"-")</f>
        <v>0</v>
      </c>
      <c r="I273" s="1098">
        <v>80000</v>
      </c>
      <c r="J273" s="1098">
        <v>1360000000</v>
      </c>
      <c r="K273" s="1098">
        <v>1360000000</v>
      </c>
      <c r="M273" s="1056">
        <v>96000000</v>
      </c>
      <c r="O273" s="1097">
        <f t="shared" si="104"/>
        <v>1264000000</v>
      </c>
      <c r="P273" s="1101">
        <f t="shared" si="94"/>
        <v>15800</v>
      </c>
      <c r="Q273" s="1101">
        <f t="shared" si="95"/>
        <v>610.98221191028608</v>
      </c>
      <c r="R273" s="1099">
        <v>1862944815</v>
      </c>
      <c r="S273" s="1101">
        <f t="shared" si="96"/>
        <v>23286.810187499999</v>
      </c>
      <c r="T273" s="1101">
        <f t="shared" si="97"/>
        <v>950.48204846938768</v>
      </c>
      <c r="U273" s="1101">
        <f t="shared" si="98"/>
        <v>-598944815</v>
      </c>
      <c r="V273" s="1103">
        <f t="shared" si="99"/>
        <v>-0.44040059926470587</v>
      </c>
      <c r="W273" s="1098">
        <v>25860</v>
      </c>
      <c r="X273" s="1106">
        <f t="shared" si="100"/>
        <v>48878.576952822892</v>
      </c>
      <c r="Y273" s="1106">
        <f t="shared" si="101"/>
        <v>52590.873936581593</v>
      </c>
      <c r="Z273" s="1106">
        <f t="shared" si="102"/>
        <v>-23161.052397525134</v>
      </c>
      <c r="AA273" s="1181">
        <f t="shared" si="103"/>
        <v>72039.629350348026</v>
      </c>
    </row>
    <row r="274" spans="1:29" hidden="1" x14ac:dyDescent="0.35">
      <c r="A274" s="179">
        <v>5</v>
      </c>
      <c r="C274" s="986" t="s">
        <v>353</v>
      </c>
      <c r="D274" s="83" t="s">
        <v>354</v>
      </c>
      <c r="E274" s="892" t="str">
        <f>VLOOKUP(F274,'Quy đổi'!A:D,4,0)</f>
        <v>Phó sản</v>
      </c>
      <c r="F274" s="986" t="s">
        <v>357</v>
      </c>
      <c r="G274" s="82" t="s">
        <v>356</v>
      </c>
      <c r="H274" s="257">
        <f>IFERROR(VLOOKUP(F274,'Quy đổi'!A:C,3,0),"-")</f>
        <v>0</v>
      </c>
      <c r="I274" s="1098">
        <v>6547</v>
      </c>
      <c r="J274" s="1098">
        <v>32735000</v>
      </c>
      <c r="K274" s="1098">
        <v>32735000</v>
      </c>
      <c r="O274" s="1097">
        <f t="shared" si="104"/>
        <v>32735000</v>
      </c>
      <c r="P274" s="1101">
        <f t="shared" si="94"/>
        <v>5000</v>
      </c>
      <c r="Q274" s="1101">
        <f t="shared" si="95"/>
        <v>193.34880123743233</v>
      </c>
      <c r="R274" s="1099">
        <v>82480138</v>
      </c>
      <c r="S274" s="1101">
        <f t="shared" si="96"/>
        <v>12598.157629448602</v>
      </c>
      <c r="T274" s="1101">
        <f t="shared" si="97"/>
        <v>514.2105154876981</v>
      </c>
      <c r="U274" s="1101">
        <f t="shared" si="98"/>
        <v>-49745138</v>
      </c>
      <c r="V274" s="1103">
        <f t="shared" si="99"/>
        <v>-1.5196315258897204</v>
      </c>
      <c r="W274" s="1098">
        <v>25860</v>
      </c>
      <c r="X274" s="1106">
        <f t="shared" si="100"/>
        <v>1265.8546017014694</v>
      </c>
      <c r="Y274" s="1106">
        <f t="shared" si="101"/>
        <v>1265.8546017014694</v>
      </c>
      <c r="Z274" s="1106">
        <f t="shared" si="102"/>
        <v>-1923.6325599381285</v>
      </c>
      <c r="AA274" s="1181">
        <f t="shared" si="103"/>
        <v>3189.4871616395976</v>
      </c>
    </row>
    <row r="275" spans="1:29" hidden="1" x14ac:dyDescent="0.35">
      <c r="A275" s="179">
        <v>5</v>
      </c>
      <c r="C275" s="986" t="s">
        <v>353</v>
      </c>
      <c r="D275" s="83" t="s">
        <v>354</v>
      </c>
      <c r="E275" s="892" t="str">
        <f>VLOOKUP(F275,'Quy đổi'!A:D,4,0)</f>
        <v>Phó sản</v>
      </c>
      <c r="F275" s="986" t="s">
        <v>358</v>
      </c>
      <c r="G275" s="82" t="s">
        <v>356</v>
      </c>
      <c r="H275" s="257">
        <f>IFERROR(VLOOKUP(F275,'Quy đổi'!A:C,3,0),"-")</f>
        <v>0</v>
      </c>
      <c r="I275" s="1098">
        <v>26737</v>
      </c>
      <c r="J275" s="1098">
        <v>133685000</v>
      </c>
      <c r="K275" s="1098">
        <v>133685000</v>
      </c>
      <c r="O275" s="1097">
        <f t="shared" si="104"/>
        <v>133685000</v>
      </c>
      <c r="P275" s="1101">
        <f t="shared" si="94"/>
        <v>5000</v>
      </c>
      <c r="Q275" s="1101">
        <f t="shared" si="95"/>
        <v>193.34880123743233</v>
      </c>
      <c r="R275" s="1099">
        <v>336644724</v>
      </c>
      <c r="S275" s="1101">
        <f t="shared" si="96"/>
        <v>12590.968470658638</v>
      </c>
      <c r="T275" s="1101">
        <f t="shared" si="97"/>
        <v>513.91708043504639</v>
      </c>
      <c r="U275" s="1101">
        <f t="shared" si="98"/>
        <v>-202959724</v>
      </c>
      <c r="V275" s="1103">
        <f t="shared" si="99"/>
        <v>-1.5181936941317276</v>
      </c>
      <c r="W275" s="1098">
        <v>25860</v>
      </c>
      <c r="X275" s="1106">
        <f t="shared" si="100"/>
        <v>5169.5668986852279</v>
      </c>
      <c r="Y275" s="1106">
        <f t="shared" si="101"/>
        <v>5169.5668986852279</v>
      </c>
      <c r="Z275" s="1106">
        <f t="shared" si="102"/>
        <v>-7848.4038669760248</v>
      </c>
      <c r="AA275" s="1181">
        <f t="shared" si="103"/>
        <v>13017.970765661254</v>
      </c>
    </row>
    <row r="276" spans="1:29" hidden="1" x14ac:dyDescent="0.35">
      <c r="A276" s="179">
        <v>5</v>
      </c>
      <c r="C276" s="986" t="s">
        <v>353</v>
      </c>
      <c r="D276" s="83" t="s">
        <v>354</v>
      </c>
      <c r="E276" s="892" t="str">
        <f>VLOOKUP(F276,'Quy đổi'!A:D,4,0)</f>
        <v>Phó sản</v>
      </c>
      <c r="F276" s="986" t="s">
        <v>359</v>
      </c>
      <c r="G276" s="82" t="s">
        <v>356</v>
      </c>
      <c r="H276" s="257">
        <f>IFERROR(VLOOKUP(F276,'Quy đổi'!A:C,3,0),"-")</f>
        <v>0</v>
      </c>
      <c r="I276" s="1098">
        <v>38593</v>
      </c>
      <c r="J276" s="1098">
        <v>192965000</v>
      </c>
      <c r="K276" s="1098">
        <v>192965000</v>
      </c>
      <c r="O276" s="1097">
        <f t="shared" si="104"/>
        <v>192965000</v>
      </c>
      <c r="P276" s="1101">
        <f t="shared" si="94"/>
        <v>5000</v>
      </c>
      <c r="Q276" s="1101">
        <f t="shared" si="95"/>
        <v>193.34880123743233</v>
      </c>
      <c r="R276" s="1099">
        <v>485860499</v>
      </c>
      <c r="S276" s="1101">
        <f t="shared" si="96"/>
        <v>12589.342600989818</v>
      </c>
      <c r="T276" s="1101">
        <f t="shared" si="97"/>
        <v>513.85071840774765</v>
      </c>
      <c r="U276" s="1101">
        <f t="shared" si="98"/>
        <v>-292895499</v>
      </c>
      <c r="V276" s="1103">
        <f t="shared" si="99"/>
        <v>-1.5178685201979634</v>
      </c>
      <c r="W276" s="1098">
        <v>25860</v>
      </c>
      <c r="X276" s="1106">
        <f t="shared" si="100"/>
        <v>7461.910286156226</v>
      </c>
      <c r="Y276" s="1106">
        <f t="shared" si="101"/>
        <v>7461.910286156226</v>
      </c>
      <c r="Z276" s="1106">
        <f t="shared" si="102"/>
        <v>-11326.198723897913</v>
      </c>
      <c r="AA276" s="1181">
        <f t="shared" si="103"/>
        <v>18788.109010054137</v>
      </c>
    </row>
    <row r="277" spans="1:29" hidden="1" x14ac:dyDescent="0.35">
      <c r="A277" s="179">
        <v>5</v>
      </c>
      <c r="C277" s="986" t="s">
        <v>353</v>
      </c>
      <c r="D277" s="83" t="s">
        <v>354</v>
      </c>
      <c r="E277" s="892" t="str">
        <f>VLOOKUP(F277,'Quy đổi'!A:D,4,0)</f>
        <v>Phó sản</v>
      </c>
      <c r="F277" s="986" t="s">
        <v>651</v>
      </c>
      <c r="G277" s="82" t="s">
        <v>652</v>
      </c>
      <c r="H277" s="257">
        <f>IFERROR(VLOOKUP(F277,'Quy đổi'!A:C,3,0),"-")</f>
        <v>0</v>
      </c>
      <c r="I277" s="1098">
        <v>15761</v>
      </c>
      <c r="J277" s="1098">
        <v>31522000</v>
      </c>
      <c r="K277" s="1098">
        <v>31522000</v>
      </c>
      <c r="O277" s="1097">
        <f t="shared" si="104"/>
        <v>31522000</v>
      </c>
      <c r="P277" s="1101">
        <f t="shared" si="94"/>
        <v>2000</v>
      </c>
      <c r="Q277" s="1101">
        <f t="shared" si="95"/>
        <v>77.33952049497293</v>
      </c>
      <c r="R277" s="1099">
        <v>198572612</v>
      </c>
      <c r="S277" s="1101">
        <f t="shared" si="96"/>
        <v>12598.985597360574</v>
      </c>
      <c r="T277" s="1101">
        <f t="shared" si="97"/>
        <v>514.24431009634998</v>
      </c>
      <c r="U277" s="1101">
        <f t="shared" si="98"/>
        <v>-167050612</v>
      </c>
      <c r="V277" s="1103">
        <f t="shared" si="99"/>
        <v>-5.2994927986802871</v>
      </c>
      <c r="W277" s="1098">
        <v>25860</v>
      </c>
      <c r="X277" s="1106">
        <f t="shared" si="100"/>
        <v>1218.9481825212683</v>
      </c>
      <c r="Y277" s="1106">
        <f t="shared" si="101"/>
        <v>1218.9481825212683</v>
      </c>
      <c r="Z277" s="1106">
        <f t="shared" si="102"/>
        <v>-6459.8071152358852</v>
      </c>
      <c r="AA277" s="1181">
        <f t="shared" si="103"/>
        <v>7678.755297757154</v>
      </c>
    </row>
    <row r="278" spans="1:29" hidden="1" x14ac:dyDescent="0.35">
      <c r="A278" s="179">
        <v>5</v>
      </c>
      <c r="B278" s="880" t="s">
        <v>22</v>
      </c>
      <c r="C278" s="986" t="s">
        <v>637</v>
      </c>
      <c r="D278" s="83" t="s">
        <v>638</v>
      </c>
      <c r="E278" s="892" t="str">
        <f>VLOOKUP(F278,'Quy đổi'!A:D,4,0)</f>
        <v>rHDPE ép</v>
      </c>
      <c r="F278" s="986" t="s">
        <v>204</v>
      </c>
      <c r="G278" s="82" t="s">
        <v>205</v>
      </c>
      <c r="H278" s="257" t="str">
        <f>IFERROR(VLOOKUP(F278,'Quy đổi'!A:C,3,0),"-")</f>
        <v>rHDI3G01</v>
      </c>
      <c r="I278" s="1098">
        <v>35750</v>
      </c>
      <c r="J278" s="1098">
        <v>681236110</v>
      </c>
      <c r="K278" s="1098">
        <v>681236110</v>
      </c>
      <c r="L278" s="1056">
        <v>3200000</v>
      </c>
      <c r="M278" s="1056">
        <f>I278*1000</f>
        <v>35750000</v>
      </c>
      <c r="O278" s="1097">
        <f t="shared" si="104"/>
        <v>642286110</v>
      </c>
      <c r="P278" s="1101">
        <f t="shared" si="94"/>
        <v>17966.045034965035</v>
      </c>
      <c r="Q278" s="1101">
        <f t="shared" si="95"/>
        <v>694.74265409764246</v>
      </c>
      <c r="R278" s="1099">
        <v>953579792</v>
      </c>
      <c r="S278" s="1101">
        <f t="shared" si="96"/>
        <v>26673.560615384617</v>
      </c>
      <c r="T278" s="1101">
        <f t="shared" si="97"/>
        <v>1088.7167598116171</v>
      </c>
      <c r="U278" s="1101">
        <f t="shared" si="98"/>
        <v>-311293682</v>
      </c>
      <c r="V278" s="1103">
        <f t="shared" si="99"/>
        <v>-0.45695417114632986</v>
      </c>
      <c r="W278" s="1098">
        <v>25860</v>
      </c>
      <c r="X278" s="1106">
        <f t="shared" si="100"/>
        <v>24837.04988399072</v>
      </c>
      <c r="Y278" s="1106">
        <f t="shared" si="101"/>
        <v>26343.237045630318</v>
      </c>
      <c r="Z278" s="1106">
        <f t="shared" si="102"/>
        <v>-12037.652049497294</v>
      </c>
      <c r="AA278" s="1181">
        <f t="shared" si="103"/>
        <v>36874.70193348801</v>
      </c>
    </row>
    <row r="279" spans="1:29" hidden="1" x14ac:dyDescent="0.35">
      <c r="A279" s="179">
        <v>5</v>
      </c>
      <c r="B279" s="880" t="s">
        <v>22</v>
      </c>
      <c r="C279" s="986" t="s">
        <v>637</v>
      </c>
      <c r="D279" s="83" t="s">
        <v>638</v>
      </c>
      <c r="E279" s="892" t="str">
        <f>VLOOKUP(F279,'Quy đổi'!A:D,4,0)</f>
        <v>rHDPE ép</v>
      </c>
      <c r="F279" s="986" t="s">
        <v>37</v>
      </c>
      <c r="G279" s="82" t="s">
        <v>36</v>
      </c>
      <c r="H279" s="257" t="str">
        <f>IFERROR(VLOOKUP(F279,'Quy đổi'!A:C,3,0),"-")</f>
        <v>Vảy HD Ép Đỏ</v>
      </c>
      <c r="I279" s="1098">
        <v>15000</v>
      </c>
      <c r="J279" s="1098">
        <v>256944444</v>
      </c>
      <c r="K279" s="1098">
        <v>256944444</v>
      </c>
      <c r="M279" s="1056">
        <f>I279*1000</f>
        <v>15000000</v>
      </c>
      <c r="O279" s="1097">
        <f t="shared" si="104"/>
        <v>241944444</v>
      </c>
      <c r="P279" s="1101">
        <f t="shared" si="94"/>
        <v>16129.6296</v>
      </c>
      <c r="Q279" s="1101">
        <f t="shared" si="95"/>
        <v>623.72890951276111</v>
      </c>
      <c r="R279" s="1099">
        <v>377948676</v>
      </c>
      <c r="S279" s="1101">
        <f t="shared" si="96"/>
        <v>25196.578399999999</v>
      </c>
      <c r="T279" s="1101">
        <f t="shared" si="97"/>
        <v>1028.4317714285714</v>
      </c>
      <c r="U279" s="1101">
        <f t="shared" si="98"/>
        <v>-136004232</v>
      </c>
      <c r="V279" s="1103">
        <f t="shared" si="99"/>
        <v>-0.52931376869935354</v>
      </c>
      <c r="W279" s="1098">
        <v>25860</v>
      </c>
      <c r="X279" s="1106">
        <f t="shared" si="100"/>
        <v>9355.933642691416</v>
      </c>
      <c r="Y279" s="1106">
        <f t="shared" si="101"/>
        <v>9935.9800464037125</v>
      </c>
      <c r="Z279" s="1106">
        <f t="shared" si="102"/>
        <v>-5259.2510440835267</v>
      </c>
      <c r="AA279" s="1181">
        <f t="shared" si="103"/>
        <v>14615.184686774943</v>
      </c>
    </row>
    <row r="280" spans="1:29" hidden="1" x14ac:dyDescent="0.35">
      <c r="A280" s="179">
        <v>5</v>
      </c>
      <c r="B280" s="880" t="s">
        <v>22</v>
      </c>
      <c r="C280" s="986" t="s">
        <v>637</v>
      </c>
      <c r="D280" s="83" t="s">
        <v>638</v>
      </c>
      <c r="E280" s="892" t="str">
        <f>VLOOKUP(F280,'Quy đổi'!A:D,4,0)</f>
        <v>rHDPE ép</v>
      </c>
      <c r="F280" s="986" t="s">
        <v>39</v>
      </c>
      <c r="G280" s="82" t="s">
        <v>38</v>
      </c>
      <c r="H280" s="257" t="str">
        <f>IFERROR(VLOOKUP(F280,'Quy đổi'!A:C,3,0),"-")</f>
        <v>Vảy HD Ép Vàng</v>
      </c>
      <c r="I280" s="1098">
        <v>25500</v>
      </c>
      <c r="J280" s="1098">
        <v>438633332</v>
      </c>
      <c r="K280" s="1098">
        <v>438633332</v>
      </c>
      <c r="M280" s="1056">
        <f>15000*1000+10500*1100</f>
        <v>26550000</v>
      </c>
      <c r="O280" s="1097">
        <f t="shared" si="104"/>
        <v>412083332</v>
      </c>
      <c r="P280" s="1101">
        <f t="shared" si="94"/>
        <v>16160.130666666666</v>
      </c>
      <c r="Q280" s="1101">
        <f t="shared" si="95"/>
        <v>624.90837844805355</v>
      </c>
      <c r="R280" s="1099">
        <v>640184158</v>
      </c>
      <c r="S280" s="1101">
        <f t="shared" si="96"/>
        <v>25105.261098039216</v>
      </c>
      <c r="T280" s="1101">
        <f t="shared" si="97"/>
        <v>1024.7045346138457</v>
      </c>
      <c r="U280" s="1101">
        <f t="shared" si="98"/>
        <v>-228100826</v>
      </c>
      <c r="V280" s="1103">
        <f t="shared" si="99"/>
        <v>-0.52002620265985622</v>
      </c>
      <c r="W280" s="1098">
        <v>25860</v>
      </c>
      <c r="X280" s="1106">
        <f t="shared" si="100"/>
        <v>15935.163650425367</v>
      </c>
      <c r="Y280" s="1106">
        <f t="shared" si="101"/>
        <v>16961.845784996134</v>
      </c>
      <c r="Z280" s="1106">
        <f t="shared" si="102"/>
        <v>-8820.6042536736277</v>
      </c>
      <c r="AA280" s="1181">
        <f t="shared" si="103"/>
        <v>24755.767904098993</v>
      </c>
    </row>
    <row r="281" spans="1:29" hidden="1" x14ac:dyDescent="0.35">
      <c r="A281" s="179">
        <v>5</v>
      </c>
      <c r="B281" s="880" t="s">
        <v>22</v>
      </c>
      <c r="C281" s="986" t="s">
        <v>637</v>
      </c>
      <c r="D281" s="83" t="s">
        <v>638</v>
      </c>
      <c r="E281" s="892" t="str">
        <f>VLOOKUP(F281,'Quy đổi'!A:D,4,0)</f>
        <v>rHDPE ép</v>
      </c>
      <c r="F281" s="986" t="s">
        <v>43</v>
      </c>
      <c r="G281" s="82" t="s">
        <v>42</v>
      </c>
      <c r="H281" s="257" t="str">
        <f>IFERROR(VLOOKUP(F281,'Quy đổi'!A:C,3,0),"-")</f>
        <v>Vảy HD Ép dương</v>
      </c>
      <c r="I281" s="1098">
        <v>5250</v>
      </c>
      <c r="J281" s="1098">
        <v>89930556</v>
      </c>
      <c r="K281" s="1098">
        <v>89930556</v>
      </c>
      <c r="M281" s="1056">
        <f>I281*1000</f>
        <v>5250000</v>
      </c>
      <c r="O281" s="1097">
        <f t="shared" si="104"/>
        <v>84680556</v>
      </c>
      <c r="P281" s="1101">
        <f t="shared" si="94"/>
        <v>16129.629714285715</v>
      </c>
      <c r="Q281" s="1101">
        <f t="shared" si="95"/>
        <v>623.72891393216219</v>
      </c>
      <c r="R281" s="1099">
        <v>131570574</v>
      </c>
      <c r="S281" s="1101">
        <f t="shared" si="96"/>
        <v>25061.061714285715</v>
      </c>
      <c r="T281" s="1101">
        <f t="shared" si="97"/>
        <v>1022.9004781341108</v>
      </c>
      <c r="U281" s="1101">
        <f t="shared" si="98"/>
        <v>-46890018</v>
      </c>
      <c r="V281" s="1103">
        <f t="shared" si="99"/>
        <v>-0.52140251417994121</v>
      </c>
      <c r="W281" s="1098">
        <v>25860</v>
      </c>
      <c r="X281" s="1106">
        <f t="shared" si="100"/>
        <v>3274.5767981438516</v>
      </c>
      <c r="Y281" s="1106">
        <f t="shared" si="101"/>
        <v>3477.5930394431552</v>
      </c>
      <c r="Z281" s="1106">
        <f t="shared" si="102"/>
        <v>-1813.2257540603248</v>
      </c>
      <c r="AA281" s="1181">
        <f t="shared" si="103"/>
        <v>5087.8025522041762</v>
      </c>
    </row>
    <row r="282" spans="1:29" hidden="1" x14ac:dyDescent="0.35">
      <c r="A282" s="179">
        <v>5</v>
      </c>
      <c r="B282" s="880" t="s">
        <v>26</v>
      </c>
      <c r="C282" s="986" t="s">
        <v>530</v>
      </c>
      <c r="D282" s="1173" t="s">
        <v>531</v>
      </c>
      <c r="E282" s="892" t="str">
        <f>VLOOKUP(F282,'Quy đổi'!A:D,4,0)</f>
        <v>rPET</v>
      </c>
      <c r="F282" s="986" t="s">
        <v>100</v>
      </c>
      <c r="G282" s="82" t="s">
        <v>99</v>
      </c>
      <c r="H282" s="257" t="str">
        <f>IFERROR(VLOOKUP(F282,'Quy đổi'!A:C,3,0),"-")</f>
        <v>iSS01G</v>
      </c>
      <c r="I282" s="1098">
        <v>374000</v>
      </c>
      <c r="J282" s="1098">
        <v>13432074700</v>
      </c>
      <c r="K282" s="1098">
        <v>13432074700</v>
      </c>
      <c r="L282" s="1104">
        <v>862203264</v>
      </c>
      <c r="O282" s="1097">
        <f t="shared" si="104"/>
        <v>12569871436</v>
      </c>
      <c r="P282" s="1101">
        <f t="shared" si="94"/>
        <v>33609.281914438499</v>
      </c>
      <c r="Q282" s="1101">
        <f t="shared" si="95"/>
        <v>1299.6628737215196</v>
      </c>
      <c r="R282" s="1099">
        <v>9640307691</v>
      </c>
      <c r="S282" s="1101">
        <f t="shared" si="96"/>
        <v>25776.223772727273</v>
      </c>
      <c r="T282" s="1101">
        <f t="shared" si="97"/>
        <v>1052.0907662337663</v>
      </c>
      <c r="U282" s="1101">
        <f t="shared" si="98"/>
        <v>2929563745</v>
      </c>
      <c r="V282" s="1103">
        <f t="shared" si="99"/>
        <v>0.2181021033928586</v>
      </c>
      <c r="W282" s="1098">
        <v>25860</v>
      </c>
      <c r="X282" s="1106">
        <f t="shared" si="100"/>
        <v>486073.91477184842</v>
      </c>
      <c r="Y282" s="1106">
        <f t="shared" si="101"/>
        <v>519415.1082753287</v>
      </c>
      <c r="Z282" s="1106">
        <f t="shared" si="102"/>
        <v>113285.52764887857</v>
      </c>
      <c r="AA282" s="1181">
        <f t="shared" si="103"/>
        <v>372788.38712296984</v>
      </c>
      <c r="AC282" s="1098">
        <f t="shared" ref="AC282:AC283" si="106">X282/I282*1000</f>
        <v>1299.6628737215199</v>
      </c>
    </row>
    <row r="283" spans="1:29" hidden="1" x14ac:dyDescent="0.35">
      <c r="A283" s="179">
        <v>5</v>
      </c>
      <c r="B283" s="880" t="s">
        <v>26</v>
      </c>
      <c r="C283" s="986" t="s">
        <v>725</v>
      </c>
      <c r="D283" s="1173" t="s">
        <v>726</v>
      </c>
      <c r="E283" s="892" t="str">
        <f>VLOOKUP(F283,'Quy đổi'!A:D,4,0)</f>
        <v>rPET</v>
      </c>
      <c r="F283" s="986" t="s">
        <v>100</v>
      </c>
      <c r="G283" s="82" t="s">
        <v>99</v>
      </c>
      <c r="H283" s="257" t="str">
        <f>IFERROR(VLOOKUP(F283,'Quy đổi'!A:C,3,0),"-")</f>
        <v>iSS01G</v>
      </c>
      <c r="I283" s="1098">
        <v>105000</v>
      </c>
      <c r="J283" s="1098">
        <v>3466176000</v>
      </c>
      <c r="K283" s="1098">
        <v>3466176000</v>
      </c>
      <c r="L283" s="1104">
        <v>46643448</v>
      </c>
      <c r="O283" s="1097">
        <f t="shared" si="104"/>
        <v>3419532552</v>
      </c>
      <c r="P283" s="1101">
        <f t="shared" si="94"/>
        <v>32566.976685714286</v>
      </c>
      <c r="Q283" s="1101">
        <f t="shared" si="95"/>
        <v>1259.3571804220528</v>
      </c>
      <c r="R283" s="1099">
        <v>2706503495</v>
      </c>
      <c r="S283" s="1101">
        <f t="shared" si="96"/>
        <v>25776.223761904763</v>
      </c>
      <c r="T283" s="1101">
        <f t="shared" si="97"/>
        <v>1052.0907657920311</v>
      </c>
      <c r="U283" s="1101">
        <f t="shared" si="98"/>
        <v>713029057</v>
      </c>
      <c r="V283" s="1103">
        <f t="shared" si="99"/>
        <v>0.2057105747082664</v>
      </c>
      <c r="W283" s="1098">
        <v>25860</v>
      </c>
      <c r="X283" s="1106">
        <f t="shared" si="100"/>
        <v>132232.50394431554</v>
      </c>
      <c r="Y283" s="1106">
        <f t="shared" si="101"/>
        <v>134036.19489559165</v>
      </c>
      <c r="Z283" s="1106">
        <f t="shared" si="102"/>
        <v>27572.662683681363</v>
      </c>
      <c r="AA283" s="1181">
        <f t="shared" si="103"/>
        <v>104659.84126063419</v>
      </c>
      <c r="AC283" s="1098">
        <f t="shared" si="106"/>
        <v>1259.3571804220526</v>
      </c>
    </row>
    <row r="284" spans="1:29" hidden="1" x14ac:dyDescent="0.35">
      <c r="A284" s="179">
        <v>5</v>
      </c>
      <c r="B284" s="880" t="s">
        <v>22</v>
      </c>
      <c r="C284" s="986" t="s">
        <v>519</v>
      </c>
      <c r="D284" s="83" t="s">
        <v>520</v>
      </c>
      <c r="E284" s="892" t="str">
        <f>VLOOKUP(F284,'Quy đổi'!A:D,4,0)</f>
        <v>rHDPE ép</v>
      </c>
      <c r="F284" s="986" t="s">
        <v>41</v>
      </c>
      <c r="G284" s="82" t="s">
        <v>40</v>
      </c>
      <c r="H284" s="257" t="str">
        <f>IFERROR(VLOOKUP(F284,'Quy đổi'!A:C,3,0),"-")</f>
        <v>Vảy HD Ép Lá</v>
      </c>
      <c r="I284" s="1098">
        <v>15750</v>
      </c>
      <c r="J284" s="1098">
        <v>244125000</v>
      </c>
      <c r="K284" s="1098">
        <v>244125000</v>
      </c>
      <c r="O284" s="1097">
        <f t="shared" si="104"/>
        <v>244125000</v>
      </c>
      <c r="P284" s="1101">
        <f t="shared" si="94"/>
        <v>15500</v>
      </c>
      <c r="Q284" s="1101">
        <f t="shared" si="95"/>
        <v>599.38128383604021</v>
      </c>
      <c r="R284" s="1099">
        <v>392797860</v>
      </c>
      <c r="S284" s="1101">
        <f t="shared" si="96"/>
        <v>24939.546666666665</v>
      </c>
      <c r="T284" s="1101">
        <f t="shared" si="97"/>
        <v>1017.9406802721088</v>
      </c>
      <c r="U284" s="1101">
        <f t="shared" si="98"/>
        <v>-148672860</v>
      </c>
      <c r="V284" s="1103">
        <f t="shared" si="99"/>
        <v>-0.60900301075268815</v>
      </c>
      <c r="W284" s="1098">
        <v>25860</v>
      </c>
      <c r="X284" s="1106">
        <f t="shared" si="100"/>
        <v>9440.2552204176336</v>
      </c>
      <c r="Y284" s="1106">
        <f t="shared" si="101"/>
        <v>9440.2552204176336</v>
      </c>
      <c r="Z284" s="1106">
        <f t="shared" si="102"/>
        <v>-5749.1438515081209</v>
      </c>
      <c r="AA284" s="1181">
        <f t="shared" si="103"/>
        <v>15189.399071925754</v>
      </c>
    </row>
    <row r="285" spans="1:29" hidden="1" x14ac:dyDescent="0.35">
      <c r="A285" s="179">
        <v>5</v>
      </c>
      <c r="B285" s="880" t="s">
        <v>22</v>
      </c>
      <c r="C285" s="986" t="s">
        <v>519</v>
      </c>
      <c r="D285" s="83" t="s">
        <v>520</v>
      </c>
      <c r="E285" s="892" t="str">
        <f>VLOOKUP(F285,'Quy đổi'!A:D,4,0)</f>
        <v>rHDPE ép</v>
      </c>
      <c r="F285" s="986" t="s">
        <v>43</v>
      </c>
      <c r="G285" s="82" t="s">
        <v>42</v>
      </c>
      <c r="H285" s="257" t="str">
        <f>IFERROR(VLOOKUP(F285,'Quy đổi'!A:C,3,0),"-")</f>
        <v>Vảy HD Ép dương</v>
      </c>
      <c r="I285" s="1098">
        <v>10500</v>
      </c>
      <c r="J285" s="1098">
        <v>162750000</v>
      </c>
      <c r="K285" s="1098">
        <v>162750000</v>
      </c>
      <c r="O285" s="1097">
        <f t="shared" si="104"/>
        <v>162750000</v>
      </c>
      <c r="P285" s="1101">
        <f t="shared" si="94"/>
        <v>15500</v>
      </c>
      <c r="Q285" s="1101">
        <f t="shared" si="95"/>
        <v>599.38128383604021</v>
      </c>
      <c r="R285" s="1099">
        <v>263141148</v>
      </c>
      <c r="S285" s="1101">
        <f t="shared" si="96"/>
        <v>25061.061714285715</v>
      </c>
      <c r="T285" s="1101">
        <f t="shared" si="97"/>
        <v>1022.9004781341108</v>
      </c>
      <c r="U285" s="1101">
        <f t="shared" si="98"/>
        <v>-100391148</v>
      </c>
      <c r="V285" s="1103">
        <f t="shared" si="99"/>
        <v>-0.61684269124423963</v>
      </c>
      <c r="W285" s="1098">
        <v>25860</v>
      </c>
      <c r="X285" s="1106">
        <f t="shared" si="100"/>
        <v>6293.5034802784221</v>
      </c>
      <c r="Y285" s="1106">
        <f t="shared" si="101"/>
        <v>6293.5034802784221</v>
      </c>
      <c r="Z285" s="1106">
        <f t="shared" si="102"/>
        <v>-3882.1016241299303</v>
      </c>
      <c r="AA285" s="1181">
        <f t="shared" si="103"/>
        <v>10175.605104408352</v>
      </c>
    </row>
    <row r="286" spans="1:29" hidden="1" x14ac:dyDescent="0.35">
      <c r="A286" s="179">
        <v>5</v>
      </c>
      <c r="C286" s="986" t="s">
        <v>221</v>
      </c>
      <c r="D286" s="83" t="s">
        <v>222</v>
      </c>
      <c r="E286" s="892" t="str">
        <f>VLOOKUP(F286,'Quy đổi'!A:D,4,0)</f>
        <v>Khác</v>
      </c>
      <c r="F286" s="986" t="s">
        <v>223</v>
      </c>
      <c r="G286" s="82" t="s">
        <v>372</v>
      </c>
      <c r="H286" s="257">
        <f>IFERROR(VLOOKUP(F286,'Quy đổi'!A:C,3,0),"-")</f>
        <v>0</v>
      </c>
      <c r="I286" s="1098">
        <v>16484</v>
      </c>
      <c r="J286" s="1098">
        <v>324474200</v>
      </c>
      <c r="K286" s="1098">
        <v>324474200</v>
      </c>
      <c r="O286" s="1097">
        <f t="shared" si="104"/>
        <v>324474200</v>
      </c>
      <c r="P286" s="1101">
        <f t="shared" si="94"/>
        <v>19684.19073040524</v>
      </c>
      <c r="Q286" s="1101">
        <f t="shared" si="95"/>
        <v>761.18293621056614</v>
      </c>
      <c r="R286" s="1099">
        <v>343968212</v>
      </c>
      <c r="S286" s="1101">
        <f t="shared" si="96"/>
        <v>20866.79276874545</v>
      </c>
      <c r="T286" s="1101">
        <f t="shared" si="97"/>
        <v>851.70582729573266</v>
      </c>
      <c r="U286" s="1101">
        <f t="shared" si="98"/>
        <v>-19494012</v>
      </c>
      <c r="V286" s="1103">
        <f t="shared" si="99"/>
        <v>-6.0078773597407743E-2</v>
      </c>
      <c r="W286" s="1098">
        <v>25860</v>
      </c>
      <c r="X286" s="1106">
        <f t="shared" si="100"/>
        <v>12547.339520494974</v>
      </c>
      <c r="Y286" s="1106">
        <f t="shared" si="101"/>
        <v>12547.339520494974</v>
      </c>
      <c r="Z286" s="1106">
        <f t="shared" si="102"/>
        <v>-753.8287703016241</v>
      </c>
      <c r="AA286" s="1181">
        <f t="shared" si="103"/>
        <v>13301.168290796597</v>
      </c>
    </row>
    <row r="287" spans="1:29" hidden="1" x14ac:dyDescent="0.35">
      <c r="A287" s="179">
        <v>5</v>
      </c>
      <c r="C287" s="986" t="s">
        <v>221</v>
      </c>
      <c r="D287" s="83" t="s">
        <v>222</v>
      </c>
      <c r="E287" s="892" t="str">
        <f>VLOOKUP(F287,'Quy đổi'!A:D,4,0)</f>
        <v>Phó sản</v>
      </c>
      <c r="F287" s="986" t="s">
        <v>655</v>
      </c>
      <c r="G287" s="82" t="s">
        <v>656</v>
      </c>
      <c r="H287" s="257">
        <f>IFERROR(VLOOKUP(F287,'Quy đổi'!A:C,3,0),"-")</f>
        <v>0</v>
      </c>
      <c r="I287" s="1098">
        <v>7918</v>
      </c>
      <c r="J287" s="1098">
        <v>153556400</v>
      </c>
      <c r="K287" s="1098">
        <v>153556400</v>
      </c>
      <c r="O287" s="1097">
        <f t="shared" si="104"/>
        <v>153556400</v>
      </c>
      <c r="P287" s="1101">
        <f t="shared" si="94"/>
        <v>19393.331649406417</v>
      </c>
      <c r="Q287" s="1101">
        <f t="shared" si="95"/>
        <v>749.93548528253734</v>
      </c>
      <c r="R287" s="1099">
        <v>150442000</v>
      </c>
      <c r="S287" s="1101">
        <f t="shared" si="96"/>
        <v>19000</v>
      </c>
      <c r="T287" s="1101">
        <f t="shared" si="97"/>
        <v>775.51020408163265</v>
      </c>
      <c r="U287" s="1101">
        <f t="shared" si="98"/>
        <v>3114400</v>
      </c>
      <c r="V287" s="1103">
        <f t="shared" si="99"/>
        <v>2.0281798739746438E-2</v>
      </c>
      <c r="W287" s="1098">
        <v>25860</v>
      </c>
      <c r="X287" s="1106">
        <f t="shared" si="100"/>
        <v>5937.9891724671306</v>
      </c>
      <c r="Y287" s="1106">
        <f t="shared" si="101"/>
        <v>5937.9891724671306</v>
      </c>
      <c r="Z287" s="1106">
        <f t="shared" si="102"/>
        <v>120.43310131477185</v>
      </c>
      <c r="AA287" s="1181">
        <f t="shared" si="103"/>
        <v>5817.5560711523585</v>
      </c>
    </row>
    <row r="288" spans="1:29" hidden="1" x14ac:dyDescent="0.35">
      <c r="A288" s="179">
        <v>5</v>
      </c>
      <c r="C288" s="986" t="s">
        <v>221</v>
      </c>
      <c r="D288" s="83" t="s">
        <v>222</v>
      </c>
      <c r="E288" s="892" t="str">
        <f>VLOOKUP(F288,'Quy đổi'!A:D,4,0)</f>
        <v>Khác</v>
      </c>
      <c r="F288" s="986" t="s">
        <v>467</v>
      </c>
      <c r="G288" s="82" t="s">
        <v>466</v>
      </c>
      <c r="H288" s="257">
        <f>IFERROR(VLOOKUP(F288,'Quy đổi'!A:C,3,0),"-")</f>
        <v>0</v>
      </c>
      <c r="I288" s="1098">
        <v>4050</v>
      </c>
      <c r="J288" s="1098">
        <v>76950000</v>
      </c>
      <c r="K288" s="1098">
        <v>76950000</v>
      </c>
      <c r="O288" s="1097">
        <f t="shared" si="104"/>
        <v>76950000</v>
      </c>
      <c r="P288" s="1101">
        <f t="shared" si="94"/>
        <v>19000</v>
      </c>
      <c r="Q288" s="1101">
        <f t="shared" si="95"/>
        <v>734.72544470224284</v>
      </c>
      <c r="R288" s="1099">
        <v>73637852</v>
      </c>
      <c r="S288" s="1101">
        <f t="shared" si="96"/>
        <v>18182.185679012346</v>
      </c>
      <c r="T288" s="1101">
        <f t="shared" si="97"/>
        <v>742.13002771478966</v>
      </c>
      <c r="U288" s="1101">
        <f t="shared" si="98"/>
        <v>3312148</v>
      </c>
      <c r="V288" s="1103">
        <f t="shared" si="99"/>
        <v>4.3042858999350231E-2</v>
      </c>
      <c r="W288" s="1098">
        <v>25860</v>
      </c>
      <c r="X288" s="1106">
        <f t="shared" si="100"/>
        <v>2975.6380510440836</v>
      </c>
      <c r="Y288" s="1106">
        <f t="shared" si="101"/>
        <v>2975.6380510440836</v>
      </c>
      <c r="Z288" s="1106">
        <f t="shared" si="102"/>
        <v>128.0799690641918</v>
      </c>
      <c r="AA288" s="1181">
        <f t="shared" si="103"/>
        <v>2847.5580819798915</v>
      </c>
    </row>
    <row r="289" spans="1:29" hidden="1" x14ac:dyDescent="0.35">
      <c r="A289" s="179">
        <v>5</v>
      </c>
      <c r="B289" s="880" t="s">
        <v>22</v>
      </c>
      <c r="C289" s="986" t="s">
        <v>351</v>
      </c>
      <c r="D289" s="83" t="s">
        <v>352</v>
      </c>
      <c r="E289" s="892" t="str">
        <f>VLOOKUP(F289,'Quy đổi'!A:D,4,0)</f>
        <v>rPET</v>
      </c>
      <c r="F289" s="986" t="s">
        <v>100</v>
      </c>
      <c r="G289" s="82" t="s">
        <v>99</v>
      </c>
      <c r="H289" s="257" t="str">
        <f>IFERROR(VLOOKUP(F289,'Quy đổi'!A:C,3,0),"-")</f>
        <v>iSS01G</v>
      </c>
      <c r="I289" s="1098">
        <v>11000</v>
      </c>
      <c r="J289" s="1098">
        <v>373786600</v>
      </c>
      <c r="K289" s="1098">
        <v>373786600</v>
      </c>
      <c r="O289" s="1097">
        <f t="shared" si="104"/>
        <v>373786600</v>
      </c>
      <c r="P289" s="1101">
        <f t="shared" si="94"/>
        <v>33980.6</v>
      </c>
      <c r="Q289" s="1101">
        <f t="shared" si="95"/>
        <v>1314.0216550657385</v>
      </c>
      <c r="R289" s="1099">
        <v>283538461</v>
      </c>
      <c r="S289" s="1101">
        <f t="shared" si="96"/>
        <v>25776.223727272729</v>
      </c>
      <c r="T289" s="1101">
        <f t="shared" si="97"/>
        <v>1052.0907643784788</v>
      </c>
      <c r="U289" s="1101">
        <f t="shared" si="98"/>
        <v>90248139</v>
      </c>
      <c r="V289" s="1103">
        <f t="shared" si="99"/>
        <v>0.24144294899817167</v>
      </c>
      <c r="W289" s="1098">
        <v>25860</v>
      </c>
      <c r="X289" s="1106">
        <f t="shared" si="100"/>
        <v>14454.238205723124</v>
      </c>
      <c r="Y289" s="1106">
        <f t="shared" si="101"/>
        <v>14454.238205723124</v>
      </c>
      <c r="Z289" s="1106">
        <f t="shared" si="102"/>
        <v>3489.873897911833</v>
      </c>
      <c r="AA289" s="1181">
        <f t="shared" si="103"/>
        <v>10964.364307811291</v>
      </c>
      <c r="AC289" s="1098">
        <f t="shared" ref="AC289:AC291" si="107">X289/I289*1000</f>
        <v>1314.0216550657387</v>
      </c>
    </row>
    <row r="290" spans="1:29" hidden="1" x14ac:dyDescent="0.35">
      <c r="A290" s="179">
        <v>5</v>
      </c>
      <c r="B290" s="880" t="s">
        <v>26</v>
      </c>
      <c r="C290" s="986" t="s">
        <v>834</v>
      </c>
      <c r="D290" s="1173" t="s">
        <v>835</v>
      </c>
      <c r="E290" s="892" t="str">
        <f>VLOOKUP(F290,'Quy đổi'!A:D,4,0)</f>
        <v>rPET</v>
      </c>
      <c r="F290" s="986" t="s">
        <v>100</v>
      </c>
      <c r="G290" s="82" t="s">
        <v>99</v>
      </c>
      <c r="H290" s="257" t="str">
        <f>IFERROR(VLOOKUP(F290,'Quy đổi'!A:C,3,0),"-")</f>
        <v>iSS01G</v>
      </c>
      <c r="I290" s="1098">
        <v>22000</v>
      </c>
      <c r="J290" s="1098">
        <v>779845000</v>
      </c>
      <c r="K290" s="1098">
        <v>779845000</v>
      </c>
      <c r="L290" s="1104">
        <v>40732853</v>
      </c>
      <c r="O290" s="1097">
        <f t="shared" si="104"/>
        <v>739112147</v>
      </c>
      <c r="P290" s="1101">
        <f t="shared" si="94"/>
        <v>33596.00668181818</v>
      </c>
      <c r="Q290" s="1101">
        <f t="shared" si="95"/>
        <v>1299.1495236588623</v>
      </c>
      <c r="R290" s="1099">
        <v>567076923</v>
      </c>
      <c r="S290" s="1101">
        <f t="shared" si="96"/>
        <v>25776.223772727273</v>
      </c>
      <c r="T290" s="1101">
        <f t="shared" si="97"/>
        <v>1052.0907662337663</v>
      </c>
      <c r="U290" s="1101">
        <f t="shared" si="98"/>
        <v>172035224</v>
      </c>
      <c r="V290" s="1103">
        <f t="shared" si="99"/>
        <v>0.2206018170277427</v>
      </c>
      <c r="W290" s="1098">
        <v>25860</v>
      </c>
      <c r="X290" s="1106">
        <f t="shared" si="100"/>
        <v>28581.289520494975</v>
      </c>
      <c r="Y290" s="1106">
        <f t="shared" si="101"/>
        <v>30156.419180201083</v>
      </c>
      <c r="Z290" s="1106">
        <f t="shared" si="102"/>
        <v>6652.5608662026298</v>
      </c>
      <c r="AA290" s="1181">
        <f t="shared" si="103"/>
        <v>21928.728654292343</v>
      </c>
      <c r="AC290" s="1098">
        <f t="shared" si="107"/>
        <v>1299.1495236588623</v>
      </c>
    </row>
    <row r="291" spans="1:29" hidden="1" x14ac:dyDescent="0.35">
      <c r="A291" s="179">
        <v>5</v>
      </c>
      <c r="B291" s="880" t="s">
        <v>22</v>
      </c>
      <c r="C291" s="986" t="s">
        <v>71</v>
      </c>
      <c r="D291" s="83" t="s">
        <v>70</v>
      </c>
      <c r="E291" s="892" t="str">
        <f>VLOOKUP(F291,'Quy đổi'!A:D,4,0)</f>
        <v>rHDPE thổi</v>
      </c>
      <c r="F291" s="986" t="s">
        <v>187</v>
      </c>
      <c r="G291" s="82" t="s">
        <v>188</v>
      </c>
      <c r="H291" s="257" t="str">
        <f>IFERROR(VLOOKUP(F291,'Quy đổi'!A:C,3,0),"-")</f>
        <v>rHDB03N02</v>
      </c>
      <c r="I291" s="1098">
        <v>33000</v>
      </c>
      <c r="J291" s="1098">
        <v>1068237500</v>
      </c>
      <c r="K291" s="1098">
        <v>1068237500</v>
      </c>
      <c r="O291" s="1097">
        <f t="shared" si="104"/>
        <v>1068237500</v>
      </c>
      <c r="P291" s="1101">
        <f t="shared" si="94"/>
        <v>32370.833333333332</v>
      </c>
      <c r="Q291" s="1101">
        <f t="shared" si="95"/>
        <v>1251.7723640113431</v>
      </c>
      <c r="R291" s="1099">
        <v>1202822550</v>
      </c>
      <c r="S291" s="1101">
        <f t="shared" si="96"/>
        <v>36449.168181818182</v>
      </c>
      <c r="T291" s="1101">
        <f t="shared" si="97"/>
        <v>1487.7211502782932</v>
      </c>
      <c r="U291" s="1101">
        <f t="shared" si="98"/>
        <v>-134585050</v>
      </c>
      <c r="V291" s="1103">
        <f t="shared" si="99"/>
        <v>-0.12598794743678254</v>
      </c>
      <c r="W291" s="1098">
        <v>25860</v>
      </c>
      <c r="X291" s="1106">
        <f t="shared" si="100"/>
        <v>41308.488012374321</v>
      </c>
      <c r="Y291" s="1106">
        <f t="shared" si="101"/>
        <v>41308.488012374321</v>
      </c>
      <c r="Z291" s="1106">
        <f t="shared" si="102"/>
        <v>-5204.371616395978</v>
      </c>
      <c r="AA291" s="1181">
        <f t="shared" si="103"/>
        <v>46512.859628770304</v>
      </c>
      <c r="AC291" s="1098">
        <f t="shared" si="107"/>
        <v>1251.7723640113429</v>
      </c>
    </row>
    <row r="292" spans="1:29" hidden="1" x14ac:dyDescent="0.35">
      <c r="A292" s="179">
        <v>5</v>
      </c>
      <c r="B292" s="880" t="s">
        <v>26</v>
      </c>
      <c r="C292" s="986" t="s">
        <v>836</v>
      </c>
      <c r="D292" s="1173" t="s">
        <v>837</v>
      </c>
      <c r="E292" s="892" t="str">
        <f>VLOOKUP(F292,'Quy đổi'!A:D,4,0)</f>
        <v>rPET</v>
      </c>
      <c r="F292" s="986" t="s">
        <v>110</v>
      </c>
      <c r="G292" s="82" t="s">
        <v>109</v>
      </c>
      <c r="H292" s="257" t="str">
        <f>IFERROR(VLOOKUP(F292,'Quy đổi'!A:C,3,0),"-")</f>
        <v>WSS01G</v>
      </c>
      <c r="I292" s="1098">
        <v>22000</v>
      </c>
      <c r="J292" s="1098">
        <v>737880000</v>
      </c>
      <c r="K292" s="1098">
        <v>737880000</v>
      </c>
      <c r="L292" s="1104">
        <v>30131185</v>
      </c>
      <c r="O292" s="1097">
        <f t="shared" si="104"/>
        <v>707748815</v>
      </c>
      <c r="P292" s="1101">
        <f t="shared" si="94"/>
        <v>32170.400681818181</v>
      </c>
      <c r="Q292" s="1101">
        <f t="shared" si="95"/>
        <v>1244.0216814314842</v>
      </c>
      <c r="R292" s="1099">
        <v>597136380</v>
      </c>
      <c r="S292" s="1101">
        <f t="shared" si="96"/>
        <v>27142.562727272729</v>
      </c>
      <c r="T292" s="1101">
        <f t="shared" si="97"/>
        <v>1107.8597031539889</v>
      </c>
      <c r="U292" s="1101">
        <f t="shared" si="98"/>
        <v>110612435</v>
      </c>
      <c r="V292" s="1103">
        <f t="shared" si="99"/>
        <v>0.14990572315281617</v>
      </c>
      <c r="W292" s="1098">
        <v>25860</v>
      </c>
      <c r="X292" s="1106">
        <f t="shared" si="100"/>
        <v>27368.476991492651</v>
      </c>
      <c r="Y292" s="1106">
        <f t="shared" si="101"/>
        <v>28533.642691415313</v>
      </c>
      <c r="Z292" s="1106">
        <f t="shared" si="102"/>
        <v>4277.3563418406802</v>
      </c>
      <c r="AA292" s="1181">
        <f t="shared" si="103"/>
        <v>23091.120649651974</v>
      </c>
      <c r="AC292" s="1098">
        <f>X292/I292*1000</f>
        <v>1244.0216814314842</v>
      </c>
    </row>
    <row r="293" spans="1:29" x14ac:dyDescent="0.35">
      <c r="A293" s="179">
        <v>5</v>
      </c>
      <c r="B293" s="880" t="s">
        <v>26</v>
      </c>
      <c r="C293" s="986" t="s">
        <v>165</v>
      </c>
      <c r="D293" s="1173" t="s">
        <v>164</v>
      </c>
      <c r="E293" s="892" t="str">
        <f>VLOOKUP(F293,'Quy đổi'!A:D,4,0)</f>
        <v>rPET</v>
      </c>
      <c r="F293" s="986" t="s">
        <v>110</v>
      </c>
      <c r="G293" s="82" t="s">
        <v>109</v>
      </c>
      <c r="H293" s="257" t="str">
        <f>IFERROR(VLOOKUP(F293,'Quy đổi'!A:C,3,0),"-")</f>
        <v>WSS01G</v>
      </c>
      <c r="I293" s="1098">
        <v>1320000</v>
      </c>
      <c r="J293" s="1098">
        <v>41547236590</v>
      </c>
      <c r="K293" s="1098">
        <v>41547236590</v>
      </c>
      <c r="L293" s="1104">
        <v>495858109</v>
      </c>
      <c r="M293" s="1056">
        <v>623261330</v>
      </c>
      <c r="O293" s="1097">
        <f t="shared" si="104"/>
        <v>40428117151</v>
      </c>
      <c r="P293" s="1101">
        <f t="shared" si="94"/>
        <v>30627.361478030303</v>
      </c>
      <c r="Q293" s="1101">
        <f t="shared" si="95"/>
        <v>1184.3527253685347</v>
      </c>
      <c r="R293" s="1099">
        <v>35828182800</v>
      </c>
      <c r="S293" s="1101">
        <f t="shared" si="96"/>
        <v>27142.562727272729</v>
      </c>
      <c r="T293" s="1101">
        <f t="shared" si="97"/>
        <v>1107.8597031539889</v>
      </c>
      <c r="U293" s="1101">
        <f t="shared" si="98"/>
        <v>4599934351</v>
      </c>
      <c r="V293" s="1103">
        <f t="shared" si="99"/>
        <v>0.11071577145776183</v>
      </c>
      <c r="W293" s="1098">
        <v>25860</v>
      </c>
      <c r="X293" s="1106">
        <f t="shared" si="100"/>
        <v>1563345.5974864655</v>
      </c>
      <c r="Y293" s="1106">
        <f t="shared" si="101"/>
        <v>1606621.6778808972</v>
      </c>
      <c r="Z293" s="1106">
        <f t="shared" si="102"/>
        <v>177878.35850734726</v>
      </c>
      <c r="AA293" s="1181">
        <f t="shared" si="103"/>
        <v>1385467.2389791184</v>
      </c>
    </row>
    <row r="294" spans="1:29" hidden="1" x14ac:dyDescent="0.35">
      <c r="A294" s="179">
        <v>5</v>
      </c>
      <c r="B294" s="880" t="s">
        <v>22</v>
      </c>
      <c r="C294" s="986" t="s">
        <v>710</v>
      </c>
      <c r="D294" s="83" t="s">
        <v>711</v>
      </c>
      <c r="E294" s="892" t="s">
        <v>1091</v>
      </c>
      <c r="F294" s="986" t="s">
        <v>838</v>
      </c>
      <c r="G294" s="82" t="s">
        <v>839</v>
      </c>
      <c r="H294" s="257">
        <f>IFERROR(VLOOKUP(F294,'Quy đổi'!A:C,3,0),"-")</f>
        <v>0</v>
      </c>
      <c r="I294" s="1098">
        <v>3839</v>
      </c>
      <c r="J294" s="1098">
        <v>56874074</v>
      </c>
      <c r="K294" s="1098">
        <v>56874074</v>
      </c>
      <c r="O294" s="1097">
        <f t="shared" si="104"/>
        <v>56874074</v>
      </c>
      <c r="P294" s="1101">
        <f t="shared" si="94"/>
        <v>14814.814795519667</v>
      </c>
      <c r="Q294" s="1101">
        <f t="shared" si="95"/>
        <v>572.88533625366074</v>
      </c>
      <c r="R294" s="1099">
        <v>50637947</v>
      </c>
      <c r="S294" s="1101">
        <f t="shared" si="96"/>
        <v>13190.400364678302</v>
      </c>
      <c r="T294" s="1101">
        <f t="shared" si="97"/>
        <v>538.38368835421636</v>
      </c>
      <c r="U294" s="1101">
        <f t="shared" si="98"/>
        <v>6236127</v>
      </c>
      <c r="V294" s="1103">
        <f t="shared" si="99"/>
        <v>0.10964797422460013</v>
      </c>
      <c r="W294" s="1098">
        <v>25860</v>
      </c>
      <c r="X294" s="1106">
        <f t="shared" si="100"/>
        <v>2199.3068058778035</v>
      </c>
      <c r="Y294" s="1106">
        <f t="shared" si="101"/>
        <v>2199.3068058778035</v>
      </c>
      <c r="Z294" s="1106">
        <f t="shared" si="102"/>
        <v>241.14953596287702</v>
      </c>
      <c r="AA294" s="1181">
        <f t="shared" si="103"/>
        <v>1958.1572699149265</v>
      </c>
    </row>
    <row r="295" spans="1:29" hidden="1" x14ac:dyDescent="0.35">
      <c r="A295" s="179">
        <v>5</v>
      </c>
      <c r="B295" s="880" t="s">
        <v>22</v>
      </c>
      <c r="C295" s="986" t="s">
        <v>456</v>
      </c>
      <c r="D295" s="83" t="s">
        <v>457</v>
      </c>
      <c r="E295" s="892" t="str">
        <f>VLOOKUP(F295,'Quy đổi'!A:D,4,0)</f>
        <v>rHDPE ép</v>
      </c>
      <c r="F295" s="986" t="s">
        <v>37</v>
      </c>
      <c r="G295" s="82" t="s">
        <v>36</v>
      </c>
      <c r="H295" s="257" t="str">
        <f>IFERROR(VLOOKUP(F295,'Quy đổi'!A:C,3,0),"-")</f>
        <v>Vảy HD Ép Đỏ</v>
      </c>
      <c r="I295" s="1098">
        <v>14250</v>
      </c>
      <c r="J295" s="1098">
        <v>221944445</v>
      </c>
      <c r="K295" s="1098">
        <v>221944445</v>
      </c>
      <c r="O295" s="1097">
        <f t="shared" si="104"/>
        <v>221944445</v>
      </c>
      <c r="P295" s="1101">
        <f t="shared" si="94"/>
        <v>15575.048771929825</v>
      </c>
      <c r="Q295" s="1101">
        <f t="shared" si="95"/>
        <v>602.28340185343484</v>
      </c>
      <c r="R295" s="1099">
        <v>359051240</v>
      </c>
      <c r="S295" s="1101">
        <f t="shared" si="96"/>
        <v>25196.578245614037</v>
      </c>
      <c r="T295" s="1101">
        <f t="shared" si="97"/>
        <v>1028.4317651271035</v>
      </c>
      <c r="U295" s="1101">
        <f t="shared" si="98"/>
        <v>-137106795</v>
      </c>
      <c r="V295" s="1103">
        <f t="shared" si="99"/>
        <v>-0.61775276691426095</v>
      </c>
      <c r="W295" s="1098">
        <v>25860</v>
      </c>
      <c r="X295" s="1106">
        <f t="shared" si="100"/>
        <v>8582.538476411446</v>
      </c>
      <c r="Y295" s="1106">
        <f t="shared" si="101"/>
        <v>8582.538476411446</v>
      </c>
      <c r="Z295" s="1106">
        <f t="shared" si="102"/>
        <v>-5301.8868909512757</v>
      </c>
      <c r="AA295" s="1181">
        <f t="shared" si="103"/>
        <v>13884.425367362723</v>
      </c>
    </row>
    <row r="296" spans="1:29" hidden="1" x14ac:dyDescent="0.35">
      <c r="A296" s="179">
        <v>5</v>
      </c>
      <c r="B296" s="880" t="s">
        <v>22</v>
      </c>
      <c r="C296" s="986" t="s">
        <v>456</v>
      </c>
      <c r="D296" s="83" t="s">
        <v>457</v>
      </c>
      <c r="E296" s="892" t="str">
        <f>VLOOKUP(F296,'Quy đổi'!A:D,4,0)</f>
        <v>rHDPE ép</v>
      </c>
      <c r="F296" s="986" t="s">
        <v>39</v>
      </c>
      <c r="G296" s="82" t="s">
        <v>38</v>
      </c>
      <c r="H296" s="257" t="str">
        <f>IFERROR(VLOOKUP(F296,'Quy đổi'!A:C,3,0),"-")</f>
        <v>Vảy HD Ép Vàng</v>
      </c>
      <c r="I296" s="1098">
        <v>3000</v>
      </c>
      <c r="J296" s="1098">
        <v>45000000</v>
      </c>
      <c r="K296" s="1098">
        <v>45000000</v>
      </c>
      <c r="O296" s="1097">
        <f t="shared" si="104"/>
        <v>45000000</v>
      </c>
      <c r="P296" s="1101">
        <f t="shared" si="94"/>
        <v>15000</v>
      </c>
      <c r="Q296" s="1101">
        <f t="shared" si="95"/>
        <v>580.04640371229698</v>
      </c>
      <c r="R296" s="1099">
        <v>75315783</v>
      </c>
      <c r="S296" s="1101">
        <f t="shared" si="96"/>
        <v>25105.260999999999</v>
      </c>
      <c r="T296" s="1101">
        <f t="shared" si="97"/>
        <v>1024.7045306122448</v>
      </c>
      <c r="U296" s="1101">
        <f t="shared" si="98"/>
        <v>-30315783</v>
      </c>
      <c r="V296" s="1103">
        <f t="shared" si="99"/>
        <v>-0.67368406666666669</v>
      </c>
      <c r="W296" s="1098">
        <v>25860</v>
      </c>
      <c r="X296" s="1106">
        <f t="shared" si="100"/>
        <v>1740.1392111368909</v>
      </c>
      <c r="Y296" s="1106">
        <f t="shared" si="101"/>
        <v>1740.1392111368909</v>
      </c>
      <c r="Z296" s="1106">
        <f t="shared" si="102"/>
        <v>-1172.304060324826</v>
      </c>
      <c r="AA296" s="1181">
        <f t="shared" si="103"/>
        <v>2912.4432714617169</v>
      </c>
    </row>
    <row r="297" spans="1:29" hidden="1" x14ac:dyDescent="0.35">
      <c r="A297" s="179">
        <v>5</v>
      </c>
      <c r="B297" s="880" t="s">
        <v>26</v>
      </c>
      <c r="C297" s="986" t="s">
        <v>46</v>
      </c>
      <c r="D297" s="1173" t="s">
        <v>525</v>
      </c>
      <c r="E297" s="892" t="str">
        <f>VLOOKUP(F297,'Quy đổi'!A:D,4,0)</f>
        <v>rPET</v>
      </c>
      <c r="F297" s="986" t="s">
        <v>100</v>
      </c>
      <c r="G297" s="82" t="s">
        <v>99</v>
      </c>
      <c r="H297" s="257" t="str">
        <f>IFERROR(VLOOKUP(F297,'Quy đổi'!A:C,3,0),"-")</f>
        <v>iSS01G</v>
      </c>
      <c r="I297" s="1098">
        <v>880000</v>
      </c>
      <c r="J297" s="1098">
        <v>28355250000</v>
      </c>
      <c r="K297" s="1098">
        <v>28355250000</v>
      </c>
      <c r="L297" s="1104">
        <v>369586668</v>
      </c>
      <c r="O297" s="1097">
        <f t="shared" si="104"/>
        <v>27985663332</v>
      </c>
      <c r="P297" s="1101">
        <f t="shared" si="94"/>
        <v>31801.890149999999</v>
      </c>
      <c r="Q297" s="1101">
        <f t="shared" si="95"/>
        <v>1229.7714675174013</v>
      </c>
      <c r="R297" s="1099">
        <v>22683076920</v>
      </c>
      <c r="S297" s="1101">
        <f t="shared" si="96"/>
        <v>25776.223772727273</v>
      </c>
      <c r="T297" s="1101">
        <f t="shared" si="97"/>
        <v>1052.0907662337663</v>
      </c>
      <c r="U297" s="1101">
        <f t="shared" si="98"/>
        <v>5302586412</v>
      </c>
      <c r="V297" s="1103">
        <f t="shared" si="99"/>
        <v>0.18700545443965402</v>
      </c>
      <c r="W297" s="1098">
        <v>25860</v>
      </c>
      <c r="X297" s="1106">
        <f t="shared" si="100"/>
        <v>1082198.8914153131</v>
      </c>
      <c r="Y297" s="1106">
        <f t="shared" si="101"/>
        <v>1096490.7192575405</v>
      </c>
      <c r="Z297" s="1106">
        <f t="shared" si="102"/>
        <v>205049.74524361949</v>
      </c>
      <c r="AA297" s="1181">
        <f t="shared" si="103"/>
        <v>877149.14617169369</v>
      </c>
      <c r="AC297" s="1098">
        <f t="shared" ref="AC297" si="108">X297/I297*1000</f>
        <v>1229.7714675174011</v>
      </c>
    </row>
    <row r="298" spans="1:29" hidden="1" x14ac:dyDescent="0.35">
      <c r="A298" s="179">
        <v>5</v>
      </c>
      <c r="B298" s="880" t="s">
        <v>22</v>
      </c>
      <c r="C298" s="986" t="s">
        <v>150</v>
      </c>
      <c r="D298" s="83" t="s">
        <v>149</v>
      </c>
      <c r="E298" s="892" t="str">
        <f>VLOOKUP(F298,'Quy đổi'!A:D,4,0)</f>
        <v>rPET</v>
      </c>
      <c r="F298" s="986" t="s">
        <v>110</v>
      </c>
      <c r="G298" s="82" t="s">
        <v>109</v>
      </c>
      <c r="H298" s="257" t="str">
        <f>IFERROR(VLOOKUP(F298,'Quy đổi'!A:C,3,0),"-")</f>
        <v>WSS01G</v>
      </c>
      <c r="I298" s="1098">
        <v>64900</v>
      </c>
      <c r="J298" s="1098">
        <v>2106692500</v>
      </c>
      <c r="K298" s="1098">
        <v>2106692500</v>
      </c>
      <c r="O298" s="1097">
        <f t="shared" si="104"/>
        <v>2106692500</v>
      </c>
      <c r="P298" s="1101">
        <f t="shared" si="94"/>
        <v>32460.593220338982</v>
      </c>
      <c r="Q298" s="1101">
        <f t="shared" si="95"/>
        <v>1255.2433573216931</v>
      </c>
      <c r="R298" s="1099">
        <v>1761552321</v>
      </c>
      <c r="S298" s="1101">
        <f t="shared" si="96"/>
        <v>27142.562727272729</v>
      </c>
      <c r="T298" s="1101">
        <f t="shared" si="97"/>
        <v>1107.8597031539889</v>
      </c>
      <c r="U298" s="1101">
        <f t="shared" si="98"/>
        <v>345140179</v>
      </c>
      <c r="V298" s="1103">
        <f t="shared" si="99"/>
        <v>0.16383035445372307</v>
      </c>
      <c r="W298" s="1098">
        <v>25860</v>
      </c>
      <c r="X298" s="1106">
        <f t="shared" si="100"/>
        <v>81465.293890177883</v>
      </c>
      <c r="Y298" s="1106">
        <f t="shared" si="101"/>
        <v>81465.293890177883</v>
      </c>
      <c r="Z298" s="1106">
        <f t="shared" si="102"/>
        <v>13346.487973704563</v>
      </c>
      <c r="AA298" s="1181">
        <f t="shared" si="103"/>
        <v>68118.805916473313</v>
      </c>
    </row>
    <row r="299" spans="1:29" hidden="1" x14ac:dyDescent="0.35">
      <c r="A299" s="179">
        <v>5</v>
      </c>
      <c r="B299" s="880" t="s">
        <v>26</v>
      </c>
      <c r="C299" s="986" t="s">
        <v>161</v>
      </c>
      <c r="D299" s="1173" t="s">
        <v>160</v>
      </c>
      <c r="E299" s="892" t="str">
        <f>VLOOKUP(F299,'Quy đổi'!A:D,4,0)</f>
        <v>rPET</v>
      </c>
      <c r="F299" s="986" t="s">
        <v>110</v>
      </c>
      <c r="G299" s="82" t="s">
        <v>109</v>
      </c>
      <c r="H299" s="257" t="str">
        <f>IFERROR(VLOOKUP(F299,'Quy đổi'!A:C,3,0),"-")</f>
        <v>WSS01G</v>
      </c>
      <c r="I299" s="1098">
        <v>66000</v>
      </c>
      <c r="J299" s="1098">
        <v>2129023050</v>
      </c>
      <c r="K299" s="1098">
        <v>2129023050</v>
      </c>
      <c r="L299" s="1104">
        <f>40523204/88000*I299</f>
        <v>30392403</v>
      </c>
      <c r="O299" s="1097">
        <f t="shared" si="104"/>
        <v>2098630647</v>
      </c>
      <c r="P299" s="1101">
        <f t="shared" si="94"/>
        <v>31797.434045454545</v>
      </c>
      <c r="Q299" s="1101">
        <f t="shared" si="95"/>
        <v>1229.5991510229908</v>
      </c>
      <c r="R299" s="1099">
        <v>1791409140</v>
      </c>
      <c r="S299" s="1101">
        <f t="shared" si="96"/>
        <v>27142.562727272729</v>
      </c>
      <c r="T299" s="1101">
        <f t="shared" si="97"/>
        <v>1107.8597031539889</v>
      </c>
      <c r="U299" s="1101">
        <f t="shared" si="98"/>
        <v>307221507</v>
      </c>
      <c r="V299" s="1103">
        <f t="shared" si="99"/>
        <v>0.14430163496820761</v>
      </c>
      <c r="W299" s="1098">
        <v>25860</v>
      </c>
      <c r="X299" s="1106">
        <f t="shared" si="100"/>
        <v>81153.543967517398</v>
      </c>
      <c r="Y299" s="1106">
        <f t="shared" si="101"/>
        <v>82328.810904872385</v>
      </c>
      <c r="Z299" s="1106">
        <f t="shared" si="102"/>
        <v>11880.182018561485</v>
      </c>
      <c r="AA299" s="1181">
        <f t="shared" si="103"/>
        <v>69273.361948955921</v>
      </c>
    </row>
    <row r="300" spans="1:29" hidden="1" x14ac:dyDescent="0.35">
      <c r="A300" s="179">
        <v>5</v>
      </c>
      <c r="B300" s="880" t="s">
        <v>26</v>
      </c>
      <c r="C300" s="986" t="s">
        <v>161</v>
      </c>
      <c r="D300" s="1173" t="s">
        <v>160</v>
      </c>
      <c r="E300" s="892" t="str">
        <f>VLOOKUP(F300,'Quy đổi'!A:D,4,0)</f>
        <v>rPET</v>
      </c>
      <c r="F300" s="986" t="s">
        <v>110</v>
      </c>
      <c r="G300" s="82" t="s">
        <v>109</v>
      </c>
      <c r="H300" s="257" t="str">
        <f>IFERROR(VLOOKUP(F300,'Quy đổi'!A:C,3,0),"-")</f>
        <v>WSS01G</v>
      </c>
      <c r="I300" s="1098">
        <v>22000</v>
      </c>
      <c r="J300" s="1098">
        <v>708391530</v>
      </c>
      <c r="K300" s="1098">
        <v>708391530</v>
      </c>
      <c r="L300" s="1104">
        <f>40523204/88000*I300</f>
        <v>10130801</v>
      </c>
      <c r="O300" s="1097">
        <f t="shared" si="104"/>
        <v>698260729</v>
      </c>
      <c r="P300" s="1101">
        <f t="shared" si="94"/>
        <v>31739.124045454544</v>
      </c>
      <c r="Q300" s="1101">
        <f t="shared" si="95"/>
        <v>1227.34431730296</v>
      </c>
      <c r="R300" s="1099">
        <v>597136380</v>
      </c>
      <c r="S300" s="1101">
        <f t="shared" si="96"/>
        <v>27142.562727272729</v>
      </c>
      <c r="T300" s="1101">
        <f t="shared" si="97"/>
        <v>1107.8597031539889</v>
      </c>
      <c r="U300" s="1101">
        <f t="shared" si="98"/>
        <v>101124349</v>
      </c>
      <c r="V300" s="1103">
        <f t="shared" si="99"/>
        <v>0.14275205831441831</v>
      </c>
      <c r="W300" s="1098">
        <v>25860</v>
      </c>
      <c r="X300" s="1106">
        <f t="shared" si="100"/>
        <v>27001.574980665118</v>
      </c>
      <c r="Y300" s="1106">
        <f t="shared" si="101"/>
        <v>27393.330626450115</v>
      </c>
      <c r="Z300" s="1106">
        <f t="shared" si="102"/>
        <v>3910.4543310131476</v>
      </c>
      <c r="AA300" s="1181">
        <f t="shared" si="103"/>
        <v>23091.120649651974</v>
      </c>
    </row>
    <row r="301" spans="1:29" hidden="1" x14ac:dyDescent="0.35">
      <c r="A301" s="179">
        <v>5</v>
      </c>
      <c r="C301" s="986" t="s">
        <v>454</v>
      </c>
      <c r="D301" s="83" t="s">
        <v>455</v>
      </c>
      <c r="E301" s="892" t="str">
        <f>VLOOKUP(F301,'Quy đổi'!A:D,4,0)</f>
        <v>Khác</v>
      </c>
      <c r="F301" s="986" t="s">
        <v>223</v>
      </c>
      <c r="G301" s="82" t="s">
        <v>372</v>
      </c>
      <c r="H301" s="257">
        <f>IFERROR(VLOOKUP(F301,'Quy đổi'!A:C,3,0),"-")</f>
        <v>0</v>
      </c>
      <c r="I301" s="1098">
        <v>2504</v>
      </c>
      <c r="J301" s="1098">
        <v>48828000</v>
      </c>
      <c r="K301" s="1098">
        <v>48828000</v>
      </c>
      <c r="O301" s="1097">
        <f t="shared" si="104"/>
        <v>48828000</v>
      </c>
      <c r="P301" s="1101">
        <f t="shared" si="94"/>
        <v>19500</v>
      </c>
      <c r="Q301" s="1101">
        <f t="shared" si="95"/>
        <v>754.06032482598607</v>
      </c>
      <c r="R301" s="1099">
        <v>52250449</v>
      </c>
      <c r="S301" s="1101">
        <f t="shared" si="96"/>
        <v>20866.792731629394</v>
      </c>
      <c r="T301" s="1101">
        <f t="shared" si="97"/>
        <v>851.70582578079154</v>
      </c>
      <c r="U301" s="1101">
        <f t="shared" si="98"/>
        <v>-3422449</v>
      </c>
      <c r="V301" s="1103">
        <f t="shared" si="99"/>
        <v>-7.0091934955353485E-2</v>
      </c>
      <c r="W301" s="1098">
        <v>25860</v>
      </c>
      <c r="X301" s="1106">
        <f t="shared" si="100"/>
        <v>1888.1670533642691</v>
      </c>
      <c r="Y301" s="1106">
        <f t="shared" si="101"/>
        <v>1888.1670533642691</v>
      </c>
      <c r="Z301" s="1106">
        <f t="shared" si="102"/>
        <v>-132.34528228924981</v>
      </c>
      <c r="AA301" s="1181">
        <f t="shared" si="103"/>
        <v>2020.5123356535189</v>
      </c>
    </row>
    <row r="302" spans="1:29" hidden="1" x14ac:dyDescent="0.35">
      <c r="A302" s="179">
        <v>5</v>
      </c>
      <c r="C302" s="986" t="s">
        <v>454</v>
      </c>
      <c r="D302" s="83" t="s">
        <v>455</v>
      </c>
      <c r="E302" s="892" t="str">
        <f>VLOOKUP(F302,'Quy đổi'!A:D,4,0)</f>
        <v>Phó sản</v>
      </c>
      <c r="F302" s="986" t="s">
        <v>655</v>
      </c>
      <c r="G302" s="82" t="s">
        <v>656</v>
      </c>
      <c r="H302" s="257">
        <f>IFERROR(VLOOKUP(F302,'Quy đổi'!A:C,3,0),"-")</f>
        <v>0</v>
      </c>
      <c r="I302" s="1098">
        <v>626</v>
      </c>
      <c r="J302" s="1098">
        <v>11984500</v>
      </c>
      <c r="K302" s="1098">
        <v>11984500</v>
      </c>
      <c r="O302" s="1097">
        <f t="shared" si="104"/>
        <v>11984500</v>
      </c>
      <c r="P302" s="1101">
        <f t="shared" si="94"/>
        <v>19144.568690095846</v>
      </c>
      <c r="Q302" s="1101">
        <f t="shared" si="95"/>
        <v>740.31588128754242</v>
      </c>
      <c r="R302" s="1099">
        <v>11894000</v>
      </c>
      <c r="S302" s="1101">
        <f t="shared" si="96"/>
        <v>19000</v>
      </c>
      <c r="T302" s="1101">
        <f t="shared" si="97"/>
        <v>775.51020408163265</v>
      </c>
      <c r="U302" s="1101">
        <f t="shared" si="98"/>
        <v>90500</v>
      </c>
      <c r="V302" s="1103">
        <f t="shared" si="99"/>
        <v>7.5514205849221911E-3</v>
      </c>
      <c r="W302" s="1098">
        <v>25860</v>
      </c>
      <c r="X302" s="1106">
        <f t="shared" si="100"/>
        <v>463.43774168600157</v>
      </c>
      <c r="Y302" s="1106">
        <f t="shared" si="101"/>
        <v>463.43774168600157</v>
      </c>
      <c r="Z302" s="1106">
        <f t="shared" si="102"/>
        <v>3.4996133023975253</v>
      </c>
      <c r="AA302" s="1181">
        <f t="shared" si="103"/>
        <v>459.93812838360401</v>
      </c>
    </row>
    <row r="303" spans="1:29" hidden="1" x14ac:dyDescent="0.35">
      <c r="A303" s="179">
        <v>5</v>
      </c>
      <c r="C303" s="986" t="s">
        <v>454</v>
      </c>
      <c r="D303" s="83" t="s">
        <v>455</v>
      </c>
      <c r="E303" s="892" t="str">
        <f>VLOOKUP(F303,'Quy đổi'!A:D,4,0)</f>
        <v>Khác</v>
      </c>
      <c r="F303" s="986" t="s">
        <v>467</v>
      </c>
      <c r="G303" s="82" t="s">
        <v>466</v>
      </c>
      <c r="H303" s="257">
        <f>IFERROR(VLOOKUP(F303,'Quy đổi'!A:C,3,0),"-")</f>
        <v>0</v>
      </c>
      <c r="I303" s="1098">
        <v>516</v>
      </c>
      <c r="J303" s="1098">
        <v>9804000</v>
      </c>
      <c r="K303" s="1098">
        <v>9804000</v>
      </c>
      <c r="O303" s="1097">
        <f t="shared" si="104"/>
        <v>9804000</v>
      </c>
      <c r="P303" s="1101">
        <f t="shared" si="94"/>
        <v>19000</v>
      </c>
      <c r="Q303" s="1101">
        <f t="shared" si="95"/>
        <v>734.72544470224284</v>
      </c>
      <c r="R303" s="1099">
        <v>9382008</v>
      </c>
      <c r="S303" s="1101">
        <f t="shared" si="96"/>
        <v>18182.18604651163</v>
      </c>
      <c r="T303" s="1101">
        <f t="shared" si="97"/>
        <v>742.13004271476041</v>
      </c>
      <c r="U303" s="1101">
        <f t="shared" si="98"/>
        <v>421992</v>
      </c>
      <c r="V303" s="1103">
        <f t="shared" si="99"/>
        <v>4.3042839657282742E-2</v>
      </c>
      <c r="W303" s="1098">
        <v>25860</v>
      </c>
      <c r="X303" s="1106">
        <f t="shared" si="100"/>
        <v>379.1183294663573</v>
      </c>
      <c r="Y303" s="1106">
        <f t="shared" si="101"/>
        <v>379.1183294663573</v>
      </c>
      <c r="Z303" s="1106">
        <f t="shared" si="102"/>
        <v>16.318329466357309</v>
      </c>
      <c r="AA303" s="1181">
        <f t="shared" si="103"/>
        <v>362.8</v>
      </c>
    </row>
    <row r="304" spans="1:29" hidden="1" x14ac:dyDescent="0.35">
      <c r="A304" s="179">
        <v>5</v>
      </c>
      <c r="B304" s="880" t="s">
        <v>22</v>
      </c>
      <c r="C304" s="986" t="s">
        <v>120</v>
      </c>
      <c r="D304" s="83" t="s">
        <v>226</v>
      </c>
      <c r="E304" s="892" t="str">
        <f>VLOOKUP(F304,'Quy đổi'!A:D,4,0)</f>
        <v>rPET</v>
      </c>
      <c r="F304" s="986" t="s">
        <v>127</v>
      </c>
      <c r="G304" s="82" t="s">
        <v>114</v>
      </c>
      <c r="H304" s="257" t="str">
        <f>IFERROR(VLOOKUP(F304,'Quy đổi'!A:C,3,0),"-")</f>
        <v>iSS01084G</v>
      </c>
      <c r="I304" s="1098">
        <v>44000</v>
      </c>
      <c r="J304" s="1098">
        <v>1593809800</v>
      </c>
      <c r="K304" s="1098">
        <v>1581964846</v>
      </c>
      <c r="L304" s="1056">
        <f>140*I304</f>
        <v>6160000</v>
      </c>
      <c r="O304" s="1097">
        <f t="shared" si="104"/>
        <v>1575804846</v>
      </c>
      <c r="P304" s="1101">
        <f t="shared" si="94"/>
        <v>35813.746500000001</v>
      </c>
      <c r="Q304" s="1101">
        <f t="shared" si="95"/>
        <v>1384.9089907192576</v>
      </c>
      <c r="R304" s="1099">
        <v>1220804002</v>
      </c>
      <c r="S304" s="1101">
        <f t="shared" si="96"/>
        <v>27745.5455</v>
      </c>
      <c r="T304" s="1101">
        <f t="shared" si="97"/>
        <v>1132.4712448979592</v>
      </c>
      <c r="U304" s="1101">
        <f t="shared" si="98"/>
        <v>355000844</v>
      </c>
      <c r="V304" s="1103">
        <f t="shared" si="99"/>
        <v>0.2244050143703383</v>
      </c>
      <c r="W304" s="1098">
        <v>25860</v>
      </c>
      <c r="X304" s="1106">
        <f t="shared" si="100"/>
        <v>60935.995591647334</v>
      </c>
      <c r="Y304" s="1106">
        <f t="shared" si="101"/>
        <v>61174.201314771846</v>
      </c>
      <c r="Z304" s="1106">
        <f t="shared" si="102"/>
        <v>13727.797525135344</v>
      </c>
      <c r="AA304" s="1181">
        <f t="shared" si="103"/>
        <v>47208.198066511985</v>
      </c>
    </row>
    <row r="305" spans="1:29" hidden="1" x14ac:dyDescent="0.35">
      <c r="A305" s="179">
        <v>5</v>
      </c>
      <c r="B305" s="880" t="s">
        <v>22</v>
      </c>
      <c r="C305" s="986" t="s">
        <v>129</v>
      </c>
      <c r="D305" s="83" t="s">
        <v>510</v>
      </c>
      <c r="E305" s="892" t="str">
        <f>VLOOKUP(F305,'Quy đổi'!A:D,4,0)</f>
        <v>rPET</v>
      </c>
      <c r="F305" s="986" t="s">
        <v>127</v>
      </c>
      <c r="G305" s="82" t="s">
        <v>114</v>
      </c>
      <c r="H305" s="257" t="str">
        <f>IFERROR(VLOOKUP(F305,'Quy đổi'!A:C,3,0),"-")</f>
        <v>iSS01084G</v>
      </c>
      <c r="I305" s="1098">
        <v>-40039.699999999997</v>
      </c>
      <c r="J305" s="1098">
        <v>0</v>
      </c>
      <c r="K305" s="1098">
        <v>-1404515849</v>
      </c>
      <c r="O305" s="1097">
        <f t="shared" si="104"/>
        <v>-1404515849</v>
      </c>
      <c r="P305" s="1101">
        <f t="shared" si="94"/>
        <v>35078.081229379844</v>
      </c>
      <c r="Q305" s="1101">
        <f t="shared" si="95"/>
        <v>1356.4609910819738</v>
      </c>
      <c r="R305" s="1099">
        <v>-1110923318</v>
      </c>
      <c r="S305" s="1101">
        <f t="shared" si="96"/>
        <v>27745.545496095128</v>
      </c>
      <c r="T305" s="1101">
        <f t="shared" si="97"/>
        <v>1132.4712447385766</v>
      </c>
      <c r="U305" s="1101">
        <f t="shared" si="98"/>
        <v>-293592531</v>
      </c>
      <c r="V305" s="1103">
        <f t="shared" si="99"/>
        <v>0.20903468708383369</v>
      </c>
      <c r="W305" s="1098">
        <v>25860</v>
      </c>
      <c r="X305" s="1106">
        <f t="shared" si="100"/>
        <v>-54312.291144624905</v>
      </c>
      <c r="Y305" s="1106">
        <f t="shared" si="101"/>
        <v>-54312.291144624905</v>
      </c>
      <c r="Z305" s="1106">
        <f t="shared" si="102"/>
        <v>-11353.152784222737</v>
      </c>
      <c r="AA305" s="1181">
        <f t="shared" si="103"/>
        <v>-42959.138360402168</v>
      </c>
    </row>
    <row r="306" spans="1:29" hidden="1" x14ac:dyDescent="0.35">
      <c r="A306" s="179">
        <v>5</v>
      </c>
      <c r="B306" s="880" t="s">
        <v>22</v>
      </c>
      <c r="C306" s="986" t="s">
        <v>176</v>
      </c>
      <c r="D306" s="83" t="s">
        <v>177</v>
      </c>
      <c r="E306" s="892" t="str">
        <f>VLOOKUP(F306,'Quy đổi'!A:D,4,0)</f>
        <v>rPET</v>
      </c>
      <c r="F306" s="986" t="s">
        <v>127</v>
      </c>
      <c r="G306" s="82" t="s">
        <v>114</v>
      </c>
      <c r="H306" s="257" t="str">
        <f>IFERROR(VLOOKUP(F306,'Quy đổi'!A:C,3,0),"-")</f>
        <v>iSS01084G</v>
      </c>
      <c r="I306" s="1098">
        <v>330000</v>
      </c>
      <c r="J306" s="1098">
        <v>12094104000</v>
      </c>
      <c r="K306" s="1098">
        <v>11904220416</v>
      </c>
      <c r="L306" s="1056">
        <f>13611111.1111111*15</f>
        <v>204166666.66666651</v>
      </c>
      <c r="O306" s="1097">
        <f t="shared" si="104"/>
        <v>11700053749.333334</v>
      </c>
      <c r="P306" s="1101">
        <f t="shared" si="94"/>
        <v>35454.70833131313</v>
      </c>
      <c r="Q306" s="1101">
        <f t="shared" si="95"/>
        <v>1371.0250708164397</v>
      </c>
      <c r="R306" s="1099">
        <v>9156030015</v>
      </c>
      <c r="S306" s="1101">
        <f t="shared" si="96"/>
        <v>27745.5455</v>
      </c>
      <c r="T306" s="1101">
        <f t="shared" si="97"/>
        <v>1132.4712448979592</v>
      </c>
      <c r="U306" s="1101">
        <f t="shared" si="98"/>
        <v>2544023734.333334</v>
      </c>
      <c r="V306" s="1103">
        <f t="shared" si="99"/>
        <v>0.21370771419134768</v>
      </c>
      <c r="W306" s="1098">
        <v>25860</v>
      </c>
      <c r="X306" s="1106">
        <f t="shared" si="100"/>
        <v>452438.27336942515</v>
      </c>
      <c r="Y306" s="1106">
        <f t="shared" si="101"/>
        <v>460333.34941995359</v>
      </c>
      <c r="Z306" s="1106">
        <f t="shared" si="102"/>
        <v>98376.78787058522</v>
      </c>
      <c r="AA306" s="1181">
        <f t="shared" si="103"/>
        <v>354061.48549883993</v>
      </c>
    </row>
    <row r="307" spans="1:29" hidden="1" x14ac:dyDescent="0.35">
      <c r="A307" s="179">
        <v>5</v>
      </c>
      <c r="B307" s="880" t="s">
        <v>22</v>
      </c>
      <c r="C307" s="986" t="s">
        <v>237</v>
      </c>
      <c r="D307" s="83" t="s">
        <v>238</v>
      </c>
      <c r="E307" s="892" t="str">
        <f>VLOOKUP(F307,'Quy đổi'!A:D,4,0)</f>
        <v>rPET</v>
      </c>
      <c r="F307" s="986" t="s">
        <v>102</v>
      </c>
      <c r="G307" s="82" t="s">
        <v>101</v>
      </c>
      <c r="H307" s="257" t="str">
        <f>IFERROR(VLOOKUP(F307,'Quy đổi'!A:C,3,0),"-")</f>
        <v>WSS03G</v>
      </c>
      <c r="I307" s="1098">
        <v>11000</v>
      </c>
      <c r="J307" s="1098">
        <v>339946200</v>
      </c>
      <c r="K307" s="1098">
        <v>339946200</v>
      </c>
      <c r="O307" s="1097">
        <f t="shared" si="104"/>
        <v>339946200</v>
      </c>
      <c r="P307" s="1101">
        <f t="shared" si="94"/>
        <v>30904.2</v>
      </c>
      <c r="Q307" s="1101">
        <f t="shared" si="95"/>
        <v>1195.0580046403711</v>
      </c>
      <c r="R307" s="1099">
        <v>278817778</v>
      </c>
      <c r="S307" s="1101">
        <f t="shared" si="96"/>
        <v>25347.070727272727</v>
      </c>
      <c r="T307" s="1101">
        <f t="shared" si="97"/>
        <v>1034.5743153988867</v>
      </c>
      <c r="U307" s="1101">
        <f t="shared" si="98"/>
        <v>61128422</v>
      </c>
      <c r="V307" s="1103">
        <f t="shared" si="99"/>
        <v>0.17981793001363156</v>
      </c>
      <c r="W307" s="1098">
        <v>25860</v>
      </c>
      <c r="X307" s="1106">
        <f t="shared" si="100"/>
        <v>13145.638051044083</v>
      </c>
      <c r="Y307" s="1106">
        <f t="shared" si="101"/>
        <v>13145.638051044083</v>
      </c>
      <c r="Z307" s="1106">
        <f t="shared" si="102"/>
        <v>2363.8214230471772</v>
      </c>
      <c r="AA307" s="1181">
        <f t="shared" si="103"/>
        <v>10781.816627996906</v>
      </c>
      <c r="AC307" s="1098">
        <f t="shared" ref="AC307" si="109">X307/I307*1000</f>
        <v>1195.0580046403711</v>
      </c>
    </row>
    <row r="308" spans="1:29" hidden="1" x14ac:dyDescent="0.35">
      <c r="A308" s="179">
        <v>5</v>
      </c>
      <c r="B308" s="880" t="s">
        <v>22</v>
      </c>
      <c r="C308" s="986" t="s">
        <v>82</v>
      </c>
      <c r="D308" s="83" t="s">
        <v>81</v>
      </c>
      <c r="E308" s="892" t="str">
        <f>VLOOKUP(F308,'Quy đổi'!A:D,4,0)</f>
        <v>rHDPE thổi</v>
      </c>
      <c r="F308" s="986" t="s">
        <v>69</v>
      </c>
      <c r="G308" s="82" t="s">
        <v>68</v>
      </c>
      <c r="H308" s="257" t="str">
        <f>IFERROR(VLOOKUP(F308,'Quy đổi'!A:C,3,0),"-")</f>
        <v>MBF01</v>
      </c>
      <c r="I308" s="1098">
        <v>77000</v>
      </c>
      <c r="J308" s="1098">
        <v>2666317500</v>
      </c>
      <c r="K308" s="1098">
        <v>2666317500</v>
      </c>
      <c r="O308" s="1097">
        <f t="shared" si="104"/>
        <v>2666317500</v>
      </c>
      <c r="P308" s="1101">
        <f t="shared" si="94"/>
        <v>34627.5</v>
      </c>
      <c r="Q308" s="1101">
        <f t="shared" si="95"/>
        <v>1339.0371229698376</v>
      </c>
      <c r="R308" s="1099">
        <v>2115751302</v>
      </c>
      <c r="S308" s="1101">
        <f t="shared" si="96"/>
        <v>27477.289636363636</v>
      </c>
      <c r="T308" s="1101">
        <f t="shared" si="97"/>
        <v>1121.5220259740258</v>
      </c>
      <c r="U308" s="1101">
        <f t="shared" si="98"/>
        <v>550566198</v>
      </c>
      <c r="V308" s="1103">
        <f t="shared" si="99"/>
        <v>0.20648936145076496</v>
      </c>
      <c r="W308" s="1098">
        <v>25860</v>
      </c>
      <c r="X308" s="1106">
        <f t="shared" si="100"/>
        <v>103105.8584686775</v>
      </c>
      <c r="Y308" s="1106">
        <f t="shared" si="101"/>
        <v>103105.8584686775</v>
      </c>
      <c r="Z308" s="1106">
        <f t="shared" si="102"/>
        <v>21290.262877030164</v>
      </c>
      <c r="AA308" s="1181">
        <f t="shared" si="103"/>
        <v>81815.595591647332</v>
      </c>
    </row>
    <row r="309" spans="1:29" hidden="1" x14ac:dyDescent="0.35">
      <c r="A309" s="179">
        <v>5</v>
      </c>
      <c r="B309" s="880" t="s">
        <v>22</v>
      </c>
      <c r="C309" s="986" t="s">
        <v>82</v>
      </c>
      <c r="D309" s="83" t="s">
        <v>81</v>
      </c>
      <c r="E309" s="892" t="str">
        <f>VLOOKUP(F309,'Quy đổi'!A:D,4,0)</f>
        <v>rPET</v>
      </c>
      <c r="F309" s="986" t="s">
        <v>110</v>
      </c>
      <c r="G309" s="82" t="s">
        <v>109</v>
      </c>
      <c r="H309" s="257" t="str">
        <f>IFERROR(VLOOKUP(F309,'Quy đổi'!A:C,3,0),"-")</f>
        <v>WSS01G</v>
      </c>
      <c r="I309" s="1098">
        <v>22000</v>
      </c>
      <c r="J309" s="1098">
        <v>705386000</v>
      </c>
      <c r="K309" s="1098">
        <v>705386000</v>
      </c>
      <c r="O309" s="1097">
        <f t="shared" si="104"/>
        <v>705386000</v>
      </c>
      <c r="P309" s="1101">
        <f t="shared" si="94"/>
        <v>32063</v>
      </c>
      <c r="Q309" s="1101">
        <f t="shared" si="95"/>
        <v>1239.8685228151585</v>
      </c>
      <c r="R309" s="1099">
        <v>597136380</v>
      </c>
      <c r="S309" s="1101">
        <f t="shared" si="96"/>
        <v>27142.562727272729</v>
      </c>
      <c r="T309" s="1101">
        <f t="shared" si="97"/>
        <v>1107.8597031539889</v>
      </c>
      <c r="U309" s="1101">
        <f t="shared" si="98"/>
        <v>108249620</v>
      </c>
      <c r="V309" s="1103">
        <f t="shared" si="99"/>
        <v>0.15346153737102805</v>
      </c>
      <c r="W309" s="1098">
        <v>25860</v>
      </c>
      <c r="X309" s="1106">
        <f t="shared" si="100"/>
        <v>27277.107501933489</v>
      </c>
      <c r="Y309" s="1106">
        <f t="shared" si="101"/>
        <v>27277.107501933489</v>
      </c>
      <c r="Z309" s="1106">
        <f t="shared" si="102"/>
        <v>4185.9868522815159</v>
      </c>
      <c r="AA309" s="1181">
        <f t="shared" si="103"/>
        <v>23091.120649651974</v>
      </c>
    </row>
    <row r="310" spans="1:29" hidden="1" x14ac:dyDescent="0.35">
      <c r="A310" s="179">
        <v>5</v>
      </c>
      <c r="B310" s="880" t="s">
        <v>22</v>
      </c>
      <c r="C310" s="986" t="s">
        <v>82</v>
      </c>
      <c r="D310" s="83" t="s">
        <v>81</v>
      </c>
      <c r="E310" s="892" t="str">
        <f>VLOOKUP(F310,'Quy đổi'!A:D,4,0)</f>
        <v>rHDPE thổi</v>
      </c>
      <c r="F310" s="986" t="s">
        <v>84</v>
      </c>
      <c r="G310" s="82" t="s">
        <v>83</v>
      </c>
      <c r="H310" s="257" t="str">
        <f>IFERROR(VLOOKUP(F310,'Quy đổi'!A:C,3,0),"-")</f>
        <v>HCBF-Whi-U</v>
      </c>
      <c r="I310" s="1098">
        <v>5500</v>
      </c>
      <c r="J310" s="1098">
        <v>183397500</v>
      </c>
      <c r="K310" s="1098">
        <v>183397500</v>
      </c>
      <c r="O310" s="1097">
        <f t="shared" si="104"/>
        <v>183397500</v>
      </c>
      <c r="P310" s="1101">
        <f t="shared" si="94"/>
        <v>33345</v>
      </c>
      <c r="Q310" s="1101">
        <f t="shared" si="95"/>
        <v>1289.4431554524363</v>
      </c>
      <c r="R310" s="1099">
        <v>133159165</v>
      </c>
      <c r="S310" s="1101">
        <f t="shared" si="96"/>
        <v>24210.757272727275</v>
      </c>
      <c r="T310" s="1101">
        <f t="shared" si="97"/>
        <v>988.19417439703159</v>
      </c>
      <c r="U310" s="1101">
        <f t="shared" si="98"/>
        <v>50238335</v>
      </c>
      <c r="V310" s="1103">
        <f t="shared" si="99"/>
        <v>0.27393140582614267</v>
      </c>
      <c r="W310" s="1098">
        <v>25860</v>
      </c>
      <c r="X310" s="1106">
        <f t="shared" si="100"/>
        <v>7091.9373549883994</v>
      </c>
      <c r="Y310" s="1106">
        <f t="shared" si="101"/>
        <v>7091.9373549883994</v>
      </c>
      <c r="Z310" s="1106">
        <f t="shared" si="102"/>
        <v>1942.704369682908</v>
      </c>
      <c r="AA310" s="1181">
        <f t="shared" si="103"/>
        <v>5149.2329853054907</v>
      </c>
    </row>
    <row r="311" spans="1:29" hidden="1" x14ac:dyDescent="0.35">
      <c r="A311" s="179">
        <v>5</v>
      </c>
      <c r="B311" s="880" t="s">
        <v>22</v>
      </c>
      <c r="C311" s="986" t="s">
        <v>82</v>
      </c>
      <c r="D311" s="83" t="s">
        <v>81</v>
      </c>
      <c r="E311" s="892" t="str">
        <f>VLOOKUP(F311,'Quy đổi'!A:D,4,0)</f>
        <v>rHDPE thổi</v>
      </c>
      <c r="F311" s="986" t="s">
        <v>75</v>
      </c>
      <c r="G311" s="82" t="s">
        <v>74</v>
      </c>
      <c r="H311" s="257" t="str">
        <f>IFERROR(VLOOKUP(F311,'Quy đổi'!A:C,3,0),"-")</f>
        <v>HCBF-Yel-U</v>
      </c>
      <c r="I311" s="1098">
        <v>33000</v>
      </c>
      <c r="J311" s="1098">
        <v>1100385000</v>
      </c>
      <c r="K311" s="1098">
        <v>1100385000</v>
      </c>
      <c r="O311" s="1097">
        <f t="shared" si="104"/>
        <v>1100385000</v>
      </c>
      <c r="P311" s="1101">
        <f t="shared" si="94"/>
        <v>33345</v>
      </c>
      <c r="Q311" s="1101">
        <f t="shared" si="95"/>
        <v>1289.4431554524363</v>
      </c>
      <c r="R311" s="1099">
        <v>925595790</v>
      </c>
      <c r="S311" s="1101">
        <f t="shared" si="96"/>
        <v>28048.357272727273</v>
      </c>
      <c r="T311" s="1101">
        <f t="shared" si="97"/>
        <v>1144.830909090909</v>
      </c>
      <c r="U311" s="1101">
        <f t="shared" si="98"/>
        <v>174789210</v>
      </c>
      <c r="V311" s="1103">
        <f t="shared" si="99"/>
        <v>0.15884368652789704</v>
      </c>
      <c r="W311" s="1098">
        <v>25860</v>
      </c>
      <c r="X311" s="1106">
        <f t="shared" si="100"/>
        <v>42551.624129930395</v>
      </c>
      <c r="Y311" s="1106">
        <f t="shared" si="101"/>
        <v>42551.624129930395</v>
      </c>
      <c r="Z311" s="1106">
        <f t="shared" si="102"/>
        <v>6759.0568445475637</v>
      </c>
      <c r="AA311" s="1181">
        <f t="shared" si="103"/>
        <v>35792.567285382829</v>
      </c>
    </row>
    <row r="312" spans="1:29" hidden="1" x14ac:dyDescent="0.35">
      <c r="A312" s="179">
        <v>5</v>
      </c>
      <c r="B312" s="880" t="s">
        <v>22</v>
      </c>
      <c r="C312" s="986" t="s">
        <v>82</v>
      </c>
      <c r="D312" s="83" t="s">
        <v>81</v>
      </c>
      <c r="E312" s="892" t="str">
        <f>VLOOKUP(F312,'Quy đổi'!A:D,4,0)</f>
        <v>rHDPE thổi</v>
      </c>
      <c r="F312" s="986" t="s">
        <v>80</v>
      </c>
      <c r="G312" s="82" t="s">
        <v>79</v>
      </c>
      <c r="H312" s="257" t="str">
        <f>IFERROR(VLOOKUP(F312,'Quy đổi'!A:C,3,0),"-")</f>
        <v>PCF01</v>
      </c>
      <c r="I312" s="1098">
        <v>11000</v>
      </c>
      <c r="J312" s="1098">
        <v>380902500</v>
      </c>
      <c r="K312" s="1098">
        <v>380902500</v>
      </c>
      <c r="O312" s="1097">
        <f t="shared" si="104"/>
        <v>380902500</v>
      </c>
      <c r="P312" s="1101">
        <f t="shared" si="94"/>
        <v>34627.5</v>
      </c>
      <c r="Q312" s="1101">
        <f t="shared" si="95"/>
        <v>1339.0371229698376</v>
      </c>
      <c r="R312" s="1099">
        <v>310377022</v>
      </c>
      <c r="S312" s="1101">
        <f t="shared" si="96"/>
        <v>28216.092909090909</v>
      </c>
      <c r="T312" s="1101">
        <f t="shared" si="97"/>
        <v>1151.6772615955472</v>
      </c>
      <c r="U312" s="1101">
        <f t="shared" si="98"/>
        <v>70525478</v>
      </c>
      <c r="V312" s="1103">
        <f t="shared" si="99"/>
        <v>0.18515362330255117</v>
      </c>
      <c r="W312" s="1098">
        <v>25860</v>
      </c>
      <c r="X312" s="1106">
        <f t="shared" si="100"/>
        <v>14729.408352668213</v>
      </c>
      <c r="Y312" s="1106">
        <f t="shared" si="101"/>
        <v>14729.408352668213</v>
      </c>
      <c r="Z312" s="1106">
        <f t="shared" si="102"/>
        <v>2727.2033255993811</v>
      </c>
      <c r="AA312" s="1181">
        <f t="shared" si="103"/>
        <v>12002.205027068832</v>
      </c>
    </row>
    <row r="313" spans="1:29" hidden="1" x14ac:dyDescent="0.35">
      <c r="A313" s="179">
        <v>5</v>
      </c>
      <c r="B313" s="880" t="s">
        <v>22</v>
      </c>
      <c r="C313" s="986" t="s">
        <v>132</v>
      </c>
      <c r="D313" s="83" t="s">
        <v>213</v>
      </c>
      <c r="E313" s="892" t="str">
        <f>VLOOKUP(F313,'Quy đổi'!A:D,4,0)</f>
        <v>rPET</v>
      </c>
      <c r="F313" s="986" t="s">
        <v>110</v>
      </c>
      <c r="G313" s="82" t="s">
        <v>109</v>
      </c>
      <c r="H313" s="257" t="str">
        <f>IFERROR(VLOOKUP(F313,'Quy đổi'!A:C,3,0),"-")</f>
        <v>WSS01G</v>
      </c>
      <c r="I313" s="1098">
        <v>88000</v>
      </c>
      <c r="J313" s="1098">
        <v>2821544000</v>
      </c>
      <c r="K313" s="1098">
        <v>2821544000</v>
      </c>
      <c r="L313" s="1056">
        <f>140*I313</f>
        <v>12320000</v>
      </c>
      <c r="O313" s="1097">
        <f t="shared" si="104"/>
        <v>2809224000</v>
      </c>
      <c r="P313" s="1101">
        <f t="shared" si="94"/>
        <v>31923</v>
      </c>
      <c r="Q313" s="1101">
        <f t="shared" si="95"/>
        <v>1234.4547563805104</v>
      </c>
      <c r="R313" s="1099">
        <v>2388545520</v>
      </c>
      <c r="S313" s="1101">
        <f t="shared" si="96"/>
        <v>27142.562727272729</v>
      </c>
      <c r="T313" s="1101">
        <f t="shared" si="97"/>
        <v>1107.8597031539889</v>
      </c>
      <c r="U313" s="1101">
        <f t="shared" si="98"/>
        <v>420678480</v>
      </c>
      <c r="V313" s="1103">
        <f t="shared" si="99"/>
        <v>0.14909513372819988</v>
      </c>
      <c r="W313" s="1098">
        <v>25860</v>
      </c>
      <c r="X313" s="1106">
        <f t="shared" si="100"/>
        <v>108632.01856148492</v>
      </c>
      <c r="Y313" s="1106">
        <f t="shared" si="101"/>
        <v>109108.43000773396</v>
      </c>
      <c r="Z313" s="1106">
        <f t="shared" si="102"/>
        <v>16267.535962877029</v>
      </c>
      <c r="AA313" s="1181">
        <f t="shared" si="103"/>
        <v>92364.482598607894</v>
      </c>
    </row>
    <row r="314" spans="1:29" hidden="1" x14ac:dyDescent="0.35">
      <c r="A314" s="179">
        <v>5</v>
      </c>
      <c r="B314" s="880" t="s">
        <v>22</v>
      </c>
      <c r="C314" s="986" t="s">
        <v>132</v>
      </c>
      <c r="D314" s="83" t="s">
        <v>213</v>
      </c>
      <c r="E314" s="892" t="str">
        <f>VLOOKUP(F314,'Quy đổi'!A:D,4,0)</f>
        <v>rPET</v>
      </c>
      <c r="F314" s="986" t="s">
        <v>110</v>
      </c>
      <c r="G314" s="82" t="s">
        <v>109</v>
      </c>
      <c r="H314" s="257" t="str">
        <f>IFERROR(VLOOKUP(F314,'Quy đổi'!A:C,3,0),"-")</f>
        <v>WSS01G</v>
      </c>
      <c r="I314" s="1098">
        <v>132000</v>
      </c>
      <c r="J314" s="1098">
        <v>4232316000</v>
      </c>
      <c r="K314" s="1098">
        <v>4232316000</v>
      </c>
      <c r="L314" s="1056">
        <f>140*I314</f>
        <v>18480000</v>
      </c>
      <c r="O314" s="1097">
        <f t="shared" si="104"/>
        <v>4213836000</v>
      </c>
      <c r="P314" s="1101">
        <f t="shared" si="94"/>
        <v>31923</v>
      </c>
      <c r="Q314" s="1101">
        <f t="shared" si="95"/>
        <v>1234.4547563805104</v>
      </c>
      <c r="R314" s="1099">
        <v>3582818280</v>
      </c>
      <c r="S314" s="1101">
        <f t="shared" si="96"/>
        <v>27142.562727272729</v>
      </c>
      <c r="T314" s="1101">
        <f t="shared" si="97"/>
        <v>1107.8597031539889</v>
      </c>
      <c r="U314" s="1101">
        <f t="shared" si="98"/>
        <v>631017720</v>
      </c>
      <c r="V314" s="1103">
        <f t="shared" si="99"/>
        <v>0.14909513372819988</v>
      </c>
      <c r="W314" s="1098">
        <v>25860</v>
      </c>
      <c r="X314" s="1106">
        <f t="shared" si="100"/>
        <v>162948.02784222737</v>
      </c>
      <c r="Y314" s="1106">
        <f t="shared" si="101"/>
        <v>163662.64501160092</v>
      </c>
      <c r="Z314" s="1106">
        <f t="shared" si="102"/>
        <v>24401.303944315547</v>
      </c>
      <c r="AA314" s="1181">
        <f t="shared" si="103"/>
        <v>138546.72389791184</v>
      </c>
    </row>
    <row r="315" spans="1:29" hidden="1" x14ac:dyDescent="0.35">
      <c r="A315" s="179">
        <v>5</v>
      </c>
      <c r="B315" s="880" t="s">
        <v>26</v>
      </c>
      <c r="C315" s="986" t="s">
        <v>362</v>
      </c>
      <c r="D315" s="1173" t="s">
        <v>363</v>
      </c>
      <c r="E315" s="892" t="str">
        <f>VLOOKUP(F315,'Quy đổi'!A:D,4,0)</f>
        <v>rPET</v>
      </c>
      <c r="F315" s="986" t="s">
        <v>100</v>
      </c>
      <c r="G315" s="82" t="s">
        <v>99</v>
      </c>
      <c r="H315" s="257" t="str">
        <f>IFERROR(VLOOKUP(F315,'Quy đổi'!A:C,3,0),"-")</f>
        <v>iSS01G</v>
      </c>
      <c r="I315" s="1098">
        <v>440000</v>
      </c>
      <c r="J315" s="1098">
        <v>14783922120</v>
      </c>
      <c r="K315" s="1098">
        <v>14783922120</v>
      </c>
      <c r="L315" s="1104">
        <v>177917665</v>
      </c>
      <c r="O315" s="1097">
        <f t="shared" si="104"/>
        <v>14606004455</v>
      </c>
      <c r="P315" s="1101">
        <f t="shared" si="94"/>
        <v>33195.464670454545</v>
      </c>
      <c r="Q315" s="1101">
        <f t="shared" si="95"/>
        <v>1283.6606601103847</v>
      </c>
      <c r="R315" s="1099">
        <v>11341538460</v>
      </c>
      <c r="S315" s="1101">
        <f t="shared" si="96"/>
        <v>25776.223772727273</v>
      </c>
      <c r="T315" s="1101">
        <f t="shared" si="97"/>
        <v>1052.0907662337663</v>
      </c>
      <c r="U315" s="1101">
        <f t="shared" si="98"/>
        <v>3264465995</v>
      </c>
      <c r="V315" s="1103">
        <f t="shared" si="99"/>
        <v>0.2208119042093547</v>
      </c>
      <c r="W315" s="1098">
        <v>25860</v>
      </c>
      <c r="X315" s="1106">
        <f t="shared" si="100"/>
        <v>564810.69044856925</v>
      </c>
      <c r="Y315" s="1106">
        <f t="shared" si="101"/>
        <v>571690.72389791184</v>
      </c>
      <c r="Z315" s="1106">
        <f t="shared" si="102"/>
        <v>126236.11736272235</v>
      </c>
      <c r="AA315" s="1181">
        <f t="shared" si="103"/>
        <v>438574.57308584685</v>
      </c>
      <c r="AC315" s="1098">
        <f t="shared" ref="AC315" si="110">X315/I315*1000</f>
        <v>1283.6606601103847</v>
      </c>
    </row>
    <row r="316" spans="1:29" hidden="1" x14ac:dyDescent="0.35">
      <c r="A316" s="179">
        <v>6</v>
      </c>
      <c r="B316" s="880" t="s">
        <v>26</v>
      </c>
      <c r="C316" s="82" t="s">
        <v>884</v>
      </c>
      <c r="D316" s="83" t="s">
        <v>885</v>
      </c>
      <c r="E316" s="892" t="str">
        <f>VLOOKUP(F316,'Quy đổi'!A:D,4,0)</f>
        <v>rPET</v>
      </c>
      <c r="F316" s="82" t="s">
        <v>102</v>
      </c>
      <c r="G316" s="82" t="s">
        <v>101</v>
      </c>
      <c r="H316" s="257" t="str">
        <f>IFERROR(VLOOKUP(F316,'Quy đổi'!A:C,3,0),"-")</f>
        <v>WSS03G</v>
      </c>
      <c r="I316" s="1098">
        <v>22000</v>
      </c>
      <c r="K316" s="1098">
        <v>656282000</v>
      </c>
      <c r="L316" s="1104">
        <v>10711550</v>
      </c>
      <c r="O316" s="1097">
        <f t="shared" si="104"/>
        <v>645570450</v>
      </c>
      <c r="P316" s="1101">
        <f t="shared" si="94"/>
        <v>29344.111363636363</v>
      </c>
      <c r="Q316" s="1101">
        <f t="shared" si="95"/>
        <v>1132.1030618686868</v>
      </c>
      <c r="R316" s="1099">
        <v>547635067</v>
      </c>
      <c r="S316" s="1101">
        <f t="shared" si="96"/>
        <v>24892.503045454545</v>
      </c>
      <c r="T316" s="1101">
        <f t="shared" si="97"/>
        <v>1016.0205324675325</v>
      </c>
      <c r="U316" s="1101">
        <f>O316-R316</f>
        <v>97935383</v>
      </c>
      <c r="V316" s="1103">
        <f t="shared" si="99"/>
        <v>0.14922759271166969</v>
      </c>
      <c r="W316" s="1098">
        <v>25920</v>
      </c>
      <c r="X316" s="1106">
        <f t="shared" si="100"/>
        <v>24906.267361111109</v>
      </c>
      <c r="Y316" s="1106">
        <f t="shared" si="101"/>
        <v>25319.521604938273</v>
      </c>
      <c r="Z316" s="1106">
        <f>U316/W316</f>
        <v>3778.3712577160495</v>
      </c>
      <c r="AA316" s="1106">
        <f>R316/W316</f>
        <v>21127.896103395062</v>
      </c>
      <c r="AC316" s="1098">
        <f>X316/I316*1000</f>
        <v>1132.1030618686866</v>
      </c>
    </row>
    <row r="317" spans="1:29" hidden="1" x14ac:dyDescent="0.35">
      <c r="A317" s="179">
        <v>6</v>
      </c>
      <c r="B317" s="880" t="s">
        <v>22</v>
      </c>
      <c r="C317" s="82" t="s">
        <v>13</v>
      </c>
      <c r="D317" s="83" t="s">
        <v>12</v>
      </c>
      <c r="E317" s="892" t="str">
        <f>VLOOKUP(F317,'Quy đổi'!A:D,4,0)</f>
        <v>rPET</v>
      </c>
      <c r="F317" s="82" t="s">
        <v>110</v>
      </c>
      <c r="G317" s="82" t="s">
        <v>109</v>
      </c>
      <c r="H317" s="257" t="str">
        <f>IFERROR(VLOOKUP(F317,'Quy đổi'!A:C,3,0),"-")</f>
        <v>WSS01G</v>
      </c>
      <c r="I317" s="1098">
        <v>4400</v>
      </c>
      <c r="K317" s="1098">
        <v>146527773</v>
      </c>
      <c r="O317" s="1097">
        <f t="shared" si="104"/>
        <v>146527773</v>
      </c>
      <c r="P317" s="1101">
        <f t="shared" si="94"/>
        <v>33301.766590909094</v>
      </c>
      <c r="Q317" s="1101">
        <f t="shared" si="95"/>
        <v>1284.7903777356903</v>
      </c>
      <c r="R317" s="1099">
        <v>123042957</v>
      </c>
      <c r="S317" s="1101">
        <f t="shared" si="96"/>
        <v>27964.308409090911</v>
      </c>
      <c r="T317" s="1101">
        <f t="shared" si="97"/>
        <v>1141.4003432282004</v>
      </c>
      <c r="U317" s="1101">
        <f t="shared" si="98"/>
        <v>23484816</v>
      </c>
      <c r="V317" s="1103">
        <f t="shared" si="99"/>
        <v>0.16027552674263329</v>
      </c>
      <c r="W317" s="1098">
        <v>25920</v>
      </c>
      <c r="X317" s="1106">
        <f t="shared" ref="X317:X380" si="111">O317/W317</f>
        <v>5653.077662037037</v>
      </c>
      <c r="Y317" s="1106">
        <f t="shared" ref="Y317:Y380" si="112">K317/W317</f>
        <v>5653.077662037037</v>
      </c>
      <c r="Z317" s="1106">
        <f t="shared" ref="Z317:Z380" si="113">U317/W317</f>
        <v>906.05</v>
      </c>
      <c r="AA317" s="1106">
        <f t="shared" ref="AA317:AA380" si="114">R317/W317</f>
        <v>4747.0276620370369</v>
      </c>
    </row>
    <row r="318" spans="1:29" hidden="1" x14ac:dyDescent="0.35">
      <c r="A318" s="179">
        <v>6</v>
      </c>
      <c r="B318" s="880" t="s">
        <v>26</v>
      </c>
      <c r="C318" s="82">
        <v>200387</v>
      </c>
      <c r="D318" s="83" t="s">
        <v>887</v>
      </c>
      <c r="E318" s="892" t="str">
        <f>VLOOKUP(F318,'Quy đổi'!A:D,4,0)</f>
        <v>Xơ sợi</v>
      </c>
      <c r="F318" s="82" t="s">
        <v>87</v>
      </c>
      <c r="G318" s="82" t="s">
        <v>86</v>
      </c>
      <c r="H318" s="257" t="str">
        <f>IFERROR(VLOOKUP(F318,'Quy đổi'!A:C,3,0),"-")</f>
        <v>WSS05SB</v>
      </c>
      <c r="I318" s="1098">
        <v>21000</v>
      </c>
      <c r="K318" s="1098">
        <v>441544110</v>
      </c>
      <c r="L318" s="1104">
        <v>74075000</v>
      </c>
      <c r="O318" s="1097">
        <f t="shared" si="104"/>
        <v>367469110</v>
      </c>
      <c r="P318" s="1101">
        <f t="shared" si="94"/>
        <v>17498.529047619049</v>
      </c>
      <c r="Q318" s="1101">
        <f t="shared" si="95"/>
        <v>675.09757128159913</v>
      </c>
      <c r="R318" s="1099">
        <v>520819887</v>
      </c>
      <c r="S318" s="1101">
        <f t="shared" si="96"/>
        <v>24800.947</v>
      </c>
      <c r="T318" s="1101">
        <f t="shared" si="97"/>
        <v>1012.2835510204081</v>
      </c>
      <c r="U318" s="1101">
        <f t="shared" si="98"/>
        <v>-153350777</v>
      </c>
      <c r="V318" s="1103">
        <f t="shared" si="99"/>
        <v>-0.34730567915400345</v>
      </c>
      <c r="W318" s="1098">
        <v>25920</v>
      </c>
      <c r="X318" s="1106">
        <f t="shared" si="111"/>
        <v>14177.04899691358</v>
      </c>
      <c r="Y318" s="1106">
        <f t="shared" si="112"/>
        <v>17034.880787037036</v>
      </c>
      <c r="Z318" s="1106">
        <f t="shared" si="113"/>
        <v>-5916.3108410493824</v>
      </c>
      <c r="AA318" s="1106">
        <f t="shared" si="114"/>
        <v>20093.359837962962</v>
      </c>
      <c r="AC318" s="1098">
        <f>X318/I318*1000</f>
        <v>675.09757128159913</v>
      </c>
    </row>
    <row r="319" spans="1:29" hidden="1" x14ac:dyDescent="0.35">
      <c r="A319" s="179">
        <v>6</v>
      </c>
      <c r="B319" s="880" t="s">
        <v>22</v>
      </c>
      <c r="C319" s="82" t="s">
        <v>628</v>
      </c>
      <c r="D319" s="83" t="s">
        <v>1030</v>
      </c>
      <c r="E319" s="892" t="str">
        <f>VLOOKUP(F319,'Quy đổi'!A:D,4,0)</f>
        <v>rPET</v>
      </c>
      <c r="F319" s="82" t="s">
        <v>127</v>
      </c>
      <c r="G319" s="82" t="s">
        <v>114</v>
      </c>
      <c r="H319" s="257" t="str">
        <f>IFERROR(VLOOKUP(F319,'Quy đổi'!A:C,3,0),"-")</f>
        <v>iSS01084G</v>
      </c>
      <c r="I319" s="1098">
        <v>88000</v>
      </c>
      <c r="J319" s="1098">
        <v>3243416000</v>
      </c>
      <c r="K319" s="1098">
        <v>3243416000</v>
      </c>
      <c r="L319" s="1104">
        <f>200000*44+140000*44</f>
        <v>14960000</v>
      </c>
      <c r="N319" s="1056">
        <v>96613440</v>
      </c>
      <c r="O319" s="1097">
        <f t="shared" si="104"/>
        <v>3131842560</v>
      </c>
      <c r="P319" s="1101">
        <f t="shared" si="94"/>
        <v>35589.120000000003</v>
      </c>
      <c r="Q319" s="1101">
        <f t="shared" si="95"/>
        <v>1373.037037037037</v>
      </c>
      <c r="R319" s="1099">
        <v>2463013840</v>
      </c>
      <c r="S319" s="1101">
        <f t="shared" si="96"/>
        <v>27988.793636363636</v>
      </c>
      <c r="T319" s="1101">
        <f t="shared" si="97"/>
        <v>1142.3997402597402</v>
      </c>
      <c r="U319" s="1101">
        <f t="shared" si="98"/>
        <v>668828720</v>
      </c>
      <c r="V319" s="1103">
        <f t="shared" si="99"/>
        <v>0.20621120448317454</v>
      </c>
      <c r="W319" s="1098">
        <v>25920</v>
      </c>
      <c r="X319" s="1106">
        <f t="shared" si="111"/>
        <v>120827.25925925926</v>
      </c>
      <c r="Y319" s="1106">
        <f t="shared" si="112"/>
        <v>125131.79012345678</v>
      </c>
      <c r="Z319" s="1106">
        <f t="shared" si="113"/>
        <v>25803.577160493827</v>
      </c>
      <c r="AA319" s="1106">
        <f t="shared" si="114"/>
        <v>95023.682098765436</v>
      </c>
      <c r="AC319" s="1098">
        <f t="shared" ref="AC319" si="115">X319/I319*1000</f>
        <v>1373.037037037037</v>
      </c>
    </row>
    <row r="320" spans="1:29" hidden="1" x14ac:dyDescent="0.35">
      <c r="A320" s="179">
        <v>6</v>
      </c>
      <c r="B320" s="880" t="s">
        <v>22</v>
      </c>
      <c r="C320" s="82" t="s">
        <v>347</v>
      </c>
      <c r="D320" s="83" t="s">
        <v>348</v>
      </c>
      <c r="E320" s="892" t="str">
        <f>VLOOKUP(F320,'Quy đổi'!A:D,4,0)</f>
        <v>rPET</v>
      </c>
      <c r="F320" s="82" t="s">
        <v>127</v>
      </c>
      <c r="G320" s="82" t="s">
        <v>114</v>
      </c>
      <c r="H320" s="257" t="str">
        <f>IFERROR(VLOOKUP(F320,'Quy đổi'!A:C,3,0),"-")</f>
        <v>iSS01084G</v>
      </c>
      <c r="I320" s="1098">
        <v>2789.2</v>
      </c>
      <c r="K320" s="1098">
        <v>100563818</v>
      </c>
      <c r="O320" s="1097">
        <f t="shared" si="104"/>
        <v>100563818</v>
      </c>
      <c r="P320" s="1101">
        <f t="shared" ref="P320:P383" si="116">O320/I320</f>
        <v>36054.71748171519</v>
      </c>
      <c r="Q320" s="1101">
        <f t="shared" ref="Q320:Q383" si="117">P320/W320*1000</f>
        <v>1390.9999028439502</v>
      </c>
      <c r="R320" s="1099">
        <v>78066343</v>
      </c>
      <c r="S320" s="1101">
        <f t="shared" ref="S320:S383" si="118">R320/I320</f>
        <v>27988.793560877672</v>
      </c>
      <c r="T320" s="1101">
        <f t="shared" ref="T320:T383" si="119">S320/24.5</f>
        <v>1142.3997371786804</v>
      </c>
      <c r="U320" s="1101">
        <f t="shared" ref="U320:U383" si="120">O320-R320</f>
        <v>22497475</v>
      </c>
      <c r="V320" s="1103">
        <f t="shared" ref="V320:V383" si="121">U320/K320</f>
        <v>0.22371341350623741</v>
      </c>
      <c r="W320" s="1098">
        <v>25920</v>
      </c>
      <c r="X320" s="1106">
        <f t="shared" si="111"/>
        <v>3879.7769290123456</v>
      </c>
      <c r="Y320" s="1106">
        <f t="shared" si="112"/>
        <v>3879.7769290123456</v>
      </c>
      <c r="Z320" s="1106">
        <f t="shared" si="113"/>
        <v>867.95814043209873</v>
      </c>
      <c r="AA320" s="1106">
        <f t="shared" si="114"/>
        <v>3011.8187885802467</v>
      </c>
    </row>
    <row r="321" spans="1:29" hidden="1" x14ac:dyDescent="0.35">
      <c r="A321" s="179">
        <v>6</v>
      </c>
      <c r="B321" s="880" t="s">
        <v>22</v>
      </c>
      <c r="C321" s="82" t="s">
        <v>347</v>
      </c>
      <c r="D321" s="83" t="s">
        <v>348</v>
      </c>
      <c r="E321" s="892" t="str">
        <f>VLOOKUP(F321,'Quy đổi'!A:D,4,0)</f>
        <v>rPET</v>
      </c>
      <c r="F321" s="82" t="s">
        <v>100</v>
      </c>
      <c r="G321" s="82" t="s">
        <v>99</v>
      </c>
      <c r="H321" s="257" t="str">
        <f>IFERROR(VLOOKUP(F321,'Quy đổi'!A:C,3,0),"-")</f>
        <v>iSS01G</v>
      </c>
      <c r="I321" s="1098">
        <v>-589.20000000000005</v>
      </c>
      <c r="K321" s="1098">
        <v>-20719218</v>
      </c>
      <c r="O321" s="1097">
        <f t="shared" si="104"/>
        <v>-20719218</v>
      </c>
      <c r="P321" s="1101">
        <f t="shared" si="116"/>
        <v>35165</v>
      </c>
      <c r="Q321" s="1101">
        <f t="shared" si="117"/>
        <v>1356.6743827160494</v>
      </c>
      <c r="R321" s="1099">
        <v>-15853775</v>
      </c>
      <c r="S321" s="1101">
        <f t="shared" si="118"/>
        <v>26907.289545145959</v>
      </c>
      <c r="T321" s="1101">
        <f t="shared" si="119"/>
        <v>1098.2567161284064</v>
      </c>
      <c r="U321" s="1101">
        <f t="shared" si="120"/>
        <v>-4865443</v>
      </c>
      <c r="V321" s="1103">
        <f t="shared" si="121"/>
        <v>0.23482754030581657</v>
      </c>
      <c r="W321" s="1098">
        <v>25920</v>
      </c>
      <c r="X321" s="1106">
        <f t="shared" si="111"/>
        <v>-799.35254629629628</v>
      </c>
      <c r="Y321" s="1106">
        <f t="shared" si="112"/>
        <v>-799.35254629629628</v>
      </c>
      <c r="Z321" s="1106">
        <f t="shared" si="113"/>
        <v>-187.70999228395061</v>
      </c>
      <c r="AA321" s="1106">
        <f t="shared" si="114"/>
        <v>-611.64255401234573</v>
      </c>
    </row>
    <row r="322" spans="1:29" hidden="1" x14ac:dyDescent="0.35">
      <c r="A322" s="179">
        <v>6</v>
      </c>
      <c r="C322" s="82" t="s">
        <v>888</v>
      </c>
      <c r="D322" s="83" t="s">
        <v>889</v>
      </c>
      <c r="E322" s="892" t="s">
        <v>404</v>
      </c>
      <c r="F322" s="82" t="s">
        <v>911</v>
      </c>
      <c r="G322" s="82" t="s">
        <v>912</v>
      </c>
      <c r="H322" s="257" t="str">
        <f>IFERROR(VLOOKUP(F322,'Quy đổi'!A:C,3,0),"-")</f>
        <v>-</v>
      </c>
      <c r="I322" s="1098">
        <v>0</v>
      </c>
      <c r="K322" s="1098">
        <v>12000000</v>
      </c>
      <c r="O322" s="1097">
        <f t="shared" si="104"/>
        <v>12000000</v>
      </c>
      <c r="P322" s="1101" t="e">
        <f t="shared" si="116"/>
        <v>#DIV/0!</v>
      </c>
      <c r="Q322" s="1101" t="e">
        <f t="shared" si="117"/>
        <v>#DIV/0!</v>
      </c>
      <c r="R322" s="1099">
        <v>0</v>
      </c>
      <c r="S322" s="1101" t="e">
        <f t="shared" si="118"/>
        <v>#DIV/0!</v>
      </c>
      <c r="T322" s="1101" t="e">
        <f t="shared" si="119"/>
        <v>#DIV/0!</v>
      </c>
      <c r="U322" s="1101">
        <f t="shared" si="120"/>
        <v>12000000</v>
      </c>
      <c r="V322" s="1103">
        <f t="shared" si="121"/>
        <v>1</v>
      </c>
      <c r="W322" s="1098">
        <v>25920</v>
      </c>
      <c r="X322" s="1106">
        <f t="shared" si="111"/>
        <v>462.96296296296299</v>
      </c>
      <c r="Y322" s="1106">
        <f t="shared" si="112"/>
        <v>462.96296296296299</v>
      </c>
      <c r="Z322" s="1106">
        <f t="shared" si="113"/>
        <v>462.96296296296299</v>
      </c>
      <c r="AA322" s="1106">
        <f t="shared" si="114"/>
        <v>0</v>
      </c>
    </row>
    <row r="323" spans="1:29" hidden="1" x14ac:dyDescent="0.35">
      <c r="A323" s="179">
        <v>6</v>
      </c>
      <c r="C323" s="82" t="s">
        <v>890</v>
      </c>
      <c r="D323" s="83" t="s">
        <v>891</v>
      </c>
      <c r="E323" s="892" t="s">
        <v>404</v>
      </c>
      <c r="F323" s="82" t="s">
        <v>911</v>
      </c>
      <c r="G323" s="82" t="s">
        <v>912</v>
      </c>
      <c r="H323" s="257" t="str">
        <f>IFERROR(VLOOKUP(F323,'Quy đổi'!A:C,3,0),"-")</f>
        <v>-</v>
      </c>
      <c r="I323" s="1098">
        <v>0</v>
      </c>
      <c r="K323" s="1098">
        <v>57000000</v>
      </c>
      <c r="O323" s="1097">
        <f t="shared" si="104"/>
        <v>57000000</v>
      </c>
      <c r="P323" s="1101" t="e">
        <f t="shared" si="116"/>
        <v>#DIV/0!</v>
      </c>
      <c r="Q323" s="1101" t="e">
        <f t="shared" si="117"/>
        <v>#DIV/0!</v>
      </c>
      <c r="R323" s="1099">
        <v>0</v>
      </c>
      <c r="S323" s="1101" t="e">
        <f t="shared" si="118"/>
        <v>#DIV/0!</v>
      </c>
      <c r="T323" s="1101" t="e">
        <f t="shared" si="119"/>
        <v>#DIV/0!</v>
      </c>
      <c r="U323" s="1101">
        <f t="shared" si="120"/>
        <v>57000000</v>
      </c>
      <c r="V323" s="1103">
        <f t="shared" si="121"/>
        <v>1</v>
      </c>
      <c r="W323" s="1098">
        <v>25920</v>
      </c>
      <c r="X323" s="1106">
        <f t="shared" si="111"/>
        <v>2199.0740740740739</v>
      </c>
      <c r="Y323" s="1106">
        <f t="shared" si="112"/>
        <v>2199.0740740740739</v>
      </c>
      <c r="Z323" s="1106">
        <f t="shared" si="113"/>
        <v>2199.0740740740739</v>
      </c>
      <c r="AA323" s="1106">
        <f t="shared" si="114"/>
        <v>0</v>
      </c>
    </row>
    <row r="324" spans="1:29" hidden="1" x14ac:dyDescent="0.35">
      <c r="A324" s="179">
        <v>6</v>
      </c>
      <c r="B324" s="880" t="s">
        <v>22</v>
      </c>
      <c r="C324" s="82" t="s">
        <v>30</v>
      </c>
      <c r="D324" s="83" t="s">
        <v>29</v>
      </c>
      <c r="E324" s="892" t="str">
        <f>VLOOKUP(F324,'Quy đổi'!A:D,4,0)</f>
        <v>rHDPE thổi</v>
      </c>
      <c r="F324" s="82" t="s">
        <v>84</v>
      </c>
      <c r="G324" s="82" t="s">
        <v>83</v>
      </c>
      <c r="H324" s="257" t="str">
        <f>IFERROR(VLOOKUP(F324,'Quy đổi'!A:C,3,0),"-")</f>
        <v>HCBF-Whi-U</v>
      </c>
      <c r="I324" s="1098">
        <v>5500</v>
      </c>
      <c r="K324" s="1098">
        <v>183397500</v>
      </c>
      <c r="O324" s="1097">
        <f t="shared" si="104"/>
        <v>183397500</v>
      </c>
      <c r="P324" s="1101">
        <f t="shared" si="116"/>
        <v>33345</v>
      </c>
      <c r="Q324" s="1101">
        <f t="shared" si="117"/>
        <v>1286.4583333333333</v>
      </c>
      <c r="R324" s="1099">
        <v>133161846</v>
      </c>
      <c r="S324" s="1101">
        <f t="shared" si="118"/>
        <v>24211.244727272726</v>
      </c>
      <c r="T324" s="1101">
        <f t="shared" si="119"/>
        <v>988.21407050092762</v>
      </c>
      <c r="U324" s="1101">
        <f t="shared" si="120"/>
        <v>50235654</v>
      </c>
      <c r="V324" s="1103">
        <f t="shared" si="121"/>
        <v>0.27391678730626101</v>
      </c>
      <c r="W324" s="1098">
        <v>25920</v>
      </c>
      <c r="X324" s="1106">
        <f t="shared" si="111"/>
        <v>7075.520833333333</v>
      </c>
      <c r="Y324" s="1106">
        <f t="shared" si="112"/>
        <v>7075.520833333333</v>
      </c>
      <c r="Z324" s="1106">
        <f t="shared" si="113"/>
        <v>1938.1039351851853</v>
      </c>
      <c r="AA324" s="1106">
        <f t="shared" si="114"/>
        <v>5137.416898148148</v>
      </c>
    </row>
    <row r="325" spans="1:29" hidden="1" x14ac:dyDescent="0.35">
      <c r="A325" s="179">
        <v>6</v>
      </c>
      <c r="B325" s="880" t="s">
        <v>22</v>
      </c>
      <c r="C325" s="82" t="s">
        <v>30</v>
      </c>
      <c r="D325" s="83" t="s">
        <v>29</v>
      </c>
      <c r="E325" s="892" t="str">
        <f>VLOOKUP(F325,'Quy đổi'!A:D,4,0)</f>
        <v>rHDPE thổi</v>
      </c>
      <c r="F325" s="82" t="s">
        <v>647</v>
      </c>
      <c r="G325" s="82" t="s">
        <v>648</v>
      </c>
      <c r="H325" s="257" t="str">
        <f>IFERROR(VLOOKUP(F325,'Quy đổi'!A:C,3,0),"-")</f>
        <v>rHDA03W01</v>
      </c>
      <c r="I325" s="1098">
        <v>350</v>
      </c>
      <c r="K325" s="1098">
        <v>11985649</v>
      </c>
      <c r="O325" s="1097">
        <f t="shared" si="104"/>
        <v>11985649</v>
      </c>
      <c r="P325" s="1101">
        <f t="shared" si="116"/>
        <v>34244.711428571427</v>
      </c>
      <c r="Q325" s="1101">
        <f t="shared" si="117"/>
        <v>1321.1694223985889</v>
      </c>
      <c r="R325" s="1099">
        <v>10659932</v>
      </c>
      <c r="S325" s="1101">
        <f t="shared" si="118"/>
        <v>30456.948571428573</v>
      </c>
      <c r="T325" s="1101">
        <f t="shared" si="119"/>
        <v>1243.1407580174928</v>
      </c>
      <c r="U325" s="1101">
        <f t="shared" si="120"/>
        <v>1325717</v>
      </c>
      <c r="V325" s="1103">
        <f t="shared" si="121"/>
        <v>0.11060869544903242</v>
      </c>
      <c r="W325" s="1098">
        <v>25920</v>
      </c>
      <c r="X325" s="1106">
        <f t="shared" si="111"/>
        <v>462.40929783950617</v>
      </c>
      <c r="Y325" s="1106">
        <f t="shared" si="112"/>
        <v>462.40929783950617</v>
      </c>
      <c r="Z325" s="1106">
        <f t="shared" si="113"/>
        <v>51.146489197530862</v>
      </c>
      <c r="AA325" s="1106">
        <f t="shared" si="114"/>
        <v>411.26280864197531</v>
      </c>
    </row>
    <row r="326" spans="1:29" hidden="1" x14ac:dyDescent="0.35">
      <c r="A326" s="179">
        <v>6</v>
      </c>
      <c r="B326" s="880" t="s">
        <v>22</v>
      </c>
      <c r="C326" s="82" t="s">
        <v>30</v>
      </c>
      <c r="D326" s="83" t="s">
        <v>29</v>
      </c>
      <c r="E326" s="892" t="str">
        <f>VLOOKUP(F326,'Quy đổi'!A:D,4,0)</f>
        <v>rHDPE ép</v>
      </c>
      <c r="F326" s="82" t="s">
        <v>216</v>
      </c>
      <c r="G326" s="82" t="s">
        <v>217</v>
      </c>
      <c r="H326" s="257" t="str">
        <f>IFERROR(VLOOKUP(F326,'Quy đổi'!A:C,3,0),"-")</f>
        <v>rHDI3Gy01</v>
      </c>
      <c r="I326" s="1098">
        <v>1375</v>
      </c>
      <c r="K326" s="1098">
        <v>27500000</v>
      </c>
      <c r="O326" s="1097">
        <f t="shared" ref="O326:O389" si="122">K326-SUM(L326:N326)</f>
        <v>27500000</v>
      </c>
      <c r="P326" s="1101">
        <f t="shared" si="116"/>
        <v>20000</v>
      </c>
      <c r="Q326" s="1101">
        <f t="shared" si="117"/>
        <v>771.60493827160496</v>
      </c>
      <c r="R326" s="1099">
        <v>25629713</v>
      </c>
      <c r="S326" s="1101">
        <f t="shared" si="118"/>
        <v>18639.791272727274</v>
      </c>
      <c r="T326" s="1101">
        <f t="shared" si="119"/>
        <v>760.80780705009283</v>
      </c>
      <c r="U326" s="1101">
        <f t="shared" si="120"/>
        <v>1870287</v>
      </c>
      <c r="V326" s="1103">
        <f t="shared" si="121"/>
        <v>6.8010436363636365E-2</v>
      </c>
      <c r="W326" s="1098">
        <v>25920</v>
      </c>
      <c r="X326" s="1106">
        <f t="shared" si="111"/>
        <v>1060.9567901234568</v>
      </c>
      <c r="Y326" s="1106">
        <f t="shared" si="112"/>
        <v>1060.9567901234568</v>
      </c>
      <c r="Z326" s="1106">
        <f t="shared" si="113"/>
        <v>72.156134259259261</v>
      </c>
      <c r="AA326" s="1106">
        <f t="shared" si="114"/>
        <v>988.80065586419755</v>
      </c>
    </row>
    <row r="327" spans="1:29" hidden="1" x14ac:dyDescent="0.35">
      <c r="A327" s="179">
        <v>6</v>
      </c>
      <c r="B327" s="880" t="s">
        <v>22</v>
      </c>
      <c r="C327" s="82" t="s">
        <v>30</v>
      </c>
      <c r="D327" s="83" t="s">
        <v>29</v>
      </c>
      <c r="E327" s="892" t="str">
        <f>VLOOKUP(F327,'Quy đổi'!A:D,4,0)</f>
        <v>rHDPE ép</v>
      </c>
      <c r="F327" s="82" t="s">
        <v>208</v>
      </c>
      <c r="G327" s="82" t="s">
        <v>209</v>
      </c>
      <c r="H327" s="257" t="str">
        <f>IFERROR(VLOOKUP(F327,'Quy đổi'!A:C,3,0),"-")</f>
        <v>rHDI4L01</v>
      </c>
      <c r="I327" s="1098">
        <v>16500</v>
      </c>
      <c r="K327" s="1098">
        <v>330000000</v>
      </c>
      <c r="O327" s="1097">
        <f t="shared" si="122"/>
        <v>330000000</v>
      </c>
      <c r="P327" s="1101">
        <f t="shared" si="116"/>
        <v>20000</v>
      </c>
      <c r="Q327" s="1101">
        <f t="shared" si="117"/>
        <v>771.60493827160496</v>
      </c>
      <c r="R327" s="1099">
        <v>478100145</v>
      </c>
      <c r="S327" s="1101">
        <f t="shared" si="118"/>
        <v>28975.766363636365</v>
      </c>
      <c r="T327" s="1101">
        <f t="shared" si="119"/>
        <v>1182.684341372913</v>
      </c>
      <c r="U327" s="1101">
        <f t="shared" si="120"/>
        <v>-148100145</v>
      </c>
      <c r="V327" s="1103">
        <f t="shared" si="121"/>
        <v>-0.44878831818181819</v>
      </c>
      <c r="W327" s="1098">
        <v>25920</v>
      </c>
      <c r="X327" s="1106">
        <f t="shared" si="111"/>
        <v>12731.481481481482</v>
      </c>
      <c r="Y327" s="1106">
        <f t="shared" si="112"/>
        <v>12731.481481481482</v>
      </c>
      <c r="Z327" s="1106">
        <f t="shared" si="113"/>
        <v>-5713.7401620370374</v>
      </c>
      <c r="AA327" s="1106">
        <f t="shared" si="114"/>
        <v>18445.221643518518</v>
      </c>
    </row>
    <row r="328" spans="1:29" hidden="1" x14ac:dyDescent="0.35">
      <c r="A328" s="179">
        <v>6</v>
      </c>
      <c r="B328" s="880" t="s">
        <v>22</v>
      </c>
      <c r="C328" s="82" t="s">
        <v>30</v>
      </c>
      <c r="D328" s="83" t="s">
        <v>29</v>
      </c>
      <c r="E328" s="892" t="str">
        <f>VLOOKUP(F328,'Quy đổi'!A:D,4,0)</f>
        <v>rPET</v>
      </c>
      <c r="F328" s="82" t="s">
        <v>110</v>
      </c>
      <c r="G328" s="82" t="s">
        <v>109</v>
      </c>
      <c r="H328" s="257" t="str">
        <f>IFERROR(VLOOKUP(F328,'Quy đổi'!A:C,3,0),"-")</f>
        <v>WSS01G</v>
      </c>
      <c r="I328" s="1098">
        <v>22000</v>
      </c>
      <c r="K328" s="1098">
        <v>719675000</v>
      </c>
      <c r="O328" s="1097">
        <f t="shared" si="122"/>
        <v>719675000</v>
      </c>
      <c r="P328" s="1101">
        <f t="shared" si="116"/>
        <v>32712.5</v>
      </c>
      <c r="Q328" s="1101">
        <f t="shared" si="117"/>
        <v>1262.0563271604938</v>
      </c>
      <c r="R328" s="1099">
        <v>615214786</v>
      </c>
      <c r="S328" s="1101">
        <f t="shared" si="118"/>
        <v>27964.308454545455</v>
      </c>
      <c r="T328" s="1101">
        <f t="shared" si="119"/>
        <v>1141.400345083488</v>
      </c>
      <c r="U328" s="1101">
        <f t="shared" si="120"/>
        <v>104460214</v>
      </c>
      <c r="V328" s="1103">
        <f t="shared" si="121"/>
        <v>0.14514914926876715</v>
      </c>
      <c r="W328" s="1098">
        <v>25920</v>
      </c>
      <c r="X328" s="1106">
        <f t="shared" si="111"/>
        <v>27765.239197530864</v>
      </c>
      <c r="Y328" s="1106">
        <f t="shared" si="112"/>
        <v>27765.239197530864</v>
      </c>
      <c r="Z328" s="1106">
        <f t="shared" si="113"/>
        <v>4030.1008487654321</v>
      </c>
      <c r="AA328" s="1106">
        <f t="shared" si="114"/>
        <v>23735.138348765431</v>
      </c>
    </row>
    <row r="329" spans="1:29" hidden="1" x14ac:dyDescent="0.35">
      <c r="A329" s="179">
        <v>6</v>
      </c>
      <c r="B329" s="880" t="s">
        <v>26</v>
      </c>
      <c r="C329" s="82" t="s">
        <v>179</v>
      </c>
      <c r="D329" s="83" t="s">
        <v>892</v>
      </c>
      <c r="E329" s="892" t="str">
        <f>VLOOKUP(F329,'Quy đổi'!A:D,4,0)</f>
        <v>rPET</v>
      </c>
      <c r="F329" s="82" t="s">
        <v>102</v>
      </c>
      <c r="G329" s="82" t="s">
        <v>101</v>
      </c>
      <c r="H329" s="257" t="str">
        <f>IFERROR(VLOOKUP(F329,'Quy đổi'!A:C,3,0),"-")</f>
        <v>WSS03G</v>
      </c>
      <c r="I329" s="1098">
        <v>220000</v>
      </c>
      <c r="K329" s="1098">
        <v>6051540000</v>
      </c>
      <c r="L329" s="1104">
        <v>90017315</v>
      </c>
      <c r="O329" s="1097">
        <f t="shared" si="122"/>
        <v>5961522685</v>
      </c>
      <c r="P329" s="1101">
        <f t="shared" si="116"/>
        <v>27097.830386363636</v>
      </c>
      <c r="Q329" s="1101">
        <f t="shared" si="117"/>
        <v>1045.4409871282267</v>
      </c>
      <c r="R329" s="1099">
        <v>5476350670</v>
      </c>
      <c r="S329" s="1101">
        <f t="shared" si="118"/>
        <v>24892.503045454545</v>
      </c>
      <c r="T329" s="1101">
        <f t="shared" si="119"/>
        <v>1016.0205324675325</v>
      </c>
      <c r="U329" s="1101">
        <f t="shared" si="120"/>
        <v>485172015</v>
      </c>
      <c r="V329" s="1103">
        <f t="shared" si="121"/>
        <v>8.0173313735016211E-2</v>
      </c>
      <c r="W329" s="1098">
        <v>25920</v>
      </c>
      <c r="X329" s="1106">
        <f t="shared" si="111"/>
        <v>229997.01716820989</v>
      </c>
      <c r="Y329" s="1106">
        <f t="shared" si="112"/>
        <v>233469.90740740742</v>
      </c>
      <c r="Z329" s="1106">
        <f t="shared" si="113"/>
        <v>18718.056134259259</v>
      </c>
      <c r="AA329" s="1106">
        <f t="shared" si="114"/>
        <v>211278.96103395062</v>
      </c>
    </row>
    <row r="330" spans="1:29" hidden="1" x14ac:dyDescent="0.35">
      <c r="A330" s="179">
        <v>6</v>
      </c>
      <c r="B330" s="880" t="s">
        <v>22</v>
      </c>
      <c r="C330" s="82" t="s">
        <v>77</v>
      </c>
      <c r="D330" s="83" t="s">
        <v>76</v>
      </c>
      <c r="E330" s="892" t="str">
        <f>VLOOKUP(F330,'Quy đổi'!A:D,4,0)</f>
        <v>rHDPE thổi</v>
      </c>
      <c r="F330" s="82" t="s">
        <v>69</v>
      </c>
      <c r="G330" s="82" t="s">
        <v>68</v>
      </c>
      <c r="H330" s="257" t="str">
        <f>IFERROR(VLOOKUP(F330,'Quy đổi'!A:C,3,0),"-")</f>
        <v>MBF01</v>
      </c>
      <c r="I330" s="1098">
        <v>24750</v>
      </c>
      <c r="K330" s="1098">
        <v>877041000</v>
      </c>
      <c r="L330" s="1056">
        <v>17685185.185185183</v>
      </c>
      <c r="O330" s="1097">
        <f t="shared" si="122"/>
        <v>859355814.81481481</v>
      </c>
      <c r="P330" s="1101">
        <f t="shared" si="116"/>
        <v>34721.447063224841</v>
      </c>
      <c r="Q330" s="1101">
        <f t="shared" si="117"/>
        <v>1339.56200089602</v>
      </c>
      <c r="R330" s="1099">
        <v>677465276</v>
      </c>
      <c r="S330" s="1101">
        <f t="shared" si="118"/>
        <v>27372.334383838384</v>
      </c>
      <c r="T330" s="1101">
        <f t="shared" si="119"/>
        <v>1117.2381381158525</v>
      </c>
      <c r="U330" s="1101">
        <f t="shared" si="120"/>
        <v>181890538.81481481</v>
      </c>
      <c r="V330" s="1103">
        <f t="shared" si="121"/>
        <v>0.20739114683899021</v>
      </c>
      <c r="W330" s="1098">
        <v>25920</v>
      </c>
      <c r="X330" s="1106">
        <f t="shared" si="111"/>
        <v>33154.159522176495</v>
      </c>
      <c r="Y330" s="1106">
        <f t="shared" si="112"/>
        <v>33836.458333333336</v>
      </c>
      <c r="Z330" s="1106">
        <f t="shared" si="113"/>
        <v>7017.3818987197074</v>
      </c>
      <c r="AA330" s="1106">
        <f t="shared" si="114"/>
        <v>26136.77762345679</v>
      </c>
    </row>
    <row r="331" spans="1:29" hidden="1" x14ac:dyDescent="0.35">
      <c r="A331" s="179">
        <v>6</v>
      </c>
      <c r="B331" s="880" t="s">
        <v>22</v>
      </c>
      <c r="C331" s="82" t="s">
        <v>511</v>
      </c>
      <c r="D331" s="83" t="s">
        <v>512</v>
      </c>
      <c r="E331" s="892" t="str">
        <f>VLOOKUP(F331,'Quy đổi'!A:D,4,0)</f>
        <v>Xơ sợi</v>
      </c>
      <c r="F331" s="82" t="s">
        <v>87</v>
      </c>
      <c r="G331" s="82" t="s">
        <v>86</v>
      </c>
      <c r="H331" s="257" t="str">
        <f>IFERROR(VLOOKUP(F331,'Quy đổi'!A:C,3,0),"-")</f>
        <v>WSS05SB</v>
      </c>
      <c r="I331" s="1098">
        <v>5500</v>
      </c>
      <c r="K331" s="1098">
        <v>90750000</v>
      </c>
      <c r="O331" s="1097">
        <f t="shared" si="122"/>
        <v>90750000</v>
      </c>
      <c r="P331" s="1101">
        <f t="shared" si="116"/>
        <v>16500</v>
      </c>
      <c r="Q331" s="1101">
        <f t="shared" si="117"/>
        <v>636.57407407407402</v>
      </c>
      <c r="R331" s="1099">
        <v>136405209</v>
      </c>
      <c r="S331" s="1101">
        <f t="shared" si="118"/>
        <v>24800.947090909092</v>
      </c>
      <c r="T331" s="1101">
        <f t="shared" si="119"/>
        <v>1012.2835547309834</v>
      </c>
      <c r="U331" s="1101">
        <f t="shared" si="120"/>
        <v>-45655209</v>
      </c>
      <c r="V331" s="1103">
        <f t="shared" si="121"/>
        <v>-0.50308770247933887</v>
      </c>
      <c r="W331" s="1098">
        <v>25920</v>
      </c>
      <c r="X331" s="1106">
        <f t="shared" si="111"/>
        <v>3501.1574074074074</v>
      </c>
      <c r="Y331" s="1106">
        <f t="shared" si="112"/>
        <v>3501.1574074074074</v>
      </c>
      <c r="Z331" s="1106">
        <f t="shared" si="113"/>
        <v>-1761.3892361111111</v>
      </c>
      <c r="AA331" s="1106">
        <f t="shared" si="114"/>
        <v>5262.5466435185181</v>
      </c>
    </row>
    <row r="332" spans="1:29" hidden="1" x14ac:dyDescent="0.35">
      <c r="A332" s="179">
        <v>6</v>
      </c>
      <c r="B332" s="880" t="s">
        <v>22</v>
      </c>
      <c r="C332" s="82" t="s">
        <v>21</v>
      </c>
      <c r="D332" s="83" t="s">
        <v>20</v>
      </c>
      <c r="E332" s="892" t="str">
        <f>VLOOKUP(F332,'Quy đổi'!A:D,4,0)</f>
        <v>rHDPE ép</v>
      </c>
      <c r="F332" s="82" t="s">
        <v>210</v>
      </c>
      <c r="G332" s="82" t="s">
        <v>211</v>
      </c>
      <c r="H332" s="257" t="str">
        <f>IFERROR(VLOOKUP(F332,'Quy đổi'!A:C,3,0),"-")</f>
        <v>rHDI3Y01</v>
      </c>
      <c r="I332" s="1098">
        <v>5500</v>
      </c>
      <c r="K332" s="1098">
        <v>99305556</v>
      </c>
      <c r="O332" s="1097">
        <f t="shared" si="122"/>
        <v>99305556</v>
      </c>
      <c r="P332" s="1101">
        <f t="shared" si="116"/>
        <v>18055.555636363635</v>
      </c>
      <c r="Q332" s="1101">
        <f t="shared" si="117"/>
        <v>696.58779461279448</v>
      </c>
      <c r="R332" s="1099">
        <v>188912262</v>
      </c>
      <c r="S332" s="1101">
        <f t="shared" si="118"/>
        <v>34347.684000000001</v>
      </c>
      <c r="T332" s="1101">
        <f t="shared" si="119"/>
        <v>1401.9462857142858</v>
      </c>
      <c r="U332" s="1101">
        <f t="shared" si="120"/>
        <v>-89606706</v>
      </c>
      <c r="V332" s="1103">
        <f t="shared" si="121"/>
        <v>-0.9023332591783686</v>
      </c>
      <c r="W332" s="1098">
        <v>25920</v>
      </c>
      <c r="X332" s="1106">
        <f t="shared" si="111"/>
        <v>3831.2328703703702</v>
      </c>
      <c r="Y332" s="1106">
        <f t="shared" si="112"/>
        <v>3831.2328703703702</v>
      </c>
      <c r="Z332" s="1106">
        <f t="shared" si="113"/>
        <v>-3457.0488425925928</v>
      </c>
      <c r="AA332" s="1106">
        <f t="shared" si="114"/>
        <v>7288.281712962963</v>
      </c>
    </row>
    <row r="333" spans="1:29" hidden="1" x14ac:dyDescent="0.35">
      <c r="A333" s="179">
        <v>6</v>
      </c>
      <c r="B333" s="880" t="s">
        <v>22</v>
      </c>
      <c r="C333" s="82" t="s">
        <v>21</v>
      </c>
      <c r="D333" s="83" t="s">
        <v>20</v>
      </c>
      <c r="E333" s="892" t="str">
        <f>VLOOKUP(F333,'Quy đổi'!A:D,4,0)</f>
        <v>rHDPE ép</v>
      </c>
      <c r="F333" s="82" t="s">
        <v>37</v>
      </c>
      <c r="G333" s="82" t="s">
        <v>36</v>
      </c>
      <c r="H333" s="257" t="str">
        <f>IFERROR(VLOOKUP(F333,'Quy đổi'!A:C,3,0),"-")</f>
        <v>Vảy HD Ép Đỏ</v>
      </c>
      <c r="I333" s="1098">
        <v>4500</v>
      </c>
      <c r="K333" s="1098">
        <v>75000000</v>
      </c>
      <c r="O333" s="1097">
        <f t="shared" si="122"/>
        <v>75000000</v>
      </c>
      <c r="P333" s="1101">
        <f t="shared" si="116"/>
        <v>16666.666666666668</v>
      </c>
      <c r="Q333" s="1101">
        <f t="shared" si="117"/>
        <v>643.00411522633749</v>
      </c>
      <c r="R333" s="1099">
        <v>109952124</v>
      </c>
      <c r="S333" s="1101">
        <f t="shared" si="118"/>
        <v>24433.805333333334</v>
      </c>
      <c r="T333" s="1101">
        <f t="shared" si="119"/>
        <v>997.29817687074831</v>
      </c>
      <c r="U333" s="1101">
        <f t="shared" si="120"/>
        <v>-34952124</v>
      </c>
      <c r="V333" s="1103">
        <f t="shared" si="121"/>
        <v>-0.46602832</v>
      </c>
      <c r="W333" s="1098">
        <v>25920</v>
      </c>
      <c r="X333" s="1106">
        <f t="shared" si="111"/>
        <v>2893.5185185185187</v>
      </c>
      <c r="Y333" s="1106">
        <f t="shared" si="112"/>
        <v>2893.5185185185187</v>
      </c>
      <c r="Z333" s="1106">
        <f t="shared" si="113"/>
        <v>-1348.4615740740742</v>
      </c>
      <c r="AA333" s="1106">
        <f t="shared" si="114"/>
        <v>4241.9800925925929</v>
      </c>
    </row>
    <row r="334" spans="1:29" hidden="1" x14ac:dyDescent="0.35">
      <c r="A334" s="179">
        <v>6</v>
      </c>
      <c r="B334" s="880" t="s">
        <v>26</v>
      </c>
      <c r="C334" s="82" t="s">
        <v>893</v>
      </c>
      <c r="D334" s="83" t="s">
        <v>894</v>
      </c>
      <c r="E334" s="892" t="str">
        <f>VLOOKUP(F334,'Quy đổi'!A:D,4,0)</f>
        <v>rPET</v>
      </c>
      <c r="F334" s="82" t="s">
        <v>127</v>
      </c>
      <c r="G334" s="82" t="s">
        <v>114</v>
      </c>
      <c r="H334" s="257" t="str">
        <f>IFERROR(VLOOKUP(F334,'Quy đổi'!A:C,3,0),"-")</f>
        <v>iSS01084G</v>
      </c>
      <c r="I334" s="1098">
        <v>22000</v>
      </c>
      <c r="K334" s="1098">
        <v>847946880</v>
      </c>
      <c r="L334" s="1104">
        <v>92728655</v>
      </c>
      <c r="O334" s="1097">
        <f t="shared" si="122"/>
        <v>755218225</v>
      </c>
      <c r="P334" s="1101">
        <f t="shared" si="116"/>
        <v>34328.101136363635</v>
      </c>
      <c r="Q334" s="1101">
        <f t="shared" si="117"/>
        <v>1324.3866179152637</v>
      </c>
      <c r="R334" s="1099">
        <v>615753460</v>
      </c>
      <c r="S334" s="1101">
        <f t="shared" si="118"/>
        <v>27988.793636363636</v>
      </c>
      <c r="T334" s="1101">
        <f t="shared" si="119"/>
        <v>1142.3997402597402</v>
      </c>
      <c r="U334" s="1101">
        <f t="shared" si="120"/>
        <v>139464765</v>
      </c>
      <c r="V334" s="1103">
        <f t="shared" si="121"/>
        <v>0.16447346913995367</v>
      </c>
      <c r="W334" s="1098">
        <v>25920</v>
      </c>
      <c r="X334" s="1106">
        <f t="shared" si="111"/>
        <v>29136.505594135804</v>
      </c>
      <c r="Y334" s="1106">
        <f t="shared" si="112"/>
        <v>32714</v>
      </c>
      <c r="Z334" s="1106">
        <f t="shared" si="113"/>
        <v>5380.5850694444443</v>
      </c>
      <c r="AA334" s="1106">
        <f t="shared" si="114"/>
        <v>23755.920524691359</v>
      </c>
      <c r="AC334" s="1098">
        <f t="shared" ref="AC334" si="123">X334/I334*1000</f>
        <v>1324.386617915264</v>
      </c>
    </row>
    <row r="335" spans="1:29" hidden="1" x14ac:dyDescent="0.35">
      <c r="A335" s="179">
        <v>6</v>
      </c>
      <c r="C335" s="82" t="s">
        <v>635</v>
      </c>
      <c r="D335" s="83" t="s">
        <v>636</v>
      </c>
      <c r="E335" s="892" t="str">
        <f>VLOOKUP(F335,'Quy đổi'!A:D,4,0)</f>
        <v>Dây đai</v>
      </c>
      <c r="F335" s="82" t="s">
        <v>649</v>
      </c>
      <c r="G335" s="82" t="s">
        <v>650</v>
      </c>
      <c r="H335" s="257">
        <f>IFERROR(VLOOKUP(F335,'Quy đổi'!A:C,3,0),"-")</f>
        <v>0</v>
      </c>
      <c r="I335" s="1098">
        <v>100000</v>
      </c>
      <c r="K335" s="1098">
        <v>1780000000</v>
      </c>
      <c r="M335" s="1056">
        <v>128000000</v>
      </c>
      <c r="O335" s="1097">
        <f t="shared" si="122"/>
        <v>1652000000</v>
      </c>
      <c r="P335" s="1101">
        <f t="shared" si="116"/>
        <v>16520</v>
      </c>
      <c r="Q335" s="1101">
        <f t="shared" si="117"/>
        <v>637.34567901234573</v>
      </c>
      <c r="R335" s="1099">
        <v>2375906624</v>
      </c>
      <c r="S335" s="1101">
        <f t="shared" si="118"/>
        <v>23759.06624</v>
      </c>
      <c r="T335" s="1101">
        <f t="shared" si="119"/>
        <v>969.75780571428572</v>
      </c>
      <c r="U335" s="1101">
        <f t="shared" si="120"/>
        <v>-723906624</v>
      </c>
      <c r="V335" s="1103">
        <f t="shared" si="121"/>
        <v>-0.40668911460674156</v>
      </c>
      <c r="W335" s="1098">
        <v>25920</v>
      </c>
      <c r="X335" s="1106">
        <f t="shared" si="111"/>
        <v>63734.567901234564</v>
      </c>
      <c r="Y335" s="1106">
        <f t="shared" si="112"/>
        <v>68672.839506172837</v>
      </c>
      <c r="Z335" s="1106">
        <f t="shared" si="113"/>
        <v>-27928.496296296296</v>
      </c>
      <c r="AA335" s="1106">
        <f t="shared" si="114"/>
        <v>91663.064197530868</v>
      </c>
    </row>
    <row r="336" spans="1:29" hidden="1" x14ac:dyDescent="0.35">
      <c r="A336" s="179">
        <v>6</v>
      </c>
      <c r="C336" s="82" t="s">
        <v>353</v>
      </c>
      <c r="D336" s="83" t="s">
        <v>354</v>
      </c>
      <c r="E336" s="892" t="str">
        <f>VLOOKUP(F336,'Quy đổi'!A:D,4,0)</f>
        <v>Phó sản</v>
      </c>
      <c r="F336" s="82" t="s">
        <v>355</v>
      </c>
      <c r="G336" s="82" t="s">
        <v>913</v>
      </c>
      <c r="H336" s="257">
        <f>IFERROR(VLOOKUP(F336,'Quy đổi'!A:C,3,0),"-")</f>
        <v>0</v>
      </c>
      <c r="I336" s="1098">
        <v>3432</v>
      </c>
      <c r="K336" s="1098">
        <v>17160000</v>
      </c>
      <c r="O336" s="1097">
        <f t="shared" si="122"/>
        <v>17160000</v>
      </c>
      <c r="P336" s="1101">
        <f t="shared" si="116"/>
        <v>5000</v>
      </c>
      <c r="Q336" s="1101">
        <f t="shared" si="117"/>
        <v>192.90123456790124</v>
      </c>
      <c r="R336" s="1099">
        <v>43241607</v>
      </c>
      <c r="S336" s="1101">
        <f t="shared" si="118"/>
        <v>12599.535839160839</v>
      </c>
      <c r="T336" s="1101">
        <f t="shared" si="119"/>
        <v>514.26676894534035</v>
      </c>
      <c r="U336" s="1101">
        <f t="shared" si="120"/>
        <v>-26081607</v>
      </c>
      <c r="V336" s="1103">
        <f t="shared" si="121"/>
        <v>-1.5199071678321678</v>
      </c>
      <c r="W336" s="1098">
        <v>25920</v>
      </c>
      <c r="X336" s="1106">
        <f t="shared" si="111"/>
        <v>662.03703703703707</v>
      </c>
      <c r="Y336" s="1106">
        <f t="shared" si="112"/>
        <v>662.03703703703707</v>
      </c>
      <c r="Z336" s="1106">
        <f t="shared" si="113"/>
        <v>-1006.234837962963</v>
      </c>
      <c r="AA336" s="1106">
        <f t="shared" si="114"/>
        <v>1668.2718749999999</v>
      </c>
    </row>
    <row r="337" spans="1:29" hidden="1" x14ac:dyDescent="0.35">
      <c r="A337" s="179">
        <v>6</v>
      </c>
      <c r="C337" s="82" t="s">
        <v>353</v>
      </c>
      <c r="D337" s="83" t="s">
        <v>354</v>
      </c>
      <c r="E337" s="892" t="str">
        <f>VLOOKUP(F337,'Quy đổi'!A:D,4,0)</f>
        <v>Phó sản</v>
      </c>
      <c r="F337" s="82" t="s">
        <v>357</v>
      </c>
      <c r="G337" s="82" t="s">
        <v>914</v>
      </c>
      <c r="H337" s="257">
        <f>IFERROR(VLOOKUP(F337,'Quy đổi'!A:C,3,0),"-")</f>
        <v>0</v>
      </c>
      <c r="I337" s="1098">
        <v>11476</v>
      </c>
      <c r="K337" s="1098">
        <v>57380000</v>
      </c>
      <c r="O337" s="1097">
        <f t="shared" si="122"/>
        <v>57380000</v>
      </c>
      <c r="P337" s="1101">
        <f t="shared" si="116"/>
        <v>5000</v>
      </c>
      <c r="Q337" s="1101">
        <f t="shared" si="117"/>
        <v>192.90123456790124</v>
      </c>
      <c r="R337" s="1099">
        <v>144584441</v>
      </c>
      <c r="S337" s="1101">
        <f t="shared" si="118"/>
        <v>12598.853346113629</v>
      </c>
      <c r="T337" s="1101">
        <f t="shared" si="119"/>
        <v>514.2389120862706</v>
      </c>
      <c r="U337" s="1101">
        <f t="shared" si="120"/>
        <v>-87204441</v>
      </c>
      <c r="V337" s="1103">
        <f t="shared" si="121"/>
        <v>-1.5197706692227257</v>
      </c>
      <c r="W337" s="1098">
        <v>25920</v>
      </c>
      <c r="X337" s="1106">
        <f t="shared" si="111"/>
        <v>2213.7345679012346</v>
      </c>
      <c r="Y337" s="1106">
        <f t="shared" si="112"/>
        <v>2213.7345679012346</v>
      </c>
      <c r="Z337" s="1106">
        <f t="shared" si="113"/>
        <v>-3364.3688657407406</v>
      </c>
      <c r="AA337" s="1106">
        <f t="shared" si="114"/>
        <v>5578.1034336419752</v>
      </c>
    </row>
    <row r="338" spans="1:29" hidden="1" x14ac:dyDescent="0.35">
      <c r="A338" s="179">
        <v>6</v>
      </c>
      <c r="C338" s="82" t="s">
        <v>353</v>
      </c>
      <c r="D338" s="83" t="s">
        <v>354</v>
      </c>
      <c r="E338" s="892" t="str">
        <f>VLOOKUP(F338,'Quy đổi'!A:D,4,0)</f>
        <v>Phó sản</v>
      </c>
      <c r="F338" s="82" t="s">
        <v>357</v>
      </c>
      <c r="G338" s="82" t="s">
        <v>914</v>
      </c>
      <c r="H338" s="257">
        <f>IFERROR(VLOOKUP(F338,'Quy đổi'!A:C,3,0),"-")</f>
        <v>0</v>
      </c>
      <c r="I338" s="1098">
        <v>3712</v>
      </c>
      <c r="K338" s="1098">
        <v>18560000</v>
      </c>
      <c r="O338" s="1097">
        <f t="shared" si="122"/>
        <v>18560000</v>
      </c>
      <c r="P338" s="1101">
        <f t="shared" si="116"/>
        <v>5000</v>
      </c>
      <c r="Q338" s="1101">
        <f t="shared" si="117"/>
        <v>192.90123456790124</v>
      </c>
      <c r="R338" s="1099">
        <v>46766944</v>
      </c>
      <c r="S338" s="1101">
        <f t="shared" si="118"/>
        <v>12598.853448275862</v>
      </c>
      <c r="T338" s="1101">
        <f t="shared" si="119"/>
        <v>514.23891625615761</v>
      </c>
      <c r="U338" s="1101">
        <f t="shared" si="120"/>
        <v>-28206944</v>
      </c>
      <c r="V338" s="1103">
        <f t="shared" si="121"/>
        <v>-1.5197706896551724</v>
      </c>
      <c r="W338" s="1098">
        <v>25920</v>
      </c>
      <c r="X338" s="1106">
        <f t="shared" si="111"/>
        <v>716.04938271604942</v>
      </c>
      <c r="Y338" s="1106">
        <f t="shared" si="112"/>
        <v>716.04938271604942</v>
      </c>
      <c r="Z338" s="1106">
        <f t="shared" si="113"/>
        <v>-1088.2308641975308</v>
      </c>
      <c r="AA338" s="1106">
        <f t="shared" si="114"/>
        <v>1804.2802469135802</v>
      </c>
    </row>
    <row r="339" spans="1:29" hidden="1" x14ac:dyDescent="0.35">
      <c r="A339" s="179">
        <v>6</v>
      </c>
      <c r="C339" s="82" t="s">
        <v>353</v>
      </c>
      <c r="D339" s="83" t="s">
        <v>354</v>
      </c>
      <c r="E339" s="892" t="str">
        <f>VLOOKUP(F339,'Quy đổi'!A:D,4,0)</f>
        <v>Phó sản</v>
      </c>
      <c r="F339" s="82" t="s">
        <v>358</v>
      </c>
      <c r="G339" s="82" t="s">
        <v>915</v>
      </c>
      <c r="H339" s="257">
        <f>IFERROR(VLOOKUP(F339,'Quy đổi'!A:C,3,0),"-")</f>
        <v>0</v>
      </c>
      <c r="I339" s="1098">
        <v>13978</v>
      </c>
      <c r="K339" s="1098">
        <v>69890000</v>
      </c>
      <c r="O339" s="1097">
        <f t="shared" si="122"/>
        <v>69890000</v>
      </c>
      <c r="P339" s="1101">
        <f t="shared" si="116"/>
        <v>5000</v>
      </c>
      <c r="Q339" s="1101">
        <f t="shared" si="117"/>
        <v>192.90123456790124</v>
      </c>
      <c r="R339" s="1099">
        <v>176038793</v>
      </c>
      <c r="S339" s="1101">
        <f t="shared" si="118"/>
        <v>12593.990055801974</v>
      </c>
      <c r="T339" s="1101">
        <f t="shared" si="119"/>
        <v>514.04041044089695</v>
      </c>
      <c r="U339" s="1101">
        <f t="shared" si="120"/>
        <v>-106148793</v>
      </c>
      <c r="V339" s="1103">
        <f t="shared" si="121"/>
        <v>-1.5187980111603949</v>
      </c>
      <c r="W339" s="1098">
        <v>25920</v>
      </c>
      <c r="X339" s="1106">
        <f t="shared" si="111"/>
        <v>2696.3734567901233</v>
      </c>
      <c r="Y339" s="1106">
        <f t="shared" si="112"/>
        <v>2696.3734567901233</v>
      </c>
      <c r="Z339" s="1106">
        <f t="shared" si="113"/>
        <v>-4095.2466435185183</v>
      </c>
      <c r="AA339" s="1106">
        <f t="shared" si="114"/>
        <v>6791.6201003086417</v>
      </c>
    </row>
    <row r="340" spans="1:29" hidden="1" x14ac:dyDescent="0.35">
      <c r="A340" s="179">
        <v>6</v>
      </c>
      <c r="C340" s="82" t="s">
        <v>353</v>
      </c>
      <c r="D340" s="83" t="s">
        <v>354</v>
      </c>
      <c r="E340" s="892" t="str">
        <f>VLOOKUP(F340,'Quy đổi'!A:D,4,0)</f>
        <v>Phó sản</v>
      </c>
      <c r="F340" s="82" t="s">
        <v>359</v>
      </c>
      <c r="G340" s="82" t="s">
        <v>916</v>
      </c>
      <c r="H340" s="257">
        <f>IFERROR(VLOOKUP(F340,'Quy đổi'!A:C,3,0),"-")</f>
        <v>0</v>
      </c>
      <c r="I340" s="1098">
        <v>28909</v>
      </c>
      <c r="K340" s="1098">
        <v>144545000</v>
      </c>
      <c r="O340" s="1097">
        <f t="shared" si="122"/>
        <v>144545000</v>
      </c>
      <c r="P340" s="1101">
        <f t="shared" si="116"/>
        <v>5000</v>
      </c>
      <c r="Q340" s="1101">
        <f t="shared" si="117"/>
        <v>192.90123456790124</v>
      </c>
      <c r="R340" s="1099">
        <v>364010623</v>
      </c>
      <c r="S340" s="1101">
        <f t="shared" si="118"/>
        <v>12591.6020270504</v>
      </c>
      <c r="T340" s="1101">
        <f t="shared" si="119"/>
        <v>513.94293987960816</v>
      </c>
      <c r="U340" s="1101">
        <f t="shared" si="120"/>
        <v>-219465623</v>
      </c>
      <c r="V340" s="1103">
        <f t="shared" si="121"/>
        <v>-1.5183204054100798</v>
      </c>
      <c r="W340" s="1098">
        <v>25920</v>
      </c>
      <c r="X340" s="1106">
        <f t="shared" si="111"/>
        <v>5576.5817901234568</v>
      </c>
      <c r="Y340" s="1106">
        <f t="shared" si="112"/>
        <v>5576.5817901234568</v>
      </c>
      <c r="Z340" s="1106">
        <f t="shared" si="113"/>
        <v>-8467.0379243827156</v>
      </c>
      <c r="AA340" s="1106">
        <f t="shared" si="114"/>
        <v>14043.619714506172</v>
      </c>
    </row>
    <row r="341" spans="1:29" hidden="1" x14ac:dyDescent="0.35">
      <c r="A341" s="179">
        <v>6</v>
      </c>
      <c r="C341" s="82" t="s">
        <v>353</v>
      </c>
      <c r="D341" s="83" t="s">
        <v>354</v>
      </c>
      <c r="E341" s="892" t="str">
        <f>VLOOKUP(F341,'Quy đổi'!A:D,4,0)</f>
        <v>Phó sản</v>
      </c>
      <c r="F341" s="82" t="s">
        <v>359</v>
      </c>
      <c r="G341" s="82" t="s">
        <v>916</v>
      </c>
      <c r="H341" s="257">
        <f>IFERROR(VLOOKUP(F341,'Quy đổi'!A:C,3,0),"-")</f>
        <v>0</v>
      </c>
      <c r="I341" s="1098">
        <v>3952</v>
      </c>
      <c r="K341" s="1098">
        <v>19760000</v>
      </c>
      <c r="O341" s="1097">
        <f t="shared" si="122"/>
        <v>19760000</v>
      </c>
      <c r="P341" s="1101">
        <f t="shared" si="116"/>
        <v>5000</v>
      </c>
      <c r="Q341" s="1101">
        <f t="shared" si="117"/>
        <v>192.90123456790124</v>
      </c>
      <c r="R341" s="1099">
        <v>49762011</v>
      </c>
      <c r="S341" s="1101">
        <f t="shared" si="118"/>
        <v>12591.60197368421</v>
      </c>
      <c r="T341" s="1101">
        <f t="shared" si="119"/>
        <v>513.94293770139632</v>
      </c>
      <c r="U341" s="1101">
        <f t="shared" si="120"/>
        <v>-30002011</v>
      </c>
      <c r="V341" s="1103">
        <f t="shared" si="121"/>
        <v>-1.5183203947368422</v>
      </c>
      <c r="W341" s="1098">
        <v>25920</v>
      </c>
      <c r="X341" s="1106">
        <f t="shared" si="111"/>
        <v>762.34567901234573</v>
      </c>
      <c r="Y341" s="1106">
        <f t="shared" si="112"/>
        <v>762.34567901234573</v>
      </c>
      <c r="Z341" s="1106">
        <f t="shared" si="113"/>
        <v>-1157.4849922839505</v>
      </c>
      <c r="AA341" s="1106">
        <f t="shared" si="114"/>
        <v>1919.8306712962963</v>
      </c>
    </row>
    <row r="342" spans="1:29" hidden="1" x14ac:dyDescent="0.35">
      <c r="A342" s="179">
        <v>6</v>
      </c>
      <c r="B342" s="880" t="s">
        <v>22</v>
      </c>
      <c r="C342" s="82" t="s">
        <v>637</v>
      </c>
      <c r="D342" s="83" t="s">
        <v>638</v>
      </c>
      <c r="E342" s="892" t="str">
        <f>VLOOKUP(F342,'Quy đổi'!A:D,4,0)</f>
        <v>rHDPE ép</v>
      </c>
      <c r="F342" s="82" t="s">
        <v>204</v>
      </c>
      <c r="G342" s="82" t="s">
        <v>205</v>
      </c>
      <c r="H342" s="257" t="str">
        <f>IFERROR(VLOOKUP(F342,'Quy đổi'!A:C,3,0),"-")</f>
        <v>rHDI3G01</v>
      </c>
      <c r="I342" s="1098">
        <v>33000</v>
      </c>
      <c r="K342" s="1098">
        <v>628833333</v>
      </c>
      <c r="M342" s="1056">
        <v>33000000</v>
      </c>
      <c r="O342" s="1097">
        <f t="shared" si="122"/>
        <v>595833333</v>
      </c>
      <c r="P342" s="1101">
        <f t="shared" si="116"/>
        <v>18055.555545454547</v>
      </c>
      <c r="Q342" s="1101">
        <f t="shared" si="117"/>
        <v>696.58779110549949</v>
      </c>
      <c r="R342" s="1099">
        <v>912276111</v>
      </c>
      <c r="S342" s="1101">
        <f t="shared" si="118"/>
        <v>27644.730636363638</v>
      </c>
      <c r="T342" s="1101">
        <f t="shared" si="119"/>
        <v>1128.3563525046384</v>
      </c>
      <c r="U342" s="1101">
        <f t="shared" si="120"/>
        <v>-316442778</v>
      </c>
      <c r="V342" s="1103">
        <f t="shared" si="121"/>
        <v>-0.503222016699296</v>
      </c>
      <c r="W342" s="1098">
        <v>25920</v>
      </c>
      <c r="X342" s="1106">
        <f t="shared" si="111"/>
        <v>22987.397106481483</v>
      </c>
      <c r="Y342" s="1106">
        <f t="shared" si="112"/>
        <v>24260.545254629629</v>
      </c>
      <c r="Z342" s="1106">
        <f t="shared" si="113"/>
        <v>-12208.440509259259</v>
      </c>
      <c r="AA342" s="1106">
        <f t="shared" si="114"/>
        <v>35195.83761574074</v>
      </c>
    </row>
    <row r="343" spans="1:29" hidden="1" x14ac:dyDescent="0.35">
      <c r="A343" s="179">
        <v>6</v>
      </c>
      <c r="B343" s="880" t="s">
        <v>22</v>
      </c>
      <c r="C343" s="82" t="s">
        <v>637</v>
      </c>
      <c r="D343" s="83" t="s">
        <v>638</v>
      </c>
      <c r="E343" s="892" t="str">
        <f>VLOOKUP(F343,'Quy đổi'!A:D,4,0)</f>
        <v>rHDPE ép</v>
      </c>
      <c r="F343" s="82" t="s">
        <v>657</v>
      </c>
      <c r="G343" s="82" t="s">
        <v>658</v>
      </c>
      <c r="H343" s="257" t="str">
        <f>IFERROR(VLOOKUP(F343,'Quy đổi'!A:C,3,0),"-")</f>
        <v>Vảy HD Ép Đen</v>
      </c>
      <c r="I343" s="1098">
        <v>28000</v>
      </c>
      <c r="K343" s="1098">
        <v>362962961</v>
      </c>
      <c r="O343" s="1097">
        <f t="shared" si="122"/>
        <v>362962961</v>
      </c>
      <c r="P343" s="1101">
        <f t="shared" si="116"/>
        <v>12962.962892857144</v>
      </c>
      <c r="Q343" s="1101">
        <f t="shared" si="117"/>
        <v>500.11430913800712</v>
      </c>
      <c r="R343" s="1099">
        <v>587986269</v>
      </c>
      <c r="S343" s="1101">
        <f t="shared" si="118"/>
        <v>20999.509607142856</v>
      </c>
      <c r="T343" s="1101">
        <f t="shared" si="119"/>
        <v>857.12284110787164</v>
      </c>
      <c r="U343" s="1101">
        <f t="shared" si="120"/>
        <v>-225023308</v>
      </c>
      <c r="V343" s="1103">
        <f t="shared" si="121"/>
        <v>-0.61996217845489754</v>
      </c>
      <c r="W343" s="1098">
        <v>25920</v>
      </c>
      <c r="X343" s="1106">
        <f t="shared" si="111"/>
        <v>14003.200655864197</v>
      </c>
      <c r="Y343" s="1106">
        <f t="shared" si="112"/>
        <v>14003.200655864197</v>
      </c>
      <c r="Z343" s="1106">
        <f t="shared" si="113"/>
        <v>-8681.4547839506176</v>
      </c>
      <c r="AA343" s="1106">
        <f t="shared" si="114"/>
        <v>22684.655439814815</v>
      </c>
    </row>
    <row r="344" spans="1:29" hidden="1" x14ac:dyDescent="0.35">
      <c r="A344" s="179">
        <v>6</v>
      </c>
      <c r="B344" s="880" t="s">
        <v>22</v>
      </c>
      <c r="C344" s="82" t="s">
        <v>637</v>
      </c>
      <c r="D344" s="83" t="s">
        <v>638</v>
      </c>
      <c r="E344" s="892" t="str">
        <f>VLOOKUP(F344,'Quy đổi'!A:D,4,0)</f>
        <v>rHDPE ép</v>
      </c>
      <c r="F344" s="82" t="s">
        <v>37</v>
      </c>
      <c r="G344" s="82" t="s">
        <v>36</v>
      </c>
      <c r="H344" s="257" t="str">
        <f>IFERROR(VLOOKUP(F344,'Quy đổi'!A:C,3,0),"-")</f>
        <v>Vảy HD Ép Đỏ</v>
      </c>
      <c r="I344" s="1098">
        <v>6000</v>
      </c>
      <c r="K344" s="1098">
        <v>102777778</v>
      </c>
      <c r="M344" s="1056">
        <v>6000000</v>
      </c>
      <c r="O344" s="1097">
        <f t="shared" si="122"/>
        <v>96777778</v>
      </c>
      <c r="P344" s="1101">
        <f t="shared" si="116"/>
        <v>16129.629666666666</v>
      </c>
      <c r="Q344" s="1101">
        <f t="shared" si="117"/>
        <v>622.28509516460906</v>
      </c>
      <c r="R344" s="1099">
        <v>146602832</v>
      </c>
      <c r="S344" s="1101">
        <f t="shared" si="118"/>
        <v>24433.805333333334</v>
      </c>
      <c r="T344" s="1101">
        <f t="shared" si="119"/>
        <v>997.29817687074831</v>
      </c>
      <c r="U344" s="1101">
        <f t="shared" si="120"/>
        <v>-49825054</v>
      </c>
      <c r="V344" s="1103">
        <f t="shared" si="121"/>
        <v>-0.48478430814100693</v>
      </c>
      <c r="W344" s="1098">
        <v>25920</v>
      </c>
      <c r="X344" s="1106">
        <f t="shared" si="111"/>
        <v>3733.7105709876541</v>
      </c>
      <c r="Y344" s="1106">
        <f t="shared" si="112"/>
        <v>3965.1920524691359</v>
      </c>
      <c r="Z344" s="1106">
        <f t="shared" si="113"/>
        <v>-1922.2628858024691</v>
      </c>
      <c r="AA344" s="1106">
        <f t="shared" si="114"/>
        <v>5655.9734567901232</v>
      </c>
    </row>
    <row r="345" spans="1:29" hidden="1" x14ac:dyDescent="0.35">
      <c r="A345" s="179">
        <v>6</v>
      </c>
      <c r="B345" s="880" t="s">
        <v>22</v>
      </c>
      <c r="C345" s="82" t="s">
        <v>89</v>
      </c>
      <c r="D345" s="83" t="s">
        <v>227</v>
      </c>
      <c r="E345" s="892" t="str">
        <f>VLOOKUP(F345,'Quy đổi'!A:D,4,0)</f>
        <v>Xơ sợi</v>
      </c>
      <c r="F345" s="82" t="s">
        <v>463</v>
      </c>
      <c r="G345" s="82" t="s">
        <v>470</v>
      </c>
      <c r="H345" s="257" t="str">
        <f>IFERROR(VLOOKUP(F345,'Quy đổi'!A:C,3,0),"-")</f>
        <v>WSS05SB-2</v>
      </c>
      <c r="I345" s="1098">
        <v>10500</v>
      </c>
      <c r="K345" s="1098">
        <v>173250000</v>
      </c>
      <c r="O345" s="1097">
        <f t="shared" si="122"/>
        <v>173250000</v>
      </c>
      <c r="P345" s="1101">
        <f t="shared" si="116"/>
        <v>16500</v>
      </c>
      <c r="Q345" s="1101">
        <f t="shared" si="117"/>
        <v>636.57407407407402</v>
      </c>
      <c r="R345" s="1099">
        <v>259856322</v>
      </c>
      <c r="S345" s="1101">
        <f t="shared" si="118"/>
        <v>24748.221142857143</v>
      </c>
      <c r="T345" s="1101">
        <f t="shared" si="119"/>
        <v>1010.1314752186589</v>
      </c>
      <c r="U345" s="1101">
        <f t="shared" si="120"/>
        <v>-86606322</v>
      </c>
      <c r="V345" s="1103">
        <f t="shared" si="121"/>
        <v>-0.49989219047619049</v>
      </c>
      <c r="W345" s="1098">
        <v>25920</v>
      </c>
      <c r="X345" s="1106">
        <f t="shared" si="111"/>
        <v>6684.0277777777774</v>
      </c>
      <c r="Y345" s="1106">
        <f t="shared" si="112"/>
        <v>6684.0277777777774</v>
      </c>
      <c r="Z345" s="1106">
        <f t="shared" si="113"/>
        <v>-3341.2932870370369</v>
      </c>
      <c r="AA345" s="1106">
        <f t="shared" si="114"/>
        <v>10025.321064814814</v>
      </c>
    </row>
    <row r="346" spans="1:29" hidden="1" x14ac:dyDescent="0.35">
      <c r="A346" s="179">
        <v>6</v>
      </c>
      <c r="B346" s="880" t="s">
        <v>22</v>
      </c>
      <c r="C346" s="82" t="s">
        <v>519</v>
      </c>
      <c r="D346" s="83" t="s">
        <v>520</v>
      </c>
      <c r="E346" s="892" t="str">
        <f>VLOOKUP(F346,'Quy đổi'!A:D,4,0)</f>
        <v>rHDPE ép</v>
      </c>
      <c r="F346" s="82" t="s">
        <v>43</v>
      </c>
      <c r="G346" s="82" t="s">
        <v>42</v>
      </c>
      <c r="H346" s="257" t="str">
        <f>IFERROR(VLOOKUP(F346,'Quy đổi'!A:C,3,0),"-")</f>
        <v>Vảy HD Ép dương</v>
      </c>
      <c r="I346" s="1098">
        <v>5250</v>
      </c>
      <c r="K346" s="1098">
        <v>81375000</v>
      </c>
      <c r="O346" s="1097">
        <f t="shared" si="122"/>
        <v>81375000</v>
      </c>
      <c r="P346" s="1101">
        <f t="shared" si="116"/>
        <v>15500</v>
      </c>
      <c r="Q346" s="1101">
        <f t="shared" si="117"/>
        <v>597.99382716049388</v>
      </c>
      <c r="R346" s="1099">
        <v>131762889</v>
      </c>
      <c r="S346" s="1101">
        <f t="shared" si="118"/>
        <v>25097.693142857144</v>
      </c>
      <c r="T346" s="1101">
        <f t="shared" si="119"/>
        <v>1024.3956384839651</v>
      </c>
      <c r="U346" s="1101">
        <f t="shared" si="120"/>
        <v>-50387889</v>
      </c>
      <c r="V346" s="1103">
        <f t="shared" si="121"/>
        <v>-0.61920600921658986</v>
      </c>
      <c r="W346" s="1098">
        <v>25920</v>
      </c>
      <c r="X346" s="1106">
        <f t="shared" si="111"/>
        <v>3139.4675925925926</v>
      </c>
      <c r="Y346" s="1106">
        <f t="shared" si="112"/>
        <v>3139.4675925925926</v>
      </c>
      <c r="Z346" s="1106">
        <f t="shared" si="113"/>
        <v>-1943.9771990740742</v>
      </c>
      <c r="AA346" s="1106">
        <f t="shared" si="114"/>
        <v>5083.4447916666668</v>
      </c>
    </row>
    <row r="347" spans="1:29" hidden="1" x14ac:dyDescent="0.35">
      <c r="A347" s="179">
        <v>6</v>
      </c>
      <c r="B347" s="880" t="s">
        <v>22</v>
      </c>
      <c r="C347" s="82" t="s">
        <v>519</v>
      </c>
      <c r="D347" s="83" t="s">
        <v>520</v>
      </c>
      <c r="E347" s="892" t="str">
        <f>VLOOKUP(F347,'Quy đổi'!A:D,4,0)</f>
        <v>rHDPE ép</v>
      </c>
      <c r="F347" s="82" t="s">
        <v>41</v>
      </c>
      <c r="G347" s="82" t="s">
        <v>40</v>
      </c>
      <c r="H347" s="257" t="str">
        <f>IFERROR(VLOOKUP(F347,'Quy đổi'!A:C,3,0),"-")</f>
        <v>Vảy HD Ép Lá</v>
      </c>
      <c r="I347" s="1098">
        <v>26250</v>
      </c>
      <c r="K347" s="1098">
        <v>406875000</v>
      </c>
      <c r="O347" s="1097">
        <f t="shared" si="122"/>
        <v>406875000</v>
      </c>
      <c r="P347" s="1101">
        <f t="shared" si="116"/>
        <v>15500</v>
      </c>
      <c r="Q347" s="1101">
        <f t="shared" si="117"/>
        <v>597.99382716049388</v>
      </c>
      <c r="R347" s="1099">
        <v>665384490</v>
      </c>
      <c r="S347" s="1101">
        <f t="shared" si="118"/>
        <v>25347.980571428572</v>
      </c>
      <c r="T347" s="1101">
        <f t="shared" si="119"/>
        <v>1034.6114518950437</v>
      </c>
      <c r="U347" s="1101">
        <f t="shared" si="120"/>
        <v>-258509490</v>
      </c>
      <c r="V347" s="1103">
        <f t="shared" si="121"/>
        <v>-0.6353535852534562</v>
      </c>
      <c r="W347" s="1098">
        <v>25920</v>
      </c>
      <c r="X347" s="1106">
        <f t="shared" si="111"/>
        <v>15697.337962962964</v>
      </c>
      <c r="Y347" s="1106">
        <f t="shared" si="112"/>
        <v>15697.337962962964</v>
      </c>
      <c r="Z347" s="1106">
        <f t="shared" si="113"/>
        <v>-9973.3599537037044</v>
      </c>
      <c r="AA347" s="1106">
        <f t="shared" si="114"/>
        <v>25670.697916666668</v>
      </c>
    </row>
    <row r="348" spans="1:29" hidden="1" x14ac:dyDescent="0.35">
      <c r="A348" s="179">
        <v>6</v>
      </c>
      <c r="C348" s="82" t="s">
        <v>221</v>
      </c>
      <c r="D348" s="83" t="s">
        <v>222</v>
      </c>
      <c r="E348" s="892" t="str">
        <f>VLOOKUP(F348,'Quy đổi'!A:D,4,0)</f>
        <v>Khác</v>
      </c>
      <c r="F348" s="82" t="s">
        <v>223</v>
      </c>
      <c r="G348" s="82" t="s">
        <v>917</v>
      </c>
      <c r="H348" s="257">
        <f>IFERROR(VLOOKUP(F348,'Quy đổi'!A:C,3,0),"-")</f>
        <v>0</v>
      </c>
      <c r="I348" s="1098">
        <v>8310</v>
      </c>
      <c r="K348" s="1098">
        <v>162045000</v>
      </c>
      <c r="O348" s="1097">
        <f t="shared" si="122"/>
        <v>162045000</v>
      </c>
      <c r="P348" s="1101">
        <f t="shared" si="116"/>
        <v>19500</v>
      </c>
      <c r="Q348" s="1101">
        <f t="shared" si="117"/>
        <v>752.31481481481478</v>
      </c>
      <c r="R348" s="1099">
        <v>172136789</v>
      </c>
      <c r="S348" s="1101">
        <f t="shared" si="118"/>
        <v>20714.415042117929</v>
      </c>
      <c r="T348" s="1101">
        <f t="shared" si="119"/>
        <v>845.48632824971139</v>
      </c>
      <c r="U348" s="1101">
        <f t="shared" si="120"/>
        <v>-10091789</v>
      </c>
      <c r="V348" s="1103">
        <f t="shared" si="121"/>
        <v>-6.2277694467586166E-2</v>
      </c>
      <c r="W348" s="1098">
        <v>25920</v>
      </c>
      <c r="X348" s="1106">
        <f t="shared" si="111"/>
        <v>6251.7361111111113</v>
      </c>
      <c r="Y348" s="1106">
        <f t="shared" si="112"/>
        <v>6251.7361111111113</v>
      </c>
      <c r="Z348" s="1106">
        <f t="shared" si="113"/>
        <v>-389.34371141975311</v>
      </c>
      <c r="AA348" s="1106">
        <f t="shared" si="114"/>
        <v>6641.0798225308645</v>
      </c>
    </row>
    <row r="349" spans="1:29" hidden="1" x14ac:dyDescent="0.35">
      <c r="A349" s="179">
        <v>6</v>
      </c>
      <c r="B349" s="880" t="s">
        <v>22</v>
      </c>
      <c r="C349" s="82" t="s">
        <v>895</v>
      </c>
      <c r="D349" s="83" t="s">
        <v>896</v>
      </c>
      <c r="E349" s="892" t="str">
        <f>VLOOKUP(F349,'Quy đổi'!A:D,4,0)</f>
        <v>rPET</v>
      </c>
      <c r="F349" s="82" t="s">
        <v>918</v>
      </c>
      <c r="G349" s="82" t="s">
        <v>921</v>
      </c>
      <c r="H349" s="257" t="str">
        <f>IFERROR(VLOOKUP(F349,'Quy đổi'!A:C,3,0),"-")</f>
        <v>iSS01G-S</v>
      </c>
      <c r="I349" s="1098">
        <v>500</v>
      </c>
      <c r="K349" s="1098">
        <v>16375000</v>
      </c>
      <c r="O349" s="1097">
        <f t="shared" si="122"/>
        <v>16375000</v>
      </c>
      <c r="P349" s="1101">
        <f t="shared" si="116"/>
        <v>32750</v>
      </c>
      <c r="Q349" s="1101">
        <f t="shared" si="117"/>
        <v>1263.5030864197531</v>
      </c>
      <c r="R349" s="1099">
        <v>14802680</v>
      </c>
      <c r="S349" s="1101">
        <f t="shared" si="118"/>
        <v>29605.360000000001</v>
      </c>
      <c r="T349" s="1101">
        <f t="shared" si="119"/>
        <v>1208.3820408163265</v>
      </c>
      <c r="U349" s="1101">
        <f t="shared" si="120"/>
        <v>1572320</v>
      </c>
      <c r="V349" s="1103">
        <f t="shared" si="121"/>
        <v>9.6019541984732823E-2</v>
      </c>
      <c r="W349" s="1098">
        <v>25920</v>
      </c>
      <c r="X349" s="1106">
        <f t="shared" si="111"/>
        <v>631.75154320987656</v>
      </c>
      <c r="Y349" s="1106">
        <f t="shared" si="112"/>
        <v>631.75154320987656</v>
      </c>
      <c r="Z349" s="1106">
        <f t="shared" si="113"/>
        <v>60.660493827160494</v>
      </c>
      <c r="AA349" s="1106">
        <f t="shared" si="114"/>
        <v>571.09104938271605</v>
      </c>
      <c r="AC349" s="1098">
        <f>X349/I349*1000</f>
        <v>1263.5030864197531</v>
      </c>
    </row>
    <row r="350" spans="1:29" hidden="1" x14ac:dyDescent="0.35">
      <c r="A350" s="179">
        <v>6</v>
      </c>
      <c r="B350" s="880" t="s">
        <v>22</v>
      </c>
      <c r="C350" s="82" t="s">
        <v>351</v>
      </c>
      <c r="D350" s="83" t="s">
        <v>352</v>
      </c>
      <c r="E350" s="892" t="str">
        <f>VLOOKUP(F350,'Quy đổi'!A:D,4,0)</f>
        <v>rPET</v>
      </c>
      <c r="F350" s="82" t="s">
        <v>100</v>
      </c>
      <c r="G350" s="82" t="s">
        <v>99</v>
      </c>
      <c r="H350" s="257" t="str">
        <f>IFERROR(VLOOKUP(F350,'Quy đổi'!A:C,3,0),"-")</f>
        <v>iSS01G</v>
      </c>
      <c r="I350" s="1098">
        <v>44000</v>
      </c>
      <c r="K350" s="1098">
        <v>1495146400</v>
      </c>
      <c r="L350" s="1056">
        <f>3200000*3</f>
        <v>9600000</v>
      </c>
      <c r="O350" s="1097">
        <f t="shared" si="122"/>
        <v>1485546400</v>
      </c>
      <c r="P350" s="1101">
        <f t="shared" si="116"/>
        <v>33762.418181818182</v>
      </c>
      <c r="Q350" s="1101">
        <f t="shared" si="117"/>
        <v>1302.5624298540965</v>
      </c>
      <c r="R350" s="1099">
        <v>1183920728</v>
      </c>
      <c r="S350" s="1101">
        <f t="shared" si="118"/>
        <v>26907.289272727274</v>
      </c>
      <c r="T350" s="1101">
        <f t="shared" si="119"/>
        <v>1098.2567050092764</v>
      </c>
      <c r="U350" s="1101">
        <f t="shared" si="120"/>
        <v>301625672</v>
      </c>
      <c r="V350" s="1103">
        <f t="shared" si="121"/>
        <v>0.20173654700302257</v>
      </c>
      <c r="W350" s="1098">
        <v>25920</v>
      </c>
      <c r="X350" s="1106">
        <f t="shared" si="111"/>
        <v>57312.746913580246</v>
      </c>
      <c r="Y350" s="1106">
        <f t="shared" si="112"/>
        <v>57683.117283950618</v>
      </c>
      <c r="Z350" s="1106">
        <f t="shared" si="113"/>
        <v>11636.792901234568</v>
      </c>
      <c r="AA350" s="1106">
        <f t="shared" si="114"/>
        <v>45675.954012345675</v>
      </c>
      <c r="AC350" s="1098">
        <f t="shared" ref="AC350" si="124">X350/I350*1000</f>
        <v>1302.5624298540965</v>
      </c>
    </row>
    <row r="351" spans="1:29" hidden="1" x14ac:dyDescent="0.35">
      <c r="A351" s="179">
        <v>6</v>
      </c>
      <c r="B351" s="880" t="s">
        <v>22</v>
      </c>
      <c r="C351" s="82" t="s">
        <v>71</v>
      </c>
      <c r="D351" s="83" t="s">
        <v>70</v>
      </c>
      <c r="E351" s="892" t="str">
        <f>VLOOKUP(F351,'Quy đổi'!A:D,4,0)</f>
        <v>rHDPE thổi</v>
      </c>
      <c r="F351" s="82" t="s">
        <v>187</v>
      </c>
      <c r="G351" s="82" t="s">
        <v>188</v>
      </c>
      <c r="H351" s="257" t="str">
        <f>IFERROR(VLOOKUP(F351,'Quy đổi'!A:C,3,0),"-")</f>
        <v>rHDB03N02</v>
      </c>
      <c r="I351" s="1098">
        <v>33000</v>
      </c>
      <c r="K351" s="1098">
        <v>1078687500</v>
      </c>
      <c r="O351" s="1097">
        <f t="shared" si="122"/>
        <v>1078687500</v>
      </c>
      <c r="P351" s="1101">
        <f t="shared" si="116"/>
        <v>32687.5</v>
      </c>
      <c r="Q351" s="1101">
        <f t="shared" si="117"/>
        <v>1261.0918209876543</v>
      </c>
      <c r="R351" s="1099">
        <v>1176294715</v>
      </c>
      <c r="S351" s="1101">
        <f t="shared" si="118"/>
        <v>35645.294393939395</v>
      </c>
      <c r="T351" s="1101">
        <f t="shared" si="119"/>
        <v>1454.9099752628324</v>
      </c>
      <c r="U351" s="1101">
        <f t="shared" si="120"/>
        <v>-97607215</v>
      </c>
      <c r="V351" s="1103">
        <f t="shared" si="121"/>
        <v>-9.0487017787820853E-2</v>
      </c>
      <c r="W351" s="1098">
        <v>25920</v>
      </c>
      <c r="X351" s="1106">
        <f t="shared" si="111"/>
        <v>41616.030092592591</v>
      </c>
      <c r="Y351" s="1106">
        <f t="shared" si="112"/>
        <v>41616.030092592591</v>
      </c>
      <c r="Z351" s="1106">
        <f t="shared" si="113"/>
        <v>-3765.7104552469136</v>
      </c>
      <c r="AA351" s="1106">
        <f t="shared" si="114"/>
        <v>45381.740547839509</v>
      </c>
      <c r="AC351" s="1098">
        <f t="shared" ref="AC351" si="125">X351/I351*1000</f>
        <v>1261.0918209876543</v>
      </c>
    </row>
    <row r="352" spans="1:29" hidden="1" x14ac:dyDescent="0.35">
      <c r="A352" s="179">
        <v>6</v>
      </c>
      <c r="B352" s="880" t="s">
        <v>22</v>
      </c>
      <c r="C352" s="82" t="s">
        <v>373</v>
      </c>
      <c r="D352" s="83" t="s">
        <v>374</v>
      </c>
      <c r="E352" s="892" t="str">
        <f>VLOOKUP(F352,'Quy đổi'!A:D,4,0)</f>
        <v>rPET</v>
      </c>
      <c r="F352" s="82" t="s">
        <v>110</v>
      </c>
      <c r="G352" s="82" t="s">
        <v>109</v>
      </c>
      <c r="H352" s="257" t="str">
        <f>IFERROR(VLOOKUP(F352,'Quy đổi'!A:C,3,0),"-")</f>
        <v>WSS01G</v>
      </c>
      <c r="I352" s="1098">
        <v>22000</v>
      </c>
      <c r="K352" s="1098">
        <v>727425600</v>
      </c>
      <c r="O352" s="1097">
        <f t="shared" si="122"/>
        <v>727425600</v>
      </c>
      <c r="P352" s="1101">
        <f t="shared" si="116"/>
        <v>33064.800000000003</v>
      </c>
      <c r="Q352" s="1101">
        <f t="shared" si="117"/>
        <v>1275.6481481481483</v>
      </c>
      <c r="R352" s="1099">
        <v>615214786</v>
      </c>
      <c r="S352" s="1101">
        <f t="shared" si="118"/>
        <v>27964.308454545455</v>
      </c>
      <c r="T352" s="1101">
        <f t="shared" si="119"/>
        <v>1141.400345083488</v>
      </c>
      <c r="U352" s="1101">
        <f t="shared" si="120"/>
        <v>112210814</v>
      </c>
      <c r="V352" s="1103">
        <f t="shared" si="121"/>
        <v>0.15425744433520075</v>
      </c>
      <c r="W352" s="1098">
        <v>25920</v>
      </c>
      <c r="X352" s="1106">
        <f t="shared" si="111"/>
        <v>28064.259259259259</v>
      </c>
      <c r="Y352" s="1106">
        <f t="shared" si="112"/>
        <v>28064.259259259259</v>
      </c>
      <c r="Z352" s="1106">
        <f t="shared" si="113"/>
        <v>4329.1209104938271</v>
      </c>
      <c r="AA352" s="1106">
        <f t="shared" si="114"/>
        <v>23735.138348765431</v>
      </c>
    </row>
    <row r="353" spans="1:30" hidden="1" x14ac:dyDescent="0.35">
      <c r="A353" s="179">
        <v>6</v>
      </c>
      <c r="B353" s="880" t="s">
        <v>22</v>
      </c>
      <c r="C353" s="82" t="s">
        <v>722</v>
      </c>
      <c r="D353" s="83" t="s">
        <v>723</v>
      </c>
      <c r="E353" s="892" t="str">
        <f>VLOOKUP(F353,'Quy đổi'!A:D,4,0)</f>
        <v>rHDPE thổi</v>
      </c>
      <c r="F353" s="82" t="s">
        <v>52</v>
      </c>
      <c r="G353" s="82" t="s">
        <v>51</v>
      </c>
      <c r="H353" s="257" t="str">
        <f>IFERROR(VLOOKUP(F353,'Quy đổi'!A:C,3,0),"-")</f>
        <v>rHDB04B01</v>
      </c>
      <c r="I353" s="1098">
        <v>28125</v>
      </c>
      <c r="K353" s="1098">
        <v>447932292</v>
      </c>
      <c r="L353" s="1056">
        <v>4000000</v>
      </c>
      <c r="O353" s="1097">
        <f t="shared" si="122"/>
        <v>443932292</v>
      </c>
      <c r="P353" s="1101">
        <f t="shared" si="116"/>
        <v>15784.259271111112</v>
      </c>
      <c r="Q353" s="1101">
        <f t="shared" si="117"/>
        <v>608.96062002743486</v>
      </c>
      <c r="R353" s="1099">
        <v>603160522</v>
      </c>
      <c r="S353" s="1101">
        <f t="shared" si="118"/>
        <v>21445.70744888889</v>
      </c>
      <c r="T353" s="1101">
        <f t="shared" si="119"/>
        <v>875.33499791383224</v>
      </c>
      <c r="U353" s="1101">
        <f t="shared" si="120"/>
        <v>-159228230</v>
      </c>
      <c r="V353" s="1103">
        <f t="shared" si="121"/>
        <v>-0.35547388041405148</v>
      </c>
      <c r="W353" s="1098">
        <v>25920</v>
      </c>
      <c r="X353" s="1106">
        <f t="shared" si="111"/>
        <v>17127.017438271603</v>
      </c>
      <c r="Y353" s="1106">
        <f t="shared" si="112"/>
        <v>17281.338425925926</v>
      </c>
      <c r="Z353" s="1106">
        <f t="shared" si="113"/>
        <v>-6143.0644290123455</v>
      </c>
      <c r="AA353" s="1106">
        <f t="shared" si="114"/>
        <v>23270.081867283952</v>
      </c>
    </row>
    <row r="354" spans="1:30" hidden="1" x14ac:dyDescent="0.35">
      <c r="A354" s="179">
        <v>6</v>
      </c>
      <c r="B354" s="880" t="s">
        <v>22</v>
      </c>
      <c r="C354" s="82" t="s">
        <v>235</v>
      </c>
      <c r="D354" s="83" t="s">
        <v>236</v>
      </c>
      <c r="E354" s="892" t="str">
        <f>VLOOKUP(F354,'Quy đổi'!A:D,4,0)</f>
        <v>rPET</v>
      </c>
      <c r="F354" s="82" t="s">
        <v>110</v>
      </c>
      <c r="G354" s="82" t="s">
        <v>109</v>
      </c>
      <c r="H354" s="257" t="str">
        <f>IFERROR(VLOOKUP(F354,'Quy đổi'!A:C,3,0),"-")</f>
        <v>WSS01G</v>
      </c>
      <c r="I354" s="1098">
        <v>3300</v>
      </c>
      <c r="K354" s="1098">
        <v>107951250</v>
      </c>
      <c r="O354" s="1097">
        <f t="shared" si="122"/>
        <v>107951250</v>
      </c>
      <c r="P354" s="1101">
        <f t="shared" si="116"/>
        <v>32712.5</v>
      </c>
      <c r="Q354" s="1101">
        <f t="shared" si="117"/>
        <v>1262.0563271604938</v>
      </c>
      <c r="R354" s="1099">
        <v>92282218</v>
      </c>
      <c r="S354" s="1101">
        <f t="shared" si="118"/>
        <v>27964.308484848483</v>
      </c>
      <c r="T354" s="1101">
        <f t="shared" si="119"/>
        <v>1141.4003463203462</v>
      </c>
      <c r="U354" s="1101">
        <f t="shared" si="120"/>
        <v>15669032</v>
      </c>
      <c r="V354" s="1103">
        <f t="shared" si="121"/>
        <v>0.1451491483424231</v>
      </c>
      <c r="W354" s="1098">
        <v>25920</v>
      </c>
      <c r="X354" s="1106">
        <f t="shared" si="111"/>
        <v>4164.7858796296296</v>
      </c>
      <c r="Y354" s="1106">
        <f t="shared" si="112"/>
        <v>4164.7858796296296</v>
      </c>
      <c r="Z354" s="1106">
        <f t="shared" si="113"/>
        <v>604.51512345679009</v>
      </c>
      <c r="AA354" s="1106">
        <f t="shared" si="114"/>
        <v>3560.2707561728394</v>
      </c>
    </row>
    <row r="355" spans="1:30" x14ac:dyDescent="0.35">
      <c r="A355" s="179">
        <v>6</v>
      </c>
      <c r="B355" s="880" t="s">
        <v>26</v>
      </c>
      <c r="C355" s="82" t="s">
        <v>165</v>
      </c>
      <c r="D355" s="1172" t="s">
        <v>164</v>
      </c>
      <c r="E355" s="892" t="str">
        <f>VLOOKUP(F355,'Quy đổi'!A:D,4,0)</f>
        <v>rPET</v>
      </c>
      <c r="F355" s="82" t="s">
        <v>110</v>
      </c>
      <c r="G355" s="82" t="s">
        <v>109</v>
      </c>
      <c r="H355" s="257" t="str">
        <f>IFERROR(VLOOKUP(F355,'Quy đổi'!A:C,3,0),"-")</f>
        <v>WSS01G</v>
      </c>
      <c r="I355" s="1098">
        <v>748000</v>
      </c>
      <c r="K355" s="1098">
        <v>23730300000</v>
      </c>
      <c r="L355" s="1104">
        <v>314009988</v>
      </c>
      <c r="M355" s="1056">
        <v>355885980</v>
      </c>
      <c r="O355" s="1097">
        <f t="shared" si="122"/>
        <v>23060404032</v>
      </c>
      <c r="P355" s="1101">
        <f t="shared" si="116"/>
        <v>30829.417155080213</v>
      </c>
      <c r="Q355" s="1101">
        <f t="shared" si="117"/>
        <v>1189.4065260447612</v>
      </c>
      <c r="R355" s="1099">
        <v>20917302758</v>
      </c>
      <c r="S355" s="1101">
        <f t="shared" si="118"/>
        <v>27964.308499999999</v>
      </c>
      <c r="T355" s="1101">
        <f t="shared" si="119"/>
        <v>1141.4003469387756</v>
      </c>
      <c r="U355" s="1101">
        <f t="shared" si="120"/>
        <v>2143101274</v>
      </c>
      <c r="V355" s="1103">
        <f t="shared" si="121"/>
        <v>9.0310753509226599E-2</v>
      </c>
      <c r="W355" s="1098">
        <v>25920</v>
      </c>
      <c r="X355" s="1106">
        <f t="shared" si="111"/>
        <v>889676.08148148144</v>
      </c>
      <c r="Y355" s="1106">
        <f t="shared" si="112"/>
        <v>915520.83333333337</v>
      </c>
      <c r="Z355" s="1106">
        <f t="shared" si="113"/>
        <v>82681.376311728396</v>
      </c>
      <c r="AA355" s="1106">
        <f t="shared" si="114"/>
        <v>806994.70516975306</v>
      </c>
    </row>
    <row r="356" spans="1:30" hidden="1" x14ac:dyDescent="0.35">
      <c r="A356" s="179">
        <v>6</v>
      </c>
      <c r="C356" s="82" t="s">
        <v>710</v>
      </c>
      <c r="D356" s="83" t="s">
        <v>711</v>
      </c>
      <c r="E356" s="892" t="s">
        <v>404</v>
      </c>
      <c r="F356" s="82" t="s">
        <v>911</v>
      </c>
      <c r="G356" s="82" t="s">
        <v>912</v>
      </c>
      <c r="H356" s="257" t="str">
        <f>IFERROR(VLOOKUP(F356,'Quy đổi'!A:C,3,0),"-")</f>
        <v>-</v>
      </c>
      <c r="I356" s="1098">
        <v>0</v>
      </c>
      <c r="K356" s="1098">
        <v>24870370</v>
      </c>
      <c r="O356" s="1097">
        <f t="shared" si="122"/>
        <v>24870370</v>
      </c>
      <c r="P356" s="1101" t="e">
        <f t="shared" si="116"/>
        <v>#DIV/0!</v>
      </c>
      <c r="Q356" s="1101" t="e">
        <f t="shared" si="117"/>
        <v>#DIV/0!</v>
      </c>
      <c r="R356" s="1099">
        <v>0</v>
      </c>
      <c r="S356" s="1101" t="e">
        <f t="shared" si="118"/>
        <v>#DIV/0!</v>
      </c>
      <c r="T356" s="1101" t="e">
        <f t="shared" si="119"/>
        <v>#DIV/0!</v>
      </c>
      <c r="U356" s="1101">
        <f t="shared" si="120"/>
        <v>24870370</v>
      </c>
      <c r="V356" s="1103">
        <f t="shared" si="121"/>
        <v>1</v>
      </c>
      <c r="W356" s="1098">
        <v>25920</v>
      </c>
      <c r="X356" s="1106">
        <f t="shared" si="111"/>
        <v>959.50501543209873</v>
      </c>
      <c r="Y356" s="1106">
        <f t="shared" si="112"/>
        <v>959.50501543209873</v>
      </c>
      <c r="Z356" s="1106">
        <f t="shared" si="113"/>
        <v>959.50501543209873</v>
      </c>
      <c r="AA356" s="1106">
        <f t="shared" si="114"/>
        <v>0</v>
      </c>
    </row>
    <row r="357" spans="1:30" hidden="1" x14ac:dyDescent="0.35">
      <c r="A357" s="179">
        <v>6</v>
      </c>
      <c r="C357" s="82" t="s">
        <v>710</v>
      </c>
      <c r="D357" s="83" t="s">
        <v>711</v>
      </c>
      <c r="E357" s="892" t="str">
        <f>VLOOKUP(F357,'Quy đổi'!A:D,4,0)</f>
        <v>Phó sản</v>
      </c>
      <c r="F357" s="82" t="s">
        <v>357</v>
      </c>
      <c r="G357" s="82" t="s">
        <v>914</v>
      </c>
      <c r="H357" s="257">
        <f>IFERROR(VLOOKUP(F357,'Quy đổi'!A:C,3,0),"-")</f>
        <v>0</v>
      </c>
      <c r="I357" s="1098">
        <v>5130</v>
      </c>
      <c r="K357" s="1098">
        <v>19000000</v>
      </c>
      <c r="O357" s="1097">
        <f t="shared" si="122"/>
        <v>19000000</v>
      </c>
      <c r="P357" s="1101">
        <f t="shared" si="116"/>
        <v>3703.7037037037039</v>
      </c>
      <c r="Q357" s="1101">
        <f t="shared" si="117"/>
        <v>142.88980338363055</v>
      </c>
      <c r="R357" s="1099">
        <v>64632118</v>
      </c>
      <c r="S357" s="1101">
        <f t="shared" si="118"/>
        <v>12598.853411306043</v>
      </c>
      <c r="T357" s="1101">
        <f t="shared" si="119"/>
        <v>514.23891474718539</v>
      </c>
      <c r="U357" s="1101">
        <f t="shared" si="120"/>
        <v>-45632118</v>
      </c>
      <c r="V357" s="1103">
        <f t="shared" si="121"/>
        <v>-2.4016904210526318</v>
      </c>
      <c r="W357" s="1098">
        <v>25920</v>
      </c>
      <c r="X357" s="1106">
        <f t="shared" si="111"/>
        <v>733.02469135802471</v>
      </c>
      <c r="Y357" s="1106">
        <f t="shared" si="112"/>
        <v>733.02469135802471</v>
      </c>
      <c r="Z357" s="1106">
        <f t="shared" si="113"/>
        <v>-1760.4983796296297</v>
      </c>
      <c r="AA357" s="1106">
        <f t="shared" si="114"/>
        <v>2493.5230709876541</v>
      </c>
    </row>
    <row r="358" spans="1:30" hidden="1" x14ac:dyDescent="0.35">
      <c r="A358" s="179">
        <v>6</v>
      </c>
      <c r="C358" s="82" t="s">
        <v>710</v>
      </c>
      <c r="D358" s="83" t="s">
        <v>711</v>
      </c>
      <c r="E358" s="892" t="str">
        <f>VLOOKUP(F358,'Quy đổi'!A:D,4,0)</f>
        <v>Phó sản</v>
      </c>
      <c r="F358" s="82" t="s">
        <v>358</v>
      </c>
      <c r="G358" s="82" t="s">
        <v>915</v>
      </c>
      <c r="H358" s="257">
        <f>IFERROR(VLOOKUP(F358,'Quy đổi'!A:C,3,0),"-")</f>
        <v>0</v>
      </c>
      <c r="I358" s="1098">
        <v>5130</v>
      </c>
      <c r="K358" s="1098">
        <v>19000000</v>
      </c>
      <c r="O358" s="1097">
        <f t="shared" si="122"/>
        <v>19000000</v>
      </c>
      <c r="P358" s="1101">
        <f t="shared" si="116"/>
        <v>3703.7037037037039</v>
      </c>
      <c r="Q358" s="1101">
        <f t="shared" si="117"/>
        <v>142.88980338363055</v>
      </c>
      <c r="R358" s="1099">
        <v>64607169</v>
      </c>
      <c r="S358" s="1101">
        <f t="shared" si="118"/>
        <v>12593.990058479532</v>
      </c>
      <c r="T358" s="1101">
        <f t="shared" si="119"/>
        <v>514.04041055018502</v>
      </c>
      <c r="U358" s="1101">
        <f t="shared" si="120"/>
        <v>-45607169</v>
      </c>
      <c r="V358" s="1103">
        <f t="shared" si="121"/>
        <v>-2.4003773157894739</v>
      </c>
      <c r="W358" s="1098">
        <v>25920</v>
      </c>
      <c r="X358" s="1106">
        <f t="shared" si="111"/>
        <v>733.02469135802471</v>
      </c>
      <c r="Y358" s="1106">
        <f t="shared" si="112"/>
        <v>733.02469135802471</v>
      </c>
      <c r="Z358" s="1106">
        <f t="shared" si="113"/>
        <v>-1759.5358410493827</v>
      </c>
      <c r="AA358" s="1106">
        <f t="shared" si="114"/>
        <v>2492.5605324074072</v>
      </c>
    </row>
    <row r="359" spans="1:30" hidden="1" x14ac:dyDescent="0.35">
      <c r="A359" s="179">
        <v>6</v>
      </c>
      <c r="C359" s="82" t="s">
        <v>710</v>
      </c>
      <c r="D359" s="83" t="s">
        <v>711</v>
      </c>
      <c r="E359" s="892" t="str">
        <f>VLOOKUP(F359,'Quy đổi'!A:D,4,0)</f>
        <v>Phó sản</v>
      </c>
      <c r="F359" s="82" t="s">
        <v>359</v>
      </c>
      <c r="G359" s="82" t="s">
        <v>916</v>
      </c>
      <c r="H359" s="257">
        <f>IFERROR(VLOOKUP(F359,'Quy đổi'!A:C,3,0),"-")</f>
        <v>0</v>
      </c>
      <c r="I359" s="1098">
        <v>38458</v>
      </c>
      <c r="K359" s="1098">
        <v>142437037</v>
      </c>
      <c r="O359" s="1097">
        <f t="shared" si="122"/>
        <v>142437037</v>
      </c>
      <c r="P359" s="1101">
        <f t="shared" si="116"/>
        <v>3703.7037027406523</v>
      </c>
      <c r="Q359" s="1101">
        <f t="shared" si="117"/>
        <v>142.88980334647579</v>
      </c>
      <c r="R359" s="1099">
        <v>484247829</v>
      </c>
      <c r="S359" s="1101">
        <f t="shared" si="118"/>
        <v>12591.601981382288</v>
      </c>
      <c r="T359" s="1101">
        <f t="shared" si="119"/>
        <v>513.94293801560354</v>
      </c>
      <c r="U359" s="1101">
        <f t="shared" si="120"/>
        <v>-341810792</v>
      </c>
      <c r="V359" s="1103">
        <f t="shared" si="121"/>
        <v>-2.3997325358572295</v>
      </c>
      <c r="W359" s="1098">
        <v>25920</v>
      </c>
      <c r="X359" s="1106">
        <f t="shared" si="111"/>
        <v>5495.2560570987653</v>
      </c>
      <c r="Y359" s="1106">
        <f t="shared" si="112"/>
        <v>5495.2560570987653</v>
      </c>
      <c r="Z359" s="1106">
        <f t="shared" si="113"/>
        <v>-13187.144753086419</v>
      </c>
      <c r="AA359" s="1106">
        <f t="shared" si="114"/>
        <v>18682.400810185187</v>
      </c>
    </row>
    <row r="360" spans="1:30" hidden="1" x14ac:dyDescent="0.35">
      <c r="A360" s="179">
        <v>6</v>
      </c>
      <c r="B360" s="880" t="s">
        <v>22</v>
      </c>
      <c r="C360" s="82" t="s">
        <v>897</v>
      </c>
      <c r="D360" s="83" t="s">
        <v>898</v>
      </c>
      <c r="E360" s="892" t="str">
        <f>VLOOKUP(F360,'Quy đổi'!A:D,4,0)</f>
        <v>rPET</v>
      </c>
      <c r="F360" s="82" t="s">
        <v>100</v>
      </c>
      <c r="G360" s="82" t="s">
        <v>99</v>
      </c>
      <c r="H360" s="257" t="str">
        <f>IFERROR(VLOOKUP(F360,'Quy đổi'!A:C,3,0),"-")</f>
        <v>iSS01G</v>
      </c>
      <c r="I360" s="1098">
        <v>25</v>
      </c>
      <c r="K360" s="1098">
        <v>855000</v>
      </c>
      <c r="O360" s="1097">
        <f t="shared" si="122"/>
        <v>855000</v>
      </c>
      <c r="P360" s="1101">
        <f t="shared" si="116"/>
        <v>34200</v>
      </c>
      <c r="Q360" s="1101">
        <f t="shared" si="117"/>
        <v>1319.4444444444443</v>
      </c>
      <c r="R360" s="1099">
        <v>672682</v>
      </c>
      <c r="S360" s="1101">
        <f t="shared" si="118"/>
        <v>26907.279999999999</v>
      </c>
      <c r="T360" s="1101">
        <f t="shared" si="119"/>
        <v>1098.2563265306121</v>
      </c>
      <c r="U360" s="1101">
        <f t="shared" si="120"/>
        <v>182318</v>
      </c>
      <c r="V360" s="1103">
        <f t="shared" si="121"/>
        <v>0.21323742690058481</v>
      </c>
      <c r="W360" s="1098">
        <v>25920</v>
      </c>
      <c r="X360" s="1106">
        <f t="shared" si="111"/>
        <v>32.986111111111114</v>
      </c>
      <c r="Y360" s="1106">
        <f t="shared" si="112"/>
        <v>32.986111111111114</v>
      </c>
      <c r="Z360" s="1106">
        <f t="shared" si="113"/>
        <v>7.0338734567901238</v>
      </c>
      <c r="AA360" s="1106">
        <f t="shared" si="114"/>
        <v>25.952237654320989</v>
      </c>
    </row>
    <row r="361" spans="1:30" hidden="1" x14ac:dyDescent="0.35">
      <c r="A361" s="179">
        <v>6</v>
      </c>
      <c r="B361" s="880" t="s">
        <v>22</v>
      </c>
      <c r="C361" s="82" t="s">
        <v>897</v>
      </c>
      <c r="D361" s="83" t="s">
        <v>898</v>
      </c>
      <c r="E361" s="892" t="str">
        <f>VLOOKUP(F361,'Quy đổi'!A:D,4,0)</f>
        <v>rPET</v>
      </c>
      <c r="F361" s="82" t="s">
        <v>110</v>
      </c>
      <c r="G361" s="82" t="s">
        <v>109</v>
      </c>
      <c r="H361" s="257" t="str">
        <f>IFERROR(VLOOKUP(F361,'Quy đổi'!A:C,3,0),"-")</f>
        <v>WSS01G</v>
      </c>
      <c r="I361" s="1098">
        <v>25</v>
      </c>
      <c r="K361" s="1098">
        <v>835500</v>
      </c>
      <c r="O361" s="1097">
        <f t="shared" si="122"/>
        <v>835500</v>
      </c>
      <c r="P361" s="1101">
        <f t="shared" si="116"/>
        <v>33420</v>
      </c>
      <c r="Q361" s="1101">
        <f t="shared" si="117"/>
        <v>1289.351851851852</v>
      </c>
      <c r="R361" s="1099">
        <v>699108</v>
      </c>
      <c r="S361" s="1101">
        <f t="shared" si="118"/>
        <v>27964.32</v>
      </c>
      <c r="T361" s="1101">
        <f t="shared" si="119"/>
        <v>1141.4008163265305</v>
      </c>
      <c r="U361" s="1101">
        <f t="shared" si="120"/>
        <v>136392</v>
      </c>
      <c r="V361" s="1103">
        <f t="shared" si="121"/>
        <v>0.16324596050269299</v>
      </c>
      <c r="W361" s="1098">
        <v>25920</v>
      </c>
      <c r="X361" s="1106">
        <f t="shared" si="111"/>
        <v>32.233796296296298</v>
      </c>
      <c r="Y361" s="1106">
        <f t="shared" si="112"/>
        <v>32.233796296296298</v>
      </c>
      <c r="Z361" s="1106">
        <f t="shared" si="113"/>
        <v>5.2620370370370368</v>
      </c>
      <c r="AA361" s="1106">
        <f t="shared" si="114"/>
        <v>26.971759259259258</v>
      </c>
    </row>
    <row r="362" spans="1:30" hidden="1" x14ac:dyDescent="0.35">
      <c r="A362" s="179">
        <v>6</v>
      </c>
      <c r="B362" s="880" t="s">
        <v>22</v>
      </c>
      <c r="C362" s="82" t="s">
        <v>456</v>
      </c>
      <c r="D362" s="83" t="s">
        <v>457</v>
      </c>
      <c r="E362" s="892" t="str">
        <f>VLOOKUP(F362,'Quy đổi'!A:D,4,0)</f>
        <v>rHDPE ép</v>
      </c>
      <c r="F362" s="82" t="s">
        <v>37</v>
      </c>
      <c r="G362" s="82" t="s">
        <v>36</v>
      </c>
      <c r="H362" s="257" t="str">
        <f>IFERROR(VLOOKUP(F362,'Quy đổi'!A:C,3,0),"-")</f>
        <v>Vảy HD Ép Đỏ</v>
      </c>
      <c r="I362" s="1098">
        <v>12000</v>
      </c>
      <c r="K362" s="1098">
        <v>188888888</v>
      </c>
      <c r="O362" s="1097">
        <f t="shared" si="122"/>
        <v>188888888</v>
      </c>
      <c r="P362" s="1101">
        <f t="shared" si="116"/>
        <v>15740.740666666667</v>
      </c>
      <c r="Q362" s="1101">
        <f t="shared" si="117"/>
        <v>607.28166152263373</v>
      </c>
      <c r="R362" s="1099">
        <v>293205664</v>
      </c>
      <c r="S362" s="1101">
        <f t="shared" si="118"/>
        <v>24433.805333333334</v>
      </c>
      <c r="T362" s="1101">
        <f t="shared" si="119"/>
        <v>997.29817687074831</v>
      </c>
      <c r="U362" s="1101">
        <f t="shared" si="120"/>
        <v>-104316776</v>
      </c>
      <c r="V362" s="1103">
        <f t="shared" si="121"/>
        <v>-0.55226528730477786</v>
      </c>
      <c r="W362" s="1098">
        <v>25920</v>
      </c>
      <c r="X362" s="1106">
        <f t="shared" si="111"/>
        <v>7287.3799382716052</v>
      </c>
      <c r="Y362" s="1106">
        <f t="shared" si="112"/>
        <v>7287.3799382716052</v>
      </c>
      <c r="Z362" s="1106">
        <f t="shared" si="113"/>
        <v>-4024.5669753086418</v>
      </c>
      <c r="AA362" s="1106">
        <f t="shared" si="114"/>
        <v>11311.946913580246</v>
      </c>
    </row>
    <row r="363" spans="1:30" hidden="1" x14ac:dyDescent="0.35">
      <c r="A363" s="179">
        <v>6</v>
      </c>
      <c r="B363" s="880" t="s">
        <v>26</v>
      </c>
      <c r="C363" s="82" t="s">
        <v>46</v>
      </c>
      <c r="D363" s="1172" t="s">
        <v>525</v>
      </c>
      <c r="E363" s="892" t="str">
        <f>VLOOKUP(F363,'Quy đổi'!A:D,4,0)</f>
        <v>rPET</v>
      </c>
      <c r="F363" s="82" t="s">
        <v>100</v>
      </c>
      <c r="G363" s="82" t="s">
        <v>99</v>
      </c>
      <c r="H363" s="257" t="str">
        <f>IFERROR(VLOOKUP(F363,'Quy đổi'!A:C,3,0),"-")</f>
        <v>iSS01G</v>
      </c>
      <c r="I363" s="1098">
        <v>880000</v>
      </c>
      <c r="K363" s="1098">
        <v>28484500000</v>
      </c>
      <c r="L363" s="1104">
        <v>371733517</v>
      </c>
      <c r="O363" s="1097">
        <f t="shared" si="122"/>
        <v>28112766483</v>
      </c>
      <c r="P363" s="1101">
        <f t="shared" si="116"/>
        <v>31946.325548863635</v>
      </c>
      <c r="Q363" s="1101">
        <f t="shared" si="117"/>
        <v>1232.497127656776</v>
      </c>
      <c r="R363" s="1099">
        <v>23678414520</v>
      </c>
      <c r="S363" s="1101">
        <f t="shared" si="118"/>
        <v>26907.289227272726</v>
      </c>
      <c r="T363" s="1101">
        <f t="shared" si="119"/>
        <v>1098.2567031539888</v>
      </c>
      <c r="U363" s="1101">
        <f t="shared" si="120"/>
        <v>4434351963</v>
      </c>
      <c r="V363" s="1103">
        <f t="shared" si="121"/>
        <v>0.15567596282188559</v>
      </c>
      <c r="W363" s="1098">
        <v>25920</v>
      </c>
      <c r="X363" s="1106">
        <f t="shared" si="111"/>
        <v>1084597.4723379631</v>
      </c>
      <c r="Y363" s="1106">
        <f t="shared" si="112"/>
        <v>1098939.0432098766</v>
      </c>
      <c r="Z363" s="1106">
        <f t="shared" si="113"/>
        <v>171078.39363425926</v>
      </c>
      <c r="AA363" s="1106">
        <f t="shared" si="114"/>
        <v>913519.07870370371</v>
      </c>
    </row>
    <row r="364" spans="1:30" hidden="1" x14ac:dyDescent="0.35">
      <c r="A364" s="179">
        <v>6</v>
      </c>
      <c r="B364" s="880" t="s">
        <v>22</v>
      </c>
      <c r="C364" s="82" t="s">
        <v>150</v>
      </c>
      <c r="D364" s="83" t="s">
        <v>149</v>
      </c>
      <c r="E364" s="892" t="str">
        <f>VLOOKUP(F364,'Quy đổi'!A:D,4,0)</f>
        <v>rPET</v>
      </c>
      <c r="F364" s="82" t="s">
        <v>110</v>
      </c>
      <c r="G364" s="82" t="s">
        <v>109</v>
      </c>
      <c r="H364" s="257" t="str">
        <f>IFERROR(VLOOKUP(F364,'Quy đổi'!A:C,3,0),"-")</f>
        <v>WSS01G</v>
      </c>
      <c r="I364" s="1098">
        <v>66000</v>
      </c>
      <c r="K364" s="1098">
        <v>2159025000</v>
      </c>
      <c r="O364" s="1097">
        <f t="shared" si="122"/>
        <v>2159025000</v>
      </c>
      <c r="P364" s="1101">
        <f t="shared" si="116"/>
        <v>32712.5</v>
      </c>
      <c r="Q364" s="1101">
        <f t="shared" si="117"/>
        <v>1262.0563271604938</v>
      </c>
      <c r="R364" s="1099">
        <v>1845644358</v>
      </c>
      <c r="S364" s="1101">
        <f t="shared" si="118"/>
        <v>27964.308454545455</v>
      </c>
      <c r="T364" s="1101">
        <f t="shared" si="119"/>
        <v>1141.400345083488</v>
      </c>
      <c r="U364" s="1101">
        <f t="shared" si="120"/>
        <v>313380642</v>
      </c>
      <c r="V364" s="1103">
        <f t="shared" si="121"/>
        <v>0.14514914926876715</v>
      </c>
      <c r="W364" s="1098">
        <v>25920</v>
      </c>
      <c r="X364" s="1106">
        <f t="shared" si="111"/>
        <v>83295.717592592599</v>
      </c>
      <c r="Y364" s="1106">
        <f t="shared" si="112"/>
        <v>83295.717592592599</v>
      </c>
      <c r="Z364" s="1106">
        <f t="shared" si="113"/>
        <v>12090.302546296296</v>
      </c>
      <c r="AA364" s="1106">
        <f t="shared" si="114"/>
        <v>71205.415046296301</v>
      </c>
    </row>
    <row r="365" spans="1:30" hidden="1" x14ac:dyDescent="0.35">
      <c r="A365" s="179">
        <v>6</v>
      </c>
      <c r="B365" s="880" t="s">
        <v>26</v>
      </c>
      <c r="C365" s="82" t="s">
        <v>161</v>
      </c>
      <c r="D365" s="83" t="s">
        <v>160</v>
      </c>
      <c r="E365" s="892" t="str">
        <f>VLOOKUP(F365,'Quy đổi'!A:D,4,0)</f>
        <v>rPET</v>
      </c>
      <c r="F365" s="82" t="s">
        <v>110</v>
      </c>
      <c r="G365" s="82" t="s">
        <v>109</v>
      </c>
      <c r="H365" s="257" t="str">
        <f>IFERROR(VLOOKUP(F365,'Quy đổi'!A:C,3,0),"-")</f>
        <v>WSS01G</v>
      </c>
      <c r="I365" s="1098">
        <v>22000</v>
      </c>
      <c r="K365" s="1098">
        <v>713625000</v>
      </c>
      <c r="L365" s="1104">
        <v>10453097</v>
      </c>
      <c r="O365" s="1097">
        <f t="shared" si="122"/>
        <v>703171903</v>
      </c>
      <c r="P365" s="1101">
        <f t="shared" si="116"/>
        <v>31962.359227272726</v>
      </c>
      <c r="Q365" s="1101">
        <f t="shared" si="117"/>
        <v>1233.1157109287317</v>
      </c>
      <c r="R365" s="1099">
        <v>615214787</v>
      </c>
      <c r="S365" s="1101">
        <f t="shared" si="118"/>
        <v>27964.308499999999</v>
      </c>
      <c r="T365" s="1101">
        <f t="shared" si="119"/>
        <v>1141.4003469387756</v>
      </c>
      <c r="U365" s="1101">
        <f t="shared" si="120"/>
        <v>87957116</v>
      </c>
      <c r="V365" s="1103">
        <f t="shared" si="121"/>
        <v>0.12325397232440007</v>
      </c>
      <c r="W365" s="1098">
        <v>25920</v>
      </c>
      <c r="X365" s="1106">
        <f t="shared" si="111"/>
        <v>27128.545640432098</v>
      </c>
      <c r="Y365" s="1106">
        <f t="shared" si="112"/>
        <v>27531.828703703704</v>
      </c>
      <c r="Z365" s="1106">
        <f t="shared" si="113"/>
        <v>3393.4072530864196</v>
      </c>
      <c r="AA365" s="1106">
        <f t="shared" si="114"/>
        <v>23735.13838734568</v>
      </c>
    </row>
    <row r="366" spans="1:30" hidden="1" x14ac:dyDescent="0.35">
      <c r="A366" s="179">
        <v>6</v>
      </c>
      <c r="B366" s="880" t="s">
        <v>26</v>
      </c>
      <c r="C366" s="82" t="s">
        <v>161</v>
      </c>
      <c r="D366" s="83" t="s">
        <v>160</v>
      </c>
      <c r="E366" s="892" t="str">
        <f>VLOOKUP(F366,'Quy đổi'!A:D,4,0)</f>
        <v>rPET</v>
      </c>
      <c r="F366" s="82" t="s">
        <v>110</v>
      </c>
      <c r="G366" s="82" t="s">
        <v>109</v>
      </c>
      <c r="H366" s="257" t="str">
        <f>IFERROR(VLOOKUP(F366,'Quy đổi'!A:C,3,0),"-")</f>
        <v>WSS01G</v>
      </c>
      <c r="I366" s="1098">
        <v>22000</v>
      </c>
      <c r="K366" s="1098">
        <v>713625000</v>
      </c>
      <c r="L366" s="1104">
        <v>10453097</v>
      </c>
      <c r="O366" s="1097">
        <f t="shared" si="122"/>
        <v>703171903</v>
      </c>
      <c r="P366" s="1101">
        <f t="shared" si="116"/>
        <v>31962.359227272726</v>
      </c>
      <c r="Q366" s="1101">
        <f t="shared" si="117"/>
        <v>1233.1157109287317</v>
      </c>
      <c r="R366" s="1099">
        <v>615214787</v>
      </c>
      <c r="S366" s="1101">
        <f t="shared" si="118"/>
        <v>27964.308499999999</v>
      </c>
      <c r="T366" s="1101">
        <f t="shared" si="119"/>
        <v>1141.4003469387756</v>
      </c>
      <c r="U366" s="1101">
        <f t="shared" si="120"/>
        <v>87957116</v>
      </c>
      <c r="V366" s="1103">
        <f t="shared" si="121"/>
        <v>0.12325397232440007</v>
      </c>
      <c r="W366" s="1098">
        <v>25920</v>
      </c>
      <c r="X366" s="1106">
        <f t="shared" si="111"/>
        <v>27128.545640432098</v>
      </c>
      <c r="Y366" s="1106">
        <f t="shared" si="112"/>
        <v>27531.828703703704</v>
      </c>
      <c r="Z366" s="1106">
        <f t="shared" si="113"/>
        <v>3393.4072530864196</v>
      </c>
      <c r="AA366" s="1106">
        <f t="shared" si="114"/>
        <v>23735.13838734568</v>
      </c>
    </row>
    <row r="367" spans="1:30" hidden="1" x14ac:dyDescent="0.35">
      <c r="A367" s="179">
        <v>6</v>
      </c>
      <c r="B367" s="880" t="s">
        <v>26</v>
      </c>
      <c r="C367" s="82" t="s">
        <v>243</v>
      </c>
      <c r="D367" s="83" t="s">
        <v>244</v>
      </c>
      <c r="E367" s="892" t="str">
        <f>VLOOKUP(F367,'Quy đổi'!A:D,4,0)</f>
        <v>rPET</v>
      </c>
      <c r="F367" s="82" t="s">
        <v>102</v>
      </c>
      <c r="G367" s="82" t="s">
        <v>101</v>
      </c>
      <c r="H367" s="257" t="str">
        <f>IFERROR(VLOOKUP(F367,'Quy đổi'!A:C,3,0),"-")</f>
        <v>WSS03G</v>
      </c>
      <c r="I367" s="1098">
        <v>22000</v>
      </c>
      <c r="K367" s="1098">
        <v>656282000</v>
      </c>
      <c r="L367" s="1104">
        <v>10711550</v>
      </c>
      <c r="O367" s="1097">
        <f t="shared" si="122"/>
        <v>645570450</v>
      </c>
      <c r="P367" s="1101">
        <f t="shared" si="116"/>
        <v>29344.111363636363</v>
      </c>
      <c r="Q367" s="1101">
        <f t="shared" si="117"/>
        <v>1132.1030618686868</v>
      </c>
      <c r="R367" s="1099">
        <v>547635067</v>
      </c>
      <c r="S367" s="1101">
        <f t="shared" si="118"/>
        <v>24892.503045454545</v>
      </c>
      <c r="T367" s="1101">
        <f t="shared" si="119"/>
        <v>1016.0205324675325</v>
      </c>
      <c r="U367" s="1101">
        <f t="shared" si="120"/>
        <v>97935383</v>
      </c>
      <c r="V367" s="1103">
        <f t="shared" si="121"/>
        <v>0.14922759271166969</v>
      </c>
      <c r="W367" s="1098">
        <v>25920</v>
      </c>
      <c r="X367" s="1106">
        <f t="shared" si="111"/>
        <v>24906.267361111109</v>
      </c>
      <c r="Y367" s="1106">
        <f t="shared" si="112"/>
        <v>25319.521604938273</v>
      </c>
      <c r="Z367" s="1106">
        <f t="shared" si="113"/>
        <v>3778.3712577160495</v>
      </c>
      <c r="AA367" s="1106">
        <f t="shared" si="114"/>
        <v>21127.896103395062</v>
      </c>
      <c r="AC367" s="1098">
        <f t="shared" ref="AC367" si="126">X367/I367*1000</f>
        <v>1132.1030618686866</v>
      </c>
      <c r="AD367" s="1054">
        <f t="shared" ref="AD367" si="127">AC367-AB367</f>
        <v>1132.1030618686866</v>
      </c>
    </row>
    <row r="368" spans="1:30" hidden="1" x14ac:dyDescent="0.35">
      <c r="A368" s="179">
        <v>6</v>
      </c>
      <c r="B368" s="880" t="s">
        <v>22</v>
      </c>
      <c r="C368" s="82" t="s">
        <v>899</v>
      </c>
      <c r="D368" s="83" t="s">
        <v>900</v>
      </c>
      <c r="E368" s="892" t="str">
        <f>VLOOKUP(F368,'Quy đổi'!A:D,4,0)</f>
        <v>Xơ sợi</v>
      </c>
      <c r="F368" s="82" t="s">
        <v>87</v>
      </c>
      <c r="G368" s="82" t="s">
        <v>86</v>
      </c>
      <c r="H368" s="257" t="str">
        <f>IFERROR(VLOOKUP(F368,'Quy đổi'!A:C,3,0),"-")</f>
        <v>WSS05SB</v>
      </c>
      <c r="I368" s="1098">
        <v>46900</v>
      </c>
      <c r="K368" s="1098">
        <v>820750000</v>
      </c>
      <c r="O368" s="1097">
        <f t="shared" si="122"/>
        <v>820750000</v>
      </c>
      <c r="P368" s="1101">
        <f t="shared" si="116"/>
        <v>17500</v>
      </c>
      <c r="Q368" s="1101">
        <f t="shared" si="117"/>
        <v>675.15432098765427</v>
      </c>
      <c r="R368" s="1099">
        <v>1163164415</v>
      </c>
      <c r="S368" s="1101">
        <f t="shared" si="118"/>
        <v>24800.947014925372</v>
      </c>
      <c r="T368" s="1101">
        <f t="shared" si="119"/>
        <v>1012.283551629607</v>
      </c>
      <c r="U368" s="1101">
        <f t="shared" si="120"/>
        <v>-342414415</v>
      </c>
      <c r="V368" s="1103">
        <f t="shared" si="121"/>
        <v>-0.41719697228144992</v>
      </c>
      <c r="W368" s="1098">
        <v>25920</v>
      </c>
      <c r="X368" s="1106">
        <f t="shared" si="111"/>
        <v>31664.737654320987</v>
      </c>
      <c r="Y368" s="1106">
        <f t="shared" si="112"/>
        <v>31664.737654320987</v>
      </c>
      <c r="Z368" s="1106">
        <f t="shared" si="113"/>
        <v>-13210.432677469136</v>
      </c>
      <c r="AA368" s="1106">
        <f t="shared" si="114"/>
        <v>44875.170331790127</v>
      </c>
    </row>
    <row r="369" spans="1:29" hidden="1" x14ac:dyDescent="0.35">
      <c r="A369" s="179">
        <v>6</v>
      </c>
      <c r="B369" s="880" t="s">
        <v>26</v>
      </c>
      <c r="C369" s="82" t="s">
        <v>7</v>
      </c>
      <c r="D369" s="1172" t="s">
        <v>6</v>
      </c>
      <c r="E369" s="892" t="str">
        <f>VLOOKUP(F369,'Quy đổi'!A:D,4,0)</f>
        <v>rPP</v>
      </c>
      <c r="F369" s="82" t="s">
        <v>9</v>
      </c>
      <c r="G369" s="82" t="s">
        <v>8</v>
      </c>
      <c r="H369" s="257" t="str">
        <f>IFERROR(VLOOKUP(F369,'Quy đổi'!A:C,3,0),"-")</f>
        <v>rPP20Gy01</v>
      </c>
      <c r="I369" s="1098">
        <v>4000</v>
      </c>
      <c r="K369" s="1098">
        <v>111672000</v>
      </c>
      <c r="L369" s="1104">
        <f>15071656/24000*I369</f>
        <v>2511942.666666667</v>
      </c>
      <c r="O369" s="1097">
        <f t="shared" si="122"/>
        <v>109160057.33333333</v>
      </c>
      <c r="P369" s="1101">
        <f t="shared" si="116"/>
        <v>27290.014333333333</v>
      </c>
      <c r="Q369" s="1101">
        <f t="shared" si="117"/>
        <v>1052.855491255144</v>
      </c>
      <c r="R369" s="1099">
        <v>110657163</v>
      </c>
      <c r="S369" s="1101">
        <f t="shared" si="118"/>
        <v>27664.29075</v>
      </c>
      <c r="T369" s="1101">
        <f t="shared" si="119"/>
        <v>1129.1547244897959</v>
      </c>
      <c r="U369" s="1101">
        <f t="shared" si="120"/>
        <v>-1497105.6666666716</v>
      </c>
      <c r="V369" s="1103">
        <f t="shared" si="121"/>
        <v>-1.3406276118155595E-2</v>
      </c>
      <c r="W369" s="1098">
        <v>25920</v>
      </c>
      <c r="X369" s="1106">
        <f t="shared" si="111"/>
        <v>4211.421965020576</v>
      </c>
      <c r="Y369" s="1106">
        <f t="shared" si="112"/>
        <v>4308.333333333333</v>
      </c>
      <c r="Z369" s="1106">
        <f t="shared" si="113"/>
        <v>-57.758706275720357</v>
      </c>
      <c r="AA369" s="1106">
        <f t="shared" si="114"/>
        <v>4269.1806712962962</v>
      </c>
      <c r="AC369" s="1098">
        <f t="shared" ref="AC369:AC370" si="128">X369/I369*1000</f>
        <v>1052.855491255144</v>
      </c>
    </row>
    <row r="370" spans="1:29" hidden="1" x14ac:dyDescent="0.35">
      <c r="A370" s="179">
        <v>6</v>
      </c>
      <c r="B370" s="880" t="s">
        <v>26</v>
      </c>
      <c r="C370" s="82" t="s">
        <v>7</v>
      </c>
      <c r="D370" s="1172" t="s">
        <v>6</v>
      </c>
      <c r="E370" s="892" t="str">
        <f>VLOOKUP(F370,'Quy đổi'!A:D,4,0)</f>
        <v>rPP</v>
      </c>
      <c r="F370" s="82" t="s">
        <v>5</v>
      </c>
      <c r="G370" s="82" t="s">
        <v>4</v>
      </c>
      <c r="H370" s="257" t="str">
        <f>IFERROR(VLOOKUP(F370,'Quy đổi'!A:C,3,0),"-")</f>
        <v>rPP20L05</v>
      </c>
      <c r="I370" s="1098">
        <v>20000</v>
      </c>
      <c r="K370" s="1098">
        <v>558360000</v>
      </c>
      <c r="L370" s="1104">
        <f>15071656/24000*I370</f>
        <v>12559713.333333334</v>
      </c>
      <c r="O370" s="1097">
        <f t="shared" si="122"/>
        <v>545800286.66666663</v>
      </c>
      <c r="P370" s="1101">
        <f t="shared" si="116"/>
        <v>27290.014333333333</v>
      </c>
      <c r="Q370" s="1101">
        <f t="shared" si="117"/>
        <v>1052.855491255144</v>
      </c>
      <c r="R370" s="1099">
        <v>559221212</v>
      </c>
      <c r="S370" s="1101">
        <f t="shared" si="118"/>
        <v>27961.060600000001</v>
      </c>
      <c r="T370" s="1101">
        <f t="shared" si="119"/>
        <v>1141.2677795918369</v>
      </c>
      <c r="U370" s="1101">
        <f t="shared" si="120"/>
        <v>-13420925.333333373</v>
      </c>
      <c r="V370" s="1103">
        <f t="shared" si="121"/>
        <v>-2.4036330205124603E-2</v>
      </c>
      <c r="W370" s="1098">
        <v>25920</v>
      </c>
      <c r="X370" s="1106">
        <f t="shared" si="111"/>
        <v>21057.109825102878</v>
      </c>
      <c r="Y370" s="1106">
        <f t="shared" si="112"/>
        <v>21541.666666666668</v>
      </c>
      <c r="Z370" s="1106">
        <f t="shared" si="113"/>
        <v>-517.78261316872579</v>
      </c>
      <c r="AA370" s="1106">
        <f t="shared" si="114"/>
        <v>21574.892438271603</v>
      </c>
      <c r="AC370" s="1098">
        <f t="shared" si="128"/>
        <v>1052.855491255144</v>
      </c>
    </row>
    <row r="371" spans="1:29" hidden="1" x14ac:dyDescent="0.35">
      <c r="A371" s="179">
        <v>6</v>
      </c>
      <c r="B371" s="880" t="s">
        <v>26</v>
      </c>
      <c r="C371" s="82" t="s">
        <v>901</v>
      </c>
      <c r="D371" s="83" t="s">
        <v>902</v>
      </c>
      <c r="E371" s="892" t="str">
        <f>VLOOKUP(F371,'Quy đổi'!A:D,4,0)</f>
        <v>rPET</v>
      </c>
      <c r="F371" s="82" t="s">
        <v>919</v>
      </c>
      <c r="G371" s="82" t="s">
        <v>920</v>
      </c>
      <c r="H371" s="257" t="str">
        <f>IFERROR(VLOOKUP(F371,'Quy đổi'!A:C,3,0),"-")</f>
        <v>Vảy PET</v>
      </c>
      <c r="I371" s="1098">
        <v>2000</v>
      </c>
      <c r="K371" s="1098">
        <v>65400060</v>
      </c>
      <c r="L371" s="1104">
        <v>6907450</v>
      </c>
      <c r="N371" s="1056">
        <f>0.1*I371*W371</f>
        <v>5184000</v>
      </c>
      <c r="O371" s="1097">
        <f t="shared" si="122"/>
        <v>53308610</v>
      </c>
      <c r="P371" s="1101">
        <f t="shared" si="116"/>
        <v>26654.305</v>
      </c>
      <c r="Q371" s="1101">
        <f>P371/W371*1000</f>
        <v>1028.3296682098767</v>
      </c>
      <c r="R371" s="1099">
        <v>47482440</v>
      </c>
      <c r="S371" s="1101">
        <f t="shared" si="118"/>
        <v>23741.22</v>
      </c>
      <c r="T371" s="1101">
        <f t="shared" si="119"/>
        <v>969.02938775510211</v>
      </c>
      <c r="U371" s="1101">
        <f t="shared" si="120"/>
        <v>5826170</v>
      </c>
      <c r="V371" s="1103">
        <f t="shared" si="121"/>
        <v>8.9085086466281535E-2</v>
      </c>
      <c r="W371" s="1098">
        <v>25920</v>
      </c>
      <c r="X371" s="1106">
        <f t="shared" si="111"/>
        <v>2056.6593364197529</v>
      </c>
      <c r="Y371" s="1106">
        <f t="shared" si="112"/>
        <v>2523.150462962963</v>
      </c>
      <c r="Z371" s="1106">
        <f t="shared" si="113"/>
        <v>224.77507716049382</v>
      </c>
      <c r="AA371" s="1106">
        <f t="shared" si="114"/>
        <v>1831.8842592592594</v>
      </c>
    </row>
    <row r="372" spans="1:29" hidden="1" x14ac:dyDescent="0.35">
      <c r="A372" s="179">
        <v>6</v>
      </c>
      <c r="B372" s="880" t="s">
        <v>22</v>
      </c>
      <c r="C372" s="82" t="s">
        <v>120</v>
      </c>
      <c r="D372" s="83" t="s">
        <v>226</v>
      </c>
      <c r="E372" s="892" t="str">
        <f>VLOOKUP(F372,'Quy đổi'!A:D,4,0)</f>
        <v>rPET</v>
      </c>
      <c r="F372" s="82" t="s">
        <v>127</v>
      </c>
      <c r="G372" s="82" t="s">
        <v>114</v>
      </c>
      <c r="H372" s="257" t="str">
        <f>IFERROR(VLOOKUP(F372,'Quy đổi'!A:C,3,0),"-")</f>
        <v>iSS01084G</v>
      </c>
      <c r="I372" s="1098">
        <v>22000</v>
      </c>
      <c r="K372" s="1098">
        <v>798443800</v>
      </c>
      <c r="L372" s="1056">
        <f>140*I372</f>
        <v>3080000</v>
      </c>
      <c r="O372" s="1097">
        <f t="shared" si="122"/>
        <v>795363800</v>
      </c>
      <c r="P372" s="1101">
        <f t="shared" si="116"/>
        <v>36152.9</v>
      </c>
      <c r="Q372" s="1101">
        <f t="shared" si="117"/>
        <v>1394.7878086419753</v>
      </c>
      <c r="R372" s="1099">
        <v>615753460</v>
      </c>
      <c r="S372" s="1101">
        <f t="shared" si="118"/>
        <v>27988.793636363636</v>
      </c>
      <c r="T372" s="1101">
        <f t="shared" si="119"/>
        <v>1142.3997402597402</v>
      </c>
      <c r="U372" s="1101">
        <f t="shared" si="120"/>
        <v>179610340</v>
      </c>
      <c r="V372" s="1103">
        <f t="shared" si="121"/>
        <v>0.22495050997953769</v>
      </c>
      <c r="W372" s="1098">
        <v>25920</v>
      </c>
      <c r="X372" s="1106">
        <f t="shared" si="111"/>
        <v>30685.331790123455</v>
      </c>
      <c r="Y372" s="1106">
        <f t="shared" si="112"/>
        <v>30804.158950617282</v>
      </c>
      <c r="Z372" s="1106">
        <f t="shared" si="113"/>
        <v>6929.4112654320988</v>
      </c>
      <c r="AA372" s="1106">
        <f t="shared" si="114"/>
        <v>23755.920524691359</v>
      </c>
    </row>
    <row r="373" spans="1:29" hidden="1" x14ac:dyDescent="0.35">
      <c r="A373" s="179">
        <v>6</v>
      </c>
      <c r="B373" s="880" t="s">
        <v>22</v>
      </c>
      <c r="C373" s="82" t="s">
        <v>176</v>
      </c>
      <c r="D373" s="83" t="s">
        <v>177</v>
      </c>
      <c r="E373" s="892" t="str">
        <f>VLOOKUP(F373,'Quy đổi'!A:D,4,0)</f>
        <v>rPET</v>
      </c>
      <c r="F373" s="82" t="s">
        <v>127</v>
      </c>
      <c r="G373" s="82" t="s">
        <v>114</v>
      </c>
      <c r="H373" s="257" t="str">
        <f>IFERROR(VLOOKUP(F373,'Quy đổi'!A:C,3,0),"-")</f>
        <v>iSS01084G</v>
      </c>
      <c r="I373" s="1098">
        <v>-59767</v>
      </c>
      <c r="K373" s="1098">
        <v>-2194881757</v>
      </c>
      <c r="L373" s="1099">
        <f>17685185.1851852*3</f>
        <v>53055555.555555604</v>
      </c>
      <c r="O373" s="1097">
        <f t="shared" si="122"/>
        <v>-2247937312.5555558</v>
      </c>
      <c r="P373" s="1101">
        <f t="shared" si="116"/>
        <v>37611.680568801443</v>
      </c>
      <c r="Q373" s="1101">
        <f t="shared" si="117"/>
        <v>1451.067923179068</v>
      </c>
      <c r="R373" s="1099">
        <v>-1672806230</v>
      </c>
      <c r="S373" s="1101">
        <f t="shared" si="118"/>
        <v>27988.793648668998</v>
      </c>
      <c r="T373" s="1101">
        <f t="shared" si="119"/>
        <v>1142.399740762</v>
      </c>
      <c r="U373" s="1101">
        <f t="shared" si="120"/>
        <v>-575131082.55555582</v>
      </c>
      <c r="V373" s="1103">
        <f t="shared" si="121"/>
        <v>0.26203283193790555</v>
      </c>
      <c r="W373" s="1098">
        <v>25920</v>
      </c>
      <c r="X373" s="1106">
        <f t="shared" si="111"/>
        <v>-86725.976564643352</v>
      </c>
      <c r="Y373" s="1106">
        <f t="shared" si="112"/>
        <v>-84679.080131172843</v>
      </c>
      <c r="Z373" s="1106">
        <f t="shared" si="113"/>
        <v>-22188.69917266805</v>
      </c>
      <c r="AA373" s="1106">
        <f t="shared" si="114"/>
        <v>-64537.277391975309</v>
      </c>
    </row>
    <row r="374" spans="1:29" hidden="1" x14ac:dyDescent="0.35">
      <c r="A374" s="179">
        <v>6</v>
      </c>
      <c r="B374" s="880" t="s">
        <v>22</v>
      </c>
      <c r="C374" s="82" t="s">
        <v>176</v>
      </c>
      <c r="D374" s="83" t="s">
        <v>177</v>
      </c>
      <c r="E374" s="892" t="str">
        <f>VLOOKUP(F374,'Quy đổi'!A:D,4,0)</f>
        <v>rPET</v>
      </c>
      <c r="F374" s="82" t="s">
        <v>127</v>
      </c>
      <c r="G374" s="82" t="s">
        <v>114</v>
      </c>
      <c r="H374" s="257" t="str">
        <f>IFERROR(VLOOKUP(F374,'Quy đổi'!A:C,3,0),"-")</f>
        <v>iSS01084G</v>
      </c>
      <c r="I374" s="1098">
        <v>411400</v>
      </c>
      <c r="K374" s="1098">
        <v>15132739600</v>
      </c>
      <c r="L374" s="1056">
        <v>466759259.25925905</v>
      </c>
      <c r="O374" s="1097">
        <f t="shared" si="122"/>
        <v>14665980340.740742</v>
      </c>
      <c r="P374" s="1101">
        <f t="shared" si="116"/>
        <v>35648.955616773797</v>
      </c>
      <c r="Q374" s="1101">
        <f t="shared" si="117"/>
        <v>1375.3455099063965</v>
      </c>
      <c r="R374" s="1099">
        <v>11514589702</v>
      </c>
      <c r="S374" s="1101">
        <f t="shared" si="118"/>
        <v>27988.793636363636</v>
      </c>
      <c r="T374" s="1101">
        <f t="shared" si="119"/>
        <v>1142.3997402597402</v>
      </c>
      <c r="U374" s="1101">
        <f t="shared" si="120"/>
        <v>3151390638.7407417</v>
      </c>
      <c r="V374" s="1103">
        <f t="shared" si="121"/>
        <v>0.20824984252955372</v>
      </c>
      <c r="W374" s="1098">
        <v>25920</v>
      </c>
      <c r="X374" s="1106">
        <f t="shared" si="111"/>
        <v>565817.14277549158</v>
      </c>
      <c r="Y374" s="1106">
        <f t="shared" si="112"/>
        <v>583824.8302469136</v>
      </c>
      <c r="Z374" s="1106">
        <f t="shared" si="113"/>
        <v>121581.42896376319</v>
      </c>
      <c r="AA374" s="1106">
        <f t="shared" si="114"/>
        <v>444235.7138117284</v>
      </c>
    </row>
    <row r="375" spans="1:29" hidden="1" x14ac:dyDescent="0.35">
      <c r="A375" s="179">
        <v>6</v>
      </c>
      <c r="B375" s="880" t="s">
        <v>26</v>
      </c>
      <c r="C375" s="82" t="s">
        <v>903</v>
      </c>
      <c r="D375" s="1172" t="s">
        <v>904</v>
      </c>
      <c r="E375" s="892" t="str">
        <f>VLOOKUP(F375,'Quy đổi'!A:D,4,0)</f>
        <v>Xơ sợi</v>
      </c>
      <c r="F375" s="82" t="s">
        <v>463</v>
      </c>
      <c r="G375" s="82" t="s">
        <v>470</v>
      </c>
      <c r="H375" s="257" t="str">
        <f>IFERROR(VLOOKUP(F375,'Quy đổi'!A:C,3,0),"-")</f>
        <v>WSS05SB-2</v>
      </c>
      <c r="I375" s="1098">
        <v>63000</v>
      </c>
      <c r="K375" s="1098">
        <v>1013607000</v>
      </c>
      <c r="L375" s="1104">
        <v>31143888</v>
      </c>
      <c r="O375" s="1097">
        <f t="shared" si="122"/>
        <v>982463112</v>
      </c>
      <c r="P375" s="1101">
        <f t="shared" si="116"/>
        <v>15594.652571428571</v>
      </c>
      <c r="Q375" s="1101">
        <f t="shared" si="117"/>
        <v>601.64554673721341</v>
      </c>
      <c r="R375" s="1099">
        <v>1559137935</v>
      </c>
      <c r="S375" s="1101">
        <f t="shared" si="118"/>
        <v>24748.22119047619</v>
      </c>
      <c r="T375" s="1101">
        <f t="shared" si="119"/>
        <v>1010.1314771622934</v>
      </c>
      <c r="U375" s="1101">
        <f t="shared" si="120"/>
        <v>-576674823</v>
      </c>
      <c r="V375" s="1103">
        <f t="shared" si="121"/>
        <v>-0.56893334694807751</v>
      </c>
      <c r="W375" s="1098">
        <v>25920</v>
      </c>
      <c r="X375" s="1106">
        <f t="shared" si="111"/>
        <v>37903.669444444444</v>
      </c>
      <c r="Y375" s="1106">
        <f t="shared" si="112"/>
        <v>39105.208333333336</v>
      </c>
      <c r="Z375" s="1106">
        <f t="shared" si="113"/>
        <v>-22248.257060185184</v>
      </c>
      <c r="AA375" s="1106">
        <f t="shared" si="114"/>
        <v>60151.926504629628</v>
      </c>
      <c r="AC375" s="1098">
        <f>X375/I375*1000</f>
        <v>601.64554673721341</v>
      </c>
    </row>
    <row r="376" spans="1:29" hidden="1" x14ac:dyDescent="0.35">
      <c r="A376" s="179">
        <v>6</v>
      </c>
      <c r="B376" s="880" t="s">
        <v>26</v>
      </c>
      <c r="C376" s="82" t="s">
        <v>905</v>
      </c>
      <c r="D376" s="1172" t="s">
        <v>906</v>
      </c>
      <c r="E376" s="892" t="str">
        <f>VLOOKUP(F376,'Quy đổi'!A:D,4,0)</f>
        <v>rPET</v>
      </c>
      <c r="F376" s="82" t="s">
        <v>110</v>
      </c>
      <c r="G376" s="82" t="s">
        <v>109</v>
      </c>
      <c r="H376" s="257" t="str">
        <f>IFERROR(VLOOKUP(F376,'Quy đổi'!A:C,3,0),"-")</f>
        <v>WSS01G</v>
      </c>
      <c r="I376" s="1098">
        <v>22000</v>
      </c>
      <c r="K376" s="1098">
        <v>711700000</v>
      </c>
      <c r="L376" s="1104">
        <v>9165185</v>
      </c>
      <c r="O376" s="1097">
        <f t="shared" si="122"/>
        <v>702534815</v>
      </c>
      <c r="P376" s="1101">
        <f t="shared" si="116"/>
        <v>31933.400681818181</v>
      </c>
      <c r="Q376" s="1101">
        <f t="shared" si="117"/>
        <v>1231.9984830948372</v>
      </c>
      <c r="R376" s="1099">
        <v>615214787</v>
      </c>
      <c r="S376" s="1101">
        <f t="shared" si="118"/>
        <v>27964.308499999999</v>
      </c>
      <c r="T376" s="1101">
        <f t="shared" si="119"/>
        <v>1141.4003469387756</v>
      </c>
      <c r="U376" s="1101">
        <f t="shared" si="120"/>
        <v>87320028</v>
      </c>
      <c r="V376" s="1103">
        <f t="shared" si="121"/>
        <v>0.12269218490937192</v>
      </c>
      <c r="W376" s="1098">
        <v>25920</v>
      </c>
      <c r="X376" s="1106">
        <f t="shared" si="111"/>
        <v>27103.966628086418</v>
      </c>
      <c r="Y376" s="1106">
        <f t="shared" si="112"/>
        <v>27457.561728395063</v>
      </c>
      <c r="Z376" s="1106">
        <f t="shared" si="113"/>
        <v>3368.828240740741</v>
      </c>
      <c r="AA376" s="1106">
        <f t="shared" si="114"/>
        <v>23735.13838734568</v>
      </c>
    </row>
    <row r="377" spans="1:29" hidden="1" x14ac:dyDescent="0.35">
      <c r="A377" s="179">
        <v>6</v>
      </c>
      <c r="B377" s="880" t="s">
        <v>22</v>
      </c>
      <c r="C377" s="82" t="s">
        <v>907</v>
      </c>
      <c r="D377" s="83" t="s">
        <v>908</v>
      </c>
      <c r="E377" s="892" t="str">
        <f>VLOOKUP(F377,'Quy đổi'!A:D,4,0)</f>
        <v>rPET</v>
      </c>
      <c r="F377" s="82" t="s">
        <v>110</v>
      </c>
      <c r="G377" s="82" t="s">
        <v>109</v>
      </c>
      <c r="H377" s="257" t="str">
        <f>IFERROR(VLOOKUP(F377,'Quy đổi'!A:C,3,0),"-")</f>
        <v>WSS01G</v>
      </c>
      <c r="I377" s="1098">
        <v>44000</v>
      </c>
      <c r="K377" s="1098">
        <v>1410772000</v>
      </c>
      <c r="L377" s="1056">
        <f>140*I377</f>
        <v>6160000</v>
      </c>
      <c r="O377" s="1097">
        <f t="shared" si="122"/>
        <v>1404612000</v>
      </c>
      <c r="P377" s="1101">
        <f t="shared" si="116"/>
        <v>31923</v>
      </c>
      <c r="Q377" s="1101">
        <f t="shared" si="117"/>
        <v>1231.5972222222222</v>
      </c>
      <c r="R377" s="1099">
        <v>1230429574</v>
      </c>
      <c r="S377" s="1101">
        <f t="shared" si="118"/>
        <v>27964.308499999999</v>
      </c>
      <c r="T377" s="1101">
        <f t="shared" si="119"/>
        <v>1141.4003469387756</v>
      </c>
      <c r="U377" s="1101">
        <f t="shared" si="120"/>
        <v>174182426</v>
      </c>
      <c r="V377" s="1103">
        <f t="shared" si="121"/>
        <v>0.12346603561737829</v>
      </c>
      <c r="W377" s="1098">
        <v>25920</v>
      </c>
      <c r="X377" s="1106">
        <f t="shared" si="111"/>
        <v>54190.277777777781</v>
      </c>
      <c r="Y377" s="1106">
        <f t="shared" si="112"/>
        <v>54427.932098765436</v>
      </c>
      <c r="Z377" s="1106">
        <f t="shared" si="113"/>
        <v>6720.0010030864196</v>
      </c>
      <c r="AA377" s="1106">
        <f t="shared" si="114"/>
        <v>47470.27677469136</v>
      </c>
    </row>
    <row r="378" spans="1:29" hidden="1" x14ac:dyDescent="0.35">
      <c r="A378" s="179">
        <v>6</v>
      </c>
      <c r="B378" s="880" t="s">
        <v>22</v>
      </c>
      <c r="C378" s="82" t="s">
        <v>82</v>
      </c>
      <c r="D378" s="83" t="s">
        <v>81</v>
      </c>
      <c r="E378" s="892" t="str">
        <f>VLOOKUP(F378,'Quy đổi'!A:D,4,0)</f>
        <v>rHDPE thổi</v>
      </c>
      <c r="F378" s="82" t="s">
        <v>75</v>
      </c>
      <c r="G378" s="82" t="s">
        <v>74</v>
      </c>
      <c r="H378" s="257" t="str">
        <f>IFERROR(VLOOKUP(F378,'Quy đổi'!A:C,3,0),"-")</f>
        <v>HCBF-Yel-U</v>
      </c>
      <c r="I378" s="1098">
        <v>44000</v>
      </c>
      <c r="K378" s="1098">
        <v>1467180000</v>
      </c>
      <c r="O378" s="1097">
        <f t="shared" si="122"/>
        <v>1467180000</v>
      </c>
      <c r="P378" s="1101">
        <f t="shared" si="116"/>
        <v>33345</v>
      </c>
      <c r="Q378" s="1101">
        <f t="shared" si="117"/>
        <v>1286.4583333333333</v>
      </c>
      <c r="R378" s="1099">
        <v>1215293992</v>
      </c>
      <c r="S378" s="1101">
        <f t="shared" si="118"/>
        <v>27620.317999999999</v>
      </c>
      <c r="T378" s="1101">
        <f t="shared" si="119"/>
        <v>1127.3599183673468</v>
      </c>
      <c r="U378" s="1101">
        <f t="shared" si="120"/>
        <v>251886008</v>
      </c>
      <c r="V378" s="1103">
        <f t="shared" si="121"/>
        <v>0.17168037186984555</v>
      </c>
      <c r="W378" s="1098">
        <v>25920</v>
      </c>
      <c r="X378" s="1106">
        <f t="shared" si="111"/>
        <v>56604.166666666664</v>
      </c>
      <c r="Y378" s="1106">
        <f t="shared" si="112"/>
        <v>56604.166666666664</v>
      </c>
      <c r="Z378" s="1106">
        <f t="shared" si="113"/>
        <v>9717.8243827160495</v>
      </c>
      <c r="AA378" s="1106">
        <f t="shared" si="114"/>
        <v>46886.342283950617</v>
      </c>
    </row>
    <row r="379" spans="1:29" hidden="1" x14ac:dyDescent="0.35">
      <c r="A379" s="179">
        <v>6</v>
      </c>
      <c r="B379" s="880" t="s">
        <v>22</v>
      </c>
      <c r="C379" s="82" t="s">
        <v>82</v>
      </c>
      <c r="D379" s="83" t="s">
        <v>81</v>
      </c>
      <c r="E379" s="892" t="str">
        <f>VLOOKUP(F379,'Quy đổi'!A:D,4,0)</f>
        <v>rHDPE thổi</v>
      </c>
      <c r="F379" s="82" t="s">
        <v>69</v>
      </c>
      <c r="G379" s="82" t="s">
        <v>68</v>
      </c>
      <c r="H379" s="257" t="str">
        <f>IFERROR(VLOOKUP(F379,'Quy đổi'!A:C,3,0),"-")</f>
        <v>MBF01</v>
      </c>
      <c r="I379" s="1098">
        <v>88000</v>
      </c>
      <c r="K379" s="1098">
        <v>3047220000</v>
      </c>
      <c r="O379" s="1097">
        <f t="shared" si="122"/>
        <v>3047220000</v>
      </c>
      <c r="P379" s="1101">
        <f t="shared" si="116"/>
        <v>34627.5</v>
      </c>
      <c r="Q379" s="1101">
        <f t="shared" si="117"/>
        <v>1335.9375</v>
      </c>
      <c r="R379" s="1099">
        <v>2408765424</v>
      </c>
      <c r="S379" s="1101">
        <f t="shared" si="118"/>
        <v>27372.334363636364</v>
      </c>
      <c r="T379" s="1101">
        <f t="shared" si="119"/>
        <v>1117.2381372912803</v>
      </c>
      <c r="U379" s="1101">
        <f t="shared" si="120"/>
        <v>638454576</v>
      </c>
      <c r="V379" s="1103">
        <f t="shared" si="121"/>
        <v>0.20952034181975701</v>
      </c>
      <c r="W379" s="1098">
        <v>25920</v>
      </c>
      <c r="X379" s="1106">
        <f t="shared" si="111"/>
        <v>117562.5</v>
      </c>
      <c r="Y379" s="1106">
        <f t="shared" si="112"/>
        <v>117562.5</v>
      </c>
      <c r="Z379" s="1106">
        <f t="shared" si="113"/>
        <v>24631.735185185185</v>
      </c>
      <c r="AA379" s="1106">
        <f t="shared" si="114"/>
        <v>92930.764814814815</v>
      </c>
    </row>
    <row r="380" spans="1:29" hidden="1" x14ac:dyDescent="0.35">
      <c r="A380" s="179">
        <v>6</v>
      </c>
      <c r="B380" s="880" t="s">
        <v>22</v>
      </c>
      <c r="C380" s="82" t="s">
        <v>82</v>
      </c>
      <c r="D380" s="83" t="s">
        <v>81</v>
      </c>
      <c r="E380" s="892" t="str">
        <f>VLOOKUP(F380,'Quy đổi'!A:D,4,0)</f>
        <v>rHDPE thổi</v>
      </c>
      <c r="F380" s="82" t="s">
        <v>80</v>
      </c>
      <c r="G380" s="82" t="s">
        <v>79</v>
      </c>
      <c r="H380" s="257" t="str">
        <f>IFERROR(VLOOKUP(F380,'Quy đổi'!A:C,3,0),"-")</f>
        <v>PCF01</v>
      </c>
      <c r="I380" s="1098">
        <v>33000</v>
      </c>
      <c r="K380" s="1098">
        <v>1142707500</v>
      </c>
      <c r="O380" s="1097">
        <f t="shared" si="122"/>
        <v>1142707500</v>
      </c>
      <c r="P380" s="1101">
        <f t="shared" si="116"/>
        <v>34627.5</v>
      </c>
      <c r="Q380" s="1101">
        <f t="shared" si="117"/>
        <v>1335.9375</v>
      </c>
      <c r="R380" s="1099">
        <v>929948826</v>
      </c>
      <c r="S380" s="1101">
        <f t="shared" si="118"/>
        <v>28180.267454545454</v>
      </c>
      <c r="T380" s="1101">
        <f t="shared" si="119"/>
        <v>1150.2149981447124</v>
      </c>
      <c r="U380" s="1101">
        <f t="shared" si="120"/>
        <v>212758674</v>
      </c>
      <c r="V380" s="1103">
        <f t="shared" si="121"/>
        <v>0.18618821876989519</v>
      </c>
      <c r="W380" s="1098">
        <v>25920</v>
      </c>
      <c r="X380" s="1106">
        <f t="shared" si="111"/>
        <v>44085.9375</v>
      </c>
      <c r="Y380" s="1106">
        <f t="shared" si="112"/>
        <v>44085.9375</v>
      </c>
      <c r="Z380" s="1106">
        <f t="shared" si="113"/>
        <v>8208.2821759259259</v>
      </c>
      <c r="AA380" s="1106">
        <f t="shared" si="114"/>
        <v>35877.655324074076</v>
      </c>
    </row>
    <row r="381" spans="1:29" hidden="1" x14ac:dyDescent="0.35">
      <c r="A381" s="179">
        <v>6</v>
      </c>
      <c r="B381" s="880" t="s">
        <v>22</v>
      </c>
      <c r="C381" s="82" t="s">
        <v>82</v>
      </c>
      <c r="D381" s="83" t="s">
        <v>81</v>
      </c>
      <c r="E381" s="892" t="str">
        <f>VLOOKUP(F381,'Quy đổi'!A:D,4,0)</f>
        <v>rPET</v>
      </c>
      <c r="F381" s="82" t="s">
        <v>110</v>
      </c>
      <c r="G381" s="82" t="s">
        <v>109</v>
      </c>
      <c r="H381" s="257" t="str">
        <f>IFERROR(VLOOKUP(F381,'Quy đổi'!A:C,3,0),"-")</f>
        <v>WSS01G</v>
      </c>
      <c r="I381" s="1098">
        <v>11000</v>
      </c>
      <c r="K381" s="1098">
        <v>352687500</v>
      </c>
      <c r="O381" s="1097">
        <f t="shared" si="122"/>
        <v>352687500</v>
      </c>
      <c r="P381" s="1101">
        <f t="shared" si="116"/>
        <v>32062.5</v>
      </c>
      <c r="Q381" s="1101">
        <f t="shared" si="117"/>
        <v>1236.9791666666667</v>
      </c>
      <c r="R381" s="1099">
        <v>307607393</v>
      </c>
      <c r="S381" s="1101">
        <f t="shared" si="118"/>
        <v>27964.308454545455</v>
      </c>
      <c r="T381" s="1101">
        <f t="shared" si="119"/>
        <v>1141.400345083488</v>
      </c>
      <c r="U381" s="1101">
        <f t="shared" si="120"/>
        <v>45080107</v>
      </c>
      <c r="V381" s="1103">
        <f t="shared" si="121"/>
        <v>0.12781883962431331</v>
      </c>
      <c r="W381" s="1098">
        <v>25920</v>
      </c>
      <c r="X381" s="1106">
        <f t="shared" ref="X381:X386" si="129">O381/W381</f>
        <v>13606.770833333334</v>
      </c>
      <c r="Y381" s="1106">
        <f t="shared" ref="Y381:Y386" si="130">K381/W381</f>
        <v>13606.770833333334</v>
      </c>
      <c r="Z381" s="1106">
        <f t="shared" ref="Z381:Z386" si="131">U381/W381</f>
        <v>1739.2016589506172</v>
      </c>
      <c r="AA381" s="1106">
        <f t="shared" ref="AA381:AA386" si="132">R381/W381</f>
        <v>11867.569174382716</v>
      </c>
    </row>
    <row r="382" spans="1:29" hidden="1" x14ac:dyDescent="0.35">
      <c r="A382" s="179">
        <v>6</v>
      </c>
      <c r="B382" s="880" t="s">
        <v>22</v>
      </c>
      <c r="C382" s="82" t="s">
        <v>132</v>
      </c>
      <c r="D382" s="83" t="s">
        <v>213</v>
      </c>
      <c r="E382" s="892" t="str">
        <f>VLOOKUP(F382,'Quy đổi'!A:D,4,0)</f>
        <v>rPET</v>
      </c>
      <c r="F382" s="82" t="s">
        <v>110</v>
      </c>
      <c r="G382" s="82" t="s">
        <v>109</v>
      </c>
      <c r="H382" s="257" t="str">
        <f>IFERROR(VLOOKUP(F382,'Quy đổi'!A:C,3,0),"-")</f>
        <v>WSS01G</v>
      </c>
      <c r="I382" s="1098">
        <v>88000</v>
      </c>
      <c r="K382" s="1098">
        <v>2821544000</v>
      </c>
      <c r="L382" s="1056">
        <f>140*I382</f>
        <v>12320000</v>
      </c>
      <c r="O382" s="1097">
        <f t="shared" si="122"/>
        <v>2809224000</v>
      </c>
      <c r="P382" s="1101">
        <f t="shared" si="116"/>
        <v>31923</v>
      </c>
      <c r="Q382" s="1101">
        <f t="shared" si="117"/>
        <v>1231.5972222222222</v>
      </c>
      <c r="R382" s="1099">
        <v>2460859148</v>
      </c>
      <c r="S382" s="1101">
        <f t="shared" si="118"/>
        <v>27964.308499999999</v>
      </c>
      <c r="T382" s="1101">
        <f t="shared" si="119"/>
        <v>1141.4003469387756</v>
      </c>
      <c r="U382" s="1101">
        <f t="shared" si="120"/>
        <v>348364852</v>
      </c>
      <c r="V382" s="1103">
        <f t="shared" si="121"/>
        <v>0.12346603561737829</v>
      </c>
      <c r="W382" s="1098">
        <v>25920</v>
      </c>
      <c r="X382" s="1106">
        <f t="shared" si="129"/>
        <v>108380.55555555556</v>
      </c>
      <c r="Y382" s="1106">
        <f t="shared" si="130"/>
        <v>108855.86419753087</v>
      </c>
      <c r="Z382" s="1106">
        <f t="shared" si="131"/>
        <v>13440.002006172839</v>
      </c>
      <c r="AA382" s="1106">
        <f t="shared" si="132"/>
        <v>94940.553549382719</v>
      </c>
    </row>
    <row r="383" spans="1:29" hidden="1" x14ac:dyDescent="0.35">
      <c r="A383" s="179">
        <v>6</v>
      </c>
      <c r="B383" s="880" t="s">
        <v>22</v>
      </c>
      <c r="C383" s="82" t="s">
        <v>132</v>
      </c>
      <c r="D383" s="83" t="s">
        <v>213</v>
      </c>
      <c r="E383" s="892" t="str">
        <f>VLOOKUP(F383,'Quy đổi'!A:D,4,0)</f>
        <v>rPET</v>
      </c>
      <c r="F383" s="82" t="s">
        <v>110</v>
      </c>
      <c r="G383" s="82" t="s">
        <v>109</v>
      </c>
      <c r="H383" s="257" t="str">
        <f>IFERROR(VLOOKUP(F383,'Quy đổi'!A:C,3,0),"-")</f>
        <v>WSS01G</v>
      </c>
      <c r="I383" s="1098">
        <v>198000</v>
      </c>
      <c r="K383" s="1098">
        <v>6348474000</v>
      </c>
      <c r="L383" s="1056">
        <f>140*I383</f>
        <v>27720000</v>
      </c>
      <c r="O383" s="1097">
        <f t="shared" si="122"/>
        <v>6320754000</v>
      </c>
      <c r="P383" s="1101">
        <f t="shared" si="116"/>
        <v>31923</v>
      </c>
      <c r="Q383" s="1101">
        <f t="shared" si="117"/>
        <v>1231.5972222222222</v>
      </c>
      <c r="R383" s="1099">
        <v>5536933083</v>
      </c>
      <c r="S383" s="1101">
        <f t="shared" si="118"/>
        <v>27964.308499999999</v>
      </c>
      <c r="T383" s="1101">
        <f t="shared" si="119"/>
        <v>1141.4003469387756</v>
      </c>
      <c r="U383" s="1101">
        <f t="shared" si="120"/>
        <v>783820917</v>
      </c>
      <c r="V383" s="1103">
        <f t="shared" si="121"/>
        <v>0.12346603561737829</v>
      </c>
      <c r="W383" s="1098">
        <v>25920</v>
      </c>
      <c r="X383" s="1106">
        <f t="shared" si="129"/>
        <v>243856.25</v>
      </c>
      <c r="Y383" s="1106">
        <f t="shared" si="130"/>
        <v>244925.69444444444</v>
      </c>
      <c r="Z383" s="1106">
        <f t="shared" si="131"/>
        <v>30240.004513888889</v>
      </c>
      <c r="AA383" s="1106">
        <f t="shared" si="132"/>
        <v>213616.24548611112</v>
      </c>
    </row>
    <row r="384" spans="1:29" hidden="1" x14ac:dyDescent="0.35">
      <c r="A384" s="179">
        <v>6</v>
      </c>
      <c r="B384" s="880" t="s">
        <v>26</v>
      </c>
      <c r="C384" s="82" t="s">
        <v>362</v>
      </c>
      <c r="D384" s="1172" t="s">
        <v>363</v>
      </c>
      <c r="E384" s="892" t="str">
        <f>VLOOKUP(F384,'Quy đổi'!A:D,4,0)</f>
        <v>rPET</v>
      </c>
      <c r="F384" s="82" t="s">
        <v>100</v>
      </c>
      <c r="G384" s="82" t="s">
        <v>99</v>
      </c>
      <c r="H384" s="257" t="str">
        <f>IFERROR(VLOOKUP(F384,'Quy đổi'!A:C,3,0),"-")</f>
        <v>iSS01G</v>
      </c>
      <c r="I384" s="1098">
        <v>154000</v>
      </c>
      <c r="K384" s="1098">
        <v>5123256600</v>
      </c>
      <c r="L384" s="1104">
        <v>63849035</v>
      </c>
      <c r="O384" s="1097">
        <f t="shared" si="122"/>
        <v>5059407565</v>
      </c>
      <c r="P384" s="1101">
        <f t="shared" ref="P384:P445" si="133">O384/I384</f>
        <v>32853.295876623379</v>
      </c>
      <c r="Q384" s="1101">
        <f t="shared" ref="Q384:Q445" si="134">P384/W384*1000</f>
        <v>1267.4882668450377</v>
      </c>
      <c r="R384" s="1099">
        <v>4143722541</v>
      </c>
      <c r="S384" s="1101">
        <f t="shared" ref="S384:S385" si="135">R384/I384</f>
        <v>26907.289227272726</v>
      </c>
      <c r="T384" s="1101">
        <f t="shared" ref="T384:T385" si="136">S384/24.5</f>
        <v>1098.2567031539888</v>
      </c>
      <c r="U384" s="1101">
        <f t="shared" ref="U384:U385" si="137">O384-R384</f>
        <v>915685024</v>
      </c>
      <c r="V384" s="1103">
        <f t="shared" ref="V384:V385" si="138">U384/K384</f>
        <v>0.17873104852878147</v>
      </c>
      <c r="W384" s="1098">
        <v>25920</v>
      </c>
      <c r="X384" s="1106">
        <f t="shared" si="129"/>
        <v>195193.19309413582</v>
      </c>
      <c r="Y384" s="1106">
        <f t="shared" si="130"/>
        <v>197656.50462962964</v>
      </c>
      <c r="Z384" s="1106">
        <f t="shared" si="131"/>
        <v>35327.354320987652</v>
      </c>
      <c r="AA384" s="1106">
        <f t="shared" si="132"/>
        <v>159865.83877314813</v>
      </c>
    </row>
    <row r="385" spans="1:27" hidden="1" x14ac:dyDescent="0.35">
      <c r="A385" s="179">
        <v>6</v>
      </c>
      <c r="B385" s="880" t="s">
        <v>26</v>
      </c>
      <c r="C385" s="82" t="s">
        <v>909</v>
      </c>
      <c r="D385" s="83" t="s">
        <v>910</v>
      </c>
      <c r="E385" s="892" t="str">
        <f>VLOOKUP(F385,'Quy đổi'!A:D,4,0)</f>
        <v>rHDPE thổi</v>
      </c>
      <c r="F385" s="82" t="s">
        <v>375</v>
      </c>
      <c r="G385" s="82" t="s">
        <v>376</v>
      </c>
      <c r="H385" s="257" t="str">
        <f>IFERROR(VLOOKUP(F385,'Quy đổi'!A:C,3,0),"-")</f>
        <v>A03N01</v>
      </c>
      <c r="I385" s="1098">
        <v>4125</v>
      </c>
      <c r="K385" s="1098">
        <v>174771850</v>
      </c>
      <c r="L385" s="1104">
        <v>25326490</v>
      </c>
      <c r="O385" s="1097">
        <f t="shared" si="122"/>
        <v>149445360</v>
      </c>
      <c r="P385" s="1101">
        <f t="shared" si="133"/>
        <v>36229.178181818184</v>
      </c>
      <c r="Q385" s="1101">
        <f t="shared" si="134"/>
        <v>1397.73063973064</v>
      </c>
      <c r="R385" s="1099">
        <v>117531843</v>
      </c>
      <c r="S385" s="1101">
        <f t="shared" si="135"/>
        <v>28492.567999999999</v>
      </c>
      <c r="T385" s="1101">
        <f t="shared" si="136"/>
        <v>1162.9619591836733</v>
      </c>
      <c r="U385" s="1101">
        <f t="shared" si="137"/>
        <v>31913517</v>
      </c>
      <c r="V385" s="1103">
        <f t="shared" si="138"/>
        <v>0.18260101383603825</v>
      </c>
      <c r="W385" s="1098">
        <v>25920</v>
      </c>
      <c r="X385" s="1106">
        <f t="shared" si="129"/>
        <v>5765.6388888888887</v>
      </c>
      <c r="Y385" s="1106">
        <f t="shared" si="130"/>
        <v>6742.7411265432102</v>
      </c>
      <c r="Z385" s="1106">
        <f t="shared" si="131"/>
        <v>1231.2313657407408</v>
      </c>
      <c r="AA385" s="1106">
        <f t="shared" si="132"/>
        <v>4534.4075231481484</v>
      </c>
    </row>
    <row r="386" spans="1:27" hidden="1" x14ac:dyDescent="0.35">
      <c r="A386" s="179">
        <v>7</v>
      </c>
      <c r="B386" s="880" t="s">
        <v>22</v>
      </c>
      <c r="C386" s="82" t="s">
        <v>30</v>
      </c>
      <c r="D386" s="83" t="s">
        <v>29</v>
      </c>
      <c r="E386" s="892" t="str">
        <f>VLOOKUP(F386,'Quy đổi'!A:D,4,0)</f>
        <v>rHDPE ép</v>
      </c>
      <c r="F386" s="82" t="s">
        <v>208</v>
      </c>
      <c r="G386" s="82" t="s">
        <v>209</v>
      </c>
      <c r="H386" s="257" t="str">
        <f>IFERROR(VLOOKUP(F386,'Quy đổi'!A:C,3,0),"-")</f>
        <v>rHDI4L01</v>
      </c>
      <c r="I386" s="1098">
        <v>11000</v>
      </c>
      <c r="J386" s="1098">
        <v>220000000</v>
      </c>
      <c r="K386" s="1098">
        <v>220000000</v>
      </c>
      <c r="O386" s="1097">
        <f t="shared" si="122"/>
        <v>220000000</v>
      </c>
      <c r="P386" s="1101">
        <f t="shared" si="133"/>
        <v>20000</v>
      </c>
      <c r="Q386" s="1101">
        <f t="shared" si="134"/>
        <v>768.34421820975797</v>
      </c>
      <c r="R386" s="1099">
        <v>318733334</v>
      </c>
      <c r="S386" s="1101">
        <f t="shared" ref="S386:S445" si="139">R386/I386</f>
        <v>28975.757636363636</v>
      </c>
      <c r="T386" s="1101">
        <f t="shared" ref="T386:T445" si="140">S386/24.5</f>
        <v>1182.6839851576995</v>
      </c>
      <c r="U386" s="1101">
        <f t="shared" ref="U386:U445" si="141">O386-R386</f>
        <v>-98733334</v>
      </c>
      <c r="V386" s="1103">
        <f t="shared" ref="V386:V445" si="142">U386/K386</f>
        <v>-0.4487878818181818</v>
      </c>
      <c r="W386" s="1098">
        <v>26030</v>
      </c>
      <c r="X386" s="1106">
        <f t="shared" si="129"/>
        <v>8451.7864003073373</v>
      </c>
      <c r="Y386" s="1106">
        <f t="shared" si="130"/>
        <v>8451.7864003073373</v>
      </c>
      <c r="Z386" s="1106">
        <f t="shared" si="131"/>
        <v>-3793.0593161736456</v>
      </c>
      <c r="AA386" s="1106">
        <f t="shared" si="132"/>
        <v>12244.845716480984</v>
      </c>
    </row>
    <row r="387" spans="1:27" hidden="1" x14ac:dyDescent="0.35">
      <c r="A387" s="179">
        <v>7</v>
      </c>
      <c r="B387" s="880" t="s">
        <v>22</v>
      </c>
      <c r="C387" s="82" t="s">
        <v>30</v>
      </c>
      <c r="D387" s="83" t="s">
        <v>29</v>
      </c>
      <c r="E387" s="892" t="str">
        <f>VLOOKUP(F387,'Quy đổi'!A:D,4,0)</f>
        <v>rHDPE ép</v>
      </c>
      <c r="F387" s="82" t="s">
        <v>206</v>
      </c>
      <c r="G387" s="82" t="s">
        <v>207</v>
      </c>
      <c r="H387" s="257" t="str">
        <f>IFERROR(VLOOKUP(F387,'Quy đổi'!A:C,3,0),"-")</f>
        <v>rHDI3R01</v>
      </c>
      <c r="I387" s="1098">
        <v>11000</v>
      </c>
      <c r="J387" s="1098">
        <v>220000000</v>
      </c>
      <c r="K387" s="1098">
        <v>220000000</v>
      </c>
      <c r="O387" s="1097">
        <f t="shared" si="122"/>
        <v>220000000</v>
      </c>
      <c r="P387" s="1101">
        <f t="shared" si="133"/>
        <v>20000</v>
      </c>
      <c r="Q387" s="1101">
        <f t="shared" si="134"/>
        <v>768.34421820975797</v>
      </c>
      <c r="R387" s="1099">
        <v>303122968</v>
      </c>
      <c r="S387" s="1101">
        <f t="shared" si="139"/>
        <v>27556.633454545456</v>
      </c>
      <c r="T387" s="1101">
        <f t="shared" si="140"/>
        <v>1124.7605491651207</v>
      </c>
      <c r="U387" s="1101">
        <f t="shared" si="141"/>
        <v>-83122968</v>
      </c>
      <c r="V387" s="1103">
        <f t="shared" si="142"/>
        <v>-0.37783167272727275</v>
      </c>
      <c r="W387" s="1098">
        <v>26030</v>
      </c>
      <c r="X387" s="1106">
        <f t="shared" ref="X387:X445" si="143">O387/W387</f>
        <v>8451.7864003073373</v>
      </c>
      <c r="Y387" s="1106">
        <f t="shared" ref="Y387:Y445" si="144">K387/W387</f>
        <v>8451.7864003073373</v>
      </c>
      <c r="Z387" s="1106">
        <f t="shared" ref="Z387:Z445" si="145">U387/W387</f>
        <v>-3193.3525931617364</v>
      </c>
      <c r="AA387" s="1106">
        <f t="shared" ref="AA387:AA445" si="146">R387/W387</f>
        <v>11645.138993469074</v>
      </c>
    </row>
    <row r="388" spans="1:27" hidden="1" x14ac:dyDescent="0.35">
      <c r="A388" s="179">
        <v>7</v>
      </c>
      <c r="B388" s="880" t="s">
        <v>22</v>
      </c>
      <c r="C388" s="82" t="s">
        <v>30</v>
      </c>
      <c r="D388" s="83" t="s">
        <v>29</v>
      </c>
      <c r="E388" s="892" t="str">
        <f>VLOOKUP(F388,'Quy đổi'!A:D,4,0)</f>
        <v>rHDPE ép</v>
      </c>
      <c r="F388" s="82" t="s">
        <v>216</v>
      </c>
      <c r="G388" s="82" t="s">
        <v>217</v>
      </c>
      <c r="H388" s="257" t="str">
        <f>IFERROR(VLOOKUP(F388,'Quy đổi'!A:C,3,0),"-")</f>
        <v>rHDI3Gy01</v>
      </c>
      <c r="I388" s="1098">
        <v>1375</v>
      </c>
      <c r="J388" s="1098">
        <v>27500000</v>
      </c>
      <c r="K388" s="1098">
        <v>27500000</v>
      </c>
      <c r="O388" s="1097">
        <f t="shared" si="122"/>
        <v>27500000</v>
      </c>
      <c r="P388" s="1101">
        <f t="shared" si="133"/>
        <v>20000</v>
      </c>
      <c r="Q388" s="1101">
        <f t="shared" si="134"/>
        <v>768.34421820975797</v>
      </c>
      <c r="R388" s="1099">
        <v>25647604</v>
      </c>
      <c r="S388" s="1101">
        <f t="shared" si="139"/>
        <v>18652.802909090908</v>
      </c>
      <c r="T388" s="1101">
        <f t="shared" si="140"/>
        <v>761.33889424860843</v>
      </c>
      <c r="U388" s="1101">
        <f t="shared" si="141"/>
        <v>1852396</v>
      </c>
      <c r="V388" s="1103">
        <f t="shared" si="142"/>
        <v>6.7359854545454539E-2</v>
      </c>
      <c r="W388" s="1098">
        <v>26030</v>
      </c>
      <c r="X388" s="1106">
        <f t="shared" si="143"/>
        <v>1056.4733000384172</v>
      </c>
      <c r="Y388" s="1106">
        <f t="shared" si="144"/>
        <v>1056.4733000384172</v>
      </c>
      <c r="Z388" s="1106">
        <f t="shared" si="145"/>
        <v>71.16388782174414</v>
      </c>
      <c r="AA388" s="1106">
        <f t="shared" si="146"/>
        <v>985.30941221667308</v>
      </c>
    </row>
    <row r="389" spans="1:27" hidden="1" x14ac:dyDescent="0.35">
      <c r="A389" s="179">
        <v>7</v>
      </c>
      <c r="B389" s="880" t="s">
        <v>22</v>
      </c>
      <c r="C389" s="82" t="s">
        <v>30</v>
      </c>
      <c r="D389" s="83" t="s">
        <v>29</v>
      </c>
      <c r="E389" s="892" t="str">
        <f>VLOOKUP(F389,'Quy đổi'!A:D,4,0)</f>
        <v>rHDPE ép</v>
      </c>
      <c r="F389" s="82" t="s">
        <v>210</v>
      </c>
      <c r="G389" s="82" t="s">
        <v>211</v>
      </c>
      <c r="H389" s="257" t="str">
        <f>IFERROR(VLOOKUP(F389,'Quy đổi'!A:C,3,0),"-")</f>
        <v>rHDI3Y01</v>
      </c>
      <c r="I389" s="1098">
        <v>5500</v>
      </c>
      <c r="J389" s="1098">
        <v>110000000</v>
      </c>
      <c r="K389" s="1098">
        <v>110000000</v>
      </c>
      <c r="O389" s="1097">
        <f t="shared" si="122"/>
        <v>110000000</v>
      </c>
      <c r="P389" s="1101">
        <f t="shared" si="133"/>
        <v>20000</v>
      </c>
      <c r="Q389" s="1101">
        <f t="shared" si="134"/>
        <v>768.34421820975797</v>
      </c>
      <c r="R389" s="1099">
        <v>167208957</v>
      </c>
      <c r="S389" s="1101">
        <f t="shared" si="139"/>
        <v>30401.628545454547</v>
      </c>
      <c r="T389" s="1101">
        <f t="shared" si="140"/>
        <v>1240.8827977736551</v>
      </c>
      <c r="U389" s="1101">
        <f t="shared" si="141"/>
        <v>-57208957</v>
      </c>
      <c r="V389" s="1103">
        <f t="shared" si="142"/>
        <v>-0.52008142727272733</v>
      </c>
      <c r="W389" s="1098">
        <v>26030</v>
      </c>
      <c r="X389" s="1106">
        <f t="shared" si="143"/>
        <v>4225.8932001536687</v>
      </c>
      <c r="Y389" s="1106">
        <f t="shared" si="144"/>
        <v>4225.8932001536687</v>
      </c>
      <c r="Z389" s="1106">
        <f t="shared" si="145"/>
        <v>-2197.8085670380328</v>
      </c>
      <c r="AA389" s="1106">
        <f t="shared" si="146"/>
        <v>6423.7017671917019</v>
      </c>
    </row>
    <row r="390" spans="1:27" hidden="1" x14ac:dyDescent="0.35">
      <c r="A390" s="179">
        <v>7</v>
      </c>
      <c r="B390" s="880" t="s">
        <v>22</v>
      </c>
      <c r="C390" s="82" t="s">
        <v>30</v>
      </c>
      <c r="D390" s="83" t="s">
        <v>29</v>
      </c>
      <c r="E390" s="892" t="str">
        <f>VLOOKUP(F390,'Quy đổi'!A:D,4,0)</f>
        <v>rHDPE ép</v>
      </c>
      <c r="F390" s="82" t="s">
        <v>204</v>
      </c>
      <c r="G390" s="82" t="s">
        <v>205</v>
      </c>
      <c r="H390" s="257" t="str">
        <f>IFERROR(VLOOKUP(F390,'Quy đổi'!A:C,3,0),"-")</f>
        <v>rHDI3G01</v>
      </c>
      <c r="I390" s="1098">
        <v>2750</v>
      </c>
      <c r="J390" s="1098">
        <v>55000000</v>
      </c>
      <c r="K390" s="1098">
        <v>55000000</v>
      </c>
      <c r="O390" s="1097">
        <f t="shared" ref="O390:O453" si="147">K390-SUM(L390:N390)</f>
        <v>55000000</v>
      </c>
      <c r="P390" s="1101">
        <f t="shared" si="133"/>
        <v>20000</v>
      </c>
      <c r="Q390" s="1101">
        <f t="shared" si="134"/>
        <v>768.34421820975797</v>
      </c>
      <c r="R390" s="1099">
        <v>76090838</v>
      </c>
      <c r="S390" s="1101">
        <f t="shared" si="139"/>
        <v>27669.395636363635</v>
      </c>
      <c r="T390" s="1101">
        <f t="shared" si="140"/>
        <v>1129.3630871985158</v>
      </c>
      <c r="U390" s="1101">
        <f t="shared" si="141"/>
        <v>-21090838</v>
      </c>
      <c r="V390" s="1103">
        <f t="shared" si="142"/>
        <v>-0.38346978181818181</v>
      </c>
      <c r="W390" s="1098">
        <v>26030</v>
      </c>
      <c r="X390" s="1106">
        <f t="shared" si="143"/>
        <v>2112.9466000768343</v>
      </c>
      <c r="Y390" s="1106">
        <f t="shared" si="144"/>
        <v>2112.9466000768343</v>
      </c>
      <c r="Z390" s="1106">
        <f t="shared" si="145"/>
        <v>-810.25117172493276</v>
      </c>
      <c r="AA390" s="1106">
        <f t="shared" si="146"/>
        <v>2923.197771801767</v>
      </c>
    </row>
    <row r="391" spans="1:27" hidden="1" x14ac:dyDescent="0.35">
      <c r="A391" s="179">
        <v>7</v>
      </c>
      <c r="B391" s="880" t="s">
        <v>22</v>
      </c>
      <c r="C391" s="82" t="s">
        <v>104</v>
      </c>
      <c r="D391" s="83" t="s">
        <v>958</v>
      </c>
      <c r="E391" s="892" t="str">
        <f>VLOOKUP(F391,'Quy đổi'!A:D,4,0)</f>
        <v>rPET</v>
      </c>
      <c r="F391" s="82" t="s">
        <v>102</v>
      </c>
      <c r="G391" s="82" t="s">
        <v>101</v>
      </c>
      <c r="H391" s="257" t="str">
        <f>IFERROR(VLOOKUP(F391,'Quy đổi'!A:C,3,0),"-")</f>
        <v>WSS03G</v>
      </c>
      <c r="I391" s="1098">
        <v>330850</v>
      </c>
      <c r="J391" s="1098">
        <v>9415329300</v>
      </c>
      <c r="K391" s="1098">
        <v>9415329300</v>
      </c>
      <c r="L391" s="1056">
        <f>220*I391</f>
        <v>72787000</v>
      </c>
      <c r="O391" s="1097">
        <f t="shared" si="147"/>
        <v>9342542300</v>
      </c>
      <c r="P391" s="1101">
        <f t="shared" si="133"/>
        <v>28238</v>
      </c>
      <c r="Q391" s="1101">
        <f t="shared" si="134"/>
        <v>1084.8252016903573</v>
      </c>
      <c r="R391" s="1099">
        <v>8336878203</v>
      </c>
      <c r="S391" s="1101">
        <f t="shared" si="139"/>
        <v>25198.362408946654</v>
      </c>
      <c r="T391" s="1101">
        <f t="shared" si="140"/>
        <v>1028.5045881202716</v>
      </c>
      <c r="U391" s="1101">
        <f t="shared" si="141"/>
        <v>1005664097</v>
      </c>
      <c r="V391" s="1103">
        <f t="shared" si="142"/>
        <v>0.106811356773257</v>
      </c>
      <c r="W391" s="1098">
        <v>26030</v>
      </c>
      <c r="X391" s="1106">
        <f t="shared" si="143"/>
        <v>358914.41797925468</v>
      </c>
      <c r="Y391" s="1106">
        <f t="shared" si="144"/>
        <v>361710.69150979636</v>
      </c>
      <c r="Z391" s="1106">
        <f t="shared" si="145"/>
        <v>38634.80971955436</v>
      </c>
      <c r="AA391" s="1106">
        <f t="shared" si="146"/>
        <v>320279.60825970036</v>
      </c>
    </row>
    <row r="392" spans="1:27" hidden="1" x14ac:dyDescent="0.35">
      <c r="A392" s="179">
        <v>7</v>
      </c>
      <c r="B392" s="880" t="s">
        <v>22</v>
      </c>
      <c r="C392" s="82" t="s">
        <v>132</v>
      </c>
      <c r="D392" s="83" t="s">
        <v>213</v>
      </c>
      <c r="E392" s="892" t="str">
        <f>VLOOKUP(F392,'Quy đổi'!A:D,4,0)</f>
        <v>rPET</v>
      </c>
      <c r="F392" s="82" t="s">
        <v>110</v>
      </c>
      <c r="G392" s="82" t="s">
        <v>109</v>
      </c>
      <c r="H392" s="257" t="str">
        <f>IFERROR(VLOOKUP(F392,'Quy đổi'!A:C,3,0),"-")</f>
        <v>WSS01G</v>
      </c>
      <c r="I392" s="1098">
        <v>154000</v>
      </c>
      <c r="J392" s="1098">
        <v>4989710000</v>
      </c>
      <c r="K392" s="1098">
        <v>4989710000</v>
      </c>
      <c r="L392" s="1056">
        <f>140*I392</f>
        <v>21560000</v>
      </c>
      <c r="O392" s="1097">
        <f t="shared" si="147"/>
        <v>4968150000</v>
      </c>
      <c r="P392" s="1101">
        <f t="shared" si="133"/>
        <v>32260.714285714286</v>
      </c>
      <c r="Q392" s="1101">
        <f t="shared" si="134"/>
        <v>1239.3666648372757</v>
      </c>
      <c r="R392" s="1099">
        <v>4389876617</v>
      </c>
      <c r="S392" s="1101">
        <f t="shared" si="139"/>
        <v>28505.692318181817</v>
      </c>
      <c r="T392" s="1101">
        <f t="shared" si="140"/>
        <v>1163.4976456400741</v>
      </c>
      <c r="U392" s="1101">
        <f t="shared" si="141"/>
        <v>578273383</v>
      </c>
      <c r="V392" s="1103">
        <f t="shared" si="142"/>
        <v>0.11589318477426544</v>
      </c>
      <c r="W392" s="1098">
        <v>26030</v>
      </c>
      <c r="X392" s="1106">
        <f t="shared" si="143"/>
        <v>190862.46638494046</v>
      </c>
      <c r="Y392" s="1106">
        <f t="shared" si="144"/>
        <v>191690.74145217057</v>
      </c>
      <c r="Z392" s="1106">
        <f t="shared" si="145"/>
        <v>22215.650518632348</v>
      </c>
      <c r="AA392" s="1106">
        <f t="shared" si="146"/>
        <v>168646.81586630811</v>
      </c>
    </row>
    <row r="393" spans="1:27" hidden="1" x14ac:dyDescent="0.35">
      <c r="A393" s="179">
        <v>7</v>
      </c>
      <c r="B393" s="880" t="s">
        <v>22</v>
      </c>
      <c r="C393" s="82" t="s">
        <v>132</v>
      </c>
      <c r="D393" s="83" t="s">
        <v>213</v>
      </c>
      <c r="E393" s="892" t="str">
        <f>VLOOKUP(F393,'Quy đổi'!A:D,4,0)</f>
        <v>rPET</v>
      </c>
      <c r="F393" s="82" t="s">
        <v>110</v>
      </c>
      <c r="G393" s="82" t="s">
        <v>109</v>
      </c>
      <c r="H393" s="257" t="str">
        <f>IFERROR(VLOOKUP(F393,'Quy đổi'!A:C,3,0),"-")</f>
        <v>WSS01G</v>
      </c>
      <c r="I393" s="1098">
        <v>22000</v>
      </c>
      <c r="J393" s="1098">
        <v>705386000</v>
      </c>
      <c r="K393" s="1098">
        <v>705386000</v>
      </c>
      <c r="L393" s="1056">
        <f>140*I393</f>
        <v>3080000</v>
      </c>
      <c r="O393" s="1097">
        <f t="shared" si="147"/>
        <v>702306000</v>
      </c>
      <c r="P393" s="1101">
        <f t="shared" si="133"/>
        <v>31923</v>
      </c>
      <c r="Q393" s="1101">
        <f t="shared" si="134"/>
        <v>1226.3926238955053</v>
      </c>
      <c r="R393" s="1099">
        <v>627125231</v>
      </c>
      <c r="S393" s="1101">
        <f t="shared" si="139"/>
        <v>28505.692318181817</v>
      </c>
      <c r="T393" s="1101">
        <f t="shared" si="140"/>
        <v>1163.4976456400741</v>
      </c>
      <c r="U393" s="1101">
        <f t="shared" si="141"/>
        <v>75180769</v>
      </c>
      <c r="V393" s="1103">
        <f t="shared" si="142"/>
        <v>0.10658103364682599</v>
      </c>
      <c r="W393" s="1098">
        <v>26030</v>
      </c>
      <c r="X393" s="1106">
        <f t="shared" si="143"/>
        <v>26980.637725701115</v>
      </c>
      <c r="Y393" s="1106">
        <f t="shared" si="144"/>
        <v>27098.962735305417</v>
      </c>
      <c r="Z393" s="1106">
        <f t="shared" si="145"/>
        <v>2888.2354590856703</v>
      </c>
      <c r="AA393" s="1106">
        <f t="shared" si="146"/>
        <v>24092.402266615445</v>
      </c>
    </row>
    <row r="394" spans="1:27" hidden="1" x14ac:dyDescent="0.35">
      <c r="A394" s="179">
        <v>7</v>
      </c>
      <c r="B394" s="880" t="s">
        <v>22</v>
      </c>
      <c r="C394" s="82" t="s">
        <v>176</v>
      </c>
      <c r="D394" s="83" t="s">
        <v>177</v>
      </c>
      <c r="E394" s="892" t="str">
        <f>VLOOKUP(F394,'Quy đổi'!A:D,4,0)</f>
        <v>rPET</v>
      </c>
      <c r="F394" s="82" t="s">
        <v>127</v>
      </c>
      <c r="G394" s="82" t="s">
        <v>969</v>
      </c>
      <c r="H394" s="257" t="str">
        <f>IFERROR(VLOOKUP(F394,'Quy đổi'!A:C,3,0),"-")</f>
        <v>iSS01084G</v>
      </c>
      <c r="I394" s="1098">
        <v>132000</v>
      </c>
      <c r="J394" s="1098">
        <v>4868556000</v>
      </c>
      <c r="K394" s="1098">
        <v>4868556000</v>
      </c>
      <c r="L394" s="1056">
        <f>13240740.7407407*6</f>
        <v>79444444.444444194</v>
      </c>
      <c r="N394" s="1056">
        <v>71651725.200000003</v>
      </c>
      <c r="O394" s="1097">
        <f t="shared" si="147"/>
        <v>4717459830.3555555</v>
      </c>
      <c r="P394" s="1101">
        <f t="shared" si="133"/>
        <v>35738.33204814815</v>
      </c>
      <c r="Q394" s="1101">
        <f t="shared" si="134"/>
        <v>1372.9670398827566</v>
      </c>
      <c r="R394" s="1099">
        <v>3779825364</v>
      </c>
      <c r="S394" s="1101">
        <f t="shared" si="139"/>
        <v>28635.040636363636</v>
      </c>
      <c r="T394" s="1101">
        <f t="shared" si="140"/>
        <v>1168.7771688311689</v>
      </c>
      <c r="U394" s="1101">
        <f t="shared" si="141"/>
        <v>937634466.35555553</v>
      </c>
      <c r="V394" s="1103">
        <f t="shared" si="142"/>
        <v>0.19258984930142645</v>
      </c>
      <c r="W394" s="1098">
        <v>26030</v>
      </c>
      <c r="X394" s="1106">
        <f t="shared" si="143"/>
        <v>181231.64926452385</v>
      </c>
      <c r="Y394" s="1106">
        <f t="shared" si="144"/>
        <v>187036.34268152132</v>
      </c>
      <c r="Z394" s="1106">
        <f t="shared" si="145"/>
        <v>36021.301050924143</v>
      </c>
      <c r="AA394" s="1106">
        <f t="shared" si="146"/>
        <v>145210.3482135997</v>
      </c>
    </row>
    <row r="395" spans="1:27" hidden="1" x14ac:dyDescent="0.35">
      <c r="A395" s="179">
        <v>7</v>
      </c>
      <c r="C395" s="82" t="s">
        <v>129</v>
      </c>
      <c r="D395" s="83" t="s">
        <v>510</v>
      </c>
      <c r="E395" s="892" t="s">
        <v>404</v>
      </c>
      <c r="F395" s="82" t="s">
        <v>911</v>
      </c>
      <c r="G395" s="82" t="s">
        <v>912</v>
      </c>
      <c r="H395" s="257" t="str">
        <f>IFERROR(VLOOKUP(F395,'Quy đổi'!A:C,3,0),"-")</f>
        <v>-</v>
      </c>
      <c r="I395" s="1098">
        <v>0</v>
      </c>
      <c r="J395" s="1098">
        <v>1974750</v>
      </c>
      <c r="K395" s="1098">
        <v>1974750</v>
      </c>
      <c r="O395" s="1097">
        <f t="shared" si="147"/>
        <v>1974750</v>
      </c>
      <c r="P395" s="1101" t="e">
        <f t="shared" si="133"/>
        <v>#DIV/0!</v>
      </c>
      <c r="Q395" s="1101" t="e">
        <f t="shared" si="134"/>
        <v>#DIV/0!</v>
      </c>
      <c r="R395" s="1099">
        <v>0</v>
      </c>
      <c r="S395" s="1101" t="e">
        <f t="shared" si="139"/>
        <v>#DIV/0!</v>
      </c>
      <c r="T395" s="1101" t="e">
        <f t="shared" si="140"/>
        <v>#DIV/0!</v>
      </c>
      <c r="U395" s="1101">
        <f t="shared" si="141"/>
        <v>1974750</v>
      </c>
      <c r="V395" s="1103">
        <f t="shared" si="142"/>
        <v>1</v>
      </c>
      <c r="W395" s="1098">
        <v>26030</v>
      </c>
      <c r="X395" s="1106">
        <f t="shared" si="143"/>
        <v>75.864387245485972</v>
      </c>
      <c r="Y395" s="1106">
        <f t="shared" si="144"/>
        <v>75.864387245485972</v>
      </c>
      <c r="Z395" s="1106">
        <f t="shared" si="145"/>
        <v>75.864387245485972</v>
      </c>
      <c r="AA395" s="1106">
        <f t="shared" si="146"/>
        <v>0</v>
      </c>
    </row>
    <row r="396" spans="1:27" hidden="1" x14ac:dyDescent="0.35">
      <c r="A396" s="179">
        <v>7</v>
      </c>
      <c r="B396" s="880" t="s">
        <v>22</v>
      </c>
      <c r="C396" s="82" t="s">
        <v>129</v>
      </c>
      <c r="D396" s="83" t="s">
        <v>510</v>
      </c>
      <c r="E396" s="892" t="str">
        <f>VLOOKUP(F396,'Quy đổi'!A:D,4,0)</f>
        <v>rPET</v>
      </c>
      <c r="F396" s="82" t="s">
        <v>127</v>
      </c>
      <c r="G396" s="82" t="s">
        <v>969</v>
      </c>
      <c r="H396" s="257" t="str">
        <f>IFERROR(VLOOKUP(F396,'Quy đổi'!A:C,3,0),"-")</f>
        <v>iSS01084G</v>
      </c>
      <c r="I396" s="1098">
        <v>-730.9</v>
      </c>
      <c r="J396" s="1098">
        <v>0</v>
      </c>
      <c r="K396" s="1098">
        <v>-26026143</v>
      </c>
      <c r="O396" s="1097">
        <f t="shared" si="147"/>
        <v>-26026143</v>
      </c>
      <c r="P396" s="1101">
        <f t="shared" si="133"/>
        <v>35608.34997947736</v>
      </c>
      <c r="Q396" s="1101">
        <f t="shared" si="134"/>
        <v>1367.9734913360492</v>
      </c>
      <c r="R396" s="1099">
        <v>-20929351</v>
      </c>
      <c r="S396" s="1101">
        <f t="shared" si="139"/>
        <v>28635.040361198524</v>
      </c>
      <c r="T396" s="1101">
        <f t="shared" si="140"/>
        <v>1168.7771575999398</v>
      </c>
      <c r="U396" s="1101">
        <f t="shared" si="141"/>
        <v>-5096792</v>
      </c>
      <c r="V396" s="1103">
        <f t="shared" si="142"/>
        <v>0.19583355090302854</v>
      </c>
      <c r="W396" s="1098">
        <v>26030</v>
      </c>
      <c r="X396" s="1106">
        <f t="shared" si="143"/>
        <v>-999.85182481751826</v>
      </c>
      <c r="Y396" s="1106">
        <f t="shared" si="144"/>
        <v>-999.85182481751826</v>
      </c>
      <c r="Z396" s="1106">
        <f t="shared" si="145"/>
        <v>-195.80453323088744</v>
      </c>
      <c r="AA396" s="1106">
        <f t="shared" si="146"/>
        <v>-804.04729158663076</v>
      </c>
    </row>
    <row r="397" spans="1:27" hidden="1" x14ac:dyDescent="0.35">
      <c r="A397" s="179">
        <v>7</v>
      </c>
      <c r="B397" s="880" t="s">
        <v>22</v>
      </c>
      <c r="C397" s="82" t="s">
        <v>129</v>
      </c>
      <c r="D397" s="83" t="s">
        <v>510</v>
      </c>
      <c r="E397" s="892" t="str">
        <f>VLOOKUP(F397,'Quy đổi'!A:D,4,0)</f>
        <v>rPET</v>
      </c>
      <c r="F397" s="82" t="s">
        <v>127</v>
      </c>
      <c r="G397" s="82" t="s">
        <v>969</v>
      </c>
      <c r="H397" s="257" t="str">
        <f>IFERROR(VLOOKUP(F397,'Quy đổi'!A:C,3,0),"-")</f>
        <v>iSS01084G</v>
      </c>
      <c r="I397" s="1098">
        <v>51700</v>
      </c>
      <c r="J397" s="1098">
        <v>1884463449</v>
      </c>
      <c r="K397" s="1098">
        <v>1884463449</v>
      </c>
      <c r="L397" s="1056">
        <v>7040000</v>
      </c>
      <c r="N397" s="1056">
        <v>27676018.934999999</v>
      </c>
      <c r="O397" s="1097">
        <f t="shared" si="147"/>
        <v>1849747430.0650001</v>
      </c>
      <c r="P397" s="1101">
        <f t="shared" si="133"/>
        <v>35778.480272050292</v>
      </c>
      <c r="Q397" s="1101">
        <f t="shared" si="134"/>
        <v>1374.5094226680865</v>
      </c>
      <c r="R397" s="1099">
        <v>1480431601</v>
      </c>
      <c r="S397" s="1101">
        <f t="shared" si="139"/>
        <v>28635.040638297873</v>
      </c>
      <c r="T397" s="1101">
        <f t="shared" si="140"/>
        <v>1168.7771689101173</v>
      </c>
      <c r="U397" s="1101">
        <f t="shared" si="141"/>
        <v>369315829.06500006</v>
      </c>
      <c r="V397" s="1103">
        <f t="shared" si="142"/>
        <v>0.19597930077178166</v>
      </c>
      <c r="W397" s="1098">
        <v>26030</v>
      </c>
      <c r="X397" s="1106">
        <f t="shared" si="143"/>
        <v>71062.137151940071</v>
      </c>
      <c r="Y397" s="1106">
        <f t="shared" si="144"/>
        <v>72395.829773338453</v>
      </c>
      <c r="Z397" s="1106">
        <f t="shared" si="145"/>
        <v>14188.084097771803</v>
      </c>
      <c r="AA397" s="1106">
        <f t="shared" si="146"/>
        <v>56874.053054168267</v>
      </c>
    </row>
    <row r="398" spans="1:27" hidden="1" x14ac:dyDescent="0.35">
      <c r="A398" s="179">
        <v>7</v>
      </c>
      <c r="C398" s="82" t="s">
        <v>888</v>
      </c>
      <c r="D398" s="83" t="s">
        <v>889</v>
      </c>
      <c r="E398" s="892" t="s">
        <v>404</v>
      </c>
      <c r="F398" s="82" t="s">
        <v>911</v>
      </c>
      <c r="G398" s="82" t="s">
        <v>912</v>
      </c>
      <c r="H398" s="257" t="str">
        <f>IFERROR(VLOOKUP(F398,'Quy đổi'!A:C,3,0),"-")</f>
        <v>-</v>
      </c>
      <c r="I398" s="1098">
        <v>0</v>
      </c>
      <c r="J398" s="1098">
        <v>4000000</v>
      </c>
      <c r="K398" s="1098">
        <v>4000000</v>
      </c>
      <c r="O398" s="1097">
        <f t="shared" si="147"/>
        <v>4000000</v>
      </c>
      <c r="P398" s="1101" t="e">
        <f t="shared" si="133"/>
        <v>#DIV/0!</v>
      </c>
      <c r="Q398" s="1101" t="e">
        <f t="shared" si="134"/>
        <v>#DIV/0!</v>
      </c>
      <c r="R398" s="1099">
        <v>0</v>
      </c>
      <c r="S398" s="1101" t="e">
        <f t="shared" si="139"/>
        <v>#DIV/0!</v>
      </c>
      <c r="T398" s="1101" t="e">
        <f t="shared" si="140"/>
        <v>#DIV/0!</v>
      </c>
      <c r="U398" s="1101">
        <f t="shared" si="141"/>
        <v>4000000</v>
      </c>
      <c r="V398" s="1103">
        <f t="shared" si="142"/>
        <v>1</v>
      </c>
      <c r="W398" s="1098">
        <v>26030</v>
      </c>
      <c r="X398" s="1106">
        <f t="shared" si="143"/>
        <v>153.66884364195158</v>
      </c>
      <c r="Y398" s="1106">
        <f t="shared" si="144"/>
        <v>153.66884364195158</v>
      </c>
      <c r="Z398" s="1106">
        <f t="shared" si="145"/>
        <v>153.66884364195158</v>
      </c>
      <c r="AA398" s="1106">
        <f t="shared" si="146"/>
        <v>0</v>
      </c>
    </row>
    <row r="399" spans="1:27" hidden="1" x14ac:dyDescent="0.35">
      <c r="A399" s="179">
        <v>7</v>
      </c>
      <c r="C399" s="82" t="s">
        <v>710</v>
      </c>
      <c r="D399" s="83" t="s">
        <v>711</v>
      </c>
      <c r="E399" s="892" t="s">
        <v>404</v>
      </c>
      <c r="F399" s="82" t="s">
        <v>911</v>
      </c>
      <c r="G399" s="82" t="s">
        <v>912</v>
      </c>
      <c r="H399" s="257" t="str">
        <f>IFERROR(VLOOKUP(F399,'Quy đổi'!A:C,3,0),"-")</f>
        <v>-</v>
      </c>
      <c r="I399" s="1098">
        <v>0</v>
      </c>
      <c r="J399" s="1098">
        <v>35701983</v>
      </c>
      <c r="K399" s="1098">
        <v>35701983</v>
      </c>
      <c r="O399" s="1097">
        <f t="shared" si="147"/>
        <v>35701983</v>
      </c>
      <c r="P399" s="1101" t="e">
        <f t="shared" si="133"/>
        <v>#DIV/0!</v>
      </c>
      <c r="Q399" s="1101" t="e">
        <f t="shared" si="134"/>
        <v>#DIV/0!</v>
      </c>
      <c r="R399" s="1099">
        <v>0</v>
      </c>
      <c r="S399" s="1101" t="e">
        <f t="shared" si="139"/>
        <v>#DIV/0!</v>
      </c>
      <c r="T399" s="1101" t="e">
        <f t="shared" si="140"/>
        <v>#DIV/0!</v>
      </c>
      <c r="U399" s="1101">
        <f t="shared" si="141"/>
        <v>35701983</v>
      </c>
      <c r="V399" s="1103">
        <f t="shared" si="142"/>
        <v>1</v>
      </c>
      <c r="W399" s="1098">
        <v>26030</v>
      </c>
      <c r="X399" s="1106">
        <f t="shared" si="143"/>
        <v>1371.5706108336535</v>
      </c>
      <c r="Y399" s="1106">
        <f t="shared" si="144"/>
        <v>1371.5706108336535</v>
      </c>
      <c r="Z399" s="1106">
        <f t="shared" si="145"/>
        <v>1371.5706108336535</v>
      </c>
      <c r="AA399" s="1106">
        <f t="shared" si="146"/>
        <v>0</v>
      </c>
    </row>
    <row r="400" spans="1:27" hidden="1" x14ac:dyDescent="0.35">
      <c r="A400" s="179">
        <v>7</v>
      </c>
      <c r="C400" s="82" t="s">
        <v>710</v>
      </c>
      <c r="D400" s="83" t="s">
        <v>711</v>
      </c>
      <c r="E400" s="892" t="str">
        <f>VLOOKUP(F400,'Quy đổi'!A:D,4,0)</f>
        <v>Phó sản</v>
      </c>
      <c r="F400" s="82" t="s">
        <v>651</v>
      </c>
      <c r="G400" s="82" t="s">
        <v>652</v>
      </c>
      <c r="H400" s="257">
        <f>IFERROR(VLOOKUP(F400,'Quy đổi'!A:C,3,0),"-")</f>
        <v>0</v>
      </c>
      <c r="I400" s="1098">
        <v>41387</v>
      </c>
      <c r="J400" s="1098">
        <v>80474722</v>
      </c>
      <c r="K400" s="1098">
        <v>80474722</v>
      </c>
      <c r="O400" s="1097">
        <f t="shared" si="147"/>
        <v>80474722</v>
      </c>
      <c r="P400" s="1101">
        <f t="shared" si="133"/>
        <v>1944.4444390750718</v>
      </c>
      <c r="Q400" s="1101">
        <f t="shared" si="134"/>
        <v>74.700132119672375</v>
      </c>
      <c r="R400" s="1099">
        <v>521363962</v>
      </c>
      <c r="S400" s="1101">
        <f t="shared" si="139"/>
        <v>12597.288085630753</v>
      </c>
      <c r="T400" s="1101">
        <f t="shared" si="140"/>
        <v>514.17502390329605</v>
      </c>
      <c r="U400" s="1101">
        <f t="shared" si="141"/>
        <v>-440889240</v>
      </c>
      <c r="V400" s="1103">
        <f t="shared" si="142"/>
        <v>-5.4786053190714972</v>
      </c>
      <c r="W400" s="1098">
        <v>26030</v>
      </c>
      <c r="X400" s="1106">
        <f t="shared" si="143"/>
        <v>3091.6143680368805</v>
      </c>
      <c r="Y400" s="1106">
        <f t="shared" si="144"/>
        <v>3091.6143680368805</v>
      </c>
      <c r="Z400" s="1106">
        <f t="shared" si="145"/>
        <v>-16937.734921244719</v>
      </c>
      <c r="AA400" s="1106">
        <f t="shared" si="146"/>
        <v>20029.349289281599</v>
      </c>
    </row>
    <row r="401" spans="1:29" hidden="1" x14ac:dyDescent="0.35">
      <c r="A401" s="179">
        <v>7</v>
      </c>
      <c r="C401" s="82" t="s">
        <v>233</v>
      </c>
      <c r="D401" s="83" t="s">
        <v>234</v>
      </c>
      <c r="E401" s="892" t="s">
        <v>404</v>
      </c>
      <c r="F401" s="82" t="s">
        <v>911</v>
      </c>
      <c r="G401" s="82" t="s">
        <v>912</v>
      </c>
      <c r="H401" s="257" t="str">
        <f>IFERROR(VLOOKUP(F401,'Quy đổi'!A:C,3,0),"-")</f>
        <v>-</v>
      </c>
      <c r="I401" s="1098">
        <v>0</v>
      </c>
      <c r="J401" s="1098">
        <v>10000000</v>
      </c>
      <c r="K401" s="1098">
        <v>10000000</v>
      </c>
      <c r="O401" s="1097">
        <f t="shared" si="147"/>
        <v>10000000</v>
      </c>
      <c r="P401" s="1101" t="e">
        <f t="shared" si="133"/>
        <v>#DIV/0!</v>
      </c>
      <c r="Q401" s="1101" t="e">
        <f t="shared" si="134"/>
        <v>#DIV/0!</v>
      </c>
      <c r="R401" s="1099">
        <v>0</v>
      </c>
      <c r="S401" s="1101" t="e">
        <f t="shared" si="139"/>
        <v>#DIV/0!</v>
      </c>
      <c r="T401" s="1101" t="e">
        <f t="shared" si="140"/>
        <v>#DIV/0!</v>
      </c>
      <c r="U401" s="1101">
        <f t="shared" si="141"/>
        <v>10000000</v>
      </c>
      <c r="V401" s="1103">
        <f t="shared" si="142"/>
        <v>1</v>
      </c>
      <c r="W401" s="1098">
        <v>26030</v>
      </c>
      <c r="X401" s="1106">
        <f t="shared" si="143"/>
        <v>384.17210910487898</v>
      </c>
      <c r="Y401" s="1106">
        <f t="shared" si="144"/>
        <v>384.17210910487898</v>
      </c>
      <c r="Z401" s="1106">
        <f t="shared" si="145"/>
        <v>384.17210910487898</v>
      </c>
      <c r="AA401" s="1106">
        <f t="shared" si="146"/>
        <v>0</v>
      </c>
    </row>
    <row r="402" spans="1:29" hidden="1" x14ac:dyDescent="0.35">
      <c r="A402" s="179">
        <v>7</v>
      </c>
      <c r="B402" s="880" t="s">
        <v>22</v>
      </c>
      <c r="C402" s="82" t="s">
        <v>77</v>
      </c>
      <c r="D402" s="83" t="s">
        <v>76</v>
      </c>
      <c r="E402" s="892" t="str">
        <f>VLOOKUP(F402,'Quy đổi'!A:D,4,0)</f>
        <v>rHDPE thổi</v>
      </c>
      <c r="F402" s="82" t="s">
        <v>69</v>
      </c>
      <c r="G402" s="82" t="s">
        <v>68</v>
      </c>
      <c r="H402" s="257" t="str">
        <f>IFERROR(VLOOKUP(F402,'Quy đổi'!A:C,3,0),"-")</f>
        <v>MBF01</v>
      </c>
      <c r="I402" s="1098">
        <v>35750</v>
      </c>
      <c r="J402" s="1098">
        <v>1295883250</v>
      </c>
      <c r="K402" s="1098">
        <v>1315883250</v>
      </c>
      <c r="L402" s="1056">
        <v>30925925.925925925</v>
      </c>
      <c r="O402" s="1097">
        <f t="shared" si="147"/>
        <v>1284957324.074074</v>
      </c>
      <c r="P402" s="1101">
        <f t="shared" si="133"/>
        <v>35942.862211862208</v>
      </c>
      <c r="Q402" s="1101">
        <f t="shared" si="134"/>
        <v>1380.8245183197162</v>
      </c>
      <c r="R402" s="1099">
        <v>976377217</v>
      </c>
      <c r="S402" s="1101">
        <f t="shared" si="139"/>
        <v>27311.250825174826</v>
      </c>
      <c r="T402" s="1101">
        <f t="shared" si="140"/>
        <v>1114.7449316397888</v>
      </c>
      <c r="U402" s="1101">
        <f t="shared" si="141"/>
        <v>308580107.07407403</v>
      </c>
      <c r="V402" s="1103">
        <f t="shared" si="142"/>
        <v>0.23450416826422407</v>
      </c>
      <c r="W402" s="1098">
        <v>26030</v>
      </c>
      <c r="X402" s="1106">
        <f t="shared" si="143"/>
        <v>49364.476529929852</v>
      </c>
      <c r="Y402" s="1106">
        <f t="shared" si="144"/>
        <v>50552.564348828273</v>
      </c>
      <c r="Z402" s="1106">
        <f t="shared" si="145"/>
        <v>11854.787056245641</v>
      </c>
      <c r="AA402" s="1106">
        <f t="shared" si="146"/>
        <v>37509.689473684208</v>
      </c>
    </row>
    <row r="403" spans="1:29" hidden="1" x14ac:dyDescent="0.35">
      <c r="A403" s="179">
        <v>7</v>
      </c>
      <c r="C403" s="82" t="s">
        <v>635</v>
      </c>
      <c r="D403" s="83" t="s">
        <v>636</v>
      </c>
      <c r="E403" s="892" t="str">
        <f>VLOOKUP(F403,'Quy đổi'!A:D,4,0)</f>
        <v>Dây đai</v>
      </c>
      <c r="F403" s="82" t="s">
        <v>649</v>
      </c>
      <c r="G403" s="82" t="s">
        <v>650</v>
      </c>
      <c r="H403" s="257">
        <f>IFERROR(VLOOKUP(F403,'Quy đổi'!A:C,3,0),"-")</f>
        <v>0</v>
      </c>
      <c r="I403" s="1098">
        <v>20000</v>
      </c>
      <c r="J403" s="1098">
        <v>340000000</v>
      </c>
      <c r="K403" s="1098">
        <v>340000000</v>
      </c>
      <c r="M403" s="1056">
        <v>24000000</v>
      </c>
      <c r="O403" s="1097">
        <f t="shared" si="147"/>
        <v>316000000</v>
      </c>
      <c r="P403" s="1101">
        <f t="shared" si="133"/>
        <v>15800</v>
      </c>
      <c r="Q403" s="1101">
        <f t="shared" si="134"/>
        <v>606.99193238570876</v>
      </c>
      <c r="R403" s="1099">
        <v>474669929</v>
      </c>
      <c r="S403" s="1101">
        <f t="shared" si="139"/>
        <v>23733.496449999999</v>
      </c>
      <c r="T403" s="1101">
        <f t="shared" si="140"/>
        <v>968.71414081632645</v>
      </c>
      <c r="U403" s="1101">
        <f t="shared" si="141"/>
        <v>-158669929</v>
      </c>
      <c r="V403" s="1103">
        <f t="shared" si="142"/>
        <v>-0.46667626176470589</v>
      </c>
      <c r="W403" s="1098">
        <v>26030</v>
      </c>
      <c r="X403" s="1106">
        <f t="shared" si="143"/>
        <v>12139.838647714176</v>
      </c>
      <c r="Y403" s="1106">
        <f t="shared" si="144"/>
        <v>13061.851709565886</v>
      </c>
      <c r="Z403" s="1106">
        <f t="shared" si="145"/>
        <v>-6095.6561275451404</v>
      </c>
      <c r="AA403" s="1106">
        <f t="shared" si="146"/>
        <v>18235.494775259318</v>
      </c>
    </row>
    <row r="404" spans="1:29" hidden="1" x14ac:dyDescent="0.35">
      <c r="A404" s="179">
        <v>7</v>
      </c>
      <c r="C404" s="82" t="s">
        <v>221</v>
      </c>
      <c r="D404" s="83" t="s">
        <v>222</v>
      </c>
      <c r="E404" s="892" t="str">
        <f>VLOOKUP(F404,'Quy đổi'!A:D,4,0)</f>
        <v>Khác</v>
      </c>
      <c r="F404" s="82" t="s">
        <v>223</v>
      </c>
      <c r="G404" s="82" t="s">
        <v>372</v>
      </c>
      <c r="H404" s="257">
        <f>IFERROR(VLOOKUP(F404,'Quy đổi'!A:C,3,0),"-")</f>
        <v>0</v>
      </c>
      <c r="I404" s="1098">
        <v>15788</v>
      </c>
      <c r="J404" s="1098">
        <v>307866000</v>
      </c>
      <c r="K404" s="1098">
        <v>307866000</v>
      </c>
      <c r="O404" s="1097">
        <f t="shared" si="147"/>
        <v>307866000</v>
      </c>
      <c r="P404" s="1101">
        <f t="shared" si="133"/>
        <v>19500</v>
      </c>
      <c r="Q404" s="1101">
        <f t="shared" si="134"/>
        <v>749.135612754514</v>
      </c>
      <c r="R404" s="1099">
        <v>327039186</v>
      </c>
      <c r="S404" s="1101">
        <f t="shared" si="139"/>
        <v>20714.415125411706</v>
      </c>
      <c r="T404" s="1101">
        <f t="shared" si="140"/>
        <v>845.48633164945738</v>
      </c>
      <c r="U404" s="1101">
        <f t="shared" si="141"/>
        <v>-19173186</v>
      </c>
      <c r="V404" s="1103">
        <f t="shared" si="142"/>
        <v>-6.2277698739061797E-2</v>
      </c>
      <c r="W404" s="1098">
        <v>26030</v>
      </c>
      <c r="X404" s="1106">
        <f t="shared" si="143"/>
        <v>11827.353054168267</v>
      </c>
      <c r="Y404" s="1106">
        <f t="shared" si="144"/>
        <v>11827.353054168267</v>
      </c>
      <c r="Z404" s="1106">
        <f t="shared" si="145"/>
        <v>-736.58033038801386</v>
      </c>
      <c r="AA404" s="1106">
        <f t="shared" si="146"/>
        <v>12563.933384556281</v>
      </c>
    </row>
    <row r="405" spans="1:29" hidden="1" x14ac:dyDescent="0.35">
      <c r="A405" s="179">
        <v>7</v>
      </c>
      <c r="B405" s="880" t="s">
        <v>22</v>
      </c>
      <c r="C405" s="82" t="s">
        <v>21</v>
      </c>
      <c r="D405" s="83" t="s">
        <v>20</v>
      </c>
      <c r="E405" s="892" t="str">
        <f>VLOOKUP(F405,'Quy đổi'!A:D,4,0)</f>
        <v>rPP</v>
      </c>
      <c r="F405" s="82" t="s">
        <v>538</v>
      </c>
      <c r="G405" s="82" t="s">
        <v>539</v>
      </c>
      <c r="H405" s="257" t="str">
        <f>IFERROR(VLOOKUP(F405,'Quy đổi'!A:C,3,0),"-")</f>
        <v>rPP20R02</v>
      </c>
      <c r="I405" s="1098">
        <v>11000</v>
      </c>
      <c r="J405" s="1098">
        <v>206475296</v>
      </c>
      <c r="K405" s="1098">
        <v>208796296</v>
      </c>
      <c r="O405" s="1097">
        <f t="shared" si="147"/>
        <v>208796296</v>
      </c>
      <c r="P405" s="1101">
        <f t="shared" si="133"/>
        <v>18981.481454545454</v>
      </c>
      <c r="Q405" s="1101">
        <f t="shared" si="134"/>
        <v>729.21557643278732</v>
      </c>
      <c r="R405" s="1099">
        <v>285752803</v>
      </c>
      <c r="S405" s="1101">
        <f t="shared" si="139"/>
        <v>25977.527545454544</v>
      </c>
      <c r="T405" s="1101">
        <f t="shared" si="140"/>
        <v>1060.3072467532468</v>
      </c>
      <c r="U405" s="1101">
        <f t="shared" si="141"/>
        <v>-76956507</v>
      </c>
      <c r="V405" s="1103">
        <f t="shared" si="142"/>
        <v>-0.36857218482458137</v>
      </c>
      <c r="W405" s="1098">
        <v>26030</v>
      </c>
      <c r="X405" s="1106">
        <f t="shared" si="143"/>
        <v>8021.371340760661</v>
      </c>
      <c r="Y405" s="1106">
        <f t="shared" si="144"/>
        <v>8021.371340760661</v>
      </c>
      <c r="Z405" s="1106">
        <f t="shared" si="145"/>
        <v>-2956.4543603534385</v>
      </c>
      <c r="AA405" s="1106">
        <f t="shared" si="146"/>
        <v>10977.8257011141</v>
      </c>
      <c r="AC405" s="1098">
        <f t="shared" ref="AC405" si="148">X405/I405*1000</f>
        <v>729.21557643278732</v>
      </c>
    </row>
    <row r="406" spans="1:29" hidden="1" x14ac:dyDescent="0.35">
      <c r="A406" s="179">
        <v>7</v>
      </c>
      <c r="B406" s="880" t="s">
        <v>22</v>
      </c>
      <c r="C406" s="82" t="s">
        <v>21</v>
      </c>
      <c r="D406" s="83" t="s">
        <v>20</v>
      </c>
      <c r="E406" s="892" t="str">
        <f>VLOOKUP(F406,'Quy đổi'!A:D,4,0)</f>
        <v>rPP</v>
      </c>
      <c r="F406" s="82" t="s">
        <v>19</v>
      </c>
      <c r="G406" s="82" t="s">
        <v>18</v>
      </c>
      <c r="H406" s="257" t="str">
        <f>IFERROR(VLOOKUP(F406,'Quy đổi'!A:C,3,0),"-")</f>
        <v>Vảy PP Đỏ Nhạt</v>
      </c>
      <c r="I406" s="1098">
        <v>9750</v>
      </c>
      <c r="J406" s="1098">
        <v>176041667</v>
      </c>
      <c r="K406" s="1098">
        <v>176041667</v>
      </c>
      <c r="O406" s="1097">
        <f t="shared" si="147"/>
        <v>176041667</v>
      </c>
      <c r="P406" s="1101">
        <f t="shared" si="133"/>
        <v>18055.555589743592</v>
      </c>
      <c r="Q406" s="1101">
        <f t="shared" si="134"/>
        <v>693.64408719721825</v>
      </c>
      <c r="R406" s="1099">
        <v>198736798</v>
      </c>
      <c r="S406" s="1101">
        <f t="shared" si="139"/>
        <v>20383.261333333332</v>
      </c>
      <c r="T406" s="1101">
        <f t="shared" si="140"/>
        <v>831.96985034013596</v>
      </c>
      <c r="U406" s="1101">
        <f t="shared" si="141"/>
        <v>-22695131</v>
      </c>
      <c r="V406" s="1103">
        <f t="shared" si="142"/>
        <v>-0.12891908709317096</v>
      </c>
      <c r="W406" s="1098">
        <v>26030</v>
      </c>
      <c r="X406" s="1106">
        <f t="shared" si="143"/>
        <v>6763.0298501728776</v>
      </c>
      <c r="Y406" s="1106">
        <f t="shared" si="144"/>
        <v>6763.0298501728776</v>
      </c>
      <c r="Z406" s="1106">
        <f t="shared" si="145"/>
        <v>-871.88363426815215</v>
      </c>
      <c r="AA406" s="1106">
        <f t="shared" si="146"/>
        <v>7634.9134844410291</v>
      </c>
    </row>
    <row r="407" spans="1:29" hidden="1" x14ac:dyDescent="0.35">
      <c r="A407" s="179">
        <v>7</v>
      </c>
      <c r="B407" s="880" t="s">
        <v>22</v>
      </c>
      <c r="C407" s="82" t="s">
        <v>82</v>
      </c>
      <c r="D407" s="83" t="s">
        <v>81</v>
      </c>
      <c r="E407" s="892" t="str">
        <f>VLOOKUP(F407,'Quy đổi'!A:D,4,0)</f>
        <v>rHDPE thổi</v>
      </c>
      <c r="F407" s="82" t="s">
        <v>69</v>
      </c>
      <c r="G407" s="82" t="s">
        <v>68</v>
      </c>
      <c r="H407" s="257" t="str">
        <f>IFERROR(VLOOKUP(F407,'Quy đổi'!A:C,3,0),"-")</f>
        <v>MBF01</v>
      </c>
      <c r="I407" s="1098">
        <v>99000</v>
      </c>
      <c r="J407" s="1098">
        <v>3481593060</v>
      </c>
      <c r="K407" s="1098">
        <v>3481593060</v>
      </c>
      <c r="O407" s="1097">
        <f t="shared" si="147"/>
        <v>3481593060</v>
      </c>
      <c r="P407" s="1101">
        <f t="shared" si="133"/>
        <v>35167.606666666667</v>
      </c>
      <c r="Q407" s="1101">
        <f t="shared" si="134"/>
        <v>1351.0413625304136</v>
      </c>
      <c r="R407" s="1099">
        <v>2703813837</v>
      </c>
      <c r="S407" s="1101">
        <f t="shared" si="139"/>
        <v>27311.25087878788</v>
      </c>
      <c r="T407" s="1101">
        <f t="shared" si="140"/>
        <v>1114.7449338280767</v>
      </c>
      <c r="U407" s="1101">
        <f t="shared" si="141"/>
        <v>777779223</v>
      </c>
      <c r="V407" s="1103">
        <f t="shared" si="142"/>
        <v>0.22339751073607667</v>
      </c>
      <c r="W407" s="1098">
        <v>26030</v>
      </c>
      <c r="X407" s="1106">
        <f t="shared" si="143"/>
        <v>133753.09489051095</v>
      </c>
      <c r="Y407" s="1106">
        <f t="shared" si="144"/>
        <v>133753.09489051095</v>
      </c>
      <c r="Z407" s="1106">
        <f t="shared" si="145"/>
        <v>29880.1084517864</v>
      </c>
      <c r="AA407" s="1106">
        <f t="shared" si="146"/>
        <v>103872.98643872455</v>
      </c>
    </row>
    <row r="408" spans="1:29" hidden="1" x14ac:dyDescent="0.35">
      <c r="A408" s="179">
        <v>7</v>
      </c>
      <c r="B408" s="880" t="s">
        <v>22</v>
      </c>
      <c r="C408" s="82" t="s">
        <v>82</v>
      </c>
      <c r="D408" s="83" t="s">
        <v>81</v>
      </c>
      <c r="E408" s="892" t="str">
        <f>VLOOKUP(F408,'Quy đổi'!A:D,4,0)</f>
        <v>rHDPE thổi</v>
      </c>
      <c r="F408" s="82" t="s">
        <v>84</v>
      </c>
      <c r="G408" s="82" t="s">
        <v>83</v>
      </c>
      <c r="H408" s="257" t="str">
        <f>IFERROR(VLOOKUP(F408,'Quy đổi'!A:C,3,0),"-")</f>
        <v>HCBF-Whi-U</v>
      </c>
      <c r="I408" s="1098">
        <v>4125</v>
      </c>
      <c r="J408" s="1098">
        <v>140351599</v>
      </c>
      <c r="K408" s="1098">
        <v>140351599</v>
      </c>
      <c r="O408" s="1097">
        <f t="shared" si="147"/>
        <v>140351599</v>
      </c>
      <c r="P408" s="1101">
        <f t="shared" si="133"/>
        <v>34024.630060606061</v>
      </c>
      <c r="Q408" s="1101">
        <f t="shared" si="134"/>
        <v>1307.1313891896298</v>
      </c>
      <c r="R408" s="1099">
        <v>99966917</v>
      </c>
      <c r="S408" s="1101">
        <f t="shared" si="139"/>
        <v>24234.404121212123</v>
      </c>
      <c r="T408" s="1101">
        <f t="shared" si="140"/>
        <v>989.15935188620915</v>
      </c>
      <c r="U408" s="1101">
        <f t="shared" si="141"/>
        <v>40384682</v>
      </c>
      <c r="V408" s="1103">
        <f t="shared" si="142"/>
        <v>0.28773937944233896</v>
      </c>
      <c r="W408" s="1098">
        <v>26030</v>
      </c>
      <c r="X408" s="1106">
        <f t="shared" si="143"/>
        <v>5391.9169804072226</v>
      </c>
      <c r="Y408" s="1106">
        <f t="shared" si="144"/>
        <v>5391.9169804072226</v>
      </c>
      <c r="Z408" s="1106">
        <f t="shared" si="145"/>
        <v>1551.4668459469842</v>
      </c>
      <c r="AA408" s="1106">
        <f t="shared" si="146"/>
        <v>3840.4501344602381</v>
      </c>
    </row>
    <row r="409" spans="1:29" hidden="1" x14ac:dyDescent="0.35">
      <c r="A409" s="179">
        <v>7</v>
      </c>
      <c r="B409" s="880" t="s">
        <v>22</v>
      </c>
      <c r="C409" s="82" t="s">
        <v>82</v>
      </c>
      <c r="D409" s="83" t="s">
        <v>81</v>
      </c>
      <c r="E409" s="892" t="str">
        <f>VLOOKUP(F409,'Quy đổi'!A:D,4,0)</f>
        <v>rHDPE thổi</v>
      </c>
      <c r="F409" s="82" t="s">
        <v>84</v>
      </c>
      <c r="G409" s="82" t="s">
        <v>83</v>
      </c>
      <c r="H409" s="257" t="str">
        <f>IFERROR(VLOOKUP(F409,'Quy đổi'!A:C,3,0),"-")</f>
        <v>HCBF-Whi-U</v>
      </c>
      <c r="I409" s="1098">
        <v>5500</v>
      </c>
      <c r="J409" s="1098">
        <v>183397500</v>
      </c>
      <c r="K409" s="1098">
        <v>183397500</v>
      </c>
      <c r="O409" s="1097">
        <f t="shared" si="147"/>
        <v>183397500</v>
      </c>
      <c r="P409" s="1101">
        <f t="shared" si="133"/>
        <v>33345</v>
      </c>
      <c r="Q409" s="1101">
        <f t="shared" si="134"/>
        <v>1281.0218978102191</v>
      </c>
      <c r="R409" s="1099">
        <v>133289223</v>
      </c>
      <c r="S409" s="1101">
        <f t="shared" si="139"/>
        <v>24234.404181818183</v>
      </c>
      <c r="T409" s="1101">
        <f t="shared" si="140"/>
        <v>989.15935435992583</v>
      </c>
      <c r="U409" s="1101">
        <f t="shared" si="141"/>
        <v>50108277</v>
      </c>
      <c r="V409" s="1103">
        <f t="shared" si="142"/>
        <v>0.27322224675908885</v>
      </c>
      <c r="W409" s="1098">
        <v>26030</v>
      </c>
      <c r="X409" s="1106">
        <f t="shared" si="143"/>
        <v>7045.6204379562041</v>
      </c>
      <c r="Y409" s="1106">
        <f t="shared" si="144"/>
        <v>7045.6204379562041</v>
      </c>
      <c r="Z409" s="1106">
        <f t="shared" si="145"/>
        <v>1925.0202458701499</v>
      </c>
      <c r="AA409" s="1106">
        <f t="shared" si="146"/>
        <v>5120.6001920860544</v>
      </c>
    </row>
    <row r="410" spans="1:29" hidden="1" x14ac:dyDescent="0.35">
      <c r="A410" s="179">
        <v>7</v>
      </c>
      <c r="B410" s="880" t="s">
        <v>22</v>
      </c>
      <c r="C410" s="82" t="s">
        <v>82</v>
      </c>
      <c r="D410" s="83" t="s">
        <v>81</v>
      </c>
      <c r="E410" s="892" t="str">
        <f>VLOOKUP(F410,'Quy đổi'!A:D,4,0)</f>
        <v>rHDPE thổi</v>
      </c>
      <c r="F410" s="82" t="s">
        <v>75</v>
      </c>
      <c r="G410" s="82" t="s">
        <v>74</v>
      </c>
      <c r="H410" s="257" t="str">
        <f>IFERROR(VLOOKUP(F410,'Quy đổi'!A:C,3,0),"-")</f>
        <v>HCBF-Yel-U</v>
      </c>
      <c r="I410" s="1098">
        <v>11000</v>
      </c>
      <c r="J410" s="1098">
        <v>374270930</v>
      </c>
      <c r="K410" s="1098">
        <v>374270930</v>
      </c>
      <c r="O410" s="1097">
        <f t="shared" si="147"/>
        <v>374270930</v>
      </c>
      <c r="P410" s="1101">
        <f t="shared" si="133"/>
        <v>34024.629999999997</v>
      </c>
      <c r="Q410" s="1101">
        <f t="shared" si="134"/>
        <v>1307.1313868613138</v>
      </c>
      <c r="R410" s="1099">
        <v>304996072</v>
      </c>
      <c r="S410" s="1101">
        <f t="shared" si="139"/>
        <v>27726.915636363636</v>
      </c>
      <c r="T410" s="1101">
        <f t="shared" si="140"/>
        <v>1131.7108423005566</v>
      </c>
      <c r="U410" s="1101">
        <f t="shared" si="141"/>
        <v>69274858</v>
      </c>
      <c r="V410" s="1103">
        <f t="shared" si="142"/>
        <v>0.18509280963926319</v>
      </c>
      <c r="W410" s="1098">
        <v>26030</v>
      </c>
      <c r="X410" s="1106">
        <f t="shared" si="143"/>
        <v>14378.445255474453</v>
      </c>
      <c r="Y410" s="1106">
        <f t="shared" si="144"/>
        <v>14378.445255474453</v>
      </c>
      <c r="Z410" s="1106">
        <f t="shared" si="145"/>
        <v>2661.3468305800998</v>
      </c>
      <c r="AA410" s="1106">
        <f t="shared" si="146"/>
        <v>11717.098424894353</v>
      </c>
    </row>
    <row r="411" spans="1:29" hidden="1" x14ac:dyDescent="0.35">
      <c r="A411" s="179">
        <v>7</v>
      </c>
      <c r="B411" s="880" t="s">
        <v>22</v>
      </c>
      <c r="C411" s="82" t="s">
        <v>120</v>
      </c>
      <c r="D411" s="83" t="s">
        <v>226</v>
      </c>
      <c r="E411" s="892" t="str">
        <f>VLOOKUP(F411,'Quy đổi'!A:D,4,0)</f>
        <v>rPET</v>
      </c>
      <c r="F411" s="82" t="s">
        <v>127</v>
      </c>
      <c r="G411" s="82" t="s">
        <v>969</v>
      </c>
      <c r="H411" s="257" t="str">
        <f>IFERROR(VLOOKUP(F411,'Quy đổi'!A:C,3,0),"-")</f>
        <v>iSS01084G</v>
      </c>
      <c r="I411" s="1098">
        <v>0</v>
      </c>
      <c r="J411" s="1098">
        <v>0</v>
      </c>
      <c r="K411" s="1098">
        <v>18304000</v>
      </c>
      <c r="O411" s="1097">
        <f t="shared" si="147"/>
        <v>18304000</v>
      </c>
      <c r="P411" s="1101" t="e">
        <f t="shared" si="133"/>
        <v>#DIV/0!</v>
      </c>
      <c r="Q411" s="1101" t="e">
        <f t="shared" si="134"/>
        <v>#DIV/0!</v>
      </c>
      <c r="R411" s="1099">
        <v>0</v>
      </c>
      <c r="S411" s="1101" t="e">
        <f t="shared" si="139"/>
        <v>#DIV/0!</v>
      </c>
      <c r="T411" s="1101" t="e">
        <f t="shared" si="140"/>
        <v>#DIV/0!</v>
      </c>
      <c r="U411" s="1101">
        <f t="shared" si="141"/>
        <v>18304000</v>
      </c>
      <c r="V411" s="1103">
        <f t="shared" si="142"/>
        <v>1</v>
      </c>
      <c r="W411" s="1098">
        <v>26030</v>
      </c>
      <c r="X411" s="1106">
        <f t="shared" si="143"/>
        <v>703.18862850557048</v>
      </c>
      <c r="Y411" s="1106">
        <f t="shared" si="144"/>
        <v>703.18862850557048</v>
      </c>
      <c r="Z411" s="1106">
        <f t="shared" si="145"/>
        <v>703.18862850557048</v>
      </c>
      <c r="AA411" s="1106">
        <f t="shared" si="146"/>
        <v>0</v>
      </c>
    </row>
    <row r="412" spans="1:29" hidden="1" x14ac:dyDescent="0.35">
      <c r="A412" s="179">
        <v>7</v>
      </c>
      <c r="B412" s="880" t="s">
        <v>22</v>
      </c>
      <c r="C412" s="82" t="s">
        <v>120</v>
      </c>
      <c r="D412" s="83" t="s">
        <v>226</v>
      </c>
      <c r="E412" s="892" t="str">
        <f>VLOOKUP(F412,'Quy đổi'!A:D,4,0)</f>
        <v>rPET</v>
      </c>
      <c r="F412" s="82" t="s">
        <v>127</v>
      </c>
      <c r="G412" s="82" t="s">
        <v>969</v>
      </c>
      <c r="H412" s="257" t="str">
        <f>IFERROR(VLOOKUP(F412,'Quy đổi'!A:C,3,0),"-")</f>
        <v>iSS01084G</v>
      </c>
      <c r="I412" s="1098">
        <v>66000</v>
      </c>
      <c r="J412" s="1098">
        <v>2386736000</v>
      </c>
      <c r="K412" s="1098">
        <v>2386736000</v>
      </c>
      <c r="L412" s="1056">
        <f>140*I412</f>
        <v>9240000</v>
      </c>
      <c r="N412" s="1056">
        <v>35825862.600000001</v>
      </c>
      <c r="O412" s="1097">
        <f t="shared" si="147"/>
        <v>2341670137.4000001</v>
      </c>
      <c r="P412" s="1101">
        <f t="shared" si="133"/>
        <v>35479.850566666668</v>
      </c>
      <c r="Q412" s="1101">
        <f t="shared" si="134"/>
        <v>1363.0369022922271</v>
      </c>
      <c r="R412" s="1099">
        <v>1889912682</v>
      </c>
      <c r="S412" s="1101">
        <f t="shared" si="139"/>
        <v>28635.040636363636</v>
      </c>
      <c r="T412" s="1101">
        <f t="shared" si="140"/>
        <v>1168.7771688311689</v>
      </c>
      <c r="U412" s="1101">
        <f t="shared" si="141"/>
        <v>451757455.4000001</v>
      </c>
      <c r="V412" s="1103">
        <f t="shared" si="142"/>
        <v>0.18927835143895266</v>
      </c>
      <c r="W412" s="1098">
        <v>26030</v>
      </c>
      <c r="X412" s="1106">
        <f t="shared" si="143"/>
        <v>89960.435551286981</v>
      </c>
      <c r="Y412" s="1106">
        <f t="shared" si="144"/>
        <v>91691.740299654251</v>
      </c>
      <c r="Z412" s="1106">
        <f t="shared" si="145"/>
        <v>17355.261444487132</v>
      </c>
      <c r="AA412" s="1106">
        <f t="shared" si="146"/>
        <v>72605.174106799852</v>
      </c>
    </row>
    <row r="413" spans="1:29" hidden="1" x14ac:dyDescent="0.35">
      <c r="A413" s="179">
        <v>7</v>
      </c>
      <c r="B413" s="880" t="s">
        <v>22</v>
      </c>
      <c r="C413" s="82" t="s">
        <v>89</v>
      </c>
      <c r="D413" s="83" t="s">
        <v>227</v>
      </c>
      <c r="E413" s="892" t="str">
        <f>VLOOKUP(F413,'Quy đổi'!A:D,4,0)</f>
        <v>Xơ sợi</v>
      </c>
      <c r="F413" s="82" t="s">
        <v>463</v>
      </c>
      <c r="G413" s="82" t="s">
        <v>470</v>
      </c>
      <c r="H413" s="257" t="str">
        <f>IFERROR(VLOOKUP(F413,'Quy đổi'!A:C,3,0),"-")</f>
        <v>WSS05SB-2</v>
      </c>
      <c r="I413" s="1098">
        <v>31600</v>
      </c>
      <c r="J413" s="1098">
        <v>521400000</v>
      </c>
      <c r="K413" s="1098">
        <v>521400000</v>
      </c>
      <c r="O413" s="1097">
        <f t="shared" si="147"/>
        <v>521400000</v>
      </c>
      <c r="P413" s="1101">
        <f t="shared" si="133"/>
        <v>16500</v>
      </c>
      <c r="Q413" s="1101">
        <f t="shared" si="134"/>
        <v>633.8839800230503</v>
      </c>
      <c r="R413" s="1099">
        <v>839777617</v>
      </c>
      <c r="S413" s="1101">
        <f t="shared" si="139"/>
        <v>26575.241044303799</v>
      </c>
      <c r="T413" s="1101">
        <f t="shared" si="140"/>
        <v>1084.7037160940326</v>
      </c>
      <c r="U413" s="1101">
        <f t="shared" si="141"/>
        <v>-318377617</v>
      </c>
      <c r="V413" s="1103">
        <f t="shared" si="142"/>
        <v>-0.6106206693517453</v>
      </c>
      <c r="W413" s="1098">
        <v>26030</v>
      </c>
      <c r="X413" s="1106">
        <f t="shared" si="143"/>
        <v>20030.733768728391</v>
      </c>
      <c r="Y413" s="1106">
        <f t="shared" si="144"/>
        <v>20030.733768728391</v>
      </c>
      <c r="Z413" s="1106">
        <f t="shared" si="145"/>
        <v>-12231.180061467538</v>
      </c>
      <c r="AA413" s="1106">
        <f t="shared" si="146"/>
        <v>32261.913830195928</v>
      </c>
    </row>
    <row r="414" spans="1:29" hidden="1" x14ac:dyDescent="0.35">
      <c r="A414" s="179">
        <v>7</v>
      </c>
      <c r="B414" s="880" t="s">
        <v>22</v>
      </c>
      <c r="C414" s="82" t="s">
        <v>150</v>
      </c>
      <c r="D414" s="83" t="s">
        <v>149</v>
      </c>
      <c r="E414" s="892" t="str">
        <f>VLOOKUP(F414,'Quy đổi'!A:D,4,0)</f>
        <v>rPET</v>
      </c>
      <c r="F414" s="82" t="s">
        <v>110</v>
      </c>
      <c r="G414" s="82" t="s">
        <v>109</v>
      </c>
      <c r="H414" s="257" t="str">
        <f>IFERROR(VLOOKUP(F414,'Quy đổi'!A:C,3,0),"-")</f>
        <v>WSS01G</v>
      </c>
      <c r="I414" s="1098">
        <v>99000</v>
      </c>
      <c r="J414" s="1098">
        <v>3234825000</v>
      </c>
      <c r="K414" s="1098">
        <v>3234825000</v>
      </c>
      <c r="O414" s="1097">
        <f t="shared" si="147"/>
        <v>3234825000</v>
      </c>
      <c r="P414" s="1101">
        <f t="shared" si="133"/>
        <v>32675</v>
      </c>
      <c r="Q414" s="1101">
        <f t="shared" si="134"/>
        <v>1255.282366500192</v>
      </c>
      <c r="R414" s="1099">
        <v>2822063544</v>
      </c>
      <c r="S414" s="1101">
        <f t="shared" si="139"/>
        <v>28505.692363636364</v>
      </c>
      <c r="T414" s="1101">
        <f t="shared" si="140"/>
        <v>1163.4976474953619</v>
      </c>
      <c r="U414" s="1101">
        <f t="shared" si="141"/>
        <v>412761456</v>
      </c>
      <c r="V414" s="1103">
        <f t="shared" si="142"/>
        <v>0.12759931557348542</v>
      </c>
      <c r="W414" s="1098">
        <v>26030</v>
      </c>
      <c r="X414" s="1106">
        <f t="shared" si="143"/>
        <v>124272.95428351902</v>
      </c>
      <c r="Y414" s="1106">
        <f t="shared" si="144"/>
        <v>124272.95428351902</v>
      </c>
      <c r="Z414" s="1106">
        <f t="shared" si="145"/>
        <v>15857.143910872072</v>
      </c>
      <c r="AA414" s="1106">
        <f t="shared" si="146"/>
        <v>108415.81037264694</v>
      </c>
    </row>
    <row r="415" spans="1:29" hidden="1" x14ac:dyDescent="0.35">
      <c r="A415" s="179">
        <v>7</v>
      </c>
      <c r="B415" s="880" t="s">
        <v>22</v>
      </c>
      <c r="C415" s="82" t="s">
        <v>71</v>
      </c>
      <c r="D415" s="83" t="s">
        <v>70</v>
      </c>
      <c r="E415" s="892" t="str">
        <f>VLOOKUP(F415,'Quy đổi'!A:D,4,0)</f>
        <v>rHDPE thổi</v>
      </c>
      <c r="F415" s="82" t="s">
        <v>187</v>
      </c>
      <c r="G415" s="82" t="s">
        <v>188</v>
      </c>
      <c r="H415" s="257" t="str">
        <f>IFERROR(VLOOKUP(F415,'Quy đổi'!A:C,3,0),"-")</f>
        <v>rHDB03N02</v>
      </c>
      <c r="I415" s="1098">
        <v>33000</v>
      </c>
      <c r="J415" s="1098">
        <v>1083637500</v>
      </c>
      <c r="K415" s="1098">
        <v>1083637500</v>
      </c>
      <c r="O415" s="1097">
        <f t="shared" si="147"/>
        <v>1083637500</v>
      </c>
      <c r="P415" s="1101">
        <f t="shared" si="133"/>
        <v>32837.5</v>
      </c>
      <c r="Q415" s="1101">
        <f t="shared" si="134"/>
        <v>1261.5251632731463</v>
      </c>
      <c r="R415" s="1099">
        <v>1090050385</v>
      </c>
      <c r="S415" s="1101">
        <f t="shared" si="139"/>
        <v>33031.829848484849</v>
      </c>
      <c r="T415" s="1101">
        <f t="shared" si="140"/>
        <v>1348.2379529993816</v>
      </c>
      <c r="U415" s="1101">
        <f t="shared" si="141"/>
        <v>-6412885</v>
      </c>
      <c r="V415" s="1103">
        <f t="shared" si="142"/>
        <v>-5.9179245827133149E-3</v>
      </c>
      <c r="W415" s="1098">
        <v>26030</v>
      </c>
      <c r="X415" s="1106">
        <f t="shared" si="143"/>
        <v>41630.330388013834</v>
      </c>
      <c r="Y415" s="1106">
        <f t="shared" si="144"/>
        <v>41630.330388013834</v>
      </c>
      <c r="Z415" s="1106">
        <f t="shared" si="145"/>
        <v>-246.36515558970419</v>
      </c>
      <c r="AA415" s="1106">
        <f t="shared" si="146"/>
        <v>41876.695543603535</v>
      </c>
      <c r="AC415" s="1098">
        <f t="shared" ref="AC415:AC416" si="149">X415/I415*1000</f>
        <v>1261.5251632731465</v>
      </c>
    </row>
    <row r="416" spans="1:29" hidden="1" x14ac:dyDescent="0.35">
      <c r="A416" s="179">
        <v>7</v>
      </c>
      <c r="B416" s="880" t="s">
        <v>22</v>
      </c>
      <c r="C416" s="82" t="s">
        <v>351</v>
      </c>
      <c r="D416" s="83" t="s">
        <v>352</v>
      </c>
      <c r="E416" s="892" t="str">
        <f>VLOOKUP(F416,'Quy đổi'!A:D,4,0)</f>
        <v>rPET</v>
      </c>
      <c r="F416" s="82" t="s">
        <v>100</v>
      </c>
      <c r="G416" s="82" t="s">
        <v>99</v>
      </c>
      <c r="H416" s="257" t="str">
        <f>IFERROR(VLOOKUP(F416,'Quy đổi'!A:C,3,0),"-")</f>
        <v>iSS01G</v>
      </c>
      <c r="I416" s="1098">
        <v>33000</v>
      </c>
      <c r="J416" s="1098">
        <v>1119599350</v>
      </c>
      <c r="K416" s="1098">
        <v>1122999350</v>
      </c>
      <c r="L416" s="1056">
        <v>3200000</v>
      </c>
      <c r="O416" s="1097">
        <f t="shared" si="147"/>
        <v>1119799350</v>
      </c>
      <c r="P416" s="1101">
        <f t="shared" si="133"/>
        <v>33933.313636363637</v>
      </c>
      <c r="Q416" s="1101">
        <f t="shared" si="134"/>
        <v>1303.6232668599168</v>
      </c>
      <c r="R416" s="1099">
        <v>874381623</v>
      </c>
      <c r="S416" s="1101">
        <f t="shared" si="139"/>
        <v>26496.41281818182</v>
      </c>
      <c r="T416" s="1101">
        <f t="shared" si="140"/>
        <v>1081.486237476809</v>
      </c>
      <c r="U416" s="1101">
        <f t="shared" si="141"/>
        <v>245417727</v>
      </c>
      <c r="V416" s="1103">
        <f t="shared" si="142"/>
        <v>0.21853772845015448</v>
      </c>
      <c r="W416" s="1098">
        <v>26030</v>
      </c>
      <c r="X416" s="1106">
        <f t="shared" si="143"/>
        <v>43019.567806377258</v>
      </c>
      <c r="Y416" s="1106">
        <f t="shared" si="144"/>
        <v>43142.50288129082</v>
      </c>
      <c r="Z416" s="1106">
        <f t="shared" si="145"/>
        <v>9428.2645793315405</v>
      </c>
      <c r="AA416" s="1106">
        <f t="shared" si="146"/>
        <v>33591.303227045719</v>
      </c>
      <c r="AC416" s="1098">
        <f t="shared" si="149"/>
        <v>1303.6232668599168</v>
      </c>
    </row>
    <row r="417" spans="1:29" hidden="1" x14ac:dyDescent="0.35">
      <c r="A417" s="179">
        <v>7</v>
      </c>
      <c r="B417" s="880" t="s">
        <v>22</v>
      </c>
      <c r="C417" s="82" t="s">
        <v>959</v>
      </c>
      <c r="D417" s="83" t="s">
        <v>960</v>
      </c>
      <c r="E417" s="892" t="str">
        <f>VLOOKUP(F417,'Quy đổi'!A:D,4,0)</f>
        <v>Xơ sợi</v>
      </c>
      <c r="F417" s="82" t="s">
        <v>463</v>
      </c>
      <c r="G417" s="82" t="s">
        <v>470</v>
      </c>
      <c r="H417" s="257" t="str">
        <f>IFERROR(VLOOKUP(F417,'Quy đổi'!A:C,3,0),"-")</f>
        <v>WSS05SB-2</v>
      </c>
      <c r="I417" s="1098">
        <v>286650</v>
      </c>
      <c r="J417" s="1098">
        <v>5010438332</v>
      </c>
      <c r="K417" s="1098">
        <v>5019105000</v>
      </c>
      <c r="O417" s="1097">
        <f t="shared" si="147"/>
        <v>5019105000</v>
      </c>
      <c r="P417" s="1101">
        <f t="shared" si="133"/>
        <v>17509.523809523809</v>
      </c>
      <c r="Q417" s="1101">
        <f t="shared" si="134"/>
        <v>672.6670691326857</v>
      </c>
      <c r="R417" s="1099">
        <v>7617792859</v>
      </c>
      <c r="S417" s="1101">
        <f t="shared" si="139"/>
        <v>26575.241091923948</v>
      </c>
      <c r="T417" s="1101">
        <f t="shared" si="140"/>
        <v>1084.7037180377122</v>
      </c>
      <c r="U417" s="1101">
        <f t="shared" si="141"/>
        <v>-2598687859</v>
      </c>
      <c r="V417" s="1103">
        <f t="shared" si="142"/>
        <v>-0.51775921384390244</v>
      </c>
      <c r="W417" s="1098">
        <v>26030</v>
      </c>
      <c r="X417" s="1106">
        <f t="shared" si="143"/>
        <v>192820.01536688436</v>
      </c>
      <c r="Y417" s="1106">
        <f t="shared" si="144"/>
        <v>192820.01536688436</v>
      </c>
      <c r="Z417" s="1106">
        <f t="shared" si="145"/>
        <v>-99834.339569727235</v>
      </c>
      <c r="AA417" s="1106">
        <f t="shared" si="146"/>
        <v>292654.35493661161</v>
      </c>
      <c r="AC417" s="1098">
        <f>X417/I417*1000</f>
        <v>672.6670691326857</v>
      </c>
    </row>
    <row r="418" spans="1:29" hidden="1" x14ac:dyDescent="0.35">
      <c r="A418" s="179">
        <v>7</v>
      </c>
      <c r="C418" s="82" t="s">
        <v>353</v>
      </c>
      <c r="D418" s="83" t="s">
        <v>354</v>
      </c>
      <c r="E418" s="892" t="str">
        <f>VLOOKUP(F418,'Quy đổi'!A:D,4,0)</f>
        <v>Phó sản</v>
      </c>
      <c r="F418" s="82" t="s">
        <v>359</v>
      </c>
      <c r="G418" s="82" t="s">
        <v>356</v>
      </c>
      <c r="H418" s="257">
        <f>IFERROR(VLOOKUP(F418,'Quy đổi'!A:C,3,0),"-")</f>
        <v>0</v>
      </c>
      <c r="I418" s="1098">
        <v>7774</v>
      </c>
      <c r="J418" s="1098">
        <v>38870000</v>
      </c>
      <c r="K418" s="1098">
        <v>38870000</v>
      </c>
      <c r="O418" s="1097">
        <f t="shared" si="147"/>
        <v>38870000</v>
      </c>
      <c r="P418" s="1101">
        <f t="shared" si="133"/>
        <v>5000</v>
      </c>
      <c r="Q418" s="1101">
        <f t="shared" si="134"/>
        <v>192.08605455243949</v>
      </c>
      <c r="R418" s="1099">
        <v>97913425</v>
      </c>
      <c r="S418" s="1101">
        <f t="shared" si="139"/>
        <v>12594.98649343967</v>
      </c>
      <c r="T418" s="1101">
        <f t="shared" si="140"/>
        <v>514.08108136488454</v>
      </c>
      <c r="U418" s="1101">
        <f t="shared" si="141"/>
        <v>-59043425</v>
      </c>
      <c r="V418" s="1103">
        <f t="shared" si="142"/>
        <v>-1.5189972986879341</v>
      </c>
      <c r="W418" s="1098">
        <v>26030</v>
      </c>
      <c r="X418" s="1106">
        <f t="shared" si="143"/>
        <v>1493.2769880906646</v>
      </c>
      <c r="Y418" s="1106">
        <f t="shared" si="144"/>
        <v>1493.2769880906646</v>
      </c>
      <c r="Z418" s="1106">
        <f t="shared" si="145"/>
        <v>-2268.2837111025738</v>
      </c>
      <c r="AA418" s="1106">
        <f t="shared" si="146"/>
        <v>3761.5606991932386</v>
      </c>
    </row>
    <row r="419" spans="1:29" hidden="1" x14ac:dyDescent="0.35">
      <c r="A419" s="179">
        <v>7</v>
      </c>
      <c r="B419" s="880" t="s">
        <v>22</v>
      </c>
      <c r="C419" s="82" t="s">
        <v>373</v>
      </c>
      <c r="D419" s="83" t="s">
        <v>374</v>
      </c>
      <c r="E419" s="892" t="str">
        <f>VLOOKUP(F419,'Quy đổi'!A:D,4,0)</f>
        <v>rPET</v>
      </c>
      <c r="F419" s="82" t="s">
        <v>110</v>
      </c>
      <c r="G419" s="82" t="s">
        <v>109</v>
      </c>
      <c r="H419" s="257" t="str">
        <f>IFERROR(VLOOKUP(F419,'Quy đổi'!A:C,3,0),"-")</f>
        <v>WSS01G</v>
      </c>
      <c r="I419" s="1098">
        <v>11000</v>
      </c>
      <c r="J419" s="1098">
        <v>365973300</v>
      </c>
      <c r="K419" s="1098">
        <v>367419800</v>
      </c>
      <c r="O419" s="1097">
        <f t="shared" si="147"/>
        <v>367419800</v>
      </c>
      <c r="P419" s="1101">
        <f t="shared" si="133"/>
        <v>33401.800000000003</v>
      </c>
      <c r="Q419" s="1101">
        <f t="shared" si="134"/>
        <v>1283.2039953899348</v>
      </c>
      <c r="R419" s="1099">
        <v>313562616</v>
      </c>
      <c r="S419" s="1101">
        <f t="shared" si="139"/>
        <v>28505.692363636364</v>
      </c>
      <c r="T419" s="1101">
        <f t="shared" si="140"/>
        <v>1163.4976474953619</v>
      </c>
      <c r="U419" s="1101">
        <f t="shared" si="141"/>
        <v>53857184</v>
      </c>
      <c r="V419" s="1103">
        <f t="shared" si="142"/>
        <v>0.14658214935613159</v>
      </c>
      <c r="W419" s="1098">
        <v>26030</v>
      </c>
      <c r="X419" s="1106">
        <f t="shared" si="143"/>
        <v>14115.243949289281</v>
      </c>
      <c r="Y419" s="1106">
        <f t="shared" si="144"/>
        <v>14115.243949289281</v>
      </c>
      <c r="Z419" s="1106">
        <f t="shared" si="145"/>
        <v>2069.0427967729543</v>
      </c>
      <c r="AA419" s="1106">
        <f t="shared" si="146"/>
        <v>12046.201152516327</v>
      </c>
    </row>
    <row r="420" spans="1:29" hidden="1" x14ac:dyDescent="0.35">
      <c r="A420" s="179">
        <v>7</v>
      </c>
      <c r="C420" s="82" t="s">
        <v>454</v>
      </c>
      <c r="D420" s="83" t="s">
        <v>455</v>
      </c>
      <c r="E420" s="892" t="str">
        <f>VLOOKUP(F420,'Quy đổi'!A:D,4,0)</f>
        <v>Phó sản</v>
      </c>
      <c r="F420" s="82" t="s">
        <v>655</v>
      </c>
      <c r="G420" s="82" t="s">
        <v>656</v>
      </c>
      <c r="H420" s="257">
        <f>IFERROR(VLOOKUP(F420,'Quy đổi'!A:C,3,0),"-")</f>
        <v>0</v>
      </c>
      <c r="I420" s="1098">
        <v>0</v>
      </c>
      <c r="J420" s="1098">
        <v>0</v>
      </c>
      <c r="K420" s="1098">
        <v>-927600</v>
      </c>
      <c r="O420" s="1097">
        <f t="shared" si="147"/>
        <v>-927600</v>
      </c>
      <c r="P420" s="1101" t="e">
        <f t="shared" si="133"/>
        <v>#DIV/0!</v>
      </c>
      <c r="Q420" s="1101" t="e">
        <f t="shared" si="134"/>
        <v>#DIV/0!</v>
      </c>
      <c r="R420" s="1099">
        <v>0</v>
      </c>
      <c r="S420" s="1101" t="e">
        <f t="shared" si="139"/>
        <v>#DIV/0!</v>
      </c>
      <c r="T420" s="1101" t="e">
        <f t="shared" si="140"/>
        <v>#DIV/0!</v>
      </c>
      <c r="U420" s="1101">
        <f t="shared" si="141"/>
        <v>-927600</v>
      </c>
      <c r="V420" s="1103">
        <f t="shared" si="142"/>
        <v>1</v>
      </c>
      <c r="W420" s="1098">
        <v>26030</v>
      </c>
      <c r="X420" s="1106">
        <f t="shared" si="143"/>
        <v>-35.635804840568575</v>
      </c>
      <c r="Y420" s="1106">
        <f t="shared" si="144"/>
        <v>-35.635804840568575</v>
      </c>
      <c r="Z420" s="1106">
        <f t="shared" si="145"/>
        <v>-35.635804840568575</v>
      </c>
      <c r="AA420" s="1106">
        <f t="shared" si="146"/>
        <v>0</v>
      </c>
    </row>
    <row r="421" spans="1:29" hidden="1" x14ac:dyDescent="0.35">
      <c r="A421" s="179">
        <v>7</v>
      </c>
      <c r="C421" s="82" t="s">
        <v>454</v>
      </c>
      <c r="D421" s="83" t="s">
        <v>455</v>
      </c>
      <c r="E421" s="892" t="str">
        <f>VLOOKUP(F421,'Quy đổi'!A:D,4,0)</f>
        <v>Phó sản</v>
      </c>
      <c r="F421" s="82" t="s">
        <v>655</v>
      </c>
      <c r="G421" s="82" t="s">
        <v>656</v>
      </c>
      <c r="H421" s="257">
        <f>IFERROR(VLOOKUP(F421,'Quy đổi'!A:C,3,0),"-")</f>
        <v>0</v>
      </c>
      <c r="I421" s="1098">
        <v>3116</v>
      </c>
      <c r="J421" s="1098">
        <v>61689600</v>
      </c>
      <c r="K421" s="1098">
        <v>61689600</v>
      </c>
      <c r="O421" s="1097">
        <f t="shared" si="147"/>
        <v>61689600</v>
      </c>
      <c r="P421" s="1101">
        <f t="shared" si="133"/>
        <v>19797.689345314506</v>
      </c>
      <c r="Q421" s="1101">
        <f t="shared" si="134"/>
        <v>760.57200711926646</v>
      </c>
      <c r="R421" s="1099">
        <v>58170708</v>
      </c>
      <c r="S421" s="1101">
        <f t="shared" si="139"/>
        <v>18668.391527599488</v>
      </c>
      <c r="T421" s="1101">
        <f t="shared" si="140"/>
        <v>761.97516439181584</v>
      </c>
      <c r="U421" s="1101">
        <f t="shared" si="141"/>
        <v>3518892</v>
      </c>
      <c r="V421" s="1103">
        <f t="shared" si="142"/>
        <v>5.7041900093370679E-2</v>
      </c>
      <c r="W421" s="1098">
        <v>26030</v>
      </c>
      <c r="X421" s="1106">
        <f t="shared" si="143"/>
        <v>2369.9423741836345</v>
      </c>
      <c r="Y421" s="1106">
        <f t="shared" si="144"/>
        <v>2369.9423741836345</v>
      </c>
      <c r="Z421" s="1106">
        <f t="shared" si="145"/>
        <v>135.18601613522858</v>
      </c>
      <c r="AA421" s="1106">
        <f t="shared" si="146"/>
        <v>2234.7563580484057</v>
      </c>
    </row>
    <row r="422" spans="1:29" hidden="1" x14ac:dyDescent="0.35">
      <c r="A422" s="179">
        <v>7</v>
      </c>
      <c r="C422" s="82" t="s">
        <v>454</v>
      </c>
      <c r="D422" s="83" t="s">
        <v>455</v>
      </c>
      <c r="E422" s="892" t="str">
        <f>VLOOKUP(F422,'Quy đổi'!A:D,4,0)</f>
        <v>Khác</v>
      </c>
      <c r="F422" s="82" t="s">
        <v>467</v>
      </c>
      <c r="G422" s="82" t="s">
        <v>466</v>
      </c>
      <c r="H422" s="257">
        <f>IFERROR(VLOOKUP(F422,'Quy đổi'!A:C,3,0),"-")</f>
        <v>0</v>
      </c>
      <c r="I422" s="1098">
        <v>996</v>
      </c>
      <c r="J422" s="1098">
        <v>18924000</v>
      </c>
      <c r="K422" s="1098">
        <v>18924000</v>
      </c>
      <c r="O422" s="1097">
        <f t="shared" si="147"/>
        <v>18924000</v>
      </c>
      <c r="P422" s="1101">
        <f t="shared" si="133"/>
        <v>19000</v>
      </c>
      <c r="Q422" s="1101">
        <f t="shared" si="134"/>
        <v>729.92700729927003</v>
      </c>
      <c r="R422" s="1099">
        <v>18115692</v>
      </c>
      <c r="S422" s="1101">
        <f t="shared" si="139"/>
        <v>18188.445783132531</v>
      </c>
      <c r="T422" s="1101">
        <f t="shared" si="140"/>
        <v>742.38554216867476</v>
      </c>
      <c r="U422" s="1101">
        <f t="shared" si="141"/>
        <v>808308</v>
      </c>
      <c r="V422" s="1103">
        <f t="shared" si="142"/>
        <v>4.2713379835129996E-2</v>
      </c>
      <c r="W422" s="1098">
        <v>26030</v>
      </c>
      <c r="X422" s="1106">
        <f t="shared" si="143"/>
        <v>727.00729927007296</v>
      </c>
      <c r="Y422" s="1106">
        <f t="shared" si="144"/>
        <v>727.00729927007296</v>
      </c>
      <c r="Z422" s="1106">
        <f t="shared" si="145"/>
        <v>31.052938916634652</v>
      </c>
      <c r="AA422" s="1106">
        <f t="shared" si="146"/>
        <v>695.95436035343835</v>
      </c>
    </row>
    <row r="423" spans="1:29" hidden="1" x14ac:dyDescent="0.35">
      <c r="A423" s="179">
        <v>7</v>
      </c>
      <c r="C423" s="82" t="s">
        <v>454</v>
      </c>
      <c r="D423" s="83" t="s">
        <v>455</v>
      </c>
      <c r="E423" s="892" t="str">
        <f>VLOOKUP(F423,'Quy đổi'!A:D,4,0)</f>
        <v>Phó sản</v>
      </c>
      <c r="F423" s="82" t="s">
        <v>970</v>
      </c>
      <c r="G423" s="82" t="s">
        <v>974</v>
      </c>
      <c r="H423" s="257">
        <f>IFERROR(VLOOKUP(F423,'Quy đổi'!A:C,3,0),"-")</f>
        <v>0</v>
      </c>
      <c r="I423" s="1098">
        <v>2934</v>
      </c>
      <c r="J423" s="1098">
        <v>49066000</v>
      </c>
      <c r="K423" s="1098">
        <v>49066000</v>
      </c>
      <c r="O423" s="1097">
        <f t="shared" si="147"/>
        <v>49066000</v>
      </c>
      <c r="P423" s="1101">
        <f t="shared" si="133"/>
        <v>16723.244717109748</v>
      </c>
      <c r="Q423" s="1101">
        <f t="shared" si="134"/>
        <v>642.46041940490773</v>
      </c>
      <c r="R423" s="1099">
        <v>48315411</v>
      </c>
      <c r="S423" s="1101">
        <f t="shared" si="139"/>
        <v>16467.420245398775</v>
      </c>
      <c r="T423" s="1101">
        <f t="shared" si="140"/>
        <v>672.13960185301119</v>
      </c>
      <c r="U423" s="1101">
        <f t="shared" si="141"/>
        <v>750589</v>
      </c>
      <c r="V423" s="1103">
        <f t="shared" si="142"/>
        <v>1.529753801002731E-2</v>
      </c>
      <c r="W423" s="1098">
        <v>26030</v>
      </c>
      <c r="X423" s="1106">
        <f t="shared" si="143"/>
        <v>1884.9788705339993</v>
      </c>
      <c r="Y423" s="1106">
        <f t="shared" si="144"/>
        <v>1884.9788705339993</v>
      </c>
      <c r="Z423" s="1106">
        <f t="shared" si="145"/>
        <v>28.835535920092202</v>
      </c>
      <c r="AA423" s="1106">
        <f t="shared" si="146"/>
        <v>1856.143334613907</v>
      </c>
    </row>
    <row r="424" spans="1:29" hidden="1" x14ac:dyDescent="0.35">
      <c r="A424" s="179">
        <v>7</v>
      </c>
      <c r="B424" s="880" t="s">
        <v>22</v>
      </c>
      <c r="C424" s="82" t="s">
        <v>456</v>
      </c>
      <c r="D424" s="83" t="s">
        <v>457</v>
      </c>
      <c r="E424" s="892" t="str">
        <f>VLOOKUP(F424,'Quy đổi'!A:D,4,0)</f>
        <v>rHDPE ép</v>
      </c>
      <c r="F424" s="82" t="s">
        <v>37</v>
      </c>
      <c r="G424" s="82" t="s">
        <v>36</v>
      </c>
      <c r="H424" s="257" t="str">
        <f>IFERROR(VLOOKUP(F424,'Quy đổi'!A:C,3,0),"-")</f>
        <v>Vảy HD Ép Đỏ</v>
      </c>
      <c r="I424" s="1098">
        <v>9000</v>
      </c>
      <c r="J424" s="1098">
        <v>140722444</v>
      </c>
      <c r="K424" s="1098">
        <v>141544444</v>
      </c>
      <c r="O424" s="1097">
        <f t="shared" si="147"/>
        <v>141544444</v>
      </c>
      <c r="P424" s="1101">
        <f t="shared" si="133"/>
        <v>15727.160444444444</v>
      </c>
      <c r="Q424" s="1101">
        <f t="shared" si="134"/>
        <v>604.19363981730476</v>
      </c>
      <c r="R424" s="1099">
        <v>178689657</v>
      </c>
      <c r="S424" s="1101">
        <f t="shared" si="139"/>
        <v>19854.406333333332</v>
      </c>
      <c r="T424" s="1101">
        <f t="shared" si="140"/>
        <v>810.38393197278913</v>
      </c>
      <c r="U424" s="1101">
        <f t="shared" si="141"/>
        <v>-37145213</v>
      </c>
      <c r="V424" s="1103">
        <f t="shared" si="142"/>
        <v>-0.26242791274802707</v>
      </c>
      <c r="W424" s="1098">
        <v>26030</v>
      </c>
      <c r="X424" s="1106">
        <f t="shared" si="143"/>
        <v>5437.7427583557437</v>
      </c>
      <c r="Y424" s="1106">
        <f t="shared" si="144"/>
        <v>5437.7427583557437</v>
      </c>
      <c r="Z424" s="1106">
        <f t="shared" si="145"/>
        <v>-1427.015482135997</v>
      </c>
      <c r="AA424" s="1106">
        <f t="shared" si="146"/>
        <v>6864.7582404917403</v>
      </c>
    </row>
    <row r="425" spans="1:29" hidden="1" x14ac:dyDescent="0.35">
      <c r="A425" s="179">
        <v>7</v>
      </c>
      <c r="B425" s="880" t="s">
        <v>22</v>
      </c>
      <c r="C425" s="82" t="s">
        <v>456</v>
      </c>
      <c r="D425" s="83" t="s">
        <v>457</v>
      </c>
      <c r="E425" s="892" t="str">
        <f>VLOOKUP(F425,'Quy đổi'!A:D,4,0)</f>
        <v>rHDPE ép</v>
      </c>
      <c r="F425" s="82" t="s">
        <v>536</v>
      </c>
      <c r="G425" s="82" t="s">
        <v>537</v>
      </c>
      <c r="H425" s="257" t="str">
        <f>IFERROR(VLOOKUP(F425,'Quy đổi'!A:C,3,0),"-")</f>
        <v>Vảy HD Ép Trắng</v>
      </c>
      <c r="I425" s="1098">
        <v>750</v>
      </c>
      <c r="J425" s="1098">
        <v>11458333</v>
      </c>
      <c r="K425" s="1098">
        <v>11458333</v>
      </c>
      <c r="O425" s="1097">
        <f t="shared" si="147"/>
        <v>11458333</v>
      </c>
      <c r="P425" s="1101">
        <f t="shared" si="133"/>
        <v>15277.777333333333</v>
      </c>
      <c r="Q425" s="1101">
        <f t="shared" si="134"/>
        <v>586.92959405813804</v>
      </c>
      <c r="R425" s="1099">
        <v>19731644</v>
      </c>
      <c r="S425" s="1101">
        <f t="shared" si="139"/>
        <v>26308.858666666667</v>
      </c>
      <c r="T425" s="1101">
        <f t="shared" si="140"/>
        <v>1073.8309659863946</v>
      </c>
      <c r="U425" s="1101">
        <f t="shared" si="141"/>
        <v>-8273311</v>
      </c>
      <c r="V425" s="1103">
        <f t="shared" si="142"/>
        <v>-0.72203443555009272</v>
      </c>
      <c r="W425" s="1098">
        <v>26030</v>
      </c>
      <c r="X425" s="1106">
        <f t="shared" si="143"/>
        <v>440.19719554360353</v>
      </c>
      <c r="Y425" s="1106">
        <f t="shared" si="144"/>
        <v>440.19719554360353</v>
      </c>
      <c r="Z425" s="1106">
        <f t="shared" si="145"/>
        <v>-317.83753361505956</v>
      </c>
      <c r="AA425" s="1106">
        <f t="shared" si="146"/>
        <v>758.03472915866303</v>
      </c>
    </row>
    <row r="426" spans="1:29" hidden="1" x14ac:dyDescent="0.35">
      <c r="A426" s="179">
        <v>7</v>
      </c>
      <c r="B426" s="880" t="s">
        <v>22</v>
      </c>
      <c r="C426" s="82" t="s">
        <v>519</v>
      </c>
      <c r="D426" s="83" t="s">
        <v>520</v>
      </c>
      <c r="E426" s="892" t="str">
        <f>VLOOKUP(F426,'Quy đổi'!A:D,4,0)</f>
        <v>rHDPE ép</v>
      </c>
      <c r="F426" s="82" t="s">
        <v>41</v>
      </c>
      <c r="G426" s="82" t="s">
        <v>40</v>
      </c>
      <c r="H426" s="257" t="str">
        <f>IFERROR(VLOOKUP(F426,'Quy đổi'!A:C,3,0),"-")</f>
        <v>Vảy HD Ép Lá</v>
      </c>
      <c r="I426" s="1098">
        <v>10500</v>
      </c>
      <c r="J426" s="1098">
        <v>165900000</v>
      </c>
      <c r="K426" s="1098">
        <v>168000000</v>
      </c>
      <c r="O426" s="1097">
        <f t="shared" si="147"/>
        <v>168000000</v>
      </c>
      <c r="P426" s="1101">
        <f t="shared" si="133"/>
        <v>16000</v>
      </c>
      <c r="Q426" s="1101">
        <f t="shared" si="134"/>
        <v>614.67537456780644</v>
      </c>
      <c r="R426" s="1099">
        <v>265590104</v>
      </c>
      <c r="S426" s="1101">
        <f t="shared" si="139"/>
        <v>25294.295619047618</v>
      </c>
      <c r="T426" s="1101">
        <f t="shared" si="140"/>
        <v>1032.4202293488825</v>
      </c>
      <c r="U426" s="1101">
        <f t="shared" si="141"/>
        <v>-97590104</v>
      </c>
      <c r="V426" s="1103">
        <f t="shared" si="142"/>
        <v>-0.58089347619047615</v>
      </c>
      <c r="W426" s="1098">
        <v>26030</v>
      </c>
      <c r="X426" s="1106">
        <f t="shared" si="143"/>
        <v>6454.0914329619673</v>
      </c>
      <c r="Y426" s="1106">
        <f t="shared" si="144"/>
        <v>6454.0914329619673</v>
      </c>
      <c r="Z426" s="1106">
        <f t="shared" si="145"/>
        <v>-3749.1396081444486</v>
      </c>
      <c r="AA426" s="1106">
        <f t="shared" si="146"/>
        <v>10203.231041106415</v>
      </c>
    </row>
    <row r="427" spans="1:29" hidden="1" x14ac:dyDescent="0.35">
      <c r="A427" s="179">
        <v>7</v>
      </c>
      <c r="B427" s="880" t="s">
        <v>22</v>
      </c>
      <c r="C427" s="82" t="s">
        <v>637</v>
      </c>
      <c r="D427" s="83" t="s">
        <v>638</v>
      </c>
      <c r="E427" s="892" t="str">
        <f>VLOOKUP(F427,'Quy đổi'!A:D,4,0)</f>
        <v>rHDPE ép</v>
      </c>
      <c r="F427" s="82" t="s">
        <v>216</v>
      </c>
      <c r="G427" s="82" t="s">
        <v>217</v>
      </c>
      <c r="H427" s="257" t="str">
        <f>IFERROR(VLOOKUP(F427,'Quy đổi'!A:C,3,0),"-")</f>
        <v>rHDI3Gy01</v>
      </c>
      <c r="I427" s="1098">
        <v>300</v>
      </c>
      <c r="J427" s="1098">
        <v>4315766</v>
      </c>
      <c r="K427" s="1098">
        <v>4583334</v>
      </c>
      <c r="O427" s="1097">
        <f t="shared" si="147"/>
        <v>4583334</v>
      </c>
      <c r="P427" s="1101">
        <f t="shared" si="133"/>
        <v>15277.78</v>
      </c>
      <c r="Q427" s="1101">
        <f t="shared" si="134"/>
        <v>586.92969650403381</v>
      </c>
      <c r="R427" s="1099">
        <v>5595841</v>
      </c>
      <c r="S427" s="1101">
        <f t="shared" si="139"/>
        <v>18652.803333333333</v>
      </c>
      <c r="T427" s="1101">
        <f t="shared" si="140"/>
        <v>761.33891156462585</v>
      </c>
      <c r="U427" s="1101">
        <f t="shared" si="141"/>
        <v>-1012507</v>
      </c>
      <c r="V427" s="1103">
        <f t="shared" si="142"/>
        <v>-0.22091058604936931</v>
      </c>
      <c r="W427" s="1098">
        <v>26030</v>
      </c>
      <c r="X427" s="1106">
        <f t="shared" si="143"/>
        <v>176.07890895121014</v>
      </c>
      <c r="Y427" s="1106">
        <f t="shared" si="144"/>
        <v>176.07890895121014</v>
      </c>
      <c r="Z427" s="1106">
        <f t="shared" si="145"/>
        <v>-38.897694967345373</v>
      </c>
      <c r="AA427" s="1106">
        <f t="shared" si="146"/>
        <v>214.97660391855553</v>
      </c>
    </row>
    <row r="428" spans="1:29" hidden="1" x14ac:dyDescent="0.35">
      <c r="A428" s="179">
        <v>7</v>
      </c>
      <c r="B428" s="880" t="s">
        <v>22</v>
      </c>
      <c r="C428" s="82" t="s">
        <v>637</v>
      </c>
      <c r="D428" s="83" t="s">
        <v>638</v>
      </c>
      <c r="E428" s="892" t="str">
        <f>VLOOKUP(F428,'Quy đổi'!A:D,4,0)</f>
        <v>rHDPE ép</v>
      </c>
      <c r="F428" s="82" t="s">
        <v>37</v>
      </c>
      <c r="G428" s="82" t="s">
        <v>36</v>
      </c>
      <c r="H428" s="257" t="str">
        <f>IFERROR(VLOOKUP(F428,'Quy đổi'!A:C,3,0),"-")</f>
        <v>Vảy HD Ép Đỏ</v>
      </c>
      <c r="I428" s="1098">
        <v>7500</v>
      </c>
      <c r="J428" s="1098">
        <v>121495346</v>
      </c>
      <c r="K428" s="1098">
        <v>129027778</v>
      </c>
      <c r="O428" s="1097">
        <f t="shared" si="147"/>
        <v>129027778</v>
      </c>
      <c r="P428" s="1101">
        <f t="shared" si="133"/>
        <v>17203.703733333332</v>
      </c>
      <c r="Q428" s="1101">
        <f t="shared" si="134"/>
        <v>660.91831476501477</v>
      </c>
      <c r="R428" s="1099">
        <v>148908046</v>
      </c>
      <c r="S428" s="1101">
        <f t="shared" si="139"/>
        <v>19854.406133333334</v>
      </c>
      <c r="T428" s="1101">
        <f t="shared" si="140"/>
        <v>810.38392380952382</v>
      </c>
      <c r="U428" s="1101">
        <f t="shared" si="141"/>
        <v>-19880268</v>
      </c>
      <c r="V428" s="1103">
        <f>U428/K428</f>
        <v>-0.15407742664529184</v>
      </c>
      <c r="W428" s="1098">
        <v>26030</v>
      </c>
      <c r="X428" s="1106">
        <f t="shared" si="143"/>
        <v>4956.8873607376108</v>
      </c>
      <c r="Y428" s="1106">
        <f t="shared" si="144"/>
        <v>4956.8873607376108</v>
      </c>
      <c r="Z428" s="1106">
        <f t="shared" si="145"/>
        <v>-763.74444871302342</v>
      </c>
      <c r="AA428" s="1106">
        <f t="shared" si="146"/>
        <v>5720.6318094506341</v>
      </c>
    </row>
    <row r="429" spans="1:29" hidden="1" x14ac:dyDescent="0.35">
      <c r="A429" s="179">
        <v>7</v>
      </c>
      <c r="B429" s="880" t="s">
        <v>22</v>
      </c>
      <c r="C429" s="82" t="s">
        <v>722</v>
      </c>
      <c r="D429" s="83" t="s">
        <v>723</v>
      </c>
      <c r="E429" s="892" t="str">
        <f>VLOOKUP(F429,'Quy đổi'!A:D,4,0)</f>
        <v>rHDPE thổi</v>
      </c>
      <c r="F429" s="82" t="s">
        <v>52</v>
      </c>
      <c r="G429" s="82" t="s">
        <v>51</v>
      </c>
      <c r="H429" s="257" t="str">
        <f>IFERROR(VLOOKUP(F429,'Quy đổi'!A:C,3,0),"-")</f>
        <v>rHDB04B01</v>
      </c>
      <c r="I429" s="1098">
        <v>22000</v>
      </c>
      <c r="J429" s="1098">
        <v>346296300</v>
      </c>
      <c r="K429" s="1098">
        <v>346296300</v>
      </c>
      <c r="O429" s="1097">
        <f t="shared" si="147"/>
        <v>346296300</v>
      </c>
      <c r="P429" s="1101">
        <f t="shared" si="133"/>
        <v>15740.74090909091</v>
      </c>
      <c r="Q429" s="1101">
        <f t="shared" si="134"/>
        <v>604.71536339189049</v>
      </c>
      <c r="R429" s="1099">
        <v>471856356</v>
      </c>
      <c r="S429" s="1101">
        <f t="shared" si="139"/>
        <v>21448.01618181818</v>
      </c>
      <c r="T429" s="1101">
        <f t="shared" si="140"/>
        <v>875.4292319109461</v>
      </c>
      <c r="U429" s="1101">
        <f t="shared" si="141"/>
        <v>-125560056</v>
      </c>
      <c r="V429" s="1103">
        <f t="shared" si="142"/>
        <v>-0.36257983697775575</v>
      </c>
      <c r="W429" s="1098">
        <v>26030</v>
      </c>
      <c r="X429" s="1106">
        <f t="shared" si="143"/>
        <v>13303.73799462159</v>
      </c>
      <c r="Y429" s="1106">
        <f t="shared" si="144"/>
        <v>13303.73799462159</v>
      </c>
      <c r="Z429" s="1106">
        <f t="shared" si="145"/>
        <v>-4823.6671532846713</v>
      </c>
      <c r="AA429" s="1106">
        <f t="shared" si="146"/>
        <v>18127.405147906262</v>
      </c>
    </row>
    <row r="430" spans="1:29" hidden="1" x14ac:dyDescent="0.35">
      <c r="A430" s="179">
        <v>7</v>
      </c>
      <c r="B430" s="880" t="s">
        <v>22</v>
      </c>
      <c r="C430" s="82" t="s">
        <v>907</v>
      </c>
      <c r="D430" s="83" t="s">
        <v>908</v>
      </c>
      <c r="E430" s="892" t="str">
        <f>VLOOKUP(F430,'Quy đổi'!A:D,4,0)</f>
        <v>rPET</v>
      </c>
      <c r="F430" s="82" t="s">
        <v>110</v>
      </c>
      <c r="G430" s="82" t="s">
        <v>109</v>
      </c>
      <c r="H430" s="257" t="str">
        <f>IFERROR(VLOOKUP(F430,'Quy đổi'!A:C,3,0),"-")</f>
        <v>WSS01G</v>
      </c>
      <c r="I430" s="1098">
        <v>44000</v>
      </c>
      <c r="J430" s="1098">
        <v>1410772000</v>
      </c>
      <c r="K430" s="1098">
        <v>1410772000</v>
      </c>
      <c r="L430" s="1056">
        <f>140*I430</f>
        <v>6160000</v>
      </c>
      <c r="O430" s="1097">
        <f t="shared" si="147"/>
        <v>1404612000</v>
      </c>
      <c r="P430" s="1101">
        <f t="shared" si="133"/>
        <v>31923</v>
      </c>
      <c r="Q430" s="1101">
        <f t="shared" si="134"/>
        <v>1226.3926238955053</v>
      </c>
      <c r="R430" s="1099">
        <v>1254250462</v>
      </c>
      <c r="S430" s="1101">
        <f t="shared" si="139"/>
        <v>28505.692318181817</v>
      </c>
      <c r="T430" s="1101">
        <f t="shared" si="140"/>
        <v>1163.4976456400741</v>
      </c>
      <c r="U430" s="1101">
        <f t="shared" si="141"/>
        <v>150361538</v>
      </c>
      <c r="V430" s="1103">
        <f t="shared" si="142"/>
        <v>0.10658103364682599</v>
      </c>
      <c r="W430" s="1098">
        <v>26030</v>
      </c>
      <c r="X430" s="1106">
        <f t="shared" si="143"/>
        <v>53961.275451402231</v>
      </c>
      <c r="Y430" s="1106">
        <f t="shared" si="144"/>
        <v>54197.925470610833</v>
      </c>
      <c r="Z430" s="1106">
        <f t="shared" si="145"/>
        <v>5776.4709181713406</v>
      </c>
      <c r="AA430" s="1106">
        <f t="shared" si="146"/>
        <v>48184.80453323089</v>
      </c>
    </row>
    <row r="431" spans="1:29" hidden="1" x14ac:dyDescent="0.35">
      <c r="A431" s="179">
        <v>7</v>
      </c>
      <c r="B431" s="880" t="s">
        <v>22</v>
      </c>
      <c r="C431" s="82" t="s">
        <v>897</v>
      </c>
      <c r="D431" s="83" t="s">
        <v>898</v>
      </c>
      <c r="E431" s="892" t="str">
        <f>VLOOKUP(F431,'Quy đổi'!A:D,4,0)</f>
        <v>rPET</v>
      </c>
      <c r="F431" s="82" t="s">
        <v>110</v>
      </c>
      <c r="G431" s="82" t="s">
        <v>109</v>
      </c>
      <c r="H431" s="257" t="str">
        <f>IFERROR(VLOOKUP(F431,'Quy đổi'!A:C,3,0),"-")</f>
        <v>WSS01G</v>
      </c>
      <c r="I431" s="1098">
        <v>1100</v>
      </c>
      <c r="J431" s="1098">
        <v>36762000</v>
      </c>
      <c r="K431" s="1098">
        <v>36762000</v>
      </c>
      <c r="O431" s="1097">
        <f t="shared" si="147"/>
        <v>36762000</v>
      </c>
      <c r="P431" s="1101">
        <f t="shared" si="133"/>
        <v>33420</v>
      </c>
      <c r="Q431" s="1101">
        <f t="shared" si="134"/>
        <v>1283.9031886285054</v>
      </c>
      <c r="R431" s="1099">
        <v>31356262</v>
      </c>
      <c r="S431" s="1101">
        <f t="shared" si="139"/>
        <v>28505.692727272726</v>
      </c>
      <c r="T431" s="1101">
        <f t="shared" si="140"/>
        <v>1163.4976623376624</v>
      </c>
      <c r="U431" s="1101">
        <f t="shared" si="141"/>
        <v>5405738</v>
      </c>
      <c r="V431" s="1103">
        <f t="shared" si="142"/>
        <v>0.14704689625156411</v>
      </c>
      <c r="W431" s="1098">
        <v>26030</v>
      </c>
      <c r="X431" s="1106">
        <f t="shared" si="143"/>
        <v>1412.2935074913562</v>
      </c>
      <c r="Y431" s="1106">
        <f t="shared" si="144"/>
        <v>1412.2935074913562</v>
      </c>
      <c r="Z431" s="1106">
        <f t="shared" si="145"/>
        <v>207.67337687283904</v>
      </c>
      <c r="AA431" s="1106">
        <f t="shared" si="146"/>
        <v>1204.6201306185171</v>
      </c>
    </row>
    <row r="432" spans="1:29" hidden="1" x14ac:dyDescent="0.35">
      <c r="A432" s="179">
        <v>7</v>
      </c>
      <c r="B432" s="880" t="s">
        <v>22</v>
      </c>
      <c r="C432" s="82" t="s">
        <v>899</v>
      </c>
      <c r="D432" s="83" t="s">
        <v>900</v>
      </c>
      <c r="E432" s="892" t="str">
        <f>VLOOKUP(F432,'Quy đổi'!A:D,4,0)</f>
        <v>Xơ sợi</v>
      </c>
      <c r="F432" s="82" t="s">
        <v>87</v>
      </c>
      <c r="G432" s="82" t="s">
        <v>470</v>
      </c>
      <c r="H432" s="257" t="str">
        <f>IFERROR(VLOOKUP(F432,'Quy đổi'!A:C,3,0),"-")</f>
        <v>WSS05SB</v>
      </c>
      <c r="I432" s="1098">
        <v>249550</v>
      </c>
      <c r="J432" s="1098">
        <v>4341925000</v>
      </c>
      <c r="K432" s="1098">
        <v>4341925000</v>
      </c>
      <c r="O432" s="1097">
        <f t="shared" si="147"/>
        <v>4341925000</v>
      </c>
      <c r="P432" s="1101">
        <f t="shared" si="133"/>
        <v>17399.018232819075</v>
      </c>
      <c r="Q432" s="1101">
        <f t="shared" si="134"/>
        <v>668.42175308563492</v>
      </c>
      <c r="R432" s="1099">
        <v>6274987514</v>
      </c>
      <c r="S432" s="1101">
        <f t="shared" si="139"/>
        <v>25145.211436585854</v>
      </c>
      <c r="T432" s="1101">
        <f t="shared" si="140"/>
        <v>1026.3351606769736</v>
      </c>
      <c r="U432" s="1101">
        <f t="shared" si="141"/>
        <v>-1933062514</v>
      </c>
      <c r="V432" s="1103">
        <f t="shared" si="142"/>
        <v>-0.44520863764344154</v>
      </c>
      <c r="W432" s="1098">
        <v>26030</v>
      </c>
      <c r="X432" s="1106">
        <f t="shared" si="143"/>
        <v>166804.64848252016</v>
      </c>
      <c r="Y432" s="1106">
        <f t="shared" si="144"/>
        <v>166804.64848252016</v>
      </c>
      <c r="Z432" s="1106">
        <f t="shared" si="145"/>
        <v>-74262.870303495962</v>
      </c>
      <c r="AA432" s="1106">
        <f t="shared" si="146"/>
        <v>241067.51878601612</v>
      </c>
    </row>
    <row r="433" spans="1:29" hidden="1" x14ac:dyDescent="0.35">
      <c r="A433" s="179">
        <v>7</v>
      </c>
      <c r="B433" s="880" t="s">
        <v>22</v>
      </c>
      <c r="C433" s="82" t="s">
        <v>961</v>
      </c>
      <c r="D433" s="83" t="s">
        <v>962</v>
      </c>
      <c r="E433" s="892" t="str">
        <f>VLOOKUP(F433,'Quy đổi'!A:D,4,0)</f>
        <v>rPP</v>
      </c>
      <c r="F433" s="82" t="s">
        <v>231</v>
      </c>
      <c r="G433" s="82" t="s">
        <v>232</v>
      </c>
      <c r="H433" s="257" t="str">
        <f>IFERROR(VLOOKUP(F433,'Quy đổi'!A:C,3,0),"-")</f>
        <v>rPP20W01</v>
      </c>
      <c r="I433" s="1098">
        <v>100</v>
      </c>
      <c r="J433" s="1098">
        <v>2100000</v>
      </c>
      <c r="K433" s="1098">
        <v>2100000</v>
      </c>
      <c r="O433" s="1097">
        <f t="shared" si="147"/>
        <v>2100000</v>
      </c>
      <c r="P433" s="1101">
        <f t="shared" si="133"/>
        <v>21000</v>
      </c>
      <c r="Q433" s="1101">
        <f t="shared" si="134"/>
        <v>806.76142912024579</v>
      </c>
      <c r="R433" s="1099">
        <v>3612267</v>
      </c>
      <c r="S433" s="1101">
        <f t="shared" si="139"/>
        <v>36122.67</v>
      </c>
      <c r="T433" s="1101">
        <f t="shared" si="140"/>
        <v>1474.3946938775509</v>
      </c>
      <c r="U433" s="1101">
        <f t="shared" si="141"/>
        <v>-1512267</v>
      </c>
      <c r="V433" s="1103">
        <f t="shared" si="142"/>
        <v>-0.72012714285714285</v>
      </c>
      <c r="W433" s="1098">
        <v>26030</v>
      </c>
      <c r="X433" s="1106">
        <f t="shared" si="143"/>
        <v>80.676142912024588</v>
      </c>
      <c r="Y433" s="1106">
        <f t="shared" si="144"/>
        <v>80.676142912024588</v>
      </c>
      <c r="Z433" s="1106">
        <f t="shared" si="145"/>
        <v>-58.097080291970805</v>
      </c>
      <c r="AA433" s="1106">
        <f t="shared" si="146"/>
        <v>138.7732232039954</v>
      </c>
      <c r="AC433" s="1098">
        <f t="shared" ref="AC433" si="150">X433/I433*1000</f>
        <v>806.76142912024579</v>
      </c>
    </row>
    <row r="434" spans="1:29" hidden="1" x14ac:dyDescent="0.35">
      <c r="A434" s="179">
        <v>7</v>
      </c>
      <c r="B434" s="880" t="s">
        <v>22</v>
      </c>
      <c r="C434" s="82" t="s">
        <v>963</v>
      </c>
      <c r="D434" s="83" t="s">
        <v>964</v>
      </c>
      <c r="E434" s="892" t="str">
        <f>VLOOKUP(F434,'Quy đổi'!A:D,4,0)</f>
        <v>rHDPE thổi</v>
      </c>
      <c r="F434" s="82" t="s">
        <v>52</v>
      </c>
      <c r="G434" s="82" t="s">
        <v>51</v>
      </c>
      <c r="H434" s="257" t="str">
        <f>IFERROR(VLOOKUP(F434,'Quy đổi'!A:C,3,0),"-")</f>
        <v>rHDB04B01</v>
      </c>
      <c r="I434" s="1098">
        <v>1375</v>
      </c>
      <c r="J434" s="1098">
        <v>24750000</v>
      </c>
      <c r="K434" s="1098">
        <v>24750000</v>
      </c>
      <c r="O434" s="1097">
        <f t="shared" si="147"/>
        <v>24750000</v>
      </c>
      <c r="P434" s="1101">
        <f t="shared" si="133"/>
        <v>18000</v>
      </c>
      <c r="Q434" s="1101">
        <f t="shared" si="134"/>
        <v>691.50979638878221</v>
      </c>
      <c r="R434" s="1099">
        <v>29491022</v>
      </c>
      <c r="S434" s="1101">
        <f t="shared" si="139"/>
        <v>21448.016</v>
      </c>
      <c r="T434" s="1101">
        <f t="shared" si="140"/>
        <v>875.42922448979596</v>
      </c>
      <c r="U434" s="1101">
        <f t="shared" si="141"/>
        <v>-4741022</v>
      </c>
      <c r="V434" s="1103">
        <f t="shared" si="142"/>
        <v>-0.19155644444444445</v>
      </c>
      <c r="W434" s="1098">
        <v>26030</v>
      </c>
      <c r="X434" s="1106">
        <f t="shared" si="143"/>
        <v>950.82597003457545</v>
      </c>
      <c r="Y434" s="1106">
        <f t="shared" si="144"/>
        <v>950.82597003457545</v>
      </c>
      <c r="Z434" s="1106">
        <f t="shared" si="145"/>
        <v>-182.13684210526316</v>
      </c>
      <c r="AA434" s="1106">
        <f t="shared" si="146"/>
        <v>1132.9628121398387</v>
      </c>
    </row>
    <row r="435" spans="1:29" hidden="1" x14ac:dyDescent="0.35">
      <c r="A435" s="179">
        <v>7</v>
      </c>
      <c r="B435" s="880" t="s">
        <v>22</v>
      </c>
      <c r="C435" s="82" t="s">
        <v>965</v>
      </c>
      <c r="D435" s="83" t="s">
        <v>966</v>
      </c>
      <c r="E435" s="892" t="str">
        <f>VLOOKUP(F435,'Quy đổi'!A:D,4,0)</f>
        <v>rPP</v>
      </c>
      <c r="F435" s="82" t="s">
        <v>19</v>
      </c>
      <c r="G435" s="82" t="s">
        <v>18</v>
      </c>
      <c r="H435" s="257" t="str">
        <f>IFERROR(VLOOKUP(F435,'Quy đổi'!A:C,3,0),"-")</f>
        <v>Vảy PP Đỏ Nhạt</v>
      </c>
      <c r="I435" s="1098">
        <v>6000</v>
      </c>
      <c r="J435" s="1098">
        <v>97222222</v>
      </c>
      <c r="K435" s="1098">
        <v>97222222</v>
      </c>
      <c r="O435" s="1097">
        <f t="shared" si="147"/>
        <v>97222222</v>
      </c>
      <c r="P435" s="1101">
        <f t="shared" si="133"/>
        <v>16203.703666666666</v>
      </c>
      <c r="Q435" s="1101">
        <f t="shared" si="134"/>
        <v>622.50110129337941</v>
      </c>
      <c r="R435" s="1099">
        <v>122299568</v>
      </c>
      <c r="S435" s="1101">
        <f t="shared" si="139"/>
        <v>20383.261333333332</v>
      </c>
      <c r="T435" s="1101">
        <f t="shared" si="140"/>
        <v>831.96985034013596</v>
      </c>
      <c r="U435" s="1101">
        <f t="shared" si="141"/>
        <v>-25077346</v>
      </c>
      <c r="V435" s="1103">
        <f t="shared" si="142"/>
        <v>-0.2579384165895735</v>
      </c>
      <c r="W435" s="1098">
        <v>26030</v>
      </c>
      <c r="X435" s="1106">
        <f t="shared" si="143"/>
        <v>3735.0066077602764</v>
      </c>
      <c r="Y435" s="1106">
        <f t="shared" si="144"/>
        <v>3735.0066077602764</v>
      </c>
      <c r="Z435" s="1106">
        <f t="shared" si="145"/>
        <v>-963.40169035728002</v>
      </c>
      <c r="AA435" s="1106">
        <f t="shared" si="146"/>
        <v>4698.408298117557</v>
      </c>
    </row>
    <row r="436" spans="1:29" hidden="1" x14ac:dyDescent="0.35">
      <c r="A436" s="179">
        <v>7</v>
      </c>
      <c r="B436" s="880" t="s">
        <v>22</v>
      </c>
      <c r="C436" s="82" t="s">
        <v>967</v>
      </c>
      <c r="D436" s="83" t="s">
        <v>968</v>
      </c>
      <c r="E436" s="892" t="str">
        <f>VLOOKUP(F436,'Quy đổi'!A:D,4,0)</f>
        <v>rPET</v>
      </c>
      <c r="F436" s="82" t="s">
        <v>918</v>
      </c>
      <c r="G436" s="82" t="s">
        <v>921</v>
      </c>
      <c r="H436" s="257" t="str">
        <f>IFERROR(VLOOKUP(F436,'Quy đổi'!A:C,3,0),"-")</f>
        <v>iSS01G-S</v>
      </c>
      <c r="I436" s="1098">
        <v>30</v>
      </c>
      <c r="J436" s="1098">
        <v>1020000</v>
      </c>
      <c r="K436" s="1098">
        <v>1020000</v>
      </c>
      <c r="O436" s="1097">
        <f t="shared" si="147"/>
        <v>1020000</v>
      </c>
      <c r="P436" s="1101">
        <f t="shared" si="133"/>
        <v>34000</v>
      </c>
      <c r="Q436" s="1101">
        <f t="shared" si="134"/>
        <v>1306.1851709565885</v>
      </c>
      <c r="R436" s="1099">
        <v>888161</v>
      </c>
      <c r="S436" s="1101">
        <f t="shared" si="139"/>
        <v>29605.366666666665</v>
      </c>
      <c r="T436" s="1101">
        <f t="shared" si="140"/>
        <v>1208.38231292517</v>
      </c>
      <c r="U436" s="1101">
        <f t="shared" si="141"/>
        <v>131839</v>
      </c>
      <c r="V436" s="1103">
        <f t="shared" si="142"/>
        <v>0.12925392156862744</v>
      </c>
      <c r="W436" s="1098">
        <v>26030</v>
      </c>
      <c r="X436" s="1106">
        <f t="shared" si="143"/>
        <v>39.185555128697658</v>
      </c>
      <c r="Y436" s="1106">
        <f t="shared" si="144"/>
        <v>39.185555128697658</v>
      </c>
      <c r="Z436" s="1106">
        <f t="shared" si="145"/>
        <v>5.0648866692278141</v>
      </c>
      <c r="AA436" s="1106">
        <f t="shared" si="146"/>
        <v>34.12066845946984</v>
      </c>
    </row>
    <row r="437" spans="1:29" hidden="1" x14ac:dyDescent="0.35">
      <c r="A437" s="179">
        <v>7</v>
      </c>
      <c r="B437" s="880" t="s">
        <v>26</v>
      </c>
      <c r="C437" s="82" t="s">
        <v>161</v>
      </c>
      <c r="D437" s="83" t="s">
        <v>160</v>
      </c>
      <c r="E437" s="892" t="str">
        <f>VLOOKUP(F437,'Quy đổi'!A:D,4,0)</f>
        <v>rPET</v>
      </c>
      <c r="F437" s="82" t="s">
        <v>110</v>
      </c>
      <c r="G437" s="82" t="s">
        <v>109</v>
      </c>
      <c r="H437" s="257" t="str">
        <f>IFERROR(VLOOKUP(F437,'Quy đổi'!A:C,3,0),"-")</f>
        <v>WSS01G</v>
      </c>
      <c r="I437" s="1098">
        <v>64900</v>
      </c>
      <c r="J437" s="1098">
        <v>2107930534</v>
      </c>
      <c r="K437" s="1098">
        <v>2107930534</v>
      </c>
      <c r="L437" s="1104">
        <v>31623666</v>
      </c>
      <c r="O437" s="1097">
        <f t="shared" si="147"/>
        <v>2076306868</v>
      </c>
      <c r="P437" s="1101">
        <f t="shared" si="133"/>
        <v>31992.401664098612</v>
      </c>
      <c r="Q437" s="1101">
        <f t="shared" si="134"/>
        <v>1229.0588422627204</v>
      </c>
      <c r="R437" s="1099">
        <v>1850019432</v>
      </c>
      <c r="S437" s="1101">
        <f t="shared" si="139"/>
        <v>28505.692326656394</v>
      </c>
      <c r="T437" s="1101">
        <f t="shared" si="140"/>
        <v>1163.4976459859752</v>
      </c>
      <c r="U437" s="1101">
        <f t="shared" si="141"/>
        <v>226287436</v>
      </c>
      <c r="V437" s="1103">
        <f t="shared" si="142"/>
        <v>0.10735051860110301</v>
      </c>
      <c r="W437" s="1098">
        <v>26030</v>
      </c>
      <c r="X437" s="1106">
        <f t="shared" si="143"/>
        <v>79765.918862850551</v>
      </c>
      <c r="Y437" s="1106">
        <f t="shared" si="144"/>
        <v>80980.811909335389</v>
      </c>
      <c r="Z437" s="1106">
        <f t="shared" si="145"/>
        <v>8693.3321552055313</v>
      </c>
      <c r="AA437" s="1106">
        <f t="shared" si="146"/>
        <v>71072.586707645023</v>
      </c>
    </row>
    <row r="438" spans="1:29" x14ac:dyDescent="0.35">
      <c r="A438" s="179">
        <v>7</v>
      </c>
      <c r="B438" s="880" t="s">
        <v>26</v>
      </c>
      <c r="C438" s="82" t="s">
        <v>165</v>
      </c>
      <c r="D438" s="83" t="s">
        <v>164</v>
      </c>
      <c r="E438" s="892" t="str">
        <f>VLOOKUP(F438,'Quy đổi'!A:D,4,0)</f>
        <v>rPET</v>
      </c>
      <c r="F438" s="82" t="s">
        <v>110</v>
      </c>
      <c r="G438" s="82" t="s">
        <v>109</v>
      </c>
      <c r="H438" s="257" t="str">
        <f>IFERROR(VLOOKUP(F438,'Quy đổi'!A:C,3,0),"-")</f>
        <v>WSS01G</v>
      </c>
      <c r="I438" s="1098">
        <v>1672000</v>
      </c>
      <c r="J438" s="1098">
        <v>53207843040</v>
      </c>
      <c r="K438" s="1098">
        <v>53207843040</v>
      </c>
      <c r="L438" s="1104">
        <v>676953420</v>
      </c>
      <c r="M438" s="1056">
        <v>798119740</v>
      </c>
      <c r="O438" s="1097">
        <f t="shared" si="147"/>
        <v>51732769880</v>
      </c>
      <c r="P438" s="1101">
        <f t="shared" si="133"/>
        <v>30940.651842105264</v>
      </c>
      <c r="Q438" s="1101">
        <f t="shared" si="134"/>
        <v>1188.6535475261339</v>
      </c>
      <c r="R438" s="1099">
        <v>47661517556</v>
      </c>
      <c r="S438" s="1101">
        <f t="shared" si="139"/>
        <v>28505.692318181817</v>
      </c>
      <c r="T438" s="1101">
        <f t="shared" si="140"/>
        <v>1163.4976456400741</v>
      </c>
      <c r="U438" s="1101">
        <f t="shared" si="141"/>
        <v>4071252324</v>
      </c>
      <c r="V438" s="1103">
        <f t="shared" si="142"/>
        <v>7.6516018906072916E-2</v>
      </c>
      <c r="W438" s="1098">
        <v>26030</v>
      </c>
      <c r="X438" s="1106">
        <f t="shared" si="143"/>
        <v>1987428.7314636956</v>
      </c>
      <c r="Y438" s="1106">
        <f t="shared" si="144"/>
        <v>2044096.9281598155</v>
      </c>
      <c r="Z438" s="1106">
        <f t="shared" si="145"/>
        <v>156406.159200922</v>
      </c>
      <c r="AA438" s="1106">
        <f t="shared" si="146"/>
        <v>1831022.5722627738</v>
      </c>
    </row>
    <row r="439" spans="1:29" hidden="1" x14ac:dyDescent="0.35">
      <c r="A439" s="179">
        <v>7</v>
      </c>
      <c r="B439" s="880" t="s">
        <v>26</v>
      </c>
      <c r="C439" s="82" t="s">
        <v>138</v>
      </c>
      <c r="D439" s="83" t="s">
        <v>524</v>
      </c>
      <c r="E439" s="892" t="str">
        <f>VLOOKUP(F439,'Quy đổi'!A:D,4,0)</f>
        <v>rPET</v>
      </c>
      <c r="F439" s="82" t="s">
        <v>102</v>
      </c>
      <c r="G439" s="82" t="s">
        <v>101</v>
      </c>
      <c r="H439" s="257" t="str">
        <f>IFERROR(VLOOKUP(F439,'Quy đổi'!A:C,3,0),"-")</f>
        <v>WSS03G</v>
      </c>
      <c r="I439" s="1098">
        <v>44000</v>
      </c>
      <c r="J439" s="1098">
        <v>1313576000</v>
      </c>
      <c r="K439" s="1098">
        <v>1313576000</v>
      </c>
      <c r="L439" s="1104">
        <v>22636712</v>
      </c>
      <c r="O439" s="1097">
        <f t="shared" si="147"/>
        <v>1290939288</v>
      </c>
      <c r="P439" s="1101">
        <f t="shared" si="133"/>
        <v>29339.529272727272</v>
      </c>
      <c r="Q439" s="1101">
        <f t="shared" si="134"/>
        <v>1127.1428840847973</v>
      </c>
      <c r="R439" s="1099">
        <v>1108727946</v>
      </c>
      <c r="S439" s="1101">
        <f t="shared" si="139"/>
        <v>25198.362409090911</v>
      </c>
      <c r="T439" s="1101">
        <f t="shared" si="140"/>
        <v>1028.5045881261597</v>
      </c>
      <c r="U439" s="1101">
        <f t="shared" si="141"/>
        <v>182211342</v>
      </c>
      <c r="V439" s="1103">
        <f t="shared" si="142"/>
        <v>0.1387139701090763</v>
      </c>
      <c r="W439" s="1098">
        <v>26030</v>
      </c>
      <c r="X439" s="1106">
        <f t="shared" si="143"/>
        <v>49594.28689973108</v>
      </c>
      <c r="Y439" s="1106">
        <f t="shared" si="144"/>
        <v>50463.926238955049</v>
      </c>
      <c r="Z439" s="1106">
        <f t="shared" si="145"/>
        <v>7000.0515558970419</v>
      </c>
      <c r="AA439" s="1106">
        <f t="shared" si="146"/>
        <v>42594.235343834036</v>
      </c>
    </row>
    <row r="440" spans="1:29" hidden="1" x14ac:dyDescent="0.35">
      <c r="A440" s="179">
        <v>7</v>
      </c>
      <c r="B440" s="880" t="s">
        <v>26</v>
      </c>
      <c r="C440" s="82" t="s">
        <v>46</v>
      </c>
      <c r="D440" s="83" t="s">
        <v>525</v>
      </c>
      <c r="E440" s="892" t="str">
        <f>VLOOKUP(F440,'Quy đổi'!A:D,4,0)</f>
        <v>rPET</v>
      </c>
      <c r="F440" s="82" t="s">
        <v>100</v>
      </c>
      <c r="G440" s="82" t="s">
        <v>99</v>
      </c>
      <c r="H440" s="257" t="str">
        <f>IFERROR(VLOOKUP(F440,'Quy đổi'!A:C,3,0),"-")</f>
        <v>iSS01G</v>
      </c>
      <c r="I440" s="1098">
        <v>880000</v>
      </c>
      <c r="J440" s="1098">
        <v>28567000000</v>
      </c>
      <c r="K440" s="1098">
        <v>28567000000</v>
      </c>
      <c r="L440" s="1104">
        <v>369747963</v>
      </c>
      <c r="O440" s="1097">
        <f t="shared" si="147"/>
        <v>28197252037</v>
      </c>
      <c r="P440" s="1101">
        <f t="shared" si="133"/>
        <v>32042.331860227274</v>
      </c>
      <c r="Q440" s="1101">
        <f t="shared" si="134"/>
        <v>1230.9770211381972</v>
      </c>
      <c r="R440" s="1099">
        <v>23316843280</v>
      </c>
      <c r="S440" s="1101">
        <f t="shared" si="139"/>
        <v>26496.41281818182</v>
      </c>
      <c r="T440" s="1101">
        <f t="shared" si="140"/>
        <v>1081.486237476809</v>
      </c>
      <c r="U440" s="1101">
        <f t="shared" si="141"/>
        <v>4880408757</v>
      </c>
      <c r="V440" s="1103">
        <f t="shared" si="142"/>
        <v>0.17084078681695664</v>
      </c>
      <c r="W440" s="1098">
        <v>26030</v>
      </c>
      <c r="X440" s="1106">
        <f t="shared" si="143"/>
        <v>1083259.7786016136</v>
      </c>
      <c r="Y440" s="1106">
        <f t="shared" si="144"/>
        <v>1097464.4640799079</v>
      </c>
      <c r="Z440" s="1106">
        <f t="shared" si="145"/>
        <v>187491.69254706107</v>
      </c>
      <c r="AA440" s="1106">
        <f t="shared" si="146"/>
        <v>895768.08605455246</v>
      </c>
    </row>
    <row r="441" spans="1:29" hidden="1" x14ac:dyDescent="0.35">
      <c r="A441" s="179">
        <v>7</v>
      </c>
      <c r="B441" s="880" t="s">
        <v>26</v>
      </c>
      <c r="C441" s="82" t="s">
        <v>140</v>
      </c>
      <c r="D441" s="83" t="s">
        <v>139</v>
      </c>
      <c r="E441" s="892" t="str">
        <f>VLOOKUP(F441,'Quy đổi'!A:D,4,0)</f>
        <v>rPET</v>
      </c>
      <c r="F441" s="82" t="s">
        <v>100</v>
      </c>
      <c r="G441" s="82" t="s">
        <v>99</v>
      </c>
      <c r="H441" s="257" t="str">
        <f>IFERROR(VLOOKUP(F441,'Quy đổi'!A:C,3,0),"-")</f>
        <v>iSS01G</v>
      </c>
      <c r="I441" s="1098">
        <v>44000</v>
      </c>
      <c r="J441" s="1098">
        <v>1436901840</v>
      </c>
      <c r="K441" s="1098">
        <v>1577505600</v>
      </c>
      <c r="L441" s="1104">
        <v>138180622</v>
      </c>
      <c r="O441" s="1097">
        <f t="shared" si="147"/>
        <v>1439324978</v>
      </c>
      <c r="P441" s="1101">
        <f t="shared" si="133"/>
        <v>32711.931318181818</v>
      </c>
      <c r="Q441" s="1101">
        <f t="shared" si="134"/>
        <v>1256.7011647399852</v>
      </c>
      <c r="R441" s="1099">
        <v>1165842164</v>
      </c>
      <c r="S441" s="1101">
        <f t="shared" si="139"/>
        <v>26496.41281818182</v>
      </c>
      <c r="T441" s="1101">
        <f t="shared" si="140"/>
        <v>1081.486237476809</v>
      </c>
      <c r="U441" s="1101">
        <f t="shared" si="141"/>
        <v>273482814</v>
      </c>
      <c r="V441" s="1103">
        <f t="shared" si="142"/>
        <v>0.17336408441275897</v>
      </c>
      <c r="W441" s="1098">
        <v>26030</v>
      </c>
      <c r="X441" s="1106">
        <f t="shared" si="143"/>
        <v>55294.851248559353</v>
      </c>
      <c r="Y441" s="1106">
        <f t="shared" si="144"/>
        <v>60603.365347675761</v>
      </c>
      <c r="Z441" s="1106">
        <f t="shared" si="145"/>
        <v>10506.446945831733</v>
      </c>
      <c r="AA441" s="1106">
        <f t="shared" si="146"/>
        <v>44788.40430272762</v>
      </c>
    </row>
    <row r="442" spans="1:29" hidden="1" x14ac:dyDescent="0.35">
      <c r="A442" s="179">
        <v>7</v>
      </c>
      <c r="B442" s="880" t="s">
        <v>26</v>
      </c>
      <c r="C442" s="82" t="s">
        <v>7</v>
      </c>
      <c r="D442" s="83" t="s">
        <v>6</v>
      </c>
      <c r="E442" s="892" t="str">
        <f>VLOOKUP(F442,'Quy đổi'!A:D,4,0)</f>
        <v>rPP</v>
      </c>
      <c r="F442" s="82" t="s">
        <v>5</v>
      </c>
      <c r="G442" s="82" t="s">
        <v>4</v>
      </c>
      <c r="H442" s="257" t="str">
        <f>IFERROR(VLOOKUP(F442,'Quy đổi'!A:C,3,0),"-")</f>
        <v>rPP20L05</v>
      </c>
      <c r="I442" s="1098">
        <v>12000</v>
      </c>
      <c r="J442" s="1098">
        <v>336700800</v>
      </c>
      <c r="K442" s="1098">
        <v>336700800</v>
      </c>
      <c r="L442" s="1104">
        <f>17428875/2</f>
        <v>8714437.5</v>
      </c>
      <c r="O442" s="1097">
        <f t="shared" si="147"/>
        <v>327986362.5</v>
      </c>
      <c r="P442" s="1101">
        <f t="shared" si="133"/>
        <v>27332.196875000001</v>
      </c>
      <c r="Q442" s="1101">
        <f t="shared" si="134"/>
        <v>1050.0267719938531</v>
      </c>
      <c r="R442" s="1099">
        <v>335532722</v>
      </c>
      <c r="S442" s="1101">
        <f t="shared" si="139"/>
        <v>27961.060166666666</v>
      </c>
      <c r="T442" s="1101">
        <f t="shared" si="140"/>
        <v>1141.267761904762</v>
      </c>
      <c r="U442" s="1101">
        <f t="shared" si="141"/>
        <v>-7546359.5</v>
      </c>
      <c r="V442" s="1103">
        <f t="shared" si="142"/>
        <v>-2.241265687518414E-2</v>
      </c>
      <c r="W442" s="1098">
        <v>26030</v>
      </c>
      <c r="X442" s="1106">
        <f t="shared" si="143"/>
        <v>12600.321263926238</v>
      </c>
      <c r="Y442" s="1106">
        <f t="shared" si="144"/>
        <v>12935.105647330003</v>
      </c>
      <c r="Z442" s="1106">
        <f t="shared" si="145"/>
        <v>-289.91008451786399</v>
      </c>
      <c r="AA442" s="1106">
        <f t="shared" si="146"/>
        <v>12890.231348444104</v>
      </c>
      <c r="AC442" s="1098">
        <f t="shared" ref="AC442:AC444" si="151">X442/I442*1000</f>
        <v>1050.0267719938531</v>
      </c>
    </row>
    <row r="443" spans="1:29" hidden="1" x14ac:dyDescent="0.35">
      <c r="A443" s="179">
        <v>7</v>
      </c>
      <c r="B443" s="880" t="s">
        <v>26</v>
      </c>
      <c r="C443" s="82" t="s">
        <v>7</v>
      </c>
      <c r="D443" s="83" t="s">
        <v>6</v>
      </c>
      <c r="E443" s="892" t="str">
        <f>VLOOKUP(F443,'Quy đổi'!A:D,4,0)</f>
        <v>rPP</v>
      </c>
      <c r="F443" s="82" t="s">
        <v>9</v>
      </c>
      <c r="G443" s="82" t="s">
        <v>8</v>
      </c>
      <c r="H443" s="257" t="str">
        <f>IFERROR(VLOOKUP(F443,'Quy đổi'!A:C,3,0),"-")</f>
        <v>rPP20Gy01</v>
      </c>
      <c r="I443" s="1098">
        <v>12000</v>
      </c>
      <c r="J443" s="1098">
        <v>336700800</v>
      </c>
      <c r="K443" s="1098">
        <v>336700800</v>
      </c>
      <c r="L443" s="1104">
        <f>17428875/2</f>
        <v>8714437.5</v>
      </c>
      <c r="O443" s="1097">
        <f t="shared" si="147"/>
        <v>327986362.5</v>
      </c>
      <c r="P443" s="1101">
        <f t="shared" si="133"/>
        <v>27332.196875000001</v>
      </c>
      <c r="Q443" s="1101">
        <f t="shared" si="134"/>
        <v>1050.0267719938531</v>
      </c>
      <c r="R443" s="1099">
        <v>331035338</v>
      </c>
      <c r="S443" s="1101">
        <f t="shared" si="139"/>
        <v>27586.278166666667</v>
      </c>
      <c r="T443" s="1101">
        <f t="shared" si="140"/>
        <v>1125.970537414966</v>
      </c>
      <c r="U443" s="1101">
        <f t="shared" si="141"/>
        <v>-3048975.5</v>
      </c>
      <c r="V443" s="1103">
        <f t="shared" si="142"/>
        <v>-9.0554447747079898E-3</v>
      </c>
      <c r="W443" s="1098">
        <v>26030</v>
      </c>
      <c r="X443" s="1106">
        <f t="shared" si="143"/>
        <v>12600.321263926238</v>
      </c>
      <c r="Y443" s="1106">
        <f t="shared" si="144"/>
        <v>12935.105647330003</v>
      </c>
      <c r="Z443" s="1106">
        <f t="shared" si="145"/>
        <v>-117.13313484441029</v>
      </c>
      <c r="AA443" s="1106">
        <f t="shared" si="146"/>
        <v>12717.454398770649</v>
      </c>
      <c r="AC443" s="1098">
        <f t="shared" si="151"/>
        <v>1050.0267719938531</v>
      </c>
    </row>
    <row r="444" spans="1:29" hidden="1" x14ac:dyDescent="0.35">
      <c r="A444" s="179">
        <v>7</v>
      </c>
      <c r="B444" s="880" t="s">
        <v>26</v>
      </c>
      <c r="C444" s="82" t="s">
        <v>629</v>
      </c>
      <c r="D444" s="83" t="s">
        <v>630</v>
      </c>
      <c r="E444" s="892" t="str">
        <f>VLOOKUP(F444,'Quy đổi'!A:D,4,0)</f>
        <v>rPET</v>
      </c>
      <c r="F444" s="82" t="s">
        <v>971</v>
      </c>
      <c r="G444" s="82" t="s">
        <v>972</v>
      </c>
      <c r="H444" s="257" t="str">
        <f>IFERROR(VLOOKUP(F444,'Quy đổi'!A:C,3,0),"-")</f>
        <v>WSS01S</v>
      </c>
      <c r="I444" s="1098">
        <v>21500</v>
      </c>
      <c r="J444" s="1098">
        <v>675869700</v>
      </c>
      <c r="K444" s="1098">
        <v>675869700</v>
      </c>
      <c r="L444" s="1104">
        <v>11910911</v>
      </c>
      <c r="O444" s="1097">
        <f t="shared" si="147"/>
        <v>663958789</v>
      </c>
      <c r="P444" s="1101">
        <f t="shared" si="133"/>
        <v>30881.804139534885</v>
      </c>
      <c r="Q444" s="1101">
        <f t="shared" si="134"/>
        <v>1186.3927829248898</v>
      </c>
      <c r="R444" s="1099">
        <v>573495682</v>
      </c>
      <c r="S444" s="1101">
        <f t="shared" si="139"/>
        <v>26674.21776744186</v>
      </c>
      <c r="T444" s="1101">
        <f t="shared" si="140"/>
        <v>1088.7435823445658</v>
      </c>
      <c r="U444" s="1101">
        <f t="shared" si="141"/>
        <v>90463107</v>
      </c>
      <c r="V444" s="1103">
        <f t="shared" si="142"/>
        <v>0.13384696340137753</v>
      </c>
      <c r="W444" s="1098">
        <v>26030</v>
      </c>
      <c r="X444" s="1106">
        <f t="shared" si="143"/>
        <v>25507.444832885132</v>
      </c>
      <c r="Y444" s="1106">
        <f t="shared" si="144"/>
        <v>25965.028812908182</v>
      </c>
      <c r="Z444" s="1106">
        <f t="shared" si="145"/>
        <v>3475.3402612370342</v>
      </c>
      <c r="AA444" s="1106">
        <f t="shared" si="146"/>
        <v>22032.104571648098</v>
      </c>
      <c r="AC444" s="1098">
        <f t="shared" si="151"/>
        <v>1186.3927829248898</v>
      </c>
    </row>
    <row r="445" spans="1:29" hidden="1" x14ac:dyDescent="0.35">
      <c r="A445" s="179">
        <v>7</v>
      </c>
      <c r="C445" s="82" t="s">
        <v>890</v>
      </c>
      <c r="D445" s="83" t="s">
        <v>891</v>
      </c>
      <c r="E445" s="892" t="s">
        <v>404</v>
      </c>
      <c r="F445" s="82" t="s">
        <v>911</v>
      </c>
      <c r="G445" s="82" t="s">
        <v>912</v>
      </c>
      <c r="H445" s="257" t="str">
        <f>IFERROR(VLOOKUP(F445,'Quy đổi'!A:C,3,0),"-")</f>
        <v>-</v>
      </c>
      <c r="I445" s="1098">
        <v>0</v>
      </c>
      <c r="J445" s="1098">
        <v>100500000</v>
      </c>
      <c r="K445" s="1098">
        <v>100500000</v>
      </c>
      <c r="O445" s="1097">
        <f t="shared" si="147"/>
        <v>100500000</v>
      </c>
      <c r="P445" s="1101" t="e">
        <f t="shared" si="133"/>
        <v>#DIV/0!</v>
      </c>
      <c r="Q445" s="1101" t="e">
        <f t="shared" si="134"/>
        <v>#DIV/0!</v>
      </c>
      <c r="R445" s="1099">
        <v>0</v>
      </c>
      <c r="S445" s="1101" t="e">
        <f t="shared" si="139"/>
        <v>#DIV/0!</v>
      </c>
      <c r="T445" s="1101" t="e">
        <f t="shared" si="140"/>
        <v>#DIV/0!</v>
      </c>
      <c r="U445" s="1101">
        <f t="shared" si="141"/>
        <v>100500000</v>
      </c>
      <c r="V445" s="1103">
        <f t="shared" si="142"/>
        <v>1</v>
      </c>
      <c r="W445" s="1098">
        <v>26030</v>
      </c>
      <c r="X445" s="1106">
        <f t="shared" si="143"/>
        <v>3860.9296965040339</v>
      </c>
      <c r="Y445" s="1106">
        <f t="shared" si="144"/>
        <v>3860.9296965040339</v>
      </c>
      <c r="Z445" s="1106">
        <f t="shared" si="145"/>
        <v>3860.9296965040339</v>
      </c>
      <c r="AA445" s="1106">
        <f t="shared" si="146"/>
        <v>0</v>
      </c>
    </row>
    <row r="446" spans="1:29" hidden="1" x14ac:dyDescent="0.35">
      <c r="A446" s="179">
        <v>8</v>
      </c>
      <c r="B446" s="880" t="s">
        <v>22</v>
      </c>
      <c r="C446" s="82" t="s">
        <v>30</v>
      </c>
      <c r="D446" s="83" t="s">
        <v>29</v>
      </c>
      <c r="E446" s="892" t="str">
        <f>VLOOKUP(F446,'Quy đổi'!A:D,4,0)</f>
        <v>rPET</v>
      </c>
      <c r="F446" s="82" t="s">
        <v>110</v>
      </c>
      <c r="G446" s="82" t="s">
        <v>109</v>
      </c>
      <c r="H446" s="257" t="str">
        <f>IFERROR(VLOOKUP(F446,'Quy đổi'!A:C,3,0),"-")</f>
        <v>WSS01G</v>
      </c>
      <c r="I446" s="1098">
        <v>5500</v>
      </c>
      <c r="J446" s="1098">
        <v>179712500</v>
      </c>
      <c r="K446" s="1098">
        <v>179712500</v>
      </c>
      <c r="O446" s="1097">
        <f t="shared" si="147"/>
        <v>179712500</v>
      </c>
      <c r="P446" s="1101">
        <f t="shared" ref="P446:P509" si="152">O446/I446</f>
        <v>32675</v>
      </c>
      <c r="Q446" s="1101">
        <f t="shared" ref="Q446:Q509" si="153">P446/W446*1000</f>
        <v>1248.0901451489688</v>
      </c>
      <c r="R446" s="1099">
        <v>152756013</v>
      </c>
      <c r="S446" s="1101">
        <f t="shared" ref="S446:S509" si="154">R446/I446</f>
        <v>27773.820545454546</v>
      </c>
      <c r="T446" s="1101">
        <f t="shared" ref="T446:T509" si="155">S446/24.5</f>
        <v>1133.6253283858998</v>
      </c>
      <c r="U446" s="1101">
        <f t="shared" ref="U446:U509" si="156">O446-R446</f>
        <v>26956487</v>
      </c>
      <c r="V446" s="1103">
        <f t="shared" ref="V446:V509" si="157">U446/K446</f>
        <v>0.14999784099603533</v>
      </c>
      <c r="W446" s="1098">
        <v>26180</v>
      </c>
      <c r="X446" s="1106">
        <f t="shared" ref="X446:X509" si="158">O446/W446</f>
        <v>6864.4957983193281</v>
      </c>
      <c r="Y446" s="1106">
        <f t="shared" ref="Y446:Y509" si="159">K446/W446</f>
        <v>6864.4957983193281</v>
      </c>
      <c r="Z446" s="1106">
        <f t="shared" ref="Z446:Z509" si="160">U446/W446</f>
        <v>1029.6595492742551</v>
      </c>
      <c r="AA446" s="1106">
        <f t="shared" ref="AA446:AA509" si="161">R446/W446</f>
        <v>5834.8362490450727</v>
      </c>
    </row>
    <row r="447" spans="1:29" hidden="1" x14ac:dyDescent="0.35">
      <c r="A447" s="179">
        <v>8</v>
      </c>
      <c r="B447" s="880" t="s">
        <v>22</v>
      </c>
      <c r="C447" s="82" t="s">
        <v>30</v>
      </c>
      <c r="D447" s="83" t="s">
        <v>29</v>
      </c>
      <c r="E447" s="892" t="str">
        <f>VLOOKUP(F447,'Quy đổi'!A:D,4,0)</f>
        <v>rHDPE ép</v>
      </c>
      <c r="F447" s="82" t="s">
        <v>208</v>
      </c>
      <c r="G447" s="82" t="s">
        <v>209</v>
      </c>
      <c r="H447" s="257" t="str">
        <f>IFERROR(VLOOKUP(F447,'Quy đổi'!A:C,3,0),"-")</f>
        <v>rHDI4L01</v>
      </c>
      <c r="I447" s="1098">
        <v>16500</v>
      </c>
      <c r="J447" s="1098">
        <v>325659950</v>
      </c>
      <c r="K447" s="1098">
        <v>330000000</v>
      </c>
      <c r="O447" s="1097">
        <f t="shared" si="147"/>
        <v>330000000</v>
      </c>
      <c r="P447" s="1101">
        <f t="shared" si="152"/>
        <v>20000</v>
      </c>
      <c r="Q447" s="1101">
        <f t="shared" si="153"/>
        <v>763.94194041252865</v>
      </c>
      <c r="R447" s="1099">
        <v>478099770</v>
      </c>
      <c r="S447" s="1101">
        <f t="shared" si="154"/>
        <v>28975.743636363637</v>
      </c>
      <c r="T447" s="1101">
        <f t="shared" si="155"/>
        <v>1182.683413729128</v>
      </c>
      <c r="U447" s="1101">
        <f t="shared" si="156"/>
        <v>-148099770</v>
      </c>
      <c r="V447" s="1103">
        <f t="shared" si="157"/>
        <v>-0.44878718181818184</v>
      </c>
      <c r="W447" s="1098">
        <v>26180</v>
      </c>
      <c r="X447" s="1106">
        <f t="shared" si="158"/>
        <v>12605.042016806723</v>
      </c>
      <c r="Y447" s="1106">
        <f t="shared" si="159"/>
        <v>12605.042016806723</v>
      </c>
      <c r="Z447" s="1106">
        <f t="shared" si="160"/>
        <v>-5656.9812834224595</v>
      </c>
      <c r="AA447" s="1106">
        <f t="shared" si="161"/>
        <v>18262.023300229182</v>
      </c>
    </row>
    <row r="448" spans="1:29" hidden="1" x14ac:dyDescent="0.35">
      <c r="A448" s="179">
        <v>8</v>
      </c>
      <c r="B448" s="880" t="s">
        <v>22</v>
      </c>
      <c r="C448" s="82" t="s">
        <v>30</v>
      </c>
      <c r="D448" s="83" t="s">
        <v>29</v>
      </c>
      <c r="E448" s="892" t="str">
        <f>VLOOKUP(F448,'Quy đổi'!A:D,4,0)</f>
        <v>rHDPE ép</v>
      </c>
      <c r="F448" s="82" t="s">
        <v>206</v>
      </c>
      <c r="G448" s="82" t="s">
        <v>207</v>
      </c>
      <c r="H448" s="257" t="str">
        <f>IFERROR(VLOOKUP(F448,'Quy đổi'!A:C,3,0),"-")</f>
        <v>rHDI3R01</v>
      </c>
      <c r="I448" s="1098">
        <v>5500</v>
      </c>
      <c r="J448" s="1098">
        <v>108549650</v>
      </c>
      <c r="K448" s="1098">
        <v>110000000</v>
      </c>
      <c r="O448" s="1097">
        <f t="shared" si="147"/>
        <v>110000000</v>
      </c>
      <c r="P448" s="1101">
        <f t="shared" si="152"/>
        <v>20000</v>
      </c>
      <c r="Q448" s="1101">
        <f t="shared" si="153"/>
        <v>763.94194041252865</v>
      </c>
      <c r="R448" s="1099">
        <v>151561168</v>
      </c>
      <c r="S448" s="1101">
        <f t="shared" si="154"/>
        <v>27556.576000000001</v>
      </c>
      <c r="T448" s="1101">
        <f t="shared" si="155"/>
        <v>1124.7582040816326</v>
      </c>
      <c r="U448" s="1101">
        <f t="shared" si="156"/>
        <v>-41561168</v>
      </c>
      <c r="V448" s="1103">
        <f t="shared" si="157"/>
        <v>-0.37782880000000002</v>
      </c>
      <c r="W448" s="1098">
        <v>26180</v>
      </c>
      <c r="X448" s="1106">
        <f t="shared" si="158"/>
        <v>4201.680672268908</v>
      </c>
      <c r="Y448" s="1106">
        <f t="shared" si="159"/>
        <v>4201.680672268908</v>
      </c>
      <c r="Z448" s="1106">
        <f t="shared" si="160"/>
        <v>-1587.5159663865545</v>
      </c>
      <c r="AA448" s="1106">
        <f t="shared" si="161"/>
        <v>5789.1966386554623</v>
      </c>
    </row>
    <row r="449" spans="1:29" hidden="1" x14ac:dyDescent="0.35">
      <c r="A449" s="179">
        <v>8</v>
      </c>
      <c r="B449" s="880" t="s">
        <v>22</v>
      </c>
      <c r="C449" s="82" t="s">
        <v>132</v>
      </c>
      <c r="D449" s="83" t="s">
        <v>213</v>
      </c>
      <c r="E449" s="892" t="str">
        <f>VLOOKUP(F449,'Quy đổi'!A:D,4,0)</f>
        <v>rPET</v>
      </c>
      <c r="F449" s="82" t="s">
        <v>110</v>
      </c>
      <c r="G449" s="82" t="s">
        <v>109</v>
      </c>
      <c r="H449" s="257" t="str">
        <f>IFERROR(VLOOKUP(F449,'Quy đổi'!A:C,3,0),"-")</f>
        <v>WSS01G</v>
      </c>
      <c r="I449" s="1098">
        <v>330000</v>
      </c>
      <c r="J449" s="1098">
        <v>10919423460</v>
      </c>
      <c r="K449" s="1098">
        <v>10970850000</v>
      </c>
      <c r="L449" s="1056">
        <f>140*I449</f>
        <v>46200000</v>
      </c>
      <c r="O449" s="1097">
        <f t="shared" si="147"/>
        <v>10924650000</v>
      </c>
      <c r="P449" s="1101">
        <f t="shared" si="152"/>
        <v>33105</v>
      </c>
      <c r="Q449" s="1101">
        <f t="shared" si="153"/>
        <v>1264.5148968678382</v>
      </c>
      <c r="R449" s="1099">
        <v>9165360765</v>
      </c>
      <c r="S449" s="1101">
        <f t="shared" si="154"/>
        <v>27773.820500000002</v>
      </c>
      <c r="T449" s="1101">
        <f t="shared" si="155"/>
        <v>1133.6253265306123</v>
      </c>
      <c r="U449" s="1101">
        <f t="shared" si="156"/>
        <v>1759289235</v>
      </c>
      <c r="V449" s="1103">
        <f t="shared" si="157"/>
        <v>0.16036033990073695</v>
      </c>
      <c r="W449" s="1098">
        <v>26180</v>
      </c>
      <c r="X449" s="1106">
        <f t="shared" si="158"/>
        <v>417289.91596638656</v>
      </c>
      <c r="Y449" s="1106">
        <f t="shared" si="159"/>
        <v>419054.62184873951</v>
      </c>
      <c r="Z449" s="1106">
        <f t="shared" si="160"/>
        <v>67199.741596638662</v>
      </c>
      <c r="AA449" s="1106">
        <f t="shared" si="161"/>
        <v>350090.17436974793</v>
      </c>
    </row>
    <row r="450" spans="1:29" hidden="1" x14ac:dyDescent="0.35">
      <c r="A450" s="179">
        <v>8</v>
      </c>
      <c r="B450" s="880" t="s">
        <v>22</v>
      </c>
      <c r="C450" s="82" t="s">
        <v>134</v>
      </c>
      <c r="D450" s="83" t="s">
        <v>133</v>
      </c>
      <c r="E450" s="892" t="str">
        <f>VLOOKUP(F450,'Quy đổi'!A:D,4,0)</f>
        <v>rPET</v>
      </c>
      <c r="F450" s="82" t="s">
        <v>1015</v>
      </c>
      <c r="G450" s="82" t="s">
        <v>1016</v>
      </c>
      <c r="H450" s="257" t="str">
        <f>IFERROR(VLOOKUP(F450,'Quy đổi'!A:C,3,0),"-")</f>
        <v>WSS01 &amp; WSS01G-L</v>
      </c>
      <c r="I450" s="1098">
        <v>-22000</v>
      </c>
      <c r="J450" s="1098">
        <v>0</v>
      </c>
      <c r="K450" s="1098">
        <v>-807977940</v>
      </c>
      <c r="L450" s="1099"/>
      <c r="O450" s="1097">
        <f t="shared" si="147"/>
        <v>-807977940</v>
      </c>
      <c r="P450" s="1101">
        <f t="shared" si="152"/>
        <v>36726.269999999997</v>
      </c>
      <c r="Q450" s="1101">
        <f t="shared" si="153"/>
        <v>1402.8368983957218</v>
      </c>
      <c r="R450" s="1099">
        <v>-659822847</v>
      </c>
      <c r="S450" s="1101">
        <f t="shared" si="154"/>
        <v>29991.947590909091</v>
      </c>
      <c r="T450" s="1101">
        <f t="shared" si="155"/>
        <v>1224.1611261595547</v>
      </c>
      <c r="U450" s="1101">
        <f t="shared" si="156"/>
        <v>-148155093</v>
      </c>
      <c r="V450" s="1103">
        <f t="shared" si="157"/>
        <v>0.18336526984882781</v>
      </c>
      <c r="W450" s="1098">
        <v>26180</v>
      </c>
      <c r="X450" s="1106">
        <f t="shared" si="158"/>
        <v>-30862.411764705881</v>
      </c>
      <c r="Y450" s="1106">
        <f t="shared" si="159"/>
        <v>-30862.411764705881</v>
      </c>
      <c r="Z450" s="1106">
        <f t="shared" si="160"/>
        <v>-5659.094461420932</v>
      </c>
      <c r="AA450" s="1106">
        <f t="shared" si="161"/>
        <v>-25203.317303284952</v>
      </c>
    </row>
    <row r="451" spans="1:29" hidden="1" x14ac:dyDescent="0.35">
      <c r="A451" s="179">
        <v>8</v>
      </c>
      <c r="B451" s="880" t="s">
        <v>22</v>
      </c>
      <c r="C451" s="82" t="s">
        <v>134</v>
      </c>
      <c r="D451" s="83" t="s">
        <v>133</v>
      </c>
      <c r="E451" s="892" t="str">
        <f>VLOOKUP(F451,'Quy đổi'!A:D,4,0)</f>
        <v>rPET</v>
      </c>
      <c r="F451" s="82" t="s">
        <v>1015</v>
      </c>
      <c r="G451" s="82" t="s">
        <v>1016</v>
      </c>
      <c r="H451" s="257" t="str">
        <f>IFERROR(VLOOKUP(F451,'Quy đổi'!A:C,3,0),"-")</f>
        <v>WSS01 &amp; WSS01G-L</v>
      </c>
      <c r="I451" s="1098">
        <v>206800</v>
      </c>
      <c r="J451" s="1098">
        <v>7594992636</v>
      </c>
      <c r="K451" s="1098">
        <v>7594992636</v>
      </c>
      <c r="L451" s="1099"/>
      <c r="O451" s="1097">
        <f t="shared" si="147"/>
        <v>7594992636</v>
      </c>
      <c r="P451" s="1101">
        <f t="shared" si="152"/>
        <v>36726.269999999997</v>
      </c>
      <c r="Q451" s="1101">
        <f t="shared" si="153"/>
        <v>1402.8368983957218</v>
      </c>
      <c r="R451" s="1099">
        <v>6202334763</v>
      </c>
      <c r="S451" s="1101">
        <f t="shared" si="154"/>
        <v>29991.947596711798</v>
      </c>
      <c r="T451" s="1101">
        <f t="shared" si="155"/>
        <v>1224.1611263963998</v>
      </c>
      <c r="U451" s="1101">
        <f t="shared" si="156"/>
        <v>1392657873</v>
      </c>
      <c r="V451" s="1103">
        <f t="shared" si="157"/>
        <v>0.18336526969082897</v>
      </c>
      <c r="W451" s="1098">
        <v>26180</v>
      </c>
      <c r="X451" s="1106">
        <f t="shared" si="158"/>
        <v>290106.67058823531</v>
      </c>
      <c r="Y451" s="1106">
        <f t="shared" si="159"/>
        <v>290106.67058823531</v>
      </c>
      <c r="Z451" s="1106">
        <f t="shared" si="160"/>
        <v>53195.487891520243</v>
      </c>
      <c r="AA451" s="1106">
        <f t="shared" si="161"/>
        <v>236911.18269671506</v>
      </c>
    </row>
    <row r="452" spans="1:29" hidden="1" x14ac:dyDescent="0.35">
      <c r="A452" s="179">
        <v>8</v>
      </c>
      <c r="B452" s="880" t="s">
        <v>22</v>
      </c>
      <c r="C452" s="82" t="s">
        <v>176</v>
      </c>
      <c r="D452" s="83" t="s">
        <v>177</v>
      </c>
      <c r="E452" s="892" t="str">
        <f>VLOOKUP(F452,'Quy đổi'!A:D,4,0)</f>
        <v>rPET</v>
      </c>
      <c r="F452" s="82" t="s">
        <v>127</v>
      </c>
      <c r="G452" s="82" t="s">
        <v>114</v>
      </c>
      <c r="H452" s="257" t="str">
        <f>IFERROR(VLOOKUP(F452,'Quy đổi'!A:C,3,0),"-")</f>
        <v>iSS01084G</v>
      </c>
      <c r="I452" s="1098">
        <v>616000</v>
      </c>
      <c r="J452" s="1098">
        <v>22390355543</v>
      </c>
      <c r="K452" s="1098">
        <f>22789123500+5956500</f>
        <v>22795080000</v>
      </c>
      <c r="L452" s="1056">
        <f>28500000*4+28000000*24</f>
        <v>786000000</v>
      </c>
      <c r="N452" s="1056">
        <v>335484072</v>
      </c>
      <c r="O452" s="1097">
        <f t="shared" si="147"/>
        <v>21673595928</v>
      </c>
      <c r="P452" s="1101">
        <f t="shared" si="152"/>
        <v>35184.408974025973</v>
      </c>
      <c r="Q452" s="1101">
        <f t="shared" si="153"/>
        <v>1343.9422831942693</v>
      </c>
      <c r="R452" s="1099">
        <v>18048723671</v>
      </c>
      <c r="S452" s="1101">
        <f t="shared" si="154"/>
        <v>29299.876089285714</v>
      </c>
      <c r="T452" s="1101">
        <f t="shared" si="155"/>
        <v>1195.9133097667639</v>
      </c>
      <c r="U452" s="1101">
        <f t="shared" si="156"/>
        <v>3624872257</v>
      </c>
      <c r="V452" s="1103">
        <f t="shared" si="157"/>
        <v>0.15901994013620482</v>
      </c>
      <c r="W452" s="1098">
        <v>26180</v>
      </c>
      <c r="X452" s="1106">
        <f t="shared" si="158"/>
        <v>827868.44644766999</v>
      </c>
      <c r="Y452" s="1106">
        <f t="shared" si="159"/>
        <v>870705.8823529412</v>
      </c>
      <c r="Z452" s="1106">
        <f t="shared" si="160"/>
        <v>138459.5972880061</v>
      </c>
      <c r="AA452" s="1106">
        <f t="shared" si="161"/>
        <v>689408.84915966389</v>
      </c>
    </row>
    <row r="453" spans="1:29" hidden="1" x14ac:dyDescent="0.35">
      <c r="A453" s="179">
        <v>8</v>
      </c>
      <c r="B453" s="880" t="s">
        <v>22</v>
      </c>
      <c r="C453" s="82" t="s">
        <v>129</v>
      </c>
      <c r="D453" s="83" t="s">
        <v>510</v>
      </c>
      <c r="E453" s="892" t="str">
        <f>VLOOKUP(F453,'Quy đổi'!A:D,4,0)</f>
        <v>rPET</v>
      </c>
      <c r="F453" s="82" t="s">
        <v>127</v>
      </c>
      <c r="G453" s="82" t="s">
        <v>114</v>
      </c>
      <c r="H453" s="257" t="str">
        <f>IFERROR(VLOOKUP(F453,'Quy đổi'!A:C,3,0),"-")</f>
        <v>iSS01084G</v>
      </c>
      <c r="I453" s="1098">
        <v>43293</v>
      </c>
      <c r="J453" s="1098">
        <v>1571873585</v>
      </c>
      <c r="K453" s="1098">
        <v>1583263973</v>
      </c>
      <c r="L453" s="1056">
        <f>160*I453</f>
        <v>6926880</v>
      </c>
      <c r="N453" s="1056">
        <v>23578104</v>
      </c>
      <c r="O453" s="1097">
        <f t="shared" si="147"/>
        <v>1552758989</v>
      </c>
      <c r="P453" s="1101">
        <f t="shared" si="152"/>
        <v>35866.28297877255</v>
      </c>
      <c r="Q453" s="1101">
        <f t="shared" si="153"/>
        <v>1369.9878907094173</v>
      </c>
      <c r="R453" s="1099">
        <v>1268479536</v>
      </c>
      <c r="S453" s="1101">
        <f t="shared" si="154"/>
        <v>29299.876100062367</v>
      </c>
      <c r="T453" s="1101">
        <f t="shared" si="155"/>
        <v>1195.9133102066273</v>
      </c>
      <c r="U453" s="1101">
        <f t="shared" si="156"/>
        <v>284279453</v>
      </c>
      <c r="V453" s="1103">
        <f t="shared" si="157"/>
        <v>0.17955278326793583</v>
      </c>
      <c r="W453" s="1098">
        <v>26180</v>
      </c>
      <c r="X453" s="1106">
        <f t="shared" si="158"/>
        <v>59310.885752482813</v>
      </c>
      <c r="Y453" s="1106">
        <f t="shared" si="159"/>
        <v>60476.087585943467</v>
      </c>
      <c r="Z453" s="1106">
        <f t="shared" si="160"/>
        <v>10858.649847211613</v>
      </c>
      <c r="AA453" s="1106">
        <f t="shared" si="161"/>
        <v>48452.235905271198</v>
      </c>
    </row>
    <row r="454" spans="1:29" hidden="1" x14ac:dyDescent="0.35">
      <c r="A454" s="179">
        <v>8</v>
      </c>
      <c r="B454" s="880" t="s">
        <v>22</v>
      </c>
      <c r="C454" s="82" t="s">
        <v>77</v>
      </c>
      <c r="D454" s="83" t="s">
        <v>76</v>
      </c>
      <c r="E454" s="892" t="str">
        <f>VLOOKUP(F454,'Quy đổi'!A:D,4,0)</f>
        <v>rHDPE thổi</v>
      </c>
      <c r="F454" s="82" t="s">
        <v>69</v>
      </c>
      <c r="G454" s="82" t="s">
        <v>68</v>
      </c>
      <c r="H454" s="257" t="str">
        <f>IFERROR(VLOOKUP(F454,'Quy đổi'!A:C,3,0),"-")</f>
        <v>MBF01</v>
      </c>
      <c r="I454" s="1098">
        <v>-25</v>
      </c>
      <c r="J454" s="1098">
        <v>0</v>
      </c>
      <c r="K454" s="1098">
        <v>-916275</v>
      </c>
      <c r="O454" s="1097">
        <f t="shared" ref="O454:O517" si="162">K454-SUM(L454:N454)</f>
        <v>-916275</v>
      </c>
      <c r="P454" s="1101">
        <f t="shared" si="152"/>
        <v>36651</v>
      </c>
      <c r="Q454" s="1101">
        <f t="shared" si="153"/>
        <v>1399.9618029029793</v>
      </c>
      <c r="R454" s="1099">
        <v>-677781</v>
      </c>
      <c r="S454" s="1101">
        <f t="shared" si="154"/>
        <v>27111.24</v>
      </c>
      <c r="T454" s="1101">
        <f t="shared" si="155"/>
        <v>1106.5812244897959</v>
      </c>
      <c r="U454" s="1101">
        <f t="shared" si="156"/>
        <v>-238494</v>
      </c>
      <c r="V454" s="1103">
        <f t="shared" si="157"/>
        <v>0.26028648604403698</v>
      </c>
      <c r="W454" s="1098">
        <v>26180</v>
      </c>
      <c r="X454" s="1106">
        <f t="shared" si="158"/>
        <v>-34.999045072574482</v>
      </c>
      <c r="Y454" s="1106">
        <f t="shared" si="159"/>
        <v>-34.999045072574482</v>
      </c>
      <c r="Z454" s="1106">
        <f t="shared" si="160"/>
        <v>-9.1097784568372795</v>
      </c>
      <c r="AA454" s="1106">
        <f t="shared" si="161"/>
        <v>-25.889266615737203</v>
      </c>
    </row>
    <row r="455" spans="1:29" hidden="1" x14ac:dyDescent="0.35">
      <c r="A455" s="179">
        <v>8</v>
      </c>
      <c r="B455" s="880" t="s">
        <v>22</v>
      </c>
      <c r="C455" s="82" t="s">
        <v>77</v>
      </c>
      <c r="D455" s="83" t="s">
        <v>76</v>
      </c>
      <c r="E455" s="892" t="str">
        <f>VLOOKUP(F455,'Quy đổi'!A:D,4,0)</f>
        <v>rHDPE thổi</v>
      </c>
      <c r="F455" s="82" t="s">
        <v>69</v>
      </c>
      <c r="G455" s="82" t="s">
        <v>68</v>
      </c>
      <c r="H455" s="257" t="str">
        <f>IFERROR(VLOOKUP(F455,'Quy đổi'!A:C,3,0),"-")</f>
        <v>MBF01</v>
      </c>
      <c r="I455" s="1098">
        <v>35750</v>
      </c>
      <c r="J455" s="1098">
        <v>1281383250</v>
      </c>
      <c r="K455" s="1098">
        <v>1315883250</v>
      </c>
      <c r="L455" s="1104">
        <f>+(14000000+19100000)/1.08</f>
        <v>30648148.148148146</v>
      </c>
      <c r="O455" s="1097">
        <f t="shared" si="162"/>
        <v>1285235101.8518519</v>
      </c>
      <c r="P455" s="1101">
        <f t="shared" si="152"/>
        <v>35950.632219632222</v>
      </c>
      <c r="Q455" s="1101">
        <f t="shared" si="153"/>
        <v>1373.2097868461506</v>
      </c>
      <c r="R455" s="1099">
        <v>969227408</v>
      </c>
      <c r="S455" s="1101">
        <f t="shared" si="154"/>
        <v>27111.256167832169</v>
      </c>
      <c r="T455" s="1101">
        <f t="shared" si="155"/>
        <v>1106.5818844013131</v>
      </c>
      <c r="U455" s="1101">
        <f t="shared" si="156"/>
        <v>316007693.85185194</v>
      </c>
      <c r="V455" s="1103">
        <f t="shared" si="157"/>
        <v>0.240148731927283</v>
      </c>
      <c r="W455" s="1098">
        <v>26180</v>
      </c>
      <c r="X455" s="1106">
        <f t="shared" si="158"/>
        <v>49092.249879749885</v>
      </c>
      <c r="Y455" s="1106">
        <f t="shared" si="159"/>
        <v>50262.920168067227</v>
      </c>
      <c r="Z455" s="1106">
        <f t="shared" si="160"/>
        <v>12070.576541323604</v>
      </c>
      <c r="AA455" s="1106">
        <f t="shared" si="161"/>
        <v>37021.673338426277</v>
      </c>
    </row>
    <row r="456" spans="1:29" hidden="1" x14ac:dyDescent="0.35">
      <c r="A456" s="179">
        <v>8</v>
      </c>
      <c r="C456" s="82" t="s">
        <v>635</v>
      </c>
      <c r="D456" s="83" t="s">
        <v>636</v>
      </c>
      <c r="E456" s="892" t="str">
        <f>VLOOKUP(F456,'Quy đổi'!A:D,4,0)</f>
        <v>Dây đai</v>
      </c>
      <c r="F456" s="82" t="s">
        <v>649</v>
      </c>
      <c r="G456" s="82" t="s">
        <v>650</v>
      </c>
      <c r="H456" s="257">
        <f>IFERROR(VLOOKUP(F456,'Quy đổi'!A:C,3,0),"-")</f>
        <v>0</v>
      </c>
      <c r="I456" s="1098">
        <v>80000</v>
      </c>
      <c r="J456" s="1098">
        <v>1456000000</v>
      </c>
      <c r="K456" s="1098">
        <v>1456000000</v>
      </c>
      <c r="M456" s="1056">
        <v>105600000</v>
      </c>
      <c r="O456" s="1097">
        <f t="shared" si="162"/>
        <v>1350400000</v>
      </c>
      <c r="P456" s="1101">
        <f t="shared" si="152"/>
        <v>16880</v>
      </c>
      <c r="Q456" s="1101">
        <f t="shared" si="153"/>
        <v>644.76699770817413</v>
      </c>
      <c r="R456" s="1099">
        <v>1800707568</v>
      </c>
      <c r="S456" s="1101">
        <f t="shared" si="154"/>
        <v>22508.8446</v>
      </c>
      <c r="T456" s="1101">
        <f t="shared" si="155"/>
        <v>918.72835102040813</v>
      </c>
      <c r="U456" s="1101">
        <f t="shared" si="156"/>
        <v>-450307568</v>
      </c>
      <c r="V456" s="1103">
        <f t="shared" si="157"/>
        <v>-0.3092771758241758</v>
      </c>
      <c r="W456" s="1098">
        <v>26180</v>
      </c>
      <c r="X456" s="1106">
        <f t="shared" si="158"/>
        <v>51581.359816653938</v>
      </c>
      <c r="Y456" s="1106">
        <f t="shared" si="159"/>
        <v>55614.973262032086</v>
      </c>
      <c r="Z456" s="1106">
        <f t="shared" si="160"/>
        <v>-17200.441864018336</v>
      </c>
      <c r="AA456" s="1106">
        <f t="shared" si="161"/>
        <v>68781.801680672274</v>
      </c>
    </row>
    <row r="457" spans="1:29" hidden="1" x14ac:dyDescent="0.35">
      <c r="A457" s="179">
        <v>8</v>
      </c>
      <c r="C457" s="82" t="s">
        <v>221</v>
      </c>
      <c r="D457" s="83" t="s">
        <v>222</v>
      </c>
      <c r="E457" s="892" t="str">
        <f>VLOOKUP(F457,'Quy đổi'!A:D,4,0)</f>
        <v>Khác</v>
      </c>
      <c r="F457" s="82" t="s">
        <v>223</v>
      </c>
      <c r="G457" s="82" t="s">
        <v>917</v>
      </c>
      <c r="H457" s="257">
        <f>IFERROR(VLOOKUP(F457,'Quy đổi'!A:C,3,0),"-")</f>
        <v>0</v>
      </c>
      <c r="I457" s="1098">
        <v>11006</v>
      </c>
      <c r="J457" s="1098">
        <v>214617000</v>
      </c>
      <c r="K457" s="1098">
        <v>214617000</v>
      </c>
      <c r="O457" s="1097">
        <f t="shared" si="162"/>
        <v>214617000</v>
      </c>
      <c r="P457" s="1101">
        <f t="shared" si="152"/>
        <v>19500</v>
      </c>
      <c r="Q457" s="1101">
        <f t="shared" si="153"/>
        <v>744.84339190221533</v>
      </c>
      <c r="R457" s="1099">
        <v>230267134</v>
      </c>
      <c r="S457" s="1101">
        <f t="shared" si="154"/>
        <v>20921.963837906598</v>
      </c>
      <c r="T457" s="1101">
        <f t="shared" si="155"/>
        <v>853.95770766965711</v>
      </c>
      <c r="U457" s="1101">
        <f t="shared" si="156"/>
        <v>-15650134</v>
      </c>
      <c r="V457" s="1103">
        <f t="shared" si="157"/>
        <v>-7.2921222456748536E-2</v>
      </c>
      <c r="W457" s="1098">
        <v>26180</v>
      </c>
      <c r="X457" s="1106">
        <f t="shared" si="158"/>
        <v>8197.7463712757835</v>
      </c>
      <c r="Y457" s="1106">
        <f t="shared" si="159"/>
        <v>8197.7463712757835</v>
      </c>
      <c r="Z457" s="1106">
        <f t="shared" si="160"/>
        <v>-597.78968678380443</v>
      </c>
      <c r="AA457" s="1106">
        <f t="shared" si="161"/>
        <v>8795.536058059588</v>
      </c>
    </row>
    <row r="458" spans="1:29" hidden="1" x14ac:dyDescent="0.35">
      <c r="A458" s="179">
        <v>8</v>
      </c>
      <c r="C458" s="82" t="s">
        <v>221</v>
      </c>
      <c r="D458" s="83" t="s">
        <v>222</v>
      </c>
      <c r="E458" s="892" t="str">
        <f>VLOOKUP(F458,'Quy đổi'!A:D,4,0)</f>
        <v>Khác</v>
      </c>
      <c r="F458" s="82" t="s">
        <v>467</v>
      </c>
      <c r="G458" s="82" t="s">
        <v>1017</v>
      </c>
      <c r="H458" s="257">
        <f>IFERROR(VLOOKUP(F458,'Quy đổi'!A:C,3,0),"-")</f>
        <v>0</v>
      </c>
      <c r="I458" s="1098">
        <v>1772</v>
      </c>
      <c r="J458" s="1098">
        <v>33668000</v>
      </c>
      <c r="K458" s="1098">
        <v>33668000</v>
      </c>
      <c r="O458" s="1097">
        <f t="shared" si="162"/>
        <v>33668000</v>
      </c>
      <c r="P458" s="1101">
        <f t="shared" si="152"/>
        <v>19000</v>
      </c>
      <c r="Q458" s="1101">
        <f t="shared" si="153"/>
        <v>725.74484339190224</v>
      </c>
      <c r="R458" s="1099">
        <v>32237177</v>
      </c>
      <c r="S458" s="1101">
        <f t="shared" si="154"/>
        <v>18192.537810383747</v>
      </c>
      <c r="T458" s="1101">
        <f t="shared" si="155"/>
        <v>742.55256368913251</v>
      </c>
      <c r="U458" s="1101">
        <f t="shared" si="156"/>
        <v>1430823</v>
      </c>
      <c r="V458" s="1103">
        <f t="shared" si="157"/>
        <v>4.2498009979802777E-2</v>
      </c>
      <c r="W458" s="1098">
        <v>26180</v>
      </c>
      <c r="X458" s="1106">
        <f t="shared" si="158"/>
        <v>1286.0198624904508</v>
      </c>
      <c r="Y458" s="1106">
        <f t="shared" si="159"/>
        <v>1286.0198624904508</v>
      </c>
      <c r="Z458" s="1106">
        <f t="shared" si="160"/>
        <v>54.653284950343775</v>
      </c>
      <c r="AA458" s="1106">
        <f t="shared" si="161"/>
        <v>1231.3665775401068</v>
      </c>
    </row>
    <row r="459" spans="1:29" hidden="1" x14ac:dyDescent="0.35">
      <c r="A459" s="179">
        <v>8</v>
      </c>
      <c r="B459" s="880" t="s">
        <v>22</v>
      </c>
      <c r="C459" s="82" t="s">
        <v>21</v>
      </c>
      <c r="D459" s="83" t="s">
        <v>20</v>
      </c>
      <c r="E459" s="892" t="str">
        <f>VLOOKUP(F459,'Quy đổi'!A:D,4,0)</f>
        <v>rPP</v>
      </c>
      <c r="F459" s="82" t="s">
        <v>538</v>
      </c>
      <c r="G459" s="82" t="s">
        <v>539</v>
      </c>
      <c r="H459" s="257" t="str">
        <f>IFERROR(VLOOKUP(F459,'Quy đổi'!A:C,3,0),"-")</f>
        <v>rPP20R02</v>
      </c>
      <c r="I459" s="1098">
        <v>16500</v>
      </c>
      <c r="J459" s="1098">
        <v>319018332</v>
      </c>
      <c r="K459" s="1098">
        <v>320833332</v>
      </c>
      <c r="O459" s="1097">
        <f t="shared" si="162"/>
        <v>320833332</v>
      </c>
      <c r="P459" s="1101">
        <f t="shared" si="152"/>
        <v>19444.444363636365</v>
      </c>
      <c r="Q459" s="1101">
        <f t="shared" si="153"/>
        <v>742.721327869991</v>
      </c>
      <c r="R459" s="1099">
        <v>466092092</v>
      </c>
      <c r="S459" s="1101">
        <f t="shared" si="154"/>
        <v>28248.005575757576</v>
      </c>
      <c r="T459" s="1101">
        <f t="shared" si="155"/>
        <v>1152.9798194186765</v>
      </c>
      <c r="U459" s="1101">
        <f t="shared" si="156"/>
        <v>-145258760</v>
      </c>
      <c r="V459" s="1103">
        <f t="shared" si="157"/>
        <v>-0.4527545785049541</v>
      </c>
      <c r="W459" s="1098">
        <v>26180</v>
      </c>
      <c r="X459" s="1106">
        <f t="shared" si="158"/>
        <v>12254.901909854851</v>
      </c>
      <c r="Y459" s="1106">
        <f t="shared" si="159"/>
        <v>12254.901909854851</v>
      </c>
      <c r="Z459" s="1106">
        <f t="shared" si="160"/>
        <v>-5548.4629488158898</v>
      </c>
      <c r="AA459" s="1106">
        <f t="shared" si="161"/>
        <v>17803.364858670742</v>
      </c>
      <c r="AC459" s="1098">
        <f t="shared" ref="AC459" si="163">X459/I459*1000</f>
        <v>742.72132786999089</v>
      </c>
    </row>
    <row r="460" spans="1:29" hidden="1" x14ac:dyDescent="0.35">
      <c r="A460" s="179">
        <v>8</v>
      </c>
      <c r="B460" s="880" t="s">
        <v>22</v>
      </c>
      <c r="C460" s="82" t="s">
        <v>82</v>
      </c>
      <c r="D460" s="83" t="s">
        <v>81</v>
      </c>
      <c r="E460" s="892" t="str">
        <f>VLOOKUP(F460,'Quy đổi'!A:D,4,0)</f>
        <v>rHDPE thổi</v>
      </c>
      <c r="F460" s="82" t="s">
        <v>69</v>
      </c>
      <c r="G460" s="82" t="s">
        <v>68</v>
      </c>
      <c r="H460" s="257" t="str">
        <f>IFERROR(VLOOKUP(F460,'Quy đổi'!A:C,3,0),"-")</f>
        <v>MBF01</v>
      </c>
      <c r="I460" s="1098">
        <v>77000</v>
      </c>
      <c r="J460" s="1098">
        <v>2751319890</v>
      </c>
      <c r="K460" s="1098">
        <v>2759890980</v>
      </c>
      <c r="O460" s="1097">
        <f t="shared" si="162"/>
        <v>2759890980</v>
      </c>
      <c r="P460" s="1101">
        <f t="shared" si="152"/>
        <v>35842.74</v>
      </c>
      <c r="Q460" s="1101">
        <f t="shared" si="153"/>
        <v>1369.0886172650878</v>
      </c>
      <c r="R460" s="1099">
        <v>2087566726</v>
      </c>
      <c r="S460" s="1101">
        <f t="shared" si="154"/>
        <v>27111.256181818182</v>
      </c>
      <c r="T460" s="1101">
        <f t="shared" si="155"/>
        <v>1106.5818849721707</v>
      </c>
      <c r="U460" s="1101">
        <f t="shared" si="156"/>
        <v>672324254</v>
      </c>
      <c r="V460" s="1103">
        <f t="shared" si="157"/>
        <v>0.24360536661487983</v>
      </c>
      <c r="W460" s="1098">
        <v>26180</v>
      </c>
      <c r="X460" s="1106">
        <f t="shared" si="158"/>
        <v>105419.82352941176</v>
      </c>
      <c r="Y460" s="1106">
        <f t="shared" si="159"/>
        <v>105419.82352941176</v>
      </c>
      <c r="Z460" s="1106">
        <f t="shared" si="160"/>
        <v>25680.834759358288</v>
      </c>
      <c r="AA460" s="1106">
        <f t="shared" si="161"/>
        <v>79738.988770053475</v>
      </c>
    </row>
    <row r="461" spans="1:29" hidden="1" x14ac:dyDescent="0.35">
      <c r="A461" s="179">
        <v>8</v>
      </c>
      <c r="B461" s="880" t="s">
        <v>22</v>
      </c>
      <c r="C461" s="82" t="s">
        <v>82</v>
      </c>
      <c r="D461" s="83" t="s">
        <v>81</v>
      </c>
      <c r="E461" s="892" t="str">
        <f>VLOOKUP(F461,'Quy đổi'!A:D,4,0)</f>
        <v>rPET</v>
      </c>
      <c r="F461" s="82" t="s">
        <v>110</v>
      </c>
      <c r="G461" s="82" t="s">
        <v>109</v>
      </c>
      <c r="H461" s="257" t="str">
        <f>IFERROR(VLOOKUP(F461,'Quy đổi'!A:C,3,0),"-")</f>
        <v>WSS01G</v>
      </c>
      <c r="I461" s="1098">
        <v>16500</v>
      </c>
      <c r="J461" s="1098">
        <v>534108905</v>
      </c>
      <c r="K461" s="1098">
        <v>535537420</v>
      </c>
      <c r="O461" s="1097">
        <f t="shared" si="162"/>
        <v>535537420</v>
      </c>
      <c r="P461" s="1101">
        <f t="shared" si="152"/>
        <v>32456.813333333332</v>
      </c>
      <c r="Q461" s="1101">
        <f t="shared" si="153"/>
        <v>1239.7560478736948</v>
      </c>
      <c r="R461" s="1099">
        <v>458268038</v>
      </c>
      <c r="S461" s="1101">
        <f t="shared" si="154"/>
        <v>27773.820484848486</v>
      </c>
      <c r="T461" s="1101">
        <f t="shared" si="155"/>
        <v>1133.6253259121831</v>
      </c>
      <c r="U461" s="1101">
        <f t="shared" si="156"/>
        <v>77269382</v>
      </c>
      <c r="V461" s="1103">
        <f t="shared" si="157"/>
        <v>0.14428381493864612</v>
      </c>
      <c r="W461" s="1098">
        <v>26180</v>
      </c>
      <c r="X461" s="1106">
        <f t="shared" si="158"/>
        <v>20455.974789915967</v>
      </c>
      <c r="Y461" s="1106">
        <f t="shared" si="159"/>
        <v>20455.974789915967</v>
      </c>
      <c r="Z461" s="1106">
        <f t="shared" si="160"/>
        <v>2951.4660809778456</v>
      </c>
      <c r="AA461" s="1106">
        <f t="shared" si="161"/>
        <v>17504.50870893812</v>
      </c>
    </row>
    <row r="462" spans="1:29" hidden="1" x14ac:dyDescent="0.35">
      <c r="A462" s="179">
        <v>8</v>
      </c>
      <c r="B462" s="880" t="s">
        <v>22</v>
      </c>
      <c r="C462" s="82" t="s">
        <v>82</v>
      </c>
      <c r="D462" s="83" t="s">
        <v>81</v>
      </c>
      <c r="E462" s="892" t="str">
        <f>VLOOKUP(F462,'Quy đổi'!A:D,4,0)</f>
        <v>rHDPE thổi</v>
      </c>
      <c r="F462" s="82" t="s">
        <v>75</v>
      </c>
      <c r="G462" s="82" t="s">
        <v>74</v>
      </c>
      <c r="H462" s="257" t="str">
        <f>IFERROR(VLOOKUP(F462,'Quy đổi'!A:C,3,0),"-")</f>
        <v>HCBF-Yel-U</v>
      </c>
      <c r="I462" s="1098">
        <v>44000</v>
      </c>
      <c r="J462" s="1098">
        <v>1485655600</v>
      </c>
      <c r="K462" s="1098">
        <v>1497083719</v>
      </c>
      <c r="O462" s="1097">
        <f t="shared" si="162"/>
        <v>1497083719</v>
      </c>
      <c r="P462" s="1101">
        <f t="shared" si="152"/>
        <v>34024.629977272729</v>
      </c>
      <c r="Q462" s="1101">
        <f t="shared" si="153"/>
        <v>1299.642092332801</v>
      </c>
      <c r="R462" s="1099">
        <v>1180220234</v>
      </c>
      <c r="S462" s="1101">
        <f t="shared" si="154"/>
        <v>26823.187136363635</v>
      </c>
      <c r="T462" s="1101">
        <f t="shared" si="155"/>
        <v>1094.8239647495361</v>
      </c>
      <c r="U462" s="1101">
        <f t="shared" si="156"/>
        <v>316863485</v>
      </c>
      <c r="V462" s="1103">
        <f t="shared" si="157"/>
        <v>0.21165381800535096</v>
      </c>
      <c r="W462" s="1098">
        <v>26180</v>
      </c>
      <c r="X462" s="1106">
        <f t="shared" si="158"/>
        <v>57184.252062643238</v>
      </c>
      <c r="Y462" s="1106">
        <f t="shared" si="159"/>
        <v>57184.252062643238</v>
      </c>
      <c r="Z462" s="1106">
        <f t="shared" si="160"/>
        <v>12103.265278838808</v>
      </c>
      <c r="AA462" s="1106">
        <f t="shared" si="161"/>
        <v>45080.98678380443</v>
      </c>
    </row>
    <row r="463" spans="1:29" hidden="1" x14ac:dyDescent="0.35">
      <c r="A463" s="179">
        <v>8</v>
      </c>
      <c r="B463" s="880" t="s">
        <v>22</v>
      </c>
      <c r="C463" s="82" t="s">
        <v>82</v>
      </c>
      <c r="D463" s="83" t="s">
        <v>81</v>
      </c>
      <c r="E463" s="892" t="str">
        <f>VLOOKUP(F463,'Quy đổi'!A:D,4,0)</f>
        <v>rHDPE thổi</v>
      </c>
      <c r="F463" s="82" t="s">
        <v>80</v>
      </c>
      <c r="G463" s="82" t="s">
        <v>79</v>
      </c>
      <c r="H463" s="257" t="str">
        <f>IFERROR(VLOOKUP(F463,'Quy đổi'!A:C,3,0),"-")</f>
        <v>PCF01</v>
      </c>
      <c r="I463" s="1098">
        <v>22000</v>
      </c>
      <c r="J463" s="1098">
        <v>788540280</v>
      </c>
      <c r="K463" s="1098">
        <v>788540280</v>
      </c>
      <c r="O463" s="1097">
        <f t="shared" si="162"/>
        <v>788540280</v>
      </c>
      <c r="P463" s="1101">
        <f t="shared" si="152"/>
        <v>35842.74</v>
      </c>
      <c r="Q463" s="1101">
        <f t="shared" si="153"/>
        <v>1369.0886172650878</v>
      </c>
      <c r="R463" s="1099">
        <v>616802219</v>
      </c>
      <c r="S463" s="1101">
        <f t="shared" si="154"/>
        <v>28036.464499999998</v>
      </c>
      <c r="T463" s="1101">
        <f t="shared" si="155"/>
        <v>1144.3454897959182</v>
      </c>
      <c r="U463" s="1101">
        <f t="shared" si="156"/>
        <v>171738061</v>
      </c>
      <c r="V463" s="1103">
        <f t="shared" si="157"/>
        <v>0.2177923758060907</v>
      </c>
      <c r="W463" s="1098">
        <v>26180</v>
      </c>
      <c r="X463" s="1106">
        <f t="shared" si="158"/>
        <v>30119.949579831933</v>
      </c>
      <c r="Y463" s="1106">
        <f t="shared" si="159"/>
        <v>30119.949579831933</v>
      </c>
      <c r="Z463" s="1106">
        <f t="shared" si="160"/>
        <v>6559.895378151261</v>
      </c>
      <c r="AA463" s="1106">
        <f t="shared" si="161"/>
        <v>23560.054201680672</v>
      </c>
    </row>
    <row r="464" spans="1:29" hidden="1" x14ac:dyDescent="0.35">
      <c r="A464" s="179">
        <v>8</v>
      </c>
      <c r="B464" s="880" t="s">
        <v>22</v>
      </c>
      <c r="C464" s="82" t="s">
        <v>120</v>
      </c>
      <c r="D464" s="83" t="s">
        <v>226</v>
      </c>
      <c r="E464" s="892" t="str">
        <f>VLOOKUP(F464,'Quy đổi'!A:D,4,0)</f>
        <v>rPET</v>
      </c>
      <c r="F464" s="82" t="s">
        <v>127</v>
      </c>
      <c r="G464" s="82" t="s">
        <v>114</v>
      </c>
      <c r="H464" s="257" t="str">
        <f>IFERROR(VLOOKUP(F464,'Quy đổi'!A:C,3,0),"-")</f>
        <v>iSS01084G</v>
      </c>
      <c r="I464" s="1098">
        <v>44000</v>
      </c>
      <c r="J464" s="1098">
        <v>1597503600</v>
      </c>
      <c r="K464" s="1098">
        <v>1609080000</v>
      </c>
      <c r="L464" s="1056">
        <f>140*I464</f>
        <v>6160000</v>
      </c>
      <c r="N464" s="1056">
        <v>23963148</v>
      </c>
      <c r="O464" s="1097">
        <f t="shared" si="162"/>
        <v>1578956852</v>
      </c>
      <c r="P464" s="1101">
        <f t="shared" si="152"/>
        <v>35885.383000000002</v>
      </c>
      <c r="Q464" s="1101">
        <f t="shared" si="153"/>
        <v>1370.7174560733383</v>
      </c>
      <c r="R464" s="1099">
        <v>1289194548</v>
      </c>
      <c r="S464" s="1101">
        <f t="shared" si="154"/>
        <v>29299.876090909092</v>
      </c>
      <c r="T464" s="1101">
        <f t="shared" si="155"/>
        <v>1195.9133098330242</v>
      </c>
      <c r="U464" s="1101">
        <f t="shared" si="156"/>
        <v>289762304</v>
      </c>
      <c r="V464" s="1103">
        <f t="shared" si="157"/>
        <v>0.18007948890048972</v>
      </c>
      <c r="W464" s="1098">
        <v>26180</v>
      </c>
      <c r="X464" s="1106">
        <f t="shared" si="158"/>
        <v>60311.568067226894</v>
      </c>
      <c r="Y464" s="1106">
        <f t="shared" si="159"/>
        <v>61462.184873949576</v>
      </c>
      <c r="Z464" s="1106">
        <f t="shared" si="160"/>
        <v>11068.078838808251</v>
      </c>
      <c r="AA464" s="1106">
        <f t="shared" si="161"/>
        <v>49243.489228418643</v>
      </c>
    </row>
    <row r="465" spans="1:29" hidden="1" x14ac:dyDescent="0.35">
      <c r="A465" s="179">
        <v>8</v>
      </c>
      <c r="B465" s="880" t="s">
        <v>22</v>
      </c>
      <c r="C465" s="82" t="s">
        <v>71</v>
      </c>
      <c r="D465" s="83" t="s">
        <v>70</v>
      </c>
      <c r="E465" s="892" t="str">
        <f>VLOOKUP(F465,'Quy đổi'!A:D,4,0)</f>
        <v>rHDPE thổi</v>
      </c>
      <c r="F465" s="82" t="s">
        <v>187</v>
      </c>
      <c r="G465" s="82" t="s">
        <v>188</v>
      </c>
      <c r="H465" s="257" t="str">
        <f>IFERROR(VLOOKUP(F465,'Quy đổi'!A:C,3,0),"-")</f>
        <v>rHDB03N02</v>
      </c>
      <c r="I465" s="1098">
        <v>33000</v>
      </c>
      <c r="J465" s="1098">
        <v>1083637500</v>
      </c>
      <c r="K465" s="1098">
        <v>1083637500</v>
      </c>
      <c r="O465" s="1097">
        <f t="shared" si="162"/>
        <v>1083637500</v>
      </c>
      <c r="P465" s="1101">
        <f t="shared" si="152"/>
        <v>32837.5</v>
      </c>
      <c r="Q465" s="1101">
        <f t="shared" si="153"/>
        <v>1254.2971734148205</v>
      </c>
      <c r="R465" s="1099">
        <v>1085007180</v>
      </c>
      <c r="S465" s="1101">
        <f t="shared" si="154"/>
        <v>32879.005454545455</v>
      </c>
      <c r="T465" s="1101">
        <f t="shared" si="155"/>
        <v>1342.0002226345084</v>
      </c>
      <c r="U465" s="1101">
        <f t="shared" si="156"/>
        <v>-1369680</v>
      </c>
      <c r="V465" s="1103">
        <f t="shared" si="157"/>
        <v>-1.2639651174862442E-3</v>
      </c>
      <c r="W465" s="1098">
        <v>26180</v>
      </c>
      <c r="X465" s="1106">
        <f t="shared" si="158"/>
        <v>41391.806722689078</v>
      </c>
      <c r="Y465" s="1106">
        <f t="shared" si="159"/>
        <v>41391.806722689078</v>
      </c>
      <c r="Z465" s="1106">
        <f t="shared" si="160"/>
        <v>-52.31779984721161</v>
      </c>
      <c r="AA465" s="1106">
        <f t="shared" si="161"/>
        <v>41444.124522536287</v>
      </c>
      <c r="AC465" s="1098">
        <f t="shared" ref="AC465:AC466" si="164">X465/I465*1000</f>
        <v>1254.2971734148205</v>
      </c>
    </row>
    <row r="466" spans="1:29" hidden="1" x14ac:dyDescent="0.35">
      <c r="A466" s="179">
        <v>8</v>
      </c>
      <c r="B466" s="880" t="s">
        <v>22</v>
      </c>
      <c r="C466" s="82" t="s">
        <v>351</v>
      </c>
      <c r="D466" s="83" t="s">
        <v>352</v>
      </c>
      <c r="E466" s="892" t="str">
        <f>VLOOKUP(F466,'Quy đổi'!A:D,4,0)</f>
        <v>rPET</v>
      </c>
      <c r="F466" s="82" t="s">
        <v>100</v>
      </c>
      <c r="G466" s="82" t="s">
        <v>99</v>
      </c>
      <c r="H466" s="257" t="str">
        <f>IFERROR(VLOOKUP(F466,'Quy đổi'!A:C,3,0),"-")</f>
        <v>iSS01G</v>
      </c>
      <c r="I466" s="1098">
        <v>11000</v>
      </c>
      <c r="J466" s="1098">
        <v>372026150</v>
      </c>
      <c r="K466" s="1098">
        <v>375426150</v>
      </c>
      <c r="O466" s="1097">
        <f t="shared" si="162"/>
        <v>375426150</v>
      </c>
      <c r="P466" s="1101">
        <f t="shared" si="152"/>
        <v>34129.65</v>
      </c>
      <c r="Q466" s="1101">
        <f t="shared" si="153"/>
        <v>1303.6535523300231</v>
      </c>
      <c r="R466" s="1099">
        <v>289890879</v>
      </c>
      <c r="S466" s="1101">
        <f t="shared" si="154"/>
        <v>26353.716272727273</v>
      </c>
      <c r="T466" s="1101">
        <f t="shared" si="155"/>
        <v>1075.6618886827459</v>
      </c>
      <c r="U466" s="1101">
        <f t="shared" si="156"/>
        <v>85535271</v>
      </c>
      <c r="V466" s="1103">
        <f t="shared" si="157"/>
        <v>0.2278351441421968</v>
      </c>
      <c r="W466" s="1098">
        <v>26180</v>
      </c>
      <c r="X466" s="1106">
        <f t="shared" si="158"/>
        <v>14340.189075630253</v>
      </c>
      <c r="Y466" s="1106">
        <f t="shared" si="159"/>
        <v>14340.189075630253</v>
      </c>
      <c r="Z466" s="1106">
        <f t="shared" si="160"/>
        <v>3267.1990450725743</v>
      </c>
      <c r="AA466" s="1106">
        <f t="shared" si="161"/>
        <v>11072.990030557678</v>
      </c>
      <c r="AC466" s="1098">
        <f t="shared" si="164"/>
        <v>1303.6535523300231</v>
      </c>
    </row>
    <row r="467" spans="1:29" hidden="1" x14ac:dyDescent="0.35">
      <c r="A467" s="179">
        <v>8</v>
      </c>
      <c r="B467" s="880" t="s">
        <v>22</v>
      </c>
      <c r="C467" s="82" t="s">
        <v>959</v>
      </c>
      <c r="D467" s="83" t="s">
        <v>960</v>
      </c>
      <c r="E467" s="892" t="str">
        <f>VLOOKUP(F467,'Quy đổi'!A:D,4,0)</f>
        <v>Xơ sợi</v>
      </c>
      <c r="F467" s="82" t="s">
        <v>87</v>
      </c>
      <c r="G467" s="82" t="s">
        <v>470</v>
      </c>
      <c r="H467" s="257" t="str">
        <f>IFERROR(VLOOKUP(F467,'Quy đổi'!A:C,3,0),"-")</f>
        <v>WSS05SB</v>
      </c>
      <c r="I467" s="1098">
        <v>259350</v>
      </c>
      <c r="J467" s="1098">
        <v>4616430000</v>
      </c>
      <c r="K467" s="1098">
        <v>4616430000</v>
      </c>
      <c r="O467" s="1097">
        <f t="shared" si="162"/>
        <v>4616430000</v>
      </c>
      <c r="P467" s="1101">
        <f t="shared" si="152"/>
        <v>17800</v>
      </c>
      <c r="Q467" s="1101">
        <f t="shared" si="153"/>
        <v>679.90832696715051</v>
      </c>
      <c r="R467" s="1099">
        <v>7297949552</v>
      </c>
      <c r="S467" s="1101">
        <f t="shared" si="154"/>
        <v>28139.3852014652</v>
      </c>
      <c r="T467" s="1101">
        <f t="shared" si="155"/>
        <v>1148.5463347536815</v>
      </c>
      <c r="U467" s="1101">
        <f t="shared" si="156"/>
        <v>-2681519552</v>
      </c>
      <c r="V467" s="1103">
        <f t="shared" si="157"/>
        <v>-0.58086433716096642</v>
      </c>
      <c r="W467" s="1098">
        <v>26180</v>
      </c>
      <c r="X467" s="1106">
        <f t="shared" si="158"/>
        <v>176334.22459893048</v>
      </c>
      <c r="Y467" s="1106">
        <f t="shared" si="159"/>
        <v>176334.22459893048</v>
      </c>
      <c r="Z467" s="1106">
        <f t="shared" si="160"/>
        <v>-102426.26249045072</v>
      </c>
      <c r="AA467" s="1106">
        <f t="shared" si="161"/>
        <v>278760.4870893812</v>
      </c>
      <c r="AC467" s="1098">
        <f>X467/I467*1000</f>
        <v>679.90832696715051</v>
      </c>
    </row>
    <row r="468" spans="1:29" hidden="1" x14ac:dyDescent="0.35">
      <c r="A468" s="179">
        <v>8</v>
      </c>
      <c r="C468" s="82" t="s">
        <v>353</v>
      </c>
      <c r="D468" s="83" t="s">
        <v>354</v>
      </c>
      <c r="E468" s="892" t="str">
        <f>VLOOKUP(F468,'Quy đổi'!A:D,4,0)</f>
        <v>Phó sản</v>
      </c>
      <c r="F468" s="82" t="s">
        <v>355</v>
      </c>
      <c r="G468" s="82" t="s">
        <v>913</v>
      </c>
      <c r="H468" s="257">
        <f>IFERROR(VLOOKUP(F468,'Quy đổi'!A:C,3,0),"-")</f>
        <v>0</v>
      </c>
      <c r="I468" s="1098">
        <v>33809</v>
      </c>
      <c r="J468" s="1098">
        <v>153392686</v>
      </c>
      <c r="K468" s="1098">
        <v>153392686</v>
      </c>
      <c r="O468" s="1097">
        <f t="shared" si="162"/>
        <v>153392686</v>
      </c>
      <c r="P468" s="1101">
        <f t="shared" si="152"/>
        <v>4537.0370611375665</v>
      </c>
      <c r="Q468" s="1101">
        <f t="shared" si="153"/>
        <v>173.30164481044943</v>
      </c>
      <c r="R468" s="1099">
        <v>425986533</v>
      </c>
      <c r="S468" s="1101">
        <f t="shared" si="154"/>
        <v>12599.796888402496</v>
      </c>
      <c r="T468" s="1101">
        <f t="shared" si="155"/>
        <v>514.27742401642843</v>
      </c>
      <c r="U468" s="1101">
        <f t="shared" si="156"/>
        <v>-272593847</v>
      </c>
      <c r="V468" s="1103">
        <f t="shared" si="157"/>
        <v>-1.7770980749368976</v>
      </c>
      <c r="W468" s="1098">
        <v>26180</v>
      </c>
      <c r="X468" s="1106">
        <f t="shared" si="158"/>
        <v>5859.1553093964858</v>
      </c>
      <c r="Y468" s="1106">
        <f t="shared" si="159"/>
        <v>5859.1553093964858</v>
      </c>
      <c r="Z468" s="1106">
        <f t="shared" si="160"/>
        <v>-10412.293621084798</v>
      </c>
      <c r="AA468" s="1106">
        <f t="shared" si="161"/>
        <v>16271.448930481283</v>
      </c>
    </row>
    <row r="469" spans="1:29" hidden="1" x14ac:dyDescent="0.35">
      <c r="A469" s="179">
        <v>8</v>
      </c>
      <c r="C469" s="82" t="s">
        <v>353</v>
      </c>
      <c r="D469" s="83" t="s">
        <v>354</v>
      </c>
      <c r="E469" s="892" t="str">
        <f>VLOOKUP(F469,'Quy đổi'!A:D,4,0)</f>
        <v>Phó sản</v>
      </c>
      <c r="F469" s="82" t="s">
        <v>357</v>
      </c>
      <c r="G469" s="82" t="s">
        <v>914</v>
      </c>
      <c r="H469" s="257">
        <f>IFERROR(VLOOKUP(F469,'Quy đổi'!A:C,3,0),"-")</f>
        <v>0</v>
      </c>
      <c r="I469" s="1098">
        <v>42991</v>
      </c>
      <c r="J469" s="1098">
        <v>195051759</v>
      </c>
      <c r="K469" s="1098">
        <v>195051759</v>
      </c>
      <c r="O469" s="1097">
        <f t="shared" si="162"/>
        <v>195051759</v>
      </c>
      <c r="P469" s="1101">
        <f t="shared" si="152"/>
        <v>4537.03703100649</v>
      </c>
      <c r="Q469" s="1101">
        <f t="shared" si="153"/>
        <v>173.30164365952979</v>
      </c>
      <c r="R469" s="1099">
        <v>541670372</v>
      </c>
      <c r="S469" s="1101">
        <f t="shared" si="154"/>
        <v>12599.622525644902</v>
      </c>
      <c r="T469" s="1101">
        <f t="shared" si="155"/>
        <v>514.27030716917966</v>
      </c>
      <c r="U469" s="1101">
        <f t="shared" si="156"/>
        <v>-346618613</v>
      </c>
      <c r="V469" s="1103">
        <f t="shared" si="157"/>
        <v>-1.7770596624047876</v>
      </c>
      <c r="W469" s="1098">
        <v>26180</v>
      </c>
      <c r="X469" s="1106">
        <f t="shared" si="158"/>
        <v>7450.4109625668452</v>
      </c>
      <c r="Y469" s="1106">
        <f t="shared" si="159"/>
        <v>7450.4109625668452</v>
      </c>
      <c r="Z469" s="1106">
        <f t="shared" si="160"/>
        <v>-13239.824789915967</v>
      </c>
      <c r="AA469" s="1106">
        <f t="shared" si="161"/>
        <v>20690.235752482811</v>
      </c>
    </row>
    <row r="470" spans="1:29" hidden="1" x14ac:dyDescent="0.35">
      <c r="A470" s="179">
        <v>8</v>
      </c>
      <c r="C470" s="82" t="s">
        <v>353</v>
      </c>
      <c r="D470" s="83" t="s">
        <v>354</v>
      </c>
      <c r="E470" s="892" t="str">
        <f>VLOOKUP(F470,'Quy đổi'!A:D,4,0)</f>
        <v>Phó sản</v>
      </c>
      <c r="F470" s="82" t="s">
        <v>357</v>
      </c>
      <c r="G470" s="82" t="s">
        <v>914</v>
      </c>
      <c r="H470" s="257">
        <f>IFERROR(VLOOKUP(F470,'Quy đổi'!A:C,3,0),"-")</f>
        <v>0</v>
      </c>
      <c r="I470" s="1098">
        <v>2338</v>
      </c>
      <c r="J470" s="1098">
        <v>10607593</v>
      </c>
      <c r="K470" s="1098">
        <v>10607593</v>
      </c>
      <c r="O470" s="1097">
        <f t="shared" si="162"/>
        <v>10607593</v>
      </c>
      <c r="P470" s="1101">
        <f t="shared" si="152"/>
        <v>4537.0372112917021</v>
      </c>
      <c r="Q470" s="1101">
        <f t="shared" si="153"/>
        <v>173.30165054590151</v>
      </c>
      <c r="R470" s="1099">
        <v>29457917</v>
      </c>
      <c r="S470" s="1101">
        <f t="shared" si="154"/>
        <v>12599.622326775021</v>
      </c>
      <c r="T470" s="1101">
        <f t="shared" si="155"/>
        <v>514.27029905204165</v>
      </c>
      <c r="U470" s="1101">
        <f t="shared" si="156"/>
        <v>-18850324</v>
      </c>
      <c r="V470" s="1103">
        <f t="shared" si="157"/>
        <v>-1.7770595082220821</v>
      </c>
      <c r="W470" s="1098">
        <v>26180</v>
      </c>
      <c r="X470" s="1106">
        <f t="shared" si="158"/>
        <v>405.17925897631778</v>
      </c>
      <c r="Y470" s="1106">
        <f t="shared" si="159"/>
        <v>405.17925897631778</v>
      </c>
      <c r="Z470" s="1106">
        <f t="shared" si="160"/>
        <v>-720.02765469824294</v>
      </c>
      <c r="AA470" s="1106">
        <f t="shared" si="161"/>
        <v>1125.2069136745608</v>
      </c>
    </row>
    <row r="471" spans="1:29" hidden="1" x14ac:dyDescent="0.35">
      <c r="A471" s="179">
        <v>8</v>
      </c>
      <c r="C471" s="82" t="s">
        <v>353</v>
      </c>
      <c r="D471" s="83" t="s">
        <v>354</v>
      </c>
      <c r="E471" s="892" t="str">
        <f>VLOOKUP(F471,'Quy đổi'!A:D,4,0)</f>
        <v>Phó sản</v>
      </c>
      <c r="F471" s="82" t="s">
        <v>358</v>
      </c>
      <c r="G471" s="82" t="s">
        <v>915</v>
      </c>
      <c r="H471" s="257">
        <f>IFERROR(VLOOKUP(F471,'Quy đổi'!A:C,3,0),"-")</f>
        <v>0</v>
      </c>
      <c r="I471" s="1098">
        <v>23399</v>
      </c>
      <c r="J471" s="1098">
        <v>106162129</v>
      </c>
      <c r="K471" s="1098">
        <v>106162129</v>
      </c>
      <c r="O471" s="1097">
        <f t="shared" si="162"/>
        <v>106162129</v>
      </c>
      <c r="P471" s="1101">
        <f t="shared" si="152"/>
        <v>4537.037010128638</v>
      </c>
      <c r="Q471" s="1101">
        <f t="shared" si="153"/>
        <v>173.30164286205647</v>
      </c>
      <c r="R471" s="1099">
        <v>294772975</v>
      </c>
      <c r="S471" s="1101">
        <f t="shared" si="154"/>
        <v>12597.674045899397</v>
      </c>
      <c r="T471" s="1101">
        <f t="shared" si="155"/>
        <v>514.19077738364888</v>
      </c>
      <c r="U471" s="1101">
        <f t="shared" si="156"/>
        <v>-188610846</v>
      </c>
      <c r="V471" s="1103">
        <f t="shared" si="157"/>
        <v>-1.7766302143394279</v>
      </c>
      <c r="W471" s="1098">
        <v>26180</v>
      </c>
      <c r="X471" s="1106">
        <f t="shared" si="158"/>
        <v>4055.0851413292589</v>
      </c>
      <c r="Y471" s="1106">
        <f t="shared" si="159"/>
        <v>4055.0851413292589</v>
      </c>
      <c r="Z471" s="1106">
        <f t="shared" si="160"/>
        <v>-7204.3867838044307</v>
      </c>
      <c r="AA471" s="1106">
        <f t="shared" si="161"/>
        <v>11259.47192513369</v>
      </c>
    </row>
    <row r="472" spans="1:29" hidden="1" x14ac:dyDescent="0.35">
      <c r="A472" s="179">
        <v>8</v>
      </c>
      <c r="C472" s="82" t="s">
        <v>353</v>
      </c>
      <c r="D472" s="83" t="s">
        <v>354</v>
      </c>
      <c r="E472" s="892" t="str">
        <f>VLOOKUP(F472,'Quy đổi'!A:D,4,0)</f>
        <v>Phó sản</v>
      </c>
      <c r="F472" s="82" t="s">
        <v>358</v>
      </c>
      <c r="G472" s="82" t="s">
        <v>915</v>
      </c>
      <c r="H472" s="257">
        <f>IFERROR(VLOOKUP(F472,'Quy đổi'!A:C,3,0),"-")</f>
        <v>0</v>
      </c>
      <c r="I472" s="1098">
        <v>2258</v>
      </c>
      <c r="J472" s="1098">
        <v>10244630</v>
      </c>
      <c r="K472" s="1098">
        <v>10244630</v>
      </c>
      <c r="O472" s="1097">
        <f t="shared" si="162"/>
        <v>10244630</v>
      </c>
      <c r="P472" s="1101">
        <f t="shared" si="152"/>
        <v>4537.0372010628871</v>
      </c>
      <c r="Q472" s="1101">
        <f t="shared" si="153"/>
        <v>173.30165015519049</v>
      </c>
      <c r="R472" s="1099">
        <v>28445548</v>
      </c>
      <c r="S472" s="1101">
        <f t="shared" si="154"/>
        <v>12597.674047829938</v>
      </c>
      <c r="T472" s="1101">
        <f t="shared" si="155"/>
        <v>514.19077746244648</v>
      </c>
      <c r="U472" s="1101">
        <f t="shared" si="156"/>
        <v>-18200918</v>
      </c>
      <c r="V472" s="1103">
        <f t="shared" si="157"/>
        <v>-1.7766300979147125</v>
      </c>
      <c r="W472" s="1098">
        <v>26180</v>
      </c>
      <c r="X472" s="1106">
        <f t="shared" si="158"/>
        <v>391.31512605042019</v>
      </c>
      <c r="Y472" s="1106">
        <f t="shared" si="159"/>
        <v>391.31512605042019</v>
      </c>
      <c r="Z472" s="1106">
        <f t="shared" si="160"/>
        <v>-695.22223071046596</v>
      </c>
      <c r="AA472" s="1106">
        <f t="shared" si="161"/>
        <v>1086.5373567608863</v>
      </c>
    </row>
    <row r="473" spans="1:29" hidden="1" x14ac:dyDescent="0.35">
      <c r="A473" s="179">
        <v>8</v>
      </c>
      <c r="C473" s="82" t="s">
        <v>353</v>
      </c>
      <c r="D473" s="83" t="s">
        <v>354</v>
      </c>
      <c r="E473" s="892" t="str">
        <f>VLOOKUP(F473,'Quy đổi'!A:D,4,0)</f>
        <v>Phó sản</v>
      </c>
      <c r="F473" s="82" t="s">
        <v>359</v>
      </c>
      <c r="G473" s="82" t="s">
        <v>916</v>
      </c>
      <c r="H473" s="257">
        <f>IFERROR(VLOOKUP(F473,'Quy đổi'!A:C,3,0),"-")</f>
        <v>0</v>
      </c>
      <c r="I473" s="1098">
        <v>45354</v>
      </c>
      <c r="J473" s="1098">
        <v>205772778</v>
      </c>
      <c r="K473" s="1098">
        <v>205772778</v>
      </c>
      <c r="O473" s="1097">
        <f t="shared" si="162"/>
        <v>205772778</v>
      </c>
      <c r="P473" s="1101">
        <f t="shared" si="152"/>
        <v>4537.0370419367637</v>
      </c>
      <c r="Q473" s="1101">
        <f t="shared" si="153"/>
        <v>173.30164407703452</v>
      </c>
      <c r="R473" s="1099">
        <v>571296190</v>
      </c>
      <c r="S473" s="1101">
        <f t="shared" si="154"/>
        <v>12596.379371169025</v>
      </c>
      <c r="T473" s="1101">
        <f t="shared" si="155"/>
        <v>514.13793351710308</v>
      </c>
      <c r="U473" s="1101">
        <f t="shared" si="156"/>
        <v>-365523412</v>
      </c>
      <c r="V473" s="1103">
        <f t="shared" si="157"/>
        <v>-1.7763448379940714</v>
      </c>
      <c r="W473" s="1098">
        <v>26180</v>
      </c>
      <c r="X473" s="1106">
        <f t="shared" si="158"/>
        <v>7859.9227654698243</v>
      </c>
      <c r="Y473" s="1106">
        <f t="shared" si="159"/>
        <v>7859.9227654698243</v>
      </c>
      <c r="Z473" s="1106">
        <f t="shared" si="160"/>
        <v>-13961.933231474408</v>
      </c>
      <c r="AA473" s="1106">
        <f t="shared" si="161"/>
        <v>21821.855996944232</v>
      </c>
    </row>
    <row r="474" spans="1:29" hidden="1" x14ac:dyDescent="0.35">
      <c r="A474" s="179">
        <v>8</v>
      </c>
      <c r="C474" s="82" t="s">
        <v>353</v>
      </c>
      <c r="D474" s="83" t="s">
        <v>354</v>
      </c>
      <c r="E474" s="892" t="str">
        <f>VLOOKUP(F474,'Quy đổi'!A:D,4,0)</f>
        <v>Phó sản</v>
      </c>
      <c r="F474" s="82" t="s">
        <v>359</v>
      </c>
      <c r="G474" s="82" t="s">
        <v>916</v>
      </c>
      <c r="H474" s="257">
        <f>IFERROR(VLOOKUP(F474,'Quy đổi'!A:C,3,0),"-")</f>
        <v>0</v>
      </c>
      <c r="I474" s="1098">
        <v>2378</v>
      </c>
      <c r="J474" s="1098">
        <v>10789074</v>
      </c>
      <c r="K474" s="1098">
        <v>10789074</v>
      </c>
      <c r="O474" s="1097">
        <f t="shared" si="162"/>
        <v>10789074</v>
      </c>
      <c r="P474" s="1101">
        <f t="shared" si="152"/>
        <v>4537.0370058873004</v>
      </c>
      <c r="Q474" s="1101">
        <f t="shared" si="153"/>
        <v>173.30164270004965</v>
      </c>
      <c r="R474" s="1099">
        <v>29954190</v>
      </c>
      <c r="S474" s="1101">
        <f t="shared" si="154"/>
        <v>12596.379310344828</v>
      </c>
      <c r="T474" s="1101">
        <f t="shared" si="155"/>
        <v>514.13793103448279</v>
      </c>
      <c r="U474" s="1101">
        <f t="shared" si="156"/>
        <v>-19165116</v>
      </c>
      <c r="V474" s="1103">
        <f t="shared" si="157"/>
        <v>-1.7763448466476364</v>
      </c>
      <c r="W474" s="1098">
        <v>26180</v>
      </c>
      <c r="X474" s="1106">
        <f t="shared" si="158"/>
        <v>412.1113063407181</v>
      </c>
      <c r="Y474" s="1106">
        <f t="shared" si="159"/>
        <v>412.1113063407181</v>
      </c>
      <c r="Z474" s="1106">
        <f t="shared" si="160"/>
        <v>-732.05179526355994</v>
      </c>
      <c r="AA474" s="1106">
        <f t="shared" si="161"/>
        <v>1144.1631016042782</v>
      </c>
    </row>
    <row r="475" spans="1:29" hidden="1" x14ac:dyDescent="0.35">
      <c r="A475" s="179">
        <v>8</v>
      </c>
      <c r="B475" s="880" t="s">
        <v>22</v>
      </c>
      <c r="C475" s="82" t="s">
        <v>373</v>
      </c>
      <c r="D475" s="83" t="s">
        <v>374</v>
      </c>
      <c r="E475" s="892" t="str">
        <f>VLOOKUP(F475,'Quy đổi'!A:D,4,0)</f>
        <v>rPET</v>
      </c>
      <c r="F475" s="82" t="s">
        <v>110</v>
      </c>
      <c r="G475" s="82" t="s">
        <v>109</v>
      </c>
      <c r="H475" s="257" t="str">
        <f>IFERROR(VLOOKUP(F475,'Quy đổi'!A:C,3,0),"-")</f>
        <v>WSS01G</v>
      </c>
      <c r="I475" s="1098">
        <v>11000</v>
      </c>
      <c r="J475" s="1098">
        <v>365973300</v>
      </c>
      <c r="K475" s="1098">
        <v>367419800</v>
      </c>
      <c r="O475" s="1097">
        <f t="shared" si="162"/>
        <v>367419800</v>
      </c>
      <c r="P475" s="1101">
        <f t="shared" si="152"/>
        <v>33401.800000000003</v>
      </c>
      <c r="Q475" s="1101">
        <f t="shared" si="153"/>
        <v>1275.8517952635602</v>
      </c>
      <c r="R475" s="1099">
        <v>305512025</v>
      </c>
      <c r="S475" s="1101">
        <f t="shared" si="154"/>
        <v>27773.820454545454</v>
      </c>
      <c r="T475" s="1101">
        <f t="shared" si="155"/>
        <v>1133.6253246753247</v>
      </c>
      <c r="U475" s="1101">
        <f t="shared" si="156"/>
        <v>61907775</v>
      </c>
      <c r="V475" s="1103">
        <f t="shared" si="157"/>
        <v>0.16849330112312946</v>
      </c>
      <c r="W475" s="1098">
        <v>26180</v>
      </c>
      <c r="X475" s="1106">
        <f t="shared" si="158"/>
        <v>14034.36974789916</v>
      </c>
      <c r="Y475" s="1106">
        <f t="shared" si="159"/>
        <v>14034.36974789916</v>
      </c>
      <c r="Z475" s="1106">
        <f t="shared" si="160"/>
        <v>2364.6972880061116</v>
      </c>
      <c r="AA475" s="1106">
        <f t="shared" si="161"/>
        <v>11669.672459893049</v>
      </c>
    </row>
    <row r="476" spans="1:29" hidden="1" x14ac:dyDescent="0.35">
      <c r="A476" s="179">
        <v>8</v>
      </c>
      <c r="B476" s="880" t="s">
        <v>22</v>
      </c>
      <c r="C476" s="82" t="s">
        <v>1003</v>
      </c>
      <c r="D476" s="83" t="s">
        <v>1004</v>
      </c>
      <c r="E476" s="892" t="str">
        <f>VLOOKUP(F476,'Quy đổi'!A:D,4,0)</f>
        <v>rPET</v>
      </c>
      <c r="F476" s="82" t="s">
        <v>127</v>
      </c>
      <c r="G476" s="82" t="s">
        <v>114</v>
      </c>
      <c r="H476" s="257" t="str">
        <f>IFERROR(VLOOKUP(F476,'Quy đổi'!A:C,3,0),"-")</f>
        <v>iSS01084G</v>
      </c>
      <c r="I476" s="1098">
        <v>44000</v>
      </c>
      <c r="J476" s="1098">
        <v>1622500000</v>
      </c>
      <c r="K476" s="1098">
        <v>1634116000</v>
      </c>
      <c r="L476" s="1104">
        <f>140*I476</f>
        <v>6160000</v>
      </c>
      <c r="N476" s="1056">
        <v>48676320</v>
      </c>
      <c r="O476" s="1097">
        <f t="shared" si="162"/>
        <v>1579279680</v>
      </c>
      <c r="P476" s="1101">
        <f t="shared" si="152"/>
        <v>35892.720000000001</v>
      </c>
      <c r="Q476" s="1101">
        <f t="shared" si="153"/>
        <v>1370.9977081741788</v>
      </c>
      <c r="R476" s="1099">
        <v>1289194548</v>
      </c>
      <c r="S476" s="1101">
        <f t="shared" si="154"/>
        <v>29299.876090909092</v>
      </c>
      <c r="T476" s="1101">
        <f t="shared" si="155"/>
        <v>1195.9133098330242</v>
      </c>
      <c r="U476" s="1101">
        <f t="shared" si="156"/>
        <v>290085132</v>
      </c>
      <c r="V476" s="1103">
        <f t="shared" si="157"/>
        <v>0.17751807827596083</v>
      </c>
      <c r="W476" s="1098">
        <v>26180</v>
      </c>
      <c r="X476" s="1106">
        <f t="shared" si="158"/>
        <v>60323.899159663866</v>
      </c>
      <c r="Y476" s="1106">
        <f t="shared" si="159"/>
        <v>62418.487394957985</v>
      </c>
      <c r="Z476" s="1106">
        <f t="shared" si="160"/>
        <v>11080.409931245225</v>
      </c>
      <c r="AA476" s="1106">
        <f t="shared" si="161"/>
        <v>49243.489228418643</v>
      </c>
      <c r="AC476" s="1098">
        <f t="shared" ref="AC476:AC477" si="165">X476/I476*1000</f>
        <v>1370.9977081741788</v>
      </c>
    </row>
    <row r="477" spans="1:29" hidden="1" x14ac:dyDescent="0.35">
      <c r="A477" s="179">
        <v>8</v>
      </c>
      <c r="B477" s="880" t="s">
        <v>22</v>
      </c>
      <c r="C477" s="82" t="s">
        <v>1003</v>
      </c>
      <c r="D477" s="83" t="s">
        <v>1004</v>
      </c>
      <c r="E477" s="892" t="str">
        <f>VLOOKUP(F477,'Quy đổi'!A:D,4,0)</f>
        <v>rPET</v>
      </c>
      <c r="F477" s="82" t="s">
        <v>127</v>
      </c>
      <c r="G477" s="82" t="s">
        <v>114</v>
      </c>
      <c r="H477" s="257" t="str">
        <f>IFERROR(VLOOKUP(F477,'Quy đổi'!A:C,3,0),"-")</f>
        <v>iSS01084G</v>
      </c>
      <c r="I477" s="1098">
        <v>44000</v>
      </c>
      <c r="J477" s="1098">
        <v>1622500000</v>
      </c>
      <c r="K477" s="1098">
        <v>1634116000</v>
      </c>
      <c r="L477" s="1104">
        <f>200*I477</f>
        <v>8800000</v>
      </c>
      <c r="N477" s="1056">
        <v>48676320</v>
      </c>
      <c r="O477" s="1097">
        <f t="shared" si="162"/>
        <v>1576639680</v>
      </c>
      <c r="P477" s="1101">
        <f t="shared" si="152"/>
        <v>35832.720000000001</v>
      </c>
      <c r="Q477" s="1101">
        <f t="shared" si="153"/>
        <v>1368.7058823529412</v>
      </c>
      <c r="R477" s="1099">
        <v>1289194548</v>
      </c>
      <c r="S477" s="1101">
        <f t="shared" si="154"/>
        <v>29299.876090909092</v>
      </c>
      <c r="T477" s="1101">
        <f t="shared" si="155"/>
        <v>1195.9133098330242</v>
      </c>
      <c r="U477" s="1101">
        <f t="shared" si="156"/>
        <v>287445132</v>
      </c>
      <c r="V477" s="1103">
        <f t="shared" si="157"/>
        <v>0.17590252589167477</v>
      </c>
      <c r="W477" s="1098">
        <v>26180</v>
      </c>
      <c r="X477" s="1106">
        <f t="shared" si="158"/>
        <v>60223.058823529413</v>
      </c>
      <c r="Y477" s="1106">
        <f t="shared" si="159"/>
        <v>62418.487394957985</v>
      </c>
      <c r="Z477" s="1106">
        <f t="shared" si="160"/>
        <v>10979.569595110772</v>
      </c>
      <c r="AA477" s="1106">
        <f t="shared" si="161"/>
        <v>49243.489228418643</v>
      </c>
      <c r="AC477" s="1098">
        <f t="shared" si="165"/>
        <v>1368.7058823529412</v>
      </c>
    </row>
    <row r="478" spans="1:29" hidden="1" x14ac:dyDescent="0.35">
      <c r="A478" s="179">
        <v>8</v>
      </c>
      <c r="B478" s="880" t="s">
        <v>22</v>
      </c>
      <c r="C478" s="82" t="s">
        <v>452</v>
      </c>
      <c r="D478" s="83" t="s">
        <v>453</v>
      </c>
      <c r="E478" s="892" t="str">
        <f>VLOOKUP(F478,'Quy đổi'!A:D,4,0)</f>
        <v>rHDPE ép</v>
      </c>
      <c r="F478" s="82" t="s">
        <v>48</v>
      </c>
      <c r="G478" s="82" t="s">
        <v>47</v>
      </c>
      <c r="H478" s="257" t="str">
        <f>IFERROR(VLOOKUP(F478,'Quy đổi'!A:C,3,0),"-")</f>
        <v>rHDI3W01</v>
      </c>
      <c r="I478" s="1098">
        <v>3000</v>
      </c>
      <c r="J478" s="1098">
        <v>82365000</v>
      </c>
      <c r="K478" s="1098">
        <v>83160000</v>
      </c>
      <c r="O478" s="1097">
        <f t="shared" si="162"/>
        <v>83160000</v>
      </c>
      <c r="P478" s="1101">
        <f t="shared" si="152"/>
        <v>27720</v>
      </c>
      <c r="Q478" s="1101">
        <f t="shared" si="153"/>
        <v>1058.8235294117646</v>
      </c>
      <c r="R478" s="1099">
        <v>25253342</v>
      </c>
      <c r="S478" s="1101">
        <f t="shared" si="154"/>
        <v>8417.7806666666675</v>
      </c>
      <c r="T478" s="1101">
        <f t="shared" si="155"/>
        <v>343.58288435374152</v>
      </c>
      <c r="U478" s="1101">
        <f t="shared" si="156"/>
        <v>57906658</v>
      </c>
      <c r="V478" s="1103">
        <f t="shared" si="157"/>
        <v>0.69632825877825877</v>
      </c>
      <c r="W478" s="1098">
        <v>26180</v>
      </c>
      <c r="X478" s="1106">
        <f t="shared" si="158"/>
        <v>3176.4705882352941</v>
      </c>
      <c r="Y478" s="1106">
        <f t="shared" si="159"/>
        <v>3176.4705882352941</v>
      </c>
      <c r="Z478" s="1106">
        <f t="shared" si="160"/>
        <v>2211.8662337662336</v>
      </c>
      <c r="AA478" s="1106">
        <f t="shared" si="161"/>
        <v>964.60435446906035</v>
      </c>
    </row>
    <row r="479" spans="1:29" hidden="1" x14ac:dyDescent="0.35">
      <c r="A479" s="179">
        <v>8</v>
      </c>
      <c r="B479" s="880" t="s">
        <v>22</v>
      </c>
      <c r="C479" s="82" t="s">
        <v>456</v>
      </c>
      <c r="D479" s="83" t="s">
        <v>457</v>
      </c>
      <c r="E479" s="892" t="str">
        <f>VLOOKUP(F479,'Quy đổi'!A:D,4,0)</f>
        <v>rHDPE ép</v>
      </c>
      <c r="F479" s="82" t="s">
        <v>37</v>
      </c>
      <c r="G479" s="82" t="s">
        <v>36</v>
      </c>
      <c r="H479" s="257" t="str">
        <f>IFERROR(VLOOKUP(F479,'Quy đổi'!A:C,3,0),"-")</f>
        <v>Vảy HD Ép Đỏ</v>
      </c>
      <c r="I479" s="1098">
        <v>23250</v>
      </c>
      <c r="J479" s="1098">
        <v>358575344</v>
      </c>
      <c r="K479" s="1098">
        <v>360675000</v>
      </c>
      <c r="O479" s="1097">
        <f t="shared" si="162"/>
        <v>360675000</v>
      </c>
      <c r="P479" s="1101">
        <f>O479/I479</f>
        <v>15512.903225806451</v>
      </c>
      <c r="Q479" s="1101">
        <f t="shared" si="153"/>
        <v>592.54786958771774</v>
      </c>
      <c r="R479" s="1099">
        <v>407171564</v>
      </c>
      <c r="S479" s="1101">
        <f t="shared" si="154"/>
        <v>17512.755440860215</v>
      </c>
      <c r="T479" s="1101">
        <f t="shared" si="155"/>
        <v>714.80634452490676</v>
      </c>
      <c r="U479" s="1101">
        <f t="shared" si="156"/>
        <v>-46496564</v>
      </c>
      <c r="V479" s="1103">
        <f t="shared" si="157"/>
        <v>-0.1289154058362792</v>
      </c>
      <c r="W479" s="1098">
        <v>26180</v>
      </c>
      <c r="X479" s="1106">
        <f t="shared" si="158"/>
        <v>13776.737967914438</v>
      </c>
      <c r="Y479" s="1106">
        <f>K479/W479</f>
        <v>13776.737967914438</v>
      </c>
      <c r="Z479" s="1106">
        <f t="shared" si="160"/>
        <v>-1776.0337662337663</v>
      </c>
      <c r="AA479" s="1106">
        <f t="shared" si="161"/>
        <v>15552.771734148204</v>
      </c>
    </row>
    <row r="480" spans="1:29" hidden="1" x14ac:dyDescent="0.35">
      <c r="A480" s="179">
        <v>8</v>
      </c>
      <c r="B480" s="880" t="s">
        <v>22</v>
      </c>
      <c r="C480" s="82" t="s">
        <v>456</v>
      </c>
      <c r="D480" s="83" t="s">
        <v>457</v>
      </c>
      <c r="E480" s="892" t="str">
        <f>VLOOKUP(F480,'Quy đổi'!A:D,4,0)</f>
        <v>rHDPE ép</v>
      </c>
      <c r="F480" s="82" t="s">
        <v>536</v>
      </c>
      <c r="G480" s="82" t="s">
        <v>537</v>
      </c>
      <c r="H480" s="257" t="str">
        <f>IFERROR(VLOOKUP(F480,'Quy đổi'!A:C,3,0),"-")</f>
        <v>Vảy HD Ép Trắng</v>
      </c>
      <c r="I480" s="1098">
        <v>3775</v>
      </c>
      <c r="J480" s="1098">
        <v>56625000</v>
      </c>
      <c r="K480" s="1098">
        <v>56625000</v>
      </c>
      <c r="O480" s="1097">
        <f t="shared" si="162"/>
        <v>56625000</v>
      </c>
      <c r="P480" s="1101">
        <f t="shared" si="152"/>
        <v>15000</v>
      </c>
      <c r="Q480" s="1101">
        <f t="shared" si="153"/>
        <v>572.95645530939657</v>
      </c>
      <c r="R480" s="1099">
        <v>102142977</v>
      </c>
      <c r="S480" s="1101">
        <f t="shared" si="154"/>
        <v>27057.742251655629</v>
      </c>
      <c r="T480" s="1101">
        <f t="shared" si="155"/>
        <v>1104.3976429247195</v>
      </c>
      <c r="U480" s="1101">
        <f t="shared" si="156"/>
        <v>-45517977</v>
      </c>
      <c r="V480" s="1103">
        <f t="shared" si="157"/>
        <v>-0.80384948344370866</v>
      </c>
      <c r="W480" s="1098">
        <v>26180</v>
      </c>
      <c r="X480" s="1106">
        <f t="shared" si="158"/>
        <v>2162.9106187929719</v>
      </c>
      <c r="Y480" s="1106">
        <f t="shared" si="159"/>
        <v>2162.9106187929719</v>
      </c>
      <c r="Z480" s="1106">
        <f t="shared" si="160"/>
        <v>-1738.6545836516425</v>
      </c>
      <c r="AA480" s="1106">
        <f t="shared" si="161"/>
        <v>3901.565202444614</v>
      </c>
    </row>
    <row r="481" spans="1:29" hidden="1" x14ac:dyDescent="0.35">
      <c r="A481" s="179">
        <v>8</v>
      </c>
      <c r="B481" s="880" t="s">
        <v>22</v>
      </c>
      <c r="C481" s="82" t="s">
        <v>456</v>
      </c>
      <c r="D481" s="83" t="s">
        <v>457</v>
      </c>
      <c r="E481" s="892" t="str">
        <f>VLOOKUP(F481,'Quy đổi'!A:D,4,0)</f>
        <v>rHDPE ép</v>
      </c>
      <c r="F481" s="82" t="s">
        <v>39</v>
      </c>
      <c r="G481" s="82" t="s">
        <v>38</v>
      </c>
      <c r="H481" s="257" t="str">
        <f>IFERROR(VLOOKUP(F481,'Quy đổi'!A:C,3,0),"-")</f>
        <v>Vảy HD Ép Vàng</v>
      </c>
      <c r="I481" s="1098">
        <v>7500</v>
      </c>
      <c r="J481" s="1098">
        <v>115669767</v>
      </c>
      <c r="K481" s="1098">
        <v>116250000</v>
      </c>
      <c r="O481" s="1097">
        <f t="shared" si="162"/>
        <v>116250000</v>
      </c>
      <c r="P481" s="1101">
        <f t="shared" si="152"/>
        <v>15500</v>
      </c>
      <c r="Q481" s="1101">
        <f t="shared" si="153"/>
        <v>592.05500381970967</v>
      </c>
      <c r="R481" s="1099">
        <v>198846172</v>
      </c>
      <c r="S481" s="1101">
        <f t="shared" si="154"/>
        <v>26512.822933333333</v>
      </c>
      <c r="T481" s="1101">
        <f t="shared" si="155"/>
        <v>1082.156038095238</v>
      </c>
      <c r="U481" s="1101">
        <f t="shared" si="156"/>
        <v>-82596172</v>
      </c>
      <c r="V481" s="1103">
        <f t="shared" si="157"/>
        <v>-0.71050470537634414</v>
      </c>
      <c r="W481" s="1098">
        <v>26180</v>
      </c>
      <c r="X481" s="1106">
        <f>O481/W481</f>
        <v>4440.4125286478229</v>
      </c>
      <c r="Y481" s="1106">
        <f t="shared" si="159"/>
        <v>4440.4125286478229</v>
      </c>
      <c r="Z481" s="1106">
        <f t="shared" si="160"/>
        <v>-3154.9339954163484</v>
      </c>
      <c r="AA481" s="1106">
        <f t="shared" si="161"/>
        <v>7595.3465240641708</v>
      </c>
    </row>
    <row r="482" spans="1:29" hidden="1" x14ac:dyDescent="0.35">
      <c r="A482" s="179">
        <v>8</v>
      </c>
      <c r="C482" s="82" t="s">
        <v>456</v>
      </c>
      <c r="D482" s="83" t="s">
        <v>457</v>
      </c>
      <c r="E482" s="892" t="str">
        <f>VLOOKUP(F482,'Quy đổi'!A:D,4,0)</f>
        <v>Phó sản</v>
      </c>
      <c r="F482" s="82" t="s">
        <v>1018</v>
      </c>
      <c r="G482" s="82" t="s">
        <v>1019</v>
      </c>
      <c r="H482" s="257">
        <f>IFERROR(VLOOKUP(F482,'Quy đổi'!A:C,3,0),"-")</f>
        <v>0</v>
      </c>
      <c r="I482" s="1098">
        <v>1000</v>
      </c>
      <c r="J482" s="1098">
        <v>11906977</v>
      </c>
      <c r="K482" s="1098">
        <v>12000000</v>
      </c>
      <c r="O482" s="1097">
        <f t="shared" si="162"/>
        <v>12000000</v>
      </c>
      <c r="P482" s="1101">
        <f t="shared" si="152"/>
        <v>12000</v>
      </c>
      <c r="Q482" s="1101">
        <f t="shared" si="153"/>
        <v>458.36516424751716</v>
      </c>
      <c r="R482" s="1099">
        <v>8142949</v>
      </c>
      <c r="S482" s="1101">
        <f t="shared" si="154"/>
        <v>8142.9489999999996</v>
      </c>
      <c r="T482" s="1101">
        <f t="shared" si="155"/>
        <v>332.36526530612241</v>
      </c>
      <c r="U482" s="1101">
        <f t="shared" si="156"/>
        <v>3857051</v>
      </c>
      <c r="V482" s="1103">
        <f t="shared" si="157"/>
        <v>0.32142091666666667</v>
      </c>
      <c r="W482" s="1098">
        <v>26180</v>
      </c>
      <c r="X482" s="1106">
        <f t="shared" si="158"/>
        <v>458.36516424751721</v>
      </c>
      <c r="Y482" s="1106">
        <f t="shared" si="159"/>
        <v>458.36516424751721</v>
      </c>
      <c r="Z482" s="1106">
        <f t="shared" si="160"/>
        <v>147.3281512605042</v>
      </c>
      <c r="AA482" s="1106">
        <f t="shared" si="161"/>
        <v>311.03701298701299</v>
      </c>
    </row>
    <row r="483" spans="1:29" hidden="1" x14ac:dyDescent="0.35">
      <c r="A483" s="179">
        <v>8</v>
      </c>
      <c r="C483" s="82" t="s">
        <v>456</v>
      </c>
      <c r="D483" s="83" t="s">
        <v>457</v>
      </c>
      <c r="E483" s="892" t="str">
        <f>VLOOKUP(F483,'Quy đổi'!A:D,4,0)</f>
        <v>Phó sản</v>
      </c>
      <c r="F483" s="82" t="s">
        <v>1020</v>
      </c>
      <c r="G483" s="82" t="s">
        <v>1021</v>
      </c>
      <c r="H483" s="257">
        <f>IFERROR(VLOOKUP(F483,'Quy đổi'!A:C,3,0),"-")</f>
        <v>0</v>
      </c>
      <c r="I483" s="1098">
        <v>11158</v>
      </c>
      <c r="J483" s="1098">
        <v>112084367</v>
      </c>
      <c r="K483" s="1098">
        <v>113361111</v>
      </c>
      <c r="O483" s="1097">
        <f t="shared" si="162"/>
        <v>113361111</v>
      </c>
      <c r="P483" s="1101">
        <f t="shared" si="152"/>
        <v>10159.626366732389</v>
      </c>
      <c r="Q483" s="1101">
        <f t="shared" si="153"/>
        <v>388.06823402339148</v>
      </c>
      <c r="R483" s="1099">
        <v>90588105</v>
      </c>
      <c r="S483" s="1101">
        <f t="shared" si="154"/>
        <v>8118.6686682201107</v>
      </c>
      <c r="T483" s="1101">
        <f t="shared" si="155"/>
        <v>331.37423135592286</v>
      </c>
      <c r="U483" s="1101">
        <f t="shared" si="156"/>
        <v>22773006</v>
      </c>
      <c r="V483" s="1103">
        <f t="shared" si="157"/>
        <v>0.20088905091976383</v>
      </c>
      <c r="W483" s="1098">
        <v>26180</v>
      </c>
      <c r="X483" s="1106">
        <f t="shared" si="158"/>
        <v>4330.0653552330023</v>
      </c>
      <c r="Y483" s="1106">
        <f t="shared" si="159"/>
        <v>4330.0653552330023</v>
      </c>
      <c r="Z483" s="1106">
        <f t="shared" si="160"/>
        <v>869.86271963330785</v>
      </c>
      <c r="AA483" s="1106">
        <f t="shared" si="161"/>
        <v>3460.2026355996945</v>
      </c>
    </row>
    <row r="484" spans="1:29" hidden="1" x14ac:dyDescent="0.35">
      <c r="A484" s="179">
        <v>8</v>
      </c>
      <c r="B484" s="880" t="s">
        <v>22</v>
      </c>
      <c r="C484" s="82" t="s">
        <v>628</v>
      </c>
      <c r="D484" s="83" t="s">
        <v>1030</v>
      </c>
      <c r="E484" s="892" t="str">
        <f>VLOOKUP(F484,'Quy đổi'!A:D,4,0)</f>
        <v>rPET</v>
      </c>
      <c r="F484" s="82" t="s">
        <v>127</v>
      </c>
      <c r="G484" s="82" t="s">
        <v>114</v>
      </c>
      <c r="H484" s="257" t="str">
        <f>IFERROR(VLOOKUP(F484,'Quy đổi'!A:C,3,0),"-")</f>
        <v>iSS01084G</v>
      </c>
      <c r="I484" s="1098">
        <v>44000</v>
      </c>
      <c r="J484" s="1098">
        <v>1622500000</v>
      </c>
      <c r="K484" s="1098">
        <v>1634116000</v>
      </c>
      <c r="L484" s="1104">
        <f>160*I484</f>
        <v>7040000</v>
      </c>
      <c r="N484" s="1056">
        <v>48676320</v>
      </c>
      <c r="O484" s="1097">
        <f t="shared" si="162"/>
        <v>1578399680</v>
      </c>
      <c r="P484" s="1101">
        <f t="shared" si="152"/>
        <v>35872.720000000001</v>
      </c>
      <c r="Q484" s="1101">
        <f t="shared" si="153"/>
        <v>1370.2337662337663</v>
      </c>
      <c r="R484" s="1099">
        <v>1289194548</v>
      </c>
      <c r="S484" s="1101">
        <f t="shared" si="154"/>
        <v>29299.876090909092</v>
      </c>
      <c r="T484" s="1101">
        <f t="shared" si="155"/>
        <v>1195.9133098330242</v>
      </c>
      <c r="U484" s="1101">
        <f t="shared" si="156"/>
        <v>289205132</v>
      </c>
      <c r="V484" s="1103">
        <f t="shared" si="157"/>
        <v>0.17697956081453214</v>
      </c>
      <c r="W484" s="1098">
        <v>26180</v>
      </c>
      <c r="X484" s="1106">
        <f t="shared" si="158"/>
        <v>60290.285714285717</v>
      </c>
      <c r="Y484" s="1106">
        <f t="shared" si="159"/>
        <v>62418.487394957985</v>
      </c>
      <c r="Z484" s="1106">
        <f t="shared" si="160"/>
        <v>11046.796485867075</v>
      </c>
      <c r="AA484" s="1106">
        <f t="shared" si="161"/>
        <v>49243.489228418643</v>
      </c>
      <c r="AC484" s="1098">
        <f t="shared" ref="AC484" si="166">X484/I484*1000</f>
        <v>1370.2337662337663</v>
      </c>
    </row>
    <row r="485" spans="1:29" hidden="1" x14ac:dyDescent="0.35">
      <c r="A485" s="179">
        <v>8</v>
      </c>
      <c r="B485" s="880" t="s">
        <v>22</v>
      </c>
      <c r="C485" s="82" t="s">
        <v>519</v>
      </c>
      <c r="D485" s="83" t="s">
        <v>520</v>
      </c>
      <c r="E485" s="892" t="str">
        <f>VLOOKUP(F485,'Quy đổi'!A:D,4,0)</f>
        <v>rHDPE ép</v>
      </c>
      <c r="F485" s="82" t="s">
        <v>41</v>
      </c>
      <c r="G485" s="82" t="s">
        <v>40</v>
      </c>
      <c r="H485" s="257" t="str">
        <f>IFERROR(VLOOKUP(F485,'Quy đổi'!A:C,3,0),"-")</f>
        <v>Vảy HD Ép Lá</v>
      </c>
      <c r="I485" s="1098">
        <v>2250</v>
      </c>
      <c r="J485" s="1098">
        <v>35119001</v>
      </c>
      <c r="K485" s="1098">
        <v>35416667</v>
      </c>
      <c r="O485" s="1097">
        <f t="shared" si="162"/>
        <v>35416667</v>
      </c>
      <c r="P485" s="1101">
        <f t="shared" si="152"/>
        <v>15740.740888888889</v>
      </c>
      <c r="Q485" s="1101">
        <f t="shared" si="153"/>
        <v>601.25060690943042</v>
      </c>
      <c r="R485" s="1099">
        <v>58444748</v>
      </c>
      <c r="S485" s="1101">
        <f t="shared" si="154"/>
        <v>25975.443555555554</v>
      </c>
      <c r="T485" s="1101">
        <f t="shared" si="155"/>
        <v>1060.2221859410431</v>
      </c>
      <c r="U485" s="1101">
        <f t="shared" si="156"/>
        <v>-23028081</v>
      </c>
      <c r="V485" s="1103">
        <f t="shared" si="157"/>
        <v>-0.65020463388042693</v>
      </c>
      <c r="W485" s="1098">
        <v>26180</v>
      </c>
      <c r="X485" s="1106">
        <f t="shared" si="158"/>
        <v>1352.8138655462185</v>
      </c>
      <c r="Y485" s="1106">
        <f t="shared" si="159"/>
        <v>1352.8138655462185</v>
      </c>
      <c r="Z485" s="1106">
        <f t="shared" si="160"/>
        <v>-879.60584415584412</v>
      </c>
      <c r="AA485" s="1106">
        <f t="shared" si="161"/>
        <v>2232.4197097020628</v>
      </c>
    </row>
    <row r="486" spans="1:29" hidden="1" x14ac:dyDescent="0.35">
      <c r="A486" s="179">
        <v>8</v>
      </c>
      <c r="B486" s="880" t="s">
        <v>22</v>
      </c>
      <c r="C486" s="82" t="s">
        <v>519</v>
      </c>
      <c r="D486" s="83" t="s">
        <v>520</v>
      </c>
      <c r="E486" s="892" t="str">
        <f>VLOOKUP(F486,'Quy đổi'!A:D,4,0)</f>
        <v>rHDPE ép</v>
      </c>
      <c r="F486" s="82" t="s">
        <v>43</v>
      </c>
      <c r="G486" s="82" t="s">
        <v>42</v>
      </c>
      <c r="H486" s="257" t="str">
        <f>IFERROR(VLOOKUP(F486,'Quy đổi'!A:C,3,0),"-")</f>
        <v>Vảy HD Ép dương</v>
      </c>
      <c r="I486" s="1098">
        <v>5250</v>
      </c>
      <c r="J486" s="1098">
        <v>81838889</v>
      </c>
      <c r="K486" s="1098">
        <v>82638889</v>
      </c>
      <c r="O486" s="1097">
        <f t="shared" si="162"/>
        <v>82638889</v>
      </c>
      <c r="P486" s="1101">
        <f t="shared" si="152"/>
        <v>15740.740761904763</v>
      </c>
      <c r="Q486" s="1101">
        <f t="shared" si="153"/>
        <v>601.25060205900547</v>
      </c>
      <c r="R486" s="1099">
        <v>132755793</v>
      </c>
      <c r="S486" s="1101">
        <f t="shared" si="154"/>
        <v>25286.817714285713</v>
      </c>
      <c r="T486" s="1101">
        <f t="shared" si="155"/>
        <v>1032.1150087463557</v>
      </c>
      <c r="U486" s="1101">
        <f>O486-R486</f>
        <v>-50116904</v>
      </c>
      <c r="V486" s="1103">
        <f t="shared" si="157"/>
        <v>-0.60645665262997428</v>
      </c>
      <c r="W486" s="1098">
        <v>26180</v>
      </c>
      <c r="X486" s="1106">
        <f t="shared" si="158"/>
        <v>3156.5656608097784</v>
      </c>
      <c r="Y486" s="1106">
        <f t="shared" si="159"/>
        <v>3156.5656608097784</v>
      </c>
      <c r="Z486" s="1106">
        <f t="shared" si="160"/>
        <v>-1914.320244461421</v>
      </c>
      <c r="AA486" s="1106">
        <f t="shared" si="161"/>
        <v>5070.8859052711996</v>
      </c>
    </row>
    <row r="487" spans="1:29" hidden="1" x14ac:dyDescent="0.35">
      <c r="A487" s="179">
        <v>8</v>
      </c>
      <c r="C487" s="82" t="s">
        <v>519</v>
      </c>
      <c r="D487" s="83" t="s">
        <v>520</v>
      </c>
      <c r="E487" s="892" t="str">
        <f>VLOOKUP(F487,'Quy đổi'!A:D,4,0)</f>
        <v>Phó sản</v>
      </c>
      <c r="F487" s="82" t="s">
        <v>1018</v>
      </c>
      <c r="G487" s="82" t="s">
        <v>1019</v>
      </c>
      <c r="H487" s="257">
        <f>IFERROR(VLOOKUP(F487,'Quy đổi'!A:C,3,0),"-")</f>
        <v>0</v>
      </c>
      <c r="I487" s="1098">
        <v>146611</v>
      </c>
      <c r="J487" s="1098">
        <v>1630660628</v>
      </c>
      <c r="K487" s="1098">
        <v>1630862963</v>
      </c>
      <c r="O487" s="1097">
        <f t="shared" si="162"/>
        <v>1630862963</v>
      </c>
      <c r="P487" s="1101">
        <f t="shared" si="152"/>
        <v>11123.742168050147</v>
      </c>
      <c r="Q487" s="1101">
        <f t="shared" si="153"/>
        <v>424.89465882544488</v>
      </c>
      <c r="R487" s="1099">
        <v>1193845965</v>
      </c>
      <c r="S487" s="1101">
        <f t="shared" si="154"/>
        <v>8142.9494717313164</v>
      </c>
      <c r="T487" s="1101">
        <f t="shared" si="155"/>
        <v>332.36528456046187</v>
      </c>
      <c r="U487" s="1101">
        <f t="shared" si="156"/>
        <v>437016998</v>
      </c>
      <c r="V487" s="1103">
        <f t="shared" si="157"/>
        <v>0.26796671940853928</v>
      </c>
      <c r="W487" s="1098">
        <v>26180</v>
      </c>
      <c r="X487" s="1106">
        <f t="shared" si="158"/>
        <v>62294.230825057297</v>
      </c>
      <c r="Y487" s="1106">
        <f t="shared" si="159"/>
        <v>62294.230825057297</v>
      </c>
      <c r="Z487" s="1106">
        <f t="shared" si="160"/>
        <v>16692.780672268909</v>
      </c>
      <c r="AA487" s="1106">
        <f t="shared" si="161"/>
        <v>45601.450152788391</v>
      </c>
      <c r="AC487" s="1098">
        <f>X487/I487*1000</f>
        <v>424.89465882544488</v>
      </c>
    </row>
    <row r="488" spans="1:29" hidden="1" x14ac:dyDescent="0.35">
      <c r="A488" s="179">
        <v>8</v>
      </c>
      <c r="C488" s="82" t="s">
        <v>519</v>
      </c>
      <c r="D488" s="83" t="s">
        <v>520</v>
      </c>
      <c r="E488" s="892" t="str">
        <f>VLOOKUP(F488,'Quy đổi'!A:D,4,0)</f>
        <v>Phó sản</v>
      </c>
      <c r="F488" s="82" t="s">
        <v>1020</v>
      </c>
      <c r="G488" s="82" t="s">
        <v>1021</v>
      </c>
      <c r="H488" s="257">
        <f>IFERROR(VLOOKUP(F488,'Quy đổi'!A:C,3,0),"-")</f>
        <v>0</v>
      </c>
      <c r="I488" s="1098">
        <v>61828</v>
      </c>
      <c r="J488" s="1098">
        <v>686977778</v>
      </c>
      <c r="K488" s="1098">
        <v>686977778</v>
      </c>
      <c r="O488" s="1097">
        <f t="shared" si="162"/>
        <v>686977778</v>
      </c>
      <c r="P488" s="1101">
        <f t="shared" si="152"/>
        <v>11111.111114705311</v>
      </c>
      <c r="Q488" s="1101">
        <f t="shared" si="153"/>
        <v>424.41218925535946</v>
      </c>
      <c r="R488" s="1099">
        <v>501961041</v>
      </c>
      <c r="S488" s="1101">
        <f t="shared" si="154"/>
        <v>8118.6685805783791</v>
      </c>
      <c r="T488" s="1101">
        <f t="shared" si="155"/>
        <v>331.37422777870933</v>
      </c>
      <c r="U488" s="1101">
        <f t="shared" si="156"/>
        <v>185016737</v>
      </c>
      <c r="V488" s="1103">
        <f t="shared" si="157"/>
        <v>0.26931982798430493</v>
      </c>
      <c r="W488" s="1098">
        <v>26180</v>
      </c>
      <c r="X488" s="1106">
        <f t="shared" si="158"/>
        <v>26240.556837280368</v>
      </c>
      <c r="Y488" s="1106">
        <f t="shared" si="159"/>
        <v>26240.556837280368</v>
      </c>
      <c r="Z488" s="1106">
        <f t="shared" si="160"/>
        <v>7067.1022536287246</v>
      </c>
      <c r="AA488" s="1106">
        <f t="shared" si="161"/>
        <v>19173.454583651641</v>
      </c>
      <c r="AC488" s="1098">
        <f>X488/I488*1000</f>
        <v>424.41218925535952</v>
      </c>
    </row>
    <row r="489" spans="1:29" hidden="1" x14ac:dyDescent="0.35">
      <c r="A489" s="179">
        <v>8</v>
      </c>
      <c r="B489" s="880" t="s">
        <v>22</v>
      </c>
      <c r="C489" s="82" t="s">
        <v>637</v>
      </c>
      <c r="D489" s="83" t="s">
        <v>638</v>
      </c>
      <c r="E489" s="892" t="str">
        <f>VLOOKUP(F489,'Quy đổi'!A:D,4,0)</f>
        <v>rHDPE ép</v>
      </c>
      <c r="F489" s="82" t="s">
        <v>206</v>
      </c>
      <c r="G489" s="82" t="s">
        <v>207</v>
      </c>
      <c r="H489" s="257" t="str">
        <f>IFERROR(VLOOKUP(F489,'Quy đổi'!A:C,3,0),"-")</f>
        <v>rHDI3R01</v>
      </c>
      <c r="I489" s="1098">
        <v>9625</v>
      </c>
      <c r="J489" s="1098">
        <v>182880371</v>
      </c>
      <c r="K489" s="1098">
        <v>183409722</v>
      </c>
      <c r="M489" s="1056">
        <f>1000*I489</f>
        <v>9625000</v>
      </c>
      <c r="O489" s="1097">
        <f t="shared" si="162"/>
        <v>173784722</v>
      </c>
      <c r="P489" s="1101">
        <f t="shared" si="152"/>
        <v>18055.555532467533</v>
      </c>
      <c r="Q489" s="1101">
        <f t="shared" si="153"/>
        <v>689.66980643497072</v>
      </c>
      <c r="R489" s="1099">
        <v>265232044</v>
      </c>
      <c r="S489" s="1101">
        <f t="shared" si="154"/>
        <v>27556.576000000001</v>
      </c>
      <c r="T489" s="1101">
        <f t="shared" si="155"/>
        <v>1124.7582040816326</v>
      </c>
      <c r="U489" s="1101">
        <f t="shared" si="156"/>
        <v>-91447322</v>
      </c>
      <c r="V489" s="1103">
        <f t="shared" si="157"/>
        <v>-0.49859582688860954</v>
      </c>
      <c r="W489" s="1098">
        <v>26180</v>
      </c>
      <c r="X489" s="1106">
        <f t="shared" si="158"/>
        <v>6638.0718869365928</v>
      </c>
      <c r="Y489" s="1106">
        <f t="shared" si="159"/>
        <v>7005.7189457601226</v>
      </c>
      <c r="Z489" s="1106">
        <f t="shared" si="160"/>
        <v>-3493.0222307104659</v>
      </c>
      <c r="AA489" s="1106">
        <f t="shared" si="161"/>
        <v>10131.094117647059</v>
      </c>
    </row>
    <row r="490" spans="1:29" hidden="1" x14ac:dyDescent="0.35">
      <c r="A490" s="179">
        <v>8</v>
      </c>
      <c r="B490" s="880" t="s">
        <v>22</v>
      </c>
      <c r="C490" s="82" t="s">
        <v>637</v>
      </c>
      <c r="D490" s="83" t="s">
        <v>638</v>
      </c>
      <c r="E490" s="892" t="str">
        <f>VLOOKUP(F490,'Quy đổi'!A:D,4,0)</f>
        <v>rHDPE ép</v>
      </c>
      <c r="F490" s="82" t="s">
        <v>210</v>
      </c>
      <c r="G490" s="82" t="s">
        <v>211</v>
      </c>
      <c r="H490" s="257" t="str">
        <f>IFERROR(VLOOKUP(F490,'Quy đổi'!A:C,3,0),"-")</f>
        <v>rHDI3Y01</v>
      </c>
      <c r="I490" s="1098">
        <v>37125</v>
      </c>
      <c r="J490" s="1098">
        <v>713561219</v>
      </c>
      <c r="K490" s="1098">
        <v>715993056</v>
      </c>
      <c r="M490" s="1056">
        <f>22000*600+15125*1000</f>
        <v>28325000</v>
      </c>
      <c r="O490" s="1097">
        <f t="shared" si="162"/>
        <v>687668056</v>
      </c>
      <c r="P490" s="1101">
        <f t="shared" si="152"/>
        <v>18523.045279461279</v>
      </c>
      <c r="Q490" s="1101">
        <f t="shared" si="153"/>
        <v>707.52655765703901</v>
      </c>
      <c r="R490" s="1099">
        <v>1451166643</v>
      </c>
      <c r="S490" s="1101">
        <f t="shared" si="154"/>
        <v>39088.663784511788</v>
      </c>
      <c r="T490" s="1101">
        <f t="shared" si="155"/>
        <v>1595.4556646739504</v>
      </c>
      <c r="U490" s="1101">
        <f t="shared" si="156"/>
        <v>-763498587</v>
      </c>
      <c r="V490" s="1103">
        <f t="shared" si="157"/>
        <v>-1.0663491504588001</v>
      </c>
      <c r="W490" s="1098">
        <v>26180</v>
      </c>
      <c r="X490" s="1106">
        <f t="shared" si="158"/>
        <v>26266.923453017571</v>
      </c>
      <c r="Y490" s="1106">
        <f t="shared" si="159"/>
        <v>27348.856226126816</v>
      </c>
      <c r="Z490" s="1106">
        <f t="shared" si="160"/>
        <v>-29163.429602750191</v>
      </c>
      <c r="AA490" s="1106">
        <f t="shared" si="161"/>
        <v>55430.353055767759</v>
      </c>
    </row>
    <row r="491" spans="1:29" hidden="1" x14ac:dyDescent="0.35">
      <c r="A491" s="179">
        <v>8</v>
      </c>
      <c r="B491" s="880" t="s">
        <v>22</v>
      </c>
      <c r="C491" s="82" t="s">
        <v>637</v>
      </c>
      <c r="D491" s="83" t="s">
        <v>638</v>
      </c>
      <c r="E491" s="892" t="str">
        <f>VLOOKUP(F491,'Quy đổi'!A:D,4,0)</f>
        <v>rHDPE ép</v>
      </c>
      <c r="F491" s="82" t="s">
        <v>204</v>
      </c>
      <c r="G491" s="82" t="s">
        <v>205</v>
      </c>
      <c r="H491" s="257" t="str">
        <f>IFERROR(VLOOKUP(F491,'Quy đổi'!A:C,3,0),"-")</f>
        <v>rHDI3G01</v>
      </c>
      <c r="I491" s="1098">
        <v>22000</v>
      </c>
      <c r="J491" s="1098">
        <v>419222224</v>
      </c>
      <c r="K491" s="1098">
        <v>419222224</v>
      </c>
      <c r="M491" s="1056">
        <v>22000000</v>
      </c>
      <c r="O491" s="1097">
        <f t="shared" si="162"/>
        <v>397222224</v>
      </c>
      <c r="P491" s="1101">
        <f t="shared" si="152"/>
        <v>18055.555636363635</v>
      </c>
      <c r="Q491" s="1101">
        <f t="shared" si="153"/>
        <v>689.66981040350015</v>
      </c>
      <c r="R491" s="1099">
        <v>612441316</v>
      </c>
      <c r="S491" s="1101">
        <f t="shared" si="154"/>
        <v>27838.241636363637</v>
      </c>
      <c r="T491" s="1101">
        <f t="shared" si="155"/>
        <v>1136.2547606679036</v>
      </c>
      <c r="U491" s="1101">
        <f t="shared" si="156"/>
        <v>-215219092</v>
      </c>
      <c r="V491" s="1103">
        <f t="shared" si="157"/>
        <v>-0.51337710569466377</v>
      </c>
      <c r="W491" s="1098">
        <v>26180</v>
      </c>
      <c r="X491" s="1106">
        <f t="shared" si="158"/>
        <v>15172.735828877005</v>
      </c>
      <c r="Y491" s="1106">
        <f t="shared" si="159"/>
        <v>16013.071963330787</v>
      </c>
      <c r="Z491" s="1106">
        <f t="shared" si="160"/>
        <v>-8220.744537815126</v>
      </c>
      <c r="AA491" s="1106">
        <f t="shared" si="161"/>
        <v>23393.480366692133</v>
      </c>
    </row>
    <row r="492" spans="1:29" hidden="1" x14ac:dyDescent="0.35">
      <c r="A492" s="179">
        <v>8</v>
      </c>
      <c r="B492" s="880" t="s">
        <v>22</v>
      </c>
      <c r="C492" s="82" t="s">
        <v>637</v>
      </c>
      <c r="D492" s="83" t="s">
        <v>638</v>
      </c>
      <c r="E492" s="892" t="str">
        <f>VLOOKUP(F492,'Quy đổi'!A:D,4,0)</f>
        <v>rHDPE ép</v>
      </c>
      <c r="F492" s="82" t="s">
        <v>37</v>
      </c>
      <c r="G492" s="82" t="s">
        <v>36</v>
      </c>
      <c r="H492" s="257" t="str">
        <f>IFERROR(VLOOKUP(F492,'Quy đổi'!A:C,3,0),"-")</f>
        <v>Vảy HD Ép Đỏ</v>
      </c>
      <c r="I492" s="1098">
        <v>5250</v>
      </c>
      <c r="J492" s="1098">
        <v>89130556</v>
      </c>
      <c r="K492" s="1098">
        <v>89930556</v>
      </c>
      <c r="M492" s="1056">
        <v>5250000</v>
      </c>
      <c r="O492" s="1097">
        <f t="shared" si="162"/>
        <v>84680556</v>
      </c>
      <c r="P492" s="1101">
        <f t="shared" si="152"/>
        <v>16129.629714285715</v>
      </c>
      <c r="Q492" s="1101">
        <f t="shared" si="153"/>
        <v>616.10503110335048</v>
      </c>
      <c r="R492" s="1099">
        <v>91941966</v>
      </c>
      <c r="S492" s="1101">
        <f t="shared" si="154"/>
        <v>17512.755428571429</v>
      </c>
      <c r="T492" s="1101">
        <f t="shared" si="155"/>
        <v>714.80634402332362</v>
      </c>
      <c r="U492" s="1101">
        <f t="shared" si="156"/>
        <v>-7261410</v>
      </c>
      <c r="V492" s="1103">
        <f t="shared" si="157"/>
        <v>-8.0744635894389447E-2</v>
      </c>
      <c r="W492" s="1098">
        <v>26180</v>
      </c>
      <c r="X492" s="1106">
        <f t="shared" si="158"/>
        <v>3234.5514132925896</v>
      </c>
      <c r="Y492" s="1106">
        <f t="shared" si="159"/>
        <v>3435.0861726508783</v>
      </c>
      <c r="Z492" s="1106">
        <f t="shared" si="160"/>
        <v>-277.36478227654698</v>
      </c>
      <c r="AA492" s="1106">
        <f t="shared" si="161"/>
        <v>3511.9161955691366</v>
      </c>
    </row>
    <row r="493" spans="1:29" hidden="1" x14ac:dyDescent="0.35">
      <c r="A493" s="179">
        <v>8</v>
      </c>
      <c r="B493" s="880" t="s">
        <v>22</v>
      </c>
      <c r="C493" s="82" t="s">
        <v>637</v>
      </c>
      <c r="D493" s="83" t="s">
        <v>638</v>
      </c>
      <c r="E493" s="892" t="str">
        <f>VLOOKUP(F493,'Quy đổi'!A:D,4,0)</f>
        <v>rHDPE ép</v>
      </c>
      <c r="F493" s="82" t="s">
        <v>39</v>
      </c>
      <c r="G493" s="82" t="s">
        <v>38</v>
      </c>
      <c r="H493" s="257" t="str">
        <f>IFERROR(VLOOKUP(F493,'Quy đổi'!A:C,3,0),"-")</f>
        <v>Vảy HD Ép Vàng</v>
      </c>
      <c r="I493" s="1098">
        <v>5250</v>
      </c>
      <c r="J493" s="1098">
        <v>89330556</v>
      </c>
      <c r="K493" s="1098">
        <v>89930556</v>
      </c>
      <c r="M493" s="1056">
        <f>1000*I493</f>
        <v>5250000</v>
      </c>
      <c r="O493" s="1097">
        <f t="shared" si="162"/>
        <v>84680556</v>
      </c>
      <c r="P493" s="1101">
        <f t="shared" si="152"/>
        <v>16129.629714285715</v>
      </c>
      <c r="Q493" s="1101">
        <f t="shared" si="153"/>
        <v>616.10503110335048</v>
      </c>
      <c r="R493" s="1099">
        <v>139192320</v>
      </c>
      <c r="S493" s="1101">
        <f t="shared" si="154"/>
        <v>26512.822857142855</v>
      </c>
      <c r="T493" s="1101">
        <f t="shared" si="155"/>
        <v>1082.1560349854226</v>
      </c>
      <c r="U493" s="1101">
        <f t="shared" si="156"/>
        <v>-54511764</v>
      </c>
      <c r="V493" s="1103">
        <f t="shared" si="157"/>
        <v>-0.60615397507383362</v>
      </c>
      <c r="W493" s="1098">
        <v>26180</v>
      </c>
      <c r="X493" s="1106">
        <f t="shared" si="158"/>
        <v>3234.5514132925896</v>
      </c>
      <c r="Y493" s="1106">
        <f t="shared" si="159"/>
        <v>3435.0861726508783</v>
      </c>
      <c r="Z493" s="1106">
        <f t="shared" si="160"/>
        <v>-2082.1911382734911</v>
      </c>
      <c r="AA493" s="1106">
        <f t="shared" si="161"/>
        <v>5316.7425515660807</v>
      </c>
    </row>
    <row r="494" spans="1:29" hidden="1" x14ac:dyDescent="0.35">
      <c r="A494" s="179">
        <v>8</v>
      </c>
      <c r="B494" s="880" t="s">
        <v>22</v>
      </c>
      <c r="C494" s="82" t="s">
        <v>637</v>
      </c>
      <c r="D494" s="83" t="s">
        <v>638</v>
      </c>
      <c r="E494" s="892" t="str">
        <f>VLOOKUP(F494,'Quy đổi'!A:D,4,0)</f>
        <v>rHDPE ép</v>
      </c>
      <c r="F494" s="82" t="s">
        <v>657</v>
      </c>
      <c r="G494" s="82" t="s">
        <v>658</v>
      </c>
      <c r="H494" s="257" t="str">
        <f>IFERROR(VLOOKUP(F494,'Quy đổi'!A:C,3,0),"-")</f>
        <v>Vảy HD Ép Đen</v>
      </c>
      <c r="I494" s="1098">
        <v>-3500</v>
      </c>
      <c r="J494" s="1098">
        <v>0</v>
      </c>
      <c r="K494" s="1098">
        <v>-45370370</v>
      </c>
      <c r="O494" s="1097">
        <f t="shared" si="162"/>
        <v>-45370370</v>
      </c>
      <c r="P494" s="1101">
        <f t="shared" si="152"/>
        <v>12962.962857142857</v>
      </c>
      <c r="Q494" s="1101">
        <f t="shared" si="153"/>
        <v>495.14754992906251</v>
      </c>
      <c r="R494" s="1099">
        <v>-73499171</v>
      </c>
      <c r="S494" s="1101">
        <f t="shared" si="154"/>
        <v>20999.763142857144</v>
      </c>
      <c r="T494" s="1101">
        <f t="shared" si="155"/>
        <v>857.13318950437326</v>
      </c>
      <c r="U494" s="1101">
        <f t="shared" si="156"/>
        <v>28128801</v>
      </c>
      <c r="V494" s="1103">
        <f t="shared" si="157"/>
        <v>-0.61998174138760609</v>
      </c>
      <c r="W494" s="1098">
        <v>26180</v>
      </c>
      <c r="X494" s="1106">
        <f t="shared" si="158"/>
        <v>-1733.0164247517189</v>
      </c>
      <c r="Y494" s="1106">
        <f t="shared" si="159"/>
        <v>-1733.0164247517189</v>
      </c>
      <c r="Z494" s="1106">
        <f t="shared" si="160"/>
        <v>1074.4385408708938</v>
      </c>
      <c r="AA494" s="1106">
        <f t="shared" si="161"/>
        <v>-2807.4549656226127</v>
      </c>
    </row>
    <row r="495" spans="1:29" hidden="1" x14ac:dyDescent="0.35">
      <c r="A495" s="179">
        <v>8</v>
      </c>
      <c r="B495" s="880" t="s">
        <v>22</v>
      </c>
      <c r="C495" s="82" t="s">
        <v>722</v>
      </c>
      <c r="D495" s="83" t="s">
        <v>723</v>
      </c>
      <c r="E495" s="892" t="str">
        <f>VLOOKUP(F495,'Quy đổi'!A:D,4,0)</f>
        <v>rHDPE thổi</v>
      </c>
      <c r="F495" s="82" t="s">
        <v>52</v>
      </c>
      <c r="G495" s="82" t="s">
        <v>51</v>
      </c>
      <c r="H495" s="257" t="str">
        <f>IFERROR(VLOOKUP(F495,'Quy đổi'!A:C,3,0),"-")</f>
        <v>rHDB04B01</v>
      </c>
      <c r="I495" s="1098">
        <v>23375</v>
      </c>
      <c r="J495" s="1098">
        <v>367939819</v>
      </c>
      <c r="K495" s="1098">
        <v>367939819</v>
      </c>
      <c r="L495" s="1099"/>
      <c r="O495" s="1097">
        <f t="shared" si="162"/>
        <v>367939819</v>
      </c>
      <c r="P495" s="1101">
        <f t="shared" si="152"/>
        <v>15740.740919786096</v>
      </c>
      <c r="Q495" s="1101">
        <f t="shared" si="153"/>
        <v>601.25060808961405</v>
      </c>
      <c r="R495" s="1099">
        <v>503659848</v>
      </c>
      <c r="S495" s="1101">
        <f t="shared" si="154"/>
        <v>21546.945368983957</v>
      </c>
      <c r="T495" s="1101">
        <f t="shared" si="155"/>
        <v>879.4671579177126</v>
      </c>
      <c r="U495" s="1101">
        <f t="shared" si="156"/>
        <v>-135720029</v>
      </c>
      <c r="V495" s="1103">
        <f t="shared" si="157"/>
        <v>-0.36886474904745226</v>
      </c>
      <c r="W495" s="1098">
        <v>26180</v>
      </c>
      <c r="X495" s="1106">
        <f t="shared" si="158"/>
        <v>14054.232964094728</v>
      </c>
      <c r="Y495" s="1106">
        <f t="shared" si="159"/>
        <v>14054.232964094728</v>
      </c>
      <c r="Z495" s="1106">
        <f t="shared" si="160"/>
        <v>-5184.1111153552329</v>
      </c>
      <c r="AA495" s="1106">
        <f t="shared" si="161"/>
        <v>19238.344079449962</v>
      </c>
    </row>
    <row r="496" spans="1:29" hidden="1" x14ac:dyDescent="0.35">
      <c r="A496" s="179">
        <v>8</v>
      </c>
      <c r="B496" s="880" t="s">
        <v>22</v>
      </c>
      <c r="C496" s="82" t="s">
        <v>907</v>
      </c>
      <c r="D496" s="83" t="s">
        <v>908</v>
      </c>
      <c r="E496" s="892" t="str">
        <f>VLOOKUP(F496,'Quy đổi'!A:D,4,0)</f>
        <v>rPET</v>
      </c>
      <c r="F496" s="82" t="s">
        <v>110</v>
      </c>
      <c r="G496" s="82" t="s">
        <v>109</v>
      </c>
      <c r="H496" s="257" t="str">
        <f>IFERROR(VLOOKUP(F496,'Quy đổi'!A:C,3,0),"-")</f>
        <v>WSS01G</v>
      </c>
      <c r="I496" s="1098">
        <v>88000</v>
      </c>
      <c r="J496" s="1098">
        <v>2913240000</v>
      </c>
      <c r="K496" s="1098">
        <v>2925560000</v>
      </c>
      <c r="L496" s="1056">
        <f>140*I496</f>
        <v>12320000</v>
      </c>
      <c r="O496" s="1097">
        <f t="shared" si="162"/>
        <v>2913240000</v>
      </c>
      <c r="P496" s="1101">
        <f t="shared" si="152"/>
        <v>33105</v>
      </c>
      <c r="Q496" s="1101">
        <f t="shared" si="153"/>
        <v>1264.5148968678382</v>
      </c>
      <c r="R496" s="1099">
        <v>2444096204</v>
      </c>
      <c r="S496" s="1101">
        <f t="shared" si="154"/>
        <v>27773.820500000002</v>
      </c>
      <c r="T496" s="1101">
        <f t="shared" si="155"/>
        <v>1133.6253265306123</v>
      </c>
      <c r="U496" s="1101">
        <f t="shared" si="156"/>
        <v>469143796</v>
      </c>
      <c r="V496" s="1103">
        <f t="shared" si="157"/>
        <v>0.16036033990073695</v>
      </c>
      <c r="W496" s="1098">
        <v>26180</v>
      </c>
      <c r="X496" s="1106">
        <f t="shared" si="158"/>
        <v>111277.31092436975</v>
      </c>
      <c r="Y496" s="1106">
        <f t="shared" si="159"/>
        <v>111747.89915966387</v>
      </c>
      <c r="Z496" s="1106">
        <f t="shared" si="160"/>
        <v>17919.931092436975</v>
      </c>
      <c r="AA496" s="1106">
        <f t="shared" si="161"/>
        <v>93357.379831932776</v>
      </c>
    </row>
    <row r="497" spans="1:29" hidden="1" x14ac:dyDescent="0.35">
      <c r="A497" s="179">
        <v>8</v>
      </c>
      <c r="B497" s="880" t="s">
        <v>22</v>
      </c>
      <c r="C497" s="82" t="s">
        <v>899</v>
      </c>
      <c r="D497" s="83" t="s">
        <v>900</v>
      </c>
      <c r="E497" s="892" t="str">
        <f>VLOOKUP(F497,'Quy đổi'!A:D,4,0)</f>
        <v>Xơ sợi</v>
      </c>
      <c r="F497" s="82" t="s">
        <v>87</v>
      </c>
      <c r="G497" s="82" t="s">
        <v>86</v>
      </c>
      <c r="H497" s="257" t="str">
        <f>IFERROR(VLOOKUP(F497,'Quy đổi'!A:C,3,0),"-")</f>
        <v>WSS05SB</v>
      </c>
      <c r="I497" s="1098">
        <v>51500</v>
      </c>
      <c r="J497" s="1098">
        <v>875500000</v>
      </c>
      <c r="K497" s="1098">
        <v>875500000</v>
      </c>
      <c r="O497" s="1097">
        <f t="shared" si="162"/>
        <v>875500000</v>
      </c>
      <c r="P497" s="1101">
        <f t="shared" si="152"/>
        <v>17000</v>
      </c>
      <c r="Q497" s="1101">
        <f t="shared" si="153"/>
        <v>649.35064935064929</v>
      </c>
      <c r="R497" s="1099">
        <v>1449178339</v>
      </c>
      <c r="S497" s="1101">
        <f t="shared" si="154"/>
        <v>28139.385223300971</v>
      </c>
      <c r="T497" s="1101">
        <f t="shared" si="155"/>
        <v>1148.5463356449377</v>
      </c>
      <c r="U497" s="1101">
        <f t="shared" si="156"/>
        <v>-573678339</v>
      </c>
      <c r="V497" s="1103">
        <f t="shared" si="157"/>
        <v>-0.65525795431182177</v>
      </c>
      <c r="W497" s="1098">
        <v>26180</v>
      </c>
      <c r="X497" s="1106">
        <f t="shared" si="158"/>
        <v>33441.558441558438</v>
      </c>
      <c r="Y497" s="1106">
        <f t="shared" si="159"/>
        <v>33441.558441558438</v>
      </c>
      <c r="Z497" s="1106">
        <f t="shared" si="160"/>
        <v>-21912.847173414819</v>
      </c>
      <c r="AA497" s="1106">
        <f t="shared" si="161"/>
        <v>55354.405614973264</v>
      </c>
    </row>
    <row r="498" spans="1:29" hidden="1" x14ac:dyDescent="0.35">
      <c r="A498" s="179">
        <v>8</v>
      </c>
      <c r="B498" s="880" t="s">
        <v>22</v>
      </c>
      <c r="C498" s="82" t="s">
        <v>895</v>
      </c>
      <c r="D498" s="83" t="s">
        <v>896</v>
      </c>
      <c r="E498" s="892" t="str">
        <f>VLOOKUP(F498,'Quy đổi'!A:D,4,0)</f>
        <v>rPET</v>
      </c>
      <c r="F498" s="82" t="s">
        <v>918</v>
      </c>
      <c r="G498" s="82" t="s">
        <v>1022</v>
      </c>
      <c r="H498" s="257" t="str">
        <f>IFERROR(VLOOKUP(F498,'Quy đổi'!A:C,3,0),"-")</f>
        <v>iSS01G-S</v>
      </c>
      <c r="I498" s="1098">
        <v>2200</v>
      </c>
      <c r="J498" s="1098">
        <v>73700000</v>
      </c>
      <c r="K498" s="1098">
        <v>73700000</v>
      </c>
      <c r="O498" s="1097">
        <f t="shared" si="162"/>
        <v>73700000</v>
      </c>
      <c r="P498" s="1101">
        <f t="shared" si="152"/>
        <v>33500</v>
      </c>
      <c r="Q498" s="1101">
        <f t="shared" si="153"/>
        <v>1279.6027501909855</v>
      </c>
      <c r="R498" s="1099">
        <v>65131793</v>
      </c>
      <c r="S498" s="1101">
        <f t="shared" si="154"/>
        <v>29605.360454545455</v>
      </c>
      <c r="T498" s="1101">
        <f t="shared" si="155"/>
        <v>1208.3820593692021</v>
      </c>
      <c r="U498" s="1101">
        <f t="shared" si="156"/>
        <v>8568207</v>
      </c>
      <c r="V498" s="1103">
        <f t="shared" si="157"/>
        <v>0.11625789687924017</v>
      </c>
      <c r="W498" s="1098">
        <v>26180</v>
      </c>
      <c r="X498" s="1106">
        <f t="shared" si="158"/>
        <v>2815.1260504201682</v>
      </c>
      <c r="Y498" s="1106">
        <f t="shared" si="159"/>
        <v>2815.1260504201682</v>
      </c>
      <c r="Z498" s="1106">
        <f t="shared" si="160"/>
        <v>327.28063407181054</v>
      </c>
      <c r="AA498" s="1106">
        <f t="shared" si="161"/>
        <v>2487.8454163483575</v>
      </c>
    </row>
    <row r="499" spans="1:29" hidden="1" x14ac:dyDescent="0.35">
      <c r="A499" s="179">
        <v>8</v>
      </c>
      <c r="B499" s="880" t="s">
        <v>22</v>
      </c>
      <c r="C499" s="82" t="s">
        <v>965</v>
      </c>
      <c r="D499" s="83" t="s">
        <v>966</v>
      </c>
      <c r="E499" s="892" t="str">
        <f>VLOOKUP(F499,'Quy đổi'!A:D,4,0)</f>
        <v>rHDPE ép</v>
      </c>
      <c r="F499" s="82" t="s">
        <v>536</v>
      </c>
      <c r="G499" s="82" t="s">
        <v>537</v>
      </c>
      <c r="H499" s="257" t="str">
        <f>IFERROR(VLOOKUP(F499,'Quy đổi'!A:C,3,0),"-")</f>
        <v>Vảy HD Ép Trắng</v>
      </c>
      <c r="I499" s="1098">
        <v>3000</v>
      </c>
      <c r="J499" s="1098">
        <v>45000000</v>
      </c>
      <c r="K499" s="1098">
        <v>45000000</v>
      </c>
      <c r="O499" s="1097">
        <f t="shared" si="162"/>
        <v>45000000</v>
      </c>
      <c r="P499" s="1101">
        <f t="shared" si="152"/>
        <v>15000</v>
      </c>
      <c r="Q499" s="1101">
        <f t="shared" si="153"/>
        <v>572.95645530939657</v>
      </c>
      <c r="R499" s="1099">
        <v>81173226</v>
      </c>
      <c r="S499" s="1101">
        <f>R499/I499</f>
        <v>27057.741999999998</v>
      </c>
      <c r="T499" s="1101">
        <f t="shared" si="155"/>
        <v>1104.3976326530612</v>
      </c>
      <c r="U499" s="1101">
        <f t="shared" si="156"/>
        <v>-36173226</v>
      </c>
      <c r="V499" s="1103">
        <f t="shared" si="157"/>
        <v>-0.80384946666666668</v>
      </c>
      <c r="W499" s="1098">
        <v>26180</v>
      </c>
      <c r="X499" s="1106">
        <f t="shared" si="158"/>
        <v>1718.8693659281894</v>
      </c>
      <c r="Y499" s="1106">
        <f t="shared" si="159"/>
        <v>1718.8693659281894</v>
      </c>
      <c r="Z499" s="1106">
        <f t="shared" si="160"/>
        <v>-1381.7122230710465</v>
      </c>
      <c r="AA499" s="1106">
        <f t="shared" si="161"/>
        <v>3100.5815889992359</v>
      </c>
    </row>
    <row r="500" spans="1:29" hidden="1" x14ac:dyDescent="0.35">
      <c r="A500" s="179">
        <v>8</v>
      </c>
      <c r="B500" s="880" t="s">
        <v>22</v>
      </c>
      <c r="C500" s="82" t="s">
        <v>1005</v>
      </c>
      <c r="D500" s="83" t="s">
        <v>1006</v>
      </c>
      <c r="E500" s="892" t="str">
        <f>VLOOKUP(F500,'Quy đổi'!A:D,4,0)</f>
        <v>Xơ sợi</v>
      </c>
      <c r="F500" s="82" t="s">
        <v>87</v>
      </c>
      <c r="G500" s="82" t="s">
        <v>86</v>
      </c>
      <c r="H500" s="257" t="str">
        <f>IFERROR(VLOOKUP(F500,'Quy đổi'!A:C,3,0),"-")</f>
        <v>WSS05SB</v>
      </c>
      <c r="I500" s="1098">
        <v>10500</v>
      </c>
      <c r="J500" s="1098">
        <v>183897000</v>
      </c>
      <c r="K500" s="1098">
        <v>186900000</v>
      </c>
      <c r="O500" s="1097">
        <f t="shared" si="162"/>
        <v>186900000</v>
      </c>
      <c r="P500" s="1101">
        <f t="shared" si="152"/>
        <v>17800</v>
      </c>
      <c r="Q500" s="1101">
        <f t="shared" si="153"/>
        <v>679.90832696715051</v>
      </c>
      <c r="R500" s="1099">
        <v>295463545</v>
      </c>
      <c r="S500" s="1101">
        <f t="shared" si="154"/>
        <v>28139.385238095238</v>
      </c>
      <c r="T500" s="1101">
        <f t="shared" si="155"/>
        <v>1148.5463362487851</v>
      </c>
      <c r="U500" s="1101">
        <f t="shared" si="156"/>
        <v>-108563545</v>
      </c>
      <c r="V500" s="1103">
        <f t="shared" si="157"/>
        <v>-0.58086433921883363</v>
      </c>
      <c r="W500" s="1098">
        <v>26180</v>
      </c>
      <c r="X500" s="1106">
        <f t="shared" si="158"/>
        <v>7139.0374331550802</v>
      </c>
      <c r="Y500" s="1106">
        <f t="shared" si="159"/>
        <v>7139.0374331550802</v>
      </c>
      <c r="Z500" s="1106">
        <f t="shared" si="160"/>
        <v>-4146.8122612681436</v>
      </c>
      <c r="AA500" s="1106">
        <f t="shared" si="161"/>
        <v>11285.849694423225</v>
      </c>
      <c r="AC500" s="1098">
        <f>X500/I500*1000</f>
        <v>679.90832696715051</v>
      </c>
    </row>
    <row r="501" spans="1:29" hidden="1" x14ac:dyDescent="0.35">
      <c r="A501" s="179">
        <v>8</v>
      </c>
      <c r="B501" s="880" t="s">
        <v>22</v>
      </c>
      <c r="C501" s="82" t="s">
        <v>1007</v>
      </c>
      <c r="D501" s="83" t="s">
        <v>1008</v>
      </c>
      <c r="E501" s="892" t="str">
        <f>VLOOKUP(F501,'Quy đổi'!A:D,4,0)</f>
        <v>rPP</v>
      </c>
      <c r="F501" s="82" t="s">
        <v>231</v>
      </c>
      <c r="G501" s="82" t="s">
        <v>232</v>
      </c>
      <c r="H501" s="257" t="str">
        <f>IFERROR(VLOOKUP(F501,'Quy đổi'!A:C,3,0),"-")</f>
        <v>rPP20W01</v>
      </c>
      <c r="I501" s="1098">
        <v>50</v>
      </c>
      <c r="J501" s="1098">
        <v>1050000</v>
      </c>
      <c r="K501" s="1098">
        <v>1772000</v>
      </c>
      <c r="O501" s="1097">
        <f t="shared" si="162"/>
        <v>1772000</v>
      </c>
      <c r="P501" s="1101">
        <f t="shared" si="152"/>
        <v>35440</v>
      </c>
      <c r="Q501" s="1101">
        <f t="shared" si="153"/>
        <v>1353.7051184110007</v>
      </c>
      <c r="R501" s="1099">
        <v>1806134</v>
      </c>
      <c r="S501" s="1101">
        <f t="shared" si="154"/>
        <v>36122.68</v>
      </c>
      <c r="T501" s="1101">
        <f t="shared" si="155"/>
        <v>1474.3951020408163</v>
      </c>
      <c r="U501" s="1101">
        <f t="shared" si="156"/>
        <v>-34134</v>
      </c>
      <c r="V501" s="1103">
        <f t="shared" si="157"/>
        <v>-1.9262979683972913E-2</v>
      </c>
      <c r="W501" s="1098">
        <v>26180</v>
      </c>
      <c r="X501" s="1106">
        <f t="shared" si="158"/>
        <v>67.685255920550034</v>
      </c>
      <c r="Y501" s="1106">
        <f t="shared" si="159"/>
        <v>67.685255920550034</v>
      </c>
      <c r="Z501" s="1106">
        <f t="shared" si="160"/>
        <v>-1.3038197097020627</v>
      </c>
      <c r="AA501" s="1106">
        <f t="shared" si="161"/>
        <v>68.989075630252103</v>
      </c>
      <c r="AC501" s="1098">
        <f t="shared" ref="AC501" si="167">X501/I501*1000</f>
        <v>1353.7051184110007</v>
      </c>
    </row>
    <row r="502" spans="1:29" hidden="1" x14ac:dyDescent="0.35">
      <c r="A502" s="179">
        <v>8</v>
      </c>
      <c r="B502" s="880" t="s">
        <v>26</v>
      </c>
      <c r="C502" s="82" t="s">
        <v>161</v>
      </c>
      <c r="D502" s="83" t="s">
        <v>160</v>
      </c>
      <c r="E502" s="892" t="str">
        <f>VLOOKUP(F502,'Quy đổi'!A:D,4,0)</f>
        <v>rPET</v>
      </c>
      <c r="F502" s="82" t="s">
        <v>110</v>
      </c>
      <c r="G502" s="82" t="s">
        <v>109</v>
      </c>
      <c r="H502" s="257" t="str">
        <f>IFERROR(VLOOKUP(F502,'Quy đổi'!A:C,3,0),"-")</f>
        <v>WSS01G</v>
      </c>
      <c r="I502" s="1098">
        <v>66000</v>
      </c>
      <c r="J502" s="1098">
        <v>2096719020</v>
      </c>
      <c r="K502" s="1098">
        <v>2134746900</v>
      </c>
      <c r="L502" s="1056">
        <v>26421666</v>
      </c>
      <c r="O502" s="1097">
        <f t="shared" si="162"/>
        <v>2108325234</v>
      </c>
      <c r="P502" s="1101">
        <f t="shared" si="152"/>
        <v>31944.321727272727</v>
      </c>
      <c r="Q502" s="1101">
        <f t="shared" si="153"/>
        <v>1220.1803562747414</v>
      </c>
      <c r="R502" s="1099">
        <v>1833072153</v>
      </c>
      <c r="S502" s="1101">
        <f t="shared" si="154"/>
        <v>27773.820500000002</v>
      </c>
      <c r="T502" s="1101">
        <f t="shared" si="155"/>
        <v>1133.6253265306123</v>
      </c>
      <c r="U502" s="1101">
        <f t="shared" si="156"/>
        <v>275253081</v>
      </c>
      <c r="V502" s="1103">
        <f t="shared" si="157"/>
        <v>0.12893944523353096</v>
      </c>
      <c r="W502" s="1098">
        <v>26180</v>
      </c>
      <c r="X502" s="1106">
        <f t="shared" si="158"/>
        <v>80531.903514132922</v>
      </c>
      <c r="Y502" s="1106">
        <f t="shared" si="159"/>
        <v>81541.134453781517</v>
      </c>
      <c r="Z502" s="1106">
        <f t="shared" si="160"/>
        <v>10513.868640183346</v>
      </c>
      <c r="AA502" s="1106">
        <f t="shared" si="161"/>
        <v>70018.034873949582</v>
      </c>
    </row>
    <row r="503" spans="1:29" x14ac:dyDescent="0.35">
      <c r="A503" s="179">
        <v>8</v>
      </c>
      <c r="B503" s="880" t="s">
        <v>26</v>
      </c>
      <c r="C503" s="82" t="s">
        <v>165</v>
      </c>
      <c r="D503" s="83" t="s">
        <v>164</v>
      </c>
      <c r="E503" s="892" t="str">
        <f>VLOOKUP(F503,'Quy đổi'!A:D,4,0)</f>
        <v>rPET</v>
      </c>
      <c r="F503" s="82" t="s">
        <v>110</v>
      </c>
      <c r="G503" s="82" t="s">
        <v>109</v>
      </c>
      <c r="H503" s="257" t="str">
        <f>IFERROR(VLOOKUP(F503,'Quy đổi'!A:C,3,0),"-")</f>
        <v>WSS01G</v>
      </c>
      <c r="I503" s="1098">
        <v>1210000</v>
      </c>
      <c r="J503" s="1098">
        <v>36171193784</v>
      </c>
      <c r="K503" s="1098">
        <v>36866919584</v>
      </c>
      <c r="L503" s="1056">
        <v>453507312</v>
      </c>
      <c r="M503" s="1056">
        <v>553045790</v>
      </c>
      <c r="O503" s="1097">
        <f t="shared" si="162"/>
        <v>35860366482</v>
      </c>
      <c r="P503" s="1101">
        <f t="shared" si="152"/>
        <v>29636.666514049586</v>
      </c>
      <c r="Q503" s="1101">
        <f t="shared" si="153"/>
        <v>1132.0346262051025</v>
      </c>
      <c r="R503" s="1099">
        <v>33606322805</v>
      </c>
      <c r="S503" s="1101">
        <f t="shared" si="154"/>
        <v>27773.820500000002</v>
      </c>
      <c r="T503" s="1101">
        <f t="shared" si="155"/>
        <v>1133.6253265306123</v>
      </c>
      <c r="U503" s="1101">
        <f t="shared" si="156"/>
        <v>2254043677</v>
      </c>
      <c r="V503" s="1103">
        <f t="shared" si="157"/>
        <v>6.1140005794740715E-2</v>
      </c>
      <c r="W503" s="1098">
        <v>26180</v>
      </c>
      <c r="X503" s="1106">
        <f t="shared" si="158"/>
        <v>1369761.8977081741</v>
      </c>
      <c r="Y503" s="1106">
        <f t="shared" si="159"/>
        <v>1408209.3042016807</v>
      </c>
      <c r="Z503" s="1106">
        <f t="shared" si="160"/>
        <v>86097.925019098548</v>
      </c>
      <c r="AA503" s="1106">
        <f t="shared" si="161"/>
        <v>1283663.9726890756</v>
      </c>
    </row>
    <row r="504" spans="1:29" hidden="1" x14ac:dyDescent="0.35">
      <c r="A504" s="179">
        <v>8</v>
      </c>
      <c r="B504" s="880" t="s">
        <v>26</v>
      </c>
      <c r="C504" s="82" t="s">
        <v>138</v>
      </c>
      <c r="D504" s="83" t="s">
        <v>524</v>
      </c>
      <c r="E504" s="892" t="str">
        <f>VLOOKUP(F504,'Quy đổi'!A:D,4,0)</f>
        <v>rPET</v>
      </c>
      <c r="F504" s="82" t="s">
        <v>100</v>
      </c>
      <c r="G504" s="82" t="s">
        <v>99</v>
      </c>
      <c r="H504" s="257" t="str">
        <f>IFERROR(VLOOKUP(F504,'Quy đổi'!A:C,3,0),"-")</f>
        <v>iSS01G</v>
      </c>
      <c r="I504" s="1098">
        <v>22000</v>
      </c>
      <c r="J504" s="1098">
        <v>716100000</v>
      </c>
      <c r="K504" s="1098">
        <v>728703360</v>
      </c>
      <c r="L504" s="1056">
        <v>15735031</v>
      </c>
      <c r="O504" s="1097">
        <f t="shared" si="162"/>
        <v>712968329</v>
      </c>
      <c r="P504" s="1101">
        <f t="shared" si="152"/>
        <v>32407.651318181819</v>
      </c>
      <c r="Q504" s="1101">
        <f t="shared" si="153"/>
        <v>1237.8782016112232</v>
      </c>
      <c r="R504" s="1099">
        <v>579781758</v>
      </c>
      <c r="S504" s="1101">
        <f t="shared" si="154"/>
        <v>26353.716272727273</v>
      </c>
      <c r="T504" s="1101">
        <f t="shared" si="155"/>
        <v>1075.6618886827459</v>
      </c>
      <c r="U504" s="1101">
        <f t="shared" si="156"/>
        <v>133186571</v>
      </c>
      <c r="V504" s="1103">
        <f t="shared" si="157"/>
        <v>0.18277200066704782</v>
      </c>
      <c r="W504" s="1098">
        <v>26180</v>
      </c>
      <c r="X504" s="1106">
        <f t="shared" si="158"/>
        <v>27233.320435446905</v>
      </c>
      <c r="Y504" s="1106">
        <f t="shared" si="159"/>
        <v>27834.352941176472</v>
      </c>
      <c r="Z504" s="1106">
        <f t="shared" si="160"/>
        <v>5087.3403743315512</v>
      </c>
      <c r="AA504" s="1106">
        <f t="shared" si="161"/>
        <v>22145.980061115355</v>
      </c>
    </row>
    <row r="505" spans="1:29" hidden="1" x14ac:dyDescent="0.35">
      <c r="A505" s="179">
        <v>8</v>
      </c>
      <c r="B505" s="880" t="s">
        <v>26</v>
      </c>
      <c r="C505" s="82" t="s">
        <v>46</v>
      </c>
      <c r="D505" s="83" t="s">
        <v>525</v>
      </c>
      <c r="E505" s="892" t="str">
        <f>VLOOKUP(F505,'Quy đổi'!A:D,4,0)</f>
        <v>rPET</v>
      </c>
      <c r="F505" s="82" t="s">
        <v>100</v>
      </c>
      <c r="G505" s="82" t="s">
        <v>99</v>
      </c>
      <c r="H505" s="257" t="str">
        <f>IFERROR(VLOOKUP(F505,'Quy đổi'!A:C,3,0),"-")</f>
        <v>iSS01G</v>
      </c>
      <c r="I505" s="1098">
        <v>880000</v>
      </c>
      <c r="J505" s="1098">
        <v>28350762000</v>
      </c>
      <c r="K505" s="1098">
        <v>28811750000</v>
      </c>
      <c r="L505" s="1056">
        <v>370502588</v>
      </c>
      <c r="O505" s="1097">
        <f t="shared" si="162"/>
        <v>28441247412</v>
      </c>
      <c r="P505" s="1101">
        <f t="shared" si="152"/>
        <v>32319.599331818183</v>
      </c>
      <c r="Q505" s="1101">
        <f t="shared" si="153"/>
        <v>1234.5148713452322</v>
      </c>
      <c r="R505" s="1099">
        <v>23191270320</v>
      </c>
      <c r="S505" s="1101">
        <f t="shared" si="154"/>
        <v>26353.716272727273</v>
      </c>
      <c r="T505" s="1101">
        <f t="shared" si="155"/>
        <v>1075.6618886827459</v>
      </c>
      <c r="U505" s="1101">
        <f t="shared" si="156"/>
        <v>5249977092</v>
      </c>
      <c r="V505" s="1103">
        <f t="shared" si="157"/>
        <v>0.18221652943677494</v>
      </c>
      <c r="W505" s="1098">
        <v>26180</v>
      </c>
      <c r="X505" s="1106">
        <f t="shared" si="158"/>
        <v>1086373.0867838045</v>
      </c>
      <c r="Y505" s="1106">
        <f t="shared" si="159"/>
        <v>1100525.2100840337</v>
      </c>
      <c r="Z505" s="1106">
        <f t="shared" si="160"/>
        <v>200533.88433919023</v>
      </c>
      <c r="AA505" s="1106">
        <f t="shared" si="161"/>
        <v>885839.20244461426</v>
      </c>
    </row>
    <row r="506" spans="1:29" hidden="1" x14ac:dyDescent="0.35">
      <c r="A506" s="179">
        <v>8</v>
      </c>
      <c r="B506" s="880" t="s">
        <v>26</v>
      </c>
      <c r="C506" s="82" t="s">
        <v>142</v>
      </c>
      <c r="D506" s="83" t="s">
        <v>141</v>
      </c>
      <c r="E506" s="892" t="str">
        <f>VLOOKUP(F506,'Quy đổi'!A:D,4,0)</f>
        <v>rPET</v>
      </c>
      <c r="F506" s="82" t="s">
        <v>100</v>
      </c>
      <c r="G506" s="82" t="s">
        <v>99</v>
      </c>
      <c r="H506" s="257" t="str">
        <f>IFERROR(VLOOKUP(F506,'Quy đổi'!A:C,3,0),"-")</f>
        <v>iSS01G</v>
      </c>
      <c r="I506" s="1098">
        <v>44000</v>
      </c>
      <c r="J506" s="1098">
        <v>1424673360</v>
      </c>
      <c r="K506" s="1098">
        <v>1548558000</v>
      </c>
      <c r="L506" s="1056">
        <v>121542222</v>
      </c>
      <c r="O506" s="1097">
        <f t="shared" si="162"/>
        <v>1427015778</v>
      </c>
      <c r="P506" s="1101">
        <f t="shared" si="152"/>
        <v>32432.176772727275</v>
      </c>
      <c r="Q506" s="1101">
        <f t="shared" si="153"/>
        <v>1238.8150027779707</v>
      </c>
      <c r="R506" s="1099">
        <v>1159563516</v>
      </c>
      <c r="S506" s="1101">
        <f t="shared" si="154"/>
        <v>26353.716272727273</v>
      </c>
      <c r="T506" s="1101">
        <f t="shared" si="155"/>
        <v>1075.6618886827459</v>
      </c>
      <c r="U506" s="1101">
        <f t="shared" si="156"/>
        <v>267452262</v>
      </c>
      <c r="V506" s="1103">
        <f t="shared" si="157"/>
        <v>0.17271052295102929</v>
      </c>
      <c r="W506" s="1098">
        <v>26180</v>
      </c>
      <c r="X506" s="1106">
        <f t="shared" si="158"/>
        <v>54507.860122230712</v>
      </c>
      <c r="Y506" s="1106">
        <f t="shared" si="159"/>
        <v>59150.420168067227</v>
      </c>
      <c r="Z506" s="1106">
        <f t="shared" si="160"/>
        <v>10215.9</v>
      </c>
      <c r="AA506" s="1106">
        <f t="shared" si="161"/>
        <v>44291.96012223071</v>
      </c>
      <c r="AC506" s="1098">
        <f t="shared" ref="AC506" si="168">X506/I506*1000</f>
        <v>1238.8150027779707</v>
      </c>
    </row>
    <row r="507" spans="1:29" hidden="1" x14ac:dyDescent="0.35">
      <c r="A507" s="179">
        <v>8</v>
      </c>
      <c r="B507" s="880" t="s">
        <v>26</v>
      </c>
      <c r="C507" s="82" t="s">
        <v>179</v>
      </c>
      <c r="D507" s="83" t="s">
        <v>892</v>
      </c>
      <c r="E507" s="892" t="str">
        <f>VLOOKUP(F507,'Quy đổi'!A:D,4,0)</f>
        <v>rPET</v>
      </c>
      <c r="F507" s="82" t="s">
        <v>102</v>
      </c>
      <c r="G507" s="82" t="s">
        <v>101</v>
      </c>
      <c r="H507" s="257" t="str">
        <f>IFERROR(VLOOKUP(F507,'Quy đổi'!A:C,3,0),"-")</f>
        <v>WSS03G</v>
      </c>
      <c r="I507" s="1098">
        <v>220000</v>
      </c>
      <c r="J507" s="1098">
        <v>5721733600</v>
      </c>
      <c r="K507" s="1098">
        <v>5847864000</v>
      </c>
      <c r="L507" s="1056">
        <v>89038720</v>
      </c>
      <c r="O507" s="1097">
        <f t="shared" si="162"/>
        <v>5758825280</v>
      </c>
      <c r="P507" s="1101">
        <f t="shared" si="152"/>
        <v>26176.478545454545</v>
      </c>
      <c r="Q507" s="1101">
        <f t="shared" si="153"/>
        <v>999.86549065907354</v>
      </c>
      <c r="R507" s="1099">
        <v>5652687120</v>
      </c>
      <c r="S507" s="1101">
        <f t="shared" si="154"/>
        <v>25694.032363636365</v>
      </c>
      <c r="T507" s="1101">
        <f t="shared" si="155"/>
        <v>1048.7360148423006</v>
      </c>
      <c r="U507" s="1101">
        <f t="shared" si="156"/>
        <v>106138160</v>
      </c>
      <c r="V507" s="1103">
        <f t="shared" si="157"/>
        <v>1.8149902254908801E-2</v>
      </c>
      <c r="W507" s="1098">
        <v>26180</v>
      </c>
      <c r="X507" s="1106">
        <f t="shared" si="158"/>
        <v>219970.40794499617</v>
      </c>
      <c r="Y507" s="1106">
        <f t="shared" si="159"/>
        <v>223371.42857142858</v>
      </c>
      <c r="Z507" s="1106">
        <f t="shared" si="160"/>
        <v>4054.1695951107718</v>
      </c>
      <c r="AA507" s="1106">
        <f t="shared" si="161"/>
        <v>215916.23834988542</v>
      </c>
    </row>
    <row r="508" spans="1:29" hidden="1" x14ac:dyDescent="0.35">
      <c r="A508" s="179">
        <v>8</v>
      </c>
      <c r="B508" s="880" t="s">
        <v>26</v>
      </c>
      <c r="C508" s="82" t="s">
        <v>530</v>
      </c>
      <c r="D508" s="83" t="s">
        <v>531</v>
      </c>
      <c r="E508" s="892" t="str">
        <f>VLOOKUP(F508,'Quy đổi'!A:D,4,0)</f>
        <v>rHDPE thổi</v>
      </c>
      <c r="F508" s="82" t="s">
        <v>375</v>
      </c>
      <c r="G508" s="82" t="s">
        <v>376</v>
      </c>
      <c r="H508" s="257" t="str">
        <f>IFERROR(VLOOKUP(F508,'Quy đổi'!A:C,3,0),"-")</f>
        <v>A03N01</v>
      </c>
      <c r="I508" s="1098">
        <v>99000</v>
      </c>
      <c r="J508" s="1098">
        <v>3524849020</v>
      </c>
      <c r="K508" s="1098">
        <v>3786649020</v>
      </c>
      <c r="L508" s="1056">
        <v>299320368</v>
      </c>
      <c r="O508" s="1097">
        <f t="shared" si="162"/>
        <v>3487328652</v>
      </c>
      <c r="P508" s="1101">
        <f t="shared" si="152"/>
        <v>35225.541939393937</v>
      </c>
      <c r="Q508" s="1101">
        <f t="shared" si="153"/>
        <v>1345.5134430631756</v>
      </c>
      <c r="R508" s="1099">
        <v>2811926884</v>
      </c>
      <c r="S508" s="1101">
        <f t="shared" si="154"/>
        <v>28403.301858585859</v>
      </c>
      <c r="T508" s="1101">
        <f t="shared" si="155"/>
        <v>1159.3184432075861</v>
      </c>
      <c r="U508" s="1101">
        <f t="shared" si="156"/>
        <v>675401768</v>
      </c>
      <c r="V508" s="1103">
        <f t="shared" si="157"/>
        <v>0.17836397417154864</v>
      </c>
      <c r="W508" s="1098">
        <v>26180</v>
      </c>
      <c r="X508" s="1106">
        <f t="shared" si="158"/>
        <v>133205.83086325441</v>
      </c>
      <c r="Y508" s="1106">
        <f t="shared" si="159"/>
        <v>144639</v>
      </c>
      <c r="Z508" s="1106">
        <f t="shared" si="160"/>
        <v>25798.386860198625</v>
      </c>
      <c r="AA508" s="1106">
        <f t="shared" si="161"/>
        <v>107407.44400305577</v>
      </c>
      <c r="AC508" s="1098">
        <f t="shared" ref="AC508" si="169">X508/I508*1000</f>
        <v>1345.5134430631758</v>
      </c>
    </row>
    <row r="509" spans="1:29" hidden="1" x14ac:dyDescent="0.35">
      <c r="A509" s="179">
        <v>8</v>
      </c>
      <c r="B509" s="880" t="s">
        <v>26</v>
      </c>
      <c r="C509" s="82" t="s">
        <v>836</v>
      </c>
      <c r="D509" s="83" t="s">
        <v>837</v>
      </c>
      <c r="E509" s="892" t="str">
        <f>VLOOKUP(F509,'Quy đổi'!A:D,4,0)</f>
        <v>rPET</v>
      </c>
      <c r="F509" s="82" t="s">
        <v>110</v>
      </c>
      <c r="G509" s="82" t="s">
        <v>109</v>
      </c>
      <c r="H509" s="257" t="str">
        <f>IFERROR(VLOOKUP(F509,'Quy đổi'!A:C,3,0),"-")</f>
        <v>WSS01G</v>
      </c>
      <c r="I509" s="1098">
        <v>44000</v>
      </c>
      <c r="J509" s="1098">
        <v>1392098400</v>
      </c>
      <c r="K509" s="1098">
        <v>1466572800</v>
      </c>
      <c r="L509" s="1056">
        <v>66849544</v>
      </c>
      <c r="O509" s="1097">
        <f t="shared" si="162"/>
        <v>1399723256</v>
      </c>
      <c r="P509" s="1101">
        <f t="shared" si="152"/>
        <v>31811.892181818181</v>
      </c>
      <c r="Q509" s="1101">
        <f t="shared" si="153"/>
        <v>1215.1219320786167</v>
      </c>
      <c r="R509" s="1099">
        <v>1222048102</v>
      </c>
      <c r="S509" s="1101">
        <f t="shared" si="154"/>
        <v>27773.820500000002</v>
      </c>
      <c r="T509" s="1101">
        <f t="shared" si="155"/>
        <v>1133.6253265306123</v>
      </c>
      <c r="U509" s="1101">
        <f t="shared" si="156"/>
        <v>177675154</v>
      </c>
      <c r="V509" s="1103">
        <f t="shared" si="157"/>
        <v>0.12114990404840455</v>
      </c>
      <c r="W509" s="1098">
        <v>26180</v>
      </c>
      <c r="X509" s="1106">
        <f t="shared" si="158"/>
        <v>53465.365011459129</v>
      </c>
      <c r="Y509" s="1106">
        <f t="shared" si="159"/>
        <v>56018.823529411762</v>
      </c>
      <c r="Z509" s="1106">
        <f t="shared" si="160"/>
        <v>6786.6750954927429</v>
      </c>
      <c r="AA509" s="1106">
        <f t="shared" si="161"/>
        <v>46678.689915966388</v>
      </c>
      <c r="AC509" s="1098">
        <f>X509/I509*1000</f>
        <v>1215.1219320786167</v>
      </c>
    </row>
    <row r="510" spans="1:29" hidden="1" x14ac:dyDescent="0.35">
      <c r="A510" s="179">
        <v>8</v>
      </c>
      <c r="B510" s="880" t="s">
        <v>26</v>
      </c>
      <c r="C510" s="82" t="s">
        <v>1009</v>
      </c>
      <c r="D510" s="83" t="s">
        <v>1010</v>
      </c>
      <c r="E510" s="892" t="str">
        <f>VLOOKUP(F510,'Quy đổi'!A:D,4,0)</f>
        <v>rPET</v>
      </c>
      <c r="F510" s="82" t="s">
        <v>100</v>
      </c>
      <c r="G510" s="82" t="s">
        <v>99</v>
      </c>
      <c r="H510" s="257" t="str">
        <f>IFERROR(VLOOKUP(F510,'Quy đổi'!A:C,3,0),"-")</f>
        <v>iSS01G</v>
      </c>
      <c r="I510" s="1098">
        <v>330000</v>
      </c>
      <c r="J510" s="1098">
        <v>11059540800</v>
      </c>
      <c r="K510" s="1098">
        <v>11059540800</v>
      </c>
      <c r="L510" s="1056">
        <v>54500000</v>
      </c>
      <c r="O510" s="1097">
        <f t="shared" si="162"/>
        <v>11005040800</v>
      </c>
      <c r="P510" s="1101">
        <f t="shared" ref="P510:P513" si="170">O510/I510</f>
        <v>33348.608484848482</v>
      </c>
      <c r="Q510" s="1101">
        <f t="shared" ref="Q510:Q513" si="171">P510/W510*1000</f>
        <v>1273.8200337986434</v>
      </c>
      <c r="R510" s="1099">
        <v>8696726369</v>
      </c>
      <c r="S510" s="1101">
        <f t="shared" ref="S510:S573" si="172">R510/I510</f>
        <v>26353.716269696968</v>
      </c>
      <c r="T510" s="1101">
        <f t="shared" ref="T510:T573" si="173">S510/24.5</f>
        <v>1075.6618885590599</v>
      </c>
      <c r="U510" s="1101">
        <f t="shared" ref="U510:U573" si="174">O510-R510</f>
        <v>2308314431</v>
      </c>
      <c r="V510" s="1103">
        <f t="shared" ref="V510:V573" si="175">U510/K510</f>
        <v>0.20871702295270705</v>
      </c>
      <c r="W510" s="1098">
        <v>26180</v>
      </c>
      <c r="X510" s="1106">
        <f t="shared" ref="X510:X514" si="176">O510/W510</f>
        <v>420360.61115355231</v>
      </c>
      <c r="Y510" s="1106">
        <f t="shared" ref="Y510:Y514" si="177">K510/W510</f>
        <v>422442.35294117645</v>
      </c>
      <c r="Z510" s="1106">
        <f t="shared" ref="Z510:Z514" si="178">U510/W510</f>
        <v>88170.910275019094</v>
      </c>
      <c r="AA510" s="1106">
        <f t="shared" ref="AA510:AA514" si="179">R510/W510</f>
        <v>332189.70087853324</v>
      </c>
      <c r="AC510" s="1098">
        <f>X510/I510*1000</f>
        <v>1273.8200337986434</v>
      </c>
    </row>
    <row r="511" spans="1:29" hidden="1" x14ac:dyDescent="0.35">
      <c r="A511" s="179">
        <v>8</v>
      </c>
      <c r="B511" s="880" t="s">
        <v>26</v>
      </c>
      <c r="C511" s="82" t="s">
        <v>884</v>
      </c>
      <c r="D511" s="83" t="s">
        <v>885</v>
      </c>
      <c r="E511" s="892" t="str">
        <f>VLOOKUP(F511,'Quy đổi'!A:D,4,0)</f>
        <v>rPET</v>
      </c>
      <c r="F511" s="82" t="s">
        <v>102</v>
      </c>
      <c r="G511" s="82" t="s">
        <v>101</v>
      </c>
      <c r="H511" s="257" t="str">
        <f>IFERROR(VLOOKUP(F511,'Quy đổi'!A:C,3,0),"-")</f>
        <v>WSS03G</v>
      </c>
      <c r="I511" s="1098">
        <v>44000</v>
      </c>
      <c r="J511" s="1098">
        <v>1212214080</v>
      </c>
      <c r="K511" s="1098">
        <v>1237420800</v>
      </c>
      <c r="L511" s="1056">
        <v>24616462</v>
      </c>
      <c r="O511" s="1097">
        <f t="shared" si="162"/>
        <v>1212804338</v>
      </c>
      <c r="P511" s="1101">
        <f t="shared" si="170"/>
        <v>27563.734954545456</v>
      </c>
      <c r="Q511" s="1101">
        <f t="shared" si="171"/>
        <v>1052.8546583096049</v>
      </c>
      <c r="R511" s="1099">
        <v>1130537424</v>
      </c>
      <c r="S511" s="1101">
        <f t="shared" si="172"/>
        <v>25694.032363636365</v>
      </c>
      <c r="T511" s="1101">
        <f t="shared" si="173"/>
        <v>1048.7360148423006</v>
      </c>
      <c r="U511" s="1101">
        <f t="shared" si="174"/>
        <v>82266914</v>
      </c>
      <c r="V511" s="1103">
        <f t="shared" si="175"/>
        <v>6.6482569227864927E-2</v>
      </c>
      <c r="W511" s="1098">
        <v>26180</v>
      </c>
      <c r="X511" s="1106">
        <f t="shared" si="176"/>
        <v>46325.60496562261</v>
      </c>
      <c r="Y511" s="1106">
        <f t="shared" si="177"/>
        <v>47265.882352941175</v>
      </c>
      <c r="Z511" s="1106">
        <f t="shared" si="178"/>
        <v>3142.3572956455309</v>
      </c>
      <c r="AA511" s="1106">
        <f t="shared" si="179"/>
        <v>43183.247669977085</v>
      </c>
      <c r="AC511" s="1098">
        <f>X511/I511*1000</f>
        <v>1052.8546583096047</v>
      </c>
    </row>
    <row r="512" spans="1:29" hidden="1" x14ac:dyDescent="0.35">
      <c r="A512" s="179">
        <v>8</v>
      </c>
      <c r="B512" s="880" t="s">
        <v>26</v>
      </c>
      <c r="C512" s="82" t="s">
        <v>1011</v>
      </c>
      <c r="D512" s="83" t="s">
        <v>1012</v>
      </c>
      <c r="E512" s="892" t="str">
        <f>VLOOKUP(F512,'Quy đổi'!A:D,4,0)</f>
        <v>rPET</v>
      </c>
      <c r="F512" s="82" t="s">
        <v>110</v>
      </c>
      <c r="G512" s="82" t="s">
        <v>109</v>
      </c>
      <c r="H512" s="257" t="str">
        <f>IFERROR(VLOOKUP(F512,'Quy đổi'!A:C,3,0),"-")</f>
        <v>WSS01G</v>
      </c>
      <c r="I512" s="1098">
        <v>300</v>
      </c>
      <c r="J512" s="1098">
        <v>9802500</v>
      </c>
      <c r="K512" s="1098">
        <v>10194600</v>
      </c>
      <c r="L512" s="1056">
        <v>4608372</v>
      </c>
      <c r="O512" s="1097">
        <f t="shared" si="162"/>
        <v>5586228</v>
      </c>
      <c r="P512" s="1101">
        <f t="shared" si="170"/>
        <v>18620.759999999998</v>
      </c>
      <c r="Q512" s="1101">
        <f t="shared" si="171"/>
        <v>711.25897631779981</v>
      </c>
      <c r="R512" s="1099">
        <v>8332146</v>
      </c>
      <c r="S512" s="1101">
        <f t="shared" si="172"/>
        <v>27773.82</v>
      </c>
      <c r="T512" s="1101">
        <f t="shared" si="173"/>
        <v>1133.625306122449</v>
      </c>
      <c r="U512" s="1101">
        <f t="shared" si="174"/>
        <v>-2745918</v>
      </c>
      <c r="V512" s="1103">
        <f t="shared" si="175"/>
        <v>-0.26935024424695425</v>
      </c>
      <c r="W512" s="1098">
        <v>26180</v>
      </c>
      <c r="X512" s="1106">
        <f t="shared" si="176"/>
        <v>213.37769289533995</v>
      </c>
      <c r="Y512" s="1106">
        <f t="shared" si="177"/>
        <v>389.40412528647823</v>
      </c>
      <c r="Z512" s="1106">
        <f t="shared" si="178"/>
        <v>-104.8860962566845</v>
      </c>
      <c r="AA512" s="1106">
        <f t="shared" si="179"/>
        <v>318.26378915202446</v>
      </c>
      <c r="AC512" s="1098">
        <f t="shared" ref="AC512" si="180">X512/I512*1000</f>
        <v>711.25897631779981</v>
      </c>
    </row>
    <row r="513" spans="1:29" hidden="1" x14ac:dyDescent="0.35">
      <c r="A513" s="179">
        <v>8</v>
      </c>
      <c r="B513" s="880" t="s">
        <v>26</v>
      </c>
      <c r="C513" s="82" t="s">
        <v>1013</v>
      </c>
      <c r="D513" s="83" t="s">
        <v>1014</v>
      </c>
      <c r="E513" s="892" t="str">
        <f>VLOOKUP(F513,'Quy đổi'!A:D,4,0)</f>
        <v>rHDPE thổi</v>
      </c>
      <c r="F513" s="82" t="s">
        <v>52</v>
      </c>
      <c r="G513" s="82" t="s">
        <v>51</v>
      </c>
      <c r="H513" s="257" t="str">
        <f>IFERROR(VLOOKUP(F513,'Quy đổi'!A:C,3,0),"-")</f>
        <v>rHDB04B01</v>
      </c>
      <c r="I513" s="1098">
        <v>27000</v>
      </c>
      <c r="J513" s="1098">
        <v>473058050</v>
      </c>
      <c r="K513" s="1098">
        <v>570109050</v>
      </c>
      <c r="L513" s="1056">
        <v>114169074</v>
      </c>
      <c r="O513" s="1097">
        <f t="shared" si="162"/>
        <v>455939976</v>
      </c>
      <c r="P513" s="1101">
        <f t="shared" si="170"/>
        <v>16886.665777777776</v>
      </c>
      <c r="Q513" s="1101">
        <f t="shared" si="171"/>
        <v>645.02161106866981</v>
      </c>
      <c r="R513" s="1099">
        <v>581767523</v>
      </c>
      <c r="S513" s="1101">
        <f t="shared" si="172"/>
        <v>21546.945296296297</v>
      </c>
      <c r="T513" s="1101">
        <f t="shared" si="173"/>
        <v>879.46715495086926</v>
      </c>
      <c r="U513" s="1101">
        <f t="shared" si="174"/>
        <v>-125827547</v>
      </c>
      <c r="V513" s="1103">
        <f t="shared" si="175"/>
        <v>-0.22070785755812858</v>
      </c>
      <c r="W513" s="1098">
        <v>26180</v>
      </c>
      <c r="X513" s="1106">
        <f t="shared" si="176"/>
        <v>17415.583498854088</v>
      </c>
      <c r="Y513" s="1106">
        <f t="shared" si="177"/>
        <v>21776.510695187168</v>
      </c>
      <c r="Z513" s="1106">
        <f t="shared" si="178"/>
        <v>-4806.2470206264325</v>
      </c>
      <c r="AA513" s="1106">
        <f t="shared" si="179"/>
        <v>22221.830519480518</v>
      </c>
      <c r="AC513" s="1098">
        <f>X513/I513*1000</f>
        <v>645.02161106866993</v>
      </c>
    </row>
    <row r="514" spans="1:29" hidden="1" x14ac:dyDescent="0.35">
      <c r="A514" s="179">
        <v>8</v>
      </c>
      <c r="C514" s="82" t="s">
        <v>176</v>
      </c>
      <c r="D514" s="83" t="s">
        <v>177</v>
      </c>
      <c r="E514" s="83" t="s">
        <v>283</v>
      </c>
      <c r="G514" s="82" t="s">
        <v>912</v>
      </c>
      <c r="H514" s="257" t="str">
        <f>IFERROR(VLOOKUP(F514,'Quy đổi'!A:C,3,0),"-")</f>
        <v>-</v>
      </c>
      <c r="I514" s="1098">
        <v>0</v>
      </c>
      <c r="J514" s="1098">
        <v>-157137301</v>
      </c>
      <c r="K514" s="1098">
        <v>-157137301</v>
      </c>
      <c r="N514" s="1056">
        <v>-9651396</v>
      </c>
      <c r="O514" s="1097">
        <f t="shared" si="162"/>
        <v>-147485905</v>
      </c>
      <c r="P514" s="1101" t="e">
        <f t="shared" ref="P514:P577" si="181">O514/I514</f>
        <v>#DIV/0!</v>
      </c>
      <c r="Q514" s="1101" t="e">
        <f t="shared" ref="Q514:Q577" si="182">P514/W514*1000</f>
        <v>#DIV/0!</v>
      </c>
      <c r="R514" s="1099">
        <v>442280422</v>
      </c>
      <c r="S514" s="1101" t="e">
        <f t="shared" si="172"/>
        <v>#DIV/0!</v>
      </c>
      <c r="T514" s="1101" t="e">
        <f t="shared" si="173"/>
        <v>#DIV/0!</v>
      </c>
      <c r="U514" s="1101">
        <f t="shared" si="174"/>
        <v>-589766327</v>
      </c>
      <c r="V514" s="1103">
        <f t="shared" si="175"/>
        <v>3.753191147148442</v>
      </c>
      <c r="W514" s="1098">
        <v>26250</v>
      </c>
      <c r="X514" s="1106">
        <f t="shared" si="176"/>
        <v>-5618.510666666667</v>
      </c>
      <c r="Y514" s="1106">
        <f t="shared" si="177"/>
        <v>-5986.1828952380956</v>
      </c>
      <c r="Z514" s="1106">
        <f t="shared" si="178"/>
        <v>-22467.288647619047</v>
      </c>
      <c r="AA514" s="1106">
        <f t="shared" si="179"/>
        <v>16848.777980952382</v>
      </c>
      <c r="AC514" s="1098" t="e">
        <f t="shared" ref="AC514:AC577" si="183">X514/I514*1000</f>
        <v>#DIV/0!</v>
      </c>
    </row>
    <row r="515" spans="1:29" hidden="1" x14ac:dyDescent="0.35">
      <c r="A515" s="179">
        <v>8</v>
      </c>
      <c r="C515" s="82" t="s">
        <v>129</v>
      </c>
      <c r="D515" s="83" t="s">
        <v>510</v>
      </c>
      <c r="E515" s="83" t="s">
        <v>404</v>
      </c>
      <c r="G515" s="82" t="s">
        <v>912</v>
      </c>
      <c r="H515" s="257" t="str">
        <f>IFERROR(VLOOKUP(F515,'Quy đổi'!A:C,3,0),"-")</f>
        <v>-</v>
      </c>
      <c r="I515" s="1098">
        <v>0</v>
      </c>
      <c r="J515" s="1098">
        <v>3976875</v>
      </c>
      <c r="K515" s="1098">
        <v>3976875</v>
      </c>
      <c r="O515" s="1097">
        <f t="shared" si="162"/>
        <v>3976875</v>
      </c>
      <c r="P515" s="1101" t="e">
        <f t="shared" si="181"/>
        <v>#DIV/0!</v>
      </c>
      <c r="Q515" s="1101" t="e">
        <f t="shared" si="182"/>
        <v>#DIV/0!</v>
      </c>
      <c r="R515" s="1099">
        <v>327049996</v>
      </c>
      <c r="S515" s="1101" t="e">
        <f t="shared" si="172"/>
        <v>#DIV/0!</v>
      </c>
      <c r="T515" s="1101" t="e">
        <f t="shared" si="173"/>
        <v>#DIV/0!</v>
      </c>
      <c r="U515" s="1101">
        <f t="shared" si="174"/>
        <v>-323073121</v>
      </c>
      <c r="V515" s="1103">
        <f t="shared" si="175"/>
        <v>-81.237937073707371</v>
      </c>
      <c r="W515" s="1098">
        <v>26250</v>
      </c>
      <c r="X515" s="1106">
        <f t="shared" ref="X515:X578" si="184">O515/W515</f>
        <v>151.5</v>
      </c>
      <c r="Y515" s="1106">
        <f t="shared" ref="Y515:Y578" si="185">K515/W515</f>
        <v>151.5</v>
      </c>
      <c r="Z515" s="1106">
        <f t="shared" ref="Z515:Z578" si="186">U515/W515</f>
        <v>-12307.547466666667</v>
      </c>
      <c r="AA515" s="1106">
        <f t="shared" ref="AA515:AA578" si="187">R515/W515</f>
        <v>12459.047466666667</v>
      </c>
      <c r="AC515" s="1098" t="e">
        <f t="shared" si="183"/>
        <v>#DIV/0!</v>
      </c>
    </row>
    <row r="516" spans="1:29" hidden="1" x14ac:dyDescent="0.35">
      <c r="A516" s="179">
        <v>8</v>
      </c>
      <c r="C516" s="82" t="s">
        <v>710</v>
      </c>
      <c r="D516" s="83" t="s">
        <v>711</v>
      </c>
      <c r="E516" s="83" t="s">
        <v>404</v>
      </c>
      <c r="G516" s="82" t="s">
        <v>912</v>
      </c>
      <c r="H516" s="257" t="str">
        <f>IFERROR(VLOOKUP(F516,'Quy đổi'!A:C,3,0),"-")</f>
        <v>-</v>
      </c>
      <c r="I516" s="1098">
        <v>0</v>
      </c>
      <c r="J516" s="1098">
        <v>20583333</v>
      </c>
      <c r="K516" s="1098">
        <v>20583333</v>
      </c>
      <c r="O516" s="1097">
        <f t="shared" si="162"/>
        <v>20583333</v>
      </c>
      <c r="P516" s="1101" t="e">
        <f t="shared" si="181"/>
        <v>#DIV/0!</v>
      </c>
      <c r="Q516" s="1101" t="e">
        <f t="shared" si="182"/>
        <v>#DIV/0!</v>
      </c>
      <c r="R516" s="1099">
        <v>117524834</v>
      </c>
      <c r="S516" s="1101" t="e">
        <f t="shared" si="172"/>
        <v>#DIV/0!</v>
      </c>
      <c r="T516" s="1101" t="e">
        <f t="shared" si="173"/>
        <v>#DIV/0!</v>
      </c>
      <c r="U516" s="1101">
        <f t="shared" si="174"/>
        <v>-96941501</v>
      </c>
      <c r="V516" s="1103">
        <f t="shared" si="175"/>
        <v>-4.7097086268778723</v>
      </c>
      <c r="W516" s="1098">
        <v>26250</v>
      </c>
      <c r="X516" s="1106">
        <f t="shared" si="184"/>
        <v>784.12697142857144</v>
      </c>
      <c r="Y516" s="1106">
        <f t="shared" si="185"/>
        <v>784.12697142857144</v>
      </c>
      <c r="Z516" s="1106">
        <f t="shared" si="186"/>
        <v>-3693.009561904762</v>
      </c>
      <c r="AA516" s="1106">
        <f t="shared" si="187"/>
        <v>4477.1365333333333</v>
      </c>
      <c r="AC516" s="1098" t="e">
        <f t="shared" si="183"/>
        <v>#DIV/0!</v>
      </c>
    </row>
    <row r="517" spans="1:29" hidden="1" x14ac:dyDescent="0.35">
      <c r="A517" s="179">
        <v>8</v>
      </c>
      <c r="C517" s="82" t="s">
        <v>710</v>
      </c>
      <c r="D517" s="83" t="s">
        <v>711</v>
      </c>
      <c r="E517" s="83" t="s">
        <v>404</v>
      </c>
      <c r="G517" s="82" t="s">
        <v>912</v>
      </c>
      <c r="H517" s="257" t="str">
        <f>IFERROR(VLOOKUP(F517,'Quy đổi'!A:C,3,0),"-")</f>
        <v>-</v>
      </c>
      <c r="I517" s="1098">
        <v>0</v>
      </c>
      <c r="J517" s="1098">
        <v>7037037</v>
      </c>
      <c r="K517" s="1098">
        <v>7037037</v>
      </c>
      <c r="O517" s="1097">
        <f t="shared" si="162"/>
        <v>7037037</v>
      </c>
      <c r="P517" s="1101" t="e">
        <f t="shared" si="181"/>
        <v>#DIV/0!</v>
      </c>
      <c r="Q517" s="1101" t="e">
        <f t="shared" si="182"/>
        <v>#DIV/0!</v>
      </c>
      <c r="R517" s="1099">
        <v>64319222</v>
      </c>
      <c r="S517" s="1101" t="e">
        <f t="shared" si="172"/>
        <v>#DIV/0!</v>
      </c>
      <c r="T517" s="1101" t="e">
        <f t="shared" si="173"/>
        <v>#DIV/0!</v>
      </c>
      <c r="U517" s="1101">
        <f t="shared" si="174"/>
        <v>-57282185</v>
      </c>
      <c r="V517" s="1103">
        <f t="shared" si="175"/>
        <v>-8.1401000165268425</v>
      </c>
      <c r="W517" s="1098">
        <v>26250</v>
      </c>
      <c r="X517" s="1106">
        <f t="shared" si="184"/>
        <v>268.07760000000002</v>
      </c>
      <c r="Y517" s="1106">
        <f t="shared" si="185"/>
        <v>268.07760000000002</v>
      </c>
      <c r="Z517" s="1106">
        <f t="shared" si="186"/>
        <v>-2182.178476190476</v>
      </c>
      <c r="AA517" s="1106">
        <f t="shared" si="187"/>
        <v>2450.2560761904761</v>
      </c>
      <c r="AC517" s="1098" t="e">
        <f t="shared" si="183"/>
        <v>#DIV/0!</v>
      </c>
    </row>
    <row r="518" spans="1:29" hidden="1" x14ac:dyDescent="0.35">
      <c r="A518" s="179">
        <v>8</v>
      </c>
      <c r="C518" s="82" t="s">
        <v>1024</v>
      </c>
      <c r="D518" s="83" t="s">
        <v>1025</v>
      </c>
      <c r="E518" s="83" t="s">
        <v>404</v>
      </c>
      <c r="G518" s="82" t="s">
        <v>912</v>
      </c>
      <c r="H518" s="257" t="str">
        <f>IFERROR(VLOOKUP(F518,'Quy đổi'!A:C,3,0),"-")</f>
        <v>-</v>
      </c>
      <c r="I518" s="1098">
        <v>0</v>
      </c>
      <c r="J518" s="1098">
        <v>12623893</v>
      </c>
      <c r="K518" s="1098">
        <v>12623893</v>
      </c>
      <c r="O518" s="1097">
        <f t="shared" ref="O518:O581" si="188">K518-SUM(L518:N518)</f>
        <v>12623893</v>
      </c>
      <c r="P518" s="1101" t="e">
        <f t="shared" si="181"/>
        <v>#DIV/0!</v>
      </c>
      <c r="Q518" s="1101" t="e">
        <f t="shared" si="182"/>
        <v>#DIV/0!</v>
      </c>
      <c r="R518" s="1099">
        <v>708892</v>
      </c>
      <c r="S518" s="1101" t="e">
        <f t="shared" si="172"/>
        <v>#DIV/0!</v>
      </c>
      <c r="T518" s="1101" t="e">
        <f t="shared" si="173"/>
        <v>#DIV/0!</v>
      </c>
      <c r="U518" s="1101">
        <f t="shared" si="174"/>
        <v>11915001</v>
      </c>
      <c r="V518" s="1103">
        <f t="shared" si="175"/>
        <v>0.94384521478437755</v>
      </c>
      <c r="W518" s="1098">
        <v>26250</v>
      </c>
      <c r="X518" s="1106">
        <f t="shared" si="184"/>
        <v>480.9102095238095</v>
      </c>
      <c r="Y518" s="1106">
        <f t="shared" si="185"/>
        <v>480.9102095238095</v>
      </c>
      <c r="Z518" s="1106">
        <f t="shared" si="186"/>
        <v>453.90480000000002</v>
      </c>
      <c r="AA518" s="1106">
        <f t="shared" si="187"/>
        <v>27.005409523809522</v>
      </c>
      <c r="AC518" s="1098" t="e">
        <f t="shared" si="183"/>
        <v>#DIV/0!</v>
      </c>
    </row>
    <row r="519" spans="1:29" hidden="1" x14ac:dyDescent="0.35">
      <c r="A519" s="179">
        <v>8</v>
      </c>
      <c r="C519" s="82" t="s">
        <v>890</v>
      </c>
      <c r="D519" s="83" t="s">
        <v>891</v>
      </c>
      <c r="E519" s="83" t="s">
        <v>404</v>
      </c>
      <c r="G519" s="82" t="s">
        <v>912</v>
      </c>
      <c r="H519" s="257" t="str">
        <f>IFERROR(VLOOKUP(F519,'Quy đổi'!A:C,3,0),"-")</f>
        <v>-</v>
      </c>
      <c r="I519" s="1098">
        <v>0</v>
      </c>
      <c r="J519" s="1098">
        <v>19500000</v>
      </c>
      <c r="K519" s="1098">
        <v>19500000</v>
      </c>
      <c r="O519" s="1097">
        <f t="shared" si="188"/>
        <v>19500000</v>
      </c>
      <c r="P519" s="1101" t="e">
        <f t="shared" si="181"/>
        <v>#DIV/0!</v>
      </c>
      <c r="Q519" s="1101" t="e">
        <f t="shared" si="182"/>
        <v>#DIV/0!</v>
      </c>
      <c r="R519" s="1099">
        <v>8845608450</v>
      </c>
      <c r="S519" s="1101" t="e">
        <f t="shared" si="172"/>
        <v>#DIV/0!</v>
      </c>
      <c r="T519" s="1101" t="e">
        <f t="shared" si="173"/>
        <v>#DIV/0!</v>
      </c>
      <c r="U519" s="1101">
        <f t="shared" si="174"/>
        <v>-8826108450</v>
      </c>
      <c r="V519" s="1103">
        <f t="shared" si="175"/>
        <v>-452.62094615384615</v>
      </c>
      <c r="W519" s="1098">
        <v>26250</v>
      </c>
      <c r="X519" s="1106">
        <f t="shared" si="184"/>
        <v>742.85714285714289</v>
      </c>
      <c r="Y519" s="1106">
        <f t="shared" si="185"/>
        <v>742.85714285714289</v>
      </c>
      <c r="Z519" s="1106">
        <f t="shared" si="186"/>
        <v>-336232.70285714284</v>
      </c>
      <c r="AA519" s="1106">
        <f t="shared" si="187"/>
        <v>336975.56</v>
      </c>
      <c r="AC519" s="1098" t="e">
        <f t="shared" si="183"/>
        <v>#DIV/0!</v>
      </c>
    </row>
    <row r="520" spans="1:29" hidden="1" x14ac:dyDescent="0.35">
      <c r="A520" s="179">
        <v>8</v>
      </c>
      <c r="C520" s="82" t="s">
        <v>1026</v>
      </c>
      <c r="D520" s="83" t="s">
        <v>1027</v>
      </c>
      <c r="E520" s="83" t="s">
        <v>1065</v>
      </c>
      <c r="G520" s="82" t="s">
        <v>912</v>
      </c>
      <c r="H520" s="257" t="str">
        <f>IFERROR(VLOOKUP(F520,'Quy đổi'!A:C,3,0),"-")</f>
        <v>-</v>
      </c>
      <c r="I520" s="1098">
        <v>0</v>
      </c>
      <c r="J520" s="1098">
        <v>182193647</v>
      </c>
      <c r="K520" s="1098">
        <v>182193647</v>
      </c>
      <c r="O520" s="1097">
        <f t="shared" si="188"/>
        <v>182193647</v>
      </c>
      <c r="P520" s="1101" t="e">
        <f t="shared" si="181"/>
        <v>#DIV/0!</v>
      </c>
      <c r="Q520" s="1101" t="e">
        <f t="shared" si="182"/>
        <v>#DIV/0!</v>
      </c>
      <c r="R520" s="1099">
        <v>7171618534</v>
      </c>
      <c r="S520" s="1101" t="e">
        <f t="shared" si="172"/>
        <v>#DIV/0!</v>
      </c>
      <c r="T520" s="1101" t="e">
        <f t="shared" si="173"/>
        <v>#DIV/0!</v>
      </c>
      <c r="U520" s="1101">
        <f t="shared" si="174"/>
        <v>-6989424887</v>
      </c>
      <c r="V520" s="1103">
        <f t="shared" si="175"/>
        <v>-38.362615832592667</v>
      </c>
      <c r="W520" s="1098">
        <v>26250</v>
      </c>
      <c r="X520" s="1106">
        <f t="shared" si="184"/>
        <v>6940.7103619047621</v>
      </c>
      <c r="Y520" s="1106">
        <f t="shared" si="185"/>
        <v>6940.7103619047621</v>
      </c>
      <c r="Z520" s="1106">
        <f t="shared" si="186"/>
        <v>-266263.80521904764</v>
      </c>
      <c r="AA520" s="1106">
        <f t="shared" si="187"/>
        <v>273204.5155809524</v>
      </c>
      <c r="AC520" s="1098" t="e">
        <f t="shared" si="183"/>
        <v>#DIV/0!</v>
      </c>
    </row>
    <row r="521" spans="1:29" hidden="1" x14ac:dyDescent="0.35">
      <c r="A521" s="179">
        <v>9</v>
      </c>
      <c r="B521" s="880" t="s">
        <v>22</v>
      </c>
      <c r="C521" s="82" t="s">
        <v>30</v>
      </c>
      <c r="D521" s="83" t="s">
        <v>29</v>
      </c>
      <c r="E521" s="892" t="str">
        <f>VLOOKUP(F521,'Quy đổi'!A:D,4,0)</f>
        <v>rPET</v>
      </c>
      <c r="F521" s="82" t="s">
        <v>110</v>
      </c>
      <c r="G521" s="82" t="s">
        <v>109</v>
      </c>
      <c r="H521" s="257" t="str">
        <f>IFERROR(VLOOKUP(F521,'Quy đổi'!A:C,3,0),"-")</f>
        <v>WSS01G</v>
      </c>
      <c r="I521" s="1098">
        <v>16500</v>
      </c>
      <c r="J521" s="1098">
        <v>532533980</v>
      </c>
      <c r="K521" s="1098">
        <v>535449860</v>
      </c>
      <c r="O521" s="1097">
        <f t="shared" si="188"/>
        <v>535449860</v>
      </c>
      <c r="P521" s="1101">
        <f t="shared" si="181"/>
        <v>32451.506666666668</v>
      </c>
      <c r="Q521" s="1101">
        <f t="shared" si="182"/>
        <v>1236.247873015873</v>
      </c>
      <c r="R521" s="1099">
        <v>442280422</v>
      </c>
      <c r="S521" s="1101">
        <f t="shared" si="172"/>
        <v>26804.87406060606</v>
      </c>
      <c r="T521" s="1101">
        <f t="shared" si="173"/>
        <v>1094.0764922696351</v>
      </c>
      <c r="U521" s="1101">
        <f t="shared" si="174"/>
        <v>93169438</v>
      </c>
      <c r="V521" s="1103">
        <f t="shared" si="175"/>
        <v>0.174002170810167</v>
      </c>
      <c r="W521" s="1098">
        <v>26250</v>
      </c>
      <c r="X521" s="1106">
        <f t="shared" si="184"/>
        <v>20398.089904761906</v>
      </c>
      <c r="Y521" s="1106">
        <f t="shared" si="185"/>
        <v>20398.089904761906</v>
      </c>
      <c r="Z521" s="1106">
        <f t="shared" si="186"/>
        <v>3549.3119238095237</v>
      </c>
      <c r="AA521" s="1106">
        <f t="shared" si="187"/>
        <v>16848.777980952382</v>
      </c>
      <c r="AC521" s="1098">
        <f t="shared" si="183"/>
        <v>1236.247873015873</v>
      </c>
    </row>
    <row r="522" spans="1:29" hidden="1" x14ac:dyDescent="0.35">
      <c r="A522" s="179">
        <v>9</v>
      </c>
      <c r="B522" s="880" t="s">
        <v>22</v>
      </c>
      <c r="C522" s="82" t="s">
        <v>30</v>
      </c>
      <c r="D522" s="83" t="s">
        <v>29</v>
      </c>
      <c r="E522" s="892" t="str">
        <f>VLOOKUP(F522,'Quy đổi'!A:D,4,0)</f>
        <v>rHDPE ép</v>
      </c>
      <c r="F522" s="82" t="s">
        <v>208</v>
      </c>
      <c r="G522" s="82" t="s">
        <v>209</v>
      </c>
      <c r="H522" s="257" t="str">
        <f>IFERROR(VLOOKUP(F522,'Quy đổi'!A:C,3,0),"-")</f>
        <v>rHDI4L01</v>
      </c>
      <c r="I522" s="1098">
        <v>11000</v>
      </c>
      <c r="J522" s="1098">
        <v>217099300</v>
      </c>
      <c r="K522" s="1098">
        <v>220000000</v>
      </c>
      <c r="O522" s="1097">
        <f t="shared" si="188"/>
        <v>220000000</v>
      </c>
      <c r="P522" s="1101">
        <f t="shared" si="181"/>
        <v>20000</v>
      </c>
      <c r="Q522" s="1101">
        <f t="shared" si="182"/>
        <v>761.90476190476181</v>
      </c>
      <c r="R522" s="1099">
        <v>327049996</v>
      </c>
      <c r="S522" s="1101">
        <f t="shared" si="172"/>
        <v>29731.817818181818</v>
      </c>
      <c r="T522" s="1101">
        <f t="shared" si="173"/>
        <v>1213.5435844155845</v>
      </c>
      <c r="U522" s="1101">
        <f t="shared" si="174"/>
        <v>-107049996</v>
      </c>
      <c r="V522" s="1103">
        <f t="shared" si="175"/>
        <v>-0.48659089090909091</v>
      </c>
      <c r="W522" s="1098">
        <v>26250</v>
      </c>
      <c r="X522" s="1106">
        <f t="shared" si="184"/>
        <v>8380.9523809523816</v>
      </c>
      <c r="Y522" s="1106">
        <f t="shared" si="185"/>
        <v>8380.9523809523816</v>
      </c>
      <c r="Z522" s="1106">
        <f t="shared" si="186"/>
        <v>-4078.0950857142857</v>
      </c>
      <c r="AA522" s="1106">
        <f t="shared" si="187"/>
        <v>12459.047466666667</v>
      </c>
      <c r="AC522" s="1098">
        <f t="shared" si="183"/>
        <v>761.90476190476193</v>
      </c>
    </row>
    <row r="523" spans="1:29" hidden="1" x14ac:dyDescent="0.35">
      <c r="A523" s="179">
        <v>9</v>
      </c>
      <c r="B523" s="880" t="s">
        <v>22</v>
      </c>
      <c r="C523" s="82" t="s">
        <v>30</v>
      </c>
      <c r="D523" s="83" t="s">
        <v>29</v>
      </c>
      <c r="E523" s="892" t="str">
        <f>VLOOKUP(F523,'Quy đổi'!A:D,4,0)</f>
        <v>rHDPE ép</v>
      </c>
      <c r="F523" s="82" t="s">
        <v>206</v>
      </c>
      <c r="G523" s="82" t="s">
        <v>207</v>
      </c>
      <c r="H523" s="257" t="str">
        <f>IFERROR(VLOOKUP(F523,'Quy đổi'!A:C,3,0),"-")</f>
        <v>rHDI3R01</v>
      </c>
      <c r="I523" s="1098">
        <v>5500</v>
      </c>
      <c r="J523" s="1098">
        <v>110000000</v>
      </c>
      <c r="K523" s="1098">
        <v>110000000</v>
      </c>
      <c r="O523" s="1097">
        <f t="shared" si="188"/>
        <v>110000000</v>
      </c>
      <c r="P523" s="1101">
        <f t="shared" si="181"/>
        <v>20000</v>
      </c>
      <c r="Q523" s="1101">
        <f t="shared" si="182"/>
        <v>761.90476190476181</v>
      </c>
      <c r="R523" s="1099">
        <v>117524834</v>
      </c>
      <c r="S523" s="1101">
        <f t="shared" si="172"/>
        <v>21368.151636363636</v>
      </c>
      <c r="T523" s="1101">
        <f t="shared" si="173"/>
        <v>872.16945454545453</v>
      </c>
      <c r="U523" s="1101">
        <f t="shared" si="174"/>
        <v>-7524834</v>
      </c>
      <c r="V523" s="1103">
        <f t="shared" si="175"/>
        <v>-6.8407581818181823E-2</v>
      </c>
      <c r="W523" s="1098">
        <v>26250</v>
      </c>
      <c r="X523" s="1106">
        <f t="shared" si="184"/>
        <v>4190.4761904761908</v>
      </c>
      <c r="Y523" s="1106">
        <f t="shared" si="185"/>
        <v>4190.4761904761908</v>
      </c>
      <c r="Z523" s="1106">
        <f t="shared" si="186"/>
        <v>-286.66034285714284</v>
      </c>
      <c r="AA523" s="1106">
        <f t="shared" si="187"/>
        <v>4477.1365333333333</v>
      </c>
      <c r="AC523" s="1098">
        <f t="shared" si="183"/>
        <v>761.90476190476193</v>
      </c>
    </row>
    <row r="524" spans="1:29" hidden="1" x14ac:dyDescent="0.35">
      <c r="A524" s="179">
        <v>9</v>
      </c>
      <c r="B524" s="880" t="s">
        <v>22</v>
      </c>
      <c r="C524" s="82" t="s">
        <v>30</v>
      </c>
      <c r="D524" s="83" t="s">
        <v>29</v>
      </c>
      <c r="E524" s="892" t="str">
        <f>VLOOKUP(F524,'Quy đổi'!A:D,4,0)</f>
        <v>rHDPE ép</v>
      </c>
      <c r="F524" s="82" t="s">
        <v>210</v>
      </c>
      <c r="G524" s="82" t="s">
        <v>211</v>
      </c>
      <c r="H524" s="257" t="str">
        <f>IFERROR(VLOOKUP(F524,'Quy đổi'!A:C,3,0),"-")</f>
        <v>rHDI3Y01</v>
      </c>
      <c r="I524" s="1098">
        <v>2750</v>
      </c>
      <c r="J524" s="1098">
        <v>55000000</v>
      </c>
      <c r="K524" s="1098">
        <v>55000000</v>
      </c>
      <c r="O524" s="1097">
        <f t="shared" si="188"/>
        <v>55000000</v>
      </c>
      <c r="P524" s="1101">
        <f t="shared" si="181"/>
        <v>20000</v>
      </c>
      <c r="Q524" s="1101">
        <f t="shared" si="182"/>
        <v>761.90476190476181</v>
      </c>
      <c r="R524" s="1099">
        <v>64319222</v>
      </c>
      <c r="S524" s="1101">
        <f t="shared" si="172"/>
        <v>23388.808000000001</v>
      </c>
      <c r="T524" s="1101">
        <f t="shared" si="173"/>
        <v>954.64522448979596</v>
      </c>
      <c r="U524" s="1101">
        <f t="shared" si="174"/>
        <v>-9319222</v>
      </c>
      <c r="V524" s="1103">
        <f t="shared" si="175"/>
        <v>-0.16944039999999999</v>
      </c>
      <c r="W524" s="1098">
        <v>26250</v>
      </c>
      <c r="X524" s="1106">
        <f t="shared" si="184"/>
        <v>2095.2380952380954</v>
      </c>
      <c r="Y524" s="1106">
        <f t="shared" si="185"/>
        <v>2095.2380952380954</v>
      </c>
      <c r="Z524" s="1106">
        <f t="shared" si="186"/>
        <v>-355.01798095238092</v>
      </c>
      <c r="AA524" s="1106">
        <f t="shared" si="187"/>
        <v>2450.2560761904761</v>
      </c>
      <c r="AC524" s="1098">
        <f t="shared" si="183"/>
        <v>761.90476190476193</v>
      </c>
    </row>
    <row r="525" spans="1:29" hidden="1" x14ac:dyDescent="0.35">
      <c r="A525" s="179">
        <v>9</v>
      </c>
      <c r="B525" s="880" t="s">
        <v>22</v>
      </c>
      <c r="C525" s="82" t="s">
        <v>30</v>
      </c>
      <c r="D525" s="83" t="s">
        <v>29</v>
      </c>
      <c r="E525" s="892" t="str">
        <f>VLOOKUP(F525,'Quy đổi'!A:D,4,0)</f>
        <v>rPP</v>
      </c>
      <c r="F525" s="82" t="s">
        <v>9</v>
      </c>
      <c r="G525" s="82" t="s">
        <v>8</v>
      </c>
      <c r="H525" s="257" t="str">
        <f>IFERROR(VLOOKUP(F525,'Quy đổi'!A:C,3,0),"-")</f>
        <v>rPP20Gy01</v>
      </c>
      <c r="I525" s="1098">
        <v>25</v>
      </c>
      <c r="J525" s="1098">
        <v>715716</v>
      </c>
      <c r="K525" s="1098">
        <v>715716</v>
      </c>
      <c r="O525" s="1097">
        <f t="shared" si="188"/>
        <v>715716</v>
      </c>
      <c r="P525" s="1101">
        <f t="shared" si="181"/>
        <v>28628.639999999999</v>
      </c>
      <c r="Q525" s="1101">
        <f t="shared" si="182"/>
        <v>1090.6148571428571</v>
      </c>
      <c r="R525" s="1099">
        <v>708892</v>
      </c>
      <c r="S525" s="1101">
        <f t="shared" si="172"/>
        <v>28355.68</v>
      </c>
      <c r="T525" s="1101">
        <f t="shared" si="173"/>
        <v>1157.374693877551</v>
      </c>
      <c r="U525" s="1101">
        <f t="shared" si="174"/>
        <v>6824</v>
      </c>
      <c r="V525" s="1103">
        <f t="shared" si="175"/>
        <v>9.534508100978601E-3</v>
      </c>
      <c r="W525" s="1098">
        <v>26250</v>
      </c>
      <c r="X525" s="1106">
        <f t="shared" si="184"/>
        <v>27.265371428571427</v>
      </c>
      <c r="Y525" s="1106">
        <f t="shared" si="185"/>
        <v>27.265371428571427</v>
      </c>
      <c r="Z525" s="1106">
        <f t="shared" si="186"/>
        <v>0.25996190476190478</v>
      </c>
      <c r="AA525" s="1106">
        <f t="shared" si="187"/>
        <v>27.005409523809522</v>
      </c>
      <c r="AC525" s="1098">
        <f t="shared" si="183"/>
        <v>1090.6148571428571</v>
      </c>
    </row>
    <row r="526" spans="1:29" hidden="1" x14ac:dyDescent="0.35">
      <c r="A526" s="179">
        <v>9</v>
      </c>
      <c r="B526" s="880" t="s">
        <v>22</v>
      </c>
      <c r="C526" s="82" t="s">
        <v>132</v>
      </c>
      <c r="D526" s="83" t="s">
        <v>213</v>
      </c>
      <c r="E526" s="892" t="str">
        <f>VLOOKUP(F526,'Quy đổi'!A:D,4,0)</f>
        <v>rPET</v>
      </c>
      <c r="F526" s="82" t="s">
        <v>110</v>
      </c>
      <c r="G526" s="82" t="s">
        <v>109</v>
      </c>
      <c r="H526" s="257" t="str">
        <f>IFERROR(VLOOKUP(F526,'Quy đổi'!A:C,3,0),"-")</f>
        <v>WSS01G</v>
      </c>
      <c r="I526" s="1098">
        <v>330000</v>
      </c>
      <c r="J526" s="1098">
        <v>10885139100</v>
      </c>
      <c r="K526" s="1098">
        <v>10970850000</v>
      </c>
      <c r="L526" s="1056">
        <f>140*I526</f>
        <v>46200000</v>
      </c>
      <c r="O526" s="1097">
        <f t="shared" si="188"/>
        <v>10924650000</v>
      </c>
      <c r="P526" s="1101">
        <f t="shared" si="181"/>
        <v>33105</v>
      </c>
      <c r="Q526" s="1101">
        <f t="shared" si="182"/>
        <v>1261.1428571428571</v>
      </c>
      <c r="R526" s="1099">
        <v>8845608450</v>
      </c>
      <c r="S526" s="1101">
        <f t="shared" si="172"/>
        <v>26804.874090909092</v>
      </c>
      <c r="T526" s="1101">
        <f t="shared" si="173"/>
        <v>1094.0764935064935</v>
      </c>
      <c r="U526" s="1101">
        <f t="shared" si="174"/>
        <v>2079041550</v>
      </c>
      <c r="V526" s="1103">
        <f t="shared" si="175"/>
        <v>0.18950596808816089</v>
      </c>
      <c r="W526" s="1098">
        <v>26250</v>
      </c>
      <c r="X526" s="1106">
        <f t="shared" si="184"/>
        <v>416177.14285714284</v>
      </c>
      <c r="Y526" s="1106">
        <f t="shared" si="185"/>
        <v>417937.14285714284</v>
      </c>
      <c r="Z526" s="1106">
        <f t="shared" si="186"/>
        <v>79201.582857142857</v>
      </c>
      <c r="AA526" s="1106">
        <f t="shared" si="187"/>
        <v>336975.56</v>
      </c>
      <c r="AC526" s="1098">
        <f t="shared" si="183"/>
        <v>1261.1428571428571</v>
      </c>
    </row>
    <row r="527" spans="1:29" hidden="1" x14ac:dyDescent="0.35">
      <c r="A527" s="179">
        <v>9</v>
      </c>
      <c r="B527" s="880" t="s">
        <v>22</v>
      </c>
      <c r="C527" s="82" t="s">
        <v>134</v>
      </c>
      <c r="D527" s="83" t="s">
        <v>133</v>
      </c>
      <c r="E527" s="892" t="str">
        <f>VLOOKUP(F527,'Quy đổi'!A:D,4,0)</f>
        <v>rPET</v>
      </c>
      <c r="F527" s="82" t="s">
        <v>1015</v>
      </c>
      <c r="G527" s="82" t="s">
        <v>1078</v>
      </c>
      <c r="H527" s="257" t="str">
        <f>IFERROR(VLOOKUP(F527,'Quy đổi'!A:C,3,0),"-")</f>
        <v>WSS01 &amp; WSS01G-L</v>
      </c>
      <c r="I527" s="1098">
        <v>237600</v>
      </c>
      <c r="J527" s="1098">
        <v>8726161752</v>
      </c>
      <c r="K527" s="1098">
        <v>8726161752</v>
      </c>
      <c r="O527" s="1097">
        <f t="shared" si="188"/>
        <v>8726161752</v>
      </c>
      <c r="P527" s="1101">
        <f t="shared" si="181"/>
        <v>36726.269999999997</v>
      </c>
      <c r="Q527" s="1101">
        <f t="shared" si="182"/>
        <v>1399.096</v>
      </c>
      <c r="R527" s="1099">
        <v>7171618534</v>
      </c>
      <c r="S527" s="1101">
        <f t="shared" si="172"/>
        <v>30183.579688552189</v>
      </c>
      <c r="T527" s="1101">
        <f t="shared" si="173"/>
        <v>1231.9828444307016</v>
      </c>
      <c r="U527" s="1101">
        <f t="shared" si="174"/>
        <v>1554543218</v>
      </c>
      <c r="V527" s="1103">
        <f t="shared" si="175"/>
        <v>0.17814742176234644</v>
      </c>
      <c r="W527" s="1098">
        <v>26250</v>
      </c>
      <c r="X527" s="1106">
        <f t="shared" si="184"/>
        <v>332425.2096</v>
      </c>
      <c r="Y527" s="1106">
        <f t="shared" si="185"/>
        <v>332425.2096</v>
      </c>
      <c r="Z527" s="1106">
        <f t="shared" si="186"/>
        <v>59220.694019047616</v>
      </c>
      <c r="AA527" s="1106">
        <f t="shared" si="187"/>
        <v>273204.5155809524</v>
      </c>
      <c r="AC527" s="1098">
        <f t="shared" si="183"/>
        <v>1399.096</v>
      </c>
    </row>
    <row r="528" spans="1:29" hidden="1" x14ac:dyDescent="0.35">
      <c r="A528" s="179">
        <v>9</v>
      </c>
      <c r="B528" s="880" t="s">
        <v>22</v>
      </c>
      <c r="C528" s="82" t="s">
        <v>347</v>
      </c>
      <c r="D528" s="83" t="s">
        <v>348</v>
      </c>
      <c r="E528" s="892" t="str">
        <f>VLOOKUP(F528,'Quy đổi'!A:D,4,0)</f>
        <v>rPET</v>
      </c>
      <c r="F528" s="82" t="s">
        <v>110</v>
      </c>
      <c r="G528" s="82" t="s">
        <v>109</v>
      </c>
      <c r="H528" s="257" t="str">
        <f>IFERROR(VLOOKUP(F528,'Quy đổi'!A:C,3,0),"-")</f>
        <v>WSS01G</v>
      </c>
      <c r="I528" s="1098">
        <v>500</v>
      </c>
      <c r="J528" s="1098">
        <v>16622500</v>
      </c>
      <c r="K528" s="1098">
        <v>17822500</v>
      </c>
      <c r="L528" s="1056">
        <v>1200000</v>
      </c>
      <c r="O528" s="1097">
        <f t="shared" si="188"/>
        <v>16622500</v>
      </c>
      <c r="P528" s="1101">
        <f t="shared" si="181"/>
        <v>33245</v>
      </c>
      <c r="Q528" s="1101">
        <f t="shared" si="182"/>
        <v>1266.4761904761906</v>
      </c>
      <c r="R528" s="1099">
        <v>13402437</v>
      </c>
      <c r="S528" s="1101">
        <f t="shared" si="172"/>
        <v>26804.874</v>
      </c>
      <c r="T528" s="1101">
        <f t="shared" si="173"/>
        <v>1094.0764897959184</v>
      </c>
      <c r="U528" s="1101">
        <f t="shared" si="174"/>
        <v>3220063</v>
      </c>
      <c r="V528" s="1103">
        <f t="shared" si="175"/>
        <v>0.18067403562912049</v>
      </c>
      <c r="W528" s="1098">
        <v>26250</v>
      </c>
      <c r="X528" s="1106">
        <f t="shared" si="184"/>
        <v>633.23809523809518</v>
      </c>
      <c r="Y528" s="1106">
        <f t="shared" si="185"/>
        <v>678.95238095238096</v>
      </c>
      <c r="Z528" s="1106">
        <f t="shared" si="186"/>
        <v>122.66906666666667</v>
      </c>
      <c r="AA528" s="1106">
        <f t="shared" si="187"/>
        <v>510.56902857142859</v>
      </c>
      <c r="AC528" s="1098">
        <f t="shared" si="183"/>
        <v>1266.4761904761904</v>
      </c>
    </row>
    <row r="529" spans="1:29" hidden="1" x14ac:dyDescent="0.35">
      <c r="A529" s="179">
        <v>9</v>
      </c>
      <c r="B529" s="880" t="s">
        <v>22</v>
      </c>
      <c r="C529" s="82" t="s">
        <v>176</v>
      </c>
      <c r="D529" s="83" t="s">
        <v>177</v>
      </c>
      <c r="E529" s="892" t="str">
        <f>VLOOKUP(F529,'Quy đổi'!A:D,4,0)</f>
        <v>rPET</v>
      </c>
      <c r="F529" s="82" t="s">
        <v>127</v>
      </c>
      <c r="G529" s="82" t="s">
        <v>969</v>
      </c>
      <c r="H529" s="257" t="str">
        <f>IFERROR(VLOOKUP(F529,'Quy đổi'!A:C,3,0),"-")</f>
        <v>iSS01084G</v>
      </c>
      <c r="I529" s="1098">
        <v>0</v>
      </c>
      <c r="J529" s="1098">
        <v>0</v>
      </c>
      <c r="K529" s="1098">
        <v>-268400</v>
      </c>
      <c r="O529" s="1097">
        <f t="shared" si="188"/>
        <v>-268400</v>
      </c>
      <c r="P529" s="1101" t="e">
        <f t="shared" si="181"/>
        <v>#DIV/0!</v>
      </c>
      <c r="Q529" s="1101" t="e">
        <f t="shared" si="182"/>
        <v>#DIV/0!</v>
      </c>
      <c r="R529" s="1099">
        <v>0</v>
      </c>
      <c r="S529" s="1101" t="e">
        <f t="shared" si="172"/>
        <v>#DIV/0!</v>
      </c>
      <c r="T529" s="1101" t="e">
        <f t="shared" si="173"/>
        <v>#DIV/0!</v>
      </c>
      <c r="U529" s="1101">
        <f t="shared" si="174"/>
        <v>-268400</v>
      </c>
      <c r="V529" s="1103">
        <f t="shared" si="175"/>
        <v>1</v>
      </c>
      <c r="W529" s="1098">
        <v>26250</v>
      </c>
      <c r="X529" s="1106">
        <f t="shared" si="184"/>
        <v>-10.224761904761905</v>
      </c>
      <c r="Y529" s="1106">
        <f t="shared" si="185"/>
        <v>-10.224761904761905</v>
      </c>
      <c r="Z529" s="1106">
        <f t="shared" si="186"/>
        <v>-10.224761904761905</v>
      </c>
      <c r="AA529" s="1106">
        <f t="shared" si="187"/>
        <v>0</v>
      </c>
      <c r="AC529" s="1098" t="e">
        <f t="shared" si="183"/>
        <v>#DIV/0!</v>
      </c>
    </row>
    <row r="530" spans="1:29" hidden="1" x14ac:dyDescent="0.35">
      <c r="A530" s="179">
        <v>9</v>
      </c>
      <c r="B530" s="880" t="s">
        <v>22</v>
      </c>
      <c r="C530" s="82" t="s">
        <v>176</v>
      </c>
      <c r="D530" s="83" t="s">
        <v>177</v>
      </c>
      <c r="E530" s="892" t="str">
        <f>VLOOKUP(F530,'Quy đổi'!A:D,4,0)</f>
        <v>rPET</v>
      </c>
      <c r="F530" s="82" t="s">
        <v>127</v>
      </c>
      <c r="G530" s="82" t="s">
        <v>969</v>
      </c>
      <c r="H530" s="257" t="str">
        <f>IFERROR(VLOOKUP(F530,'Quy đổi'!A:C,3,0),"-")</f>
        <v>iSS01084G</v>
      </c>
      <c r="I530" s="1098">
        <v>-181500</v>
      </c>
      <c r="J530" s="1098">
        <v>0</v>
      </c>
      <c r="K530" s="1098">
        <v>-6716139100</v>
      </c>
      <c r="L530" s="1056">
        <f>18148148.1481481*8</f>
        <v>145185185.18518481</v>
      </c>
      <c r="N530" s="1056">
        <v>-41235923.519999996</v>
      </c>
      <c r="O530" s="1097">
        <f t="shared" si="188"/>
        <v>-6820088361.665185</v>
      </c>
      <c r="P530" s="1101">
        <f t="shared" si="181"/>
        <v>37576.244416888068</v>
      </c>
      <c r="Q530" s="1101">
        <f t="shared" si="182"/>
        <v>1431.4759777862121</v>
      </c>
      <c r="R530" s="1099">
        <v>-5345990587</v>
      </c>
      <c r="S530" s="1101">
        <f t="shared" si="172"/>
        <v>29454.493592286501</v>
      </c>
      <c r="T530" s="1101">
        <f t="shared" si="173"/>
        <v>1202.2242282565919</v>
      </c>
      <c r="U530" s="1101">
        <f t="shared" si="174"/>
        <v>-1474097774.665185</v>
      </c>
      <c r="V530" s="1103">
        <f t="shared" si="175"/>
        <v>0.21948589103301702</v>
      </c>
      <c r="W530" s="1098">
        <v>26250</v>
      </c>
      <c r="X530" s="1106">
        <f t="shared" si="184"/>
        <v>-259812.88996819753</v>
      </c>
      <c r="Y530" s="1106">
        <f t="shared" si="185"/>
        <v>-255852.9180952381</v>
      </c>
      <c r="Z530" s="1106">
        <f t="shared" si="186"/>
        <v>-56156.105701530854</v>
      </c>
      <c r="AA530" s="1106">
        <f t="shared" si="187"/>
        <v>-203656.78426666665</v>
      </c>
      <c r="AC530" s="1098">
        <f t="shared" si="183"/>
        <v>1431.4759777862123</v>
      </c>
    </row>
    <row r="531" spans="1:29" hidden="1" x14ac:dyDescent="0.35">
      <c r="A531" s="179">
        <v>9</v>
      </c>
      <c r="B531" s="880" t="s">
        <v>22</v>
      </c>
      <c r="C531" s="82" t="s">
        <v>176</v>
      </c>
      <c r="D531" s="83" t="s">
        <v>177</v>
      </c>
      <c r="E531" s="892" t="str">
        <f>VLOOKUP(F531,'Quy đổi'!A:D,4,0)</f>
        <v>rPET</v>
      </c>
      <c r="F531" s="82" t="s">
        <v>127</v>
      </c>
      <c r="G531" s="82" t="s">
        <v>969</v>
      </c>
      <c r="H531" s="257" t="str">
        <f>IFERROR(VLOOKUP(F531,'Quy đổi'!A:C,3,0),"-")</f>
        <v>iSS01084G</v>
      </c>
      <c r="I531" s="1098">
        <v>308000</v>
      </c>
      <c r="J531" s="1098">
        <v>10753535100</v>
      </c>
      <c r="K531" s="1098">
        <v>10969420000</v>
      </c>
      <c r="L531" s="1056">
        <f>28000000*9+28500000+18148148.1452+29000000*2+13425925.9259259</f>
        <v>370074074.07112592</v>
      </c>
      <c r="N531" s="1056">
        <v>103694580</v>
      </c>
      <c r="O531" s="1097">
        <f t="shared" si="188"/>
        <v>10495651345.928875</v>
      </c>
      <c r="P531" s="1101">
        <f t="shared" si="181"/>
        <v>34076.790084184657</v>
      </c>
      <c r="Q531" s="1101">
        <f t="shared" si="182"/>
        <v>1298.1634317784631</v>
      </c>
      <c r="R531" s="1099">
        <v>9071984026</v>
      </c>
      <c r="S531" s="1101">
        <f t="shared" si="172"/>
        <v>29454.493590909089</v>
      </c>
      <c r="T531" s="1101">
        <f t="shared" si="173"/>
        <v>1202.224228200371</v>
      </c>
      <c r="U531" s="1101">
        <f t="shared" si="174"/>
        <v>1423667319.928875</v>
      </c>
      <c r="V531" s="1103">
        <f t="shared" si="175"/>
        <v>0.12978510440195334</v>
      </c>
      <c r="W531" s="1098">
        <v>26250</v>
      </c>
      <c r="X531" s="1106">
        <f t="shared" si="184"/>
        <v>399834.33698776667</v>
      </c>
      <c r="Y531" s="1106">
        <f t="shared" si="185"/>
        <v>417882.66666666669</v>
      </c>
      <c r="Z531" s="1106">
        <f t="shared" si="186"/>
        <v>54234.945521100002</v>
      </c>
      <c r="AA531" s="1106">
        <f t="shared" si="187"/>
        <v>345599.39146666665</v>
      </c>
      <c r="AC531" s="1098">
        <f t="shared" si="183"/>
        <v>1298.1634317784631</v>
      </c>
    </row>
    <row r="532" spans="1:29" hidden="1" x14ac:dyDescent="0.35">
      <c r="A532" s="179">
        <v>9</v>
      </c>
      <c r="B532" s="880" t="s">
        <v>22</v>
      </c>
      <c r="C532" s="82" t="s">
        <v>131</v>
      </c>
      <c r="D532" s="83" t="s">
        <v>214</v>
      </c>
      <c r="E532" s="892" t="str">
        <f>VLOOKUP(F532,'Quy đổi'!A:D,4,0)</f>
        <v>rPET</v>
      </c>
      <c r="F532" s="82" t="s">
        <v>110</v>
      </c>
      <c r="G532" s="82" t="s">
        <v>109</v>
      </c>
      <c r="H532" s="257" t="str">
        <f>IFERROR(VLOOKUP(F532,'Quy đổi'!A:C,3,0),"-")</f>
        <v>WSS01G</v>
      </c>
      <c r="I532" s="1098">
        <v>66000</v>
      </c>
      <c r="J532" s="1098">
        <v>2125728000</v>
      </c>
      <c r="K532" s="1098">
        <v>2125728000</v>
      </c>
      <c r="L532" s="1056">
        <f>140*I532</f>
        <v>9240000</v>
      </c>
      <c r="O532" s="1097">
        <f t="shared" si="188"/>
        <v>2116488000</v>
      </c>
      <c r="P532" s="1101">
        <f t="shared" si="181"/>
        <v>32068</v>
      </c>
      <c r="Q532" s="1101">
        <f t="shared" si="182"/>
        <v>1221.6380952380953</v>
      </c>
      <c r="R532" s="1099">
        <v>1769121689</v>
      </c>
      <c r="S532" s="1101">
        <f t="shared" si="172"/>
        <v>26804.874075757576</v>
      </c>
      <c r="T532" s="1101">
        <f t="shared" si="173"/>
        <v>1094.0764928880644</v>
      </c>
      <c r="U532" s="1101">
        <f t="shared" si="174"/>
        <v>347366311</v>
      </c>
      <c r="V532" s="1103">
        <f t="shared" si="175"/>
        <v>0.1634105167735477</v>
      </c>
      <c r="W532" s="1098">
        <v>26250</v>
      </c>
      <c r="X532" s="1106">
        <f t="shared" si="184"/>
        <v>80628.114285714284</v>
      </c>
      <c r="Y532" s="1106">
        <f t="shared" si="185"/>
        <v>80980.114285714284</v>
      </c>
      <c r="Z532" s="1106">
        <f t="shared" si="186"/>
        <v>13233.002323809524</v>
      </c>
      <c r="AA532" s="1106">
        <f t="shared" si="187"/>
        <v>67395.111961904768</v>
      </c>
      <c r="AC532" s="1098">
        <f t="shared" si="183"/>
        <v>1221.6380952380953</v>
      </c>
    </row>
    <row r="533" spans="1:29" hidden="1" x14ac:dyDescent="0.35">
      <c r="A533" s="179">
        <v>9</v>
      </c>
      <c r="C533" s="82" t="s">
        <v>129</v>
      </c>
      <c r="D533" s="83" t="s">
        <v>510</v>
      </c>
      <c r="E533" s="892" t="s">
        <v>404</v>
      </c>
      <c r="F533" s="82" t="s">
        <v>911</v>
      </c>
      <c r="G533" s="82" t="s">
        <v>912</v>
      </c>
      <c r="H533" s="257" t="str">
        <f>IFERROR(VLOOKUP(F533,'Quy đổi'!A:C,3,0),"-")</f>
        <v>-</v>
      </c>
      <c r="I533" s="1098">
        <v>0</v>
      </c>
      <c r="J533" s="1098">
        <v>5950200</v>
      </c>
      <c r="K533" s="1098">
        <v>5950200</v>
      </c>
      <c r="O533" s="1097">
        <f t="shared" si="188"/>
        <v>5950200</v>
      </c>
      <c r="P533" s="1101" t="e">
        <f t="shared" si="181"/>
        <v>#DIV/0!</v>
      </c>
      <c r="Q533" s="1101" t="e">
        <f t="shared" si="182"/>
        <v>#DIV/0!</v>
      </c>
      <c r="R533" s="1099">
        <v>0</v>
      </c>
      <c r="S533" s="1101" t="e">
        <f t="shared" si="172"/>
        <v>#DIV/0!</v>
      </c>
      <c r="T533" s="1101" t="e">
        <f t="shared" si="173"/>
        <v>#DIV/0!</v>
      </c>
      <c r="U533" s="1101">
        <f t="shared" si="174"/>
        <v>5950200</v>
      </c>
      <c r="V533" s="1103">
        <f t="shared" si="175"/>
        <v>1</v>
      </c>
      <c r="W533" s="1098">
        <v>26250</v>
      </c>
      <c r="X533" s="1106">
        <f t="shared" si="184"/>
        <v>226.6742857142857</v>
      </c>
      <c r="Y533" s="1106">
        <f t="shared" si="185"/>
        <v>226.6742857142857</v>
      </c>
      <c r="Z533" s="1106">
        <f t="shared" si="186"/>
        <v>226.6742857142857</v>
      </c>
      <c r="AA533" s="1106">
        <f t="shared" si="187"/>
        <v>0</v>
      </c>
      <c r="AC533" s="1098" t="e">
        <f t="shared" si="183"/>
        <v>#DIV/0!</v>
      </c>
    </row>
    <row r="534" spans="1:29" hidden="1" x14ac:dyDescent="0.35">
      <c r="A534" s="179">
        <v>9</v>
      </c>
      <c r="C534" s="82" t="s">
        <v>710</v>
      </c>
      <c r="D534" s="83" t="s">
        <v>711</v>
      </c>
      <c r="E534" s="892" t="s">
        <v>413</v>
      </c>
      <c r="F534" s="82" t="s">
        <v>911</v>
      </c>
      <c r="G534" s="82" t="s">
        <v>912</v>
      </c>
      <c r="H534" s="257" t="str">
        <f>IFERROR(VLOOKUP(F534,'Quy đổi'!A:C,3,0),"-")</f>
        <v>-</v>
      </c>
      <c r="I534" s="1098">
        <v>0</v>
      </c>
      <c r="J534" s="1098">
        <v>2866219</v>
      </c>
      <c r="K534" s="1098">
        <v>2866219</v>
      </c>
      <c r="O534" s="1097">
        <f t="shared" si="188"/>
        <v>2866219</v>
      </c>
      <c r="P534" s="1101" t="e">
        <f t="shared" si="181"/>
        <v>#DIV/0!</v>
      </c>
      <c r="Q534" s="1101" t="e">
        <f t="shared" si="182"/>
        <v>#DIV/0!</v>
      </c>
      <c r="R534" s="1099">
        <v>0</v>
      </c>
      <c r="S534" s="1101" t="e">
        <f t="shared" si="172"/>
        <v>#DIV/0!</v>
      </c>
      <c r="T534" s="1101" t="e">
        <f t="shared" si="173"/>
        <v>#DIV/0!</v>
      </c>
      <c r="U534" s="1101">
        <f t="shared" si="174"/>
        <v>2866219</v>
      </c>
      <c r="V534" s="1103">
        <f t="shared" si="175"/>
        <v>1</v>
      </c>
      <c r="W534" s="1098">
        <v>26250</v>
      </c>
      <c r="X534" s="1106">
        <f t="shared" si="184"/>
        <v>109.18929523809524</v>
      </c>
      <c r="Y534" s="1106">
        <f t="shared" si="185"/>
        <v>109.18929523809524</v>
      </c>
      <c r="Z534" s="1106">
        <f t="shared" si="186"/>
        <v>109.18929523809524</v>
      </c>
      <c r="AA534" s="1106">
        <f t="shared" si="187"/>
        <v>0</v>
      </c>
      <c r="AC534" s="1098" t="e">
        <f t="shared" si="183"/>
        <v>#DIV/0!</v>
      </c>
    </row>
    <row r="535" spans="1:29" hidden="1" x14ac:dyDescent="0.35">
      <c r="A535" s="179">
        <v>9</v>
      </c>
      <c r="C535" s="82" t="s">
        <v>710</v>
      </c>
      <c r="D535" s="83" t="s">
        <v>711</v>
      </c>
      <c r="E535" s="892" t="s">
        <v>413</v>
      </c>
      <c r="F535" s="82" t="s">
        <v>911</v>
      </c>
      <c r="G535" s="82" t="s">
        <v>912</v>
      </c>
      <c r="H535" s="257" t="str">
        <f>IFERROR(VLOOKUP(F535,'Quy đổi'!A:C,3,0),"-")</f>
        <v>-</v>
      </c>
      <c r="I535" s="1098">
        <v>0</v>
      </c>
      <c r="J535" s="1098">
        <v>52731480</v>
      </c>
      <c r="K535" s="1098">
        <v>52731480</v>
      </c>
      <c r="O535" s="1097">
        <f t="shared" si="188"/>
        <v>52731480</v>
      </c>
      <c r="P535" s="1101" t="e">
        <f t="shared" si="181"/>
        <v>#DIV/0!</v>
      </c>
      <c r="Q535" s="1101" t="e">
        <f t="shared" si="182"/>
        <v>#DIV/0!</v>
      </c>
      <c r="R535" s="1099">
        <v>0</v>
      </c>
      <c r="S535" s="1101" t="e">
        <f t="shared" si="172"/>
        <v>#DIV/0!</v>
      </c>
      <c r="T535" s="1101" t="e">
        <f t="shared" si="173"/>
        <v>#DIV/0!</v>
      </c>
      <c r="U535" s="1101">
        <f t="shared" si="174"/>
        <v>52731480</v>
      </c>
      <c r="V535" s="1103">
        <f t="shared" si="175"/>
        <v>1</v>
      </c>
      <c r="W535" s="1098">
        <v>26250</v>
      </c>
      <c r="X535" s="1106">
        <f t="shared" si="184"/>
        <v>2008.8182857142858</v>
      </c>
      <c r="Y535" s="1106">
        <f t="shared" si="185"/>
        <v>2008.8182857142858</v>
      </c>
      <c r="Z535" s="1106">
        <f t="shared" si="186"/>
        <v>2008.8182857142858</v>
      </c>
      <c r="AA535" s="1106">
        <f t="shared" si="187"/>
        <v>0</v>
      </c>
      <c r="AC535" s="1098" t="e">
        <f t="shared" si="183"/>
        <v>#DIV/0!</v>
      </c>
    </row>
    <row r="536" spans="1:29" hidden="1" x14ac:dyDescent="0.35">
      <c r="A536" s="179">
        <v>9</v>
      </c>
      <c r="C536" s="82" t="s">
        <v>710</v>
      </c>
      <c r="D536" s="83" t="s">
        <v>711</v>
      </c>
      <c r="E536" s="892" t="s">
        <v>413</v>
      </c>
      <c r="F536" s="82" t="s">
        <v>911</v>
      </c>
      <c r="G536" s="82" t="s">
        <v>912</v>
      </c>
      <c r="H536" s="257" t="str">
        <f>IFERROR(VLOOKUP(F536,'Quy đổi'!A:C,3,0),"-")</f>
        <v>-</v>
      </c>
      <c r="I536" s="1098">
        <v>0</v>
      </c>
      <c r="J536" s="1098">
        <v>-597608</v>
      </c>
      <c r="K536" s="1098">
        <v>-597608</v>
      </c>
      <c r="O536" s="1097">
        <f t="shared" si="188"/>
        <v>-597608</v>
      </c>
      <c r="P536" s="1101" t="e">
        <f t="shared" si="181"/>
        <v>#DIV/0!</v>
      </c>
      <c r="Q536" s="1101" t="e">
        <f t="shared" si="182"/>
        <v>#DIV/0!</v>
      </c>
      <c r="R536" s="1099">
        <v>0</v>
      </c>
      <c r="S536" s="1101" t="e">
        <f t="shared" si="172"/>
        <v>#DIV/0!</v>
      </c>
      <c r="T536" s="1101" t="e">
        <f t="shared" si="173"/>
        <v>#DIV/0!</v>
      </c>
      <c r="U536" s="1101">
        <f t="shared" si="174"/>
        <v>-597608</v>
      </c>
      <c r="V536" s="1103">
        <f t="shared" si="175"/>
        <v>1</v>
      </c>
      <c r="W536" s="1098">
        <v>26250</v>
      </c>
      <c r="X536" s="1106">
        <f t="shared" si="184"/>
        <v>-22.766019047619046</v>
      </c>
      <c r="Y536" s="1106">
        <f t="shared" si="185"/>
        <v>-22.766019047619046</v>
      </c>
      <c r="Z536" s="1106">
        <f t="shared" si="186"/>
        <v>-22.766019047619046</v>
      </c>
      <c r="AA536" s="1106">
        <f t="shared" si="187"/>
        <v>0</v>
      </c>
      <c r="AC536" s="1098" t="e">
        <f t="shared" si="183"/>
        <v>#DIV/0!</v>
      </c>
    </row>
    <row r="537" spans="1:29" hidden="1" x14ac:dyDescent="0.35">
      <c r="A537" s="179">
        <v>9</v>
      </c>
      <c r="B537" s="880" t="s">
        <v>22</v>
      </c>
      <c r="C537" s="82" t="s">
        <v>710</v>
      </c>
      <c r="D537" s="83" t="s">
        <v>711</v>
      </c>
      <c r="E537" s="892" t="s">
        <v>1091</v>
      </c>
      <c r="F537" s="82" t="s">
        <v>838</v>
      </c>
      <c r="G537" s="82" t="s">
        <v>839</v>
      </c>
      <c r="H537" s="257">
        <f>IFERROR(VLOOKUP(F537,'Quy đổi'!A:C,3,0),"-")</f>
        <v>0</v>
      </c>
      <c r="I537" s="1098">
        <v>7718</v>
      </c>
      <c r="J537" s="1098">
        <v>114340741</v>
      </c>
      <c r="K537" s="1098">
        <v>114340741</v>
      </c>
      <c r="O537" s="1097">
        <f t="shared" si="188"/>
        <v>114340741</v>
      </c>
      <c r="P537" s="1101">
        <f t="shared" si="181"/>
        <v>14814.814848406322</v>
      </c>
      <c r="Q537" s="1101">
        <f t="shared" si="182"/>
        <v>564.37389898690753</v>
      </c>
      <c r="R537" s="1099">
        <v>115815892</v>
      </c>
      <c r="S537" s="1101">
        <f t="shared" si="172"/>
        <v>15005.946100025914</v>
      </c>
      <c r="T537" s="1101">
        <f t="shared" si="173"/>
        <v>612.48759591942508</v>
      </c>
      <c r="U537" s="1101">
        <f t="shared" si="174"/>
        <v>-1475151</v>
      </c>
      <c r="V537" s="1103">
        <f t="shared" si="175"/>
        <v>-1.2901359455069475E-2</v>
      </c>
      <c r="W537" s="1098">
        <v>26250</v>
      </c>
      <c r="X537" s="1106">
        <f t="shared" si="184"/>
        <v>4355.8377523809522</v>
      </c>
      <c r="Y537" s="1106">
        <f t="shared" si="185"/>
        <v>4355.8377523809522</v>
      </c>
      <c r="Z537" s="1106">
        <f t="shared" si="186"/>
        <v>-56.19622857142857</v>
      </c>
      <c r="AA537" s="1106">
        <f t="shared" si="187"/>
        <v>4412.0339809523812</v>
      </c>
      <c r="AC537" s="1098">
        <f t="shared" si="183"/>
        <v>564.37389898690753</v>
      </c>
    </row>
    <row r="538" spans="1:29" hidden="1" x14ac:dyDescent="0.35">
      <c r="A538" s="179">
        <v>9</v>
      </c>
      <c r="C538" s="82" t="s">
        <v>710</v>
      </c>
      <c r="D538" s="83" t="s">
        <v>711</v>
      </c>
      <c r="E538" s="892" t="str">
        <f>VLOOKUP(F538,'Quy đổi'!A:D,4,0)</f>
        <v>Phó sản</v>
      </c>
      <c r="F538" s="82" t="s">
        <v>1079</v>
      </c>
      <c r="G538" s="82" t="s">
        <v>1080</v>
      </c>
      <c r="H538" s="257">
        <f>IFERROR(VLOOKUP(F538,'Quy đổi'!A:C,3,0),"-")</f>
        <v>0</v>
      </c>
      <c r="I538" s="1098">
        <v>14422</v>
      </c>
      <c r="J538" s="1098">
        <v>1335370</v>
      </c>
      <c r="K538" s="1098">
        <v>1335370</v>
      </c>
      <c r="O538" s="1097">
        <f t="shared" si="188"/>
        <v>1335370</v>
      </c>
      <c r="P538" s="1101">
        <f t="shared" si="181"/>
        <v>92.592566911662743</v>
      </c>
      <c r="Q538" s="1101">
        <f t="shared" si="182"/>
        <v>3.5273358823490568</v>
      </c>
      <c r="R538" s="1099">
        <v>122019603</v>
      </c>
      <c r="S538" s="1101">
        <f t="shared" si="172"/>
        <v>8460.6575370961036</v>
      </c>
      <c r="T538" s="1101">
        <f t="shared" si="173"/>
        <v>345.33296069780016</v>
      </c>
      <c r="U538" s="1101">
        <f t="shared" si="174"/>
        <v>-120684233</v>
      </c>
      <c r="V538" s="1103">
        <f t="shared" si="175"/>
        <v>-90.37512674389869</v>
      </c>
      <c r="W538" s="1098">
        <v>26250</v>
      </c>
      <c r="X538" s="1106">
        <f t="shared" si="184"/>
        <v>50.871238095238098</v>
      </c>
      <c r="Y538" s="1106">
        <f t="shared" si="185"/>
        <v>50.871238095238098</v>
      </c>
      <c r="Z538" s="1106">
        <f t="shared" si="186"/>
        <v>-4597.4945904761908</v>
      </c>
      <c r="AA538" s="1106">
        <f t="shared" si="187"/>
        <v>4648.3658285714282</v>
      </c>
      <c r="AC538" s="1098">
        <f t="shared" si="183"/>
        <v>3.5273358823490568</v>
      </c>
    </row>
    <row r="539" spans="1:29" hidden="1" x14ac:dyDescent="0.35">
      <c r="A539" s="179">
        <v>9</v>
      </c>
      <c r="B539" s="880" t="s">
        <v>22</v>
      </c>
      <c r="C539" s="82" t="s">
        <v>77</v>
      </c>
      <c r="D539" s="83" t="s">
        <v>76</v>
      </c>
      <c r="E539" s="892" t="str">
        <f>VLOOKUP(F539,'Quy đổi'!A:D,4,0)</f>
        <v>rHDPE thổi</v>
      </c>
      <c r="F539" s="82" t="s">
        <v>69</v>
      </c>
      <c r="G539" s="82" t="s">
        <v>68</v>
      </c>
      <c r="H539" s="257" t="str">
        <f>IFERROR(VLOOKUP(F539,'Quy đổi'!A:C,3,0),"-")</f>
        <v>MBF01</v>
      </c>
      <c r="I539" s="1098">
        <v>35750</v>
      </c>
      <c r="J539" s="1098">
        <v>1281383250</v>
      </c>
      <c r="K539" s="1098">
        <v>1315883250</v>
      </c>
      <c r="L539" s="1056">
        <f>12962962.9629222+18148148.1452</f>
        <v>31111111.1081222</v>
      </c>
      <c r="O539" s="1097">
        <f t="shared" si="188"/>
        <v>1284772138.8918779</v>
      </c>
      <c r="P539" s="1101">
        <f t="shared" si="181"/>
        <v>35937.682206765814</v>
      </c>
      <c r="Q539" s="1101">
        <f t="shared" si="182"/>
        <v>1369.0545602577454</v>
      </c>
      <c r="R539" s="1099">
        <v>967574536</v>
      </c>
      <c r="S539" s="1101">
        <f t="shared" si="172"/>
        <v>27065.021986013988</v>
      </c>
      <c r="T539" s="1101">
        <f t="shared" si="173"/>
        <v>1104.6947749393464</v>
      </c>
      <c r="U539" s="1101">
        <f t="shared" si="174"/>
        <v>317197602.89187789</v>
      </c>
      <c r="V539" s="1103">
        <f t="shared" si="175"/>
        <v>0.24105299835063473</v>
      </c>
      <c r="W539" s="1098">
        <v>26250</v>
      </c>
      <c r="X539" s="1106">
        <f t="shared" si="184"/>
        <v>48943.700529214395</v>
      </c>
      <c r="Y539" s="1106">
        <f t="shared" si="185"/>
        <v>50128.885714285716</v>
      </c>
      <c r="Z539" s="1106">
        <f t="shared" si="186"/>
        <v>12083.718205404872</v>
      </c>
      <c r="AA539" s="1106">
        <f t="shared" si="187"/>
        <v>36859.982323809527</v>
      </c>
      <c r="AC539" s="1098">
        <f t="shared" si="183"/>
        <v>1369.0545602577454</v>
      </c>
    </row>
    <row r="540" spans="1:29" hidden="1" x14ac:dyDescent="0.35">
      <c r="A540" s="179">
        <v>9</v>
      </c>
      <c r="C540" s="82" t="s">
        <v>635</v>
      </c>
      <c r="D540" s="83" t="s">
        <v>636</v>
      </c>
      <c r="E540" s="892" t="str">
        <f>VLOOKUP(F540,'Quy đổi'!A:D,4,0)</f>
        <v>Dây đai</v>
      </c>
      <c r="F540" s="82" t="s">
        <v>649</v>
      </c>
      <c r="G540" s="82" t="s">
        <v>650</v>
      </c>
      <c r="H540" s="257">
        <f>IFERROR(VLOOKUP(F540,'Quy đổi'!A:C,3,0),"-")</f>
        <v>0</v>
      </c>
      <c r="I540" s="1098">
        <v>220000</v>
      </c>
      <c r="J540" s="1098">
        <v>4056500000</v>
      </c>
      <c r="K540" s="1098">
        <v>4056500000</v>
      </c>
      <c r="M540" s="1056">
        <v>295650000</v>
      </c>
      <c r="O540" s="1097">
        <f t="shared" si="188"/>
        <v>3760850000</v>
      </c>
      <c r="P540" s="1101">
        <f t="shared" si="181"/>
        <v>17094.772727272728</v>
      </c>
      <c r="Q540" s="1101">
        <f t="shared" si="182"/>
        <v>651.22943722943728</v>
      </c>
      <c r="R540" s="1099">
        <v>5039013411</v>
      </c>
      <c r="S540" s="1101">
        <f t="shared" si="172"/>
        <v>22904.606413636364</v>
      </c>
      <c r="T540" s="1101">
        <f t="shared" si="173"/>
        <v>934.88189443413728</v>
      </c>
      <c r="U540" s="1101">
        <f t="shared" si="174"/>
        <v>-1278163411</v>
      </c>
      <c r="V540" s="1103">
        <f t="shared" si="175"/>
        <v>-0.31509020362381363</v>
      </c>
      <c r="W540" s="1098">
        <v>26250</v>
      </c>
      <c r="X540" s="1106">
        <f t="shared" si="184"/>
        <v>143270.47619047618</v>
      </c>
      <c r="Y540" s="1106">
        <f t="shared" si="185"/>
        <v>154533.33333333334</v>
      </c>
      <c r="Z540" s="1106">
        <f t="shared" si="186"/>
        <v>-48691.939466666663</v>
      </c>
      <c r="AA540" s="1106">
        <f t="shared" si="187"/>
        <v>191962.41565714285</v>
      </c>
      <c r="AC540" s="1098">
        <f t="shared" si="183"/>
        <v>651.22943722943717</v>
      </c>
    </row>
    <row r="541" spans="1:29" hidden="1" x14ac:dyDescent="0.35">
      <c r="A541" s="179">
        <v>9</v>
      </c>
      <c r="C541" s="82" t="s">
        <v>221</v>
      </c>
      <c r="D541" s="83" t="s">
        <v>222</v>
      </c>
      <c r="E541" s="892" t="str">
        <f>VLOOKUP(F541,'Quy đổi'!A:D,4,0)</f>
        <v>Khác</v>
      </c>
      <c r="F541" s="82" t="s">
        <v>223</v>
      </c>
      <c r="G541" s="82" t="s">
        <v>372</v>
      </c>
      <c r="H541" s="257">
        <f>IFERROR(VLOOKUP(F541,'Quy đổi'!A:C,3,0),"-")</f>
        <v>0</v>
      </c>
      <c r="I541" s="1098">
        <v>34534</v>
      </c>
      <c r="J541" s="1098">
        <v>679475000</v>
      </c>
      <c r="K541" s="1098">
        <v>679475000</v>
      </c>
      <c r="O541" s="1097">
        <f t="shared" si="188"/>
        <v>679475000</v>
      </c>
      <c r="P541" s="1101">
        <f t="shared" si="181"/>
        <v>19675.537151792436</v>
      </c>
      <c r="Q541" s="1101">
        <f t="shared" si="182"/>
        <v>749.54427244923556</v>
      </c>
      <c r="R541" s="1099">
        <v>722785345</v>
      </c>
      <c r="S541" s="1101">
        <f t="shared" si="172"/>
        <v>20929.673510163895</v>
      </c>
      <c r="T541" s="1101">
        <f t="shared" si="173"/>
        <v>854.27238816995487</v>
      </c>
      <c r="U541" s="1101">
        <f t="shared" si="174"/>
        <v>-43310345</v>
      </c>
      <c r="V541" s="1103">
        <f t="shared" si="175"/>
        <v>-6.3740895544354095E-2</v>
      </c>
      <c r="W541" s="1098">
        <v>26250</v>
      </c>
      <c r="X541" s="1106">
        <f t="shared" si="184"/>
        <v>25884.761904761905</v>
      </c>
      <c r="Y541" s="1106">
        <f t="shared" si="185"/>
        <v>25884.761904761905</v>
      </c>
      <c r="Z541" s="1106">
        <f t="shared" si="186"/>
        <v>-1649.9179047619048</v>
      </c>
      <c r="AA541" s="1106">
        <f t="shared" si="187"/>
        <v>27534.679809523808</v>
      </c>
      <c r="AC541" s="1098">
        <f t="shared" si="183"/>
        <v>749.54427244923568</v>
      </c>
    </row>
    <row r="542" spans="1:29" hidden="1" x14ac:dyDescent="0.35">
      <c r="A542" s="179">
        <v>9</v>
      </c>
      <c r="C542" s="82" t="s">
        <v>221</v>
      </c>
      <c r="D542" s="83" t="s">
        <v>222</v>
      </c>
      <c r="E542" s="892" t="str">
        <f>VLOOKUP(F542,'Quy đổi'!A:D,4,0)</f>
        <v>Phó sản</v>
      </c>
      <c r="F542" s="82" t="s">
        <v>655</v>
      </c>
      <c r="G542" s="82" t="s">
        <v>656</v>
      </c>
      <c r="H542" s="257">
        <f>IFERROR(VLOOKUP(F542,'Quy đổi'!A:C,3,0),"-")</f>
        <v>0</v>
      </c>
      <c r="I542" s="1098">
        <v>2032</v>
      </c>
      <c r="J542" s="1098">
        <v>39624000</v>
      </c>
      <c r="K542" s="1098">
        <v>39624000</v>
      </c>
      <c r="O542" s="1097">
        <f t="shared" si="188"/>
        <v>39624000</v>
      </c>
      <c r="P542" s="1101">
        <f t="shared" si="181"/>
        <v>19500</v>
      </c>
      <c r="Q542" s="1101">
        <f t="shared" si="182"/>
        <v>742.85714285714289</v>
      </c>
      <c r="R542" s="1099">
        <v>38309570</v>
      </c>
      <c r="S542" s="1101">
        <f t="shared" si="172"/>
        <v>18853.134842519685</v>
      </c>
      <c r="T542" s="1101">
        <f t="shared" si="173"/>
        <v>769.51570785794627</v>
      </c>
      <c r="U542" s="1101">
        <f t="shared" si="174"/>
        <v>1314430</v>
      </c>
      <c r="V542" s="1103">
        <f t="shared" si="175"/>
        <v>3.3172572178477688E-2</v>
      </c>
      <c r="W542" s="1098">
        <v>26250</v>
      </c>
      <c r="X542" s="1106">
        <f t="shared" si="184"/>
        <v>1509.4857142857143</v>
      </c>
      <c r="Y542" s="1106">
        <f t="shared" si="185"/>
        <v>1509.4857142857143</v>
      </c>
      <c r="Z542" s="1106">
        <f t="shared" si="186"/>
        <v>50.073523809523806</v>
      </c>
      <c r="AA542" s="1106">
        <f t="shared" si="187"/>
        <v>1459.4121904761905</v>
      </c>
      <c r="AC542" s="1098">
        <f t="shared" si="183"/>
        <v>742.85714285714289</v>
      </c>
    </row>
    <row r="543" spans="1:29" hidden="1" x14ac:dyDescent="0.35">
      <c r="A543" s="179">
        <v>9</v>
      </c>
      <c r="C543" s="82" t="s">
        <v>221</v>
      </c>
      <c r="D543" s="83" t="s">
        <v>222</v>
      </c>
      <c r="E543" s="892" t="str">
        <f>VLOOKUP(F543,'Quy đổi'!A:D,4,0)</f>
        <v>Khác</v>
      </c>
      <c r="F543" s="82" t="s">
        <v>467</v>
      </c>
      <c r="G543" s="82" t="s">
        <v>466</v>
      </c>
      <c r="H543" s="257">
        <f>IFERROR(VLOOKUP(F543,'Quy đổi'!A:C,3,0),"-")</f>
        <v>0</v>
      </c>
      <c r="I543" s="1098">
        <v>2082</v>
      </c>
      <c r="J543" s="1098">
        <v>39558000</v>
      </c>
      <c r="K543" s="1098">
        <v>39558000</v>
      </c>
      <c r="O543" s="1097">
        <f t="shared" si="188"/>
        <v>39558000</v>
      </c>
      <c r="P543" s="1101">
        <f t="shared" si="181"/>
        <v>19000</v>
      </c>
      <c r="Q543" s="1101">
        <f t="shared" si="182"/>
        <v>723.80952380952374</v>
      </c>
      <c r="R543" s="1099">
        <v>37876863</v>
      </c>
      <c r="S543" s="1101">
        <f t="shared" si="172"/>
        <v>18192.537463976947</v>
      </c>
      <c r="T543" s="1101">
        <f t="shared" si="173"/>
        <v>742.55254955007945</v>
      </c>
      <c r="U543" s="1101">
        <f t="shared" si="174"/>
        <v>1681137</v>
      </c>
      <c r="V543" s="1103">
        <f t="shared" si="175"/>
        <v>4.2498028211739723E-2</v>
      </c>
      <c r="W543" s="1098">
        <v>26250</v>
      </c>
      <c r="X543" s="1106">
        <f t="shared" si="184"/>
        <v>1506.9714285714285</v>
      </c>
      <c r="Y543" s="1106">
        <f t="shared" si="185"/>
        <v>1506.9714285714285</v>
      </c>
      <c r="Z543" s="1106">
        <f t="shared" si="186"/>
        <v>64.043314285714288</v>
      </c>
      <c r="AA543" s="1106">
        <f t="shared" si="187"/>
        <v>1442.9281142857142</v>
      </c>
      <c r="AC543" s="1098">
        <f t="shared" si="183"/>
        <v>723.80952380952374</v>
      </c>
    </row>
    <row r="544" spans="1:29" hidden="1" x14ac:dyDescent="0.35">
      <c r="A544" s="179">
        <v>9</v>
      </c>
      <c r="B544" s="880" t="s">
        <v>22</v>
      </c>
      <c r="C544" s="82" t="s">
        <v>21</v>
      </c>
      <c r="D544" s="83" t="s">
        <v>20</v>
      </c>
      <c r="E544" s="892" t="str">
        <f>VLOOKUP(F544,'Quy đổi'!A:D,4,0)</f>
        <v>rPP</v>
      </c>
      <c r="F544" s="82" t="s">
        <v>538</v>
      </c>
      <c r="G544" s="82" t="s">
        <v>539</v>
      </c>
      <c r="H544" s="257" t="str">
        <f>IFERROR(VLOOKUP(F544,'Quy đổi'!A:C,3,0),"-")</f>
        <v>rPP20R02</v>
      </c>
      <c r="I544" s="1098">
        <v>16500</v>
      </c>
      <c r="J544" s="1098">
        <v>319018333</v>
      </c>
      <c r="K544" s="1098">
        <v>320833333</v>
      </c>
      <c r="O544" s="1097">
        <f t="shared" si="188"/>
        <v>320833333</v>
      </c>
      <c r="P544" s="1101">
        <f t="shared" si="181"/>
        <v>19444.444424242425</v>
      </c>
      <c r="Q544" s="1101">
        <f t="shared" si="182"/>
        <v>740.74073997113999</v>
      </c>
      <c r="R544" s="1099">
        <v>466329213</v>
      </c>
      <c r="S544" s="1101">
        <f t="shared" si="172"/>
        <v>28262.376545454546</v>
      </c>
      <c r="T544" s="1101">
        <f t="shared" si="173"/>
        <v>1153.5663896103897</v>
      </c>
      <c r="U544" s="1101">
        <f t="shared" si="174"/>
        <v>-145495880</v>
      </c>
      <c r="V544" s="1103">
        <f t="shared" si="175"/>
        <v>-0.45349365241921419</v>
      </c>
      <c r="W544" s="1098">
        <v>26250</v>
      </c>
      <c r="X544" s="1106">
        <f t="shared" si="184"/>
        <v>12222.22220952381</v>
      </c>
      <c r="Y544" s="1106">
        <f t="shared" si="185"/>
        <v>12222.22220952381</v>
      </c>
      <c r="Z544" s="1106">
        <f t="shared" si="186"/>
        <v>-5542.7001904761901</v>
      </c>
      <c r="AA544" s="1106">
        <f t="shared" si="187"/>
        <v>17764.922399999999</v>
      </c>
      <c r="AC544" s="1098">
        <f t="shared" si="183"/>
        <v>740.74073997113999</v>
      </c>
    </row>
    <row r="545" spans="1:29" hidden="1" x14ac:dyDescent="0.35">
      <c r="A545" s="179">
        <v>9</v>
      </c>
      <c r="B545" s="880" t="s">
        <v>22</v>
      </c>
      <c r="C545" s="82" t="s">
        <v>21</v>
      </c>
      <c r="D545" s="83" t="s">
        <v>20</v>
      </c>
      <c r="E545" s="892" t="str">
        <f>VLOOKUP(F545,'Quy đổi'!A:D,4,0)</f>
        <v>rHDPE ép</v>
      </c>
      <c r="F545" s="82" t="s">
        <v>37</v>
      </c>
      <c r="G545" s="82" t="s">
        <v>36</v>
      </c>
      <c r="H545" s="257" t="str">
        <f>IFERROR(VLOOKUP(F545,'Quy đổi'!A:C,3,0),"-")</f>
        <v>Vảy HD Ép Đỏ</v>
      </c>
      <c r="I545" s="1098">
        <v>10500</v>
      </c>
      <c r="J545" s="1098">
        <v>168938740</v>
      </c>
      <c r="K545" s="1098">
        <v>170138890</v>
      </c>
      <c r="O545" s="1097">
        <f t="shared" si="188"/>
        <v>170138890</v>
      </c>
      <c r="P545" s="1101">
        <f t="shared" si="181"/>
        <v>16203.703809523809</v>
      </c>
      <c r="Q545" s="1101">
        <f t="shared" si="182"/>
        <v>617.28395464852599</v>
      </c>
      <c r="R545" s="1099">
        <v>197521466</v>
      </c>
      <c r="S545" s="1101">
        <f t="shared" si="172"/>
        <v>18811.568190476191</v>
      </c>
      <c r="T545" s="1101">
        <f t="shared" si="173"/>
        <v>767.81910981535475</v>
      </c>
      <c r="U545" s="1101">
        <f t="shared" si="174"/>
        <v>-27382576</v>
      </c>
      <c r="V545" s="1103">
        <f t="shared" si="175"/>
        <v>-0.1609424864591511</v>
      </c>
      <c r="W545" s="1098">
        <v>26250</v>
      </c>
      <c r="X545" s="1106">
        <f t="shared" si="184"/>
        <v>6481.4815238095234</v>
      </c>
      <c r="Y545" s="1106">
        <f t="shared" si="185"/>
        <v>6481.4815238095234</v>
      </c>
      <c r="Z545" s="1106">
        <f t="shared" si="186"/>
        <v>-1043.1457523809524</v>
      </c>
      <c r="AA545" s="1106">
        <f t="shared" si="187"/>
        <v>7524.6272761904766</v>
      </c>
      <c r="AC545" s="1098">
        <f t="shared" si="183"/>
        <v>617.28395464852599</v>
      </c>
    </row>
    <row r="546" spans="1:29" hidden="1" x14ac:dyDescent="0.35">
      <c r="A546" s="179">
        <v>9</v>
      </c>
      <c r="B546" s="880" t="s">
        <v>22</v>
      </c>
      <c r="C546" s="82" t="s">
        <v>21</v>
      </c>
      <c r="D546" s="83" t="s">
        <v>20</v>
      </c>
      <c r="E546" s="892" t="str">
        <f>VLOOKUP(F546,'Quy đổi'!A:D,4,0)</f>
        <v>rHDPE ép</v>
      </c>
      <c r="F546" s="82" t="s">
        <v>41</v>
      </c>
      <c r="G546" s="82" t="s">
        <v>40</v>
      </c>
      <c r="H546" s="257" t="str">
        <f>IFERROR(VLOOKUP(F546,'Quy đổi'!A:C,3,0),"-")</f>
        <v>Vảy HD Ép Lá</v>
      </c>
      <c r="I546" s="1098">
        <v>5250</v>
      </c>
      <c r="J546" s="1098">
        <v>84469369</v>
      </c>
      <c r="K546" s="1098">
        <v>85069444</v>
      </c>
      <c r="O546" s="1097">
        <f t="shared" si="188"/>
        <v>85069444</v>
      </c>
      <c r="P546" s="1101">
        <f t="shared" si="181"/>
        <v>16203.703619047619</v>
      </c>
      <c r="Q546" s="1101">
        <f t="shared" si="182"/>
        <v>617.28394739229032</v>
      </c>
      <c r="R546" s="1099">
        <v>137221893</v>
      </c>
      <c r="S546" s="1101">
        <f t="shared" si="172"/>
        <v>26137.503428571428</v>
      </c>
      <c r="T546" s="1101">
        <f t="shared" si="173"/>
        <v>1066.8368746355684</v>
      </c>
      <c r="U546" s="1101">
        <f t="shared" si="174"/>
        <v>-52152449</v>
      </c>
      <c r="V546" s="1103">
        <f t="shared" si="175"/>
        <v>-0.61305736287638135</v>
      </c>
      <c r="W546" s="1098">
        <v>26250</v>
      </c>
      <c r="X546" s="1106">
        <f t="shared" si="184"/>
        <v>3240.7407238095238</v>
      </c>
      <c r="Y546" s="1106">
        <f t="shared" si="185"/>
        <v>3240.7407238095238</v>
      </c>
      <c r="Z546" s="1106">
        <f t="shared" si="186"/>
        <v>-1986.7599619047619</v>
      </c>
      <c r="AA546" s="1106">
        <f t="shared" si="187"/>
        <v>5227.5006857142853</v>
      </c>
      <c r="AC546" s="1098">
        <f t="shared" si="183"/>
        <v>617.28394739229032</v>
      </c>
    </row>
    <row r="547" spans="1:29" hidden="1" x14ac:dyDescent="0.35">
      <c r="A547" s="179">
        <v>9</v>
      </c>
      <c r="C547" s="82" t="s">
        <v>641</v>
      </c>
      <c r="D547" s="83" t="s">
        <v>642</v>
      </c>
      <c r="E547" s="892" t="str">
        <f>VLOOKUP(F547,'Quy đổi'!A:D,4,0)</f>
        <v>Khác</v>
      </c>
      <c r="F547" s="82" t="s">
        <v>223</v>
      </c>
      <c r="G547" s="82" t="s">
        <v>372</v>
      </c>
      <c r="H547" s="257">
        <f>IFERROR(VLOOKUP(F547,'Quy đổi'!A:C,3,0),"-")</f>
        <v>0</v>
      </c>
      <c r="I547" s="1098">
        <v>2844</v>
      </c>
      <c r="J547" s="1098">
        <v>55458000</v>
      </c>
      <c r="K547" s="1098">
        <v>55458000</v>
      </c>
      <c r="O547" s="1097">
        <f t="shared" si="188"/>
        <v>55458000</v>
      </c>
      <c r="P547" s="1101">
        <f t="shared" si="181"/>
        <v>19500</v>
      </c>
      <c r="Q547" s="1101">
        <f t="shared" si="182"/>
        <v>742.85714285714289</v>
      </c>
      <c r="R547" s="1099">
        <v>59523992</v>
      </c>
      <c r="S547" s="1101">
        <f t="shared" si="172"/>
        <v>20929.673699015471</v>
      </c>
      <c r="T547" s="1101">
        <f t="shared" si="173"/>
        <v>854.27239587818246</v>
      </c>
      <c r="U547" s="1101">
        <f t="shared" si="174"/>
        <v>-4065992</v>
      </c>
      <c r="V547" s="1103">
        <f t="shared" si="175"/>
        <v>-7.3316599949511341E-2</v>
      </c>
      <c r="W547" s="1098">
        <v>26250</v>
      </c>
      <c r="X547" s="1106">
        <f t="shared" si="184"/>
        <v>2112.6857142857143</v>
      </c>
      <c r="Y547" s="1106">
        <f t="shared" si="185"/>
        <v>2112.6857142857143</v>
      </c>
      <c r="Z547" s="1106">
        <f t="shared" si="186"/>
        <v>-154.89493333333334</v>
      </c>
      <c r="AA547" s="1106">
        <f t="shared" si="187"/>
        <v>2267.5806476190478</v>
      </c>
      <c r="AC547" s="1098">
        <f t="shared" si="183"/>
        <v>742.85714285714289</v>
      </c>
    </row>
    <row r="548" spans="1:29" hidden="1" x14ac:dyDescent="0.35">
      <c r="A548" s="179">
        <v>9</v>
      </c>
      <c r="C548" s="82" t="s">
        <v>641</v>
      </c>
      <c r="D548" s="83" t="s">
        <v>642</v>
      </c>
      <c r="E548" s="892" t="str">
        <f>VLOOKUP(F548,'Quy đổi'!A:D,4,0)</f>
        <v>Khác</v>
      </c>
      <c r="F548" s="82" t="s">
        <v>467</v>
      </c>
      <c r="G548" s="82" t="s">
        <v>466</v>
      </c>
      <c r="H548" s="257">
        <f>IFERROR(VLOOKUP(F548,'Quy đổi'!A:C,3,0),"-")</f>
        <v>0</v>
      </c>
      <c r="I548" s="1098">
        <v>4750</v>
      </c>
      <c r="J548" s="1098">
        <v>90250000</v>
      </c>
      <c r="K548" s="1098">
        <v>90250000</v>
      </c>
      <c r="O548" s="1097">
        <f t="shared" si="188"/>
        <v>90250000</v>
      </c>
      <c r="P548" s="1101">
        <f t="shared" si="181"/>
        <v>19000</v>
      </c>
      <c r="Q548" s="1101">
        <f t="shared" si="182"/>
        <v>723.80952380952374</v>
      </c>
      <c r="R548" s="1099">
        <v>86414554</v>
      </c>
      <c r="S548" s="1101">
        <f t="shared" si="172"/>
        <v>18192.537684210525</v>
      </c>
      <c r="T548" s="1101">
        <f t="shared" si="173"/>
        <v>742.55255853920517</v>
      </c>
      <c r="U548" s="1101">
        <f t="shared" si="174"/>
        <v>3835446</v>
      </c>
      <c r="V548" s="1103">
        <f t="shared" si="175"/>
        <v>4.2498016620498617E-2</v>
      </c>
      <c r="W548" s="1098">
        <v>26250</v>
      </c>
      <c r="X548" s="1106">
        <f t="shared" si="184"/>
        <v>3438.0952380952381</v>
      </c>
      <c r="Y548" s="1106">
        <f t="shared" si="185"/>
        <v>3438.0952380952381</v>
      </c>
      <c r="Z548" s="1106">
        <f t="shared" si="186"/>
        <v>146.11222857142857</v>
      </c>
      <c r="AA548" s="1106">
        <f t="shared" si="187"/>
        <v>3291.9830095238094</v>
      </c>
      <c r="AC548" s="1098">
        <f t="shared" si="183"/>
        <v>723.80952380952374</v>
      </c>
    </row>
    <row r="549" spans="1:29" hidden="1" x14ac:dyDescent="0.35">
      <c r="A549" s="179">
        <v>9</v>
      </c>
      <c r="B549" s="880" t="s">
        <v>22</v>
      </c>
      <c r="C549" s="82" t="s">
        <v>82</v>
      </c>
      <c r="D549" s="83" t="s">
        <v>81</v>
      </c>
      <c r="E549" s="892" t="str">
        <f>VLOOKUP(F549,'Quy đổi'!A:D,4,0)</f>
        <v>rHDPE thổi</v>
      </c>
      <c r="F549" s="82" t="s">
        <v>69</v>
      </c>
      <c r="G549" s="82" t="s">
        <v>68</v>
      </c>
      <c r="H549" s="257" t="str">
        <f>IFERROR(VLOOKUP(F549,'Quy đổi'!A:C,3,0),"-")</f>
        <v>MBF01</v>
      </c>
      <c r="I549" s="1098">
        <v>77000</v>
      </c>
      <c r="J549" s="1098">
        <v>2739891770</v>
      </c>
      <c r="K549" s="1098">
        <v>2759890980</v>
      </c>
      <c r="O549" s="1097">
        <f t="shared" si="188"/>
        <v>2759890980</v>
      </c>
      <c r="P549" s="1101">
        <f t="shared" si="181"/>
        <v>35842.74</v>
      </c>
      <c r="Q549" s="1101">
        <f t="shared" si="182"/>
        <v>1365.437714285714</v>
      </c>
      <c r="R549" s="1099">
        <v>2084006694</v>
      </c>
      <c r="S549" s="1101">
        <f t="shared" si="172"/>
        <v>27065.022000000001</v>
      </c>
      <c r="T549" s="1101">
        <f t="shared" si="173"/>
        <v>1104.6947755102042</v>
      </c>
      <c r="U549" s="1101">
        <f t="shared" si="174"/>
        <v>675884286</v>
      </c>
      <c r="V549" s="1103">
        <f t="shared" si="175"/>
        <v>0.24489528423329243</v>
      </c>
      <c r="W549" s="1098">
        <v>26250</v>
      </c>
      <c r="X549" s="1106">
        <f t="shared" si="184"/>
        <v>105138.704</v>
      </c>
      <c r="Y549" s="1106">
        <f t="shared" si="185"/>
        <v>105138.704</v>
      </c>
      <c r="Z549" s="1106">
        <f t="shared" si="186"/>
        <v>25747.9728</v>
      </c>
      <c r="AA549" s="1106">
        <f t="shared" si="187"/>
        <v>79390.731199999995</v>
      </c>
      <c r="AC549" s="1098">
        <f t="shared" si="183"/>
        <v>1365.4377142857143</v>
      </c>
    </row>
    <row r="550" spans="1:29" hidden="1" x14ac:dyDescent="0.35">
      <c r="A550" s="179">
        <v>9</v>
      </c>
      <c r="B550" s="880" t="s">
        <v>22</v>
      </c>
      <c r="C550" s="82" t="s">
        <v>82</v>
      </c>
      <c r="D550" s="83" t="s">
        <v>81</v>
      </c>
      <c r="E550" s="892" t="str">
        <f>VLOOKUP(F550,'Quy đổi'!A:D,4,0)</f>
        <v>rHDPE thổi</v>
      </c>
      <c r="F550" s="82" t="s">
        <v>84</v>
      </c>
      <c r="G550" s="82" t="s">
        <v>83</v>
      </c>
      <c r="H550" s="257" t="str">
        <f>IFERROR(VLOOKUP(F550,'Quy đổi'!A:C,3,0),"-")</f>
        <v>HCBF-Whi-U</v>
      </c>
      <c r="I550" s="1098">
        <v>5500</v>
      </c>
      <c r="J550" s="1098">
        <v>185740089</v>
      </c>
      <c r="K550" s="1098">
        <v>187135465</v>
      </c>
      <c r="O550" s="1097">
        <f t="shared" si="188"/>
        <v>187135465</v>
      </c>
      <c r="P550" s="1101">
        <f t="shared" si="181"/>
        <v>34024.629999999997</v>
      </c>
      <c r="Q550" s="1101">
        <f t="shared" si="182"/>
        <v>1296.1763809523807</v>
      </c>
      <c r="R550" s="1099">
        <v>133289222</v>
      </c>
      <c r="S550" s="1101">
        <f t="shared" si="172"/>
        <v>24234.403999999999</v>
      </c>
      <c r="T550" s="1101">
        <f t="shared" si="173"/>
        <v>989.15934693877546</v>
      </c>
      <c r="U550" s="1101">
        <f t="shared" si="174"/>
        <v>53846243</v>
      </c>
      <c r="V550" s="1103">
        <f t="shared" si="175"/>
        <v>0.28773938173611291</v>
      </c>
      <c r="W550" s="1098">
        <v>26250</v>
      </c>
      <c r="X550" s="1106">
        <f t="shared" si="184"/>
        <v>7128.9700952380954</v>
      </c>
      <c r="Y550" s="1106">
        <f t="shared" si="185"/>
        <v>7128.9700952380954</v>
      </c>
      <c r="Z550" s="1106">
        <f t="shared" si="186"/>
        <v>2051.2854476190478</v>
      </c>
      <c r="AA550" s="1106">
        <f t="shared" si="187"/>
        <v>5077.6846476190476</v>
      </c>
      <c r="AC550" s="1098">
        <f t="shared" si="183"/>
        <v>1296.1763809523809</v>
      </c>
    </row>
    <row r="551" spans="1:29" hidden="1" x14ac:dyDescent="0.35">
      <c r="A551" s="179">
        <v>9</v>
      </c>
      <c r="B551" s="880" t="s">
        <v>22</v>
      </c>
      <c r="C551" s="82" t="s">
        <v>82</v>
      </c>
      <c r="D551" s="83" t="s">
        <v>81</v>
      </c>
      <c r="E551" s="892" t="str">
        <f>VLOOKUP(F551,'Quy đổi'!A:D,4,0)</f>
        <v>rHDPE thổi</v>
      </c>
      <c r="F551" s="82" t="s">
        <v>75</v>
      </c>
      <c r="G551" s="82" t="s">
        <v>74</v>
      </c>
      <c r="H551" s="257" t="str">
        <f>IFERROR(VLOOKUP(F551,'Quy đổi'!A:C,3,0),"-")</f>
        <v>HCBF-Yel-U</v>
      </c>
      <c r="I551" s="1098">
        <v>33000</v>
      </c>
      <c r="J551" s="1098">
        <v>1117231286</v>
      </c>
      <c r="K551" s="1098">
        <v>1122812791</v>
      </c>
      <c r="O551" s="1097">
        <f t="shared" si="188"/>
        <v>1122812791</v>
      </c>
      <c r="P551" s="1101">
        <f t="shared" si="181"/>
        <v>34024.630030303029</v>
      </c>
      <c r="Q551" s="1101">
        <f t="shared" si="182"/>
        <v>1296.1763821067821</v>
      </c>
      <c r="R551" s="1099">
        <v>923554679</v>
      </c>
      <c r="S551" s="1101">
        <f t="shared" si="172"/>
        <v>27986.505424242423</v>
      </c>
      <c r="T551" s="1101">
        <f t="shared" si="173"/>
        <v>1142.3063438466295</v>
      </c>
      <c r="U551" s="1101">
        <f t="shared" si="174"/>
        <v>199258112</v>
      </c>
      <c r="V551" s="1103">
        <f t="shared" si="175"/>
        <v>0.17746334348626067</v>
      </c>
      <c r="W551" s="1098">
        <v>26250</v>
      </c>
      <c r="X551" s="1106">
        <f t="shared" si="184"/>
        <v>42773.820609523813</v>
      </c>
      <c r="Y551" s="1106">
        <f t="shared" si="185"/>
        <v>42773.820609523813</v>
      </c>
      <c r="Z551" s="1106">
        <f t="shared" si="186"/>
        <v>7590.7852190476187</v>
      </c>
      <c r="AA551" s="1106">
        <f t="shared" si="187"/>
        <v>35183.035390476187</v>
      </c>
      <c r="AC551" s="1098">
        <f t="shared" si="183"/>
        <v>1296.1763821067823</v>
      </c>
    </row>
    <row r="552" spans="1:29" hidden="1" x14ac:dyDescent="0.35">
      <c r="A552" s="179">
        <v>9</v>
      </c>
      <c r="B552" s="880" t="s">
        <v>22</v>
      </c>
      <c r="C552" s="82" t="s">
        <v>82</v>
      </c>
      <c r="D552" s="83" t="s">
        <v>81</v>
      </c>
      <c r="E552" s="892" t="str">
        <f>VLOOKUP(F552,'Quy đổi'!A:D,4,0)</f>
        <v>rHDPE thổi</v>
      </c>
      <c r="F552" s="82" t="s">
        <v>80</v>
      </c>
      <c r="G552" s="82" t="s">
        <v>79</v>
      </c>
      <c r="H552" s="257" t="str">
        <f>IFERROR(VLOOKUP(F552,'Quy đổi'!A:C,3,0),"-")</f>
        <v>PCF01</v>
      </c>
      <c r="I552" s="1098">
        <v>22000</v>
      </c>
      <c r="J552" s="1098">
        <v>782660528</v>
      </c>
      <c r="K552" s="1098">
        <v>788540284</v>
      </c>
      <c r="O552" s="1097">
        <f t="shared" si="188"/>
        <v>788540284</v>
      </c>
      <c r="P552" s="1101">
        <f t="shared" si="181"/>
        <v>35842.740181818182</v>
      </c>
      <c r="Q552" s="1101">
        <f t="shared" si="182"/>
        <v>1365.4377212121212</v>
      </c>
      <c r="R552" s="1099">
        <v>617902452</v>
      </c>
      <c r="S552" s="1101">
        <f t="shared" si="172"/>
        <v>28086.475090909091</v>
      </c>
      <c r="T552" s="1101">
        <f t="shared" si="173"/>
        <v>1146.3867384044527</v>
      </c>
      <c r="U552" s="1101">
        <f t="shared" si="174"/>
        <v>170637832</v>
      </c>
      <c r="V552" s="1103">
        <f t="shared" si="175"/>
        <v>0.2163971016603129</v>
      </c>
      <c r="W552" s="1098">
        <v>26250</v>
      </c>
      <c r="X552" s="1106">
        <f t="shared" si="184"/>
        <v>30039.629866666666</v>
      </c>
      <c r="Y552" s="1106">
        <f t="shared" si="185"/>
        <v>30039.629866666666</v>
      </c>
      <c r="Z552" s="1106">
        <f t="shared" si="186"/>
        <v>6500.488838095238</v>
      </c>
      <c r="AA552" s="1106">
        <f t="shared" si="187"/>
        <v>23539.14102857143</v>
      </c>
      <c r="AC552" s="1098">
        <f t="shared" si="183"/>
        <v>1365.4377212121212</v>
      </c>
    </row>
    <row r="553" spans="1:29" hidden="1" x14ac:dyDescent="0.35">
      <c r="A553" s="179">
        <v>9</v>
      </c>
      <c r="B553" s="880" t="s">
        <v>22</v>
      </c>
      <c r="C553" s="82" t="s">
        <v>108</v>
      </c>
      <c r="D553" s="83" t="s">
        <v>107</v>
      </c>
      <c r="E553" s="892" t="str">
        <f>VLOOKUP(F553,'Quy đổi'!A:D,4,0)</f>
        <v>rPET</v>
      </c>
      <c r="F553" s="82" t="s">
        <v>106</v>
      </c>
      <c r="G553" s="82" t="s">
        <v>105</v>
      </c>
      <c r="H553" s="257" t="str">
        <f>IFERROR(VLOOKUP(F553,'Quy đổi'!A:C,3,0),"-")</f>
        <v>iSS01L</v>
      </c>
      <c r="I553" s="1098">
        <v>100</v>
      </c>
      <c r="J553" s="1098">
        <v>3362500</v>
      </c>
      <c r="K553" s="1098">
        <v>3362500</v>
      </c>
      <c r="O553" s="1097">
        <f t="shared" si="188"/>
        <v>3362500</v>
      </c>
      <c r="P553" s="1101">
        <f t="shared" si="181"/>
        <v>33625</v>
      </c>
      <c r="Q553" s="1101">
        <f t="shared" si="182"/>
        <v>1280.9523809523807</v>
      </c>
      <c r="R553" s="1099">
        <v>3117146</v>
      </c>
      <c r="S553" s="1101">
        <f t="shared" si="172"/>
        <v>31171.46</v>
      </c>
      <c r="T553" s="1101">
        <f t="shared" si="173"/>
        <v>1272.3044897959182</v>
      </c>
      <c r="U553" s="1101">
        <f t="shared" si="174"/>
        <v>245354</v>
      </c>
      <c r="V553" s="1103">
        <f t="shared" si="175"/>
        <v>7.296773234200743E-2</v>
      </c>
      <c r="W553" s="1098">
        <v>26250</v>
      </c>
      <c r="X553" s="1106">
        <f t="shared" si="184"/>
        <v>128.0952380952381</v>
      </c>
      <c r="Y553" s="1106">
        <f t="shared" si="185"/>
        <v>128.0952380952381</v>
      </c>
      <c r="Z553" s="1106">
        <f t="shared" si="186"/>
        <v>9.3468190476190482</v>
      </c>
      <c r="AA553" s="1106">
        <f t="shared" si="187"/>
        <v>118.74841904761905</v>
      </c>
      <c r="AC553" s="1098">
        <f t="shared" si="183"/>
        <v>1280.952380952381</v>
      </c>
    </row>
    <row r="554" spans="1:29" hidden="1" x14ac:dyDescent="0.35">
      <c r="A554" s="179">
        <v>9</v>
      </c>
      <c r="B554" s="880" t="s">
        <v>22</v>
      </c>
      <c r="C554" s="82" t="s">
        <v>17</v>
      </c>
      <c r="D554" s="83" t="s">
        <v>16</v>
      </c>
      <c r="E554" s="892" t="str">
        <f>VLOOKUP(F554,'Quy đổi'!A:D,4,0)</f>
        <v>rPP</v>
      </c>
      <c r="F554" s="82" t="s">
        <v>1081</v>
      </c>
      <c r="G554" s="82" t="s">
        <v>1082</v>
      </c>
      <c r="H554" s="257" t="str">
        <f>IFERROR(VLOOKUP(F554,'Quy đổi'!A:C,3,0),"-")</f>
        <v>rPP20W02</v>
      </c>
      <c r="I554" s="1098">
        <v>5000</v>
      </c>
      <c r="J554" s="1098">
        <v>99400000</v>
      </c>
      <c r="K554" s="1098">
        <v>100000000</v>
      </c>
      <c r="O554" s="1097">
        <f t="shared" si="188"/>
        <v>100000000</v>
      </c>
      <c r="P554" s="1101">
        <f t="shared" si="181"/>
        <v>20000</v>
      </c>
      <c r="Q554" s="1101">
        <f t="shared" si="182"/>
        <v>761.90476190476181</v>
      </c>
      <c r="R554" s="1099">
        <v>175514495</v>
      </c>
      <c r="S554" s="1101">
        <f t="shared" si="172"/>
        <v>35102.898999999998</v>
      </c>
      <c r="T554" s="1101">
        <f t="shared" si="173"/>
        <v>1432.7713877551018</v>
      </c>
      <c r="U554" s="1101">
        <f t="shared" si="174"/>
        <v>-75514495</v>
      </c>
      <c r="V554" s="1103">
        <f t="shared" si="175"/>
        <v>-0.75514495000000004</v>
      </c>
      <c r="W554" s="1098">
        <v>26250</v>
      </c>
      <c r="X554" s="1106">
        <f t="shared" si="184"/>
        <v>3809.5238095238096</v>
      </c>
      <c r="Y554" s="1106">
        <f t="shared" si="185"/>
        <v>3809.5238095238096</v>
      </c>
      <c r="Z554" s="1106">
        <f t="shared" si="186"/>
        <v>-2876.7426666666665</v>
      </c>
      <c r="AA554" s="1106">
        <f t="shared" si="187"/>
        <v>6686.2664761904762</v>
      </c>
      <c r="AC554" s="1098">
        <f t="shared" si="183"/>
        <v>761.90476190476193</v>
      </c>
    </row>
    <row r="555" spans="1:29" hidden="1" x14ac:dyDescent="0.35">
      <c r="A555" s="179">
        <v>9</v>
      </c>
      <c r="B555" s="880" t="s">
        <v>22</v>
      </c>
      <c r="C555" s="82" t="s">
        <v>120</v>
      </c>
      <c r="D555" s="83" t="s">
        <v>226</v>
      </c>
      <c r="E555" s="892" t="str">
        <f>VLOOKUP(F555,'Quy đổi'!A:D,4,0)</f>
        <v>rPET</v>
      </c>
      <c r="F555" s="82" t="s">
        <v>127</v>
      </c>
      <c r="G555" s="82" t="s">
        <v>969</v>
      </c>
      <c r="H555" s="257" t="str">
        <f>IFERROR(VLOOKUP(F555,'Quy đổi'!A:C,3,0),"-")</f>
        <v>iSS01084G</v>
      </c>
      <c r="I555" s="1098">
        <v>110000</v>
      </c>
      <c r="J555" s="1098">
        <v>3840540000</v>
      </c>
      <c r="K555" s="1098">
        <v>3869635000</v>
      </c>
      <c r="L555" s="1056">
        <f>140*I555</f>
        <v>15400000</v>
      </c>
      <c r="N555" s="1056">
        <v>57608100</v>
      </c>
      <c r="O555" s="1097">
        <f t="shared" si="188"/>
        <v>3796626900</v>
      </c>
      <c r="P555" s="1101">
        <f t="shared" si="181"/>
        <v>34514.79</v>
      </c>
      <c r="Q555" s="1101">
        <f t="shared" si="182"/>
        <v>1314.8491428571429</v>
      </c>
      <c r="R555" s="1099">
        <v>3239994295</v>
      </c>
      <c r="S555" s="1101">
        <f t="shared" si="172"/>
        <v>29454.493590909089</v>
      </c>
      <c r="T555" s="1101">
        <f t="shared" si="173"/>
        <v>1202.224228200371</v>
      </c>
      <c r="U555" s="1101">
        <f t="shared" si="174"/>
        <v>556632605</v>
      </c>
      <c r="V555" s="1103">
        <f t="shared" si="175"/>
        <v>0.14384628136762254</v>
      </c>
      <c r="W555" s="1098">
        <v>26250</v>
      </c>
      <c r="X555" s="1106">
        <f t="shared" si="184"/>
        <v>144633.40571428571</v>
      </c>
      <c r="Y555" s="1106">
        <f t="shared" si="185"/>
        <v>147414.66666666666</v>
      </c>
      <c r="Z555" s="1106">
        <f t="shared" si="186"/>
        <v>21205.051619047619</v>
      </c>
      <c r="AA555" s="1106">
        <f t="shared" si="187"/>
        <v>123428.3540952381</v>
      </c>
      <c r="AC555" s="1098">
        <f t="shared" si="183"/>
        <v>1314.8491428571426</v>
      </c>
    </row>
    <row r="556" spans="1:29" hidden="1" x14ac:dyDescent="0.35">
      <c r="A556" s="179">
        <v>9</v>
      </c>
      <c r="B556" s="880" t="s">
        <v>22</v>
      </c>
      <c r="C556" s="82" t="s">
        <v>71</v>
      </c>
      <c r="D556" s="83" t="s">
        <v>70</v>
      </c>
      <c r="E556" s="892" t="str">
        <f>VLOOKUP(F556,'Quy đổi'!A:D,4,0)</f>
        <v>rHDPE thổi</v>
      </c>
      <c r="F556" s="82" t="s">
        <v>187</v>
      </c>
      <c r="G556" s="82" t="s">
        <v>188</v>
      </c>
      <c r="H556" s="257" t="str">
        <f>IFERROR(VLOOKUP(F556,'Quy đổi'!A:C,3,0),"-")</f>
        <v>rHDB03N02</v>
      </c>
      <c r="I556" s="1098">
        <v>33000</v>
      </c>
      <c r="J556" s="1098">
        <v>1070358300</v>
      </c>
      <c r="K556" s="1098">
        <v>1070358300</v>
      </c>
      <c r="O556" s="1097">
        <f t="shared" si="188"/>
        <v>1070358300</v>
      </c>
      <c r="P556" s="1101">
        <f t="shared" si="181"/>
        <v>32435.1</v>
      </c>
      <c r="Q556" s="1101">
        <f t="shared" si="182"/>
        <v>1235.6228571428571</v>
      </c>
      <c r="R556" s="1099">
        <v>1065922230</v>
      </c>
      <c r="S556" s="1101">
        <f t="shared" si="172"/>
        <v>32300.673636363637</v>
      </c>
      <c r="T556" s="1101">
        <f t="shared" si="173"/>
        <v>1318.3948423005565</v>
      </c>
      <c r="U556" s="1101">
        <f t="shared" si="174"/>
        <v>4436070</v>
      </c>
      <c r="V556" s="1103">
        <f t="shared" si="175"/>
        <v>4.1444719959662108E-3</v>
      </c>
      <c r="W556" s="1098">
        <v>26250</v>
      </c>
      <c r="X556" s="1106">
        <f t="shared" si="184"/>
        <v>40775.554285714286</v>
      </c>
      <c r="Y556" s="1106">
        <f t="shared" si="185"/>
        <v>40775.554285714286</v>
      </c>
      <c r="Z556" s="1106">
        <f t="shared" si="186"/>
        <v>168.99314285714286</v>
      </c>
      <c r="AA556" s="1106">
        <f t="shared" si="187"/>
        <v>40606.561142857143</v>
      </c>
      <c r="AC556" s="1098">
        <f t="shared" si="183"/>
        <v>1235.6228571428571</v>
      </c>
    </row>
    <row r="557" spans="1:29" hidden="1" x14ac:dyDescent="0.35">
      <c r="A557" s="179">
        <v>9</v>
      </c>
      <c r="B557" s="880" t="s">
        <v>22</v>
      </c>
      <c r="C557" s="82" t="s">
        <v>351</v>
      </c>
      <c r="D557" s="83" t="s">
        <v>352</v>
      </c>
      <c r="E557" s="892" t="str">
        <f>VLOOKUP(F557,'Quy đổi'!A:D,4,0)</f>
        <v>rPET</v>
      </c>
      <c r="F557" s="82" t="s">
        <v>100</v>
      </c>
      <c r="G557" s="82" t="s">
        <v>99</v>
      </c>
      <c r="H557" s="257" t="str">
        <f>IFERROR(VLOOKUP(F557,'Quy đổi'!A:C,3,0),"-")</f>
        <v>iSS01G</v>
      </c>
      <c r="I557" s="1098">
        <v>3300</v>
      </c>
      <c r="J557" s="1098">
        <v>110632821</v>
      </c>
      <c r="K557" s="1098">
        <v>110632821</v>
      </c>
      <c r="O557" s="1097">
        <f t="shared" si="188"/>
        <v>110632821</v>
      </c>
      <c r="P557" s="1101">
        <f t="shared" si="181"/>
        <v>33525.097272727275</v>
      </c>
      <c r="Q557" s="1101">
        <f t="shared" si="182"/>
        <v>1277.1465627705629</v>
      </c>
      <c r="R557" s="1099">
        <v>86754469</v>
      </c>
      <c r="S557" s="1101">
        <f t="shared" si="172"/>
        <v>26289.233030303028</v>
      </c>
      <c r="T557" s="1101">
        <f t="shared" si="173"/>
        <v>1073.0299196042051</v>
      </c>
      <c r="U557" s="1101">
        <f t="shared" si="174"/>
        <v>23878352</v>
      </c>
      <c r="V557" s="1103">
        <f t="shared" si="175"/>
        <v>0.21583425048883098</v>
      </c>
      <c r="W557" s="1098">
        <v>26250</v>
      </c>
      <c r="X557" s="1106">
        <f t="shared" si="184"/>
        <v>4214.5836571428572</v>
      </c>
      <c r="Y557" s="1106">
        <f t="shared" si="185"/>
        <v>4214.5836571428572</v>
      </c>
      <c r="Z557" s="1106">
        <f t="shared" si="186"/>
        <v>909.65150476190479</v>
      </c>
      <c r="AA557" s="1106">
        <f t="shared" si="187"/>
        <v>3304.9321523809522</v>
      </c>
      <c r="AC557" s="1098">
        <f t="shared" si="183"/>
        <v>1277.1465627705627</v>
      </c>
    </row>
    <row r="558" spans="1:29" hidden="1" x14ac:dyDescent="0.35">
      <c r="A558" s="179">
        <v>9</v>
      </c>
      <c r="B558" s="880" t="s">
        <v>22</v>
      </c>
      <c r="C558" s="82" t="s">
        <v>959</v>
      </c>
      <c r="D558" s="83" t="s">
        <v>960</v>
      </c>
      <c r="E558" s="892" t="str">
        <f>VLOOKUP(F558,'Quy đổi'!A:D,4,0)</f>
        <v>Xơ sợi</v>
      </c>
      <c r="F558" s="82" t="s">
        <v>87</v>
      </c>
      <c r="G558" s="82" t="s">
        <v>470</v>
      </c>
      <c r="H558" s="257" t="str">
        <f>IFERROR(VLOOKUP(F558,'Quy đổi'!A:C,3,0),"-")</f>
        <v>WSS05SB</v>
      </c>
      <c r="I558" s="1098">
        <v>177450</v>
      </c>
      <c r="J558" s="1098">
        <v>3130218000</v>
      </c>
      <c r="K558" s="1098">
        <v>3158610000</v>
      </c>
      <c r="O558" s="1097">
        <f t="shared" si="188"/>
        <v>3158610000</v>
      </c>
      <c r="P558" s="1101">
        <f t="shared" si="181"/>
        <v>17800</v>
      </c>
      <c r="Q558" s="1101">
        <f t="shared" si="182"/>
        <v>678.09523809523807</v>
      </c>
      <c r="R558" s="1099">
        <v>4776557396</v>
      </c>
      <c r="S558" s="1101">
        <f t="shared" si="172"/>
        <v>26917.764981684981</v>
      </c>
      <c r="T558" s="1101">
        <f t="shared" si="173"/>
        <v>1098.6842849667339</v>
      </c>
      <c r="U558" s="1101">
        <f t="shared" si="174"/>
        <v>-1617947396</v>
      </c>
      <c r="V558" s="1103">
        <f t="shared" si="175"/>
        <v>-0.51223398773511131</v>
      </c>
      <c r="W558" s="1098">
        <v>26250</v>
      </c>
      <c r="X558" s="1106">
        <f t="shared" si="184"/>
        <v>120328</v>
      </c>
      <c r="Y558" s="1106">
        <f t="shared" si="185"/>
        <v>120328</v>
      </c>
      <c r="Z558" s="1106">
        <f t="shared" si="186"/>
        <v>-61636.091276190476</v>
      </c>
      <c r="AA558" s="1106">
        <f t="shared" si="187"/>
        <v>181964.09127619048</v>
      </c>
      <c r="AC558" s="1098">
        <f t="shared" si="183"/>
        <v>678.09523809523807</v>
      </c>
    </row>
    <row r="559" spans="1:29" hidden="1" x14ac:dyDescent="0.35">
      <c r="A559" s="179">
        <v>9</v>
      </c>
      <c r="C559" s="82" t="s">
        <v>353</v>
      </c>
      <c r="D559" s="83" t="s">
        <v>354</v>
      </c>
      <c r="E559" s="892" t="str">
        <f>VLOOKUP(F559,'Quy đổi'!A:D,4,0)</f>
        <v>Phó sản</v>
      </c>
      <c r="F559" s="82" t="s">
        <v>355</v>
      </c>
      <c r="G559" s="82" t="s">
        <v>356</v>
      </c>
      <c r="H559" s="257">
        <f>IFERROR(VLOOKUP(F559,'Quy đổi'!A:C,3,0),"-")</f>
        <v>0</v>
      </c>
      <c r="I559" s="1098">
        <v>20801</v>
      </c>
      <c r="J559" s="1098">
        <v>94374908</v>
      </c>
      <c r="K559" s="1098">
        <v>94374908</v>
      </c>
      <c r="O559" s="1097">
        <f t="shared" si="188"/>
        <v>94374908</v>
      </c>
      <c r="P559" s="1101">
        <f t="shared" si="181"/>
        <v>4537.0370655256957</v>
      </c>
      <c r="Q559" s="1101">
        <f t="shared" si="182"/>
        <v>172.83950725812176</v>
      </c>
      <c r="R559" s="1099">
        <v>262090097</v>
      </c>
      <c r="S559" s="1101">
        <f t="shared" si="172"/>
        <v>12599.879669246671</v>
      </c>
      <c r="T559" s="1101">
        <f t="shared" si="173"/>
        <v>514.28080282639473</v>
      </c>
      <c r="U559" s="1101">
        <f t="shared" si="174"/>
        <v>-167715189</v>
      </c>
      <c r="V559" s="1103">
        <f t="shared" si="175"/>
        <v>-1.777116317824649</v>
      </c>
      <c r="W559" s="1098">
        <v>26250</v>
      </c>
      <c r="X559" s="1106">
        <f t="shared" si="184"/>
        <v>3595.2345904761905</v>
      </c>
      <c r="Y559" s="1106">
        <f t="shared" si="185"/>
        <v>3595.2345904761905</v>
      </c>
      <c r="Z559" s="1106">
        <f t="shared" si="186"/>
        <v>-6389.1500571428569</v>
      </c>
      <c r="AA559" s="1106">
        <f t="shared" si="187"/>
        <v>9984.3846476190483</v>
      </c>
      <c r="AC559" s="1098">
        <f t="shared" si="183"/>
        <v>172.83950725812176</v>
      </c>
    </row>
    <row r="560" spans="1:29" hidden="1" x14ac:dyDescent="0.35">
      <c r="A560" s="179">
        <v>9</v>
      </c>
      <c r="C560" s="82" t="s">
        <v>353</v>
      </c>
      <c r="D560" s="83" t="s">
        <v>354</v>
      </c>
      <c r="E560" s="892" t="str">
        <f>VLOOKUP(F560,'Quy đổi'!A:D,4,0)</f>
        <v>Phó sản</v>
      </c>
      <c r="F560" s="82" t="s">
        <v>357</v>
      </c>
      <c r="G560" s="82" t="s">
        <v>356</v>
      </c>
      <c r="H560" s="257">
        <f>IFERROR(VLOOKUP(F560,'Quy đổi'!A:C,3,0),"-")</f>
        <v>0</v>
      </c>
      <c r="I560" s="1098">
        <v>17893</v>
      </c>
      <c r="J560" s="1098">
        <v>81181203</v>
      </c>
      <c r="K560" s="1098">
        <v>81181203</v>
      </c>
      <c r="O560" s="1097">
        <f t="shared" si="188"/>
        <v>81181203</v>
      </c>
      <c r="P560" s="1101">
        <f t="shared" si="181"/>
        <v>4537.0369977086011</v>
      </c>
      <c r="Q560" s="1101">
        <f t="shared" si="182"/>
        <v>172.83950467461338</v>
      </c>
      <c r="R560" s="1099">
        <v>225450614</v>
      </c>
      <c r="S560" s="1101">
        <f t="shared" si="172"/>
        <v>12599.933717096072</v>
      </c>
      <c r="T560" s="1101">
        <f t="shared" si="173"/>
        <v>514.2830088610641</v>
      </c>
      <c r="U560" s="1101">
        <f t="shared" si="174"/>
        <v>-144269411</v>
      </c>
      <c r="V560" s="1103">
        <f t="shared" si="175"/>
        <v>-1.7771282719227504</v>
      </c>
      <c r="W560" s="1098">
        <v>26250</v>
      </c>
      <c r="X560" s="1106">
        <f t="shared" si="184"/>
        <v>3092.6172571428569</v>
      </c>
      <c r="Y560" s="1106">
        <f t="shared" si="185"/>
        <v>3092.6172571428569</v>
      </c>
      <c r="Z560" s="1106">
        <f t="shared" si="186"/>
        <v>-5495.9775619047623</v>
      </c>
      <c r="AA560" s="1106">
        <f t="shared" si="187"/>
        <v>8588.5948190476192</v>
      </c>
      <c r="AC560" s="1098">
        <f t="shared" si="183"/>
        <v>172.83950467461338</v>
      </c>
    </row>
    <row r="561" spans="1:29" hidden="1" x14ac:dyDescent="0.35">
      <c r="A561" s="179">
        <v>9</v>
      </c>
      <c r="C561" s="82" t="s">
        <v>353</v>
      </c>
      <c r="D561" s="83" t="s">
        <v>354</v>
      </c>
      <c r="E561" s="892" t="str">
        <f>VLOOKUP(F561,'Quy đổi'!A:D,4,0)</f>
        <v>Phó sản</v>
      </c>
      <c r="F561" s="82" t="s">
        <v>358</v>
      </c>
      <c r="G561" s="82" t="s">
        <v>356</v>
      </c>
      <c r="H561" s="257">
        <f>IFERROR(VLOOKUP(F561,'Quy đổi'!A:C,3,0),"-")</f>
        <v>0</v>
      </c>
      <c r="I561" s="1098">
        <v>7166</v>
      </c>
      <c r="J561" s="1098">
        <v>32512407</v>
      </c>
      <c r="K561" s="1098">
        <v>32512407</v>
      </c>
      <c r="O561" s="1097">
        <f t="shared" si="188"/>
        <v>32512407</v>
      </c>
      <c r="P561" s="1101">
        <f t="shared" si="181"/>
        <v>4537.0369801842035</v>
      </c>
      <c r="Q561" s="1101">
        <f t="shared" si="182"/>
        <v>172.83950400701727</v>
      </c>
      <c r="R561" s="1099">
        <v>90284843</v>
      </c>
      <c r="S561" s="1101">
        <f t="shared" si="172"/>
        <v>12599.057075076751</v>
      </c>
      <c r="T561" s="1101">
        <f t="shared" si="173"/>
        <v>514.24722755415314</v>
      </c>
      <c r="U561" s="1101">
        <f t="shared" si="174"/>
        <v>-57772436</v>
      </c>
      <c r="V561" s="1103">
        <f t="shared" si="175"/>
        <v>-1.7769350635897243</v>
      </c>
      <c r="W561" s="1098">
        <v>26250</v>
      </c>
      <c r="X561" s="1106">
        <f t="shared" si="184"/>
        <v>1238.5678857142857</v>
      </c>
      <c r="Y561" s="1106">
        <f t="shared" si="185"/>
        <v>1238.5678857142857</v>
      </c>
      <c r="Z561" s="1106">
        <f t="shared" si="186"/>
        <v>-2200.8547047619049</v>
      </c>
      <c r="AA561" s="1106">
        <f t="shared" si="187"/>
        <v>3439.4225904761906</v>
      </c>
      <c r="AC561" s="1098">
        <f t="shared" si="183"/>
        <v>172.83950400701724</v>
      </c>
    </row>
    <row r="562" spans="1:29" hidden="1" x14ac:dyDescent="0.35">
      <c r="A562" s="179">
        <v>9</v>
      </c>
      <c r="C562" s="82" t="s">
        <v>353</v>
      </c>
      <c r="D562" s="83" t="s">
        <v>354</v>
      </c>
      <c r="E562" s="892" t="str">
        <f>VLOOKUP(F562,'Quy đổi'!A:D,4,0)</f>
        <v>Phó sản</v>
      </c>
      <c r="F562" s="82" t="s">
        <v>359</v>
      </c>
      <c r="G562" s="82" t="s">
        <v>356</v>
      </c>
      <c r="H562" s="257">
        <f>IFERROR(VLOOKUP(F562,'Quy đổi'!A:C,3,0),"-")</f>
        <v>0</v>
      </c>
      <c r="I562" s="1098">
        <v>22234</v>
      </c>
      <c r="J562" s="1098">
        <v>100876481</v>
      </c>
      <c r="K562" s="1098">
        <v>100876481</v>
      </c>
      <c r="O562" s="1097">
        <f t="shared" si="188"/>
        <v>100876481</v>
      </c>
      <c r="P562" s="1101">
        <f t="shared" si="181"/>
        <v>4537.0370153818476</v>
      </c>
      <c r="Q562" s="1101">
        <f t="shared" si="182"/>
        <v>172.83950534787991</v>
      </c>
      <c r="R562" s="1099">
        <v>280093270</v>
      </c>
      <c r="S562" s="1101">
        <f t="shared" si="172"/>
        <v>12597.520464153999</v>
      </c>
      <c r="T562" s="1101">
        <f t="shared" si="173"/>
        <v>514.18450874097948</v>
      </c>
      <c r="U562" s="1101">
        <f t="shared" si="174"/>
        <v>-179216789</v>
      </c>
      <c r="V562" s="1103">
        <f t="shared" si="175"/>
        <v>-1.7765963604539299</v>
      </c>
      <c r="W562" s="1098">
        <v>26250</v>
      </c>
      <c r="X562" s="1106">
        <f t="shared" si="184"/>
        <v>3842.913561904762</v>
      </c>
      <c r="Y562" s="1106">
        <f t="shared" si="185"/>
        <v>3842.913561904762</v>
      </c>
      <c r="Z562" s="1106">
        <f t="shared" si="186"/>
        <v>-6827.306247619048</v>
      </c>
      <c r="AA562" s="1106">
        <f t="shared" si="187"/>
        <v>10670.219809523809</v>
      </c>
      <c r="AC562" s="1098">
        <f t="shared" si="183"/>
        <v>172.83950534787994</v>
      </c>
    </row>
    <row r="563" spans="1:29" hidden="1" x14ac:dyDescent="0.35">
      <c r="A563" s="179">
        <v>9</v>
      </c>
      <c r="B563" s="880" t="s">
        <v>22</v>
      </c>
      <c r="C563" s="82" t="s">
        <v>13</v>
      </c>
      <c r="D563" s="83" t="s">
        <v>12</v>
      </c>
      <c r="E563" s="892" t="str">
        <f>VLOOKUP(F563,'Quy đổi'!A:D,4,0)</f>
        <v>rPET</v>
      </c>
      <c r="F563" s="82" t="s">
        <v>98</v>
      </c>
      <c r="G563" s="82" t="s">
        <v>97</v>
      </c>
      <c r="H563" s="257" t="str">
        <f>IFERROR(VLOOKUP(F563,'Quy đổi'!A:C,3,0),"-")</f>
        <v>WSS02G</v>
      </c>
      <c r="I563" s="1098">
        <v>3300</v>
      </c>
      <c r="J563" s="1098">
        <v>101242944</v>
      </c>
      <c r="K563" s="1098">
        <v>101242944</v>
      </c>
      <c r="O563" s="1097">
        <f t="shared" si="188"/>
        <v>101242944</v>
      </c>
      <c r="P563" s="1101">
        <f t="shared" si="181"/>
        <v>30679.68</v>
      </c>
      <c r="Q563" s="1101">
        <f t="shared" si="182"/>
        <v>1168.7497142857144</v>
      </c>
      <c r="R563" s="1099">
        <v>89013380</v>
      </c>
      <c r="S563" s="1101">
        <f t="shared" si="172"/>
        <v>26973.751515151514</v>
      </c>
      <c r="T563" s="1101">
        <f t="shared" si="173"/>
        <v>1100.9694495980209</v>
      </c>
      <c r="U563" s="1101">
        <f t="shared" si="174"/>
        <v>12229564</v>
      </c>
      <c r="V563" s="1103">
        <f t="shared" si="175"/>
        <v>0.12079423529999286</v>
      </c>
      <c r="W563" s="1098">
        <v>26250</v>
      </c>
      <c r="X563" s="1106">
        <f t="shared" si="184"/>
        <v>3856.8740571428571</v>
      </c>
      <c r="Y563" s="1106">
        <f t="shared" si="185"/>
        <v>3856.8740571428571</v>
      </c>
      <c r="Z563" s="1106">
        <f t="shared" si="186"/>
        <v>465.88815238095236</v>
      </c>
      <c r="AA563" s="1106">
        <f t="shared" si="187"/>
        <v>3390.9859047619047</v>
      </c>
      <c r="AC563" s="1098">
        <f t="shared" si="183"/>
        <v>1168.7497142857142</v>
      </c>
    </row>
    <row r="564" spans="1:29" hidden="1" x14ac:dyDescent="0.35">
      <c r="A564" s="179">
        <v>9</v>
      </c>
      <c r="B564" s="880" t="s">
        <v>22</v>
      </c>
      <c r="C564" s="82" t="s">
        <v>1066</v>
      </c>
      <c r="D564" s="83" t="s">
        <v>1067</v>
      </c>
      <c r="E564" s="892" t="str">
        <f>VLOOKUP(F564,'Quy đổi'!A:D,4,0)</f>
        <v>rPET</v>
      </c>
      <c r="F564" s="82" t="s">
        <v>110</v>
      </c>
      <c r="G564" s="82" t="s">
        <v>109</v>
      </c>
      <c r="H564" s="257" t="str">
        <f>IFERROR(VLOOKUP(F564,'Quy đổi'!A:C,3,0),"-")</f>
        <v>WSS01G</v>
      </c>
      <c r="I564" s="1098">
        <v>13200</v>
      </c>
      <c r="J564" s="1098">
        <v>425145600</v>
      </c>
      <c r="K564" s="1098">
        <v>425145600</v>
      </c>
      <c r="O564" s="1097">
        <f t="shared" si="188"/>
        <v>425145600</v>
      </c>
      <c r="P564" s="1101">
        <f t="shared" si="181"/>
        <v>32208</v>
      </c>
      <c r="Q564" s="1101">
        <f t="shared" si="182"/>
        <v>1226.9714285714285</v>
      </c>
      <c r="R564" s="1099">
        <v>353824337</v>
      </c>
      <c r="S564" s="1101">
        <f t="shared" si="172"/>
        <v>26804.874015151516</v>
      </c>
      <c r="T564" s="1101">
        <f t="shared" si="173"/>
        <v>1094.0764904143475</v>
      </c>
      <c r="U564" s="1101">
        <f t="shared" si="174"/>
        <v>71321263</v>
      </c>
      <c r="V564" s="1103">
        <f t="shared" si="175"/>
        <v>0.16775726480528083</v>
      </c>
      <c r="W564" s="1098">
        <v>26250</v>
      </c>
      <c r="X564" s="1106">
        <f t="shared" si="184"/>
        <v>16196.022857142858</v>
      </c>
      <c r="Y564" s="1106">
        <f t="shared" si="185"/>
        <v>16196.022857142858</v>
      </c>
      <c r="Z564" s="1106">
        <f t="shared" si="186"/>
        <v>2717.000495238095</v>
      </c>
      <c r="AA564" s="1106">
        <f t="shared" si="187"/>
        <v>13479.022361904761</v>
      </c>
      <c r="AC564" s="1098">
        <f t="shared" si="183"/>
        <v>1226.9714285714285</v>
      </c>
    </row>
    <row r="565" spans="1:29" hidden="1" x14ac:dyDescent="0.35">
      <c r="A565" s="179">
        <v>9</v>
      </c>
      <c r="C565" s="82" t="s">
        <v>454</v>
      </c>
      <c r="D565" s="83" t="s">
        <v>455</v>
      </c>
      <c r="E565" s="892" t="str">
        <f>VLOOKUP(F565,'Quy đổi'!A:D,4,0)</f>
        <v>Khác</v>
      </c>
      <c r="F565" s="82" t="s">
        <v>465</v>
      </c>
      <c r="G565" s="82" t="s">
        <v>466</v>
      </c>
      <c r="H565" s="257">
        <f>IFERROR(VLOOKUP(F565,'Quy đổi'!A:C,3,0),"-")</f>
        <v>0</v>
      </c>
      <c r="I565" s="1098">
        <v>2022</v>
      </c>
      <c r="J565" s="1098">
        <v>38418000</v>
      </c>
      <c r="K565" s="1098">
        <v>38418000</v>
      </c>
      <c r="O565" s="1097">
        <f t="shared" si="188"/>
        <v>38418000</v>
      </c>
      <c r="P565" s="1101">
        <f t="shared" si="181"/>
        <v>19000</v>
      </c>
      <c r="Q565" s="1101">
        <f t="shared" si="182"/>
        <v>723.80952380952374</v>
      </c>
      <c r="R565" s="1099">
        <v>38418000</v>
      </c>
      <c r="S565" s="1101">
        <f t="shared" si="172"/>
        <v>19000</v>
      </c>
      <c r="T565" s="1101">
        <f t="shared" si="173"/>
        <v>775.51020408163265</v>
      </c>
      <c r="U565" s="1101">
        <f t="shared" si="174"/>
        <v>0</v>
      </c>
      <c r="V565" s="1103">
        <f t="shared" si="175"/>
        <v>0</v>
      </c>
      <c r="W565" s="1098">
        <v>26250</v>
      </c>
      <c r="X565" s="1106">
        <f t="shared" si="184"/>
        <v>1463.5428571428572</v>
      </c>
      <c r="Y565" s="1106">
        <f t="shared" si="185"/>
        <v>1463.5428571428572</v>
      </c>
      <c r="Z565" s="1106">
        <f t="shared" si="186"/>
        <v>0</v>
      </c>
      <c r="AA565" s="1106">
        <f t="shared" si="187"/>
        <v>1463.5428571428572</v>
      </c>
      <c r="AC565" s="1098">
        <f t="shared" si="183"/>
        <v>723.80952380952374</v>
      </c>
    </row>
    <row r="566" spans="1:29" hidden="1" x14ac:dyDescent="0.35">
      <c r="A566" s="179">
        <v>9</v>
      </c>
      <c r="C566" s="82" t="s">
        <v>454</v>
      </c>
      <c r="D566" s="83" t="s">
        <v>455</v>
      </c>
      <c r="E566" s="892" t="str">
        <f>VLOOKUP(F566,'Quy đổi'!A:D,4,0)</f>
        <v>Khác</v>
      </c>
      <c r="F566" s="82" t="s">
        <v>223</v>
      </c>
      <c r="G566" s="82" t="s">
        <v>372</v>
      </c>
      <c r="H566" s="257">
        <f>IFERROR(VLOOKUP(F566,'Quy đổi'!A:C,3,0),"-")</f>
        <v>0</v>
      </c>
      <c r="I566" s="1098">
        <v>-974</v>
      </c>
      <c r="J566" s="1098">
        <v>0</v>
      </c>
      <c r="K566" s="1098">
        <v>-18993000</v>
      </c>
      <c r="O566" s="1097">
        <f t="shared" si="188"/>
        <v>-18993000</v>
      </c>
      <c r="P566" s="1101">
        <f t="shared" si="181"/>
        <v>19500</v>
      </c>
      <c r="Q566" s="1101">
        <f t="shared" si="182"/>
        <v>742.85714285714289</v>
      </c>
      <c r="R566" s="1099">
        <v>-20385502</v>
      </c>
      <c r="S566" s="1101">
        <f t="shared" si="172"/>
        <v>20929.673511293633</v>
      </c>
      <c r="T566" s="1101">
        <f t="shared" si="173"/>
        <v>854.2723882160667</v>
      </c>
      <c r="U566" s="1101">
        <f t="shared" si="174"/>
        <v>1392502</v>
      </c>
      <c r="V566" s="1103">
        <f t="shared" si="175"/>
        <v>-7.3316590322750494E-2</v>
      </c>
      <c r="W566" s="1098">
        <v>26250</v>
      </c>
      <c r="X566" s="1106">
        <f t="shared" si="184"/>
        <v>-723.54285714285709</v>
      </c>
      <c r="Y566" s="1106">
        <f t="shared" si="185"/>
        <v>-723.54285714285709</v>
      </c>
      <c r="Z566" s="1106">
        <f t="shared" si="186"/>
        <v>53.047695238095237</v>
      </c>
      <c r="AA566" s="1106">
        <f t="shared" si="187"/>
        <v>-776.59055238095243</v>
      </c>
      <c r="AC566" s="1098">
        <f t="shared" si="183"/>
        <v>742.85714285714278</v>
      </c>
    </row>
    <row r="567" spans="1:29" hidden="1" x14ac:dyDescent="0.35">
      <c r="A567" s="179">
        <v>9</v>
      </c>
      <c r="C567" s="82" t="s">
        <v>454</v>
      </c>
      <c r="D567" s="83" t="s">
        <v>455</v>
      </c>
      <c r="E567" s="892" t="str">
        <f>VLOOKUP(F567,'Quy đổi'!A:D,4,0)</f>
        <v>Khác</v>
      </c>
      <c r="F567" s="82" t="s">
        <v>223</v>
      </c>
      <c r="G567" s="82" t="s">
        <v>372</v>
      </c>
      <c r="H567" s="257">
        <f>IFERROR(VLOOKUP(F567,'Quy đổi'!A:C,3,0),"-")</f>
        <v>0</v>
      </c>
      <c r="I567" s="1098">
        <v>1262</v>
      </c>
      <c r="J567" s="1098">
        <v>24609000</v>
      </c>
      <c r="K567" s="1098">
        <v>24609000</v>
      </c>
      <c r="O567" s="1097">
        <f t="shared" si="188"/>
        <v>24609000</v>
      </c>
      <c r="P567" s="1101">
        <f t="shared" si="181"/>
        <v>19500</v>
      </c>
      <c r="Q567" s="1101">
        <f t="shared" si="182"/>
        <v>742.85714285714289</v>
      </c>
      <c r="R567" s="1099">
        <v>26413248</v>
      </c>
      <c r="S567" s="1101">
        <f t="shared" si="172"/>
        <v>20929.673534072899</v>
      </c>
      <c r="T567" s="1101">
        <f t="shared" si="173"/>
        <v>854.27238914583268</v>
      </c>
      <c r="U567" s="1101">
        <f t="shared" si="174"/>
        <v>-1804248</v>
      </c>
      <c r="V567" s="1103">
        <f t="shared" si="175"/>
        <v>-7.3316591490917959E-2</v>
      </c>
      <c r="W567" s="1098">
        <v>26250</v>
      </c>
      <c r="X567" s="1106">
        <f t="shared" si="184"/>
        <v>937.48571428571427</v>
      </c>
      <c r="Y567" s="1106">
        <f t="shared" si="185"/>
        <v>937.48571428571427</v>
      </c>
      <c r="Z567" s="1106">
        <f t="shared" si="186"/>
        <v>-68.733257142857141</v>
      </c>
      <c r="AA567" s="1106">
        <f t="shared" si="187"/>
        <v>1006.2189714285714</v>
      </c>
      <c r="AC567" s="1098">
        <f t="shared" si="183"/>
        <v>742.85714285714289</v>
      </c>
    </row>
    <row r="568" spans="1:29" hidden="1" x14ac:dyDescent="0.35">
      <c r="A568" s="179">
        <v>9</v>
      </c>
      <c r="C568" s="82" t="s">
        <v>454</v>
      </c>
      <c r="D568" s="83" t="s">
        <v>455</v>
      </c>
      <c r="E568" s="892" t="str">
        <f>VLOOKUP(F568,'Quy đổi'!A:D,4,0)</f>
        <v>Phó sản</v>
      </c>
      <c r="F568" s="82" t="s">
        <v>655</v>
      </c>
      <c r="G568" s="82" t="s">
        <v>656</v>
      </c>
      <c r="H568" s="257">
        <f>IFERROR(VLOOKUP(F568,'Quy đổi'!A:C,3,0),"-")</f>
        <v>0</v>
      </c>
      <c r="I568" s="1098">
        <v>2150</v>
      </c>
      <c r="J568" s="1098">
        <v>41925000</v>
      </c>
      <c r="K568" s="1098">
        <v>41925000</v>
      </c>
      <c r="O568" s="1097">
        <f t="shared" si="188"/>
        <v>41925000</v>
      </c>
      <c r="P568" s="1101">
        <f t="shared" si="181"/>
        <v>19500</v>
      </c>
      <c r="Q568" s="1101">
        <f t="shared" si="182"/>
        <v>742.85714285714289</v>
      </c>
      <c r="R568" s="1099">
        <v>40534239</v>
      </c>
      <c r="S568" s="1101">
        <f t="shared" si="172"/>
        <v>18853.134418604652</v>
      </c>
      <c r="T568" s="1101">
        <f t="shared" si="173"/>
        <v>769.51569055529194</v>
      </c>
      <c r="U568" s="1101">
        <f t="shared" si="174"/>
        <v>1390761</v>
      </c>
      <c r="V568" s="1103">
        <f t="shared" si="175"/>
        <v>3.31725939177102E-2</v>
      </c>
      <c r="W568" s="1098">
        <v>26250</v>
      </c>
      <c r="X568" s="1106">
        <f t="shared" si="184"/>
        <v>1597.1428571428571</v>
      </c>
      <c r="Y568" s="1106">
        <f t="shared" si="185"/>
        <v>1597.1428571428571</v>
      </c>
      <c r="Z568" s="1106">
        <f t="shared" si="186"/>
        <v>52.981371428571428</v>
      </c>
      <c r="AA568" s="1106">
        <f t="shared" si="187"/>
        <v>1544.1614857142856</v>
      </c>
      <c r="AC568" s="1098">
        <f t="shared" si="183"/>
        <v>742.85714285714289</v>
      </c>
    </row>
    <row r="569" spans="1:29" hidden="1" x14ac:dyDescent="0.35">
      <c r="A569" s="179">
        <v>9</v>
      </c>
      <c r="C569" s="82" t="s">
        <v>454</v>
      </c>
      <c r="D569" s="83" t="s">
        <v>455</v>
      </c>
      <c r="E569" s="892" t="str">
        <f>VLOOKUP(F569,'Quy đổi'!A:D,4,0)</f>
        <v>Phó sản</v>
      </c>
      <c r="F569" s="82" t="s">
        <v>1083</v>
      </c>
      <c r="G569" s="82" t="s">
        <v>1088</v>
      </c>
      <c r="H569" s="257">
        <f>IFERROR(VLOOKUP(F569,'Quy đổi'!A:C,3,0),"-")</f>
        <v>0</v>
      </c>
      <c r="I569" s="1098">
        <v>974</v>
      </c>
      <c r="J569" s="1098">
        <v>18993000</v>
      </c>
      <c r="K569" s="1098">
        <v>18993000</v>
      </c>
      <c r="O569" s="1097">
        <f t="shared" si="188"/>
        <v>18993000</v>
      </c>
      <c r="P569" s="1101">
        <f t="shared" si="181"/>
        <v>19500</v>
      </c>
      <c r="Q569" s="1101">
        <f t="shared" si="182"/>
        <v>742.85714285714289</v>
      </c>
      <c r="R569" s="1099">
        <v>24534436</v>
      </c>
      <c r="S569" s="1101">
        <f t="shared" si="172"/>
        <v>25189.35934291581</v>
      </c>
      <c r="T569" s="1101">
        <f t="shared" si="173"/>
        <v>1028.1371160373801</v>
      </c>
      <c r="U569" s="1101">
        <f t="shared" si="174"/>
        <v>-5541436</v>
      </c>
      <c r="V569" s="1103">
        <f t="shared" si="175"/>
        <v>-0.29176201758542619</v>
      </c>
      <c r="W569" s="1098">
        <v>26250</v>
      </c>
      <c r="X569" s="1106">
        <f t="shared" si="184"/>
        <v>723.54285714285709</v>
      </c>
      <c r="Y569" s="1106">
        <f t="shared" si="185"/>
        <v>723.54285714285709</v>
      </c>
      <c r="Z569" s="1106">
        <f t="shared" si="186"/>
        <v>-211.1023238095238</v>
      </c>
      <c r="AA569" s="1106">
        <f t="shared" si="187"/>
        <v>934.645180952381</v>
      </c>
      <c r="AC569" s="1098">
        <f t="shared" si="183"/>
        <v>742.85714285714278</v>
      </c>
    </row>
    <row r="570" spans="1:29" hidden="1" x14ac:dyDescent="0.35">
      <c r="A570" s="179">
        <v>9</v>
      </c>
      <c r="C570" s="82" t="s">
        <v>454</v>
      </c>
      <c r="D570" s="83" t="s">
        <v>455</v>
      </c>
      <c r="E570" s="892" t="str">
        <f>VLOOKUP(F570,'Quy đổi'!A:D,4,0)</f>
        <v>Khác</v>
      </c>
      <c r="F570" s="82" t="s">
        <v>467</v>
      </c>
      <c r="G570" s="82" t="s">
        <v>466</v>
      </c>
      <c r="H570" s="257">
        <f>IFERROR(VLOOKUP(F570,'Quy đổi'!A:C,3,0),"-")</f>
        <v>0</v>
      </c>
      <c r="I570" s="1098">
        <v>-2022</v>
      </c>
      <c r="J570" s="1098">
        <v>0</v>
      </c>
      <c r="K570" s="1098">
        <v>-38418000</v>
      </c>
      <c r="O570" s="1097">
        <f t="shared" si="188"/>
        <v>-38418000</v>
      </c>
      <c r="P570" s="1101">
        <f t="shared" si="181"/>
        <v>19000</v>
      </c>
      <c r="Q570" s="1101">
        <f t="shared" si="182"/>
        <v>723.80952380952374</v>
      </c>
      <c r="R570" s="1099">
        <v>-36785311</v>
      </c>
      <c r="S570" s="1101">
        <f t="shared" si="172"/>
        <v>18192.537586547973</v>
      </c>
      <c r="T570" s="1101">
        <f t="shared" si="173"/>
        <v>742.55255455297845</v>
      </c>
      <c r="U570" s="1101">
        <f t="shared" si="174"/>
        <v>-1632689</v>
      </c>
      <c r="V570" s="1103">
        <f t="shared" si="175"/>
        <v>4.249802176063304E-2</v>
      </c>
      <c r="W570" s="1098">
        <v>26250</v>
      </c>
      <c r="X570" s="1106">
        <f t="shared" si="184"/>
        <v>-1463.5428571428572</v>
      </c>
      <c r="Y570" s="1106">
        <f t="shared" si="185"/>
        <v>-1463.5428571428572</v>
      </c>
      <c r="Z570" s="1106">
        <f t="shared" si="186"/>
        <v>-62.197676190476187</v>
      </c>
      <c r="AA570" s="1106">
        <f t="shared" si="187"/>
        <v>-1401.345180952381</v>
      </c>
      <c r="AC570" s="1098">
        <f t="shared" si="183"/>
        <v>723.80952380952374</v>
      </c>
    </row>
    <row r="571" spans="1:29" hidden="1" x14ac:dyDescent="0.35">
      <c r="A571" s="179">
        <v>9</v>
      </c>
      <c r="C571" s="82" t="s">
        <v>454</v>
      </c>
      <c r="D571" s="83" t="s">
        <v>455</v>
      </c>
      <c r="E571" s="892" t="str">
        <f>VLOOKUP(F571,'Quy đổi'!A:D,4,0)</f>
        <v>Khác</v>
      </c>
      <c r="F571" s="82" t="s">
        <v>467</v>
      </c>
      <c r="G571" s="82" t="s">
        <v>466</v>
      </c>
      <c r="H571" s="257">
        <f>IFERROR(VLOOKUP(F571,'Quy đổi'!A:C,3,0),"-")</f>
        <v>0</v>
      </c>
      <c r="I571" s="1098">
        <v>2022</v>
      </c>
      <c r="J571" s="1098">
        <v>38418000</v>
      </c>
      <c r="K571" s="1098">
        <v>38418000</v>
      </c>
      <c r="O571" s="1097">
        <f t="shared" si="188"/>
        <v>38418000</v>
      </c>
      <c r="P571" s="1101">
        <f t="shared" si="181"/>
        <v>19000</v>
      </c>
      <c r="Q571" s="1101">
        <f t="shared" si="182"/>
        <v>723.80952380952374</v>
      </c>
      <c r="R571" s="1099">
        <v>36785311</v>
      </c>
      <c r="S571" s="1101">
        <f t="shared" si="172"/>
        <v>18192.537586547973</v>
      </c>
      <c r="T571" s="1101">
        <f t="shared" si="173"/>
        <v>742.55255455297845</v>
      </c>
      <c r="U571" s="1101">
        <f t="shared" si="174"/>
        <v>1632689</v>
      </c>
      <c r="V571" s="1103">
        <f t="shared" si="175"/>
        <v>4.249802176063304E-2</v>
      </c>
      <c r="W571" s="1098">
        <v>26250</v>
      </c>
      <c r="X571" s="1106">
        <f t="shared" si="184"/>
        <v>1463.5428571428572</v>
      </c>
      <c r="Y571" s="1106">
        <f t="shared" si="185"/>
        <v>1463.5428571428572</v>
      </c>
      <c r="Z571" s="1106">
        <f t="shared" si="186"/>
        <v>62.197676190476187</v>
      </c>
      <c r="AA571" s="1106">
        <f t="shared" si="187"/>
        <v>1401.345180952381</v>
      </c>
      <c r="AC571" s="1098">
        <f t="shared" si="183"/>
        <v>723.80952380952374</v>
      </c>
    </row>
    <row r="572" spans="1:29" hidden="1" x14ac:dyDescent="0.35">
      <c r="A572" s="179">
        <v>9</v>
      </c>
      <c r="C572" s="82" t="s">
        <v>454</v>
      </c>
      <c r="D572" s="83" t="s">
        <v>455</v>
      </c>
      <c r="E572" s="892" t="str">
        <f>VLOOKUP(F572,'Quy đổi'!A:D,4,0)</f>
        <v>Phó sản</v>
      </c>
      <c r="F572" s="82" t="s">
        <v>970</v>
      </c>
      <c r="G572" s="82" t="s">
        <v>1084</v>
      </c>
      <c r="H572" s="257">
        <f>IFERROR(VLOOKUP(F572,'Quy đổi'!A:C,3,0),"-")</f>
        <v>0</v>
      </c>
      <c r="I572" s="1098">
        <v>258</v>
      </c>
      <c r="J572" s="1098">
        <v>4386000</v>
      </c>
      <c r="K572" s="1098">
        <v>4386000</v>
      </c>
      <c r="O572" s="1097">
        <f t="shared" si="188"/>
        <v>4386000</v>
      </c>
      <c r="P572" s="1101">
        <f t="shared" si="181"/>
        <v>17000</v>
      </c>
      <c r="Q572" s="1101">
        <f t="shared" si="182"/>
        <v>647.61904761904771</v>
      </c>
      <c r="R572" s="1099">
        <v>4248601</v>
      </c>
      <c r="S572" s="1101">
        <f t="shared" si="172"/>
        <v>16467.445736434107</v>
      </c>
      <c r="T572" s="1101">
        <f t="shared" si="173"/>
        <v>672.14064230343297</v>
      </c>
      <c r="U572" s="1101">
        <f t="shared" si="174"/>
        <v>137399</v>
      </c>
      <c r="V572" s="1103">
        <f t="shared" si="175"/>
        <v>3.1326721386228912E-2</v>
      </c>
      <c r="W572" s="1098">
        <v>26250</v>
      </c>
      <c r="X572" s="1106">
        <f t="shared" si="184"/>
        <v>167.08571428571429</v>
      </c>
      <c r="Y572" s="1106">
        <f t="shared" si="185"/>
        <v>167.08571428571429</v>
      </c>
      <c r="Z572" s="1106">
        <f t="shared" si="186"/>
        <v>5.2342476190476193</v>
      </c>
      <c r="AA572" s="1106">
        <f t="shared" si="187"/>
        <v>161.85146666666665</v>
      </c>
      <c r="AC572" s="1098">
        <f t="shared" si="183"/>
        <v>647.61904761904771</v>
      </c>
    </row>
    <row r="573" spans="1:29" hidden="1" x14ac:dyDescent="0.35">
      <c r="A573" s="179">
        <v>9</v>
      </c>
      <c r="B573" s="880" t="s">
        <v>22</v>
      </c>
      <c r="C573" s="82" t="s">
        <v>456</v>
      </c>
      <c r="D573" s="83" t="s">
        <v>457</v>
      </c>
      <c r="E573" s="892" t="str">
        <f>VLOOKUP(F573,'Quy đổi'!A:D,4,0)</f>
        <v>rHDPE ép</v>
      </c>
      <c r="F573" s="82" t="s">
        <v>37</v>
      </c>
      <c r="G573" s="82" t="s">
        <v>36</v>
      </c>
      <c r="H573" s="257" t="str">
        <f>IFERROR(VLOOKUP(F573,'Quy đổi'!A:C,3,0),"-")</f>
        <v>Vảy HD Ép Đỏ</v>
      </c>
      <c r="I573" s="1098">
        <v>12750</v>
      </c>
      <c r="J573" s="1098">
        <v>196543447</v>
      </c>
      <c r="K573" s="1098">
        <v>197625000</v>
      </c>
      <c r="O573" s="1097">
        <f t="shared" si="188"/>
        <v>197625000</v>
      </c>
      <c r="P573" s="1101">
        <f t="shared" si="181"/>
        <v>15500</v>
      </c>
      <c r="Q573" s="1101">
        <f t="shared" si="182"/>
        <v>590.47619047619048</v>
      </c>
      <c r="R573" s="1099">
        <v>239847494</v>
      </c>
      <c r="S573" s="1101">
        <f t="shared" si="172"/>
        <v>18811.568156862744</v>
      </c>
      <c r="T573" s="1101">
        <f t="shared" si="173"/>
        <v>767.81910844337733</v>
      </c>
      <c r="U573" s="1101">
        <f t="shared" si="174"/>
        <v>-42222494</v>
      </c>
      <c r="V573" s="1103">
        <f t="shared" si="175"/>
        <v>-0.21364955850727388</v>
      </c>
      <c r="W573" s="1098">
        <v>26250</v>
      </c>
      <c r="X573" s="1106">
        <f t="shared" si="184"/>
        <v>7528.5714285714284</v>
      </c>
      <c r="Y573" s="1106">
        <f t="shared" si="185"/>
        <v>7528.5714285714284</v>
      </c>
      <c r="Z573" s="1106">
        <f t="shared" si="186"/>
        <v>-1608.475961904762</v>
      </c>
      <c r="AA573" s="1106">
        <f t="shared" si="187"/>
        <v>9137.0473904761911</v>
      </c>
      <c r="AC573" s="1098">
        <f t="shared" si="183"/>
        <v>590.47619047619048</v>
      </c>
    </row>
    <row r="574" spans="1:29" hidden="1" x14ac:dyDescent="0.35">
      <c r="A574" s="179">
        <v>9</v>
      </c>
      <c r="B574" s="880" t="s">
        <v>22</v>
      </c>
      <c r="C574" s="82" t="s">
        <v>456</v>
      </c>
      <c r="D574" s="83" t="s">
        <v>457</v>
      </c>
      <c r="E574" s="892" t="str">
        <f>VLOOKUP(F574,'Quy đổi'!A:D,4,0)</f>
        <v>rHDPE ép</v>
      </c>
      <c r="F574" s="82" t="s">
        <v>536</v>
      </c>
      <c r="G574" s="82" t="s">
        <v>537</v>
      </c>
      <c r="H574" s="257" t="str">
        <f>IFERROR(VLOOKUP(F574,'Quy đổi'!A:C,3,0),"-")</f>
        <v>Vảy HD Ép Trắng</v>
      </c>
      <c r="I574" s="1098">
        <v>21000</v>
      </c>
      <c r="J574" s="1098">
        <v>315000000</v>
      </c>
      <c r="K574" s="1098">
        <v>315000000</v>
      </c>
      <c r="O574" s="1097">
        <f t="shared" si="188"/>
        <v>315000000</v>
      </c>
      <c r="P574" s="1101">
        <f t="shared" si="181"/>
        <v>15000</v>
      </c>
      <c r="Q574" s="1101">
        <f t="shared" si="182"/>
        <v>571.42857142857144</v>
      </c>
      <c r="R574" s="1099">
        <v>577385151</v>
      </c>
      <c r="S574" s="1101">
        <f t="shared" ref="S574:S599" si="189">R574/I574</f>
        <v>27494.530999999999</v>
      </c>
      <c r="T574" s="1101">
        <f t="shared" ref="T574:T599" si="190">S574/24.5</f>
        <v>1122.2257551020407</v>
      </c>
      <c r="U574" s="1101">
        <f t="shared" ref="U574:U599" si="191">O574-R574</f>
        <v>-262385151</v>
      </c>
      <c r="V574" s="1103">
        <f t="shared" ref="V574:V599" si="192">U574/K574</f>
        <v>-0.83296873333333332</v>
      </c>
      <c r="W574" s="1098">
        <v>26250</v>
      </c>
      <c r="X574" s="1106">
        <f t="shared" si="184"/>
        <v>12000</v>
      </c>
      <c r="Y574" s="1106">
        <f t="shared" si="185"/>
        <v>12000</v>
      </c>
      <c r="Z574" s="1106">
        <f t="shared" si="186"/>
        <v>-9995.6247999999996</v>
      </c>
      <c r="AA574" s="1106">
        <f t="shared" si="187"/>
        <v>21995.624800000001</v>
      </c>
      <c r="AC574" s="1098">
        <f t="shared" si="183"/>
        <v>571.42857142857144</v>
      </c>
    </row>
    <row r="575" spans="1:29" hidden="1" x14ac:dyDescent="0.35">
      <c r="A575" s="179">
        <v>9</v>
      </c>
      <c r="B575" s="880" t="s">
        <v>22</v>
      </c>
      <c r="C575" s="82" t="s">
        <v>456</v>
      </c>
      <c r="D575" s="83" t="s">
        <v>457</v>
      </c>
      <c r="E575" s="892" t="str">
        <f>VLOOKUP(F575,'Quy đổi'!A:D,4,0)</f>
        <v>rHDPE ép</v>
      </c>
      <c r="F575" s="82" t="s">
        <v>39</v>
      </c>
      <c r="G575" s="82" t="s">
        <v>38</v>
      </c>
      <c r="H575" s="257" t="str">
        <f>IFERROR(VLOOKUP(F575,'Quy đổi'!A:C,3,0),"-")</f>
        <v>Vảy HD Ép Vàng</v>
      </c>
      <c r="I575" s="1098">
        <v>14250</v>
      </c>
      <c r="J575" s="1098">
        <v>220125000</v>
      </c>
      <c r="K575" s="1098">
        <v>221085000</v>
      </c>
      <c r="O575" s="1097">
        <f t="shared" si="188"/>
        <v>221085000</v>
      </c>
      <c r="P575" s="1101">
        <f t="shared" si="181"/>
        <v>15514.736842105263</v>
      </c>
      <c r="Q575" s="1101">
        <f t="shared" si="182"/>
        <v>591.03759398496231</v>
      </c>
      <c r="R575" s="1099">
        <v>359479446</v>
      </c>
      <c r="S575" s="1101">
        <f t="shared" si="189"/>
        <v>25226.627789473685</v>
      </c>
      <c r="T575" s="1101">
        <f t="shared" si="190"/>
        <v>1029.6582771213748</v>
      </c>
      <c r="U575" s="1101">
        <f t="shared" si="191"/>
        <v>-138394446</v>
      </c>
      <c r="V575" s="1103">
        <f t="shared" si="192"/>
        <v>-0.6259784517267114</v>
      </c>
      <c r="W575" s="1098">
        <v>26250</v>
      </c>
      <c r="X575" s="1106">
        <f t="shared" si="184"/>
        <v>8422.2857142857138</v>
      </c>
      <c r="Y575" s="1106">
        <f t="shared" si="185"/>
        <v>8422.2857142857138</v>
      </c>
      <c r="Z575" s="1106">
        <f t="shared" si="186"/>
        <v>-5272.1693714285711</v>
      </c>
      <c r="AA575" s="1106">
        <f t="shared" si="187"/>
        <v>13694.455085714286</v>
      </c>
      <c r="AC575" s="1098">
        <f t="shared" si="183"/>
        <v>591.03759398496231</v>
      </c>
    </row>
    <row r="576" spans="1:29" hidden="1" x14ac:dyDescent="0.35">
      <c r="A576" s="179">
        <v>9</v>
      </c>
      <c r="C576" s="82" t="s">
        <v>456</v>
      </c>
      <c r="D576" s="83" t="s">
        <v>457</v>
      </c>
      <c r="E576" s="892" t="str">
        <f>VLOOKUP(F576,'Quy đổi'!A:D,4,0)</f>
        <v>Phó sản</v>
      </c>
      <c r="F576" s="82" t="s">
        <v>1020</v>
      </c>
      <c r="G576" s="82" t="s">
        <v>1085</v>
      </c>
      <c r="H576" s="257">
        <f>IFERROR(VLOOKUP(F576,'Quy đổi'!A:C,3,0),"-")</f>
        <v>0</v>
      </c>
      <c r="I576" s="1098">
        <v>10538</v>
      </c>
      <c r="J576" s="1098">
        <v>106774072</v>
      </c>
      <c r="K576" s="1098">
        <v>107331482</v>
      </c>
      <c r="O576" s="1097">
        <f t="shared" si="188"/>
        <v>107331482</v>
      </c>
      <c r="P576" s="1101">
        <f t="shared" si="181"/>
        <v>10185.185234389828</v>
      </c>
      <c r="Q576" s="1101">
        <f t="shared" si="182"/>
        <v>388.00705654818393</v>
      </c>
      <c r="R576" s="1099">
        <v>84905139</v>
      </c>
      <c r="S576" s="1101">
        <f t="shared" si="189"/>
        <v>8057.0448851774527</v>
      </c>
      <c r="T576" s="1101">
        <f t="shared" si="190"/>
        <v>328.85897490520216</v>
      </c>
      <c r="U576" s="1101">
        <f t="shared" si="191"/>
        <v>22426343</v>
      </c>
      <c r="V576" s="1103">
        <f t="shared" si="192"/>
        <v>0.20894468782234835</v>
      </c>
      <c r="W576" s="1098">
        <v>26250</v>
      </c>
      <c r="X576" s="1106">
        <f t="shared" si="184"/>
        <v>4088.8183619047618</v>
      </c>
      <c r="Y576" s="1106">
        <f t="shared" si="185"/>
        <v>4088.8183619047618</v>
      </c>
      <c r="Z576" s="1106">
        <f t="shared" si="186"/>
        <v>854.33687619047623</v>
      </c>
      <c r="AA576" s="1106">
        <f t="shared" si="187"/>
        <v>3234.4814857142856</v>
      </c>
      <c r="AC576" s="1098">
        <f t="shared" si="183"/>
        <v>388.00705654818393</v>
      </c>
    </row>
    <row r="577" spans="1:29" hidden="1" x14ac:dyDescent="0.35">
      <c r="A577" s="179">
        <v>9</v>
      </c>
      <c r="B577" s="880" t="s">
        <v>22</v>
      </c>
      <c r="C577" s="82" t="s">
        <v>513</v>
      </c>
      <c r="D577" s="83" t="s">
        <v>514</v>
      </c>
      <c r="E577" s="892" t="str">
        <f>VLOOKUP(F577,'Quy đổi'!A:D,4,0)</f>
        <v>rPP</v>
      </c>
      <c r="F577" s="82" t="s">
        <v>11</v>
      </c>
      <c r="G577" s="82" t="s">
        <v>10</v>
      </c>
      <c r="H577" s="257" t="str">
        <f>IFERROR(VLOOKUP(F577,'Quy đổi'!A:C,3,0),"-")</f>
        <v>rPP20B01</v>
      </c>
      <c r="I577" s="1098">
        <v>25</v>
      </c>
      <c r="J577" s="1098">
        <v>437500</v>
      </c>
      <c r="K577" s="1098">
        <v>437500</v>
      </c>
      <c r="O577" s="1097">
        <f t="shared" si="188"/>
        <v>437500</v>
      </c>
      <c r="P577" s="1101">
        <f t="shared" si="181"/>
        <v>17500</v>
      </c>
      <c r="Q577" s="1101">
        <f t="shared" si="182"/>
        <v>666.66666666666663</v>
      </c>
      <c r="R577" s="1099">
        <v>535674</v>
      </c>
      <c r="S577" s="1101">
        <f t="shared" si="189"/>
        <v>21426.959999999999</v>
      </c>
      <c r="T577" s="1101">
        <f t="shared" si="190"/>
        <v>874.56979591836728</v>
      </c>
      <c r="U577" s="1101">
        <f t="shared" si="191"/>
        <v>-98174</v>
      </c>
      <c r="V577" s="1103">
        <f t="shared" si="192"/>
        <v>-0.22439771428571428</v>
      </c>
      <c r="W577" s="1098">
        <v>26250</v>
      </c>
      <c r="X577" s="1106">
        <f t="shared" si="184"/>
        <v>16.666666666666668</v>
      </c>
      <c r="Y577" s="1106">
        <f t="shared" si="185"/>
        <v>16.666666666666668</v>
      </c>
      <c r="Z577" s="1106">
        <f t="shared" si="186"/>
        <v>-3.7399619047619046</v>
      </c>
      <c r="AA577" s="1106">
        <f t="shared" si="187"/>
        <v>20.40662857142857</v>
      </c>
      <c r="AC577" s="1098">
        <f t="shared" si="183"/>
        <v>666.66666666666674</v>
      </c>
    </row>
    <row r="578" spans="1:29" hidden="1" x14ac:dyDescent="0.35">
      <c r="A578" s="179">
        <v>9</v>
      </c>
      <c r="B578" s="880" t="s">
        <v>22</v>
      </c>
      <c r="C578" s="82" t="s">
        <v>517</v>
      </c>
      <c r="D578" s="83" t="s">
        <v>518</v>
      </c>
      <c r="E578" s="892" t="str">
        <f>VLOOKUP(F578,'Quy đổi'!A:D,4,0)</f>
        <v>rPET</v>
      </c>
      <c r="F578" s="82" t="s">
        <v>1086</v>
      </c>
      <c r="G578" s="82" t="s">
        <v>1087</v>
      </c>
      <c r="H578" s="257" t="str">
        <f>IFERROR(VLOOKUP(F578,'Quy đổi'!A:C,3,0),"-")</f>
        <v>WSS04</v>
      </c>
      <c r="I578" s="1098">
        <v>24200</v>
      </c>
      <c r="J578" s="1098">
        <v>497766666</v>
      </c>
      <c r="K578" s="1098">
        <v>504166666</v>
      </c>
      <c r="O578" s="1097">
        <f t="shared" si="188"/>
        <v>504166666</v>
      </c>
      <c r="P578" s="1101">
        <f t="shared" ref="P578:P599" si="193">O578/I578</f>
        <v>20833.333305785123</v>
      </c>
      <c r="Q578" s="1101">
        <f t="shared" ref="Q578:Q599" si="194">P578/W578*1000</f>
        <v>793.65079260133803</v>
      </c>
      <c r="R578" s="1099">
        <v>723512038</v>
      </c>
      <c r="S578" s="1101">
        <f t="shared" si="189"/>
        <v>29897.191652892561</v>
      </c>
      <c r="T578" s="1101">
        <f t="shared" si="190"/>
        <v>1220.2935368527576</v>
      </c>
      <c r="U578" s="1101">
        <f t="shared" si="191"/>
        <v>-219345372</v>
      </c>
      <c r="V578" s="1103">
        <f t="shared" si="192"/>
        <v>-0.43506520123644987</v>
      </c>
      <c r="W578" s="1098">
        <v>26250</v>
      </c>
      <c r="X578" s="1106">
        <f t="shared" si="184"/>
        <v>19206.34918095238</v>
      </c>
      <c r="Y578" s="1106">
        <f t="shared" si="185"/>
        <v>19206.34918095238</v>
      </c>
      <c r="Z578" s="1106">
        <f t="shared" si="186"/>
        <v>-8356.014171428571</v>
      </c>
      <c r="AA578" s="1106">
        <f t="shared" si="187"/>
        <v>27562.363352380951</v>
      </c>
      <c r="AC578" s="1098">
        <f t="shared" ref="AC578:AC599" si="195">X578/I578*1000</f>
        <v>793.65079260133803</v>
      </c>
    </row>
    <row r="579" spans="1:29" hidden="1" x14ac:dyDescent="0.35">
      <c r="A579" s="179">
        <v>9</v>
      </c>
      <c r="B579" s="880" t="s">
        <v>22</v>
      </c>
      <c r="C579" s="82" t="s">
        <v>519</v>
      </c>
      <c r="D579" s="83" t="s">
        <v>520</v>
      </c>
      <c r="E579" s="892" t="str">
        <f>VLOOKUP(F579,'Quy đổi'!A:D,4,0)</f>
        <v>rHDPE ép</v>
      </c>
      <c r="F579" s="82" t="s">
        <v>536</v>
      </c>
      <c r="G579" s="82" t="s">
        <v>537</v>
      </c>
      <c r="H579" s="257" t="str">
        <f>IFERROR(VLOOKUP(F579,'Quy đổi'!A:C,3,0),"-")</f>
        <v>Vảy HD Ép Trắng</v>
      </c>
      <c r="I579" s="1098">
        <v>190500</v>
      </c>
      <c r="J579" s="1098">
        <v>2781300000</v>
      </c>
      <c r="K579" s="1098">
        <v>2781300000</v>
      </c>
      <c r="O579" s="1097">
        <f t="shared" si="188"/>
        <v>2781300000</v>
      </c>
      <c r="P579" s="1101">
        <f t="shared" si="193"/>
        <v>14600</v>
      </c>
      <c r="Q579" s="1101">
        <f t="shared" si="194"/>
        <v>556.19047619047626</v>
      </c>
      <c r="R579" s="1099">
        <v>5237708164</v>
      </c>
      <c r="S579" s="1101">
        <f t="shared" si="189"/>
        <v>27494.531044619423</v>
      </c>
      <c r="T579" s="1101">
        <f t="shared" si="190"/>
        <v>1122.2257569232418</v>
      </c>
      <c r="U579" s="1101">
        <f t="shared" si="191"/>
        <v>-2456408164</v>
      </c>
      <c r="V579" s="1103">
        <f t="shared" si="192"/>
        <v>-0.88318705785064533</v>
      </c>
      <c r="W579" s="1098">
        <v>26250</v>
      </c>
      <c r="X579" s="1106">
        <f t="shared" ref="X579:X599" si="196">O579/W579</f>
        <v>105954.28571428571</v>
      </c>
      <c r="Y579" s="1106">
        <f t="shared" ref="Y579:Y599" si="197">K579/W579</f>
        <v>105954.28571428571</v>
      </c>
      <c r="Z579" s="1106">
        <f t="shared" ref="Z579:Z599" si="198">U579/W579</f>
        <v>-93577.453866666663</v>
      </c>
      <c r="AA579" s="1106">
        <f t="shared" ref="AA579:AA599" si="199">R579/W579</f>
        <v>199531.73958095239</v>
      </c>
      <c r="AC579" s="1098">
        <f t="shared" si="195"/>
        <v>556.19047619047615</v>
      </c>
    </row>
    <row r="580" spans="1:29" hidden="1" x14ac:dyDescent="0.35">
      <c r="A580" s="179">
        <v>9</v>
      </c>
      <c r="C580" s="82" t="s">
        <v>519</v>
      </c>
      <c r="D580" s="83" t="s">
        <v>520</v>
      </c>
      <c r="E580" s="892" t="str">
        <f>VLOOKUP(F580,'Quy đổi'!A:D,4,0)</f>
        <v>Phó sản</v>
      </c>
      <c r="F580" s="82" t="s">
        <v>1018</v>
      </c>
      <c r="G580" s="82" t="s">
        <v>1085</v>
      </c>
      <c r="H580" s="257">
        <f>IFERROR(VLOOKUP(F580,'Quy đổi'!A:C,3,0),"-")</f>
        <v>0</v>
      </c>
      <c r="I580" s="1098">
        <v>59760</v>
      </c>
      <c r="J580" s="1098">
        <v>664000000</v>
      </c>
      <c r="K580" s="1098">
        <v>664000000</v>
      </c>
      <c r="O580" s="1097">
        <f t="shared" si="188"/>
        <v>664000000</v>
      </c>
      <c r="P580" s="1101">
        <f t="shared" si="193"/>
        <v>11111.111111111111</v>
      </c>
      <c r="Q580" s="1101">
        <f t="shared" si="194"/>
        <v>423.28042328042329</v>
      </c>
      <c r="R580" s="1099">
        <v>485431748</v>
      </c>
      <c r="S580" s="1101">
        <f t="shared" si="189"/>
        <v>8123.0212182061578</v>
      </c>
      <c r="T580" s="1101">
        <f t="shared" si="190"/>
        <v>331.55188645739418</v>
      </c>
      <c r="U580" s="1101">
        <f t="shared" si="191"/>
        <v>178568252</v>
      </c>
      <c r="V580" s="1103">
        <f t="shared" si="192"/>
        <v>0.26892809036144577</v>
      </c>
      <c r="W580" s="1098">
        <v>26250</v>
      </c>
      <c r="X580" s="1106">
        <f t="shared" si="196"/>
        <v>25295.238095238095</v>
      </c>
      <c r="Y580" s="1106">
        <f t="shared" si="197"/>
        <v>25295.238095238095</v>
      </c>
      <c r="Z580" s="1106">
        <f t="shared" si="198"/>
        <v>6802.6000761904761</v>
      </c>
      <c r="AA580" s="1106">
        <f t="shared" si="199"/>
        <v>18492.638019047619</v>
      </c>
      <c r="AC580" s="1098">
        <f t="shared" si="195"/>
        <v>423.28042328042324</v>
      </c>
    </row>
    <row r="581" spans="1:29" hidden="1" x14ac:dyDescent="0.35">
      <c r="A581" s="179">
        <v>9</v>
      </c>
      <c r="B581" s="880" t="s">
        <v>22</v>
      </c>
      <c r="C581" s="82" t="s">
        <v>637</v>
      </c>
      <c r="D581" s="83" t="s">
        <v>638</v>
      </c>
      <c r="E581" s="892" t="str">
        <f>VLOOKUP(F581,'Quy đổi'!A:D,4,0)</f>
        <v>rHDPE ép</v>
      </c>
      <c r="F581" s="82" t="s">
        <v>206</v>
      </c>
      <c r="G581" s="82" t="s">
        <v>207</v>
      </c>
      <c r="H581" s="257" t="str">
        <f>IFERROR(VLOOKUP(F581,'Quy đổi'!A:C,3,0),"-")</f>
        <v>rHDI3R01</v>
      </c>
      <c r="I581" s="1098">
        <v>22000</v>
      </c>
      <c r="J581" s="1098">
        <v>418012276</v>
      </c>
      <c r="K581" s="1098">
        <v>419222222</v>
      </c>
      <c r="M581" s="1056">
        <f>1000*I581</f>
        <v>22000000</v>
      </c>
      <c r="O581" s="1097">
        <f t="shared" si="188"/>
        <v>397222222</v>
      </c>
      <c r="P581" s="1101">
        <f t="shared" si="193"/>
        <v>18055.555545454547</v>
      </c>
      <c r="Q581" s="1101">
        <f t="shared" si="194"/>
        <v>687.83068744588752</v>
      </c>
      <c r="R581" s="1099">
        <v>470099335</v>
      </c>
      <c r="S581" s="1101">
        <f t="shared" si="189"/>
        <v>21368.151590909092</v>
      </c>
      <c r="T581" s="1101">
        <f t="shared" si="190"/>
        <v>872.16945269016708</v>
      </c>
      <c r="U581" s="1101">
        <f t="shared" si="191"/>
        <v>-72877113</v>
      </c>
      <c r="V581" s="1103">
        <f t="shared" si="192"/>
        <v>-0.17383885962037576</v>
      </c>
      <c r="W581" s="1098">
        <v>26250</v>
      </c>
      <c r="X581" s="1106">
        <f t="shared" si="196"/>
        <v>15132.275123809524</v>
      </c>
      <c r="Y581" s="1106">
        <f t="shared" si="197"/>
        <v>15970.370361904761</v>
      </c>
      <c r="Z581" s="1106">
        <f t="shared" si="198"/>
        <v>-2776.2709714285716</v>
      </c>
      <c r="AA581" s="1106">
        <f t="shared" si="199"/>
        <v>17908.546095238096</v>
      </c>
      <c r="AC581" s="1098">
        <f t="shared" si="195"/>
        <v>687.83068744588752</v>
      </c>
    </row>
    <row r="582" spans="1:29" hidden="1" x14ac:dyDescent="0.35">
      <c r="A582" s="179">
        <v>9</v>
      </c>
      <c r="B582" s="880" t="s">
        <v>22</v>
      </c>
      <c r="C582" s="82" t="s">
        <v>637</v>
      </c>
      <c r="D582" s="83" t="s">
        <v>638</v>
      </c>
      <c r="E582" s="892" t="str">
        <f>VLOOKUP(F582,'Quy đổi'!A:D,4,0)</f>
        <v>rHDPE ép</v>
      </c>
      <c r="F582" s="82" t="s">
        <v>210</v>
      </c>
      <c r="G582" s="82" t="s">
        <v>211</v>
      </c>
      <c r="H582" s="257" t="str">
        <f>IFERROR(VLOOKUP(F582,'Quy đổi'!A:C,3,0),"-")</f>
        <v>rHDI3Y01</v>
      </c>
      <c r="I582" s="1098">
        <v>28875</v>
      </c>
      <c r="J582" s="1098">
        <v>548641112</v>
      </c>
      <c r="K582" s="1098">
        <v>550229164</v>
      </c>
      <c r="M582" s="1056">
        <f>1000*I582</f>
        <v>28875000</v>
      </c>
      <c r="O582" s="1097">
        <f t="shared" ref="O582:O599" si="200">K582-SUM(L582:N582)</f>
        <v>521354164</v>
      </c>
      <c r="P582" s="1101">
        <f t="shared" si="193"/>
        <v>18055.555463203462</v>
      </c>
      <c r="Q582" s="1101">
        <f t="shared" si="194"/>
        <v>687.83068431251286</v>
      </c>
      <c r="R582" s="1099">
        <v>675351836</v>
      </c>
      <c r="S582" s="1101">
        <f t="shared" si="189"/>
        <v>23388.808173160174</v>
      </c>
      <c r="T582" s="1101">
        <f t="shared" si="190"/>
        <v>954.64523155755808</v>
      </c>
      <c r="U582" s="1101">
        <f t="shared" si="191"/>
        <v>-153997672</v>
      </c>
      <c r="V582" s="1103">
        <f t="shared" si="192"/>
        <v>-0.27987915231625199</v>
      </c>
      <c r="W582" s="1098">
        <v>26250</v>
      </c>
      <c r="X582" s="1106">
        <f t="shared" si="196"/>
        <v>19861.111009523811</v>
      </c>
      <c r="Y582" s="1106">
        <f t="shared" si="197"/>
        <v>20961.111009523811</v>
      </c>
      <c r="Z582" s="1106">
        <f t="shared" si="198"/>
        <v>-5866.577980952381</v>
      </c>
      <c r="AA582" s="1106">
        <f t="shared" si="199"/>
        <v>25727.688990476192</v>
      </c>
      <c r="AC582" s="1098">
        <f t="shared" si="195"/>
        <v>687.83068431251297</v>
      </c>
    </row>
    <row r="583" spans="1:29" hidden="1" x14ac:dyDescent="0.35">
      <c r="A583" s="179">
        <v>9</v>
      </c>
      <c r="B583" s="880" t="s">
        <v>22</v>
      </c>
      <c r="C583" s="82" t="s">
        <v>637</v>
      </c>
      <c r="D583" s="83" t="s">
        <v>638</v>
      </c>
      <c r="E583" s="892" t="str">
        <f>VLOOKUP(F583,'Quy đổi'!A:D,4,0)</f>
        <v>rHDPE ép</v>
      </c>
      <c r="F583" s="82" t="s">
        <v>204</v>
      </c>
      <c r="G583" s="82" t="s">
        <v>205</v>
      </c>
      <c r="H583" s="257" t="str">
        <f>IFERROR(VLOOKUP(F583,'Quy đổi'!A:C,3,0),"-")</f>
        <v>rHDI3G01</v>
      </c>
      <c r="I583" s="1098">
        <v>23375</v>
      </c>
      <c r="J583" s="1098">
        <v>444743017</v>
      </c>
      <c r="K583" s="1098">
        <v>445423611</v>
      </c>
      <c r="M583" s="1056">
        <f>1000*I583</f>
        <v>23375000</v>
      </c>
      <c r="O583" s="1097">
        <f t="shared" si="200"/>
        <v>422048611</v>
      </c>
      <c r="P583" s="1101">
        <f t="shared" si="193"/>
        <v>18055.555550802139</v>
      </c>
      <c r="Q583" s="1101">
        <f t="shared" si="194"/>
        <v>687.83068764960535</v>
      </c>
      <c r="R583" s="1099">
        <v>671218451</v>
      </c>
      <c r="S583" s="1101">
        <f t="shared" si="189"/>
        <v>28715.22785026738</v>
      </c>
      <c r="T583" s="1101">
        <f t="shared" si="190"/>
        <v>1172.050116337444</v>
      </c>
      <c r="U583" s="1101">
        <f t="shared" si="191"/>
        <v>-249169840</v>
      </c>
      <c r="V583" s="1103">
        <f t="shared" si="192"/>
        <v>-0.55939971264792243</v>
      </c>
      <c r="W583" s="1098">
        <v>26250</v>
      </c>
      <c r="X583" s="1106">
        <f t="shared" si="196"/>
        <v>16078.042323809525</v>
      </c>
      <c r="Y583" s="1106">
        <f t="shared" si="197"/>
        <v>16968.518514285715</v>
      </c>
      <c r="Z583" s="1106">
        <f t="shared" si="198"/>
        <v>-9492.1843809523816</v>
      </c>
      <c r="AA583" s="1106">
        <f t="shared" si="199"/>
        <v>25570.226704761906</v>
      </c>
      <c r="AC583" s="1098">
        <f t="shared" si="195"/>
        <v>687.83068764960535</v>
      </c>
    </row>
    <row r="584" spans="1:29" hidden="1" x14ac:dyDescent="0.35">
      <c r="A584" s="179">
        <v>9</v>
      </c>
      <c r="B584" s="880" t="s">
        <v>22</v>
      </c>
      <c r="C584" s="82" t="s">
        <v>722</v>
      </c>
      <c r="D584" s="83" t="s">
        <v>723</v>
      </c>
      <c r="E584" s="892" t="str">
        <f>VLOOKUP(F584,'Quy đổi'!A:D,4,0)</f>
        <v>rHDPE thổi</v>
      </c>
      <c r="F584" s="82" t="s">
        <v>52</v>
      </c>
      <c r="G584" s="82" t="s">
        <v>51</v>
      </c>
      <c r="H584" s="257" t="str">
        <f>IFERROR(VLOOKUP(F584,'Quy đổi'!A:C,3,0),"-")</f>
        <v>rHDB04B01</v>
      </c>
      <c r="I584" s="1098">
        <v>48125</v>
      </c>
      <c r="J584" s="1098">
        <v>757523153</v>
      </c>
      <c r="K584" s="1098">
        <v>757523153</v>
      </c>
      <c r="O584" s="1097">
        <f t="shared" si="200"/>
        <v>757523153</v>
      </c>
      <c r="P584" s="1101">
        <f t="shared" si="193"/>
        <v>15740.740841558441</v>
      </c>
      <c r="Q584" s="1101">
        <f t="shared" si="194"/>
        <v>599.64727015460733</v>
      </c>
      <c r="R584" s="1099">
        <v>1039022717</v>
      </c>
      <c r="S584" s="1101">
        <f t="shared" si="189"/>
        <v>21590.08243116883</v>
      </c>
      <c r="T584" s="1101">
        <f t="shared" si="190"/>
        <v>881.22785433342165</v>
      </c>
      <c r="U584" s="1101">
        <f t="shared" si="191"/>
        <v>-281499564</v>
      </c>
      <c r="V584" s="1103">
        <f t="shared" si="192"/>
        <v>-0.37160522801868739</v>
      </c>
      <c r="W584" s="1098">
        <v>26250</v>
      </c>
      <c r="X584" s="1106">
        <f t="shared" si="196"/>
        <v>28858.024876190477</v>
      </c>
      <c r="Y584" s="1106">
        <f t="shared" si="197"/>
        <v>28858.024876190477</v>
      </c>
      <c r="Z584" s="1106">
        <f t="shared" si="198"/>
        <v>-10723.792914285714</v>
      </c>
      <c r="AA584" s="1106">
        <f t="shared" si="199"/>
        <v>39581.817790476191</v>
      </c>
      <c r="AC584" s="1098">
        <f t="shared" si="195"/>
        <v>599.64727015460733</v>
      </c>
    </row>
    <row r="585" spans="1:29" hidden="1" x14ac:dyDescent="0.35">
      <c r="A585" s="179">
        <v>9</v>
      </c>
      <c r="B585" s="880" t="s">
        <v>22</v>
      </c>
      <c r="C585" s="82" t="s">
        <v>907</v>
      </c>
      <c r="D585" s="83" t="s">
        <v>908</v>
      </c>
      <c r="E585" s="892" t="str">
        <f>VLOOKUP(F585,'Quy đổi'!A:D,4,0)</f>
        <v>rPET</v>
      </c>
      <c r="F585" s="82" t="s">
        <v>110</v>
      </c>
      <c r="G585" s="82" t="s">
        <v>109</v>
      </c>
      <c r="H585" s="257" t="str">
        <f>IFERROR(VLOOKUP(F585,'Quy đổi'!A:C,3,0),"-")</f>
        <v>WSS01G</v>
      </c>
      <c r="I585" s="1098">
        <v>66000</v>
      </c>
      <c r="J585" s="1098">
        <v>2188010000</v>
      </c>
      <c r="K585" s="1098">
        <v>2194170000</v>
      </c>
      <c r="L585" s="1056">
        <f>140*I585</f>
        <v>9240000</v>
      </c>
      <c r="O585" s="1097">
        <f t="shared" si="200"/>
        <v>2184930000</v>
      </c>
      <c r="P585" s="1101">
        <f t="shared" si="193"/>
        <v>33105</v>
      </c>
      <c r="Q585" s="1101">
        <f t="shared" si="194"/>
        <v>1261.1428571428571</v>
      </c>
      <c r="R585" s="1099">
        <v>1769121690</v>
      </c>
      <c r="S585" s="1101">
        <f t="shared" si="189"/>
        <v>26804.874090909092</v>
      </c>
      <c r="T585" s="1101">
        <f t="shared" si="190"/>
        <v>1094.0764935064935</v>
      </c>
      <c r="U585" s="1101">
        <f t="shared" si="191"/>
        <v>415808310</v>
      </c>
      <c r="V585" s="1103">
        <f t="shared" si="192"/>
        <v>0.18950596808816089</v>
      </c>
      <c r="W585" s="1098">
        <v>26250</v>
      </c>
      <c r="X585" s="1106">
        <f t="shared" si="196"/>
        <v>83235.428571428565</v>
      </c>
      <c r="Y585" s="1106">
        <f t="shared" si="197"/>
        <v>83587.428571428565</v>
      </c>
      <c r="Z585" s="1106">
        <f t="shared" si="198"/>
        <v>15840.316571428571</v>
      </c>
      <c r="AA585" s="1106">
        <f t="shared" si="199"/>
        <v>67395.111999999994</v>
      </c>
      <c r="AC585" s="1098">
        <f t="shared" si="195"/>
        <v>1261.1428571428571</v>
      </c>
    </row>
    <row r="586" spans="1:29" hidden="1" x14ac:dyDescent="0.35">
      <c r="A586" s="179">
        <v>9</v>
      </c>
      <c r="B586" s="880" t="s">
        <v>22</v>
      </c>
      <c r="C586" s="82" t="s">
        <v>965</v>
      </c>
      <c r="D586" s="83" t="s">
        <v>966</v>
      </c>
      <c r="E586" s="892" t="str">
        <f>VLOOKUP(F586,'Quy đổi'!A:D,4,0)</f>
        <v>rHDPE ép</v>
      </c>
      <c r="F586" s="82" t="s">
        <v>536</v>
      </c>
      <c r="G586" s="82" t="s">
        <v>537</v>
      </c>
      <c r="H586" s="257" t="str">
        <f>IFERROR(VLOOKUP(F586,'Quy đổi'!A:C,3,0),"-")</f>
        <v>Vảy HD Ép Trắng</v>
      </c>
      <c r="I586" s="1098">
        <v>6000</v>
      </c>
      <c r="J586" s="1098">
        <v>90000000</v>
      </c>
      <c r="K586" s="1098">
        <v>90000000</v>
      </c>
      <c r="O586" s="1097">
        <f t="shared" si="200"/>
        <v>90000000</v>
      </c>
      <c r="P586" s="1101">
        <f t="shared" si="193"/>
        <v>15000</v>
      </c>
      <c r="Q586" s="1101">
        <f t="shared" si="194"/>
        <v>571.42857142857144</v>
      </c>
      <c r="R586" s="1099">
        <v>164967186</v>
      </c>
      <c r="S586" s="1101">
        <f t="shared" si="189"/>
        <v>27494.530999999999</v>
      </c>
      <c r="T586" s="1101">
        <f t="shared" si="190"/>
        <v>1122.2257551020407</v>
      </c>
      <c r="U586" s="1101">
        <f t="shared" si="191"/>
        <v>-74967186</v>
      </c>
      <c r="V586" s="1103">
        <f t="shared" si="192"/>
        <v>-0.83296873333333332</v>
      </c>
      <c r="W586" s="1098">
        <v>26250</v>
      </c>
      <c r="X586" s="1106">
        <f t="shared" si="196"/>
        <v>3428.5714285714284</v>
      </c>
      <c r="Y586" s="1106">
        <f t="shared" si="197"/>
        <v>3428.5714285714284</v>
      </c>
      <c r="Z586" s="1106">
        <f t="shared" si="198"/>
        <v>-2855.8928000000001</v>
      </c>
      <c r="AA586" s="1106">
        <f t="shared" si="199"/>
        <v>6284.464228571429</v>
      </c>
      <c r="AC586" s="1098">
        <f t="shared" si="195"/>
        <v>571.42857142857144</v>
      </c>
    </row>
    <row r="587" spans="1:29" hidden="1" x14ac:dyDescent="0.35">
      <c r="A587" s="179">
        <v>9</v>
      </c>
      <c r="B587" s="880" t="s">
        <v>22</v>
      </c>
      <c r="C587" s="82" t="s">
        <v>965</v>
      </c>
      <c r="D587" s="83" t="s">
        <v>966</v>
      </c>
      <c r="E587" s="892" t="str">
        <f>VLOOKUP(F587,'Quy đổi'!A:D,4,0)</f>
        <v>rPP</v>
      </c>
      <c r="F587" s="82" t="s">
        <v>19</v>
      </c>
      <c r="G587" s="82" t="s">
        <v>18</v>
      </c>
      <c r="H587" s="257" t="str">
        <f>IFERROR(VLOOKUP(F587,'Quy đổi'!A:C,3,0),"-")</f>
        <v>Vảy PP Đỏ Nhạt</v>
      </c>
      <c r="I587" s="1098">
        <v>6000</v>
      </c>
      <c r="J587" s="1098">
        <v>97222222</v>
      </c>
      <c r="K587" s="1098">
        <v>97222222</v>
      </c>
      <c r="O587" s="1097">
        <f t="shared" si="200"/>
        <v>97222222</v>
      </c>
      <c r="P587" s="1101">
        <f t="shared" si="193"/>
        <v>16203.703666666666</v>
      </c>
      <c r="Q587" s="1101">
        <f t="shared" si="194"/>
        <v>617.28394920634923</v>
      </c>
      <c r="R587" s="1099">
        <v>122299569</v>
      </c>
      <c r="S587" s="1101">
        <f t="shared" si="189"/>
        <v>20383.261500000001</v>
      </c>
      <c r="T587" s="1101">
        <f t="shared" si="190"/>
        <v>831.96985714285711</v>
      </c>
      <c r="U587" s="1101">
        <f t="shared" si="191"/>
        <v>-25077347</v>
      </c>
      <c r="V587" s="1103">
        <f t="shared" si="192"/>
        <v>-0.25793842687528784</v>
      </c>
      <c r="W587" s="1098">
        <v>26250</v>
      </c>
      <c r="X587" s="1106">
        <f t="shared" si="196"/>
        <v>3703.7036952380954</v>
      </c>
      <c r="Y587" s="1106">
        <f t="shared" si="197"/>
        <v>3703.7036952380954</v>
      </c>
      <c r="Z587" s="1106">
        <f t="shared" si="198"/>
        <v>-955.32750476190472</v>
      </c>
      <c r="AA587" s="1106">
        <f t="shared" si="199"/>
        <v>4659.0312000000004</v>
      </c>
      <c r="AC587" s="1098">
        <f t="shared" si="195"/>
        <v>617.28394920634923</v>
      </c>
    </row>
    <row r="588" spans="1:29" hidden="1" x14ac:dyDescent="0.35">
      <c r="A588" s="179">
        <v>9</v>
      </c>
      <c r="B588" s="880" t="s">
        <v>22</v>
      </c>
      <c r="C588" s="82" t="s">
        <v>1005</v>
      </c>
      <c r="D588" s="83" t="s">
        <v>1006</v>
      </c>
      <c r="E588" s="892" t="str">
        <f>VLOOKUP(F588,'Quy đổi'!A:D,4,0)</f>
        <v>Xơ sợi</v>
      </c>
      <c r="F588" s="82" t="s">
        <v>87</v>
      </c>
      <c r="G588" s="82" t="s">
        <v>86</v>
      </c>
      <c r="H588" s="257" t="str">
        <f>IFERROR(VLOOKUP(F588,'Quy đổi'!A:C,3,0),"-")</f>
        <v>WSS05SB</v>
      </c>
      <c r="I588" s="1098">
        <v>25200</v>
      </c>
      <c r="J588" s="1098">
        <v>441352800</v>
      </c>
      <c r="K588" s="1098">
        <v>448560000</v>
      </c>
      <c r="O588" s="1097">
        <f t="shared" si="200"/>
        <v>448560000</v>
      </c>
      <c r="P588" s="1101">
        <f t="shared" si="193"/>
        <v>17800</v>
      </c>
      <c r="Q588" s="1101">
        <f t="shared" si="194"/>
        <v>678.09523809523807</v>
      </c>
      <c r="R588" s="1099">
        <v>678327679</v>
      </c>
      <c r="S588" s="1101">
        <f t="shared" si="189"/>
        <v>26917.765039682541</v>
      </c>
      <c r="T588" s="1101">
        <f t="shared" si="190"/>
        <v>1098.6842873339813</v>
      </c>
      <c r="U588" s="1101">
        <f t="shared" si="191"/>
        <v>-229767679</v>
      </c>
      <c r="V588" s="1103">
        <f t="shared" si="192"/>
        <v>-0.51223399099340106</v>
      </c>
      <c r="W588" s="1098">
        <v>26250</v>
      </c>
      <c r="X588" s="1106">
        <f t="shared" si="196"/>
        <v>17088</v>
      </c>
      <c r="Y588" s="1106">
        <f t="shared" si="197"/>
        <v>17088</v>
      </c>
      <c r="Z588" s="1106">
        <f t="shared" si="198"/>
        <v>-8753.0544380952379</v>
      </c>
      <c r="AA588" s="1106">
        <f t="shared" si="199"/>
        <v>25841.054438095238</v>
      </c>
      <c r="AC588" s="1098">
        <f t="shared" si="195"/>
        <v>678.09523809523807</v>
      </c>
    </row>
    <row r="589" spans="1:29" hidden="1" x14ac:dyDescent="0.35">
      <c r="A589" s="179">
        <v>9</v>
      </c>
      <c r="B589" s="880" t="s">
        <v>22</v>
      </c>
      <c r="C589" s="82" t="s">
        <v>1068</v>
      </c>
      <c r="D589" s="83" t="s">
        <v>1069</v>
      </c>
      <c r="E589" s="892" t="str">
        <f>VLOOKUP(F589,'Quy đổi'!A:D,4,0)</f>
        <v>rPET</v>
      </c>
      <c r="F589" s="82" t="s">
        <v>1086</v>
      </c>
      <c r="G589" s="82" t="s">
        <v>1087</v>
      </c>
      <c r="H589" s="257" t="str">
        <f>IFERROR(VLOOKUP(F589,'Quy đổi'!A:C,3,0),"-")</f>
        <v>WSS04</v>
      </c>
      <c r="I589" s="1098">
        <v>19800</v>
      </c>
      <c r="J589" s="1098">
        <v>378159100</v>
      </c>
      <c r="K589" s="1098">
        <v>385000000</v>
      </c>
      <c r="L589" s="1056">
        <v>3800000</v>
      </c>
      <c r="O589" s="1097">
        <f t="shared" si="200"/>
        <v>381200000</v>
      </c>
      <c r="P589" s="1101">
        <f t="shared" si="193"/>
        <v>19252.525252525251</v>
      </c>
      <c r="Q589" s="1101">
        <f t="shared" si="194"/>
        <v>733.42953342953331</v>
      </c>
      <c r="R589" s="1099">
        <v>591964394</v>
      </c>
      <c r="S589" s="1101">
        <f t="shared" si="189"/>
        <v>29897.191616161617</v>
      </c>
      <c r="T589" s="1101">
        <f t="shared" si="190"/>
        <v>1220.2935353535354</v>
      </c>
      <c r="U589" s="1101">
        <f t="shared" si="191"/>
        <v>-210764394</v>
      </c>
      <c r="V589" s="1103">
        <f t="shared" si="192"/>
        <v>-0.54743998441558439</v>
      </c>
      <c r="W589" s="1098">
        <v>26250</v>
      </c>
      <c r="X589" s="1106">
        <f t="shared" si="196"/>
        <v>14521.904761904761</v>
      </c>
      <c r="Y589" s="1106">
        <f t="shared" si="197"/>
        <v>14666.666666666666</v>
      </c>
      <c r="Z589" s="1106">
        <f t="shared" si="198"/>
        <v>-8029.1197714285718</v>
      </c>
      <c r="AA589" s="1106">
        <f t="shared" si="199"/>
        <v>22551.024533333333</v>
      </c>
      <c r="AC589" s="1098">
        <f t="shared" si="195"/>
        <v>733.42953342953342</v>
      </c>
    </row>
    <row r="590" spans="1:29" hidden="1" x14ac:dyDescent="0.35">
      <c r="A590" s="179">
        <v>9</v>
      </c>
      <c r="C590" s="82" t="s">
        <v>1070</v>
      </c>
      <c r="D590" s="83" t="s">
        <v>1071</v>
      </c>
      <c r="E590" s="892" t="s">
        <v>1065</v>
      </c>
      <c r="F590" s="82" t="s">
        <v>911</v>
      </c>
      <c r="G590" s="82" t="s">
        <v>912</v>
      </c>
      <c r="H590" s="257" t="str">
        <f>IFERROR(VLOOKUP(F590,'Quy đổi'!A:C,3,0),"-")</f>
        <v>-</v>
      </c>
      <c r="I590" s="1098">
        <v>0</v>
      </c>
      <c r="J590" s="1098">
        <v>323260800</v>
      </c>
      <c r="K590" s="1098">
        <v>323260800</v>
      </c>
      <c r="O590" s="1097">
        <f t="shared" si="200"/>
        <v>323260800</v>
      </c>
      <c r="P590" s="1101" t="e">
        <f t="shared" si="193"/>
        <v>#DIV/0!</v>
      </c>
      <c r="Q590" s="1101" t="e">
        <f t="shared" si="194"/>
        <v>#DIV/0!</v>
      </c>
      <c r="R590" s="1099">
        <v>0</v>
      </c>
      <c r="S590" s="1101" t="e">
        <f t="shared" si="189"/>
        <v>#DIV/0!</v>
      </c>
      <c r="T590" s="1101" t="e">
        <f t="shared" si="190"/>
        <v>#DIV/0!</v>
      </c>
      <c r="U590" s="1101">
        <f t="shared" si="191"/>
        <v>323260800</v>
      </c>
      <c r="V590" s="1103">
        <f t="shared" si="192"/>
        <v>1</v>
      </c>
      <c r="W590" s="1098">
        <v>26250</v>
      </c>
      <c r="X590" s="1106">
        <f t="shared" si="196"/>
        <v>12314.697142857143</v>
      </c>
      <c r="Y590" s="1106">
        <f t="shared" si="197"/>
        <v>12314.697142857143</v>
      </c>
      <c r="Z590" s="1106">
        <f t="shared" si="198"/>
        <v>12314.697142857143</v>
      </c>
      <c r="AA590" s="1106">
        <f t="shared" si="199"/>
        <v>0</v>
      </c>
      <c r="AC590" s="1098" t="e">
        <f t="shared" si="195"/>
        <v>#DIV/0!</v>
      </c>
    </row>
    <row r="591" spans="1:29" hidden="1" x14ac:dyDescent="0.35">
      <c r="A591" s="179">
        <v>9</v>
      </c>
      <c r="C591" s="82" t="s">
        <v>1072</v>
      </c>
      <c r="D591" s="83" t="s">
        <v>1073</v>
      </c>
      <c r="E591" s="892" t="s">
        <v>1065</v>
      </c>
      <c r="F591" s="82" t="s">
        <v>911</v>
      </c>
      <c r="G591" s="82" t="s">
        <v>912</v>
      </c>
      <c r="H591" s="257" t="str">
        <f>IFERROR(VLOOKUP(F591,'Quy đổi'!A:C,3,0),"-")</f>
        <v>-</v>
      </c>
      <c r="I591" s="1098">
        <v>0</v>
      </c>
      <c r="J591" s="1098">
        <v>548824800</v>
      </c>
      <c r="K591" s="1098">
        <v>548824800</v>
      </c>
      <c r="O591" s="1097">
        <f t="shared" si="200"/>
        <v>548824800</v>
      </c>
      <c r="P591" s="1101" t="e">
        <f t="shared" si="193"/>
        <v>#DIV/0!</v>
      </c>
      <c r="Q591" s="1101" t="e">
        <f t="shared" si="194"/>
        <v>#DIV/0!</v>
      </c>
      <c r="R591" s="1099">
        <v>0</v>
      </c>
      <c r="S591" s="1101" t="e">
        <f t="shared" si="189"/>
        <v>#DIV/0!</v>
      </c>
      <c r="T591" s="1101" t="e">
        <f t="shared" si="190"/>
        <v>#DIV/0!</v>
      </c>
      <c r="U591" s="1101">
        <f t="shared" si="191"/>
        <v>548824800</v>
      </c>
      <c r="V591" s="1103">
        <f t="shared" si="192"/>
        <v>1</v>
      </c>
      <c r="W591" s="1098">
        <v>26250</v>
      </c>
      <c r="X591" s="1106">
        <f t="shared" si="196"/>
        <v>20907.611428571428</v>
      </c>
      <c r="Y591" s="1106">
        <f t="shared" si="197"/>
        <v>20907.611428571428</v>
      </c>
      <c r="Z591" s="1106">
        <f t="shared" si="198"/>
        <v>20907.611428571428</v>
      </c>
      <c r="AA591" s="1106">
        <f t="shared" si="199"/>
        <v>0</v>
      </c>
      <c r="AC591" s="1098" t="e">
        <f t="shared" si="195"/>
        <v>#DIV/0!</v>
      </c>
    </row>
    <row r="592" spans="1:29" hidden="1" x14ac:dyDescent="0.35">
      <c r="A592" s="179">
        <v>9</v>
      </c>
      <c r="C592" s="82" t="s">
        <v>1074</v>
      </c>
      <c r="D592" s="83" t="s">
        <v>1075</v>
      </c>
      <c r="E592" s="892" t="s">
        <v>1065</v>
      </c>
      <c r="F592" s="82" t="s">
        <v>911</v>
      </c>
      <c r="G592" s="82" t="s">
        <v>912</v>
      </c>
      <c r="H592" s="257" t="str">
        <f>IFERROR(VLOOKUP(F592,'Quy đổi'!A:C,3,0),"-")</f>
        <v>-</v>
      </c>
      <c r="I592" s="1098">
        <v>0</v>
      </c>
      <c r="J592" s="1098">
        <v>9190800</v>
      </c>
      <c r="K592" s="1098">
        <v>9190800</v>
      </c>
      <c r="O592" s="1097">
        <f t="shared" si="200"/>
        <v>9190800</v>
      </c>
      <c r="P592" s="1101" t="e">
        <f t="shared" si="193"/>
        <v>#DIV/0!</v>
      </c>
      <c r="Q592" s="1101" t="e">
        <f t="shared" si="194"/>
        <v>#DIV/0!</v>
      </c>
      <c r="R592" s="1099">
        <v>0</v>
      </c>
      <c r="S592" s="1101" t="e">
        <f t="shared" si="189"/>
        <v>#DIV/0!</v>
      </c>
      <c r="T592" s="1101" t="e">
        <f t="shared" si="190"/>
        <v>#DIV/0!</v>
      </c>
      <c r="U592" s="1101">
        <f t="shared" si="191"/>
        <v>9190800</v>
      </c>
      <c r="V592" s="1103">
        <f t="shared" si="192"/>
        <v>1</v>
      </c>
      <c r="W592" s="1098">
        <v>26250</v>
      </c>
      <c r="X592" s="1106">
        <f t="shared" si="196"/>
        <v>350.12571428571431</v>
      </c>
      <c r="Y592" s="1106">
        <f t="shared" si="197"/>
        <v>350.12571428571431</v>
      </c>
      <c r="Z592" s="1106">
        <f t="shared" si="198"/>
        <v>350.12571428571431</v>
      </c>
      <c r="AA592" s="1106">
        <f t="shared" si="199"/>
        <v>0</v>
      </c>
      <c r="AC592" s="1098" t="e">
        <f t="shared" si="195"/>
        <v>#DIV/0!</v>
      </c>
    </row>
    <row r="593" spans="1:29" hidden="1" x14ac:dyDescent="0.35">
      <c r="A593" s="179">
        <v>9</v>
      </c>
      <c r="C593" s="82" t="s">
        <v>1076</v>
      </c>
      <c r="D593" s="83" t="s">
        <v>1077</v>
      </c>
      <c r="E593" s="892" t="s">
        <v>1065</v>
      </c>
      <c r="F593" s="82" t="s">
        <v>911</v>
      </c>
      <c r="G593" s="82" t="s">
        <v>912</v>
      </c>
      <c r="H593" s="257" t="str">
        <f>IFERROR(VLOOKUP(F593,'Quy đổi'!A:C,3,0),"-")</f>
        <v>-</v>
      </c>
      <c r="I593" s="1098">
        <v>0</v>
      </c>
      <c r="J593" s="1098">
        <v>537080400</v>
      </c>
      <c r="K593" s="1098">
        <v>537080400</v>
      </c>
      <c r="O593" s="1097">
        <f t="shared" si="200"/>
        <v>537080400</v>
      </c>
      <c r="P593" s="1101" t="e">
        <f t="shared" si="193"/>
        <v>#DIV/0!</v>
      </c>
      <c r="Q593" s="1101" t="e">
        <f t="shared" si="194"/>
        <v>#DIV/0!</v>
      </c>
      <c r="R593" s="1099">
        <v>0</v>
      </c>
      <c r="S593" s="1101" t="e">
        <f t="shared" si="189"/>
        <v>#DIV/0!</v>
      </c>
      <c r="T593" s="1101" t="e">
        <f t="shared" si="190"/>
        <v>#DIV/0!</v>
      </c>
      <c r="U593" s="1101">
        <f t="shared" si="191"/>
        <v>537080400</v>
      </c>
      <c r="V593" s="1103">
        <f t="shared" si="192"/>
        <v>1</v>
      </c>
      <c r="W593" s="1098">
        <v>26250</v>
      </c>
      <c r="X593" s="1106">
        <f t="shared" si="196"/>
        <v>20460.205714285716</v>
      </c>
      <c r="Y593" s="1106">
        <f t="shared" si="197"/>
        <v>20460.205714285716</v>
      </c>
      <c r="Z593" s="1106">
        <f t="shared" si="198"/>
        <v>20460.205714285716</v>
      </c>
      <c r="AA593" s="1106">
        <f t="shared" si="199"/>
        <v>0</v>
      </c>
      <c r="AC593" s="1098" t="e">
        <f t="shared" si="195"/>
        <v>#DIV/0!</v>
      </c>
    </row>
    <row r="594" spans="1:29" x14ac:dyDescent="0.35">
      <c r="A594" s="179">
        <v>9</v>
      </c>
      <c r="B594" s="880" t="s">
        <v>26</v>
      </c>
      <c r="C594" s="82" t="s">
        <v>165</v>
      </c>
      <c r="D594" s="83" t="s">
        <v>164</v>
      </c>
      <c r="E594" s="892" t="str">
        <f>VLOOKUP(F594,'Quy đổi'!A:D,4,0)</f>
        <v>rPET</v>
      </c>
      <c r="F594" s="82" t="s">
        <v>110</v>
      </c>
      <c r="G594" s="82" t="s">
        <v>109</v>
      </c>
      <c r="H594" s="257" t="str">
        <f>IFERROR(VLOOKUP(F594,'Quy đổi'!A:C,3,0),"-")</f>
        <v>WSS01G</v>
      </c>
      <c r="I594" s="1098">
        <v>638000</v>
      </c>
      <c r="J594" s="1098">
        <v>19855615472</v>
      </c>
      <c r="K594" s="1098">
        <v>20211972792</v>
      </c>
      <c r="L594" s="1056">
        <v>277598465</v>
      </c>
      <c r="M594" s="1056">
        <v>303179749</v>
      </c>
      <c r="O594" s="1097">
        <f t="shared" si="200"/>
        <v>19631194578</v>
      </c>
      <c r="P594" s="1101">
        <f t="shared" si="193"/>
        <v>30769.89745768025</v>
      </c>
      <c r="Q594" s="1101">
        <f t="shared" si="194"/>
        <v>1172.1865698163904</v>
      </c>
      <c r="R594" s="1099">
        <v>17101509670</v>
      </c>
      <c r="S594" s="1101">
        <f t="shared" si="189"/>
        <v>26804.874090909092</v>
      </c>
      <c r="T594" s="1101">
        <f t="shared" si="190"/>
        <v>1094.0764935064935</v>
      </c>
      <c r="U594" s="1101">
        <f t="shared" si="191"/>
        <v>2529684908</v>
      </c>
      <c r="V594" s="1103">
        <f t="shared" si="192"/>
        <v>0.12515774358261861</v>
      </c>
      <c r="W594" s="1098">
        <v>26250</v>
      </c>
      <c r="X594" s="1106">
        <f t="shared" si="196"/>
        <v>747855.03154285718</v>
      </c>
      <c r="Y594" s="1106">
        <f t="shared" si="197"/>
        <v>769979.91588571423</v>
      </c>
      <c r="Z594" s="1106">
        <f t="shared" si="198"/>
        <v>96368.948876190479</v>
      </c>
      <c r="AA594" s="1106">
        <f t="shared" si="199"/>
        <v>651486.08266666671</v>
      </c>
      <c r="AC594" s="1098">
        <f t="shared" si="195"/>
        <v>1172.1865698163904</v>
      </c>
    </row>
    <row r="595" spans="1:29" hidden="1" x14ac:dyDescent="0.35">
      <c r="A595" s="179">
        <v>9</v>
      </c>
      <c r="B595" s="880" t="s">
        <v>26</v>
      </c>
      <c r="C595" s="82" t="s">
        <v>7</v>
      </c>
      <c r="D595" s="83" t="s">
        <v>6</v>
      </c>
      <c r="E595" s="892" t="str">
        <f>VLOOKUP(F595,'Quy đổi'!A:D,4,0)</f>
        <v>rPP</v>
      </c>
      <c r="F595" s="82" t="s">
        <v>5</v>
      </c>
      <c r="G595" s="82" t="s">
        <v>4</v>
      </c>
      <c r="H595" s="257" t="str">
        <f>IFERROR(VLOOKUP(F595,'Quy đổi'!A:C,3,0),"-")</f>
        <v>rPP20L05</v>
      </c>
      <c r="I595" s="1098">
        <v>16000</v>
      </c>
      <c r="J595" s="1098">
        <v>445200000</v>
      </c>
      <c r="K595" s="1098">
        <v>453600000</v>
      </c>
      <c r="L595" s="1056">
        <f>18710356/24000*I595</f>
        <v>12473570.666666666</v>
      </c>
      <c r="O595" s="1097">
        <f t="shared" si="200"/>
        <v>441126429.33333331</v>
      </c>
      <c r="P595" s="1101">
        <f t="shared" si="193"/>
        <v>27570.401833333333</v>
      </c>
      <c r="Q595" s="1101">
        <f t="shared" si="194"/>
        <v>1050.3010222222222</v>
      </c>
      <c r="R595" s="1099">
        <v>451619965</v>
      </c>
      <c r="S595" s="1101">
        <f t="shared" si="189"/>
        <v>28226.247812500002</v>
      </c>
      <c r="T595" s="1101">
        <f t="shared" si="190"/>
        <v>1152.0917474489797</v>
      </c>
      <c r="U595" s="1101">
        <f t="shared" si="191"/>
        <v>-10493535.666666687</v>
      </c>
      <c r="V595" s="1103">
        <f t="shared" si="192"/>
        <v>-2.3133896972369238E-2</v>
      </c>
      <c r="W595" s="1098">
        <v>26250</v>
      </c>
      <c r="X595" s="1106">
        <f t="shared" si="196"/>
        <v>16804.816355555555</v>
      </c>
      <c r="Y595" s="1106">
        <f t="shared" si="197"/>
        <v>17280</v>
      </c>
      <c r="Z595" s="1106">
        <f t="shared" si="198"/>
        <v>-399.75373968254041</v>
      </c>
      <c r="AA595" s="1106">
        <f t="shared" si="199"/>
        <v>17204.570095238094</v>
      </c>
      <c r="AC595" s="1098">
        <f t="shared" si="195"/>
        <v>1050.3010222222222</v>
      </c>
    </row>
    <row r="596" spans="1:29" hidden="1" x14ac:dyDescent="0.35">
      <c r="A596" s="179">
        <v>9</v>
      </c>
      <c r="B596" s="880" t="s">
        <v>26</v>
      </c>
      <c r="C596" s="82" t="s">
        <v>7</v>
      </c>
      <c r="D596" s="83" t="s">
        <v>6</v>
      </c>
      <c r="E596" s="892" t="str">
        <f>VLOOKUP(F596,'Quy đổi'!A:D,4,0)</f>
        <v>rPP</v>
      </c>
      <c r="F596" s="82" t="s">
        <v>9</v>
      </c>
      <c r="G596" s="82" t="s">
        <v>8</v>
      </c>
      <c r="H596" s="257" t="str">
        <f>IFERROR(VLOOKUP(F596,'Quy đổi'!A:C,3,0),"-")</f>
        <v>rPP20Gy01</v>
      </c>
      <c r="I596" s="1098">
        <v>8000</v>
      </c>
      <c r="J596" s="1098">
        <v>222600000</v>
      </c>
      <c r="K596" s="1098">
        <v>226800000</v>
      </c>
      <c r="L596" s="1056">
        <f>18710356/24000*I596</f>
        <v>6236785.333333333</v>
      </c>
      <c r="O596" s="1097">
        <f t="shared" si="200"/>
        <v>220563214.66666666</v>
      </c>
      <c r="P596" s="1101">
        <f t="shared" si="193"/>
        <v>27570.401833333333</v>
      </c>
      <c r="Q596" s="1101">
        <f t="shared" si="194"/>
        <v>1050.3010222222222</v>
      </c>
      <c r="R596" s="1099">
        <v>226845595</v>
      </c>
      <c r="S596" s="1101">
        <f t="shared" si="189"/>
        <v>28355.699375</v>
      </c>
      <c r="T596" s="1101">
        <f t="shared" si="190"/>
        <v>1157.3754846938775</v>
      </c>
      <c r="U596" s="1101">
        <f t="shared" si="191"/>
        <v>-6282380.3333333433</v>
      </c>
      <c r="V596" s="1103">
        <f t="shared" si="192"/>
        <v>-2.7700089653145254E-2</v>
      </c>
      <c r="W596" s="1098">
        <v>26250</v>
      </c>
      <c r="X596" s="1106">
        <f t="shared" si="196"/>
        <v>8402.4081777777774</v>
      </c>
      <c r="Y596" s="1106">
        <f t="shared" si="197"/>
        <v>8640</v>
      </c>
      <c r="Z596" s="1106">
        <f t="shared" si="198"/>
        <v>-239.32877460317499</v>
      </c>
      <c r="AA596" s="1106">
        <f t="shared" si="199"/>
        <v>8641.7369523809521</v>
      </c>
      <c r="AC596" s="1098">
        <f t="shared" si="195"/>
        <v>1050.3010222222222</v>
      </c>
    </row>
    <row r="597" spans="1:29" hidden="1" x14ac:dyDescent="0.35">
      <c r="A597" s="179">
        <v>9</v>
      </c>
      <c r="B597" s="880" t="s">
        <v>26</v>
      </c>
      <c r="C597" s="82" t="s">
        <v>727</v>
      </c>
      <c r="D597" s="83" t="s">
        <v>728</v>
      </c>
      <c r="E597" s="892" t="str">
        <f>VLOOKUP(F597,'Quy đổi'!A:D,4,0)</f>
        <v>rPET</v>
      </c>
      <c r="F597" s="82" t="s">
        <v>102</v>
      </c>
      <c r="G597" s="82" t="s">
        <v>101</v>
      </c>
      <c r="H597" s="257" t="str">
        <f>IFERROR(VLOOKUP(F597,'Quy đổi'!A:C,3,0),"-")</f>
        <v>WSS03G</v>
      </c>
      <c r="I597" s="1098">
        <v>66000</v>
      </c>
      <c r="J597" s="1098">
        <v>1867536000</v>
      </c>
      <c r="K597" s="1098">
        <v>1902120000</v>
      </c>
      <c r="L597" s="1056">
        <v>31967505</v>
      </c>
      <c r="O597" s="1097">
        <f t="shared" si="200"/>
        <v>1870152495</v>
      </c>
      <c r="P597" s="1101">
        <f t="shared" si="193"/>
        <v>28335.643863636364</v>
      </c>
      <c r="Q597" s="1101">
        <f t="shared" si="194"/>
        <v>1079.4530995670996</v>
      </c>
      <c r="R597" s="1099">
        <v>1700923452</v>
      </c>
      <c r="S597" s="1101">
        <f t="shared" si="189"/>
        <v>25771.567454545453</v>
      </c>
      <c r="T597" s="1101">
        <f t="shared" si="190"/>
        <v>1051.9007124304267</v>
      </c>
      <c r="U597" s="1101">
        <f t="shared" si="191"/>
        <v>169229043</v>
      </c>
      <c r="V597" s="1103">
        <f t="shared" si="192"/>
        <v>8.8968647088511765E-2</v>
      </c>
      <c r="W597" s="1098">
        <v>26250</v>
      </c>
      <c r="X597" s="1106">
        <f t="shared" si="196"/>
        <v>71243.904571428575</v>
      </c>
      <c r="Y597" s="1106">
        <f t="shared" si="197"/>
        <v>72461.71428571429</v>
      </c>
      <c r="Z597" s="1106">
        <f t="shared" si="198"/>
        <v>6446.8206857142859</v>
      </c>
      <c r="AA597" s="1106">
        <f t="shared" si="199"/>
        <v>64797.083885714288</v>
      </c>
      <c r="AC597" s="1098">
        <f t="shared" si="195"/>
        <v>1079.4530995670996</v>
      </c>
    </row>
    <row r="598" spans="1:29" hidden="1" x14ac:dyDescent="0.35">
      <c r="A598" s="179">
        <v>9</v>
      </c>
      <c r="B598" s="880" t="s">
        <v>26</v>
      </c>
      <c r="C598" s="82" t="s">
        <v>836</v>
      </c>
      <c r="D598" s="83" t="s">
        <v>837</v>
      </c>
      <c r="E598" s="892" t="str">
        <f>VLOOKUP(F598,'Quy đổi'!A:D,4,0)</f>
        <v>rPET</v>
      </c>
      <c r="F598" s="82" t="s">
        <v>110</v>
      </c>
      <c r="G598" s="82" t="s">
        <v>109</v>
      </c>
      <c r="H598" s="257" t="str">
        <f>IFERROR(VLOOKUP(F598,'Quy đổi'!A:C,3,0),"-")</f>
        <v>WSS01G</v>
      </c>
      <c r="I598" s="1098">
        <v>64900</v>
      </c>
      <c r="J598" s="1098">
        <v>2018251238</v>
      </c>
      <c r="K598" s="1098">
        <v>2125475524</v>
      </c>
      <c r="L598" s="1056">
        <f>96559312.04/66000*I598</f>
        <v>94949990.172666669</v>
      </c>
      <c r="O598" s="1097">
        <f t="shared" si="200"/>
        <v>2030525533.8273335</v>
      </c>
      <c r="P598" s="1101">
        <f t="shared" si="193"/>
        <v>31286.988194566002</v>
      </c>
      <c r="Q598" s="1101">
        <f t="shared" si="194"/>
        <v>1191.8852645548955</v>
      </c>
      <c r="R598" s="1099">
        <v>1739636328</v>
      </c>
      <c r="S598" s="1101">
        <f t="shared" si="189"/>
        <v>26804.87408320493</v>
      </c>
      <c r="T598" s="1101">
        <f t="shared" si="190"/>
        <v>1094.076493192038</v>
      </c>
      <c r="U598" s="1101">
        <f t="shared" si="191"/>
        <v>290889205.82733345</v>
      </c>
      <c r="V598" s="1103">
        <f t="shared" si="192"/>
        <v>0.13685841240829713</v>
      </c>
      <c r="W598" s="1098">
        <v>26250</v>
      </c>
      <c r="X598" s="1106">
        <f t="shared" si="196"/>
        <v>77353.353669612698</v>
      </c>
      <c r="Y598" s="1106">
        <f t="shared" si="197"/>
        <v>80970.496152380947</v>
      </c>
      <c r="Z598" s="1106">
        <f t="shared" si="198"/>
        <v>11081.493555326988</v>
      </c>
      <c r="AA598" s="1106">
        <f t="shared" si="199"/>
        <v>66271.860114285708</v>
      </c>
      <c r="AC598" s="1098">
        <f t="shared" si="195"/>
        <v>1191.8852645548952</v>
      </c>
    </row>
    <row r="599" spans="1:29" hidden="1" x14ac:dyDescent="0.35">
      <c r="A599" s="179">
        <v>9</v>
      </c>
      <c r="B599" s="880" t="s">
        <v>26</v>
      </c>
      <c r="C599" s="82" t="s">
        <v>836</v>
      </c>
      <c r="D599" s="83" t="s">
        <v>837</v>
      </c>
      <c r="E599" s="892" t="str">
        <f>VLOOKUP(F599,'Quy đổi'!A:D,4,0)</f>
        <v>rPET</v>
      </c>
      <c r="F599" s="82" t="s">
        <v>102</v>
      </c>
      <c r="G599" s="82" t="s">
        <v>101</v>
      </c>
      <c r="H599" s="257" t="str">
        <f>IFERROR(VLOOKUP(F599,'Quy đổi'!A:C,3,0),"-")</f>
        <v>WSS03G</v>
      </c>
      <c r="I599" s="1098">
        <v>1100</v>
      </c>
      <c r="J599" s="1098">
        <v>32292024</v>
      </c>
      <c r="K599" s="1098">
        <v>34007600</v>
      </c>
      <c r="L599" s="1056">
        <f>96559312.04/66000*I599</f>
        <v>1609321.8673333332</v>
      </c>
      <c r="O599" s="1097">
        <f t="shared" si="200"/>
        <v>32398278.132666666</v>
      </c>
      <c r="P599" s="1101">
        <f t="shared" si="193"/>
        <v>29452.980120606058</v>
      </c>
      <c r="Q599" s="1101">
        <f t="shared" si="194"/>
        <v>1122.0182903088023</v>
      </c>
      <c r="R599" s="1099">
        <v>28348724</v>
      </c>
      <c r="S599" s="1101">
        <f t="shared" si="189"/>
        <v>25771.567272727272</v>
      </c>
      <c r="T599" s="1101">
        <f t="shared" si="190"/>
        <v>1051.9007050092764</v>
      </c>
      <c r="U599" s="1101">
        <f t="shared" si="191"/>
        <v>4049554.1326666661</v>
      </c>
      <c r="V599" s="1103">
        <f t="shared" si="192"/>
        <v>0.1190779158972308</v>
      </c>
      <c r="W599" s="1098">
        <v>26250</v>
      </c>
      <c r="X599" s="1106">
        <f t="shared" si="196"/>
        <v>1234.2201193396825</v>
      </c>
      <c r="Y599" s="1106">
        <f t="shared" si="197"/>
        <v>1295.5276190476191</v>
      </c>
      <c r="Z599" s="1106">
        <f t="shared" si="198"/>
        <v>154.26872886349204</v>
      </c>
      <c r="AA599" s="1106">
        <f t="shared" si="199"/>
        <v>1079.9513904761905</v>
      </c>
      <c r="AC599" s="1098">
        <f t="shared" si="195"/>
        <v>1122.0182903088023</v>
      </c>
    </row>
  </sheetData>
  <autoFilter ref="A4:AE599" xr:uid="{6C1E195B-537D-4DB3-A3C5-62DFE47145D4}">
    <filterColumn colId="3">
      <filters>
        <filter val="Niagara Bottling, LL"/>
      </filters>
    </filterColumn>
  </autoFilter>
  <hyperlinks>
    <hyperlink ref="A1" location="'00. DM'!A1" display="00. DM" xr:uid="{9C7FA9F1-81D9-41BC-A685-A090B91D9A0B}"/>
  </hyperlink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DFF63-FD38-4B54-92DF-03B357583BAF}">
  <sheetPr>
    <tabColor theme="5" tint="0.59999389629810485"/>
  </sheetPr>
  <dimension ref="A1:N6"/>
  <sheetViews>
    <sheetView workbookViewId="0">
      <pane xSplit="1" ySplit="4" topLeftCell="B5" activePane="bottomRight" state="frozen"/>
      <selection activeCell="G114" sqref="G114"/>
      <selection pane="topRight" activeCell="G114" sqref="G114"/>
      <selection pane="bottomLeft" activeCell="G114" sqref="G114"/>
      <selection pane="bottomRight" activeCell="E16" sqref="E16"/>
    </sheetView>
  </sheetViews>
  <sheetFormatPr defaultRowHeight="14.5" x14ac:dyDescent="0.35"/>
  <cols>
    <col min="1" max="1" width="11.81640625" customWidth="1"/>
    <col min="14" max="14" width="33.453125" customWidth="1"/>
  </cols>
  <sheetData>
    <row r="1" spans="1:14" x14ac:dyDescent="0.35">
      <c r="A1" s="528" t="s">
        <v>587</v>
      </c>
    </row>
    <row r="2" spans="1:14" ht="21" x14ac:dyDescent="0.5">
      <c r="B2" s="97" t="s">
        <v>293</v>
      </c>
    </row>
    <row r="3" spans="1:14" ht="12.5" customHeight="1" x14ac:dyDescent="0.35">
      <c r="B3" s="185" t="s">
        <v>280</v>
      </c>
    </row>
    <row r="4" spans="1:14" ht="26" customHeight="1" x14ac:dyDescent="0.35">
      <c r="A4" s="152" t="s">
        <v>292</v>
      </c>
      <c r="B4" s="152">
        <v>1</v>
      </c>
      <c r="C4" s="152">
        <v>2</v>
      </c>
      <c r="D4" s="152">
        <v>3</v>
      </c>
      <c r="E4" s="152">
        <v>4</v>
      </c>
      <c r="F4" s="152">
        <v>5</v>
      </c>
      <c r="G4" s="152">
        <v>6</v>
      </c>
      <c r="H4" s="152">
        <v>7</v>
      </c>
      <c r="I4" s="152">
        <v>8</v>
      </c>
      <c r="J4" s="152">
        <v>9</v>
      </c>
      <c r="K4" s="152">
        <v>10</v>
      </c>
      <c r="L4" s="152">
        <v>11</v>
      </c>
      <c r="M4" s="152">
        <v>12</v>
      </c>
      <c r="N4" s="152" t="s">
        <v>294</v>
      </c>
    </row>
    <row r="5" spans="1:14" ht="26" customHeight="1" x14ac:dyDescent="0.35">
      <c r="A5" s="530" t="s">
        <v>451</v>
      </c>
      <c r="B5" s="531">
        <v>24910</v>
      </c>
      <c r="C5" s="531">
        <v>25390</v>
      </c>
      <c r="D5" s="531">
        <v>25400</v>
      </c>
      <c r="E5" s="531">
        <v>25830</v>
      </c>
      <c r="F5" s="531">
        <v>25860</v>
      </c>
      <c r="G5" s="531">
        <v>25920</v>
      </c>
      <c r="H5" s="531">
        <v>26030</v>
      </c>
      <c r="I5" s="531">
        <v>26180</v>
      </c>
      <c r="J5" s="531">
        <v>26250</v>
      </c>
      <c r="K5" s="531"/>
      <c r="L5" s="531"/>
      <c r="M5" s="531"/>
      <c r="N5" s="532"/>
    </row>
    <row r="6" spans="1:14" ht="26" customHeight="1" x14ac:dyDescent="0.35">
      <c r="A6" s="533"/>
      <c r="B6" s="534"/>
      <c r="C6" s="534"/>
      <c r="D6" s="534"/>
      <c r="E6" s="534"/>
      <c r="F6" s="534"/>
      <c r="G6" s="534"/>
      <c r="H6" s="534"/>
      <c r="I6" s="534"/>
      <c r="J6" s="534"/>
      <c r="K6" s="534"/>
      <c r="L6" s="534"/>
      <c r="M6" s="534"/>
      <c r="N6" s="534"/>
    </row>
  </sheetData>
  <hyperlinks>
    <hyperlink ref="A1" location="'00. DM'!A1" display="00. DM" xr:uid="{B9A6499F-7D46-4356-A487-CEB9A5576D1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8C200-12FC-4CDE-BBEF-21E2D6AA34DB}">
  <sheetPr>
    <tabColor theme="5" tint="0.59999389629810485"/>
  </sheetPr>
  <dimension ref="A1:H84"/>
  <sheetViews>
    <sheetView workbookViewId="0">
      <pane ySplit="4" topLeftCell="A76" activePane="bottomLeft" state="frozen"/>
      <selection pane="bottomLeft" activeCell="D84" sqref="D84"/>
    </sheetView>
  </sheetViews>
  <sheetFormatPr defaultRowHeight="14.5" x14ac:dyDescent="0.35"/>
  <cols>
    <col min="1" max="1" width="11" customWidth="1"/>
    <col min="2" max="2" width="24" customWidth="1"/>
    <col min="3" max="3" width="13.08984375" customWidth="1"/>
    <col min="4" max="4" width="13.6328125" bestFit="1" customWidth="1"/>
    <col min="7" max="7" width="12.81640625" customWidth="1"/>
  </cols>
  <sheetData>
    <row r="1" spans="1:8" x14ac:dyDescent="0.35">
      <c r="A1" t="s">
        <v>587</v>
      </c>
    </row>
    <row r="4" spans="1:8" x14ac:dyDescent="0.35">
      <c r="A4" t="s">
        <v>191</v>
      </c>
      <c r="B4" t="s">
        <v>191</v>
      </c>
      <c r="C4" t="s">
        <v>301</v>
      </c>
      <c r="D4" t="s">
        <v>190</v>
      </c>
      <c r="G4" t="s">
        <v>172</v>
      </c>
      <c r="H4" t="s">
        <v>799</v>
      </c>
    </row>
    <row r="5" spans="1:8" x14ac:dyDescent="0.35">
      <c r="A5" t="s">
        <v>204</v>
      </c>
      <c r="B5" t="s">
        <v>205</v>
      </c>
      <c r="C5" t="s">
        <v>321</v>
      </c>
      <c r="D5" t="s">
        <v>266</v>
      </c>
      <c r="G5" t="s">
        <v>667</v>
      </c>
      <c r="H5" t="s">
        <v>800</v>
      </c>
    </row>
    <row r="6" spans="1:8" x14ac:dyDescent="0.35">
      <c r="A6" t="s">
        <v>206</v>
      </c>
      <c r="B6" t="s">
        <v>207</v>
      </c>
      <c r="C6" t="s">
        <v>317</v>
      </c>
      <c r="D6" t="s">
        <v>266</v>
      </c>
      <c r="G6" t="s">
        <v>229</v>
      </c>
      <c r="H6" t="s">
        <v>800</v>
      </c>
    </row>
    <row r="7" spans="1:8" x14ac:dyDescent="0.35">
      <c r="A7" t="s">
        <v>208</v>
      </c>
      <c r="B7" t="s">
        <v>209</v>
      </c>
      <c r="C7" t="s">
        <v>316</v>
      </c>
      <c r="D7" t="s">
        <v>266</v>
      </c>
      <c r="G7" t="s">
        <v>175</v>
      </c>
      <c r="H7" t="s">
        <v>800</v>
      </c>
    </row>
    <row r="8" spans="1:8" x14ac:dyDescent="0.35">
      <c r="A8" t="s">
        <v>210</v>
      </c>
      <c r="B8" t="s">
        <v>211</v>
      </c>
      <c r="C8" t="s">
        <v>319</v>
      </c>
      <c r="D8" t="s">
        <v>266</v>
      </c>
      <c r="G8" t="s">
        <v>249</v>
      </c>
      <c r="H8" t="s">
        <v>801</v>
      </c>
    </row>
    <row r="9" spans="1:8" x14ac:dyDescent="0.35">
      <c r="A9" t="s">
        <v>216</v>
      </c>
      <c r="B9" t="s">
        <v>217</v>
      </c>
      <c r="C9" t="s">
        <v>318</v>
      </c>
      <c r="D9" t="s">
        <v>266</v>
      </c>
      <c r="G9" t="s">
        <v>253</v>
      </c>
      <c r="H9" t="s">
        <v>801</v>
      </c>
    </row>
    <row r="10" spans="1:8" x14ac:dyDescent="0.35">
      <c r="A10" t="s">
        <v>224</v>
      </c>
      <c r="B10" t="s">
        <v>225</v>
      </c>
      <c r="C10" t="s">
        <v>323</v>
      </c>
      <c r="D10" t="s">
        <v>266</v>
      </c>
      <c r="G10" t="s">
        <v>247</v>
      </c>
      <c r="H10" t="s">
        <v>801</v>
      </c>
    </row>
    <row r="11" spans="1:8" x14ac:dyDescent="0.35">
      <c r="A11" t="s">
        <v>48</v>
      </c>
      <c r="B11" t="s">
        <v>47</v>
      </c>
      <c r="C11" t="s">
        <v>320</v>
      </c>
      <c r="D11" t="s">
        <v>266</v>
      </c>
      <c r="G11" t="s">
        <v>256</v>
      </c>
      <c r="H11" t="s">
        <v>801</v>
      </c>
    </row>
    <row r="12" spans="1:8" x14ac:dyDescent="0.35">
      <c r="A12" t="s">
        <v>50</v>
      </c>
      <c r="B12" t="s">
        <v>49</v>
      </c>
      <c r="C12" t="s">
        <v>305</v>
      </c>
      <c r="D12" t="s">
        <v>265</v>
      </c>
      <c r="G12" t="s">
        <v>251</v>
      </c>
      <c r="H12" t="s">
        <v>801</v>
      </c>
    </row>
    <row r="13" spans="1:8" x14ac:dyDescent="0.35">
      <c r="A13" t="s">
        <v>84</v>
      </c>
      <c r="B13" t="s">
        <v>83</v>
      </c>
      <c r="C13" t="s">
        <v>331</v>
      </c>
      <c r="D13" t="s">
        <v>265</v>
      </c>
      <c r="G13" t="s">
        <v>248</v>
      </c>
      <c r="H13" t="s">
        <v>801</v>
      </c>
    </row>
    <row r="14" spans="1:8" x14ac:dyDescent="0.35">
      <c r="A14" t="s">
        <v>69</v>
      </c>
      <c r="B14" t="s">
        <v>64</v>
      </c>
      <c r="C14" t="s">
        <v>306</v>
      </c>
      <c r="D14" t="s">
        <v>265</v>
      </c>
      <c r="G14" t="s">
        <v>670</v>
      </c>
      <c r="H14" t="s">
        <v>801</v>
      </c>
    </row>
    <row r="15" spans="1:8" x14ac:dyDescent="0.35">
      <c r="A15" t="s">
        <v>75</v>
      </c>
      <c r="B15" t="s">
        <v>74</v>
      </c>
      <c r="C15" t="s">
        <v>332</v>
      </c>
      <c r="D15" t="s">
        <v>265</v>
      </c>
      <c r="G15" t="s">
        <v>246</v>
      </c>
      <c r="H15" t="s">
        <v>820</v>
      </c>
    </row>
    <row r="16" spans="1:8" x14ac:dyDescent="0.35">
      <c r="A16" t="s">
        <v>63</v>
      </c>
      <c r="B16" t="s">
        <v>308</v>
      </c>
      <c r="C16" t="s">
        <v>309</v>
      </c>
      <c r="D16" t="s">
        <v>265</v>
      </c>
      <c r="G16" t="s">
        <v>254</v>
      </c>
      <c r="H16" t="s">
        <v>820</v>
      </c>
    </row>
    <row r="17" spans="1:8" x14ac:dyDescent="0.35">
      <c r="A17" t="s">
        <v>60</v>
      </c>
      <c r="B17" t="s">
        <v>311</v>
      </c>
      <c r="C17" t="s">
        <v>310</v>
      </c>
      <c r="D17" t="s">
        <v>265</v>
      </c>
      <c r="G17" t="s">
        <v>250</v>
      </c>
      <c r="H17" t="s">
        <v>820</v>
      </c>
    </row>
    <row r="18" spans="1:8" x14ac:dyDescent="0.35">
      <c r="A18" t="s">
        <v>56</v>
      </c>
      <c r="B18" t="s">
        <v>55</v>
      </c>
      <c r="C18" t="s">
        <v>333</v>
      </c>
      <c r="D18" t="s">
        <v>265</v>
      </c>
      <c r="G18" t="s">
        <v>252</v>
      </c>
      <c r="H18" t="s">
        <v>820</v>
      </c>
    </row>
    <row r="19" spans="1:8" x14ac:dyDescent="0.35">
      <c r="A19" t="s">
        <v>187</v>
      </c>
      <c r="B19" t="s">
        <v>188</v>
      </c>
      <c r="C19" t="s">
        <v>324</v>
      </c>
      <c r="D19" t="s">
        <v>265</v>
      </c>
      <c r="G19" t="s">
        <v>671</v>
      </c>
      <c r="H19" t="s">
        <v>820</v>
      </c>
    </row>
    <row r="20" spans="1:8" x14ac:dyDescent="0.35">
      <c r="A20" t="s">
        <v>80</v>
      </c>
      <c r="B20" t="s">
        <v>79</v>
      </c>
      <c r="C20" t="s">
        <v>340</v>
      </c>
      <c r="D20" t="s">
        <v>265</v>
      </c>
      <c r="G20" t="s">
        <v>255</v>
      </c>
      <c r="H20" t="s">
        <v>820</v>
      </c>
    </row>
    <row r="21" spans="1:8" x14ac:dyDescent="0.35">
      <c r="A21" t="s">
        <v>52</v>
      </c>
      <c r="B21" t="s">
        <v>51</v>
      </c>
      <c r="C21" t="s">
        <v>307</v>
      </c>
      <c r="D21" t="s">
        <v>265</v>
      </c>
      <c r="G21" t="s">
        <v>734</v>
      </c>
      <c r="H21" t="s">
        <v>820</v>
      </c>
    </row>
    <row r="22" spans="1:8" x14ac:dyDescent="0.35">
      <c r="A22" t="s">
        <v>50</v>
      </c>
      <c r="B22" t="s">
        <v>49</v>
      </c>
      <c r="C22" t="s">
        <v>305</v>
      </c>
      <c r="D22" t="s">
        <v>265</v>
      </c>
      <c r="G22" t="s">
        <v>733</v>
      </c>
      <c r="H22" t="s">
        <v>820</v>
      </c>
    </row>
    <row r="23" spans="1:8" x14ac:dyDescent="0.35">
      <c r="A23" t="s">
        <v>126</v>
      </c>
      <c r="B23" t="s">
        <v>125</v>
      </c>
      <c r="C23" t="s">
        <v>329</v>
      </c>
      <c r="D23" t="s">
        <v>283</v>
      </c>
      <c r="G23" t="s">
        <v>245</v>
      </c>
      <c r="H23" t="s">
        <v>261</v>
      </c>
    </row>
    <row r="24" spans="1:8" x14ac:dyDescent="0.35">
      <c r="A24" t="s">
        <v>127</v>
      </c>
      <c r="B24" t="s">
        <v>114</v>
      </c>
      <c r="C24" t="s">
        <v>303</v>
      </c>
      <c r="D24" t="s">
        <v>283</v>
      </c>
      <c r="G24" t="s">
        <v>923</v>
      </c>
      <c r="H24" t="s">
        <v>801</v>
      </c>
    </row>
    <row r="25" spans="1:8" x14ac:dyDescent="0.35">
      <c r="A25" t="s">
        <v>122</v>
      </c>
      <c r="B25" t="s">
        <v>121</v>
      </c>
      <c r="C25" t="s">
        <v>302</v>
      </c>
      <c r="D25" t="s">
        <v>283</v>
      </c>
      <c r="G25" t="s">
        <v>924</v>
      </c>
      <c r="H25" t="s">
        <v>820</v>
      </c>
    </row>
    <row r="26" spans="1:8" x14ac:dyDescent="0.35">
      <c r="A26" t="s">
        <v>110</v>
      </c>
      <c r="B26" t="s">
        <v>109</v>
      </c>
      <c r="C26" t="s">
        <v>312</v>
      </c>
      <c r="D26" t="s">
        <v>283</v>
      </c>
    </row>
    <row r="27" spans="1:8" x14ac:dyDescent="0.35">
      <c r="A27" t="s">
        <v>100</v>
      </c>
      <c r="B27" t="s">
        <v>99</v>
      </c>
      <c r="C27" t="s">
        <v>313</v>
      </c>
      <c r="D27" t="s">
        <v>283</v>
      </c>
    </row>
    <row r="28" spans="1:8" x14ac:dyDescent="0.35">
      <c r="A28" t="s">
        <v>106</v>
      </c>
      <c r="B28" t="s">
        <v>105</v>
      </c>
      <c r="C28" t="s">
        <v>325</v>
      </c>
      <c r="D28" t="s">
        <v>283</v>
      </c>
    </row>
    <row r="29" spans="1:8" x14ac:dyDescent="0.35">
      <c r="A29" t="s">
        <v>102</v>
      </c>
      <c r="B29" t="s">
        <v>101</v>
      </c>
      <c r="C29" t="s">
        <v>315</v>
      </c>
      <c r="D29" t="s">
        <v>283</v>
      </c>
    </row>
    <row r="30" spans="1:8" x14ac:dyDescent="0.35">
      <c r="A30" t="s">
        <v>183</v>
      </c>
      <c r="B30" t="s">
        <v>184</v>
      </c>
      <c r="C30" t="s">
        <v>304</v>
      </c>
      <c r="D30" t="s">
        <v>283</v>
      </c>
    </row>
    <row r="31" spans="1:8" x14ac:dyDescent="0.35">
      <c r="A31" t="s">
        <v>98</v>
      </c>
      <c r="B31" t="s">
        <v>97</v>
      </c>
      <c r="C31" t="s">
        <v>314</v>
      </c>
      <c r="D31" t="s">
        <v>283</v>
      </c>
    </row>
    <row r="32" spans="1:8" x14ac:dyDescent="0.35">
      <c r="A32" t="s">
        <v>219</v>
      </c>
      <c r="B32" t="s">
        <v>220</v>
      </c>
      <c r="C32" t="s">
        <v>322</v>
      </c>
      <c r="D32" t="s">
        <v>23</v>
      </c>
    </row>
    <row r="33" spans="1:4" x14ac:dyDescent="0.35">
      <c r="A33" t="s">
        <v>15</v>
      </c>
      <c r="B33" t="s">
        <v>14</v>
      </c>
      <c r="C33" t="s">
        <v>334</v>
      </c>
      <c r="D33" t="s">
        <v>23</v>
      </c>
    </row>
    <row r="34" spans="1:4" x14ac:dyDescent="0.35">
      <c r="A34" t="s">
        <v>1</v>
      </c>
      <c r="B34" t="s">
        <v>336</v>
      </c>
      <c r="C34" t="s">
        <v>337</v>
      </c>
      <c r="D34" t="s">
        <v>23</v>
      </c>
    </row>
    <row r="35" spans="1:4" x14ac:dyDescent="0.35">
      <c r="A35" t="s">
        <v>11</v>
      </c>
      <c r="B35" t="s">
        <v>10</v>
      </c>
      <c r="C35" t="s">
        <v>330</v>
      </c>
      <c r="D35" t="s">
        <v>23</v>
      </c>
    </row>
    <row r="36" spans="1:4" x14ac:dyDescent="0.35">
      <c r="A36" t="s">
        <v>9</v>
      </c>
      <c r="B36" t="s">
        <v>8</v>
      </c>
      <c r="C36" t="s">
        <v>339</v>
      </c>
      <c r="D36" t="s">
        <v>23</v>
      </c>
    </row>
    <row r="37" spans="1:4" x14ac:dyDescent="0.35">
      <c r="A37" t="s">
        <v>5</v>
      </c>
      <c r="B37" t="s">
        <v>4</v>
      </c>
      <c r="C37" t="s">
        <v>338</v>
      </c>
      <c r="D37" t="s">
        <v>23</v>
      </c>
    </row>
    <row r="38" spans="1:4" x14ac:dyDescent="0.35">
      <c r="A38" t="s">
        <v>231</v>
      </c>
      <c r="B38" t="s">
        <v>232</v>
      </c>
      <c r="C38" t="s">
        <v>341</v>
      </c>
      <c r="D38" t="s">
        <v>23</v>
      </c>
    </row>
    <row r="39" spans="1:4" x14ac:dyDescent="0.35">
      <c r="A39" t="s">
        <v>41</v>
      </c>
      <c r="B39" t="s">
        <v>40</v>
      </c>
      <c r="C39" t="s">
        <v>40</v>
      </c>
      <c r="D39" t="s">
        <v>266</v>
      </c>
    </row>
    <row r="40" spans="1:4" x14ac:dyDescent="0.35">
      <c r="A40" t="s">
        <v>39</v>
      </c>
      <c r="B40" t="s">
        <v>38</v>
      </c>
      <c r="C40" t="s">
        <v>38</v>
      </c>
      <c r="D40" t="s">
        <v>266</v>
      </c>
    </row>
    <row r="41" spans="1:4" x14ac:dyDescent="0.35">
      <c r="A41" t="s">
        <v>43</v>
      </c>
      <c r="B41" t="s">
        <v>42</v>
      </c>
      <c r="C41" t="s">
        <v>367</v>
      </c>
      <c r="D41" t="s">
        <v>266</v>
      </c>
    </row>
    <row r="42" spans="1:4" x14ac:dyDescent="0.35">
      <c r="A42" t="s">
        <v>37</v>
      </c>
      <c r="B42" t="s">
        <v>36</v>
      </c>
      <c r="C42" t="s">
        <v>36</v>
      </c>
      <c r="D42" t="s">
        <v>266</v>
      </c>
    </row>
    <row r="43" spans="1:4" x14ac:dyDescent="0.35">
      <c r="A43" t="s">
        <v>33</v>
      </c>
      <c r="B43" t="s">
        <v>32</v>
      </c>
      <c r="C43" t="s">
        <v>42</v>
      </c>
      <c r="D43" t="s">
        <v>266</v>
      </c>
    </row>
    <row r="44" spans="1:4" x14ac:dyDescent="0.35">
      <c r="A44" t="s">
        <v>19</v>
      </c>
      <c r="B44" t="s">
        <v>18</v>
      </c>
      <c r="C44" t="s">
        <v>18</v>
      </c>
      <c r="D44" t="s">
        <v>23</v>
      </c>
    </row>
    <row r="45" spans="1:4" x14ac:dyDescent="0.35">
      <c r="A45" t="s">
        <v>215</v>
      </c>
      <c r="B45" t="s">
        <v>93</v>
      </c>
      <c r="C45" t="s">
        <v>326</v>
      </c>
      <c r="D45" t="s">
        <v>95</v>
      </c>
    </row>
    <row r="46" spans="1:4" x14ac:dyDescent="0.35">
      <c r="A46" t="s">
        <v>218</v>
      </c>
      <c r="B46" t="s">
        <v>228</v>
      </c>
      <c r="C46" t="s">
        <v>327</v>
      </c>
      <c r="D46" t="s">
        <v>95</v>
      </c>
    </row>
    <row r="47" spans="1:4" x14ac:dyDescent="0.35">
      <c r="A47" t="s">
        <v>87</v>
      </c>
      <c r="B47" t="s">
        <v>86</v>
      </c>
      <c r="C47" t="s">
        <v>335</v>
      </c>
      <c r="D47" t="s">
        <v>95</v>
      </c>
    </row>
    <row r="48" spans="1:4" x14ac:dyDescent="0.35">
      <c r="A48" t="s">
        <v>349</v>
      </c>
      <c r="B48" t="s">
        <v>350</v>
      </c>
      <c r="C48" t="s">
        <v>366</v>
      </c>
      <c r="D48" t="s">
        <v>23</v>
      </c>
    </row>
    <row r="49" spans="1:4" x14ac:dyDescent="0.35">
      <c r="A49" t="s">
        <v>375</v>
      </c>
      <c r="B49" t="s">
        <v>376</v>
      </c>
      <c r="C49" t="s">
        <v>377</v>
      </c>
      <c r="D49" t="s">
        <v>265</v>
      </c>
    </row>
    <row r="50" spans="1:4" x14ac:dyDescent="0.35">
      <c r="A50" t="s">
        <v>462</v>
      </c>
      <c r="B50" t="s">
        <v>468</v>
      </c>
      <c r="C50" t="s">
        <v>469</v>
      </c>
      <c r="D50" t="s">
        <v>283</v>
      </c>
    </row>
    <row r="51" spans="1:4" x14ac:dyDescent="0.35">
      <c r="A51" t="s">
        <v>463</v>
      </c>
      <c r="B51" t="s">
        <v>470</v>
      </c>
      <c r="C51" t="s">
        <v>471</v>
      </c>
      <c r="D51" t="s">
        <v>95</v>
      </c>
    </row>
    <row r="52" spans="1:4" x14ac:dyDescent="0.35">
      <c r="A52" t="s">
        <v>223</v>
      </c>
      <c r="B52" t="s">
        <v>372</v>
      </c>
      <c r="D52" t="s">
        <v>404</v>
      </c>
    </row>
    <row r="53" spans="1:4" x14ac:dyDescent="0.35">
      <c r="A53" t="s">
        <v>355</v>
      </c>
      <c r="B53" t="s">
        <v>356</v>
      </c>
      <c r="D53" t="s">
        <v>413</v>
      </c>
    </row>
    <row r="54" spans="1:4" x14ac:dyDescent="0.35">
      <c r="A54" t="s">
        <v>357</v>
      </c>
      <c r="B54" t="s">
        <v>356</v>
      </c>
      <c r="D54" t="s">
        <v>413</v>
      </c>
    </row>
    <row r="55" spans="1:4" x14ac:dyDescent="0.35">
      <c r="A55" t="s">
        <v>358</v>
      </c>
      <c r="B55" t="s">
        <v>356</v>
      </c>
      <c r="D55" t="s">
        <v>413</v>
      </c>
    </row>
    <row r="56" spans="1:4" x14ac:dyDescent="0.35">
      <c r="A56" t="s">
        <v>359</v>
      </c>
      <c r="B56" t="s">
        <v>356</v>
      </c>
      <c r="D56" t="s">
        <v>413</v>
      </c>
    </row>
    <row r="57" spans="1:4" x14ac:dyDescent="0.35">
      <c r="A57" t="s">
        <v>465</v>
      </c>
      <c r="B57" t="s">
        <v>466</v>
      </c>
      <c r="D57" t="s">
        <v>404</v>
      </c>
    </row>
    <row r="58" spans="1:4" x14ac:dyDescent="0.35">
      <c r="A58" t="s">
        <v>223</v>
      </c>
      <c r="B58" t="s">
        <v>372</v>
      </c>
      <c r="D58" t="s">
        <v>404</v>
      </c>
    </row>
    <row r="59" spans="1:4" x14ac:dyDescent="0.35">
      <c r="A59" t="s">
        <v>467</v>
      </c>
      <c r="B59" t="s">
        <v>466</v>
      </c>
      <c r="D59" t="s">
        <v>404</v>
      </c>
    </row>
    <row r="60" spans="1:4" x14ac:dyDescent="0.35">
      <c r="A60" t="s">
        <v>538</v>
      </c>
      <c r="B60" t="s">
        <v>539</v>
      </c>
      <c r="C60" t="s">
        <v>542</v>
      </c>
      <c r="D60" t="s">
        <v>23</v>
      </c>
    </row>
    <row r="61" spans="1:4" x14ac:dyDescent="0.35">
      <c r="A61" t="s">
        <v>536</v>
      </c>
      <c r="B61" t="s">
        <v>537</v>
      </c>
      <c r="C61" t="s">
        <v>537</v>
      </c>
      <c r="D61" t="s">
        <v>266</v>
      </c>
    </row>
    <row r="62" spans="1:4" x14ac:dyDescent="0.35">
      <c r="A62" t="s">
        <v>540</v>
      </c>
      <c r="B62" t="s">
        <v>541</v>
      </c>
      <c r="C62" t="s">
        <v>543</v>
      </c>
      <c r="D62" t="s">
        <v>266</v>
      </c>
    </row>
    <row r="63" spans="1:4" x14ac:dyDescent="0.35">
      <c r="A63" t="s">
        <v>645</v>
      </c>
      <c r="B63" t="s">
        <v>646</v>
      </c>
      <c r="C63" t="s">
        <v>662</v>
      </c>
      <c r="D63" t="s">
        <v>283</v>
      </c>
    </row>
    <row r="64" spans="1:4" x14ac:dyDescent="0.35">
      <c r="A64" t="s">
        <v>647</v>
      </c>
      <c r="B64" t="s">
        <v>648</v>
      </c>
      <c r="C64" t="s">
        <v>663</v>
      </c>
      <c r="D64" t="s">
        <v>265</v>
      </c>
    </row>
    <row r="65" spans="1:4" x14ac:dyDescent="0.35">
      <c r="A65" t="s">
        <v>649</v>
      </c>
      <c r="B65" t="s">
        <v>650</v>
      </c>
      <c r="D65" t="s">
        <v>420</v>
      </c>
    </row>
    <row r="66" spans="1:4" x14ac:dyDescent="0.35">
      <c r="A66" t="s">
        <v>651</v>
      </c>
      <c r="B66" t="s">
        <v>652</v>
      </c>
      <c r="D66" t="s">
        <v>413</v>
      </c>
    </row>
    <row r="67" spans="1:4" x14ac:dyDescent="0.35">
      <c r="A67" t="s">
        <v>653</v>
      </c>
      <c r="B67" t="s">
        <v>654</v>
      </c>
      <c r="C67" t="s">
        <v>654</v>
      </c>
      <c r="D67" t="s">
        <v>266</v>
      </c>
    </row>
    <row r="68" spans="1:4" x14ac:dyDescent="0.35">
      <c r="A68" t="s">
        <v>655</v>
      </c>
      <c r="B68" t="s">
        <v>656</v>
      </c>
      <c r="D68" t="s">
        <v>413</v>
      </c>
    </row>
    <row r="69" spans="1:4" x14ac:dyDescent="0.35">
      <c r="A69" t="s">
        <v>657</v>
      </c>
      <c r="B69" t="s">
        <v>658</v>
      </c>
      <c r="C69" t="s">
        <v>658</v>
      </c>
      <c r="D69" t="s">
        <v>266</v>
      </c>
    </row>
    <row r="70" spans="1:4" x14ac:dyDescent="0.35">
      <c r="A70" t="s">
        <v>659</v>
      </c>
      <c r="B70" t="s">
        <v>861</v>
      </c>
      <c r="D70" t="s">
        <v>23</v>
      </c>
    </row>
    <row r="71" spans="1:4" x14ac:dyDescent="0.35">
      <c r="A71" t="s">
        <v>660</v>
      </c>
      <c r="B71" t="s">
        <v>661</v>
      </c>
      <c r="C71" t="s">
        <v>664</v>
      </c>
      <c r="D71" t="s">
        <v>23</v>
      </c>
    </row>
    <row r="72" spans="1:4" x14ac:dyDescent="0.35">
      <c r="A72" t="s">
        <v>729</v>
      </c>
      <c r="B72" t="s">
        <v>730</v>
      </c>
      <c r="C72" t="s">
        <v>730</v>
      </c>
      <c r="D72" t="s">
        <v>23</v>
      </c>
    </row>
    <row r="73" spans="1:4" x14ac:dyDescent="0.35">
      <c r="A73" s="315" t="s">
        <v>838</v>
      </c>
      <c r="B73" s="315" t="s">
        <v>839</v>
      </c>
      <c r="C73" s="315"/>
      <c r="D73" s="315" t="s">
        <v>404</v>
      </c>
    </row>
    <row r="74" spans="1:4" x14ac:dyDescent="0.35">
      <c r="A74" t="s">
        <v>919</v>
      </c>
      <c r="B74" t="s">
        <v>920</v>
      </c>
      <c r="C74" t="s">
        <v>920</v>
      </c>
      <c r="D74" t="s">
        <v>283</v>
      </c>
    </row>
    <row r="75" spans="1:4" x14ac:dyDescent="0.35">
      <c r="A75" t="s">
        <v>918</v>
      </c>
      <c r="B75" t="s">
        <v>921</v>
      </c>
      <c r="C75" t="s">
        <v>922</v>
      </c>
      <c r="D75" t="s">
        <v>283</v>
      </c>
    </row>
    <row r="76" spans="1:4" x14ac:dyDescent="0.35">
      <c r="A76" t="s">
        <v>971</v>
      </c>
      <c r="B76" t="s">
        <v>972</v>
      </c>
      <c r="C76" t="s">
        <v>973</v>
      </c>
      <c r="D76" t="s">
        <v>283</v>
      </c>
    </row>
    <row r="77" spans="1:4" x14ac:dyDescent="0.35">
      <c r="A77" t="s">
        <v>970</v>
      </c>
      <c r="B77" t="s">
        <v>974</v>
      </c>
      <c r="D77" t="s">
        <v>413</v>
      </c>
    </row>
    <row r="78" spans="1:4" x14ac:dyDescent="0.35">
      <c r="A78" t="s">
        <v>1015</v>
      </c>
      <c r="B78" t="s">
        <v>1016</v>
      </c>
      <c r="C78" t="s">
        <v>1023</v>
      </c>
      <c r="D78" t="s">
        <v>283</v>
      </c>
    </row>
    <row r="79" spans="1:4" x14ac:dyDescent="0.35">
      <c r="A79" t="s">
        <v>1018</v>
      </c>
      <c r="B79" t="s">
        <v>1019</v>
      </c>
      <c r="D79" t="s">
        <v>413</v>
      </c>
    </row>
    <row r="80" spans="1:4" x14ac:dyDescent="0.35">
      <c r="A80" t="s">
        <v>1020</v>
      </c>
      <c r="B80" t="s">
        <v>1021</v>
      </c>
      <c r="D80" t="s">
        <v>413</v>
      </c>
    </row>
    <row r="81" spans="1:4" x14ac:dyDescent="0.35">
      <c r="A81" t="s">
        <v>1083</v>
      </c>
      <c r="B81" t="s">
        <v>1088</v>
      </c>
      <c r="D81" t="s">
        <v>413</v>
      </c>
    </row>
    <row r="82" spans="1:4" x14ac:dyDescent="0.35">
      <c r="A82" t="s">
        <v>1086</v>
      </c>
      <c r="B82" t="s">
        <v>1087</v>
      </c>
      <c r="C82" t="s">
        <v>1089</v>
      </c>
      <c r="D82" t="s">
        <v>283</v>
      </c>
    </row>
    <row r="83" spans="1:4" x14ac:dyDescent="0.35">
      <c r="A83" t="s">
        <v>1081</v>
      </c>
      <c r="B83" t="s">
        <v>1082</v>
      </c>
      <c r="C83" t="s">
        <v>1090</v>
      </c>
      <c r="D83" t="s">
        <v>23</v>
      </c>
    </row>
    <row r="84" spans="1:4" x14ac:dyDescent="0.35">
      <c r="A84" t="s">
        <v>1079</v>
      </c>
      <c r="B84" t="s">
        <v>1080</v>
      </c>
      <c r="D84" t="s">
        <v>413</v>
      </c>
    </row>
  </sheetData>
  <autoFilter ref="A4:H80" xr:uid="{4348C200-12FC-4CDE-BBEF-21E2D6AA34DB}"/>
  <sortState xmlns:xlrd2="http://schemas.microsoft.com/office/spreadsheetml/2017/richdata2" ref="G5:H23">
    <sortCondition ref="H5:H23"/>
  </sortState>
  <hyperlinks>
    <hyperlink ref="A1" location="'00. DM'!A1" display="00. DM" xr:uid="{19A84ABA-091B-46A4-869D-DD01B0F2C80D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B24A6-0F1A-4310-8757-C704D3716E1A}">
  <sheetPr>
    <tabColor rgb="FFFFFF00"/>
  </sheetPr>
  <dimension ref="A1:M35"/>
  <sheetViews>
    <sheetView zoomScale="85" zoomScaleNormal="85" workbookViewId="0">
      <pane xSplit="4" ySplit="3" topLeftCell="G4" activePane="bottomRight" state="frozen"/>
      <selection pane="topRight" activeCell="E1" sqref="E1"/>
      <selection pane="bottomLeft" activeCell="A4" sqref="A4"/>
      <selection pane="bottomRight" activeCell="C4" sqref="C4"/>
    </sheetView>
  </sheetViews>
  <sheetFormatPr defaultRowHeight="14.5" outlineLevelRow="1" x14ac:dyDescent="0.35"/>
  <cols>
    <col min="1" max="1" width="7.36328125" customWidth="1"/>
    <col min="2" max="2" width="6.08984375" style="524" customWidth="1"/>
    <col min="3" max="3" width="30.81640625" customWidth="1"/>
    <col min="4" max="4" width="19.54296875" customWidth="1"/>
    <col min="5" max="5" width="48" customWidth="1"/>
    <col min="6" max="6" width="2.453125" customWidth="1"/>
    <col min="10" max="10" width="9.36328125" customWidth="1"/>
  </cols>
  <sheetData>
    <row r="1" spans="1:13" ht="21" x14ac:dyDescent="0.5">
      <c r="C1" s="297" t="s">
        <v>574</v>
      </c>
    </row>
    <row r="3" spans="1:13" x14ac:dyDescent="0.35">
      <c r="A3" s="613" t="s">
        <v>174</v>
      </c>
      <c r="B3" s="614"/>
      <c r="C3" s="613" t="s">
        <v>573</v>
      </c>
      <c r="D3" s="613" t="s">
        <v>578</v>
      </c>
      <c r="E3" s="613" t="s">
        <v>294</v>
      </c>
      <c r="G3" s="693">
        <v>45717</v>
      </c>
      <c r="H3" s="693">
        <v>45748</v>
      </c>
      <c r="I3" s="693">
        <v>45778</v>
      </c>
      <c r="J3" s="693">
        <v>45809</v>
      </c>
      <c r="K3" s="693">
        <v>45839</v>
      </c>
      <c r="L3" s="693">
        <v>45870</v>
      </c>
      <c r="M3" s="693">
        <v>45901</v>
      </c>
    </row>
    <row r="4" spans="1:13" x14ac:dyDescent="0.35">
      <c r="A4" s="504">
        <v>1</v>
      </c>
      <c r="B4" s="525" t="s">
        <v>624</v>
      </c>
      <c r="C4" s="529" t="s">
        <v>580</v>
      </c>
      <c r="D4" s="564" t="s">
        <v>579</v>
      </c>
      <c r="E4" s="615" t="s">
        <v>623</v>
      </c>
      <c r="G4" s="696"/>
      <c r="H4" s="696"/>
      <c r="I4" s="696"/>
      <c r="J4" s="696"/>
    </row>
    <row r="5" spans="1:13" x14ac:dyDescent="0.35">
      <c r="A5" s="505">
        <v>2</v>
      </c>
      <c r="B5" s="526"/>
      <c r="C5" s="535" t="s">
        <v>581</v>
      </c>
      <c r="D5" s="565" t="s">
        <v>579</v>
      </c>
      <c r="E5" s="310" t="s">
        <v>623</v>
      </c>
      <c r="G5" s="696"/>
      <c r="H5" s="696"/>
      <c r="I5" s="696"/>
      <c r="J5" s="696" t="s">
        <v>622</v>
      </c>
      <c r="K5" s="696" t="s">
        <v>622</v>
      </c>
      <c r="L5" s="696" t="s">
        <v>622</v>
      </c>
    </row>
    <row r="6" spans="1:13" x14ac:dyDescent="0.35">
      <c r="A6" s="505">
        <v>3</v>
      </c>
      <c r="B6" s="526"/>
      <c r="C6" s="535" t="s">
        <v>585</v>
      </c>
      <c r="D6" s="565" t="s">
        <v>579</v>
      </c>
      <c r="E6" s="310" t="s">
        <v>623</v>
      </c>
      <c r="G6" s="696"/>
      <c r="H6" s="696"/>
      <c r="I6" s="696"/>
      <c r="J6" s="696"/>
    </row>
    <row r="7" spans="1:13" x14ac:dyDescent="0.35">
      <c r="A7" s="505">
        <v>4</v>
      </c>
      <c r="B7" s="526" t="s">
        <v>625</v>
      </c>
      <c r="C7" s="775" t="s">
        <v>785</v>
      </c>
      <c r="D7" s="310" t="s">
        <v>575</v>
      </c>
      <c r="E7" s="310"/>
      <c r="G7" s="696"/>
      <c r="H7" s="696"/>
      <c r="I7" s="696"/>
      <c r="J7" s="696"/>
    </row>
    <row r="8" spans="1:13" outlineLevel="1" x14ac:dyDescent="0.35">
      <c r="A8" s="505">
        <v>5</v>
      </c>
      <c r="B8" s="609" t="s">
        <v>622</v>
      </c>
      <c r="C8" s="612" t="s">
        <v>605</v>
      </c>
      <c r="D8" s="310" t="s">
        <v>575</v>
      </c>
      <c r="E8" s="310"/>
      <c r="G8" s="696" t="s">
        <v>622</v>
      </c>
      <c r="H8" s="696" t="s">
        <v>622</v>
      </c>
      <c r="I8" s="696" t="s">
        <v>622</v>
      </c>
      <c r="J8" s="696" t="s">
        <v>622</v>
      </c>
      <c r="K8" s="696" t="s">
        <v>622</v>
      </c>
      <c r="L8" s="696" t="s">
        <v>622</v>
      </c>
    </row>
    <row r="9" spans="1:13" x14ac:dyDescent="0.35">
      <c r="A9" s="505">
        <v>7</v>
      </c>
      <c r="B9" s="526"/>
      <c r="C9" s="775" t="s">
        <v>782</v>
      </c>
      <c r="D9" s="310" t="s">
        <v>575</v>
      </c>
      <c r="E9" s="310"/>
      <c r="G9" s="696"/>
      <c r="H9" s="696"/>
      <c r="I9" s="696"/>
      <c r="J9" s="696"/>
    </row>
    <row r="10" spans="1:13" outlineLevel="1" x14ac:dyDescent="0.35">
      <c r="A10" s="505">
        <v>8</v>
      </c>
      <c r="B10" s="609" t="s">
        <v>622</v>
      </c>
      <c r="C10" s="612" t="s">
        <v>767</v>
      </c>
      <c r="D10" s="566" t="s">
        <v>577</v>
      </c>
      <c r="E10" s="310" t="s">
        <v>576</v>
      </c>
      <c r="G10" s="696" t="s">
        <v>622</v>
      </c>
      <c r="H10" s="696" t="s">
        <v>622</v>
      </c>
      <c r="I10" s="696" t="s">
        <v>622</v>
      </c>
      <c r="J10" s="696" t="s">
        <v>622</v>
      </c>
      <c r="K10" s="696" t="s">
        <v>622</v>
      </c>
      <c r="L10" s="696" t="s">
        <v>622</v>
      </c>
    </row>
    <row r="11" spans="1:13" outlineLevel="1" x14ac:dyDescent="0.35">
      <c r="A11" s="505">
        <v>9</v>
      </c>
      <c r="B11" s="609" t="s">
        <v>622</v>
      </c>
      <c r="C11" s="612" t="s">
        <v>768</v>
      </c>
      <c r="D11" s="310" t="s">
        <v>575</v>
      </c>
      <c r="E11" s="310"/>
      <c r="G11" s="696"/>
      <c r="H11" s="696"/>
      <c r="I11" s="696" t="s">
        <v>622</v>
      </c>
      <c r="J11" s="696" t="s">
        <v>622</v>
      </c>
      <c r="K11" s="696" t="s">
        <v>622</v>
      </c>
      <c r="L11" s="696" t="s">
        <v>622</v>
      </c>
    </row>
    <row r="12" spans="1:13" outlineLevel="1" x14ac:dyDescent="0.35">
      <c r="A12" s="505">
        <v>10</v>
      </c>
      <c r="B12" s="609" t="s">
        <v>622</v>
      </c>
      <c r="C12" s="612" t="s">
        <v>769</v>
      </c>
      <c r="D12" s="566" t="s">
        <v>577</v>
      </c>
      <c r="E12" t="s">
        <v>770</v>
      </c>
      <c r="G12" s="696" t="s">
        <v>622</v>
      </c>
      <c r="H12" s="696" t="s">
        <v>622</v>
      </c>
      <c r="I12" s="696" t="s">
        <v>622</v>
      </c>
      <c r="J12" s="696" t="s">
        <v>622</v>
      </c>
      <c r="K12" s="696" t="s">
        <v>622</v>
      </c>
      <c r="L12" s="696" t="s">
        <v>622</v>
      </c>
    </row>
    <row r="13" spans="1:13" x14ac:dyDescent="0.35">
      <c r="A13" s="505">
        <v>11</v>
      </c>
      <c r="B13" s="526"/>
      <c r="C13" s="775" t="s">
        <v>762</v>
      </c>
      <c r="D13" s="565" t="s">
        <v>579</v>
      </c>
      <c r="E13" s="310" t="s">
        <v>626</v>
      </c>
      <c r="G13" s="696"/>
      <c r="H13" s="696"/>
      <c r="I13" s="696"/>
      <c r="J13" s="696"/>
    </row>
    <row r="14" spans="1:13" outlineLevel="1" x14ac:dyDescent="0.35">
      <c r="A14" s="505">
        <v>12</v>
      </c>
      <c r="B14" s="609" t="s">
        <v>622</v>
      </c>
      <c r="C14" s="612" t="s">
        <v>583</v>
      </c>
      <c r="D14" s="565" t="s">
        <v>579</v>
      </c>
      <c r="E14" s="310"/>
      <c r="G14" s="696" t="s">
        <v>622</v>
      </c>
      <c r="H14" s="696" t="s">
        <v>622</v>
      </c>
      <c r="I14" s="696" t="s">
        <v>622</v>
      </c>
      <c r="J14" s="696" t="s">
        <v>622</v>
      </c>
      <c r="K14" s="696" t="s">
        <v>622</v>
      </c>
      <c r="L14" s="696" t="s">
        <v>622</v>
      </c>
    </row>
    <row r="15" spans="1:13" outlineLevel="1" x14ac:dyDescent="0.35">
      <c r="A15" s="505">
        <v>13</v>
      </c>
      <c r="B15" s="526"/>
      <c r="C15" s="612" t="s">
        <v>772</v>
      </c>
      <c r="D15" s="566" t="s">
        <v>577</v>
      </c>
      <c r="E15" s="310" t="s">
        <v>576</v>
      </c>
      <c r="G15" s="696" t="s">
        <v>622</v>
      </c>
      <c r="H15" s="696" t="s">
        <v>622</v>
      </c>
      <c r="I15" s="696" t="s">
        <v>622</v>
      </c>
      <c r="J15" s="696" t="s">
        <v>622</v>
      </c>
      <c r="K15" s="696" t="s">
        <v>622</v>
      </c>
      <c r="L15" s="696" t="s">
        <v>622</v>
      </c>
    </row>
    <row r="16" spans="1:13" outlineLevel="1" x14ac:dyDescent="0.35">
      <c r="A16" s="505">
        <v>14</v>
      </c>
      <c r="B16" s="609" t="s">
        <v>622</v>
      </c>
      <c r="C16" s="612" t="s">
        <v>773</v>
      </c>
      <c r="D16" s="566" t="s">
        <v>577</v>
      </c>
      <c r="E16" s="310" t="s">
        <v>610</v>
      </c>
      <c r="G16" s="696" t="s">
        <v>622</v>
      </c>
      <c r="H16" s="696" t="s">
        <v>622</v>
      </c>
      <c r="I16" s="696" t="s">
        <v>622</v>
      </c>
      <c r="J16" s="696" t="s">
        <v>622</v>
      </c>
      <c r="K16" s="696" t="s">
        <v>622</v>
      </c>
      <c r="L16" s="696" t="s">
        <v>622</v>
      </c>
    </row>
    <row r="17" spans="1:12" x14ac:dyDescent="0.35">
      <c r="A17" s="505">
        <v>15</v>
      </c>
      <c r="B17" s="526"/>
      <c r="C17" s="775" t="s">
        <v>763</v>
      </c>
      <c r="D17" s="565" t="s">
        <v>579</v>
      </c>
      <c r="E17" s="310" t="s">
        <v>627</v>
      </c>
      <c r="G17" s="696"/>
      <c r="H17" s="696"/>
      <c r="I17" s="696"/>
      <c r="J17" s="696"/>
    </row>
    <row r="18" spans="1:12" outlineLevel="1" x14ac:dyDescent="0.35">
      <c r="A18" s="505">
        <v>16</v>
      </c>
      <c r="B18" s="609" t="s">
        <v>622</v>
      </c>
      <c r="C18" s="612" t="s">
        <v>586</v>
      </c>
      <c r="D18" s="565" t="s">
        <v>579</v>
      </c>
      <c r="E18" s="310" t="s">
        <v>681</v>
      </c>
      <c r="G18" s="697"/>
      <c r="H18" s="696" t="s">
        <v>622</v>
      </c>
      <c r="I18" s="696" t="s">
        <v>622</v>
      </c>
      <c r="J18" s="696"/>
    </row>
    <row r="19" spans="1:12" outlineLevel="1" x14ac:dyDescent="0.35">
      <c r="A19" s="505">
        <v>17</v>
      </c>
      <c r="B19" s="609" t="s">
        <v>622</v>
      </c>
      <c r="C19" s="612" t="s">
        <v>617</v>
      </c>
      <c r="D19" s="310" t="s">
        <v>575</v>
      </c>
      <c r="E19" s="567" t="s">
        <v>612</v>
      </c>
      <c r="G19" s="696" t="s">
        <v>622</v>
      </c>
      <c r="H19" s="696" t="s">
        <v>622</v>
      </c>
      <c r="I19" s="696" t="s">
        <v>622</v>
      </c>
      <c r="J19" s="696" t="s">
        <v>622</v>
      </c>
      <c r="K19" s="696" t="s">
        <v>622</v>
      </c>
      <c r="L19" s="696" t="s">
        <v>622</v>
      </c>
    </row>
    <row r="20" spans="1:12" outlineLevel="1" x14ac:dyDescent="0.35">
      <c r="A20" s="505">
        <v>18</v>
      </c>
      <c r="B20" s="609" t="s">
        <v>622</v>
      </c>
      <c r="C20" s="612" t="s">
        <v>779</v>
      </c>
      <c r="D20" s="310" t="s">
        <v>575</v>
      </c>
      <c r="E20" s="567"/>
      <c r="G20" s="696"/>
      <c r="H20" s="696"/>
      <c r="I20" s="696"/>
      <c r="J20" s="696" t="s">
        <v>622</v>
      </c>
      <c r="K20" s="696" t="s">
        <v>622</v>
      </c>
      <c r="L20" s="696" t="s">
        <v>622</v>
      </c>
    </row>
    <row r="21" spans="1:12" outlineLevel="1" x14ac:dyDescent="0.35">
      <c r="A21" s="505">
        <v>19</v>
      </c>
      <c r="B21" s="609" t="s">
        <v>622</v>
      </c>
      <c r="C21" s="612" t="s">
        <v>780</v>
      </c>
      <c r="D21" s="566" t="s">
        <v>577</v>
      </c>
      <c r="E21" s="567"/>
      <c r="G21" s="696"/>
      <c r="H21" s="696"/>
      <c r="I21" s="696"/>
      <c r="J21" s="696" t="s">
        <v>622</v>
      </c>
      <c r="K21" s="696" t="s">
        <v>622</v>
      </c>
      <c r="L21" s="696" t="s">
        <v>622</v>
      </c>
    </row>
    <row r="22" spans="1:12" x14ac:dyDescent="0.35">
      <c r="A22" s="505">
        <v>20</v>
      </c>
      <c r="B22" s="609"/>
      <c r="C22" s="776" t="s">
        <v>783</v>
      </c>
      <c r="D22" s="566"/>
      <c r="E22" s="567"/>
      <c r="G22" s="696"/>
      <c r="H22" s="696"/>
      <c r="I22" s="696"/>
      <c r="J22" s="696"/>
    </row>
    <row r="23" spans="1:12" outlineLevel="1" x14ac:dyDescent="0.35">
      <c r="A23" s="505">
        <v>21</v>
      </c>
      <c r="B23" s="609"/>
      <c r="C23" s="612" t="s">
        <v>759</v>
      </c>
      <c r="D23" s="566" t="s">
        <v>577</v>
      </c>
      <c r="E23" s="567"/>
      <c r="G23" s="696" t="s">
        <v>622</v>
      </c>
      <c r="H23" s="696" t="s">
        <v>622</v>
      </c>
      <c r="I23" s="696" t="s">
        <v>622</v>
      </c>
      <c r="J23" s="696" t="s">
        <v>622</v>
      </c>
      <c r="K23" s="696" t="s">
        <v>622</v>
      </c>
      <c r="L23" s="696" t="s">
        <v>622</v>
      </c>
    </row>
    <row r="24" spans="1:12" outlineLevel="1" x14ac:dyDescent="0.35">
      <c r="A24" s="505">
        <v>22</v>
      </c>
      <c r="B24" s="609"/>
      <c r="C24" s="612" t="s">
        <v>760</v>
      </c>
      <c r="D24" s="310" t="s">
        <v>575</v>
      </c>
      <c r="E24" s="567"/>
      <c r="G24" s="696"/>
      <c r="H24" s="696"/>
      <c r="I24" s="696"/>
      <c r="J24" s="696" t="s">
        <v>622</v>
      </c>
      <c r="K24" s="696" t="s">
        <v>622</v>
      </c>
      <c r="L24" s="696" t="s">
        <v>622</v>
      </c>
    </row>
    <row r="25" spans="1:12" outlineLevel="1" x14ac:dyDescent="0.35">
      <c r="A25" s="505">
        <v>23</v>
      </c>
      <c r="B25" s="609" t="s">
        <v>622</v>
      </c>
      <c r="C25" s="612" t="s">
        <v>761</v>
      </c>
      <c r="D25" s="566" t="s">
        <v>577</v>
      </c>
      <c r="E25" s="310" t="s">
        <v>610</v>
      </c>
      <c r="G25" s="696" t="s">
        <v>622</v>
      </c>
      <c r="H25" s="696" t="s">
        <v>622</v>
      </c>
      <c r="I25" s="696" t="s">
        <v>622</v>
      </c>
      <c r="J25" s="696" t="s">
        <v>622</v>
      </c>
      <c r="K25" s="696" t="s">
        <v>622</v>
      </c>
      <c r="L25" s="696" t="s">
        <v>622</v>
      </c>
    </row>
    <row r="26" spans="1:12" x14ac:dyDescent="0.35">
      <c r="A26" s="505">
        <v>24</v>
      </c>
      <c r="B26" s="609"/>
      <c r="C26" s="776" t="s">
        <v>826</v>
      </c>
      <c r="D26" s="566"/>
      <c r="E26" s="310"/>
      <c r="G26" s="696"/>
      <c r="H26" s="696"/>
      <c r="I26" s="696"/>
      <c r="J26" s="696"/>
    </row>
    <row r="27" spans="1:12" outlineLevel="1" x14ac:dyDescent="0.35">
      <c r="A27" s="505">
        <v>25</v>
      </c>
      <c r="B27" s="609" t="s">
        <v>622</v>
      </c>
      <c r="C27" s="612" t="s">
        <v>825</v>
      </c>
      <c r="D27" s="566" t="s">
        <v>577</v>
      </c>
      <c r="E27" s="310"/>
      <c r="G27" s="696"/>
      <c r="H27" s="696"/>
      <c r="I27" s="696"/>
      <c r="J27" s="696" t="s">
        <v>622</v>
      </c>
      <c r="K27" s="696" t="s">
        <v>622</v>
      </c>
      <c r="L27" s="696" t="s">
        <v>622</v>
      </c>
    </row>
    <row r="28" spans="1:12" outlineLevel="1" x14ac:dyDescent="0.35">
      <c r="A28" s="505">
        <v>26</v>
      </c>
      <c r="B28" s="609" t="s">
        <v>622</v>
      </c>
      <c r="C28" s="612" t="s">
        <v>827</v>
      </c>
      <c r="D28" s="310" t="s">
        <v>575</v>
      </c>
      <c r="E28" s="310"/>
      <c r="G28" s="696"/>
      <c r="H28" s="696"/>
      <c r="I28" s="696"/>
      <c r="J28" s="696" t="s">
        <v>622</v>
      </c>
      <c r="K28" s="696" t="s">
        <v>622</v>
      </c>
      <c r="L28" s="696" t="s">
        <v>622</v>
      </c>
    </row>
    <row r="29" spans="1:12" outlineLevel="1" x14ac:dyDescent="0.35">
      <c r="A29" s="505">
        <v>27</v>
      </c>
      <c r="B29" s="609" t="s">
        <v>622</v>
      </c>
      <c r="C29" s="612" t="s">
        <v>828</v>
      </c>
      <c r="D29" s="566" t="s">
        <v>577</v>
      </c>
      <c r="E29" s="310" t="s">
        <v>610</v>
      </c>
      <c r="G29" s="696"/>
      <c r="H29" s="696"/>
      <c r="I29" s="696" t="s">
        <v>622</v>
      </c>
      <c r="J29" s="696" t="s">
        <v>622</v>
      </c>
      <c r="K29" s="696" t="s">
        <v>622</v>
      </c>
      <c r="L29" s="696" t="s">
        <v>622</v>
      </c>
    </row>
    <row r="30" spans="1:12" x14ac:dyDescent="0.35">
      <c r="A30" s="505">
        <v>29</v>
      </c>
      <c r="B30" s="925" t="s">
        <v>622</v>
      </c>
      <c r="C30" s="943" t="s">
        <v>819</v>
      </c>
      <c r="D30" s="565" t="s">
        <v>579</v>
      </c>
      <c r="E30" s="926"/>
      <c r="G30" s="696"/>
      <c r="H30" s="696"/>
      <c r="I30" s="696" t="s">
        <v>622</v>
      </c>
      <c r="J30" s="696" t="s">
        <v>622</v>
      </c>
      <c r="K30" s="696" t="s">
        <v>622</v>
      </c>
      <c r="L30" s="696" t="s">
        <v>622</v>
      </c>
    </row>
    <row r="31" spans="1:12" x14ac:dyDescent="0.35">
      <c r="A31" s="505">
        <v>28</v>
      </c>
      <c r="B31" s="609" t="s">
        <v>622</v>
      </c>
      <c r="C31" s="775" t="s">
        <v>829</v>
      </c>
      <c r="D31" s="565" t="s">
        <v>579</v>
      </c>
      <c r="E31" s="567" t="s">
        <v>612</v>
      </c>
      <c r="G31" s="696"/>
      <c r="H31" s="696"/>
      <c r="I31" s="696" t="s">
        <v>622</v>
      </c>
      <c r="J31" s="696" t="s">
        <v>622</v>
      </c>
      <c r="K31" s="696" t="s">
        <v>622</v>
      </c>
      <c r="L31" s="696" t="s">
        <v>622</v>
      </c>
    </row>
    <row r="32" spans="1:12" x14ac:dyDescent="0.35">
      <c r="A32" s="941"/>
      <c r="B32" s="925"/>
      <c r="C32" s="927"/>
      <c r="D32" s="942"/>
      <c r="E32" s="926"/>
      <c r="G32" s="696"/>
      <c r="H32" s="696"/>
      <c r="I32" s="696"/>
      <c r="J32" s="696"/>
    </row>
    <row r="33" spans="1:10" x14ac:dyDescent="0.35">
      <c r="A33" s="512"/>
      <c r="B33" s="527"/>
      <c r="C33" s="311"/>
      <c r="D33" s="311"/>
      <c r="E33" s="311"/>
      <c r="G33" s="696"/>
      <c r="H33" s="696"/>
      <c r="I33" s="696"/>
      <c r="J33" s="696"/>
    </row>
    <row r="35" spans="1:10" x14ac:dyDescent="0.35">
      <c r="C35" t="s">
        <v>831</v>
      </c>
    </row>
  </sheetData>
  <autoFilter ref="A3:E33" xr:uid="{D74B24A6-0F1A-4310-8757-C704D3716E1A}"/>
  <conditionalFormatting sqref="G4:J33">
    <cfRule type="notContainsBlanks" dxfId="77" priority="19">
      <formula>LEN(TRIM(G4))&gt;0</formula>
    </cfRule>
  </conditionalFormatting>
  <conditionalFormatting sqref="K5:L5">
    <cfRule type="notContainsBlanks" dxfId="76" priority="13">
      <formula>LEN(TRIM(K5))&gt;0</formula>
    </cfRule>
  </conditionalFormatting>
  <conditionalFormatting sqref="K8:L8">
    <cfRule type="notContainsBlanks" dxfId="75" priority="15">
      <formula>LEN(TRIM(K8))&gt;0</formula>
    </cfRule>
  </conditionalFormatting>
  <conditionalFormatting sqref="K10:L12">
    <cfRule type="notContainsBlanks" dxfId="74" priority="4">
      <formula>LEN(TRIM(K10))&gt;0</formula>
    </cfRule>
  </conditionalFormatting>
  <conditionalFormatting sqref="K14:L16">
    <cfRule type="notContainsBlanks" dxfId="73" priority="3">
      <formula>LEN(TRIM(K14))&gt;0</formula>
    </cfRule>
  </conditionalFormatting>
  <conditionalFormatting sqref="K19:L21">
    <cfRule type="notContainsBlanks" dxfId="72" priority="2">
      <formula>LEN(TRIM(K19))&gt;0</formula>
    </cfRule>
  </conditionalFormatting>
  <conditionalFormatting sqref="K23:L25">
    <cfRule type="notContainsBlanks" dxfId="71" priority="1">
      <formula>LEN(TRIM(K23))&gt;0</formula>
    </cfRule>
  </conditionalFormatting>
  <conditionalFormatting sqref="K27:L31">
    <cfRule type="notContainsBlanks" dxfId="70" priority="5">
      <formula>LEN(TRIM(K27))&gt;0</formula>
    </cfRule>
  </conditionalFormatting>
  <hyperlinks>
    <hyperlink ref="C4" location="'01. KE30'!A1" display="01. KE30" xr:uid="{ED8C16F8-55C2-440A-BB19-2DA8E04D62E6}"/>
    <hyperlink ref="C5" location="'02. Tỷ giá'!A1" display="02. Tỷ giá" xr:uid="{85C7FAE6-6B82-4ED9-A033-EED9A3F67FAA}"/>
    <hyperlink ref="C6" location="'Quy đổi'!A1" display="Quy đổi" xr:uid="{5247B4AE-A87E-4075-A682-D221FD5804E9}"/>
    <hyperlink ref="C7" location="'03. TH_ XK-B2B'!A1" display="03. TH_ XK-B2B" xr:uid="{22B4B26B-831A-4564-B0FD-8B7FA657352A}"/>
    <hyperlink ref="C8" location="'03.1. Chart XK-B2B'!A1" display="03.1. Chart XK-B2B" xr:uid="{EBC57077-191B-4FF4-B3D6-DC07B922BF23}"/>
    <hyperlink ref="C9" location="'04. BC - Nhóm hàng'!A1" display="04. BC BH THEO NHÓM HÀNG" xr:uid="{B6DCC97F-41E9-4C81-81B6-DF3F0E1EB2EA}"/>
    <hyperlink ref="C13" location="'05. BC BH THEO SKU-USD'!A1" display="05. BC BH THEO SKU-USD" xr:uid="{122580E1-A915-47D4-9F5F-D888E6C20656}"/>
    <hyperlink ref="C14" location="'05.1. Top 5 SKU'!A1" display="05.1. Top 5 SKU" xr:uid="{F6D208CE-BEEF-4874-8841-52CC63013C28}"/>
    <hyperlink ref="C17" location="'06. BC BH THEO CUSTOMER-USD'!A1" display="06. BC BH THEO CUSTOMER-USD" xr:uid="{EDF6EA70-DBAA-43E6-96A5-D6D3CAEDC53C}"/>
    <hyperlink ref="C18" location="'06.1. BC bán lỗ'!A1" display="06.1. BC bán lỗ" xr:uid="{09D41775-98AE-4AC0-8CFF-FB2FBA4FC8D7}"/>
    <hyperlink ref="C19" location="'06.2. KH chính'!A1" display="06.2. KH chính" xr:uid="{77356E9F-5803-4DF2-951B-5C411D09A6F4}"/>
    <hyperlink ref="C31" location="'10. GIá bán'!A1" display="10. GIá bán" xr:uid="{0697E252-46BB-4C08-8E69-8FBA71A61961}"/>
    <hyperlink ref="C23" location="'07. Chart_QUỐC GIA'!A1" display="07. Chart_QUỐC GIA" xr:uid="{45C55096-4C80-4202-A618-222CA596399C}"/>
    <hyperlink ref="C24" location="'7.1. Chart Bubble_QUỐC GIA'!A1" display="7.1. Chart Bubble_QUỐC GIA" xr:uid="{1DEF1C83-F3F4-4B39-B8EF-F85E4DF7B432}"/>
    <hyperlink ref="C25" location="'7.2 Chart_Quốc Gia_Copy'!A1" display="7.2 Chart_Quốc Gia_Copy" xr:uid="{9812BAB0-264B-4A45-8EC5-CEE81DD01A16}"/>
    <hyperlink ref="C10" location="'04.1. Chart Nhóm hàng'!A1" display="04.1. Chart Nhóm hàng" xr:uid="{00490422-5940-41DF-9906-60164209291D}"/>
    <hyperlink ref="C11" location="'04.2 Bubble_Nhóm hàng'!A1" display="04.2 Bubble_Nhóm hàng" xr:uid="{37B11DE5-7ECF-4EC0-A5ED-03F5BC4FA088}"/>
    <hyperlink ref="C12" location="'04.3. Chart-Nhóm hàng (copy)'!A1" display="04.3. Chart-Nhóm hàng (copy)" xr:uid="{12BC8AB0-62A0-4E5F-A5A4-E8C976E0FC30}"/>
    <hyperlink ref="C15" location="'05.2. Chart _SKU'!A1" display="05.2. Chart _SKU" xr:uid="{86354415-DD78-45E0-9457-289851BF2C4A}"/>
    <hyperlink ref="C16" location="'05.3. Chart theo SKU (Copy)'!A1" display="05.3. Chart theo SKU (Copy)" xr:uid="{7909D2AE-EF2C-40A8-8C0F-A98D3C2D5861}"/>
    <hyperlink ref="C20" location="'6.3 Chart_KH'!A1" display="6.3 Chart_KH" xr:uid="{2ECA933E-AD82-4FE4-B3C9-6D64A0983A6F}"/>
    <hyperlink ref="C21" location="'6.4 Chart_KH (Copy)'!A1" display="6.4 Chart_KH (Copy)" xr:uid="{45DDAAF9-F39C-432E-B445-5C4677DC5F2B}"/>
    <hyperlink ref="C30" location="'09. Khách hàng mới'!A1" display="09. Khách hàng mới" xr:uid="{9F3CACFC-41F0-4FFC-9F14-F224446228B9}"/>
    <hyperlink ref="C27" location="'8.1. Chart_Khu vực'!A1" display="08.1 Chart khu vực" xr:uid="{4A365C96-A3A3-41A0-99A7-29E201DF1179}"/>
    <hyperlink ref="C28" location="'8.2 Chart Bubble_Khu vực'!A1" display="08.2 Chart Bubble khu vực" xr:uid="{D5B0B816-72DF-43C2-A58C-A5C43D376039}"/>
    <hyperlink ref="C29" location="'8.3 Chart Khu vực_Coppy'!A1" display="08.3 Chart Bubble khu vực - Coppy" xr:uid="{B9BF6B7D-0183-48AA-A9F9-7C68219930D2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21097-9EDF-4A4B-9663-9534C8A15EA5}">
  <dimension ref="A1"/>
  <sheetViews>
    <sheetView showGridLines="0" workbookViewId="0">
      <selection activeCell="G24" sqref="G24"/>
    </sheetView>
  </sheetViews>
  <sheetFormatPr defaultRowHeight="14.5" x14ac:dyDescent="0.3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16D78-F9F7-4FE0-8A8E-02D2EF02D2B9}">
  <sheetPr>
    <tabColor rgb="FF00B050"/>
  </sheetPr>
  <dimension ref="A1:AW204"/>
  <sheetViews>
    <sheetView showGridLines="0" zoomScale="85" zoomScaleNormal="85" workbookViewId="0">
      <pane xSplit="5" ySplit="4" topLeftCell="H5" activePane="bottomRight" state="frozen"/>
      <selection activeCell="J79" sqref="J79"/>
      <selection pane="topRight" activeCell="J79" sqref="J79"/>
      <selection pane="bottomLeft" activeCell="J79" sqref="J79"/>
      <selection pane="bottomRight" activeCell="O41" sqref="O41"/>
    </sheetView>
  </sheetViews>
  <sheetFormatPr defaultRowHeight="14.5" outlineLevelRow="1" outlineLevelCol="1" x14ac:dyDescent="0.35"/>
  <cols>
    <col min="1" max="1" width="6.453125" customWidth="1"/>
    <col min="2" max="2" width="5" customWidth="1"/>
    <col min="3" max="3" width="4.81640625" customWidth="1"/>
    <col min="4" max="4" width="18.1796875" customWidth="1"/>
    <col min="5" max="5" width="12.81640625" style="173" customWidth="1"/>
    <col min="6" max="6" width="11.36328125" customWidth="1" outlineLevel="1"/>
    <col min="7" max="7" width="10.81640625" customWidth="1" outlineLevel="1"/>
    <col min="8" max="12" width="9.81640625" customWidth="1" outlineLevel="1"/>
    <col min="13" max="13" width="10.81640625" bestFit="1" customWidth="1" outlineLevel="1"/>
    <col min="14" max="14" width="11" customWidth="1" outlineLevel="1"/>
    <col min="15" max="17" width="9.81640625" customWidth="1" outlineLevel="1"/>
    <col min="18" max="18" width="11.81640625" customWidth="1"/>
    <col min="19" max="19" width="10.81640625" customWidth="1"/>
    <col min="20" max="20" width="1.81640625" style="173" customWidth="1"/>
    <col min="21" max="32" width="9.81640625" customWidth="1" outlineLevel="1"/>
    <col min="33" max="33" width="12.36328125" customWidth="1"/>
    <col min="34" max="34" width="11.36328125" customWidth="1"/>
    <col min="35" max="35" width="1.81640625" style="173" customWidth="1"/>
    <col min="36" max="36" width="10.81640625" hidden="1" customWidth="1" outlineLevel="1"/>
    <col min="37" max="47" width="10.36328125" hidden="1" customWidth="1" outlineLevel="1"/>
    <col min="48" max="48" width="11.6328125" style="194" customWidth="1" collapsed="1"/>
    <col min="49" max="49" width="11.6328125" style="194" customWidth="1"/>
    <col min="50" max="50" width="2.1796875" customWidth="1"/>
  </cols>
  <sheetData>
    <row r="1" spans="2:49" ht="21" x14ac:dyDescent="0.5">
      <c r="B1" s="528" t="s">
        <v>587</v>
      </c>
      <c r="D1" s="97" t="s">
        <v>264</v>
      </c>
    </row>
    <row r="2" spans="2:49" x14ac:dyDescent="0.35">
      <c r="D2" s="377"/>
    </row>
    <row r="3" spans="2:49" ht="18.5" x14ac:dyDescent="0.45">
      <c r="B3" s="98"/>
      <c r="C3" s="178" t="s">
        <v>287</v>
      </c>
      <c r="D3" s="98" t="s">
        <v>257</v>
      </c>
      <c r="E3" s="174"/>
      <c r="T3" s="174"/>
      <c r="AG3" s="343"/>
      <c r="AI3" s="174"/>
    </row>
    <row r="4" spans="2:49" ht="15.5" x14ac:dyDescent="0.35">
      <c r="B4" s="100"/>
      <c r="C4" s="99" t="s">
        <v>174</v>
      </c>
      <c r="D4" s="100" t="s">
        <v>258</v>
      </c>
      <c r="E4" s="100" t="s">
        <v>385</v>
      </c>
      <c r="F4" s="276">
        <v>1</v>
      </c>
      <c r="G4" s="276">
        <v>2</v>
      </c>
      <c r="H4" s="276">
        <v>3</v>
      </c>
      <c r="I4" s="276">
        <v>4</v>
      </c>
      <c r="J4" s="276">
        <v>5</v>
      </c>
      <c r="K4" s="276">
        <v>6</v>
      </c>
      <c r="L4" s="276">
        <v>7</v>
      </c>
      <c r="M4" s="276">
        <v>8</v>
      </c>
      <c r="N4" s="276">
        <v>9</v>
      </c>
      <c r="O4" s="276">
        <v>10</v>
      </c>
      <c r="P4" s="276">
        <v>11</v>
      </c>
      <c r="Q4" s="276">
        <v>12</v>
      </c>
      <c r="R4" s="276" t="s">
        <v>386</v>
      </c>
      <c r="S4" s="276" t="s">
        <v>387</v>
      </c>
      <c r="T4" s="282"/>
      <c r="U4" s="296">
        <v>1</v>
      </c>
      <c r="V4" s="296">
        <v>2</v>
      </c>
      <c r="W4" s="296">
        <v>3</v>
      </c>
      <c r="X4" s="296">
        <v>4</v>
      </c>
      <c r="Y4" s="296">
        <v>5</v>
      </c>
      <c r="Z4" s="296">
        <v>6</v>
      </c>
      <c r="AA4" s="296">
        <v>7</v>
      </c>
      <c r="AB4" s="296">
        <v>8</v>
      </c>
      <c r="AC4" s="296">
        <v>9</v>
      </c>
      <c r="AD4" s="296">
        <v>10</v>
      </c>
      <c r="AE4" s="296">
        <v>11</v>
      </c>
      <c r="AF4" s="296">
        <v>12</v>
      </c>
      <c r="AG4" s="296" t="s">
        <v>389</v>
      </c>
      <c r="AH4" s="296" t="s">
        <v>388</v>
      </c>
      <c r="AI4" s="282"/>
      <c r="AJ4" s="100">
        <v>1</v>
      </c>
      <c r="AK4" s="100">
        <v>2</v>
      </c>
      <c r="AL4" s="100">
        <v>3</v>
      </c>
      <c r="AM4" s="100">
        <v>4</v>
      </c>
      <c r="AN4" s="100">
        <v>5</v>
      </c>
      <c r="AO4" s="100">
        <v>6</v>
      </c>
      <c r="AP4" s="100">
        <v>7</v>
      </c>
      <c r="AQ4" s="100">
        <v>8</v>
      </c>
      <c r="AR4" s="100">
        <v>9</v>
      </c>
      <c r="AS4" s="100">
        <v>10</v>
      </c>
      <c r="AT4" s="100">
        <v>11</v>
      </c>
      <c r="AU4" s="100">
        <v>12</v>
      </c>
      <c r="AV4" s="100" t="s">
        <v>384</v>
      </c>
      <c r="AW4" s="100" t="s">
        <v>383</v>
      </c>
    </row>
    <row r="5" spans="2:49" s="164" customFormat="1" ht="15.5" x14ac:dyDescent="0.35">
      <c r="B5" s="290" t="s">
        <v>26</v>
      </c>
      <c r="C5" s="163">
        <v>1</v>
      </c>
      <c r="D5" s="261" t="s">
        <v>260</v>
      </c>
      <c r="E5" s="163" t="s">
        <v>284</v>
      </c>
      <c r="F5" s="277">
        <f>SUM(F6:F12)</f>
        <v>2553.1</v>
      </c>
      <c r="G5" s="221">
        <f t="shared" ref="G5:S5" si="0">SUM(G6:G12)</f>
        <v>3944</v>
      </c>
      <c r="H5" s="221">
        <f t="shared" si="0"/>
        <v>3259.15</v>
      </c>
      <c r="I5" s="221">
        <f t="shared" si="0"/>
        <v>2811</v>
      </c>
      <c r="J5" s="221">
        <f t="shared" si="0"/>
        <v>3493</v>
      </c>
      <c r="K5" s="221">
        <f t="shared" si="0"/>
        <v>2248.125</v>
      </c>
      <c r="L5" s="221">
        <f t="shared" si="0"/>
        <v>2750.4</v>
      </c>
      <c r="M5" s="221">
        <f t="shared" si="0"/>
        <v>2986.3</v>
      </c>
      <c r="N5" s="221">
        <f t="shared" si="0"/>
        <v>794</v>
      </c>
      <c r="O5" s="221">
        <f t="shared" si="0"/>
        <v>0</v>
      </c>
      <c r="P5" s="222">
        <f t="shared" si="0"/>
        <v>0</v>
      </c>
      <c r="Q5" s="222">
        <f t="shared" si="0"/>
        <v>0</v>
      </c>
      <c r="R5" s="223">
        <f t="shared" si="0"/>
        <v>24839.075000000001</v>
      </c>
      <c r="S5" s="223">
        <f t="shared" si="0"/>
        <v>2943.2652777777776</v>
      </c>
      <c r="T5" s="175"/>
      <c r="U5" s="277">
        <f>SUM(U6:U12)</f>
        <v>1946.44</v>
      </c>
      <c r="V5" s="221">
        <f t="shared" ref="V5:AG5" si="1">SUM(V6:V12)</f>
        <v>2386.44</v>
      </c>
      <c r="W5" s="221">
        <f t="shared" si="1"/>
        <v>2087.39</v>
      </c>
      <c r="X5" s="221">
        <f t="shared" si="1"/>
        <v>2054.39</v>
      </c>
      <c r="Y5" s="221">
        <f t="shared" si="1"/>
        <v>3128.3900000000003</v>
      </c>
      <c r="Z5" s="221">
        <f t="shared" si="1"/>
        <v>2863.3900000000003</v>
      </c>
      <c r="AA5" s="221">
        <f t="shared" si="1"/>
        <v>3332.3900000000003</v>
      </c>
      <c r="AB5" s="221">
        <f t="shared" si="1"/>
        <v>3004.3900000000003</v>
      </c>
      <c r="AC5" s="221">
        <f t="shared" si="1"/>
        <v>3939.3900000000003</v>
      </c>
      <c r="AD5" s="221">
        <f t="shared" si="1"/>
        <v>3875.11</v>
      </c>
      <c r="AE5" s="222">
        <f t="shared" si="1"/>
        <v>3111.11</v>
      </c>
      <c r="AF5" s="222">
        <f t="shared" si="1"/>
        <v>3001.9700000000003</v>
      </c>
      <c r="AG5" s="223">
        <f t="shared" si="1"/>
        <v>34730.799999999996</v>
      </c>
      <c r="AH5" s="223">
        <f>AVERAGE(U5:AF5)</f>
        <v>2894.2333333333331</v>
      </c>
      <c r="AI5" s="175"/>
      <c r="AJ5" s="221">
        <f>SUM(AJ6:AJ12)</f>
        <v>1188</v>
      </c>
      <c r="AK5" s="221">
        <f t="shared" ref="AK5:AV5" si="2">SUM(AK6:AK12)</f>
        <v>1034</v>
      </c>
      <c r="AL5" s="221">
        <f t="shared" si="2"/>
        <v>1816.075</v>
      </c>
      <c r="AM5" s="221">
        <f t="shared" si="2"/>
        <v>2355.1</v>
      </c>
      <c r="AN5" s="221">
        <f t="shared" si="2"/>
        <v>1056</v>
      </c>
      <c r="AO5" s="221">
        <f t="shared" si="2"/>
        <v>242</v>
      </c>
      <c r="AP5" s="221">
        <f t="shared" si="2"/>
        <v>1092.3</v>
      </c>
      <c r="AQ5" s="221">
        <f t="shared" si="2"/>
        <v>3310.3</v>
      </c>
      <c r="AR5" s="221">
        <f t="shared" si="2"/>
        <v>3634.4</v>
      </c>
      <c r="AS5" s="221">
        <f t="shared" si="2"/>
        <v>2200</v>
      </c>
      <c r="AT5" s="222">
        <f t="shared" si="2"/>
        <v>594</v>
      </c>
      <c r="AU5" s="222">
        <f t="shared" si="2"/>
        <v>1454</v>
      </c>
      <c r="AV5" s="223">
        <f t="shared" si="2"/>
        <v>19976.174999999999</v>
      </c>
      <c r="AW5" s="223">
        <f t="shared" ref="AW5" si="3">SUM(AW6:AW12)</f>
        <v>1664.6812499999999</v>
      </c>
    </row>
    <row r="6" spans="2:49" s="172" customFormat="1" ht="15" hidden="1" customHeight="1" outlineLevel="1" x14ac:dyDescent="0.35">
      <c r="B6" s="291"/>
      <c r="C6" s="168"/>
      <c r="D6" s="262" t="s">
        <v>283</v>
      </c>
      <c r="E6" s="168" t="s">
        <v>284</v>
      </c>
      <c r="F6" s="278">
        <f>SUMIFS('01. KE30'!$I:$I,'01. KE30'!$B:$B,'03. TH_ XK-B2B'!$B$5,'01. KE30'!$E:$E,'03. TH_ XK-B2B'!$D6,'01. KE30'!$A:$A,'03. TH_ XK-B2B'!F$4)/1000</f>
        <v>2553.1</v>
      </c>
      <c r="G6" s="171">
        <f>SUMIFS('01. KE30'!$I:$I,'01. KE30'!$B:$B,'03. TH_ XK-B2B'!$B$5,'01. KE30'!$E:$E,'03. TH_ XK-B2B'!$D6,'01. KE30'!$A:$A,'03. TH_ XK-B2B'!G$4)/1000</f>
        <v>3894</v>
      </c>
      <c r="H6" s="171">
        <f>SUMIFS('01. KE30'!$I:$I,'01. KE30'!$B:$B,'03. TH_ XK-B2B'!$B$5,'01. KE30'!$E:$E,'03. TH_ XK-B2B'!$D6,'01. KE30'!$A:$A,'03. TH_ XK-B2B'!H$4)/1000</f>
        <v>3136.1</v>
      </c>
      <c r="I6" s="171">
        <f>SUMIFS('01. KE30'!$I:$I,'01. KE30'!$B:$B,'03. TH_ XK-B2B'!$B$5,'01. KE30'!$E:$E,'03. TH_ XK-B2B'!$D6,'01. KE30'!$A:$A,'03. TH_ XK-B2B'!I$4)/1000</f>
        <v>2811</v>
      </c>
      <c r="J6" s="171">
        <f>SUMIFS('01. KE30'!$I:$I,'01. KE30'!$B:$B,'03. TH_ XK-B2B'!$B$5,'01. KE30'!$E:$E,'03. TH_ XK-B2B'!$D6,'01. KE30'!$A:$A,'03. TH_ XK-B2B'!J$4)/1000</f>
        <v>3493</v>
      </c>
      <c r="K6" s="171">
        <f>SUMIFS('01. KE30'!$I:$I,'01. KE30'!$B:$B,'03. TH_ XK-B2B'!$B$5,'01. KE30'!$E:$E,'03. TH_ XK-B2B'!$D6,'01. KE30'!$A:$A,'03. TH_ XK-B2B'!K$4)/1000</f>
        <v>2136</v>
      </c>
      <c r="L6" s="171">
        <f>SUMIFS('01. KE30'!$I:$I,'01. KE30'!$B:$B,'03. TH_ XK-B2B'!$B$5,'01. KE30'!$E:$E,'03. TH_ XK-B2B'!$D6,'01. KE30'!$A:$A,'03. TH_ XK-B2B'!L$4)/1000</f>
        <v>2726.4</v>
      </c>
      <c r="M6" s="171">
        <f>SUMIFS('01. KE30'!$I:$I,'01. KE30'!$B:$B,'03. TH_ XK-B2B'!$B$5,'01. KE30'!$E:$E,'03. TH_ XK-B2B'!$D6,'01. KE30'!$A:$A,'03. TH_ XK-B2B'!M$4)/1000</f>
        <v>2860.3</v>
      </c>
      <c r="N6" s="171">
        <f>SUMIFS('01. KE30'!$I:$I,'01. KE30'!$B:$B,'03. TH_ XK-B2B'!$B$5,'01. KE30'!$E:$E,'03. TH_ XK-B2B'!$D6,'01. KE30'!$A:$A,'03. TH_ XK-B2B'!N$4)/1000</f>
        <v>770</v>
      </c>
      <c r="O6" s="171">
        <f>SUMIFS('01. KE30'!$I:$I,'01. KE30'!$B:$B,'03. TH_ XK-B2B'!$B$5,'01. KE30'!$E:$E,'03. TH_ XK-B2B'!$D6,'01. KE30'!$A:$A,'03. TH_ XK-B2B'!O$4)/1000</f>
        <v>0</v>
      </c>
      <c r="P6" s="219">
        <f>SUMIFS('01. KE30'!$I:$I,'01. KE30'!$B:$B,'03. TH_ XK-B2B'!$B$5,'01. KE30'!$E:$E,'03. TH_ XK-B2B'!$D6,'01. KE30'!$A:$A,'03. TH_ XK-B2B'!P$4)/1000</f>
        <v>0</v>
      </c>
      <c r="Q6" s="219">
        <f>SUMIFS('01. KE30'!$I:$I,'01. KE30'!$B:$B,'03. TH_ XK-B2B'!$B$5,'01. KE30'!$E:$E,'03. TH_ XK-B2B'!$D6,'01. KE30'!$A:$A,'03. TH_ XK-B2B'!Q$4)/1000</f>
        <v>0</v>
      </c>
      <c r="R6" s="239">
        <f t="shared" ref="R6:R12" si="4">SUM(F6:Q6)</f>
        <v>24379.9</v>
      </c>
      <c r="S6" s="239">
        <f>IFERROR(R6/(12-COUNTIF(F6:Q6,0)),0)</f>
        <v>2708.8777777777777</v>
      </c>
      <c r="T6" s="176"/>
      <c r="U6" s="278">
        <v>1921.5</v>
      </c>
      <c r="V6" s="278">
        <v>2339.5</v>
      </c>
      <c r="W6" s="278">
        <v>2062.4499999999998</v>
      </c>
      <c r="X6" s="278">
        <v>2018.45</v>
      </c>
      <c r="Y6" s="278">
        <v>2982.4500000000003</v>
      </c>
      <c r="Z6" s="278">
        <v>2728.4500000000003</v>
      </c>
      <c r="AA6" s="278">
        <v>3296.4500000000003</v>
      </c>
      <c r="AB6" s="278">
        <v>2968.4500000000003</v>
      </c>
      <c r="AC6" s="278">
        <v>3694.4500000000003</v>
      </c>
      <c r="AD6" s="278">
        <v>3839.17</v>
      </c>
      <c r="AE6" s="278">
        <v>3075.17</v>
      </c>
      <c r="AF6" s="278">
        <v>2977.03</v>
      </c>
      <c r="AG6" s="239">
        <f t="shared" ref="AG6:AG12" si="5">SUM(U6:AF6)</f>
        <v>33903.519999999997</v>
      </c>
      <c r="AH6" s="239">
        <f>AVERAGE(U6:AF6)</f>
        <v>2825.2933333333331</v>
      </c>
      <c r="AI6" s="176"/>
      <c r="AJ6" s="171">
        <v>1166</v>
      </c>
      <c r="AK6" s="171">
        <v>1034</v>
      </c>
      <c r="AL6" s="171">
        <v>1804</v>
      </c>
      <c r="AM6" s="171">
        <v>2135.1</v>
      </c>
      <c r="AN6" s="171">
        <v>1056</v>
      </c>
      <c r="AO6" s="171">
        <v>242</v>
      </c>
      <c r="AP6" s="171">
        <v>1092.3</v>
      </c>
      <c r="AQ6" s="171">
        <v>3285.3</v>
      </c>
      <c r="AR6" s="171">
        <v>3414.4</v>
      </c>
      <c r="AS6" s="171">
        <v>1980</v>
      </c>
      <c r="AT6" s="219">
        <v>594</v>
      </c>
      <c r="AU6" s="219">
        <v>1210</v>
      </c>
      <c r="AV6" s="239">
        <f t="shared" ref="AV6" si="6">SUM(AJ6:AU6)</f>
        <v>19013.099999999999</v>
      </c>
      <c r="AW6" s="239">
        <f>AVERAGE(AJ6:AU6)</f>
        <v>1584.425</v>
      </c>
    </row>
    <row r="7" spans="2:49" s="172" customFormat="1" ht="15.5" hidden="1" outlineLevel="1" x14ac:dyDescent="0.35">
      <c r="B7" s="291"/>
      <c r="C7" s="168"/>
      <c r="D7" s="262" t="s">
        <v>95</v>
      </c>
      <c r="E7" s="168" t="s">
        <v>284</v>
      </c>
      <c r="F7" s="278">
        <f>SUMIFS('01. KE30'!$I:$I,'01. KE30'!$B:$B,'03. TH_ XK-B2B'!$B$5,'01. KE30'!$E:$E,'03. TH_ XK-B2B'!$D7,'01. KE30'!$A:$A,'03. TH_ XK-B2B'!F$4)/1000</f>
        <v>0</v>
      </c>
      <c r="G7" s="171">
        <f>SUMIFS('01. KE30'!$I:$I,'01. KE30'!$B:$B,'03. TH_ XK-B2B'!$B$5,'01. KE30'!$E:$E,'03. TH_ XK-B2B'!$D7,'01. KE30'!$A:$A,'03. TH_ XK-B2B'!G$4)/1000</f>
        <v>0</v>
      </c>
      <c r="H7" s="171">
        <f>SUMIFS('01. KE30'!$I:$I,'01. KE30'!$B:$B,'03. TH_ XK-B2B'!$B$5,'01. KE30'!$E:$E,'03. TH_ XK-B2B'!$D7,'01. KE30'!$A:$A,'03. TH_ XK-B2B'!H$4)/1000</f>
        <v>0</v>
      </c>
      <c r="I7" s="171">
        <f>SUMIFS('01. KE30'!$I:$I,'01. KE30'!$B:$B,'03. TH_ XK-B2B'!$B$5,'01. KE30'!$E:$E,'03. TH_ XK-B2B'!$D7,'01. KE30'!$A:$A,'03. TH_ XK-B2B'!I$4)/1000</f>
        <v>0</v>
      </c>
      <c r="J7" s="171">
        <f>SUMIFS('01. KE30'!$I:$I,'01. KE30'!$B:$B,'03. TH_ XK-B2B'!$B$5,'01. KE30'!$E:$E,'03. TH_ XK-B2B'!$D7,'01. KE30'!$A:$A,'03. TH_ XK-B2B'!J$4)/1000</f>
        <v>0</v>
      </c>
      <c r="K7" s="171">
        <f>SUMIFS('01. KE30'!$I:$I,'01. KE30'!$B:$B,'03. TH_ XK-B2B'!$B$5,'01. KE30'!$E:$E,'03. TH_ XK-B2B'!$D7,'01. KE30'!$A:$A,'03. TH_ XK-B2B'!K$4)/1000</f>
        <v>84</v>
      </c>
      <c r="L7" s="171">
        <f>SUMIFS('01. KE30'!$I:$I,'01. KE30'!$B:$B,'03. TH_ XK-B2B'!$B$5,'01. KE30'!$E:$E,'03. TH_ XK-B2B'!$D7,'01. KE30'!$A:$A,'03. TH_ XK-B2B'!L$4)/1000</f>
        <v>0</v>
      </c>
      <c r="M7" s="171">
        <f>SUMIFS('01. KE30'!$I:$I,'01. KE30'!$B:$B,'03. TH_ XK-B2B'!$B$5,'01. KE30'!$E:$E,'03. TH_ XK-B2B'!$D7,'01. KE30'!$A:$A,'03. TH_ XK-B2B'!M$4)/1000</f>
        <v>0</v>
      </c>
      <c r="N7" s="171">
        <f>SUMIFS('01. KE30'!$I:$I,'01. KE30'!$B:$B,'03. TH_ XK-B2B'!$B$5,'01. KE30'!$E:$E,'03. TH_ XK-B2B'!$D7,'01. KE30'!$A:$A,'03. TH_ XK-B2B'!N$4)/1000</f>
        <v>0</v>
      </c>
      <c r="O7" s="171">
        <f>SUMIFS('01. KE30'!$I:$I,'01. KE30'!$B:$B,'03. TH_ XK-B2B'!$B$5,'01. KE30'!$E:$E,'03. TH_ XK-B2B'!$D7,'01. KE30'!$A:$A,'03. TH_ XK-B2B'!O$4)/1000</f>
        <v>0</v>
      </c>
      <c r="P7" s="219">
        <f>SUMIFS('01. KE30'!$I:$I,'01. KE30'!$B:$B,'03. TH_ XK-B2B'!$B$5,'01. KE30'!$E:$E,'03. TH_ XK-B2B'!$D7,'01. KE30'!$A:$A,'03. TH_ XK-B2B'!P$4)/1000</f>
        <v>0</v>
      </c>
      <c r="Q7" s="219">
        <f>SUMIFS('01. KE30'!$I:$I,'01. KE30'!$B:$B,'03. TH_ XK-B2B'!$B$5,'01. KE30'!$E:$E,'03. TH_ XK-B2B'!$D7,'01. KE30'!$A:$A,'03. TH_ XK-B2B'!Q$4)/1000</f>
        <v>0</v>
      </c>
      <c r="R7" s="239">
        <f t="shared" si="4"/>
        <v>84</v>
      </c>
      <c r="S7" s="239">
        <f t="shared" ref="S7:S12" si="7">IFERROR(R7/(12-COUNTIF(F7:Q7,0)),0)</f>
        <v>84</v>
      </c>
      <c r="T7" s="176"/>
      <c r="U7" s="278">
        <v>0</v>
      </c>
      <c r="V7" s="171">
        <v>0</v>
      </c>
      <c r="W7" s="171">
        <v>0</v>
      </c>
      <c r="X7" s="171">
        <v>0</v>
      </c>
      <c r="Y7" s="171">
        <v>110</v>
      </c>
      <c r="Z7" s="171">
        <v>110</v>
      </c>
      <c r="AA7" s="171">
        <v>0</v>
      </c>
      <c r="AB7" s="171">
        <v>0</v>
      </c>
      <c r="AC7" s="171">
        <v>220</v>
      </c>
      <c r="AD7" s="171">
        <v>0</v>
      </c>
      <c r="AE7" s="219">
        <v>0</v>
      </c>
      <c r="AF7" s="219">
        <v>0</v>
      </c>
      <c r="AG7" s="239">
        <f t="shared" si="5"/>
        <v>440</v>
      </c>
      <c r="AH7" s="239">
        <f t="shared" ref="AH7:AH12" si="8">AVERAGE(U7:AF7)</f>
        <v>36.666666666666664</v>
      </c>
      <c r="AI7" s="176"/>
      <c r="AJ7" s="171">
        <v>22</v>
      </c>
      <c r="AK7" s="171">
        <v>0</v>
      </c>
      <c r="AL7" s="171">
        <v>7.4999999999999997E-2</v>
      </c>
      <c r="AM7" s="171">
        <v>220</v>
      </c>
      <c r="AN7" s="171">
        <v>0</v>
      </c>
      <c r="AO7" s="171">
        <v>0</v>
      </c>
      <c r="AP7" s="171">
        <v>0</v>
      </c>
      <c r="AQ7" s="171">
        <v>0</v>
      </c>
      <c r="AR7" s="171">
        <v>220</v>
      </c>
      <c r="AS7" s="171">
        <v>220</v>
      </c>
      <c r="AT7" s="219">
        <v>0</v>
      </c>
      <c r="AU7" s="219">
        <v>220</v>
      </c>
      <c r="AV7" s="239">
        <f t="shared" ref="AV7:AV12" si="9">SUM(AJ7:AU7)</f>
        <v>902.07500000000005</v>
      </c>
      <c r="AW7" s="239">
        <f t="shared" ref="AW7:AW12" si="10">AVERAGE(AJ7:AU7)</f>
        <v>75.172916666666666</v>
      </c>
    </row>
    <row r="8" spans="2:49" s="172" customFormat="1" ht="15.5" hidden="1" outlineLevel="1" x14ac:dyDescent="0.35">
      <c r="B8" s="291"/>
      <c r="C8" s="168"/>
      <c r="D8" s="262" t="s">
        <v>265</v>
      </c>
      <c r="E8" s="168" t="s">
        <v>284</v>
      </c>
      <c r="F8" s="278">
        <f>SUMIFS('01. KE30'!$I:$I,'01. KE30'!$B:$B,'03. TH_ XK-B2B'!$B$5,'01. KE30'!$E:$E,'03. TH_ XK-B2B'!$D8,'01. KE30'!$A:$A,'03. TH_ XK-B2B'!F$4)/1000</f>
        <v>0</v>
      </c>
      <c r="G8" s="171">
        <f>SUMIFS('01. KE30'!$I:$I,'01. KE30'!$B:$B,'03. TH_ XK-B2B'!$B$5,'01. KE30'!$E:$E,'03. TH_ XK-B2B'!$D8,'01. KE30'!$A:$A,'03. TH_ XK-B2B'!G$4)/1000</f>
        <v>0</v>
      </c>
      <c r="H8" s="171">
        <f>SUMIFS('01. KE30'!$I:$I,'01. KE30'!$B:$B,'03. TH_ XK-B2B'!$B$5,'01. KE30'!$E:$E,'03. TH_ XK-B2B'!$D8,'01. KE30'!$A:$A,'03. TH_ XK-B2B'!H$4)/1000</f>
        <v>99</v>
      </c>
      <c r="I8" s="171">
        <f>SUMIFS('01. KE30'!$I:$I,'01. KE30'!$B:$B,'03. TH_ XK-B2B'!$B$5,'01. KE30'!$E:$E,'03. TH_ XK-B2B'!$D8,'01. KE30'!$A:$A,'03. TH_ XK-B2B'!I$4)/1000</f>
        <v>0</v>
      </c>
      <c r="J8" s="171">
        <f>SUMIFS('01. KE30'!$I:$I,'01. KE30'!$B:$B,'03. TH_ XK-B2B'!$B$5,'01. KE30'!$E:$E,'03. TH_ XK-B2B'!$D8,'01. KE30'!$A:$A,'03. TH_ XK-B2B'!J$4)/1000</f>
        <v>0</v>
      </c>
      <c r="K8" s="171">
        <f>SUMIFS('01. KE30'!$I:$I,'01. KE30'!$B:$B,'03. TH_ XK-B2B'!$B$5,'01. KE30'!$E:$E,'03. TH_ XK-B2B'!$D8,'01. KE30'!$A:$A,'03. TH_ XK-B2B'!K$4)/1000</f>
        <v>4.125</v>
      </c>
      <c r="L8" s="171">
        <f>SUMIFS('01. KE30'!$I:$I,'01. KE30'!$B:$B,'03. TH_ XK-B2B'!$B$5,'01. KE30'!$E:$E,'03. TH_ XK-B2B'!$D8,'01. KE30'!$A:$A,'03. TH_ XK-B2B'!L$4)/1000</f>
        <v>0</v>
      </c>
      <c r="M8" s="171">
        <f>SUMIFS('01. KE30'!$I:$I,'01. KE30'!$B:$B,'03. TH_ XK-B2B'!$B$5,'01. KE30'!$E:$E,'03. TH_ XK-B2B'!$D8,'01. KE30'!$A:$A,'03. TH_ XK-B2B'!M$4)/1000</f>
        <v>126</v>
      </c>
      <c r="N8" s="171">
        <f>SUMIFS('01. KE30'!$I:$I,'01. KE30'!$B:$B,'03. TH_ XK-B2B'!$B$5,'01. KE30'!$E:$E,'03. TH_ XK-B2B'!$D8,'01. KE30'!$A:$A,'03. TH_ XK-B2B'!N$4)/1000</f>
        <v>0</v>
      </c>
      <c r="O8" s="171">
        <f>SUMIFS('01. KE30'!$I:$I,'01. KE30'!$B:$B,'03. TH_ XK-B2B'!$B$5,'01. KE30'!$E:$E,'03. TH_ XK-B2B'!$D8,'01. KE30'!$A:$A,'03. TH_ XK-B2B'!O$4)/1000</f>
        <v>0</v>
      </c>
      <c r="P8" s="219">
        <f>SUMIFS('01. KE30'!$I:$I,'01. KE30'!$B:$B,'03. TH_ XK-B2B'!$B$5,'01. KE30'!$E:$E,'03. TH_ XK-B2B'!$D8,'01. KE30'!$A:$A,'03. TH_ XK-B2B'!P$4)/1000</f>
        <v>0</v>
      </c>
      <c r="Q8" s="219">
        <f>SUMIFS('01. KE30'!$I:$I,'01. KE30'!$B:$B,'03. TH_ XK-B2B'!$B$5,'01. KE30'!$E:$E,'03. TH_ XK-B2B'!$D8,'01. KE30'!$A:$A,'03. TH_ XK-B2B'!Q$4)/1000</f>
        <v>0</v>
      </c>
      <c r="R8" s="239">
        <f t="shared" si="4"/>
        <v>229.125</v>
      </c>
      <c r="S8" s="239">
        <f t="shared" si="7"/>
        <v>76.375</v>
      </c>
      <c r="T8" s="176"/>
      <c r="U8" s="278">
        <v>0</v>
      </c>
      <c r="V8" s="171">
        <v>22</v>
      </c>
      <c r="W8" s="171">
        <v>0</v>
      </c>
      <c r="X8" s="171">
        <v>11</v>
      </c>
      <c r="Y8" s="171">
        <v>11</v>
      </c>
      <c r="Z8" s="171">
        <v>0</v>
      </c>
      <c r="AA8" s="171">
        <v>11</v>
      </c>
      <c r="AB8" s="171">
        <v>11</v>
      </c>
      <c r="AC8" s="171">
        <v>0</v>
      </c>
      <c r="AD8" s="171">
        <v>11</v>
      </c>
      <c r="AE8" s="219">
        <v>11</v>
      </c>
      <c r="AF8" s="219">
        <v>0</v>
      </c>
      <c r="AG8" s="239">
        <f t="shared" si="5"/>
        <v>88</v>
      </c>
      <c r="AH8" s="239">
        <f t="shared" si="8"/>
        <v>7.333333333333333</v>
      </c>
      <c r="AI8" s="176"/>
      <c r="AJ8" s="171">
        <v>0</v>
      </c>
      <c r="AK8" s="171">
        <v>0</v>
      </c>
      <c r="AL8" s="171">
        <v>12</v>
      </c>
      <c r="AM8" s="171">
        <v>0</v>
      </c>
      <c r="AN8" s="171">
        <v>0</v>
      </c>
      <c r="AO8" s="171">
        <v>0</v>
      </c>
      <c r="AP8" s="171">
        <v>0</v>
      </c>
      <c r="AQ8" s="171">
        <v>0</v>
      </c>
      <c r="AR8" s="171">
        <v>0</v>
      </c>
      <c r="AS8" s="171">
        <v>0</v>
      </c>
      <c r="AT8" s="219">
        <v>0</v>
      </c>
      <c r="AU8" s="219">
        <v>0</v>
      </c>
      <c r="AV8" s="239">
        <f t="shared" si="9"/>
        <v>12</v>
      </c>
      <c r="AW8" s="239">
        <f t="shared" si="10"/>
        <v>1</v>
      </c>
    </row>
    <row r="9" spans="2:49" s="172" customFormat="1" ht="15.5" hidden="1" outlineLevel="1" x14ac:dyDescent="0.35">
      <c r="B9" s="291"/>
      <c r="C9" s="168"/>
      <c r="D9" s="262" t="s">
        <v>266</v>
      </c>
      <c r="E9" s="168" t="s">
        <v>284</v>
      </c>
      <c r="F9" s="278">
        <f>SUMIFS('01. KE30'!$I:$I,'01. KE30'!$B:$B,'03. TH_ XK-B2B'!$B$5,'01. KE30'!$E:$E,'03. TH_ XK-B2B'!$D9,'01. KE30'!$A:$A,'03. TH_ XK-B2B'!F$4)/1000</f>
        <v>0</v>
      </c>
      <c r="G9" s="171">
        <f>SUMIFS('01. KE30'!$I:$I,'01. KE30'!$B:$B,'03. TH_ XK-B2B'!$B$5,'01. KE30'!$E:$E,'03. TH_ XK-B2B'!$D9,'01. KE30'!$A:$A,'03. TH_ XK-B2B'!G$4)/1000</f>
        <v>50</v>
      </c>
      <c r="H9" s="171">
        <f>SUMIFS('01. KE30'!$I:$I,'01. KE30'!$B:$B,'03. TH_ XK-B2B'!$B$5,'01. KE30'!$E:$E,'03. TH_ XK-B2B'!$D9,'01. KE30'!$A:$A,'03. TH_ XK-B2B'!H$4)/1000</f>
        <v>0</v>
      </c>
      <c r="I9" s="171">
        <f>SUMIFS('01. KE30'!$I:$I,'01. KE30'!$B:$B,'03. TH_ XK-B2B'!$B$5,'01. KE30'!$E:$E,'03. TH_ XK-B2B'!$D9,'01. KE30'!$A:$A,'03. TH_ XK-B2B'!I$4)/1000</f>
        <v>0</v>
      </c>
      <c r="J9" s="171">
        <f>SUMIFS('01. KE30'!$I:$I,'01. KE30'!$B:$B,'03. TH_ XK-B2B'!$B$5,'01. KE30'!$E:$E,'03. TH_ XK-B2B'!$D9,'01. KE30'!$A:$A,'03. TH_ XK-B2B'!J$4)/1000</f>
        <v>0</v>
      </c>
      <c r="K9" s="171">
        <f>SUMIFS('01. KE30'!$I:$I,'01. KE30'!$B:$B,'03. TH_ XK-B2B'!$B$5,'01. KE30'!$E:$E,'03. TH_ XK-B2B'!$D9,'01. KE30'!$A:$A,'03. TH_ XK-B2B'!K$4)/1000</f>
        <v>0</v>
      </c>
      <c r="L9" s="171">
        <f>SUMIFS('01. KE30'!$I:$I,'01. KE30'!$B:$B,'03. TH_ XK-B2B'!$B$5,'01. KE30'!$E:$E,'03. TH_ XK-B2B'!$D9,'01. KE30'!$A:$A,'03. TH_ XK-B2B'!L$4)/1000</f>
        <v>0</v>
      </c>
      <c r="M9" s="171">
        <f>SUMIFS('01. KE30'!$I:$I,'01. KE30'!$B:$B,'03. TH_ XK-B2B'!$B$5,'01. KE30'!$E:$E,'03. TH_ XK-B2B'!$D9,'01. KE30'!$A:$A,'03. TH_ XK-B2B'!M$4)/1000</f>
        <v>0</v>
      </c>
      <c r="N9" s="171">
        <f>SUMIFS('01. KE30'!$I:$I,'01. KE30'!$B:$B,'03. TH_ XK-B2B'!$B$5,'01. KE30'!$E:$E,'03. TH_ XK-B2B'!$D9,'01. KE30'!$A:$A,'03. TH_ XK-B2B'!N$4)/1000</f>
        <v>0</v>
      </c>
      <c r="O9" s="171">
        <f>SUMIFS('01. KE30'!$I:$I,'01. KE30'!$B:$B,'03. TH_ XK-B2B'!$B$5,'01. KE30'!$E:$E,'03. TH_ XK-B2B'!$D9,'01. KE30'!$A:$A,'03. TH_ XK-B2B'!O$4)/1000</f>
        <v>0</v>
      </c>
      <c r="P9" s="219">
        <f>SUMIFS('01. KE30'!$I:$I,'01. KE30'!$B:$B,'03. TH_ XK-B2B'!$B$5,'01. KE30'!$E:$E,'03. TH_ XK-B2B'!$D9,'01. KE30'!$A:$A,'03. TH_ XK-B2B'!P$4)/1000</f>
        <v>0</v>
      </c>
      <c r="Q9" s="219">
        <f>SUMIFS('01. KE30'!$I:$I,'01. KE30'!$B:$B,'03. TH_ XK-B2B'!$B$5,'01. KE30'!$E:$E,'03. TH_ XK-B2B'!$D9,'01. KE30'!$A:$A,'03. TH_ XK-B2B'!Q$4)/1000</f>
        <v>0</v>
      </c>
      <c r="R9" s="239">
        <f t="shared" si="4"/>
        <v>50</v>
      </c>
      <c r="S9" s="239">
        <f t="shared" si="7"/>
        <v>50</v>
      </c>
      <c r="T9" s="176"/>
      <c r="U9" s="278"/>
      <c r="V9" s="171"/>
      <c r="W9" s="171"/>
      <c r="X9" s="171"/>
      <c r="Y9" s="171"/>
      <c r="Z9" s="171"/>
      <c r="AA9" s="171"/>
      <c r="AB9" s="171"/>
      <c r="AC9" s="171"/>
      <c r="AD9" s="171"/>
      <c r="AE9" s="219"/>
      <c r="AF9" s="219"/>
      <c r="AG9" s="239">
        <f t="shared" si="5"/>
        <v>0</v>
      </c>
      <c r="AH9" s="239" t="e">
        <f t="shared" si="8"/>
        <v>#DIV/0!</v>
      </c>
      <c r="AI9" s="176"/>
      <c r="AJ9" s="171">
        <v>0</v>
      </c>
      <c r="AK9" s="171">
        <v>0</v>
      </c>
      <c r="AL9" s="171">
        <v>0</v>
      </c>
      <c r="AM9" s="171">
        <v>0</v>
      </c>
      <c r="AN9" s="171">
        <v>0</v>
      </c>
      <c r="AO9" s="171">
        <v>0</v>
      </c>
      <c r="AP9" s="171">
        <v>0</v>
      </c>
      <c r="AQ9" s="171">
        <v>0</v>
      </c>
      <c r="AR9" s="171">
        <v>0</v>
      </c>
      <c r="AS9" s="171">
        <v>0</v>
      </c>
      <c r="AT9" s="219">
        <v>0</v>
      </c>
      <c r="AU9" s="219">
        <v>0</v>
      </c>
      <c r="AV9" s="239">
        <f t="shared" si="9"/>
        <v>0</v>
      </c>
      <c r="AW9" s="239">
        <f t="shared" si="10"/>
        <v>0</v>
      </c>
    </row>
    <row r="10" spans="2:49" s="172" customFormat="1" ht="15.5" hidden="1" outlineLevel="1" x14ac:dyDescent="0.35">
      <c r="B10" s="291"/>
      <c r="C10" s="168"/>
      <c r="D10" s="262" t="s">
        <v>295</v>
      </c>
      <c r="E10" s="168" t="s">
        <v>284</v>
      </c>
      <c r="F10" s="278">
        <f>SUMIFS('01. KE30'!$I:$I,'01. KE30'!$B:$B,'03. TH_ XK-B2B'!$B$5,'01. KE30'!$E:$E,'03. TH_ XK-B2B'!$D10,'01. KE30'!$A:$A,'03. TH_ XK-B2B'!F$4)/1000</f>
        <v>0</v>
      </c>
      <c r="G10" s="171">
        <f>SUMIFS('01. KE30'!$I:$I,'01. KE30'!$B:$B,'03. TH_ XK-B2B'!$B$5,'01. KE30'!$E:$E,'03. TH_ XK-B2B'!$D10,'01. KE30'!$A:$A,'03. TH_ XK-B2B'!G$4)/1000</f>
        <v>0</v>
      </c>
      <c r="H10" s="171">
        <f>SUMIFS('01. KE30'!$I:$I,'01. KE30'!$B:$B,'03. TH_ XK-B2B'!$B$5,'01. KE30'!$E:$E,'03. TH_ XK-B2B'!$D10,'01. KE30'!$A:$A,'03. TH_ XK-B2B'!H$4)/1000</f>
        <v>0</v>
      </c>
      <c r="I10" s="171">
        <f>SUMIFS('01. KE30'!$I:$I,'01. KE30'!$B:$B,'03. TH_ XK-B2B'!$B$5,'01. KE30'!$E:$E,'03. TH_ XK-B2B'!$D10,'01. KE30'!$A:$A,'03. TH_ XK-B2B'!I$4)/1000</f>
        <v>0</v>
      </c>
      <c r="J10" s="171">
        <f>SUMIFS('01. KE30'!$I:$I,'01. KE30'!$B:$B,'03. TH_ XK-B2B'!$B$5,'01. KE30'!$E:$E,'03. TH_ XK-B2B'!$D10,'01. KE30'!$A:$A,'03. TH_ XK-B2B'!J$4)/1000</f>
        <v>0</v>
      </c>
      <c r="K10" s="171">
        <f>SUMIFS('01. KE30'!$I:$I,'01. KE30'!$B:$B,'03. TH_ XK-B2B'!$B$5,'01. KE30'!$E:$E,'03. TH_ XK-B2B'!$D10,'01. KE30'!$A:$A,'03. TH_ XK-B2B'!K$4)/1000</f>
        <v>0</v>
      </c>
      <c r="L10" s="171">
        <f>SUMIFS('01. KE30'!$I:$I,'01. KE30'!$B:$B,'03. TH_ XK-B2B'!$B$5,'01. KE30'!$E:$E,'03. TH_ XK-B2B'!$D10,'01. KE30'!$A:$A,'03. TH_ XK-B2B'!L$4)/1000</f>
        <v>0</v>
      </c>
      <c r="M10" s="171">
        <f>SUMIFS('01. KE30'!$I:$I,'01. KE30'!$B:$B,'03. TH_ XK-B2B'!$B$5,'01. KE30'!$E:$E,'03. TH_ XK-B2B'!$D10,'01. KE30'!$A:$A,'03. TH_ XK-B2B'!M$4)/1000</f>
        <v>0</v>
      </c>
      <c r="N10" s="171">
        <f>SUMIFS('01. KE30'!$I:$I,'01. KE30'!$B:$B,'03. TH_ XK-B2B'!$B$5,'01. KE30'!$E:$E,'03. TH_ XK-B2B'!$D10,'01. KE30'!$A:$A,'03. TH_ XK-B2B'!N$4)/1000</f>
        <v>0</v>
      </c>
      <c r="O10" s="171">
        <f>SUMIFS('01. KE30'!$I:$I,'01. KE30'!$B:$B,'03. TH_ XK-B2B'!$B$5,'01. KE30'!$E:$E,'03. TH_ XK-B2B'!$D10,'01. KE30'!$A:$A,'03. TH_ XK-B2B'!O$4)/1000</f>
        <v>0</v>
      </c>
      <c r="P10" s="219">
        <f>SUMIFS('01. KE30'!$I:$I,'01. KE30'!$B:$B,'03. TH_ XK-B2B'!$B$5,'01. KE30'!$E:$E,'03. TH_ XK-B2B'!$D10,'01. KE30'!$A:$A,'03. TH_ XK-B2B'!P$4)/1000</f>
        <v>0</v>
      </c>
      <c r="Q10" s="219">
        <f>SUMIFS('01. KE30'!$I:$I,'01. KE30'!$B:$B,'03. TH_ XK-B2B'!$B$5,'01. KE30'!$E:$E,'03. TH_ XK-B2B'!$D10,'01. KE30'!$A:$A,'03. TH_ XK-B2B'!Q$4)/1000</f>
        <v>0</v>
      </c>
      <c r="R10" s="239">
        <f t="shared" si="4"/>
        <v>0</v>
      </c>
      <c r="S10" s="239">
        <f t="shared" si="7"/>
        <v>0</v>
      </c>
      <c r="T10" s="176"/>
      <c r="U10" s="278"/>
      <c r="V10" s="171"/>
      <c r="W10" s="171"/>
      <c r="X10" s="171"/>
      <c r="Y10" s="171"/>
      <c r="Z10" s="171"/>
      <c r="AA10" s="171"/>
      <c r="AB10" s="171"/>
      <c r="AC10" s="171"/>
      <c r="AD10" s="171"/>
      <c r="AE10" s="219"/>
      <c r="AF10" s="219"/>
      <c r="AG10" s="239">
        <f t="shared" si="5"/>
        <v>0</v>
      </c>
      <c r="AH10" s="239" t="e">
        <f t="shared" si="8"/>
        <v>#DIV/0!</v>
      </c>
      <c r="AI10" s="176"/>
      <c r="AJ10" s="171">
        <v>0</v>
      </c>
      <c r="AK10" s="171">
        <v>0</v>
      </c>
      <c r="AL10" s="171">
        <v>0</v>
      </c>
      <c r="AM10" s="171">
        <v>0</v>
      </c>
      <c r="AN10" s="171">
        <v>0</v>
      </c>
      <c r="AO10" s="171">
        <v>0</v>
      </c>
      <c r="AP10" s="171">
        <v>0</v>
      </c>
      <c r="AQ10" s="171">
        <v>0</v>
      </c>
      <c r="AR10" s="171">
        <v>0</v>
      </c>
      <c r="AS10" s="171">
        <v>0</v>
      </c>
      <c r="AT10" s="219">
        <v>0</v>
      </c>
      <c r="AU10" s="219">
        <v>0</v>
      </c>
      <c r="AV10" s="239">
        <f t="shared" si="9"/>
        <v>0</v>
      </c>
      <c r="AW10" s="239">
        <f t="shared" si="10"/>
        <v>0</v>
      </c>
    </row>
    <row r="11" spans="2:49" s="172" customFormat="1" ht="15.5" hidden="1" outlineLevel="1" x14ac:dyDescent="0.35">
      <c r="B11" s="291"/>
      <c r="C11" s="168"/>
      <c r="D11" s="262" t="s">
        <v>23</v>
      </c>
      <c r="E11" s="168" t="s">
        <v>284</v>
      </c>
      <c r="F11" s="278">
        <f>SUMIFS('01. KE30'!$I:$I,'01. KE30'!$B:$B,'03. TH_ XK-B2B'!$B$5,'01. KE30'!$E:$E,'03. TH_ XK-B2B'!$D11,'01. KE30'!$A:$A,'03. TH_ XK-B2B'!F$4)/1000</f>
        <v>0</v>
      </c>
      <c r="G11" s="171">
        <f>SUMIFS('01. KE30'!$I:$I,'01. KE30'!$B:$B,'03. TH_ XK-B2B'!$B$5,'01. KE30'!$E:$E,'03. TH_ XK-B2B'!$D11,'01. KE30'!$A:$A,'03. TH_ XK-B2B'!G$4)/1000</f>
        <v>0</v>
      </c>
      <c r="H11" s="171">
        <f>SUMIFS('01. KE30'!$I:$I,'01. KE30'!$B:$B,'03. TH_ XK-B2B'!$B$5,'01. KE30'!$E:$E,'03. TH_ XK-B2B'!$D11,'01. KE30'!$A:$A,'03. TH_ XK-B2B'!H$4)/1000</f>
        <v>24.05</v>
      </c>
      <c r="I11" s="171">
        <f>SUMIFS('01. KE30'!$I:$I,'01. KE30'!$B:$B,'03. TH_ XK-B2B'!$B$5,'01. KE30'!$E:$E,'03. TH_ XK-B2B'!$D11,'01. KE30'!$A:$A,'03. TH_ XK-B2B'!I$4)/1000</f>
        <v>0</v>
      </c>
      <c r="J11" s="171">
        <f>SUMIFS('01. KE30'!$I:$I,'01. KE30'!$B:$B,'03. TH_ XK-B2B'!$B$5,'01. KE30'!$E:$E,'03. TH_ XK-B2B'!$D11,'01. KE30'!$A:$A,'03. TH_ XK-B2B'!J$4)/1000</f>
        <v>0</v>
      </c>
      <c r="K11" s="171">
        <f>SUMIFS('01. KE30'!$I:$I,'01. KE30'!$B:$B,'03. TH_ XK-B2B'!$B$5,'01. KE30'!$E:$E,'03. TH_ XK-B2B'!$D11,'01. KE30'!$A:$A,'03. TH_ XK-B2B'!K$4)/1000</f>
        <v>24</v>
      </c>
      <c r="L11" s="171">
        <f>SUMIFS('01. KE30'!$I:$I,'01. KE30'!$B:$B,'03. TH_ XK-B2B'!$B$5,'01. KE30'!$E:$E,'03. TH_ XK-B2B'!$D11,'01. KE30'!$A:$A,'03. TH_ XK-B2B'!L$4)/1000</f>
        <v>24</v>
      </c>
      <c r="M11" s="171">
        <f>SUMIFS('01. KE30'!$I:$I,'01. KE30'!$B:$B,'03. TH_ XK-B2B'!$B$5,'01. KE30'!$E:$E,'03. TH_ XK-B2B'!$D11,'01. KE30'!$A:$A,'03. TH_ XK-B2B'!M$4)/1000</f>
        <v>0</v>
      </c>
      <c r="N11" s="171">
        <f>SUMIFS('01. KE30'!$I:$I,'01. KE30'!$B:$B,'03. TH_ XK-B2B'!$B$5,'01. KE30'!$E:$E,'03. TH_ XK-B2B'!$D11,'01. KE30'!$A:$A,'03. TH_ XK-B2B'!N$4)/1000</f>
        <v>24</v>
      </c>
      <c r="O11" s="171">
        <f>SUMIFS('01. KE30'!$I:$I,'01. KE30'!$B:$B,'03. TH_ XK-B2B'!$B$5,'01. KE30'!$E:$E,'03. TH_ XK-B2B'!$D11,'01. KE30'!$A:$A,'03. TH_ XK-B2B'!O$4)/1000</f>
        <v>0</v>
      </c>
      <c r="P11" s="219">
        <f>SUMIFS('01. KE30'!$I:$I,'01. KE30'!$B:$B,'03. TH_ XK-B2B'!$B$5,'01. KE30'!$E:$E,'03. TH_ XK-B2B'!$D11,'01. KE30'!$A:$A,'03. TH_ XK-B2B'!P$4)/1000</f>
        <v>0</v>
      </c>
      <c r="Q11" s="219">
        <f>SUMIFS('01. KE30'!$I:$I,'01. KE30'!$B:$B,'03. TH_ XK-B2B'!$B$5,'01. KE30'!$E:$E,'03. TH_ XK-B2B'!$D11,'01. KE30'!$A:$A,'03. TH_ XK-B2B'!Q$4)/1000</f>
        <v>0</v>
      </c>
      <c r="R11" s="239">
        <f t="shared" si="4"/>
        <v>96.05</v>
      </c>
      <c r="S11" s="239">
        <f t="shared" si="7"/>
        <v>24.012499999999999</v>
      </c>
      <c r="T11" s="176"/>
      <c r="U11" s="278">
        <v>24.94</v>
      </c>
      <c r="V11" s="171">
        <v>24.94</v>
      </c>
      <c r="W11" s="171">
        <v>24.94</v>
      </c>
      <c r="X11" s="171">
        <v>24.94</v>
      </c>
      <c r="Y11" s="171">
        <v>24.94</v>
      </c>
      <c r="Z11" s="171">
        <v>24.94</v>
      </c>
      <c r="AA11" s="171">
        <v>24.94</v>
      </c>
      <c r="AB11" s="171">
        <v>24.94</v>
      </c>
      <c r="AC11" s="171">
        <v>24.94</v>
      </c>
      <c r="AD11" s="171">
        <v>24.94</v>
      </c>
      <c r="AE11" s="219">
        <v>24.94</v>
      </c>
      <c r="AF11" s="219">
        <v>24.94</v>
      </c>
      <c r="AG11" s="239">
        <f t="shared" si="5"/>
        <v>299.28000000000003</v>
      </c>
      <c r="AH11" s="239">
        <f t="shared" si="8"/>
        <v>24.94</v>
      </c>
      <c r="AI11" s="176"/>
      <c r="AJ11" s="171">
        <v>0</v>
      </c>
      <c r="AK11" s="171">
        <v>0</v>
      </c>
      <c r="AL11" s="171">
        <v>0</v>
      </c>
      <c r="AM11" s="171">
        <v>0</v>
      </c>
      <c r="AN11" s="171">
        <v>0</v>
      </c>
      <c r="AO11" s="171">
        <v>0</v>
      </c>
      <c r="AP11" s="171">
        <v>0</v>
      </c>
      <c r="AQ11" s="171">
        <v>25</v>
      </c>
      <c r="AR11" s="171">
        <v>0</v>
      </c>
      <c r="AS11" s="171">
        <v>0</v>
      </c>
      <c r="AT11" s="219">
        <v>0</v>
      </c>
      <c r="AU11" s="219">
        <v>24</v>
      </c>
      <c r="AV11" s="239">
        <f t="shared" si="9"/>
        <v>49</v>
      </c>
      <c r="AW11" s="239">
        <f t="shared" si="10"/>
        <v>4.083333333333333</v>
      </c>
    </row>
    <row r="12" spans="2:49" s="172" customFormat="1" ht="15.5" hidden="1" outlineLevel="1" x14ac:dyDescent="0.35">
      <c r="B12" s="291"/>
      <c r="C12" s="168"/>
      <c r="D12" s="262" t="s">
        <v>269</v>
      </c>
      <c r="E12" s="168" t="s">
        <v>284</v>
      </c>
      <c r="F12" s="278">
        <f>SUMIFS('01. KE30'!$I:$I,'01. KE30'!$B:$B,'03. TH_ XK-B2B'!$B$5,'01. KE30'!$E:$E,'03. TH_ XK-B2B'!$D12,'01. KE30'!$A:$A,'03. TH_ XK-B2B'!F$4)/1000</f>
        <v>0</v>
      </c>
      <c r="G12" s="171">
        <f>SUMIFS('01. KE30'!$I:$I,'01. KE30'!$B:$B,'03. TH_ XK-B2B'!$B$5,'01. KE30'!$E:$E,'03. TH_ XK-B2B'!$D12,'01. KE30'!$A:$A,'03. TH_ XK-B2B'!G$4)/1000</f>
        <v>0</v>
      </c>
      <c r="H12" s="171">
        <f>SUMIFS('01. KE30'!$I:$I,'01. KE30'!$B:$B,'03. TH_ XK-B2B'!$B$5,'01. KE30'!$E:$E,'03. TH_ XK-B2B'!$D12,'01. KE30'!$A:$A,'03. TH_ XK-B2B'!H$4)/1000</f>
        <v>0</v>
      </c>
      <c r="I12" s="171">
        <f>SUMIFS('01. KE30'!$I:$I,'01. KE30'!$B:$B,'03. TH_ XK-B2B'!$B$5,'01. KE30'!$E:$E,'03. TH_ XK-B2B'!$D12,'01. KE30'!$A:$A,'03. TH_ XK-B2B'!I$4)/1000</f>
        <v>0</v>
      </c>
      <c r="J12" s="171">
        <f>SUMIFS('01. KE30'!$I:$I,'01. KE30'!$B:$B,'03. TH_ XK-B2B'!$B$5,'01. KE30'!$E:$E,'03. TH_ XK-B2B'!$D12,'01. KE30'!$A:$A,'03. TH_ XK-B2B'!J$4)/1000</f>
        <v>0</v>
      </c>
      <c r="K12" s="171">
        <f>SUMIFS('01. KE30'!$I:$I,'01. KE30'!$B:$B,'03. TH_ XK-B2B'!$B$5,'01. KE30'!$E:$E,'03. TH_ XK-B2B'!$D12,'01. KE30'!$A:$A,'03. TH_ XK-B2B'!K$4)/1000</f>
        <v>0</v>
      </c>
      <c r="L12" s="171">
        <f>SUMIFS('01. KE30'!$I:$I,'01. KE30'!$B:$B,'03. TH_ XK-B2B'!$B$5,'01. KE30'!$E:$E,'03. TH_ XK-B2B'!$D12,'01. KE30'!$A:$A,'03. TH_ XK-B2B'!L$4)/1000</f>
        <v>0</v>
      </c>
      <c r="M12" s="171">
        <f>SUMIFS('01. KE30'!$I:$I,'01. KE30'!$B:$B,'03. TH_ XK-B2B'!$B$5,'01. KE30'!$E:$E,'03. TH_ XK-B2B'!$D12,'01. KE30'!$A:$A,'03. TH_ XK-B2B'!M$4)/1000</f>
        <v>0</v>
      </c>
      <c r="N12" s="171">
        <f>SUMIFS('01. KE30'!$I:$I,'01. KE30'!$B:$B,'03. TH_ XK-B2B'!$B$5,'01. KE30'!$E:$E,'03. TH_ XK-B2B'!$D12,'01. KE30'!$A:$A,'03. TH_ XK-B2B'!N$4)/1000</f>
        <v>0</v>
      </c>
      <c r="O12" s="171">
        <f>SUMIFS('01. KE30'!$I:$I,'01. KE30'!$B:$B,'03. TH_ XK-B2B'!$B$5,'01. KE30'!$E:$E,'03. TH_ XK-B2B'!$D12,'01. KE30'!$A:$A,'03. TH_ XK-B2B'!O$4)/1000</f>
        <v>0</v>
      </c>
      <c r="P12" s="219">
        <f>SUMIFS('01. KE30'!$I:$I,'01. KE30'!$B:$B,'03. TH_ XK-B2B'!$B$5,'01. KE30'!$E:$E,'03. TH_ XK-B2B'!$D12,'01. KE30'!$A:$A,'03. TH_ XK-B2B'!P$4)/1000</f>
        <v>0</v>
      </c>
      <c r="Q12" s="219">
        <f>SUMIFS('01. KE30'!$I:$I,'01. KE30'!$B:$B,'03. TH_ XK-B2B'!$B$5,'01. KE30'!$E:$E,'03. TH_ XK-B2B'!$D12,'01. KE30'!$A:$A,'03. TH_ XK-B2B'!Q$4)/1000</f>
        <v>0</v>
      </c>
      <c r="R12" s="239">
        <f t="shared" si="4"/>
        <v>0</v>
      </c>
      <c r="S12" s="239">
        <f t="shared" si="7"/>
        <v>0</v>
      </c>
      <c r="T12" s="176"/>
      <c r="U12" s="278"/>
      <c r="V12" s="171"/>
      <c r="W12" s="171"/>
      <c r="X12" s="171"/>
      <c r="Y12" s="171"/>
      <c r="Z12" s="171"/>
      <c r="AA12" s="171"/>
      <c r="AB12" s="171"/>
      <c r="AC12" s="171"/>
      <c r="AD12" s="171"/>
      <c r="AE12" s="219"/>
      <c r="AF12" s="219"/>
      <c r="AG12" s="239">
        <f t="shared" si="5"/>
        <v>0</v>
      </c>
      <c r="AH12" s="239" t="e">
        <f t="shared" si="8"/>
        <v>#DIV/0!</v>
      </c>
      <c r="AI12" s="176"/>
      <c r="AJ12" s="171">
        <v>0</v>
      </c>
      <c r="AK12" s="171">
        <v>0</v>
      </c>
      <c r="AL12" s="171">
        <v>0</v>
      </c>
      <c r="AM12" s="171">
        <v>0</v>
      </c>
      <c r="AN12" s="171">
        <v>0</v>
      </c>
      <c r="AO12" s="171">
        <v>0</v>
      </c>
      <c r="AP12" s="171">
        <v>0</v>
      </c>
      <c r="AQ12" s="171">
        <v>0</v>
      </c>
      <c r="AR12" s="171">
        <v>0</v>
      </c>
      <c r="AS12" s="171">
        <v>0</v>
      </c>
      <c r="AT12" s="219">
        <v>0</v>
      </c>
      <c r="AU12" s="219">
        <v>0</v>
      </c>
      <c r="AV12" s="239">
        <f t="shared" si="9"/>
        <v>0</v>
      </c>
      <c r="AW12" s="239">
        <f t="shared" si="10"/>
        <v>0</v>
      </c>
    </row>
    <row r="13" spans="2:49" s="167" customFormat="1" ht="15.5" collapsed="1" x14ac:dyDescent="0.35">
      <c r="B13" s="292"/>
      <c r="C13" s="196"/>
      <c r="D13" s="263"/>
      <c r="E13" s="165" t="s">
        <v>285</v>
      </c>
      <c r="F13" s="279">
        <f t="shared" ref="F13:S13" si="11">IFERROR(F5/F$39,"-")</f>
        <v>0.73196689001629101</v>
      </c>
      <c r="G13" s="206">
        <f t="shared" si="11"/>
        <v>0.72014497847690429</v>
      </c>
      <c r="H13" s="206">
        <f t="shared" si="11"/>
        <v>0.71159703496686721</v>
      </c>
      <c r="I13" s="206">
        <f t="shared" si="11"/>
        <v>0.72995449145335212</v>
      </c>
      <c r="J13" s="206">
        <f t="shared" si="11"/>
        <v>0.7622103734235115</v>
      </c>
      <c r="K13" s="206">
        <f t="shared" si="11"/>
        <v>0.61203313289092254</v>
      </c>
      <c r="L13" s="206">
        <f t="shared" si="11"/>
        <v>0.60310180362392174</v>
      </c>
      <c r="M13" s="206">
        <f t="shared" si="11"/>
        <v>0.57546506626625826</v>
      </c>
      <c r="N13" s="206">
        <f t="shared" si="11"/>
        <v>0.29882843446643503</v>
      </c>
      <c r="O13" s="206" t="str">
        <f t="shared" si="11"/>
        <v>-</v>
      </c>
      <c r="P13" s="224" t="str">
        <f t="shared" si="11"/>
        <v>-</v>
      </c>
      <c r="Q13" s="224" t="str">
        <f t="shared" si="11"/>
        <v>-</v>
      </c>
      <c r="R13" s="206">
        <f t="shared" si="11"/>
        <v>0.65265655152701085</v>
      </c>
      <c r="S13" s="206">
        <f t="shared" si="11"/>
        <v>0.66370134147993387</v>
      </c>
      <c r="T13" s="283"/>
      <c r="U13" s="279">
        <f t="shared" ref="U13:AH13" si="12">IFERROR(U5/U$39,"-")</f>
        <v>0.63875716634451618</v>
      </c>
      <c r="V13" s="206">
        <f t="shared" si="12"/>
        <v>0.65395713616297135</v>
      </c>
      <c r="W13" s="206">
        <f t="shared" si="12"/>
        <v>0.57757160881884184</v>
      </c>
      <c r="X13" s="206">
        <f t="shared" si="12"/>
        <v>0.52918463337609278</v>
      </c>
      <c r="Y13" s="206">
        <f t="shared" si="12"/>
        <v>0.6103603955141762</v>
      </c>
      <c r="Z13" s="206">
        <f t="shared" si="12"/>
        <v>0.57890352854598348</v>
      </c>
      <c r="AA13" s="206">
        <f t="shared" si="12"/>
        <v>0.60929783534428061</v>
      </c>
      <c r="AB13" s="206">
        <f t="shared" si="12"/>
        <v>0.55240653608471102</v>
      </c>
      <c r="AC13" s="206">
        <f t="shared" si="12"/>
        <v>0.61068902279276915</v>
      </c>
      <c r="AD13" s="206">
        <f t="shared" si="12"/>
        <v>0.59921756005535831</v>
      </c>
      <c r="AE13" s="224">
        <f t="shared" si="12"/>
        <v>0.52121387777120687</v>
      </c>
      <c r="AF13" s="224">
        <f t="shared" si="12"/>
        <v>0.50530049015647305</v>
      </c>
      <c r="AG13" s="206">
        <f t="shared" si="12"/>
        <v>0.57884666666666662</v>
      </c>
      <c r="AH13" s="206">
        <f t="shared" si="12"/>
        <v>0.57884666666666662</v>
      </c>
      <c r="AI13" s="283"/>
      <c r="AJ13" s="206">
        <f t="shared" ref="AJ13:AV13" si="13">IFERROR(AJ5/AJ$39,"-")</f>
        <v>0.55170492145867445</v>
      </c>
      <c r="AK13" s="206">
        <f t="shared" si="13"/>
        <v>0.50087798970632758</v>
      </c>
      <c r="AL13" s="206">
        <f t="shared" si="13"/>
        <v>0.62442408196946775</v>
      </c>
      <c r="AM13" s="206">
        <f t="shared" si="13"/>
        <v>0.73579629774271649</v>
      </c>
      <c r="AN13" s="206">
        <f t="shared" si="13"/>
        <v>0.33034841434325263</v>
      </c>
      <c r="AO13" s="206">
        <f t="shared" si="13"/>
        <v>0.12860369337053276</v>
      </c>
      <c r="AP13" s="206">
        <f t="shared" si="13"/>
        <v>0.61219857361039109</v>
      </c>
      <c r="AQ13" s="206">
        <f t="shared" si="13"/>
        <v>0.71784857855659245</v>
      </c>
      <c r="AR13" s="206">
        <f t="shared" si="13"/>
        <v>0.77598428559227939</v>
      </c>
      <c r="AS13" s="206">
        <f t="shared" si="13"/>
        <v>0.61563862012998372</v>
      </c>
      <c r="AT13" s="224">
        <f t="shared" si="13"/>
        <v>0.30122849499854198</v>
      </c>
      <c r="AU13" s="224">
        <f t="shared" si="13"/>
        <v>0.49669496302116251</v>
      </c>
      <c r="AV13" s="206">
        <f t="shared" si="13"/>
        <v>0.57144553990062641</v>
      </c>
      <c r="AW13" s="206">
        <f t="shared" ref="AW13" si="14">IFERROR(AW5/AW$39,"-")</f>
        <v>0.57144553990062641</v>
      </c>
    </row>
    <row r="14" spans="2:49" s="167" customFormat="1" ht="15.5" hidden="1" outlineLevel="1" x14ac:dyDescent="0.35">
      <c r="B14" s="292"/>
      <c r="C14" s="168"/>
      <c r="D14" s="262" t="s">
        <v>283</v>
      </c>
      <c r="E14" s="168" t="s">
        <v>285</v>
      </c>
      <c r="F14" s="280">
        <f t="shared" ref="F14:Q14" si="15">IF(F6&lt;&gt;0,F6/F$39,"-")</f>
        <v>0.73196689001629101</v>
      </c>
      <c r="G14" s="202">
        <f t="shared" si="15"/>
        <v>0.7110153514678158</v>
      </c>
      <c r="H14" s="202">
        <f t="shared" si="15"/>
        <v>0.6847305160424012</v>
      </c>
      <c r="I14" s="202">
        <f t="shared" si="15"/>
        <v>0.72995449145335212</v>
      </c>
      <c r="J14" s="202">
        <f t="shared" si="15"/>
        <v>0.7622103734235115</v>
      </c>
      <c r="K14" s="202">
        <f t="shared" si="15"/>
        <v>0.58150804419461133</v>
      </c>
      <c r="L14" s="202">
        <f t="shared" si="15"/>
        <v>0.59783913518043197</v>
      </c>
      <c r="M14" s="202">
        <f t="shared" si="15"/>
        <v>0.55118465292883445</v>
      </c>
      <c r="N14" s="202">
        <f t="shared" si="15"/>
        <v>0.2897958369510768</v>
      </c>
      <c r="O14" s="202" t="str">
        <f t="shared" si="15"/>
        <v>-</v>
      </c>
      <c r="P14" s="202" t="str">
        <f t="shared" si="15"/>
        <v>-</v>
      </c>
      <c r="Q14" s="202" t="str">
        <f t="shared" si="15"/>
        <v>-</v>
      </c>
      <c r="R14" s="240">
        <f t="shared" ref="R14:S14" si="16">R6/R$39</f>
        <v>0.64059154620586201</v>
      </c>
      <c r="S14" s="240">
        <f t="shared" si="16"/>
        <v>0.61084735670640333</v>
      </c>
      <c r="T14" s="176"/>
      <c r="U14" s="280">
        <f t="shared" ref="U14:AF14" si="17">IF(U6&lt;&gt;0,U6/U$39,"-")</f>
        <v>0.63057268404419753</v>
      </c>
      <c r="V14" s="202">
        <f t="shared" si="17"/>
        <v>0.6410941486286148</v>
      </c>
      <c r="W14" s="202">
        <f t="shared" si="17"/>
        <v>0.5706708207897998</v>
      </c>
      <c r="X14" s="202">
        <f t="shared" si="17"/>
        <v>0.51992694826102859</v>
      </c>
      <c r="Y14" s="202">
        <f t="shared" si="17"/>
        <v>0.58188696473305912</v>
      </c>
      <c r="Z14" s="202">
        <f t="shared" si="17"/>
        <v>0.5516221445424091</v>
      </c>
      <c r="AA14" s="202">
        <f t="shared" si="17"/>
        <v>0.60272652640316826</v>
      </c>
      <c r="AB14" s="202">
        <f t="shared" si="17"/>
        <v>0.54579837572374434</v>
      </c>
      <c r="AC14" s="202">
        <f t="shared" si="17"/>
        <v>0.57271812647560816</v>
      </c>
      <c r="AD14" s="202">
        <f t="shared" si="17"/>
        <v>0.59366007159480116</v>
      </c>
      <c r="AE14" s="202">
        <f t="shared" si="17"/>
        <v>0.5151927384456616</v>
      </c>
      <c r="AF14" s="202">
        <f t="shared" si="17"/>
        <v>0.50110251541838358</v>
      </c>
      <c r="AG14" s="240">
        <f t="shared" ref="AG14:AH14" si="18">AG6/AG$39</f>
        <v>0.5650586666666666</v>
      </c>
      <c r="AH14" s="240">
        <f t="shared" si="18"/>
        <v>0.5650586666666666</v>
      </c>
      <c r="AI14" s="176"/>
      <c r="AJ14" s="202">
        <f t="shared" ref="AJ14:AU14" si="19">IF(AJ6&lt;&gt;0,AJ6/AJ$39,"-")</f>
        <v>0.54148816365388419</v>
      </c>
      <c r="AK14" s="202">
        <f t="shared" si="19"/>
        <v>0.50087798970632758</v>
      </c>
      <c r="AL14" s="202">
        <f t="shared" si="19"/>
        <v>0.6202723146747352</v>
      </c>
      <c r="AM14" s="202">
        <f t="shared" si="19"/>
        <v>0.66706240724830113</v>
      </c>
      <c r="AN14" s="202">
        <f t="shared" si="19"/>
        <v>0.33034841434325263</v>
      </c>
      <c r="AO14" s="202">
        <f t="shared" si="19"/>
        <v>0.12860369337053276</v>
      </c>
      <c r="AP14" s="202">
        <f t="shared" si="19"/>
        <v>0.61219857361039109</v>
      </c>
      <c r="AQ14" s="202">
        <f t="shared" si="19"/>
        <v>0.71242725285683262</v>
      </c>
      <c r="AR14" s="202">
        <f t="shared" si="19"/>
        <v>0.72901187121018018</v>
      </c>
      <c r="AS14" s="202">
        <f t="shared" si="19"/>
        <v>0.55407475811698537</v>
      </c>
      <c r="AT14" s="202">
        <f t="shared" si="19"/>
        <v>0.30122849499854198</v>
      </c>
      <c r="AU14" s="202">
        <f t="shared" si="19"/>
        <v>0.41334312603549289</v>
      </c>
      <c r="AV14" s="240">
        <f t="shared" ref="AV14:AW14" si="20">AV6/AV$39</f>
        <v>0.54389547521908477</v>
      </c>
      <c r="AW14" s="240">
        <f t="shared" si="20"/>
        <v>0.54389547521908477</v>
      </c>
    </row>
    <row r="15" spans="2:49" s="167" customFormat="1" ht="15.5" hidden="1" outlineLevel="1" x14ac:dyDescent="0.35">
      <c r="B15" s="292"/>
      <c r="C15" s="168"/>
      <c r="D15" s="262" t="s">
        <v>95</v>
      </c>
      <c r="E15" s="168" t="s">
        <v>285</v>
      </c>
      <c r="F15" s="281" t="str">
        <f t="shared" ref="F15:Q15" si="21">IF(F7&lt;&gt;0,F7/F$39,"-")</f>
        <v>-</v>
      </c>
      <c r="G15" s="200" t="str">
        <f t="shared" si="21"/>
        <v>-</v>
      </c>
      <c r="H15" s="200" t="str">
        <f t="shared" si="21"/>
        <v>-</v>
      </c>
      <c r="I15" s="200" t="str">
        <f t="shared" si="21"/>
        <v>-</v>
      </c>
      <c r="J15" s="200" t="str">
        <f t="shared" si="21"/>
        <v>-</v>
      </c>
      <c r="K15" s="200">
        <f t="shared" si="21"/>
        <v>2.2868293872821795E-2</v>
      </c>
      <c r="L15" s="200" t="str">
        <f t="shared" si="21"/>
        <v>-</v>
      </c>
      <c r="M15" s="200" t="str">
        <f t="shared" si="21"/>
        <v>-</v>
      </c>
      <c r="N15" s="200" t="str">
        <f t="shared" si="21"/>
        <v>-</v>
      </c>
      <c r="O15" s="200" t="str">
        <f t="shared" si="21"/>
        <v>-</v>
      </c>
      <c r="P15" s="200" t="str">
        <f t="shared" si="21"/>
        <v>-</v>
      </c>
      <c r="Q15" s="200" t="str">
        <f t="shared" si="21"/>
        <v>-</v>
      </c>
      <c r="R15" s="241">
        <f t="shared" ref="R15:S15" si="22">R7/R$39</f>
        <v>2.2071333303784022E-3</v>
      </c>
      <c r="S15" s="241">
        <f t="shared" si="22"/>
        <v>1.8941857910411482E-2</v>
      </c>
      <c r="T15" s="176"/>
      <c r="U15" s="281" t="str">
        <f t="shared" ref="U15:AF15" si="23">IF(U7&lt;&gt;0,U7/U$39,"-")</f>
        <v>-</v>
      </c>
      <c r="V15" s="200" t="str">
        <f t="shared" si="23"/>
        <v>-</v>
      </c>
      <c r="W15" s="200" t="str">
        <f t="shared" si="23"/>
        <v>-</v>
      </c>
      <c r="X15" s="200" t="str">
        <f t="shared" si="23"/>
        <v>-</v>
      </c>
      <c r="Y15" s="200">
        <f t="shared" si="23"/>
        <v>2.1461404590399337E-2</v>
      </c>
      <c r="Z15" s="200">
        <f t="shared" si="23"/>
        <v>2.2239159925842508E-2</v>
      </c>
      <c r="AA15" s="200" t="str">
        <f t="shared" si="23"/>
        <v>-</v>
      </c>
      <c r="AB15" s="200" t="str">
        <f t="shared" si="23"/>
        <v>-</v>
      </c>
      <c r="AC15" s="200">
        <f t="shared" si="23"/>
        <v>3.4104667223709563E-2</v>
      </c>
      <c r="AD15" s="200" t="str">
        <f t="shared" si="23"/>
        <v>-</v>
      </c>
      <c r="AE15" s="200" t="str">
        <f t="shared" si="23"/>
        <v>-</v>
      </c>
      <c r="AF15" s="200" t="str">
        <f t="shared" si="23"/>
        <v>-</v>
      </c>
      <c r="AG15" s="241">
        <f t="shared" ref="AG15:AH15" si="24">AG7/AG$39</f>
        <v>7.3333333333333332E-3</v>
      </c>
      <c r="AH15" s="241">
        <f t="shared" si="24"/>
        <v>7.3333333333333332E-3</v>
      </c>
      <c r="AI15" s="176"/>
      <c r="AJ15" s="200">
        <f t="shared" ref="AJ15:AU15" si="25">IF(AJ7&lt;&gt;0,AJ7/AJ$39,"-")</f>
        <v>1.0216757804790267E-2</v>
      </c>
      <c r="AK15" s="200" t="str">
        <f t="shared" si="25"/>
        <v>-</v>
      </c>
      <c r="AL15" s="200">
        <f t="shared" si="25"/>
        <v>2.578737450144409E-5</v>
      </c>
      <c r="AM15" s="200">
        <f t="shared" si="25"/>
        <v>6.8733890494415376E-2</v>
      </c>
      <c r="AN15" s="200" t="str">
        <f t="shared" si="25"/>
        <v>-</v>
      </c>
      <c r="AO15" s="200" t="str">
        <f t="shared" si="25"/>
        <v>-</v>
      </c>
      <c r="AP15" s="200" t="str">
        <f t="shared" si="25"/>
        <v>-</v>
      </c>
      <c r="AQ15" s="200" t="str">
        <f t="shared" si="25"/>
        <v>-</v>
      </c>
      <c r="AR15" s="200">
        <f t="shared" si="25"/>
        <v>4.6972414382099238E-2</v>
      </c>
      <c r="AS15" s="200">
        <f t="shared" si="25"/>
        <v>6.156386201299837E-2</v>
      </c>
      <c r="AT15" s="200" t="str">
        <f t="shared" si="25"/>
        <v>-</v>
      </c>
      <c r="AU15" s="200">
        <f t="shared" si="25"/>
        <v>7.5153295642816878E-2</v>
      </c>
      <c r="AV15" s="241">
        <f t="shared" ref="AV15:AW20" si="26">AV7/AV$39</f>
        <v>2.5805077068350554E-2</v>
      </c>
      <c r="AW15" s="241">
        <f t="shared" si="26"/>
        <v>2.5805077068350554E-2</v>
      </c>
    </row>
    <row r="16" spans="2:49" s="167" customFormat="1" ht="15.5" hidden="1" outlineLevel="1" x14ac:dyDescent="0.35">
      <c r="B16" s="292"/>
      <c r="C16" s="168"/>
      <c r="D16" s="262" t="s">
        <v>265</v>
      </c>
      <c r="E16" s="168" t="s">
        <v>285</v>
      </c>
      <c r="F16" s="281" t="str">
        <f t="shared" ref="F16:Q16" si="27">IF(F8&lt;&gt;0,F8/F$39,"-")</f>
        <v>-</v>
      </c>
      <c r="G16" s="200" t="str">
        <f t="shared" si="27"/>
        <v>-</v>
      </c>
      <c r="H16" s="200">
        <f t="shared" si="27"/>
        <v>2.1615484547111929E-2</v>
      </c>
      <c r="I16" s="200" t="str">
        <f t="shared" si="27"/>
        <v>-</v>
      </c>
      <c r="J16" s="200" t="str">
        <f t="shared" si="27"/>
        <v>-</v>
      </c>
      <c r="K16" s="200">
        <f t="shared" si="27"/>
        <v>1.1229965741117846E-3</v>
      </c>
      <c r="L16" s="200" t="str">
        <f t="shared" si="27"/>
        <v>-</v>
      </c>
      <c r="M16" s="200">
        <f t="shared" si="27"/>
        <v>2.4280413337423746E-2</v>
      </c>
      <c r="N16" s="200" t="str">
        <f t="shared" si="27"/>
        <v>-</v>
      </c>
      <c r="O16" s="200" t="str">
        <f t="shared" si="27"/>
        <v>-</v>
      </c>
      <c r="P16" s="200" t="str">
        <f t="shared" si="27"/>
        <v>-</v>
      </c>
      <c r="Q16" s="200" t="str">
        <f t="shared" si="27"/>
        <v>-</v>
      </c>
      <c r="R16" s="241">
        <f t="shared" ref="R16:S16" si="28">R8/R$39</f>
        <v>6.0203502895589452E-3</v>
      </c>
      <c r="S16" s="241">
        <f t="shared" si="28"/>
        <v>1.7222433308424726E-2</v>
      </c>
      <c r="T16" s="176"/>
      <c r="U16" s="281" t="str">
        <f t="shared" ref="U16:AF16" si="29">IF(U8&lt;&gt;0,U8/U$39,"-")</f>
        <v>-</v>
      </c>
      <c r="V16" s="200">
        <f t="shared" si="29"/>
        <v>6.0286690616924666E-3</v>
      </c>
      <c r="W16" s="200" t="str">
        <f t="shared" si="29"/>
        <v>-</v>
      </c>
      <c r="X16" s="200">
        <f t="shared" si="29"/>
        <v>2.8334595510769722E-3</v>
      </c>
      <c r="Y16" s="200">
        <f t="shared" si="29"/>
        <v>2.1461404590399336E-3</v>
      </c>
      <c r="Z16" s="200" t="str">
        <f t="shared" si="29"/>
        <v>-</v>
      </c>
      <c r="AA16" s="200">
        <f t="shared" si="29"/>
        <v>2.0112520409637188E-3</v>
      </c>
      <c r="AB16" s="200">
        <f t="shared" si="29"/>
        <v>2.0225309952875024E-3</v>
      </c>
      <c r="AC16" s="200" t="str">
        <f t="shared" si="29"/>
        <v>-</v>
      </c>
      <c r="AD16" s="200">
        <f t="shared" si="29"/>
        <v>1.7009564013947842E-3</v>
      </c>
      <c r="AE16" s="200">
        <f t="shared" si="29"/>
        <v>1.842864011713914E-3</v>
      </c>
      <c r="AF16" s="200" t="str">
        <f t="shared" si="29"/>
        <v>-</v>
      </c>
      <c r="AG16" s="241">
        <f t="shared" ref="AG16:AH16" si="30">AG8/AG$39</f>
        <v>1.4666666666666667E-3</v>
      </c>
      <c r="AH16" s="241">
        <f t="shared" si="30"/>
        <v>1.4666666666666667E-3</v>
      </c>
      <c r="AI16" s="176"/>
      <c r="AJ16" s="200" t="str">
        <f t="shared" ref="AJ16:AU16" si="31">IF(AJ8&lt;&gt;0,AJ8/AJ$39,"-")</f>
        <v>-</v>
      </c>
      <c r="AK16" s="200" t="str">
        <f t="shared" si="31"/>
        <v>-</v>
      </c>
      <c r="AL16" s="200">
        <f t="shared" si="31"/>
        <v>4.1259799202310547E-3</v>
      </c>
      <c r="AM16" s="200" t="str">
        <f t="shared" si="31"/>
        <v>-</v>
      </c>
      <c r="AN16" s="200" t="str">
        <f t="shared" si="31"/>
        <v>-</v>
      </c>
      <c r="AO16" s="200" t="str">
        <f t="shared" si="31"/>
        <v>-</v>
      </c>
      <c r="AP16" s="200" t="str">
        <f t="shared" si="31"/>
        <v>-</v>
      </c>
      <c r="AQ16" s="200" t="str">
        <f t="shared" si="31"/>
        <v>-</v>
      </c>
      <c r="AR16" s="200" t="str">
        <f t="shared" si="31"/>
        <v>-</v>
      </c>
      <c r="AS16" s="200" t="str">
        <f t="shared" si="31"/>
        <v>-</v>
      </c>
      <c r="AT16" s="200" t="str">
        <f t="shared" si="31"/>
        <v>-</v>
      </c>
      <c r="AU16" s="200" t="str">
        <f t="shared" si="31"/>
        <v>-</v>
      </c>
      <c r="AV16" s="241">
        <f t="shared" si="26"/>
        <v>3.4327625177530319E-4</v>
      </c>
      <c r="AW16" s="241">
        <f t="shared" si="26"/>
        <v>3.4327625177530319E-4</v>
      </c>
    </row>
    <row r="17" spans="2:49" s="167" customFormat="1" ht="15.5" hidden="1" outlineLevel="1" x14ac:dyDescent="0.35">
      <c r="B17" s="292"/>
      <c r="C17" s="168"/>
      <c r="D17" s="262" t="s">
        <v>266</v>
      </c>
      <c r="E17" s="168" t="s">
        <v>285</v>
      </c>
      <c r="F17" s="281" t="str">
        <f t="shared" ref="F17:Q17" si="32">IF(F9&lt;&gt;0,F9/F$39,"-")</f>
        <v>-</v>
      </c>
      <c r="G17" s="200">
        <f t="shared" si="32"/>
        <v>9.1296270090885437E-3</v>
      </c>
      <c r="H17" s="200" t="str">
        <f t="shared" si="32"/>
        <v>-</v>
      </c>
      <c r="I17" s="200" t="str">
        <f t="shared" si="32"/>
        <v>-</v>
      </c>
      <c r="J17" s="200" t="str">
        <f t="shared" si="32"/>
        <v>-</v>
      </c>
      <c r="K17" s="200" t="str">
        <f t="shared" si="32"/>
        <v>-</v>
      </c>
      <c r="L17" s="200" t="str">
        <f t="shared" si="32"/>
        <v>-</v>
      </c>
      <c r="M17" s="200" t="str">
        <f t="shared" si="32"/>
        <v>-</v>
      </c>
      <c r="N17" s="200" t="str">
        <f t="shared" si="32"/>
        <v>-</v>
      </c>
      <c r="O17" s="200" t="str">
        <f t="shared" si="32"/>
        <v>-</v>
      </c>
      <c r="P17" s="200" t="str">
        <f t="shared" si="32"/>
        <v>-</v>
      </c>
      <c r="Q17" s="200" t="str">
        <f t="shared" si="32"/>
        <v>-</v>
      </c>
      <c r="R17" s="241">
        <f t="shared" ref="R17:S17" si="33">R9/R$39</f>
        <v>1.3137698395109536E-3</v>
      </c>
      <c r="S17" s="241">
        <f t="shared" si="33"/>
        <v>1.1274915422863978E-2</v>
      </c>
      <c r="T17" s="176"/>
      <c r="U17" s="281" t="str">
        <f t="shared" ref="U17:AF17" si="34">IF(U9&lt;&gt;0,U9/U$39,"-")</f>
        <v>-</v>
      </c>
      <c r="V17" s="200" t="str">
        <f t="shared" si="34"/>
        <v>-</v>
      </c>
      <c r="W17" s="200" t="str">
        <f t="shared" si="34"/>
        <v>-</v>
      </c>
      <c r="X17" s="200" t="str">
        <f t="shared" si="34"/>
        <v>-</v>
      </c>
      <c r="Y17" s="200" t="str">
        <f t="shared" si="34"/>
        <v>-</v>
      </c>
      <c r="Z17" s="200" t="str">
        <f t="shared" si="34"/>
        <v>-</v>
      </c>
      <c r="AA17" s="200" t="str">
        <f t="shared" si="34"/>
        <v>-</v>
      </c>
      <c r="AB17" s="200" t="str">
        <f t="shared" si="34"/>
        <v>-</v>
      </c>
      <c r="AC17" s="200" t="str">
        <f t="shared" si="34"/>
        <v>-</v>
      </c>
      <c r="AD17" s="200" t="str">
        <f t="shared" si="34"/>
        <v>-</v>
      </c>
      <c r="AE17" s="200" t="str">
        <f t="shared" si="34"/>
        <v>-</v>
      </c>
      <c r="AF17" s="200" t="str">
        <f t="shared" si="34"/>
        <v>-</v>
      </c>
      <c r="AG17" s="241">
        <f t="shared" ref="AG17:AH17" si="35">AG9/AG$39</f>
        <v>0</v>
      </c>
      <c r="AH17" s="241" t="e">
        <f t="shared" si="35"/>
        <v>#DIV/0!</v>
      </c>
      <c r="AI17" s="176"/>
      <c r="AJ17" s="200" t="str">
        <f t="shared" ref="AJ17:AU17" si="36">IF(AJ9&lt;&gt;0,AJ9/AJ$39,"-")</f>
        <v>-</v>
      </c>
      <c r="AK17" s="200" t="str">
        <f t="shared" si="36"/>
        <v>-</v>
      </c>
      <c r="AL17" s="200" t="str">
        <f t="shared" si="36"/>
        <v>-</v>
      </c>
      <c r="AM17" s="200" t="str">
        <f t="shared" si="36"/>
        <v>-</v>
      </c>
      <c r="AN17" s="200" t="str">
        <f t="shared" si="36"/>
        <v>-</v>
      </c>
      <c r="AO17" s="200" t="str">
        <f t="shared" si="36"/>
        <v>-</v>
      </c>
      <c r="AP17" s="200" t="str">
        <f t="shared" si="36"/>
        <v>-</v>
      </c>
      <c r="AQ17" s="200" t="str">
        <f t="shared" si="36"/>
        <v>-</v>
      </c>
      <c r="AR17" s="200" t="str">
        <f t="shared" si="36"/>
        <v>-</v>
      </c>
      <c r="AS17" s="200" t="str">
        <f t="shared" si="36"/>
        <v>-</v>
      </c>
      <c r="AT17" s="200" t="str">
        <f t="shared" si="36"/>
        <v>-</v>
      </c>
      <c r="AU17" s="200" t="str">
        <f t="shared" si="36"/>
        <v>-</v>
      </c>
      <c r="AV17" s="241">
        <f t="shared" si="26"/>
        <v>0</v>
      </c>
      <c r="AW17" s="241">
        <f t="shared" si="26"/>
        <v>0</v>
      </c>
    </row>
    <row r="18" spans="2:49" s="167" customFormat="1" ht="15.5" hidden="1" outlineLevel="1" x14ac:dyDescent="0.35">
      <c r="B18" s="292"/>
      <c r="C18" s="168"/>
      <c r="D18" s="262" t="s">
        <v>295</v>
      </c>
      <c r="E18" s="168" t="s">
        <v>285</v>
      </c>
      <c r="F18" s="281" t="str">
        <f t="shared" ref="F18:Q18" si="37">IF(F10&lt;&gt;0,F10/F$39,"-")</f>
        <v>-</v>
      </c>
      <c r="G18" s="200" t="str">
        <f t="shared" si="37"/>
        <v>-</v>
      </c>
      <c r="H18" s="200" t="str">
        <f t="shared" si="37"/>
        <v>-</v>
      </c>
      <c r="I18" s="200" t="str">
        <f t="shared" si="37"/>
        <v>-</v>
      </c>
      <c r="J18" s="200" t="str">
        <f t="shared" si="37"/>
        <v>-</v>
      </c>
      <c r="K18" s="200" t="str">
        <f t="shared" si="37"/>
        <v>-</v>
      </c>
      <c r="L18" s="200" t="str">
        <f t="shared" si="37"/>
        <v>-</v>
      </c>
      <c r="M18" s="200" t="str">
        <f t="shared" si="37"/>
        <v>-</v>
      </c>
      <c r="N18" s="200" t="str">
        <f t="shared" si="37"/>
        <v>-</v>
      </c>
      <c r="O18" s="200" t="str">
        <f t="shared" si="37"/>
        <v>-</v>
      </c>
      <c r="P18" s="200" t="str">
        <f t="shared" si="37"/>
        <v>-</v>
      </c>
      <c r="Q18" s="200" t="str">
        <f t="shared" si="37"/>
        <v>-</v>
      </c>
      <c r="R18" s="241">
        <f t="shared" ref="R18:S18" si="38">R10/R$39</f>
        <v>0</v>
      </c>
      <c r="S18" s="241">
        <f t="shared" si="38"/>
        <v>0</v>
      </c>
      <c r="T18" s="176"/>
      <c r="U18" s="281" t="str">
        <f t="shared" ref="U18:AF18" si="39">IF(U10&lt;&gt;0,U10/U$39,"-")</f>
        <v>-</v>
      </c>
      <c r="V18" s="200" t="str">
        <f t="shared" si="39"/>
        <v>-</v>
      </c>
      <c r="W18" s="200" t="str">
        <f t="shared" si="39"/>
        <v>-</v>
      </c>
      <c r="X18" s="200" t="str">
        <f t="shared" si="39"/>
        <v>-</v>
      </c>
      <c r="Y18" s="200" t="str">
        <f t="shared" si="39"/>
        <v>-</v>
      </c>
      <c r="Z18" s="200" t="str">
        <f t="shared" si="39"/>
        <v>-</v>
      </c>
      <c r="AA18" s="200" t="str">
        <f t="shared" si="39"/>
        <v>-</v>
      </c>
      <c r="AB18" s="200" t="str">
        <f t="shared" si="39"/>
        <v>-</v>
      </c>
      <c r="AC18" s="200" t="str">
        <f t="shared" si="39"/>
        <v>-</v>
      </c>
      <c r="AD18" s="200" t="str">
        <f t="shared" si="39"/>
        <v>-</v>
      </c>
      <c r="AE18" s="200" t="str">
        <f t="shared" si="39"/>
        <v>-</v>
      </c>
      <c r="AF18" s="200" t="str">
        <f t="shared" si="39"/>
        <v>-</v>
      </c>
      <c r="AG18" s="241">
        <f t="shared" ref="AG18:AH18" si="40">AG10/AG$39</f>
        <v>0</v>
      </c>
      <c r="AH18" s="241" t="e">
        <f t="shared" si="40"/>
        <v>#DIV/0!</v>
      </c>
      <c r="AI18" s="176"/>
      <c r="AJ18" s="200" t="str">
        <f t="shared" ref="AJ18:AU18" si="41">IF(AJ10&lt;&gt;0,AJ10/AJ$39,"-")</f>
        <v>-</v>
      </c>
      <c r="AK18" s="200" t="str">
        <f t="shared" si="41"/>
        <v>-</v>
      </c>
      <c r="AL18" s="200" t="str">
        <f t="shared" si="41"/>
        <v>-</v>
      </c>
      <c r="AM18" s="200" t="str">
        <f t="shared" si="41"/>
        <v>-</v>
      </c>
      <c r="AN18" s="200" t="str">
        <f t="shared" si="41"/>
        <v>-</v>
      </c>
      <c r="AO18" s="200" t="str">
        <f t="shared" si="41"/>
        <v>-</v>
      </c>
      <c r="AP18" s="200" t="str">
        <f t="shared" si="41"/>
        <v>-</v>
      </c>
      <c r="AQ18" s="200" t="str">
        <f t="shared" si="41"/>
        <v>-</v>
      </c>
      <c r="AR18" s="200" t="str">
        <f t="shared" si="41"/>
        <v>-</v>
      </c>
      <c r="AS18" s="200" t="str">
        <f t="shared" si="41"/>
        <v>-</v>
      </c>
      <c r="AT18" s="200" t="str">
        <f t="shared" si="41"/>
        <v>-</v>
      </c>
      <c r="AU18" s="200" t="str">
        <f t="shared" si="41"/>
        <v>-</v>
      </c>
      <c r="AV18" s="241">
        <f t="shared" si="26"/>
        <v>0</v>
      </c>
      <c r="AW18" s="241">
        <f t="shared" si="26"/>
        <v>0</v>
      </c>
    </row>
    <row r="19" spans="2:49" s="167" customFormat="1" ht="15.5" hidden="1" outlineLevel="1" x14ac:dyDescent="0.35">
      <c r="B19" s="292"/>
      <c r="C19" s="168"/>
      <c r="D19" s="262" t="s">
        <v>23</v>
      </c>
      <c r="E19" s="168" t="s">
        <v>285</v>
      </c>
      <c r="F19" s="281" t="str">
        <f t="shared" ref="F19:Q19" si="42">IF(F11&lt;&gt;0,F11/F$39,"-")</f>
        <v>-</v>
      </c>
      <c r="G19" s="200" t="str">
        <f t="shared" si="42"/>
        <v>-</v>
      </c>
      <c r="H19" s="200">
        <f t="shared" si="42"/>
        <v>5.2510343773539588E-3</v>
      </c>
      <c r="I19" s="200" t="str">
        <f t="shared" si="42"/>
        <v>-</v>
      </c>
      <c r="J19" s="200" t="str">
        <f t="shared" si="42"/>
        <v>-</v>
      </c>
      <c r="K19" s="200">
        <f t="shared" si="42"/>
        <v>6.5337982493776552E-3</v>
      </c>
      <c r="L19" s="200">
        <f t="shared" si="42"/>
        <v>5.2626684434897179E-3</v>
      </c>
      <c r="M19" s="200" t="str">
        <f t="shared" si="42"/>
        <v>-</v>
      </c>
      <c r="N19" s="200">
        <f t="shared" si="42"/>
        <v>9.0325975153582386E-3</v>
      </c>
      <c r="O19" s="200" t="str">
        <f t="shared" si="42"/>
        <v>-</v>
      </c>
      <c r="P19" s="200" t="str">
        <f t="shared" si="42"/>
        <v>-</v>
      </c>
      <c r="Q19" s="200" t="str">
        <f t="shared" si="42"/>
        <v>-</v>
      </c>
      <c r="R19" s="241">
        <f t="shared" ref="R19:S19" si="43">R11/R$39</f>
        <v>2.5237518617005419E-3</v>
      </c>
      <c r="S19" s="241">
        <f t="shared" si="43"/>
        <v>5.4147781318304253E-3</v>
      </c>
      <c r="T19" s="176"/>
      <c r="U19" s="281">
        <f t="shared" ref="U19:AF19" si="44">IF(U11&lt;&gt;0,U11/U$39,"-")</f>
        <v>8.18448230031865E-3</v>
      </c>
      <c r="V19" s="200">
        <f t="shared" si="44"/>
        <v>6.8343184726640969E-3</v>
      </c>
      <c r="W19" s="200">
        <f t="shared" si="44"/>
        <v>6.9007880290419699E-3</v>
      </c>
      <c r="X19" s="200">
        <f t="shared" si="44"/>
        <v>6.4242255639872445E-3</v>
      </c>
      <c r="Y19" s="200">
        <f t="shared" si="44"/>
        <v>4.8658857316778133E-3</v>
      </c>
      <c r="Z19" s="200">
        <f t="shared" si="44"/>
        <v>5.0422240777319291E-3</v>
      </c>
      <c r="AA19" s="200">
        <f t="shared" si="44"/>
        <v>4.5600569001486499E-3</v>
      </c>
      <c r="AB19" s="200">
        <f t="shared" si="44"/>
        <v>4.5856293656791197E-3</v>
      </c>
      <c r="AC19" s="200">
        <f t="shared" si="44"/>
        <v>3.8662290934514385E-3</v>
      </c>
      <c r="AD19" s="200">
        <f t="shared" si="44"/>
        <v>3.8565320591623562E-3</v>
      </c>
      <c r="AE19" s="200">
        <f t="shared" si="44"/>
        <v>4.1782753138313649E-3</v>
      </c>
      <c r="AF19" s="200">
        <f t="shared" si="44"/>
        <v>4.1979747380894673E-3</v>
      </c>
      <c r="AG19" s="241">
        <f t="shared" ref="AG19:AH19" si="45">AG11/AG$39</f>
        <v>4.9880000000000002E-3</v>
      </c>
      <c r="AH19" s="241">
        <f t="shared" si="45"/>
        <v>4.9880000000000002E-3</v>
      </c>
      <c r="AI19" s="176"/>
      <c r="AJ19" s="200" t="str">
        <f t="shared" ref="AJ19:AU19" si="46">IF(AJ11&lt;&gt;0,AJ11/AJ$39,"-")</f>
        <v>-</v>
      </c>
      <c r="AK19" s="200" t="str">
        <f t="shared" si="46"/>
        <v>-</v>
      </c>
      <c r="AL19" s="200" t="str">
        <f t="shared" si="46"/>
        <v>-</v>
      </c>
      <c r="AM19" s="200" t="str">
        <f t="shared" si="46"/>
        <v>-</v>
      </c>
      <c r="AN19" s="200" t="str">
        <f t="shared" si="46"/>
        <v>-</v>
      </c>
      <c r="AO19" s="200" t="str">
        <f t="shared" si="46"/>
        <v>-</v>
      </c>
      <c r="AP19" s="200" t="str">
        <f t="shared" si="46"/>
        <v>-</v>
      </c>
      <c r="AQ19" s="200">
        <f t="shared" si="46"/>
        <v>5.4213256997597834E-3</v>
      </c>
      <c r="AR19" s="200" t="str">
        <f t="shared" si="46"/>
        <v>-</v>
      </c>
      <c r="AS19" s="200" t="str">
        <f t="shared" si="46"/>
        <v>-</v>
      </c>
      <c r="AT19" s="200" t="str">
        <f t="shared" si="46"/>
        <v>-</v>
      </c>
      <c r="AU19" s="200">
        <f t="shared" si="46"/>
        <v>8.1985413428527516E-3</v>
      </c>
      <c r="AV19" s="241">
        <f t="shared" si="26"/>
        <v>1.4017113614158215E-3</v>
      </c>
      <c r="AW19" s="241">
        <f t="shared" si="26"/>
        <v>1.4017113614158212E-3</v>
      </c>
    </row>
    <row r="20" spans="2:49" s="167" customFormat="1" ht="15.5" hidden="1" outlineLevel="1" x14ac:dyDescent="0.35">
      <c r="B20" s="292"/>
      <c r="C20" s="168"/>
      <c r="D20" s="262" t="s">
        <v>269</v>
      </c>
      <c r="E20" s="168" t="s">
        <v>285</v>
      </c>
      <c r="F20" s="281" t="str">
        <f t="shared" ref="F20:Q20" si="47">IF(F12&lt;&gt;0,F12/F$39,"-")</f>
        <v>-</v>
      </c>
      <c r="G20" s="200" t="str">
        <f t="shared" si="47"/>
        <v>-</v>
      </c>
      <c r="H20" s="200" t="str">
        <f t="shared" si="47"/>
        <v>-</v>
      </c>
      <c r="I20" s="200" t="str">
        <f t="shared" si="47"/>
        <v>-</v>
      </c>
      <c r="J20" s="200" t="str">
        <f t="shared" si="47"/>
        <v>-</v>
      </c>
      <c r="K20" s="200" t="str">
        <f t="shared" si="47"/>
        <v>-</v>
      </c>
      <c r="L20" s="200" t="str">
        <f t="shared" si="47"/>
        <v>-</v>
      </c>
      <c r="M20" s="200" t="str">
        <f t="shared" si="47"/>
        <v>-</v>
      </c>
      <c r="N20" s="200" t="str">
        <f t="shared" si="47"/>
        <v>-</v>
      </c>
      <c r="O20" s="200" t="str">
        <f t="shared" si="47"/>
        <v>-</v>
      </c>
      <c r="P20" s="200" t="str">
        <f t="shared" si="47"/>
        <v>-</v>
      </c>
      <c r="Q20" s="200" t="str">
        <f t="shared" si="47"/>
        <v>-</v>
      </c>
      <c r="R20" s="241">
        <f t="shared" ref="R20:S20" si="48">R12/R$39</f>
        <v>0</v>
      </c>
      <c r="S20" s="241">
        <f t="shared" si="48"/>
        <v>0</v>
      </c>
      <c r="T20" s="176"/>
      <c r="U20" s="281" t="str">
        <f t="shared" ref="U20:AF20" si="49">IF(U12&lt;&gt;0,U12/U$39,"-")</f>
        <v>-</v>
      </c>
      <c r="V20" s="200" t="str">
        <f t="shared" si="49"/>
        <v>-</v>
      </c>
      <c r="W20" s="200" t="str">
        <f t="shared" si="49"/>
        <v>-</v>
      </c>
      <c r="X20" s="200" t="str">
        <f t="shared" si="49"/>
        <v>-</v>
      </c>
      <c r="Y20" s="200" t="str">
        <f t="shared" si="49"/>
        <v>-</v>
      </c>
      <c r="Z20" s="200" t="str">
        <f t="shared" si="49"/>
        <v>-</v>
      </c>
      <c r="AA20" s="200" t="str">
        <f t="shared" si="49"/>
        <v>-</v>
      </c>
      <c r="AB20" s="200" t="str">
        <f t="shared" si="49"/>
        <v>-</v>
      </c>
      <c r="AC20" s="200" t="str">
        <f t="shared" si="49"/>
        <v>-</v>
      </c>
      <c r="AD20" s="200" t="str">
        <f t="shared" si="49"/>
        <v>-</v>
      </c>
      <c r="AE20" s="200" t="str">
        <f t="shared" si="49"/>
        <v>-</v>
      </c>
      <c r="AF20" s="200" t="str">
        <f t="shared" si="49"/>
        <v>-</v>
      </c>
      <c r="AG20" s="241">
        <f t="shared" ref="AG20:AH20" si="50">AG12/AG$39</f>
        <v>0</v>
      </c>
      <c r="AH20" s="241" t="e">
        <f t="shared" si="50"/>
        <v>#DIV/0!</v>
      </c>
      <c r="AI20" s="176"/>
      <c r="AJ20" s="200" t="str">
        <f t="shared" ref="AJ20:AU20" si="51">IF(AJ12&lt;&gt;0,AJ12/AJ$39,"-")</f>
        <v>-</v>
      </c>
      <c r="AK20" s="200" t="str">
        <f t="shared" si="51"/>
        <v>-</v>
      </c>
      <c r="AL20" s="200" t="str">
        <f t="shared" si="51"/>
        <v>-</v>
      </c>
      <c r="AM20" s="200" t="str">
        <f t="shared" si="51"/>
        <v>-</v>
      </c>
      <c r="AN20" s="200" t="str">
        <f t="shared" si="51"/>
        <v>-</v>
      </c>
      <c r="AO20" s="200" t="str">
        <f t="shared" si="51"/>
        <v>-</v>
      </c>
      <c r="AP20" s="200" t="str">
        <f t="shared" si="51"/>
        <v>-</v>
      </c>
      <c r="AQ20" s="200" t="str">
        <f t="shared" si="51"/>
        <v>-</v>
      </c>
      <c r="AR20" s="200" t="str">
        <f t="shared" si="51"/>
        <v>-</v>
      </c>
      <c r="AS20" s="200" t="str">
        <f t="shared" si="51"/>
        <v>-</v>
      </c>
      <c r="AT20" s="200" t="str">
        <f t="shared" si="51"/>
        <v>-</v>
      </c>
      <c r="AU20" s="200" t="str">
        <f t="shared" si="51"/>
        <v>-</v>
      </c>
      <c r="AV20" s="241">
        <f t="shared" si="26"/>
        <v>0</v>
      </c>
      <c r="AW20" s="241">
        <f t="shared" si="26"/>
        <v>0</v>
      </c>
    </row>
    <row r="21" spans="2:49" s="164" customFormat="1" ht="15.5" collapsed="1" x14ac:dyDescent="0.35">
      <c r="B21" s="293" t="s">
        <v>22</v>
      </c>
      <c r="C21" s="163">
        <v>2</v>
      </c>
      <c r="D21" s="261" t="s">
        <v>261</v>
      </c>
      <c r="E21" s="163" t="s">
        <v>284</v>
      </c>
      <c r="F21" s="277">
        <f t="shared" ref="F21:Q21" si="52">SUM(F22:F28)</f>
        <v>934.89930000000004</v>
      </c>
      <c r="G21" s="221">
        <f t="shared" si="52"/>
        <v>1532.675</v>
      </c>
      <c r="H21" s="221">
        <f t="shared" ref="H21:M21" si="53">SUM(H22:H29)</f>
        <v>1320.8999999999999</v>
      </c>
      <c r="I21" s="221">
        <f t="shared" si="53"/>
        <v>1039.925</v>
      </c>
      <c r="J21" s="221">
        <f t="shared" si="53"/>
        <v>1089.7242999999999</v>
      </c>
      <c r="K21" s="221">
        <f t="shared" si="53"/>
        <v>1425.0830000000001</v>
      </c>
      <c r="L21" s="221">
        <f t="shared" si="53"/>
        <v>1810.0240999999999</v>
      </c>
      <c r="M21" s="221">
        <f t="shared" si="53"/>
        <v>2203.0680000000002</v>
      </c>
      <c r="N21" s="221">
        <f>SUM(N22:N29)</f>
        <v>1863.0430000000001</v>
      </c>
      <c r="O21" s="221">
        <f t="shared" si="52"/>
        <v>0</v>
      </c>
      <c r="P21" s="222">
        <f t="shared" si="52"/>
        <v>0</v>
      </c>
      <c r="Q21" s="222">
        <f t="shared" si="52"/>
        <v>0</v>
      </c>
      <c r="R21" s="223">
        <f t="shared" ref="R21" si="54">SUM(F21:Q21)</f>
        <v>13219.341699999999</v>
      </c>
      <c r="S21" s="223">
        <f>SUM(S22:S29)</f>
        <v>1491.3577880952382</v>
      </c>
      <c r="T21" s="175"/>
      <c r="U21" s="277">
        <f t="shared" ref="U21:AF21" si="55">SUM(U22:U28)</f>
        <v>1100.79</v>
      </c>
      <c r="V21" s="221">
        <f t="shared" si="55"/>
        <v>1262.79</v>
      </c>
      <c r="W21" s="221">
        <f t="shared" si="55"/>
        <v>1526.69</v>
      </c>
      <c r="X21" s="221">
        <f t="shared" si="55"/>
        <v>1827.79</v>
      </c>
      <c r="Y21" s="221">
        <f t="shared" si="55"/>
        <v>1997.09</v>
      </c>
      <c r="Z21" s="221">
        <f t="shared" si="55"/>
        <v>2082.84</v>
      </c>
      <c r="AA21" s="221">
        <f t="shared" si="55"/>
        <v>2136.84</v>
      </c>
      <c r="AB21" s="221">
        <f t="shared" si="55"/>
        <v>2434.34</v>
      </c>
      <c r="AC21" s="221">
        <f t="shared" si="55"/>
        <v>2511.34</v>
      </c>
      <c r="AD21" s="221">
        <f t="shared" si="55"/>
        <v>2591.84</v>
      </c>
      <c r="AE21" s="222">
        <f t="shared" si="55"/>
        <v>2857.8599999999997</v>
      </c>
      <c r="AF21" s="222">
        <f t="shared" si="55"/>
        <v>2938.99</v>
      </c>
      <c r="AG21" s="223">
        <f t="shared" ref="AG21" si="56">SUM(U21:AF21)</f>
        <v>25269.200000000004</v>
      </c>
      <c r="AH21" s="223">
        <f t="shared" ref="AH21" si="57">SUM(AH22:AH28)</f>
        <v>2105.7666666666669</v>
      </c>
      <c r="AI21" s="175"/>
      <c r="AJ21" s="221">
        <f t="shared" ref="AJ21:AU21" si="58">SUM(AJ22:AJ28)</f>
        <v>965.32500000000005</v>
      </c>
      <c r="AK21" s="221">
        <f t="shared" si="58"/>
        <v>1030.375</v>
      </c>
      <c r="AL21" s="221">
        <f t="shared" si="58"/>
        <v>1092.325</v>
      </c>
      <c r="AM21" s="221">
        <f t="shared" si="58"/>
        <v>845.65</v>
      </c>
      <c r="AN21" s="221">
        <f t="shared" si="58"/>
        <v>2140.625</v>
      </c>
      <c r="AO21" s="221">
        <f t="shared" si="58"/>
        <v>1639.75</v>
      </c>
      <c r="AP21" s="221">
        <f t="shared" si="58"/>
        <v>691.92499999999995</v>
      </c>
      <c r="AQ21" s="221">
        <f t="shared" si="58"/>
        <v>1301.1181999999999</v>
      </c>
      <c r="AR21" s="221">
        <f t="shared" si="58"/>
        <v>1049.2</v>
      </c>
      <c r="AS21" s="221">
        <f t="shared" si="58"/>
        <v>1373.5250000000001</v>
      </c>
      <c r="AT21" s="222">
        <f t="shared" si="58"/>
        <v>1377.9250000000002</v>
      </c>
      <c r="AU21" s="222">
        <f t="shared" si="58"/>
        <v>1473.35</v>
      </c>
      <c r="AV21" s="223">
        <f t="shared" ref="AV21" si="59">SUM(AJ21:AU21)</f>
        <v>14981.093200000001</v>
      </c>
      <c r="AW21" s="223">
        <f t="shared" ref="AW21" si="60">SUM(AW22:AW28)</f>
        <v>1248.4244333333336</v>
      </c>
    </row>
    <row r="22" spans="2:49" s="172" customFormat="1" ht="15.5" hidden="1" outlineLevel="1" x14ac:dyDescent="0.35">
      <c r="B22" s="291"/>
      <c r="C22" s="168"/>
      <c r="D22" s="262" t="s">
        <v>283</v>
      </c>
      <c r="E22" s="168" t="s">
        <v>284</v>
      </c>
      <c r="F22" s="278">
        <f>SUMIFS('01. KE30'!$I:$I,'01. KE30'!$B:$B,'03. TH_ XK-B2B'!$B$21,'01. KE30'!$E:$E,'03. TH_ XK-B2B'!$D22,'01. KE30'!$A:$A,'03. TH_ XK-B2B'!F$4)/1000</f>
        <v>743.04930000000002</v>
      </c>
      <c r="G22" s="171">
        <f>SUMIFS('01. KE30'!$I:$I,'01. KE30'!$B:$B,'03. TH_ XK-B2B'!$B$21,'01. KE30'!$E:$E,'03. TH_ XK-B2B'!$D22,'01. KE30'!$A:$A,'03. TH_ XK-B2B'!G$4)/1000</f>
        <v>1254</v>
      </c>
      <c r="H22" s="171">
        <f>SUMIFS('01. KE30'!$I:$I,'01. KE30'!$B:$B,'03. TH_ XK-B2B'!$B$21,'01. KE30'!$E:$E,'03. TH_ XK-B2B'!$D22,'01. KE30'!$A:$A,'03. TH_ XK-B2B'!H$4)/1000</f>
        <v>883.2</v>
      </c>
      <c r="I22" s="171">
        <f>SUMIFS('01. KE30'!$I:$I,'01. KE30'!$B:$B,'03. TH_ XK-B2B'!$B$21,'01. KE30'!$E:$E,'03. TH_ XK-B2B'!$D22,'01. KE30'!$A:$A,'03. TH_ XK-B2B'!I$4)/1000</f>
        <v>763.4</v>
      </c>
      <c r="J22" s="171">
        <f>SUMIFS('01. KE30'!$I:$I,'01. KE30'!$B:$B,'03. TH_ XK-B2B'!$B$21,'01. KE30'!$E:$E,'03. TH_ XK-B2B'!$D22,'01. KE30'!$A:$A,'03. TH_ XK-B2B'!J$4)/1000</f>
        <v>714.01030000000003</v>
      </c>
      <c r="K22" s="171">
        <f>SUMIFS('01. KE30'!$I:$I,'01. KE30'!$B:$B,'03. TH_ XK-B2B'!$B$21,'01. KE30'!$E:$E,'03. TH_ XK-B2B'!$D22,'01. KE30'!$A:$A,'03. TH_ XK-B2B'!K$4)/1000</f>
        <v>967.08299999999997</v>
      </c>
      <c r="L22" s="171">
        <f>SUMIFS('01. KE30'!$I:$I,'01. KE30'!$B:$B,'03. TH_ XK-B2B'!$B$21,'01. KE30'!$E:$E,'03. TH_ XK-B2B'!$D22,'01. KE30'!$A:$A,'03. TH_ XK-B2B'!L$4)/1000</f>
        <v>943.94909999999993</v>
      </c>
      <c r="M22" s="171">
        <f>SUMIFS('01. KE30'!$I:$I,'01. KE30'!$B:$B,'03. TH_ XK-B2B'!$B$21,'01. KE30'!$E:$E,'03. TH_ XK-B2B'!$D22,'01. KE30'!$A:$A,'03. TH_ XK-B2B'!M$4)/1000</f>
        <v>1484.2929999999999</v>
      </c>
      <c r="N22" s="171">
        <f>SUMIFS('01. KE30'!$I:$I,'01. KE30'!$B:$B,'03. TH_ XK-B2B'!$B$21,'01. KE30'!$E:$E,'03. TH_ XK-B2B'!$D22,'01. KE30'!$A:$A,'03. TH_ XK-B2B'!N$4)/1000</f>
        <v>1017</v>
      </c>
      <c r="O22" s="171">
        <f>SUMIFS('01. KE30'!$I:$I,'01. KE30'!$B:$B,'03. TH_ XK-B2B'!$B$21,'01. KE30'!$E:$E,'03. TH_ XK-B2B'!$D22,'01. KE30'!$A:$A,'03. TH_ XK-B2B'!O$4)/1000</f>
        <v>0</v>
      </c>
      <c r="P22" s="219">
        <f>SUMIFS('01. KE30'!$I:$I,'01. KE30'!$B:$B,'03. TH_ XK-B2B'!$B$21,'01. KE30'!$E:$E,'03. TH_ XK-B2B'!$D22,'01. KE30'!$A:$A,'03. TH_ XK-B2B'!P$4)/1000</f>
        <v>0</v>
      </c>
      <c r="Q22" s="219">
        <f>SUMIFS('01. KE30'!$I:$I,'01. KE30'!$B:$B,'03. TH_ XK-B2B'!$B$21,'01. KE30'!$E:$E,'03. TH_ XK-B2B'!$D22,'01. KE30'!$A:$A,'03. TH_ XK-B2B'!Q$4)/1000</f>
        <v>0</v>
      </c>
      <c r="R22" s="239">
        <f t="shared" ref="R22:R28" si="61">SUM(F22:Q22)</f>
        <v>8769.9847000000009</v>
      </c>
      <c r="S22" s="239">
        <f t="shared" ref="S22:S28" si="62">IFERROR(R22/(12-COUNTIF(F22:Q22,0)),0)</f>
        <v>974.44274444444454</v>
      </c>
      <c r="T22" s="176"/>
      <c r="U22" s="278">
        <v>794.79</v>
      </c>
      <c r="V22" s="278">
        <v>882.79</v>
      </c>
      <c r="W22" s="278">
        <v>956.43999999999994</v>
      </c>
      <c r="X22" s="278">
        <v>1068.79</v>
      </c>
      <c r="Y22" s="278">
        <v>1153.0899999999999</v>
      </c>
      <c r="Z22" s="278">
        <v>1215.0899999999999</v>
      </c>
      <c r="AA22" s="278">
        <v>1139.0899999999999</v>
      </c>
      <c r="AB22" s="278">
        <v>1381.09</v>
      </c>
      <c r="AC22" s="278">
        <v>1381.09</v>
      </c>
      <c r="AD22" s="278">
        <v>1463.09</v>
      </c>
      <c r="AE22" s="278">
        <v>1603.61</v>
      </c>
      <c r="AF22" s="278">
        <v>1697.74</v>
      </c>
      <c r="AG22" s="239">
        <f t="shared" ref="AG22:AG28" si="63">SUM(U22:AF22)</f>
        <v>14736.7</v>
      </c>
      <c r="AH22" s="239">
        <f>AVERAGE(U22:AF22)</f>
        <v>1228.0583333333334</v>
      </c>
      <c r="AI22" s="176"/>
      <c r="AJ22" s="171">
        <v>735.95</v>
      </c>
      <c r="AK22" s="171">
        <v>928.4</v>
      </c>
      <c r="AL22" s="171">
        <v>876.42499999999995</v>
      </c>
      <c r="AM22" s="171">
        <v>598.625</v>
      </c>
      <c r="AN22" s="171">
        <v>1826.925</v>
      </c>
      <c r="AO22" s="171">
        <v>1322.1</v>
      </c>
      <c r="AP22" s="171">
        <v>415.7</v>
      </c>
      <c r="AQ22" s="171">
        <v>1143.3181999999999</v>
      </c>
      <c r="AR22" s="171">
        <v>905.9</v>
      </c>
      <c r="AS22" s="171">
        <v>1109</v>
      </c>
      <c r="AT22" s="219">
        <v>1186.9000000000001</v>
      </c>
      <c r="AU22" s="219">
        <v>1230.0999999999999</v>
      </c>
      <c r="AV22" s="239">
        <f t="shared" ref="AV22:AV28" si="64">SUM(AJ22:AU22)</f>
        <v>12279.343199999999</v>
      </c>
      <c r="AW22" s="239">
        <f>AVERAGE(AJ22:AU22)</f>
        <v>1023.2786</v>
      </c>
    </row>
    <row r="23" spans="2:49" s="172" customFormat="1" ht="15.5" hidden="1" outlineLevel="1" x14ac:dyDescent="0.35">
      <c r="B23" s="291"/>
      <c r="C23" s="168"/>
      <c r="D23" s="262" t="s">
        <v>95</v>
      </c>
      <c r="E23" s="168" t="s">
        <v>284</v>
      </c>
      <c r="F23" s="278">
        <f>SUMIFS('01. KE30'!$I:$I,'01. KE30'!$B:$B,'03. TH_ XK-B2B'!$B$21,'01. KE30'!$E:$E,'03. TH_ XK-B2B'!$D23,'01. KE30'!$A:$A,'03. TH_ XK-B2B'!F$4)/1000</f>
        <v>11</v>
      </c>
      <c r="G23" s="171">
        <f>SUMIFS('01. KE30'!$I:$I,'01. KE30'!$B:$B,'03. TH_ XK-B2B'!$B$21,'01. KE30'!$E:$E,'03. TH_ XK-B2B'!$D23,'01. KE30'!$A:$A,'03. TH_ XK-B2B'!G$4)/1000</f>
        <v>16.5</v>
      </c>
      <c r="H23" s="171">
        <f>SUMIFS('01. KE30'!$I:$I,'01. KE30'!$B:$B,'03. TH_ XK-B2B'!$B$21,'01. KE30'!$E:$E,'03. TH_ XK-B2B'!$D23,'01. KE30'!$A:$A,'03. TH_ XK-B2B'!H$4)/1000</f>
        <v>33</v>
      </c>
      <c r="I23" s="171">
        <f>SUMIFS('01. KE30'!$I:$I,'01. KE30'!$B:$B,'03. TH_ XK-B2B'!$B$21,'01. KE30'!$E:$E,'03. TH_ XK-B2B'!$D23,'01. KE30'!$A:$A,'03. TH_ XK-B2B'!I$4)/1000</f>
        <v>1</v>
      </c>
      <c r="J23" s="171">
        <f>SUMIFS('01. KE30'!$I:$I,'01. KE30'!$B:$B,'03. TH_ XK-B2B'!$B$21,'01. KE30'!$E:$E,'03. TH_ XK-B2B'!$D23,'01. KE30'!$A:$A,'03. TH_ XK-B2B'!J$4)/1000</f>
        <v>0</v>
      </c>
      <c r="K23" s="171">
        <f>SUMIFS('01. KE30'!$I:$I,'01. KE30'!$B:$B,'03. TH_ XK-B2B'!$B$21,'01. KE30'!$E:$E,'03. TH_ XK-B2B'!$D23,'01. KE30'!$A:$A,'03. TH_ XK-B2B'!K$4)/1000</f>
        <v>62.9</v>
      </c>
      <c r="L23" s="171">
        <f>SUMIFS('01. KE30'!$I:$I,'01. KE30'!$B:$B,'03. TH_ XK-B2B'!$B$21,'01. KE30'!$E:$E,'03. TH_ XK-B2B'!$D23,'01. KE30'!$A:$A,'03. TH_ XK-B2B'!L$4)/1000</f>
        <v>567.79999999999995</v>
      </c>
      <c r="M23" s="171">
        <f>SUMIFS('01. KE30'!$I:$I,'01. KE30'!$B:$B,'03. TH_ XK-B2B'!$B$21,'01. KE30'!$E:$E,'03. TH_ XK-B2B'!$D23,'01. KE30'!$A:$A,'03. TH_ XK-B2B'!M$4)/1000</f>
        <v>321.35000000000002</v>
      </c>
      <c r="N23" s="171">
        <f>SUMIFS('01. KE30'!$I:$I,'01. KE30'!$B:$B,'03. TH_ XK-B2B'!$B$21,'01. KE30'!$E:$E,'03. TH_ XK-B2B'!$D23,'01. KE30'!$A:$A,'03. TH_ XK-B2B'!N$4)/1000</f>
        <v>202.65</v>
      </c>
      <c r="O23" s="171">
        <f>SUMIFS('01. KE30'!$I:$I,'01. KE30'!$B:$B,'03. TH_ XK-B2B'!$B$21,'01. KE30'!$E:$E,'03. TH_ XK-B2B'!$D23,'01. KE30'!$A:$A,'03. TH_ XK-B2B'!O$4)/1000</f>
        <v>0</v>
      </c>
      <c r="P23" s="219">
        <f>SUMIFS('01. KE30'!$I:$I,'01. KE30'!$B:$B,'03. TH_ XK-B2B'!$B$21,'01. KE30'!$E:$E,'03. TH_ XK-B2B'!$D23,'01. KE30'!$A:$A,'03. TH_ XK-B2B'!P$4)/1000</f>
        <v>0</v>
      </c>
      <c r="Q23" s="219">
        <f>SUMIFS('01. KE30'!$I:$I,'01. KE30'!$B:$B,'03. TH_ XK-B2B'!$B$21,'01. KE30'!$E:$E,'03. TH_ XK-B2B'!$D23,'01. KE30'!$A:$A,'03. TH_ XK-B2B'!Q$4)/1000</f>
        <v>0</v>
      </c>
      <c r="R23" s="239">
        <f t="shared" si="61"/>
        <v>1216.2</v>
      </c>
      <c r="S23" s="239">
        <f t="shared" si="62"/>
        <v>152.02500000000001</v>
      </c>
      <c r="T23" s="176"/>
      <c r="U23" s="278">
        <v>20</v>
      </c>
      <c r="V23" s="171">
        <v>0</v>
      </c>
      <c r="W23" s="171">
        <v>50</v>
      </c>
      <c r="X23" s="171">
        <v>50</v>
      </c>
      <c r="Y23" s="171">
        <v>100</v>
      </c>
      <c r="Z23" s="171">
        <v>100</v>
      </c>
      <c r="AA23" s="171">
        <v>100</v>
      </c>
      <c r="AB23" s="171">
        <v>100</v>
      </c>
      <c r="AC23" s="171">
        <v>100</v>
      </c>
      <c r="AD23" s="171">
        <v>100</v>
      </c>
      <c r="AE23" s="219">
        <v>100</v>
      </c>
      <c r="AF23" s="219">
        <v>100</v>
      </c>
      <c r="AG23" s="239">
        <f t="shared" si="63"/>
        <v>920</v>
      </c>
      <c r="AH23" s="239">
        <f t="shared" ref="AH23:AH28" si="65">AVERAGE(U23:AF23)</f>
        <v>76.666666666666671</v>
      </c>
      <c r="AI23" s="176"/>
      <c r="AJ23" s="171">
        <v>0</v>
      </c>
      <c r="AK23" s="171">
        <v>-49.975000000000001</v>
      </c>
      <c r="AL23" s="171">
        <v>0</v>
      </c>
      <c r="AM23" s="171">
        <v>5.5</v>
      </c>
      <c r="AN23" s="171">
        <v>82.55</v>
      </c>
      <c r="AO23" s="171">
        <v>185.9</v>
      </c>
      <c r="AP23" s="171">
        <v>165</v>
      </c>
      <c r="AQ23" s="171">
        <v>0</v>
      </c>
      <c r="AR23" s="171">
        <v>0</v>
      </c>
      <c r="AS23" s="171">
        <v>11</v>
      </c>
      <c r="AT23" s="219">
        <v>11</v>
      </c>
      <c r="AU23" s="219">
        <v>22</v>
      </c>
      <c r="AV23" s="239">
        <f t="shared" si="64"/>
        <v>432.97500000000002</v>
      </c>
      <c r="AW23" s="239">
        <f t="shared" ref="AW23:AW28" si="66">AVERAGE(AJ23:AU23)</f>
        <v>36.081250000000004</v>
      </c>
    </row>
    <row r="24" spans="2:49" s="172" customFormat="1" ht="15.5" hidden="1" outlineLevel="1" x14ac:dyDescent="0.35">
      <c r="B24" s="291"/>
      <c r="C24" s="168"/>
      <c r="D24" s="262" t="s">
        <v>265</v>
      </c>
      <c r="E24" s="168" t="s">
        <v>284</v>
      </c>
      <c r="F24" s="278">
        <f>SUMIFS('01. KE30'!$I:$I,'01. KE30'!$B:$B,'03. TH_ XK-B2B'!$B$21,'01. KE30'!$E:$E,'03. TH_ XK-B2B'!$D24,'01. KE30'!$A:$A,'03. TH_ XK-B2B'!F$4)/1000</f>
        <v>164.85</v>
      </c>
      <c r="G24" s="171">
        <f>SUMIFS('01. KE30'!$I:$I,'01. KE30'!$B:$B,'03. TH_ XK-B2B'!$B$21,'01. KE30'!$E:$E,'03. TH_ XK-B2B'!$D24,'01. KE30'!$A:$A,'03. TH_ XK-B2B'!G$4)/1000</f>
        <v>211</v>
      </c>
      <c r="H24" s="171">
        <f>SUMIFS('01. KE30'!$I:$I,'01. KE30'!$B:$B,'03. TH_ XK-B2B'!$B$21,'01. KE30'!$E:$E,'03. TH_ XK-B2B'!$D24,'01. KE30'!$A:$A,'03. TH_ XK-B2B'!H$4)/1000</f>
        <v>260.77499999999998</v>
      </c>
      <c r="I24" s="171">
        <f>SUMIFS('01. KE30'!$I:$I,'01. KE30'!$B:$B,'03. TH_ XK-B2B'!$B$21,'01. KE30'!$E:$E,'03. TH_ XK-B2B'!$D24,'01. KE30'!$A:$A,'03. TH_ XK-B2B'!I$4)/1000</f>
        <v>154.25</v>
      </c>
      <c r="J24" s="171">
        <f>SUMIFS('01. KE30'!$I:$I,'01. KE30'!$B:$B,'03. TH_ XK-B2B'!$B$21,'01. KE30'!$E:$E,'03. TH_ XK-B2B'!$D24,'01. KE30'!$A:$A,'03. TH_ XK-B2B'!J$4)/1000</f>
        <v>193.875</v>
      </c>
      <c r="K24" s="171">
        <f>SUMIFS('01. KE30'!$I:$I,'01. KE30'!$B:$B,'03. TH_ XK-B2B'!$B$21,'01. KE30'!$E:$E,'03. TH_ XK-B2B'!$D24,'01. KE30'!$A:$A,'03. TH_ XK-B2B'!K$4)/1000</f>
        <v>256.72500000000002</v>
      </c>
      <c r="L24" s="171">
        <f>SUMIFS('01. KE30'!$I:$I,'01. KE30'!$B:$B,'03. TH_ XK-B2B'!$B$21,'01. KE30'!$E:$E,'03. TH_ XK-B2B'!$D24,'01. KE30'!$A:$A,'03. TH_ XK-B2B'!L$4)/1000</f>
        <v>211.75</v>
      </c>
      <c r="M24" s="171">
        <f>SUMIFS('01. KE30'!$I:$I,'01. KE30'!$B:$B,'03. TH_ XK-B2B'!$B$21,'01. KE30'!$E:$E,'03. TH_ XK-B2B'!$D24,'01. KE30'!$A:$A,'03. TH_ XK-B2B'!M$4)/1000</f>
        <v>235.1</v>
      </c>
      <c r="N24" s="171">
        <f>SUMIFS('01. KE30'!$I:$I,'01. KE30'!$B:$B,'03. TH_ XK-B2B'!$B$21,'01. KE30'!$E:$E,'03. TH_ XK-B2B'!$D24,'01. KE30'!$A:$A,'03. TH_ XK-B2B'!N$4)/1000</f>
        <v>254.375</v>
      </c>
      <c r="O24" s="171">
        <f>SUMIFS('01. KE30'!$I:$I,'01. KE30'!$B:$B,'03. TH_ XK-B2B'!$B$21,'01. KE30'!$E:$E,'03. TH_ XK-B2B'!$D24,'01. KE30'!$A:$A,'03. TH_ XK-B2B'!O$4)/1000</f>
        <v>0</v>
      </c>
      <c r="P24" s="219">
        <f>SUMIFS('01. KE30'!$I:$I,'01. KE30'!$B:$B,'03. TH_ XK-B2B'!$B$21,'01. KE30'!$E:$E,'03. TH_ XK-B2B'!$D24,'01. KE30'!$A:$A,'03. TH_ XK-B2B'!P$4)/1000</f>
        <v>0</v>
      </c>
      <c r="Q24" s="219">
        <f>SUMIFS('01. KE30'!$I:$I,'01. KE30'!$B:$B,'03. TH_ XK-B2B'!$B$21,'01. KE30'!$E:$E,'03. TH_ XK-B2B'!$D24,'01. KE30'!$A:$A,'03. TH_ XK-B2B'!Q$4)/1000</f>
        <v>0</v>
      </c>
      <c r="R24" s="239">
        <f t="shared" si="61"/>
        <v>1942.6999999999998</v>
      </c>
      <c r="S24" s="239">
        <f t="shared" si="62"/>
        <v>215.85555555555553</v>
      </c>
      <c r="T24" s="176"/>
      <c r="U24" s="278">
        <v>240</v>
      </c>
      <c r="V24" s="171">
        <v>329</v>
      </c>
      <c r="W24" s="171">
        <v>399</v>
      </c>
      <c r="X24" s="171">
        <v>517</v>
      </c>
      <c r="Y24" s="171">
        <v>552</v>
      </c>
      <c r="Z24" s="171">
        <v>588.5</v>
      </c>
      <c r="AA24" s="171">
        <v>683.5</v>
      </c>
      <c r="AB24" s="171">
        <v>751.5</v>
      </c>
      <c r="AC24" s="171">
        <v>803.5</v>
      </c>
      <c r="AD24" s="171">
        <v>816</v>
      </c>
      <c r="AE24" s="219">
        <v>916</v>
      </c>
      <c r="AF24" s="219">
        <v>916</v>
      </c>
      <c r="AG24" s="239">
        <f t="shared" si="63"/>
        <v>7512</v>
      </c>
      <c r="AH24" s="239">
        <f t="shared" si="65"/>
        <v>626</v>
      </c>
      <c r="AI24" s="176"/>
      <c r="AJ24" s="171">
        <v>181.875</v>
      </c>
      <c r="AK24" s="171">
        <v>100</v>
      </c>
      <c r="AL24" s="171">
        <v>147.9</v>
      </c>
      <c r="AM24" s="171">
        <v>182.625</v>
      </c>
      <c r="AN24" s="171">
        <v>149.4</v>
      </c>
      <c r="AO24" s="171">
        <v>115.5</v>
      </c>
      <c r="AP24" s="171">
        <v>108.625</v>
      </c>
      <c r="AQ24" s="171">
        <v>119.625</v>
      </c>
      <c r="AR24" s="171">
        <v>133.02500000000001</v>
      </c>
      <c r="AS24" s="171">
        <v>165</v>
      </c>
      <c r="AT24" s="219">
        <v>115.55</v>
      </c>
      <c r="AU24" s="219">
        <v>203.22499999999999</v>
      </c>
      <c r="AV24" s="239">
        <f t="shared" si="64"/>
        <v>1722.35</v>
      </c>
      <c r="AW24" s="239">
        <f t="shared" si="66"/>
        <v>143.52916666666667</v>
      </c>
    </row>
    <row r="25" spans="2:49" s="172" customFormat="1" ht="15.5" hidden="1" outlineLevel="1" x14ac:dyDescent="0.35">
      <c r="B25" s="291"/>
      <c r="C25" s="168"/>
      <c r="D25" s="262" t="s">
        <v>266</v>
      </c>
      <c r="E25" s="168" t="s">
        <v>284</v>
      </c>
      <c r="F25" s="278">
        <f>SUMIFS('01. KE30'!$I:$I,'01. KE30'!$B:$B,'03. TH_ XK-B2B'!$B$21,'01. KE30'!$E:$E,'03. TH_ XK-B2B'!$D25,'01. KE30'!$A:$A,'03. TH_ XK-B2B'!F$4)/1000</f>
        <v>16</v>
      </c>
      <c r="G25" s="171">
        <f>SUMIFS('01. KE30'!$I:$I,'01. KE30'!$B:$B,'03. TH_ XK-B2B'!$B$21,'01. KE30'!$E:$E,'03. TH_ XK-B2B'!$D25,'01. KE30'!$A:$A,'03. TH_ XK-B2B'!G$4)/1000</f>
        <v>50.5</v>
      </c>
      <c r="H25" s="171">
        <f>SUMIFS('01. KE30'!$I:$I,'01. KE30'!$B:$B,'03. TH_ XK-B2B'!$B$21,'01. KE30'!$E:$E,'03. TH_ XK-B2B'!$D25,'01. KE30'!$A:$A,'03. TH_ XK-B2B'!H$4)/1000</f>
        <v>115.05</v>
      </c>
      <c r="I25" s="171">
        <f>SUMIFS('01. KE30'!$I:$I,'01. KE30'!$B:$B,'03. TH_ XK-B2B'!$B$21,'01. KE30'!$E:$E,'03. TH_ XK-B2B'!$D25,'01. KE30'!$A:$A,'03. TH_ XK-B2B'!I$4)/1000</f>
        <v>114.6</v>
      </c>
      <c r="J25" s="171">
        <f>SUMIFS('01. KE30'!$I:$I,'01. KE30'!$B:$B,'03. TH_ XK-B2B'!$B$21,'01. KE30'!$E:$E,'03. TH_ XK-B2B'!$D25,'01. KE30'!$A:$A,'03. TH_ XK-B2B'!J$4)/1000</f>
        <v>157.75</v>
      </c>
      <c r="K25" s="171">
        <f>SUMIFS('01. KE30'!$I:$I,'01. KE30'!$B:$B,'03. TH_ XK-B2B'!$B$21,'01. KE30'!$E:$E,'03. TH_ XK-B2B'!$D25,'01. KE30'!$A:$A,'03. TH_ XK-B2B'!K$4)/1000</f>
        <v>138.375</v>
      </c>
      <c r="L25" s="171">
        <f>SUMIFS('01. KE30'!$I:$I,'01. KE30'!$B:$B,'03. TH_ XK-B2B'!$B$21,'01. KE30'!$E:$E,'03. TH_ XK-B2B'!$D25,'01. KE30'!$A:$A,'03. TH_ XK-B2B'!L$4)/1000</f>
        <v>59.674999999999997</v>
      </c>
      <c r="M25" s="171">
        <f>SUMIFS('01. KE30'!$I:$I,'01. KE30'!$B:$B,'03. TH_ XK-B2B'!$B$21,'01. KE30'!$E:$E,'03. TH_ XK-B2B'!$D25,'01. KE30'!$A:$A,'03. TH_ XK-B2B'!M$4)/1000</f>
        <v>145.77500000000001</v>
      </c>
      <c r="N25" s="171">
        <f>SUMIFS('01. KE30'!$I:$I,'01. KE30'!$B:$B,'03. TH_ XK-B2B'!$B$21,'01. KE30'!$E:$E,'03. TH_ XK-B2B'!$D25,'01. KE30'!$A:$A,'03. TH_ XK-B2B'!N$4)/1000</f>
        <v>353.75</v>
      </c>
      <c r="O25" s="171">
        <f>SUMIFS('01. KE30'!$I:$I,'01. KE30'!$B:$B,'03. TH_ XK-B2B'!$B$21,'01. KE30'!$E:$E,'03. TH_ XK-B2B'!$D25,'01. KE30'!$A:$A,'03. TH_ XK-B2B'!O$4)/1000</f>
        <v>0</v>
      </c>
      <c r="P25" s="219">
        <f>SUMIFS('01. KE30'!$I:$I,'01. KE30'!$B:$B,'03. TH_ XK-B2B'!$B$21,'01. KE30'!$E:$E,'03. TH_ XK-B2B'!$D25,'01. KE30'!$A:$A,'03. TH_ XK-B2B'!P$4)/1000</f>
        <v>0</v>
      </c>
      <c r="Q25" s="219">
        <f>SUMIFS('01. KE30'!$I:$I,'01. KE30'!$B:$B,'03. TH_ XK-B2B'!$B$21,'01. KE30'!$E:$E,'03. TH_ XK-B2B'!$D25,'01. KE30'!$A:$A,'03. TH_ XK-B2B'!Q$4)/1000</f>
        <v>0</v>
      </c>
      <c r="R25" s="239">
        <f t="shared" si="61"/>
        <v>1151.4749999999999</v>
      </c>
      <c r="S25" s="239">
        <f t="shared" si="62"/>
        <v>127.94166666666666</v>
      </c>
      <c r="T25" s="176"/>
      <c r="U25" s="278">
        <v>15</v>
      </c>
      <c r="V25" s="171">
        <v>10</v>
      </c>
      <c r="W25" s="171">
        <v>49.5</v>
      </c>
      <c r="X25" s="171">
        <v>122.5</v>
      </c>
      <c r="Y25" s="171">
        <v>102.5</v>
      </c>
      <c r="Z25" s="171">
        <v>110</v>
      </c>
      <c r="AA25" s="171">
        <v>102.5</v>
      </c>
      <c r="AB25" s="171">
        <v>110</v>
      </c>
      <c r="AC25" s="171">
        <v>115</v>
      </c>
      <c r="AD25" s="171">
        <v>110</v>
      </c>
      <c r="AE25" s="219">
        <v>115.5</v>
      </c>
      <c r="AF25" s="219">
        <v>122.5</v>
      </c>
      <c r="AG25" s="239">
        <f t="shared" si="63"/>
        <v>1085</v>
      </c>
      <c r="AH25" s="239">
        <f t="shared" si="65"/>
        <v>90.416666666666671</v>
      </c>
      <c r="AI25" s="176"/>
      <c r="AJ25" s="171">
        <v>30.25</v>
      </c>
      <c r="AK25" s="171">
        <v>0.2</v>
      </c>
      <c r="AL25" s="171">
        <v>0</v>
      </c>
      <c r="AM25" s="171">
        <v>5.65</v>
      </c>
      <c r="AN25" s="171">
        <v>46.5</v>
      </c>
      <c r="AO25" s="171">
        <v>11</v>
      </c>
      <c r="AP25" s="171">
        <v>0.05</v>
      </c>
      <c r="AQ25" s="171">
        <v>21.5</v>
      </c>
      <c r="AR25" s="171">
        <v>0</v>
      </c>
      <c r="AS25" s="171">
        <v>16.5</v>
      </c>
      <c r="AT25" s="219">
        <v>32.375</v>
      </c>
      <c r="AU25" s="219">
        <v>8.25</v>
      </c>
      <c r="AV25" s="239">
        <f t="shared" si="64"/>
        <v>172.27499999999998</v>
      </c>
      <c r="AW25" s="239">
        <f t="shared" si="66"/>
        <v>14.356249999999998</v>
      </c>
    </row>
    <row r="26" spans="2:49" s="172" customFormat="1" ht="15.5" hidden="1" outlineLevel="1" x14ac:dyDescent="0.35">
      <c r="B26" s="291"/>
      <c r="C26" s="168"/>
      <c r="D26" s="262" t="s">
        <v>295</v>
      </c>
      <c r="E26" s="168" t="s">
        <v>284</v>
      </c>
      <c r="F26" s="278">
        <f>SUMIFS('01. KE30'!$I:$I,'01. KE30'!$B:$B,'03. TH_ XK-B2B'!$B$21,'01. KE30'!$E:$E,'03. TH_ XK-B2B'!$D26,'01. KE30'!$A:$A,'03. TH_ XK-B2B'!F$4)/1000</f>
        <v>0</v>
      </c>
      <c r="G26" s="171">
        <f>SUMIFS('01. KE30'!$I:$I,'01. KE30'!$B:$B,'03. TH_ XK-B2B'!$B$21,'01. KE30'!$E:$E,'03. TH_ XK-B2B'!$D26,'01. KE30'!$A:$A,'03. TH_ XK-B2B'!G$4)/1000</f>
        <v>0</v>
      </c>
      <c r="H26" s="171">
        <f>SUMIFS('01. KE30'!$I:$I,'01. KE30'!$B:$B,'03. TH_ XK-B2B'!$B$21,'01. KE30'!$E:$E,'03. TH_ XK-B2B'!$D26,'01. KE30'!$A:$A,'03. TH_ XK-B2B'!H$4)/1000</f>
        <v>0</v>
      </c>
      <c r="I26" s="171">
        <f>SUMIFS('01. KE30'!$I:$I,'01. KE30'!$B:$B,'03. TH_ XK-B2B'!$B$21,'01. KE30'!$E:$E,'03. TH_ XK-B2B'!$D26,'01. KE30'!$A:$A,'03. TH_ XK-B2B'!I$4)/1000</f>
        <v>0</v>
      </c>
      <c r="J26" s="171">
        <f>SUMIFS('01. KE30'!$I:$I,'01. KE30'!$B:$B,'03. TH_ XK-B2B'!$B$21,'01. KE30'!$E:$E,'03. TH_ XK-B2B'!$D26,'01. KE30'!$A:$A,'03. TH_ XK-B2B'!J$4)/1000</f>
        <v>0</v>
      </c>
      <c r="K26" s="171">
        <f>SUMIFS('01. KE30'!$I:$I,'01. KE30'!$B:$B,'03. TH_ XK-B2B'!$B$21,'01. KE30'!$E:$E,'03. TH_ XK-B2B'!$D26,'01. KE30'!$A:$A,'03. TH_ XK-B2B'!K$4)/1000</f>
        <v>0</v>
      </c>
      <c r="L26" s="171">
        <f>SUMIFS('01. KE30'!$I:$I,'01. KE30'!$B:$B,'03. TH_ XK-B2B'!$B$21,'01. KE30'!$E:$E,'03. TH_ XK-B2B'!$D26,'01. KE30'!$A:$A,'03. TH_ XK-B2B'!L$4)/1000</f>
        <v>0</v>
      </c>
      <c r="M26" s="171">
        <f>SUMIFS('01. KE30'!$I:$I,'01. KE30'!$B:$B,'03. TH_ XK-B2B'!$B$21,'01. KE30'!$E:$E,'03. TH_ XK-B2B'!$D26,'01. KE30'!$A:$A,'03. TH_ XK-B2B'!M$4)/1000</f>
        <v>0</v>
      </c>
      <c r="N26" s="171">
        <f>SUMIFS('01. KE30'!$I:$I,'01. KE30'!$B:$B,'03. TH_ XK-B2B'!$B$21,'01. KE30'!$E:$E,'03. TH_ XK-B2B'!$D26,'01. KE30'!$A:$A,'03. TH_ XK-B2B'!N$4)/1000</f>
        <v>0</v>
      </c>
      <c r="O26" s="171">
        <f>SUMIFS('01. KE30'!$I:$I,'01. KE30'!$B:$B,'03. TH_ XK-B2B'!$B$21,'01. KE30'!$E:$E,'03. TH_ XK-B2B'!$D26,'01. KE30'!$A:$A,'03. TH_ XK-B2B'!O$4)/1000</f>
        <v>0</v>
      </c>
      <c r="P26" s="219">
        <f>SUMIFS('01. KE30'!$I:$I,'01. KE30'!$B:$B,'03. TH_ XK-B2B'!$B$21,'01. KE30'!$E:$E,'03. TH_ XK-B2B'!$D26,'01. KE30'!$A:$A,'03. TH_ XK-B2B'!P$4)/1000</f>
        <v>0</v>
      </c>
      <c r="Q26" s="219">
        <f>SUMIFS('01. KE30'!$I:$I,'01. KE30'!$B:$B,'03. TH_ XK-B2B'!$B$21,'01. KE30'!$E:$E,'03. TH_ XK-B2B'!$D26,'01. KE30'!$A:$A,'03. TH_ XK-B2B'!Q$4)/1000</f>
        <v>0</v>
      </c>
      <c r="R26" s="239">
        <f t="shared" si="61"/>
        <v>0</v>
      </c>
      <c r="S26" s="239">
        <f t="shared" si="62"/>
        <v>0</v>
      </c>
      <c r="T26" s="176"/>
      <c r="U26" s="278">
        <v>5</v>
      </c>
      <c r="V26" s="171">
        <v>5</v>
      </c>
      <c r="W26" s="171">
        <v>10.25</v>
      </c>
      <c r="X26" s="171">
        <v>22.75</v>
      </c>
      <c r="Y26" s="171">
        <v>22.75</v>
      </c>
      <c r="Z26" s="171">
        <v>22.75</v>
      </c>
      <c r="AA26" s="171">
        <v>35.25</v>
      </c>
      <c r="AB26" s="171">
        <v>35.25</v>
      </c>
      <c r="AC26" s="171">
        <v>35.25</v>
      </c>
      <c r="AD26" s="171">
        <v>40.25</v>
      </c>
      <c r="AE26" s="219">
        <v>40.25</v>
      </c>
      <c r="AF26" s="219">
        <v>40.25</v>
      </c>
      <c r="AG26" s="239">
        <f t="shared" si="63"/>
        <v>315</v>
      </c>
      <c r="AH26" s="239">
        <f t="shared" si="65"/>
        <v>26.25</v>
      </c>
      <c r="AI26" s="176"/>
      <c r="AJ26" s="171">
        <v>2.25</v>
      </c>
      <c r="AK26" s="171">
        <v>36.75</v>
      </c>
      <c r="AL26" s="171">
        <v>12</v>
      </c>
      <c r="AM26" s="171">
        <v>22.75</v>
      </c>
      <c r="AN26" s="171">
        <v>0</v>
      </c>
      <c r="AO26" s="171">
        <v>0</v>
      </c>
      <c r="AP26" s="171">
        <v>2.25</v>
      </c>
      <c r="AQ26" s="171">
        <v>0</v>
      </c>
      <c r="AR26" s="171">
        <v>10.25</v>
      </c>
      <c r="AS26" s="171">
        <v>54</v>
      </c>
      <c r="AT26" s="219">
        <v>10.074999999999999</v>
      </c>
      <c r="AU26" s="219">
        <v>9.75</v>
      </c>
      <c r="AV26" s="239">
        <f t="shared" si="64"/>
        <v>160.07499999999999</v>
      </c>
      <c r="AW26" s="239">
        <f t="shared" si="66"/>
        <v>13.339583333333332</v>
      </c>
    </row>
    <row r="27" spans="2:49" s="172" customFormat="1" ht="15.5" hidden="1" outlineLevel="1" x14ac:dyDescent="0.35">
      <c r="B27" s="291"/>
      <c r="C27" s="168"/>
      <c r="D27" s="262" t="s">
        <v>23</v>
      </c>
      <c r="E27" s="168" t="s">
        <v>284</v>
      </c>
      <c r="F27" s="278">
        <f>SUMIFS('01. KE30'!$I:$I,'01. KE30'!$B:$B,'03. TH_ XK-B2B'!$B$21,'01. KE30'!$E:$E,'03. TH_ XK-B2B'!$D27,'01. KE30'!$A:$A,'03. TH_ XK-B2B'!F$4)/1000</f>
        <v>0</v>
      </c>
      <c r="G27" s="171">
        <f>SUMIFS('01. KE30'!$I:$I,'01. KE30'!$B:$B,'03. TH_ XK-B2B'!$B$21,'01. KE30'!$E:$E,'03. TH_ XK-B2B'!$D27,'01. KE30'!$A:$A,'03. TH_ XK-B2B'!G$4)/1000</f>
        <v>0.67500000000000004</v>
      </c>
      <c r="H27" s="171">
        <f>SUMIFS('01. KE30'!$I:$I,'01. KE30'!$B:$B,'03. TH_ XK-B2B'!$B$21,'01. KE30'!$E:$E,'03. TH_ XK-B2B'!$D27,'01. KE30'!$A:$A,'03. TH_ XK-B2B'!H$4)/1000</f>
        <v>28.875</v>
      </c>
      <c r="I27" s="171">
        <f>SUMIFS('01. KE30'!$I:$I,'01. KE30'!$B:$B,'03. TH_ XK-B2B'!$B$21,'01. KE30'!$E:$E,'03. TH_ XK-B2B'!$D27,'01. KE30'!$A:$A,'03. TH_ XK-B2B'!I$4)/1000</f>
        <v>6.6749999999999998</v>
      </c>
      <c r="J27" s="171">
        <f>SUMIFS('01. KE30'!$I:$I,'01. KE30'!$B:$B,'03. TH_ XK-B2B'!$B$21,'01. KE30'!$E:$E,'03. TH_ XK-B2B'!$D27,'01. KE30'!$A:$A,'03. TH_ XK-B2B'!J$4)/1000</f>
        <v>20.25</v>
      </c>
      <c r="K27" s="171">
        <f>SUMIFS('01. KE30'!$I:$I,'01. KE30'!$B:$B,'03. TH_ XK-B2B'!$B$21,'01. KE30'!$E:$E,'03. TH_ XK-B2B'!$D27,'01. KE30'!$A:$A,'03. TH_ XK-B2B'!K$4)/1000</f>
        <v>0</v>
      </c>
      <c r="L27" s="171">
        <f>SUMIFS('01. KE30'!$I:$I,'01. KE30'!$B:$B,'03. TH_ XK-B2B'!$B$21,'01. KE30'!$E:$E,'03. TH_ XK-B2B'!$D27,'01. KE30'!$A:$A,'03. TH_ XK-B2B'!L$4)/1000</f>
        <v>26.85</v>
      </c>
      <c r="M27" s="171">
        <f>SUMIFS('01. KE30'!$I:$I,'01. KE30'!$B:$B,'03. TH_ XK-B2B'!$B$21,'01. KE30'!$E:$E,'03. TH_ XK-B2B'!$D27,'01. KE30'!$A:$A,'03. TH_ XK-B2B'!M$4)/1000</f>
        <v>16.55</v>
      </c>
      <c r="N27" s="171">
        <f>SUMIFS('01. KE30'!$I:$I,'01. KE30'!$B:$B,'03. TH_ XK-B2B'!$B$21,'01. KE30'!$E:$E,'03. TH_ XK-B2B'!$D27,'01. KE30'!$A:$A,'03. TH_ XK-B2B'!N$4)/1000</f>
        <v>27.55</v>
      </c>
      <c r="O27" s="171">
        <f>SUMIFS('01. KE30'!$I:$I,'01. KE30'!$B:$B,'03. TH_ XK-B2B'!$B$21,'01. KE30'!$E:$E,'03. TH_ XK-B2B'!$D27,'01. KE30'!$A:$A,'03. TH_ XK-B2B'!O$4)/1000</f>
        <v>0</v>
      </c>
      <c r="P27" s="219">
        <f>SUMIFS('01. KE30'!$I:$I,'01. KE30'!$B:$B,'03. TH_ XK-B2B'!$B$21,'01. KE30'!$E:$E,'03. TH_ XK-B2B'!$D27,'01. KE30'!$A:$A,'03. TH_ XK-B2B'!P$4)/1000</f>
        <v>0</v>
      </c>
      <c r="Q27" s="219">
        <f>SUMIFS('01. KE30'!$I:$I,'01. KE30'!$B:$B,'03. TH_ XK-B2B'!$B$21,'01. KE30'!$E:$E,'03. TH_ XK-B2B'!$D27,'01. KE30'!$A:$A,'03. TH_ XK-B2B'!Q$4)/1000</f>
        <v>0</v>
      </c>
      <c r="R27" s="239">
        <f t="shared" si="61"/>
        <v>127.425</v>
      </c>
      <c r="S27" s="239">
        <f t="shared" si="62"/>
        <v>18.203571428571429</v>
      </c>
      <c r="T27" s="176"/>
      <c r="U27" s="278">
        <v>26</v>
      </c>
      <c r="V27" s="171">
        <v>36</v>
      </c>
      <c r="W27" s="171">
        <v>51</v>
      </c>
      <c r="X27" s="171">
        <v>36.25</v>
      </c>
      <c r="Y27" s="171">
        <v>56.25</v>
      </c>
      <c r="Z27" s="171">
        <v>36</v>
      </c>
      <c r="AA27" s="171">
        <v>66</v>
      </c>
      <c r="AB27" s="171">
        <v>46</v>
      </c>
      <c r="AC27" s="171">
        <v>66</v>
      </c>
      <c r="AD27" s="171">
        <v>52</v>
      </c>
      <c r="AE27" s="219">
        <v>72</v>
      </c>
      <c r="AF27" s="219">
        <v>52</v>
      </c>
      <c r="AG27" s="239">
        <f t="shared" si="63"/>
        <v>595.5</v>
      </c>
      <c r="AH27" s="239">
        <f t="shared" si="65"/>
        <v>49.625</v>
      </c>
      <c r="AI27" s="176"/>
      <c r="AJ27" s="171">
        <v>0</v>
      </c>
      <c r="AK27" s="171">
        <v>0</v>
      </c>
      <c r="AL27" s="171">
        <v>17</v>
      </c>
      <c r="AM27" s="171">
        <v>0</v>
      </c>
      <c r="AN27" s="171">
        <v>0</v>
      </c>
      <c r="AO27" s="171">
        <v>0</v>
      </c>
      <c r="AP27" s="171">
        <v>0.3</v>
      </c>
      <c r="AQ27" s="171">
        <v>16.675000000000001</v>
      </c>
      <c r="AR27" s="171">
        <v>2.5000000000000001E-2</v>
      </c>
      <c r="AS27" s="171">
        <v>18.024999999999999</v>
      </c>
      <c r="AT27" s="219">
        <v>22.024999999999999</v>
      </c>
      <c r="AU27" s="219">
        <v>2.5000000000000001E-2</v>
      </c>
      <c r="AV27" s="239">
        <f t="shared" si="64"/>
        <v>74.075000000000003</v>
      </c>
      <c r="AW27" s="239">
        <f t="shared" si="66"/>
        <v>6.1729166666666666</v>
      </c>
    </row>
    <row r="28" spans="2:49" s="172" customFormat="1" ht="15.5" hidden="1" outlineLevel="1" x14ac:dyDescent="0.35">
      <c r="B28" s="291"/>
      <c r="C28" s="168"/>
      <c r="D28" s="262" t="s">
        <v>269</v>
      </c>
      <c r="E28" s="168" t="s">
        <v>284</v>
      </c>
      <c r="F28" s="278">
        <f>SUMIFS('01. KE30'!$I:$I,'01. KE30'!$B:$B,'03. TH_ XK-B2B'!$B$21,'01. KE30'!$E:$E,'03. TH_ XK-B2B'!$D28,'01. KE30'!$A:$A,'03. TH_ XK-B2B'!F$4)/1000</f>
        <v>0</v>
      </c>
      <c r="G28" s="171">
        <f>SUMIFS('01. KE30'!$I:$I,'01. KE30'!$B:$B,'03. TH_ XK-B2B'!$B$21,'01. KE30'!$E:$E,'03. TH_ XK-B2B'!$D28,'01. KE30'!$A:$A,'03. TH_ XK-B2B'!G$4)/1000</f>
        <v>0</v>
      </c>
      <c r="H28" s="171">
        <f>SUMIFS('01. KE30'!$I:$I,'01. KE30'!$B:$B,'03. TH_ XK-B2B'!$B$21,'01. KE30'!$E:$E,'03. TH_ XK-B2B'!$D28,'01. KE30'!$A:$A,'03. TH_ XK-B2B'!H$4)/1000</f>
        <v>0</v>
      </c>
      <c r="I28" s="171">
        <f>SUMIFS('01. KE30'!$I:$I,'01. KE30'!$B:$B,'03. TH_ XK-B2B'!$B$21,'01. KE30'!$E:$E,'03. TH_ XK-B2B'!$D28,'01. KE30'!$A:$A,'03. TH_ XK-B2B'!I$4)/1000</f>
        <v>0</v>
      </c>
      <c r="J28" s="171">
        <f>SUMIFS('01. KE30'!$I:$I,'01. KE30'!$B:$B,'03. TH_ XK-B2B'!$B$21,'01. KE30'!$E:$E,'03. TH_ XK-B2B'!$D28,'01. KE30'!$A:$A,'03. TH_ XK-B2B'!J$4)/1000</f>
        <v>0</v>
      </c>
      <c r="K28" s="171">
        <f>SUMIFS('01. KE30'!$I:$I,'01. KE30'!$B:$B,'03. TH_ XK-B2B'!$B$21,'01. KE30'!$E:$E,'03. TH_ XK-B2B'!$D28,'01. KE30'!$A:$A,'03. TH_ XK-B2B'!K$4)/1000</f>
        <v>0</v>
      </c>
      <c r="L28" s="171">
        <f>SUMIFS('01. KE30'!$I:$I,'01. KE30'!$B:$B,'03. TH_ XK-B2B'!$B$21,'01. KE30'!$E:$E,'03. TH_ XK-B2B'!$D28,'01. KE30'!$A:$A,'03. TH_ XK-B2B'!L$4)/1000</f>
        <v>0</v>
      </c>
      <c r="M28" s="171">
        <f>SUMIFS('01. KE30'!$I:$I,'01. KE30'!$B:$B,'03. TH_ XK-B2B'!$B$21,'01. KE30'!$E:$E,'03. TH_ XK-B2B'!$D28,'01. KE30'!$A:$A,'03. TH_ XK-B2B'!M$4)/1000</f>
        <v>0</v>
      </c>
      <c r="N28" s="171">
        <f>SUMIFS('01. KE30'!$I:$I,'01. KE30'!$B:$B,'03. TH_ XK-B2B'!$B$21,'01. KE30'!$E:$E,'03. TH_ XK-B2B'!$D28,'01. KE30'!$A:$A,'03. TH_ XK-B2B'!N$4)/1000</f>
        <v>0</v>
      </c>
      <c r="O28" s="171">
        <f>SUMIFS('01. KE30'!$I:$I,'01. KE30'!$B:$B,'03. TH_ XK-B2B'!$B$21,'01. KE30'!$E:$E,'03. TH_ XK-B2B'!$D28,'01. KE30'!$A:$A,'03. TH_ XK-B2B'!O$4)/1000</f>
        <v>0</v>
      </c>
      <c r="P28" s="219">
        <f>SUMIFS('01. KE30'!$I:$I,'01. KE30'!$B:$B,'03. TH_ XK-B2B'!$B$21,'01. KE30'!$E:$E,'03. TH_ XK-B2B'!$D28,'01. KE30'!$A:$A,'03. TH_ XK-B2B'!P$4)/1000</f>
        <v>0</v>
      </c>
      <c r="Q28" s="219">
        <f>SUMIFS('01. KE30'!$I:$I,'01. KE30'!$B:$B,'03. TH_ XK-B2B'!$B$21,'01. KE30'!$E:$E,'03. TH_ XK-B2B'!$D28,'01. KE30'!$A:$A,'03. TH_ XK-B2B'!Q$4)/1000</f>
        <v>0</v>
      </c>
      <c r="R28" s="239">
        <f t="shared" si="61"/>
        <v>0</v>
      </c>
      <c r="S28" s="239">
        <f t="shared" si="62"/>
        <v>0</v>
      </c>
      <c r="T28" s="176"/>
      <c r="U28" s="278">
        <v>0</v>
      </c>
      <c r="V28" s="171">
        <v>0</v>
      </c>
      <c r="W28" s="171">
        <v>10.5</v>
      </c>
      <c r="X28" s="171">
        <v>10.5</v>
      </c>
      <c r="Y28" s="171">
        <v>10.5</v>
      </c>
      <c r="Z28" s="171">
        <v>10.5</v>
      </c>
      <c r="AA28" s="171">
        <v>10.5</v>
      </c>
      <c r="AB28" s="171">
        <v>10.5</v>
      </c>
      <c r="AC28" s="171">
        <v>10.5</v>
      </c>
      <c r="AD28" s="171">
        <v>10.5</v>
      </c>
      <c r="AE28" s="219">
        <v>10.5</v>
      </c>
      <c r="AF28" s="219">
        <v>10.5</v>
      </c>
      <c r="AG28" s="239">
        <f t="shared" si="63"/>
        <v>105</v>
      </c>
      <c r="AH28" s="239">
        <f t="shared" si="65"/>
        <v>8.75</v>
      </c>
      <c r="AI28" s="176"/>
      <c r="AJ28" s="171">
        <v>15</v>
      </c>
      <c r="AK28" s="171">
        <v>15</v>
      </c>
      <c r="AL28" s="171">
        <v>39</v>
      </c>
      <c r="AM28" s="171">
        <v>30.5</v>
      </c>
      <c r="AN28" s="171">
        <v>35.25</v>
      </c>
      <c r="AO28" s="171">
        <v>5.25</v>
      </c>
      <c r="AP28" s="171">
        <v>0</v>
      </c>
      <c r="AQ28" s="171">
        <v>0</v>
      </c>
      <c r="AR28" s="171">
        <v>0</v>
      </c>
      <c r="AS28" s="171">
        <v>0</v>
      </c>
      <c r="AT28" s="219">
        <v>0</v>
      </c>
      <c r="AU28" s="219">
        <v>0</v>
      </c>
      <c r="AV28" s="239">
        <f t="shared" si="64"/>
        <v>140</v>
      </c>
      <c r="AW28" s="239">
        <f t="shared" si="66"/>
        <v>11.666666666666666</v>
      </c>
    </row>
    <row r="29" spans="2:49" s="172" customFormat="1" ht="15.5" hidden="1" outlineLevel="1" x14ac:dyDescent="0.35">
      <c r="B29" s="291"/>
      <c r="C29" s="168"/>
      <c r="D29" s="262" t="s">
        <v>1091</v>
      </c>
      <c r="E29" s="168" t="s">
        <v>284</v>
      </c>
      <c r="F29" s="278"/>
      <c r="G29" s="171"/>
      <c r="H29" s="171">
        <f>SUMIFS('01. KE30'!$I:$I,'01. KE30'!$B:$B,'03. TH_ XK-B2B'!$B$21,'01. KE30'!$E:$E,'03. TH_ XK-B2B'!$D29,'01. KE30'!$A:$A,'03. TH_ XK-B2B'!H$4)/1000</f>
        <v>0</v>
      </c>
      <c r="I29" s="171">
        <f>SUMIFS('01. KE30'!$I:$I,'01. KE30'!$B:$B,'03. TH_ XK-B2B'!$B$21,'01. KE30'!$E:$E,'03. TH_ XK-B2B'!$D29,'01. KE30'!$A:$A,'03. TH_ XK-B2B'!I$4)/1000</f>
        <v>0</v>
      </c>
      <c r="J29" s="171">
        <f>SUMIFS('01. KE30'!$I:$I,'01. KE30'!$B:$B,'03. TH_ XK-B2B'!$B$21,'01. KE30'!$E:$E,'03. TH_ XK-B2B'!$D29,'01. KE30'!$A:$A,'03. TH_ XK-B2B'!J$4)/1000</f>
        <v>3.839</v>
      </c>
      <c r="K29" s="171">
        <f>SUMIFS('01. KE30'!$I:$I,'01. KE30'!$B:$B,'03. TH_ XK-B2B'!$B$21,'01. KE30'!$E:$E,'03. TH_ XK-B2B'!$D29,'01. KE30'!$A:$A,'03. TH_ XK-B2B'!K$4)/1000</f>
        <v>0</v>
      </c>
      <c r="L29" s="171">
        <f>SUMIFS('01. KE30'!$I:$I,'01. KE30'!$B:$B,'03. TH_ XK-B2B'!$B$21,'01. KE30'!$E:$E,'03. TH_ XK-B2B'!$D29,'01. KE30'!$A:$A,'03. TH_ XK-B2B'!L$4)/1000</f>
        <v>0</v>
      </c>
      <c r="M29" s="171">
        <f>SUMIFS('01. KE30'!$I:$I,'01. KE30'!$B:$B,'03. TH_ XK-B2B'!$B$21,'01. KE30'!$E:$E,'03. TH_ XK-B2B'!$D29,'01. KE30'!$A:$A,'03. TH_ XK-B2B'!M$4)/1000</f>
        <v>0</v>
      </c>
      <c r="N29" s="171">
        <f>SUMIFS('01. KE30'!$I:$I,'01. KE30'!$B:$B,'03. TH_ XK-B2B'!$B$21,'01. KE30'!$E:$E,'03. TH_ XK-B2B'!$D29,'01. KE30'!$A:$A,'03. TH_ XK-B2B'!N$4)/1000</f>
        <v>7.718</v>
      </c>
      <c r="O29" s="171">
        <f>SUMIFS('01. KE30'!$I:$I,'01. KE30'!$B:$B,'03. TH_ XK-B2B'!$B$21,'01. KE30'!$E:$E,'03. TH_ XK-B2B'!$D29,'01. KE30'!$A:$A,'03. TH_ XK-B2B'!O$4)/1000</f>
        <v>0</v>
      </c>
      <c r="P29" s="219">
        <f>SUMIFS('01. KE30'!$I:$I,'01. KE30'!$B:$B,'03. TH_ XK-B2B'!$B$21,'01. KE30'!$E:$E,'03. TH_ XK-B2B'!$D29,'01. KE30'!$A:$A,'03. TH_ XK-B2B'!P$4)/1000</f>
        <v>0</v>
      </c>
      <c r="Q29" s="219">
        <f>SUMIFS('01. KE30'!$I:$I,'01. KE30'!$B:$B,'03. TH_ XK-B2B'!$B$21,'01. KE30'!$E:$E,'03. TH_ XK-B2B'!$D29,'01. KE30'!$A:$A,'03. TH_ XK-B2B'!Q$4)/1000</f>
        <v>0</v>
      </c>
      <c r="R29" s="239">
        <f t="shared" ref="R29" si="67">SUM(F29:Q29)</f>
        <v>11.557</v>
      </c>
      <c r="S29" s="239">
        <f t="shared" ref="S29" si="68">IFERROR(R29/(12-COUNTIF(F29:Q29,0)),0)</f>
        <v>2.8892500000000001</v>
      </c>
      <c r="T29" s="176"/>
      <c r="U29" s="278"/>
      <c r="V29" s="171"/>
      <c r="W29" s="171"/>
      <c r="X29" s="171"/>
      <c r="Y29" s="171"/>
      <c r="Z29" s="171"/>
      <c r="AA29" s="171"/>
      <c r="AB29" s="171"/>
      <c r="AC29" s="171"/>
      <c r="AD29" s="171"/>
      <c r="AE29" s="219"/>
      <c r="AF29" s="219"/>
      <c r="AG29" s="239"/>
      <c r="AH29" s="239"/>
      <c r="AI29" s="176"/>
      <c r="AJ29" s="171"/>
      <c r="AK29" s="171"/>
      <c r="AL29" s="171"/>
      <c r="AM29" s="171"/>
      <c r="AN29" s="171"/>
      <c r="AO29" s="171"/>
      <c r="AP29" s="171"/>
      <c r="AQ29" s="171"/>
      <c r="AR29" s="171"/>
      <c r="AS29" s="171"/>
      <c r="AT29" s="219"/>
      <c r="AU29" s="219"/>
      <c r="AV29" s="239"/>
      <c r="AW29" s="239"/>
    </row>
    <row r="30" spans="2:49" s="167" customFormat="1" ht="15.5" collapsed="1" x14ac:dyDescent="0.35">
      <c r="B30" s="292"/>
      <c r="C30" s="165"/>
      <c r="D30" s="263"/>
      <c r="E30" s="165" t="s">
        <v>285</v>
      </c>
      <c r="F30" s="279">
        <f t="shared" ref="F30:S30" si="69">IFERROR(F21/F$39,"-")</f>
        <v>0.26803310998370899</v>
      </c>
      <c r="G30" s="206">
        <f t="shared" si="69"/>
        <v>0.27985502152309566</v>
      </c>
      <c r="H30" s="206">
        <f t="shared" si="69"/>
        <v>0.28840296503313279</v>
      </c>
      <c r="I30" s="206">
        <f t="shared" si="69"/>
        <v>0.27004550854664788</v>
      </c>
      <c r="J30" s="206">
        <f t="shared" si="69"/>
        <v>0.23778962657648856</v>
      </c>
      <c r="K30" s="206">
        <f t="shared" si="69"/>
        <v>0.38796686710907741</v>
      </c>
      <c r="L30" s="206">
        <f t="shared" si="69"/>
        <v>0.39689819637607821</v>
      </c>
      <c r="M30" s="206">
        <f t="shared" si="69"/>
        <v>0.42453493373374179</v>
      </c>
      <c r="N30" s="206">
        <f t="shared" si="69"/>
        <v>0.70117156553356497</v>
      </c>
      <c r="O30" s="206" t="str">
        <f t="shared" si="69"/>
        <v>-</v>
      </c>
      <c r="P30" s="224" t="str">
        <f t="shared" si="69"/>
        <v>-</v>
      </c>
      <c r="Q30" s="224" t="str">
        <f t="shared" si="69"/>
        <v>-</v>
      </c>
      <c r="R30" s="206">
        <f t="shared" si="69"/>
        <v>0.34734344847298909</v>
      </c>
      <c r="S30" s="206">
        <f t="shared" si="69"/>
        <v>0.33629865852006618</v>
      </c>
      <c r="T30" s="283"/>
      <c r="U30" s="279">
        <f t="shared" ref="U30:AH30" si="70">IFERROR(U21/U$39,"-")</f>
        <v>0.36124283365548382</v>
      </c>
      <c r="V30" s="206">
        <f t="shared" si="70"/>
        <v>0.34604286383702865</v>
      </c>
      <c r="W30" s="206">
        <f t="shared" si="70"/>
        <v>0.42242839118115816</v>
      </c>
      <c r="X30" s="206">
        <f t="shared" si="70"/>
        <v>0.47081536662390722</v>
      </c>
      <c r="Y30" s="206">
        <f t="shared" si="70"/>
        <v>0.38963960448582369</v>
      </c>
      <c r="Z30" s="206">
        <f t="shared" si="70"/>
        <v>0.42109647145401646</v>
      </c>
      <c r="AA30" s="206">
        <f t="shared" si="70"/>
        <v>0.39070216465571933</v>
      </c>
      <c r="AB30" s="206">
        <f t="shared" si="70"/>
        <v>0.44759346391528904</v>
      </c>
      <c r="AC30" s="206">
        <f t="shared" si="70"/>
        <v>0.38931097720723079</v>
      </c>
      <c r="AD30" s="206">
        <f t="shared" si="70"/>
        <v>0.40078243994464158</v>
      </c>
      <c r="AE30" s="224">
        <f t="shared" si="70"/>
        <v>0.47878612222879324</v>
      </c>
      <c r="AF30" s="224">
        <f t="shared" si="70"/>
        <v>0.49469950984352695</v>
      </c>
      <c r="AG30" s="206">
        <f t="shared" si="70"/>
        <v>0.42115333333333338</v>
      </c>
      <c r="AH30" s="206">
        <f t="shared" si="70"/>
        <v>0.42115333333333338</v>
      </c>
      <c r="AI30" s="283"/>
      <c r="AJ30" s="206">
        <f t="shared" ref="AJ30:AV30" si="71">IFERROR(AJ21/AJ$39,"-")</f>
        <v>0.44829507854132566</v>
      </c>
      <c r="AK30" s="206">
        <f t="shared" si="71"/>
        <v>0.49912201029367242</v>
      </c>
      <c r="AL30" s="206">
        <f t="shared" si="71"/>
        <v>0.37557591803053225</v>
      </c>
      <c r="AM30" s="206">
        <f t="shared" si="71"/>
        <v>0.26420370225728346</v>
      </c>
      <c r="AN30" s="206">
        <f t="shared" si="71"/>
        <v>0.66965158565674732</v>
      </c>
      <c r="AO30" s="206">
        <f t="shared" si="71"/>
        <v>0.87139630662946721</v>
      </c>
      <c r="AP30" s="206">
        <f t="shared" si="71"/>
        <v>0.38780142638960891</v>
      </c>
      <c r="AQ30" s="206">
        <f t="shared" si="71"/>
        <v>0.28215142144340755</v>
      </c>
      <c r="AR30" s="206">
        <f t="shared" si="71"/>
        <v>0.22401571440772056</v>
      </c>
      <c r="AS30" s="206">
        <f t="shared" si="71"/>
        <v>0.38436137987001634</v>
      </c>
      <c r="AT30" s="224">
        <f t="shared" si="71"/>
        <v>0.69877150500145802</v>
      </c>
      <c r="AU30" s="224">
        <f t="shared" si="71"/>
        <v>0.50330503697883755</v>
      </c>
      <c r="AV30" s="206">
        <f t="shared" si="71"/>
        <v>0.42855446009937359</v>
      </c>
      <c r="AW30" s="206">
        <f t="shared" ref="AW30" si="72">IFERROR(AW21/AW$39,"-")</f>
        <v>0.42855446009937365</v>
      </c>
    </row>
    <row r="31" spans="2:49" s="164" customFormat="1" ht="15.5" hidden="1" outlineLevel="1" x14ac:dyDescent="0.35">
      <c r="B31" s="293"/>
      <c r="C31" s="195"/>
      <c r="D31" s="262" t="s">
        <v>283</v>
      </c>
      <c r="E31" s="168" t="s">
        <v>285</v>
      </c>
      <c r="F31" s="281">
        <f t="shared" ref="F31:S31" si="73">IF(F22&lt;&gt;0,F22/F$39,"-")</f>
        <v>0.21303023197281032</v>
      </c>
      <c r="G31" s="200">
        <f t="shared" si="73"/>
        <v>0.22897104538794066</v>
      </c>
      <c r="H31" s="200">
        <f t="shared" si="73"/>
        <v>0.19283632274756826</v>
      </c>
      <c r="I31" s="200">
        <f t="shared" si="73"/>
        <v>0.19823808565474527</v>
      </c>
      <c r="J31" s="200">
        <f t="shared" si="73"/>
        <v>0.15580476879222258</v>
      </c>
      <c r="K31" s="200">
        <f t="shared" si="73"/>
        <v>0.26328021718345379</v>
      </c>
      <c r="L31" s="200">
        <f t="shared" si="73"/>
        <v>0.20698713086793832</v>
      </c>
      <c r="M31" s="200">
        <f t="shared" si="73"/>
        <v>0.28602577423686271</v>
      </c>
      <c r="N31" s="200">
        <f t="shared" si="73"/>
        <v>0.38275631971330532</v>
      </c>
      <c r="O31" s="200" t="str">
        <f t="shared" si="73"/>
        <v>-</v>
      </c>
      <c r="P31" s="200" t="str">
        <f t="shared" si="73"/>
        <v>-</v>
      </c>
      <c r="Q31" s="200" t="str">
        <f t="shared" si="73"/>
        <v>-</v>
      </c>
      <c r="R31" s="242">
        <f t="shared" si="73"/>
        <v>0.2304348278366504</v>
      </c>
      <c r="S31" s="242">
        <f t="shared" si="73"/>
        <v>0.21973519056069138</v>
      </c>
      <c r="T31" s="176"/>
      <c r="U31" s="281">
        <f t="shared" ref="U31:AH31" si="74">IF(U22&lt;&gt;0,U22/U$39,"-")</f>
        <v>0.26082376453369122</v>
      </c>
      <c r="V31" s="200">
        <f t="shared" si="74"/>
        <v>0.24191130731688601</v>
      </c>
      <c r="W31" s="200">
        <f t="shared" si="74"/>
        <v>0.26464273065344429</v>
      </c>
      <c r="X31" s="200">
        <f t="shared" si="74"/>
        <v>0.27530665759959611</v>
      </c>
      <c r="Y31" s="200">
        <f t="shared" si="74"/>
        <v>0.22497210017403244</v>
      </c>
      <c r="Z31" s="200">
        <f t="shared" si="74"/>
        <v>0.24565982576629064</v>
      </c>
      <c r="AA31" s="200">
        <f t="shared" si="74"/>
        <v>0.20827246248557837</v>
      </c>
      <c r="AB31" s="200">
        <f t="shared" si="74"/>
        <v>0.25393612111651059</v>
      </c>
      <c r="AC31" s="200">
        <f t="shared" si="74"/>
        <v>0.2140982493454229</v>
      </c>
      <c r="AD31" s="200">
        <f t="shared" si="74"/>
        <v>0.22624111830151769</v>
      </c>
      <c r="AE31" s="200">
        <f t="shared" si="74"/>
        <v>0.26865774162041356</v>
      </c>
      <c r="AF31" s="200">
        <f t="shared" si="74"/>
        <v>0.28576862998572622</v>
      </c>
      <c r="AG31" s="242">
        <f t="shared" si="74"/>
        <v>0.24561166666666667</v>
      </c>
      <c r="AH31" s="242">
        <f t="shared" si="74"/>
        <v>0.24561166666666667</v>
      </c>
      <c r="AI31" s="176"/>
      <c r="AJ31" s="200">
        <f t="shared" ref="AJ31:AV31" si="75">IF(AJ22&lt;&gt;0,AJ22/AJ$39,"-")</f>
        <v>0.34177376847433627</v>
      </c>
      <c r="AK31" s="200">
        <f t="shared" si="75"/>
        <v>0.44972449288525584</v>
      </c>
      <c r="AL31" s="200">
        <f t="shared" si="75"/>
        <v>0.30134266263237519</v>
      </c>
      <c r="AM31" s="200">
        <f t="shared" si="75"/>
        <v>0.18702647816917911</v>
      </c>
      <c r="AN31" s="200">
        <f t="shared" si="75"/>
        <v>0.57151683416102916</v>
      </c>
      <c r="AO31" s="200">
        <f t="shared" si="75"/>
        <v>0.7025906735751295</v>
      </c>
      <c r="AP31" s="200">
        <f t="shared" si="75"/>
        <v>0.23298631058302624</v>
      </c>
      <c r="AQ31" s="200">
        <f t="shared" si="75"/>
        <v>0.24793201362652381</v>
      </c>
      <c r="AR31" s="200">
        <f t="shared" si="75"/>
        <v>0.19341959176701681</v>
      </c>
      <c r="AS31" s="200">
        <f t="shared" si="75"/>
        <v>0.31033783169279633</v>
      </c>
      <c r="AT31" s="200">
        <f t="shared" si="75"/>
        <v>0.60189915945079042</v>
      </c>
      <c r="AU31" s="200">
        <f t="shared" si="75"/>
        <v>0.42020940441013199</v>
      </c>
      <c r="AV31" s="242">
        <f t="shared" si="75"/>
        <v>0.35126724232987977</v>
      </c>
      <c r="AW31" s="242">
        <f t="shared" ref="AW31" si="76">IF(AW22&lt;&gt;0,AW22/AW$39,"-")</f>
        <v>0.35126724232987977</v>
      </c>
    </row>
    <row r="32" spans="2:49" s="164" customFormat="1" ht="15.5" hidden="1" outlineLevel="1" x14ac:dyDescent="0.35">
      <c r="B32" s="293"/>
      <c r="C32" s="195"/>
      <c r="D32" s="262" t="s">
        <v>95</v>
      </c>
      <c r="E32" s="168" t="s">
        <v>285</v>
      </c>
      <c r="F32" s="281">
        <f t="shared" ref="F32:S32" si="77">IF(F23&lt;&gt;0,F23/F$39,"-")</f>
        <v>3.1536703576746706E-3</v>
      </c>
      <c r="G32" s="200">
        <f t="shared" si="77"/>
        <v>3.0127769129992192E-3</v>
      </c>
      <c r="H32" s="200">
        <f t="shared" si="77"/>
        <v>7.2051615157039768E-3</v>
      </c>
      <c r="I32" s="200">
        <f t="shared" si="77"/>
        <v>2.5967786960275779E-4</v>
      </c>
      <c r="J32" s="200" t="str">
        <f t="shared" si="77"/>
        <v>-</v>
      </c>
      <c r="K32" s="200">
        <f t="shared" si="77"/>
        <v>1.7123996245243939E-2</v>
      </c>
      <c r="L32" s="200">
        <f t="shared" si="77"/>
        <v>0.12450596425889424</v>
      </c>
      <c r="M32" s="200">
        <f t="shared" si="77"/>
        <v>6.1924689095088262E-2</v>
      </c>
      <c r="N32" s="200">
        <f t="shared" si="77"/>
        <v>7.6268995270306131E-2</v>
      </c>
      <c r="O32" s="200" t="str">
        <f t="shared" si="77"/>
        <v>-</v>
      </c>
      <c r="P32" s="200" t="str">
        <f t="shared" si="77"/>
        <v>-</v>
      </c>
      <c r="Q32" s="200" t="str">
        <f t="shared" si="77"/>
        <v>-</v>
      </c>
      <c r="R32" s="242">
        <f t="shared" si="77"/>
        <v>3.1956137576264435E-2</v>
      </c>
      <c r="S32" s="242">
        <f t="shared" si="77"/>
        <v>3.4281380343217926E-2</v>
      </c>
      <c r="T32" s="176"/>
      <c r="U32" s="281">
        <f t="shared" ref="U32:AH32" si="78">IF(U23&lt;&gt;0,U23/U$39,"-")</f>
        <v>6.5633378510975542E-3</v>
      </c>
      <c r="V32" s="200" t="str">
        <f t="shared" si="78"/>
        <v>-</v>
      </c>
      <c r="W32" s="200">
        <f t="shared" si="78"/>
        <v>1.3834779528953426E-2</v>
      </c>
      <c r="X32" s="200">
        <f t="shared" si="78"/>
        <v>1.287936159580442E-2</v>
      </c>
      <c r="Y32" s="200">
        <f t="shared" si="78"/>
        <v>1.9510367809453942E-2</v>
      </c>
      <c r="Z32" s="200">
        <f t="shared" si="78"/>
        <v>2.021741811440228E-2</v>
      </c>
      <c r="AA32" s="200">
        <f t="shared" si="78"/>
        <v>1.8284109463306532E-2</v>
      </c>
      <c r="AB32" s="200">
        <f t="shared" si="78"/>
        <v>1.838664541170457E-2</v>
      </c>
      <c r="AC32" s="200">
        <f t="shared" si="78"/>
        <v>1.5502121465322528E-2</v>
      </c>
      <c r="AD32" s="200">
        <f t="shared" si="78"/>
        <v>1.5463240012679855E-2</v>
      </c>
      <c r="AE32" s="200">
        <f t="shared" si="78"/>
        <v>1.6753309197399219E-2</v>
      </c>
      <c r="AF32" s="200">
        <f t="shared" si="78"/>
        <v>1.683229646387116E-2</v>
      </c>
      <c r="AG32" s="242">
        <f t="shared" si="78"/>
        <v>1.5333333333333332E-2</v>
      </c>
      <c r="AH32" s="242">
        <f t="shared" si="78"/>
        <v>1.5333333333333334E-2</v>
      </c>
      <c r="AI32" s="176"/>
      <c r="AJ32" s="200" t="str">
        <f t="shared" ref="AJ32:AV32" si="79">IF(AJ23&lt;&gt;0,AJ23/AJ$39,"-")</f>
        <v>-</v>
      </c>
      <c r="AK32" s="200">
        <f t="shared" si="79"/>
        <v>-2.4208295488949441E-2</v>
      </c>
      <c r="AL32" s="200" t="str">
        <f t="shared" si="79"/>
        <v>-</v>
      </c>
      <c r="AM32" s="200">
        <f t="shared" si="79"/>
        <v>1.7183472623603843E-3</v>
      </c>
      <c r="AN32" s="200">
        <f t="shared" si="79"/>
        <v>2.5824111367457867E-2</v>
      </c>
      <c r="AO32" s="200">
        <f t="shared" si="79"/>
        <v>9.8791018998272889E-2</v>
      </c>
      <c r="AP32" s="200">
        <f t="shared" si="79"/>
        <v>9.2477125923019807E-2</v>
      </c>
      <c r="AQ32" s="200" t="str">
        <f t="shared" si="79"/>
        <v>-</v>
      </c>
      <c r="AR32" s="200" t="str">
        <f t="shared" si="79"/>
        <v>-</v>
      </c>
      <c r="AS32" s="200">
        <f t="shared" si="79"/>
        <v>3.0781931006499184E-3</v>
      </c>
      <c r="AT32" s="200">
        <f t="shared" si="79"/>
        <v>5.5783054629359634E-3</v>
      </c>
      <c r="AU32" s="200">
        <f t="shared" si="79"/>
        <v>7.5153295642816885E-3</v>
      </c>
      <c r="AV32" s="242">
        <f t="shared" si="79"/>
        <v>1.238583625936766E-2</v>
      </c>
      <c r="AW32" s="242">
        <f t="shared" ref="AW32" si="80">IF(AW23&lt;&gt;0,AW23/AW$39,"-")</f>
        <v>1.238583625936766E-2</v>
      </c>
    </row>
    <row r="33" spans="2:49" s="164" customFormat="1" ht="15.5" hidden="1" outlineLevel="1" x14ac:dyDescent="0.35">
      <c r="B33" s="293"/>
      <c r="C33" s="195"/>
      <c r="D33" s="262" t="s">
        <v>265</v>
      </c>
      <c r="E33" s="168" t="s">
        <v>285</v>
      </c>
      <c r="F33" s="281">
        <f t="shared" ref="F33:S33" si="81">IF(F24&lt;&gt;0,F24/F$39,"-")</f>
        <v>4.7262050769333583E-2</v>
      </c>
      <c r="G33" s="200">
        <f t="shared" si="81"/>
        <v>3.8527025978353655E-2</v>
      </c>
      <c r="H33" s="200">
        <f t="shared" si="81"/>
        <v>5.6937151341142557E-2</v>
      </c>
      <c r="I33" s="200">
        <f t="shared" si="81"/>
        <v>4.0055311386225388E-2</v>
      </c>
      <c r="J33" s="200">
        <f t="shared" si="81"/>
        <v>4.2305621570994358E-2</v>
      </c>
      <c r="K33" s="200">
        <f t="shared" si="81"/>
        <v>6.9891223148811618E-2</v>
      </c>
      <c r="L33" s="200">
        <f t="shared" si="81"/>
        <v>4.6432085121206161E-2</v>
      </c>
      <c r="M33" s="200">
        <f t="shared" si="81"/>
        <v>4.5304168060542244E-2</v>
      </c>
      <c r="N33" s="200">
        <f t="shared" si="81"/>
        <v>9.5736124707052159E-2</v>
      </c>
      <c r="O33" s="200" t="str">
        <f t="shared" si="81"/>
        <v>-</v>
      </c>
      <c r="P33" s="200" t="str">
        <f t="shared" si="81"/>
        <v>-</v>
      </c>
      <c r="Q33" s="200" t="str">
        <f t="shared" si="81"/>
        <v>-</v>
      </c>
      <c r="R33" s="242">
        <f t="shared" si="81"/>
        <v>5.1045213344358589E-2</v>
      </c>
      <c r="S33" s="242">
        <f t="shared" si="81"/>
        <v>4.8675062648884104E-2</v>
      </c>
      <c r="T33" s="176"/>
      <c r="U33" s="281">
        <f t="shared" ref="U33:AH33" si="82">IF(U24&lt;&gt;0,U24/U$39,"-")</f>
        <v>7.8760054213170644E-2</v>
      </c>
      <c r="V33" s="200">
        <f t="shared" si="82"/>
        <v>9.0156005513491885E-2</v>
      </c>
      <c r="W33" s="200">
        <f t="shared" si="82"/>
        <v>0.11040154064104835</v>
      </c>
      <c r="X33" s="200">
        <f t="shared" si="82"/>
        <v>0.13317259890061769</v>
      </c>
      <c r="Y33" s="200">
        <f t="shared" si="82"/>
        <v>0.10769723030818576</v>
      </c>
      <c r="Z33" s="200">
        <f t="shared" si="82"/>
        <v>0.11897950560325742</v>
      </c>
      <c r="AA33" s="200">
        <f t="shared" si="82"/>
        <v>0.12497188818170016</v>
      </c>
      <c r="AB33" s="200">
        <f t="shared" si="82"/>
        <v>0.13817564026895984</v>
      </c>
      <c r="AC33" s="200">
        <f t="shared" si="82"/>
        <v>0.12455954597386651</v>
      </c>
      <c r="AD33" s="200">
        <f t="shared" si="82"/>
        <v>0.12618003850346762</v>
      </c>
      <c r="AE33" s="200">
        <f t="shared" si="82"/>
        <v>0.15346031224817683</v>
      </c>
      <c r="AF33" s="200">
        <f t="shared" si="82"/>
        <v>0.15418383560905982</v>
      </c>
      <c r="AG33" s="242">
        <f t="shared" si="82"/>
        <v>0.12520000000000001</v>
      </c>
      <c r="AH33" s="242">
        <f t="shared" si="82"/>
        <v>0.12520000000000001</v>
      </c>
      <c r="AI33" s="176"/>
      <c r="AJ33" s="200">
        <f t="shared" ref="AJ33:AV33" si="83">IF(AJ24&lt;&gt;0,AJ24/AJ$39,"-")</f>
        <v>8.4462401170283169E-2</v>
      </c>
      <c r="AK33" s="200">
        <f t="shared" si="83"/>
        <v>4.8440811383590673E-2</v>
      </c>
      <c r="AL33" s="200">
        <f t="shared" si="83"/>
        <v>5.0852702516847752E-2</v>
      </c>
      <c r="AM33" s="200">
        <f t="shared" si="83"/>
        <v>5.7056939779739121E-2</v>
      </c>
      <c r="AN33" s="200">
        <f t="shared" si="83"/>
        <v>4.6736792711062451E-2</v>
      </c>
      <c r="AO33" s="200">
        <f t="shared" si="83"/>
        <v>6.1379035472299719E-2</v>
      </c>
      <c r="AP33" s="200">
        <f t="shared" si="83"/>
        <v>6.088077456598804E-2</v>
      </c>
      <c r="AQ33" s="200">
        <f t="shared" si="83"/>
        <v>2.5941043473350564E-2</v>
      </c>
      <c r="AR33" s="200">
        <f t="shared" si="83"/>
        <v>2.8402297378085233E-2</v>
      </c>
      <c r="AS33" s="200">
        <f t="shared" si="83"/>
        <v>4.6172896509748776E-2</v>
      </c>
      <c r="AT33" s="200">
        <f t="shared" si="83"/>
        <v>5.8597563294750049E-2</v>
      </c>
      <c r="AU33" s="200">
        <f t="shared" si="83"/>
        <v>6.9422856850052089E-2</v>
      </c>
      <c r="AV33" s="242">
        <f t="shared" si="83"/>
        <v>4.9270154353766124E-2</v>
      </c>
      <c r="AW33" s="242">
        <f t="shared" ref="AW33" si="84">IF(AW24&lt;&gt;0,AW24/AW$39,"-")</f>
        <v>4.9270154353766124E-2</v>
      </c>
    </row>
    <row r="34" spans="2:49" s="167" customFormat="1" ht="15.5" hidden="1" outlineLevel="1" x14ac:dyDescent="0.35">
      <c r="B34" s="292"/>
      <c r="C34" s="168"/>
      <c r="D34" s="262" t="s">
        <v>266</v>
      </c>
      <c r="E34" s="168" t="s">
        <v>285</v>
      </c>
      <c r="F34" s="281">
        <f t="shared" ref="F34:S34" si="85">IF(F25&lt;&gt;0,F25/F$39,"-")</f>
        <v>4.5871568838904298E-3</v>
      </c>
      <c r="G34" s="200">
        <f t="shared" si="85"/>
        <v>9.2209232791794285E-3</v>
      </c>
      <c r="H34" s="200">
        <f t="shared" si="85"/>
        <v>2.5119813102477045E-2</v>
      </c>
      <c r="I34" s="200">
        <f t="shared" si="85"/>
        <v>2.9759083856476038E-2</v>
      </c>
      <c r="J34" s="200">
        <f t="shared" si="85"/>
        <v>3.442275591398767E-2</v>
      </c>
      <c r="K34" s="200">
        <f t="shared" si="85"/>
        <v>3.7671430531568045E-2</v>
      </c>
      <c r="L34" s="200">
        <f t="shared" si="85"/>
        <v>1.3085405806885372E-2</v>
      </c>
      <c r="M34" s="200">
        <f t="shared" si="85"/>
        <v>2.8091089319547197E-2</v>
      </c>
      <c r="N34" s="200">
        <f t="shared" si="85"/>
        <v>0.13313672379408237</v>
      </c>
      <c r="O34" s="200" t="str">
        <f t="shared" si="85"/>
        <v>-</v>
      </c>
      <c r="P34" s="200" t="str">
        <f t="shared" si="85"/>
        <v>-</v>
      </c>
      <c r="Q34" s="200" t="str">
        <f t="shared" si="85"/>
        <v>-</v>
      </c>
      <c r="R34" s="242">
        <f t="shared" si="85"/>
        <v>3.0255462519017503E-2</v>
      </c>
      <c r="S34" s="242">
        <f t="shared" si="85"/>
        <v>2.8850629414538441E-2</v>
      </c>
      <c r="T34" s="176"/>
      <c r="U34" s="281">
        <f t="shared" ref="U34:AH34" si="86">IF(U25&lt;&gt;0,U25/U$39,"-")</f>
        <v>4.9225033883231652E-3</v>
      </c>
      <c r="V34" s="200">
        <f t="shared" si="86"/>
        <v>2.7403041189511214E-3</v>
      </c>
      <c r="W34" s="200">
        <f t="shared" si="86"/>
        <v>1.3696431733663892E-2</v>
      </c>
      <c r="X34" s="200">
        <f t="shared" si="86"/>
        <v>3.1554435909720825E-2</v>
      </c>
      <c r="Y34" s="200">
        <f t="shared" si="86"/>
        <v>1.9998127004690291E-2</v>
      </c>
      <c r="Z34" s="200">
        <f t="shared" si="86"/>
        <v>2.2239159925842508E-2</v>
      </c>
      <c r="AA34" s="200">
        <f t="shared" si="86"/>
        <v>1.8741212199889196E-2</v>
      </c>
      <c r="AB34" s="200">
        <f t="shared" si="86"/>
        <v>2.0225309952875026E-2</v>
      </c>
      <c r="AC34" s="200">
        <f t="shared" si="86"/>
        <v>1.7827439685120908E-2</v>
      </c>
      <c r="AD34" s="200">
        <f t="shared" si="86"/>
        <v>1.7009564013947841E-2</v>
      </c>
      <c r="AE34" s="200">
        <f t="shared" si="86"/>
        <v>1.9350072122996095E-2</v>
      </c>
      <c r="AF34" s="200">
        <f t="shared" si="86"/>
        <v>2.0619563168242171E-2</v>
      </c>
      <c r="AG34" s="242">
        <f t="shared" si="86"/>
        <v>1.8083333333333333E-2</v>
      </c>
      <c r="AH34" s="242">
        <f t="shared" si="86"/>
        <v>1.8083333333333333E-2</v>
      </c>
      <c r="AI34" s="176"/>
      <c r="AJ34" s="200">
        <f t="shared" ref="AJ34:AV34" si="87">IF(AJ25&lt;&gt;0,AJ25/AJ$39,"-")</f>
        <v>1.4048041981586617E-2</v>
      </c>
      <c r="AK34" s="200">
        <f t="shared" si="87"/>
        <v>9.6881622767181353E-5</v>
      </c>
      <c r="AL34" s="200" t="str">
        <f t="shared" si="87"/>
        <v>-</v>
      </c>
      <c r="AM34" s="200">
        <f t="shared" si="87"/>
        <v>1.7652112786065766E-3</v>
      </c>
      <c r="AN34" s="200">
        <f t="shared" si="87"/>
        <v>1.4546592108864819E-2</v>
      </c>
      <c r="AO34" s="200">
        <f t="shared" si="87"/>
        <v>5.8456224259333068E-3</v>
      </c>
      <c r="AP34" s="200">
        <f t="shared" si="87"/>
        <v>2.8023371491824186E-5</v>
      </c>
      <c r="AQ34" s="200">
        <f t="shared" si="87"/>
        <v>4.6623401017934132E-3</v>
      </c>
      <c r="AR34" s="200" t="str">
        <f t="shared" si="87"/>
        <v>-</v>
      </c>
      <c r="AS34" s="200">
        <f t="shared" si="87"/>
        <v>4.6172896509748774E-3</v>
      </c>
      <c r="AT34" s="200">
        <f t="shared" si="87"/>
        <v>1.6417967214777437E-2</v>
      </c>
      <c r="AU34" s="200">
        <f t="shared" si="87"/>
        <v>2.8182485866056332E-3</v>
      </c>
      <c r="AV34" s="242">
        <f t="shared" si="87"/>
        <v>4.9281596895491961E-3</v>
      </c>
      <c r="AW34" s="242">
        <f t="shared" ref="AW34" si="88">IF(AW25&lt;&gt;0,AW25/AW$39,"-")</f>
        <v>4.9281596895491961E-3</v>
      </c>
    </row>
    <row r="35" spans="2:49" s="167" customFormat="1" ht="15.5" hidden="1" outlineLevel="1" x14ac:dyDescent="0.35">
      <c r="B35" s="292"/>
      <c r="C35" s="168"/>
      <c r="D35" s="262" t="s">
        <v>295</v>
      </c>
      <c r="E35" s="168" t="s">
        <v>285</v>
      </c>
      <c r="F35" s="281" t="str">
        <f t="shared" ref="F35:S35" si="89">IF(F26&lt;&gt;0,F26/F$39,"-")</f>
        <v>-</v>
      </c>
      <c r="G35" s="200" t="str">
        <f t="shared" si="89"/>
        <v>-</v>
      </c>
      <c r="H35" s="200" t="str">
        <f t="shared" si="89"/>
        <v>-</v>
      </c>
      <c r="I35" s="200" t="str">
        <f t="shared" si="89"/>
        <v>-</v>
      </c>
      <c r="J35" s="200" t="str">
        <f t="shared" si="89"/>
        <v>-</v>
      </c>
      <c r="K35" s="200" t="str">
        <f t="shared" si="89"/>
        <v>-</v>
      </c>
      <c r="L35" s="200" t="str">
        <f t="shared" si="89"/>
        <v>-</v>
      </c>
      <c r="M35" s="200" t="str">
        <f t="shared" si="89"/>
        <v>-</v>
      </c>
      <c r="N35" s="200" t="str">
        <f t="shared" si="89"/>
        <v>-</v>
      </c>
      <c r="O35" s="200" t="str">
        <f t="shared" si="89"/>
        <v>-</v>
      </c>
      <c r="P35" s="200" t="str">
        <f t="shared" si="89"/>
        <v>-</v>
      </c>
      <c r="Q35" s="200" t="str">
        <f t="shared" si="89"/>
        <v>-</v>
      </c>
      <c r="R35" s="242" t="str">
        <f t="shared" si="89"/>
        <v>-</v>
      </c>
      <c r="S35" s="242" t="str">
        <f t="shared" si="89"/>
        <v>-</v>
      </c>
      <c r="T35" s="176"/>
      <c r="U35" s="281">
        <f t="shared" ref="U35:AH35" si="90">IF(U26&lt;&gt;0,U26/U$39,"-")</f>
        <v>1.6408344627743886E-3</v>
      </c>
      <c r="V35" s="200">
        <f t="shared" si="90"/>
        <v>1.3701520594755607E-3</v>
      </c>
      <c r="W35" s="200">
        <f t="shared" si="90"/>
        <v>2.8361298034354524E-3</v>
      </c>
      <c r="X35" s="200">
        <f t="shared" si="90"/>
        <v>5.8601095260910107E-3</v>
      </c>
      <c r="Y35" s="200">
        <f t="shared" si="90"/>
        <v>4.438608676650772E-3</v>
      </c>
      <c r="Z35" s="200">
        <f t="shared" si="90"/>
        <v>4.5994626210265187E-3</v>
      </c>
      <c r="AA35" s="200">
        <f t="shared" si="90"/>
        <v>6.4451485858155527E-3</v>
      </c>
      <c r="AB35" s="200">
        <f t="shared" si="90"/>
        <v>6.4812925076258602E-3</v>
      </c>
      <c r="AC35" s="200">
        <f t="shared" si="90"/>
        <v>5.4644978165261909E-3</v>
      </c>
      <c r="AD35" s="200">
        <f t="shared" si="90"/>
        <v>6.2239541051036414E-3</v>
      </c>
      <c r="AE35" s="200">
        <f t="shared" si="90"/>
        <v>6.7432069519531854E-3</v>
      </c>
      <c r="AF35" s="200">
        <f t="shared" si="90"/>
        <v>6.7749993267081417E-3</v>
      </c>
      <c r="AG35" s="242">
        <f t="shared" si="90"/>
        <v>5.2500000000000003E-3</v>
      </c>
      <c r="AH35" s="242">
        <f t="shared" si="90"/>
        <v>5.2500000000000003E-3</v>
      </c>
      <c r="AI35" s="176"/>
      <c r="AJ35" s="200">
        <f t="shared" ref="AJ35:AV35" si="91">IF(AJ26&lt;&gt;0,AJ26/AJ$39,"-")</f>
        <v>1.0448956845808227E-3</v>
      </c>
      <c r="AK35" s="200">
        <f t="shared" si="91"/>
        <v>1.7801998183469572E-2</v>
      </c>
      <c r="AL35" s="200">
        <f t="shared" si="91"/>
        <v>4.1259799202310547E-3</v>
      </c>
      <c r="AM35" s="200">
        <f t="shared" si="91"/>
        <v>7.1077091306724982E-3</v>
      </c>
      <c r="AN35" s="200" t="str">
        <f t="shared" si="91"/>
        <v>-</v>
      </c>
      <c r="AO35" s="200" t="str">
        <f t="shared" si="91"/>
        <v>-</v>
      </c>
      <c r="AP35" s="200">
        <f t="shared" si="91"/>
        <v>1.2610517171320883E-3</v>
      </c>
      <c r="AQ35" s="200" t="str">
        <f t="shared" si="91"/>
        <v>-</v>
      </c>
      <c r="AR35" s="200">
        <f t="shared" si="91"/>
        <v>2.1884874882568961E-3</v>
      </c>
      <c r="AS35" s="200">
        <f t="shared" si="91"/>
        <v>1.5111129766826872E-2</v>
      </c>
      <c r="AT35" s="200">
        <f t="shared" si="91"/>
        <v>5.1092206853708931E-3</v>
      </c>
      <c r="AU35" s="200">
        <f t="shared" si="91"/>
        <v>3.33065742053393E-3</v>
      </c>
      <c r="AV35" s="242">
        <f t="shared" si="91"/>
        <v>4.5791621669109715E-3</v>
      </c>
      <c r="AW35" s="242">
        <f t="shared" ref="AW35" si="92">IF(AW26&lt;&gt;0,AW26/AW$39,"-")</f>
        <v>4.5791621669109715E-3</v>
      </c>
    </row>
    <row r="36" spans="2:49" s="167" customFormat="1" ht="15.5" hidden="1" outlineLevel="1" x14ac:dyDescent="0.35">
      <c r="B36" s="292"/>
      <c r="C36" s="168"/>
      <c r="D36" s="262" t="s">
        <v>23</v>
      </c>
      <c r="E36" s="168" t="s">
        <v>285</v>
      </c>
      <c r="F36" s="281" t="str">
        <f t="shared" ref="F36:S36" si="93">IF(F27&lt;&gt;0,F27/F$39,"-")</f>
        <v>-</v>
      </c>
      <c r="G36" s="200">
        <f t="shared" si="93"/>
        <v>1.2324996462269533E-4</v>
      </c>
      <c r="H36" s="200">
        <f t="shared" si="93"/>
        <v>6.30451632624098E-3</v>
      </c>
      <c r="I36" s="200">
        <f t="shared" si="93"/>
        <v>1.7333497795984081E-3</v>
      </c>
      <c r="J36" s="200">
        <f t="shared" si="93"/>
        <v>4.4187689842044393E-3</v>
      </c>
      <c r="K36" s="200" t="str">
        <f t="shared" si="93"/>
        <v>-</v>
      </c>
      <c r="L36" s="200">
        <f t="shared" si="93"/>
        <v>5.887610321154123E-3</v>
      </c>
      <c r="M36" s="200">
        <f t="shared" si="93"/>
        <v>3.1892130217012937E-3</v>
      </c>
      <c r="N36" s="200">
        <f t="shared" si="93"/>
        <v>1.0368669231171645E-2</v>
      </c>
      <c r="O36" s="200" t="str">
        <f t="shared" si="93"/>
        <v>-</v>
      </c>
      <c r="P36" s="200" t="str">
        <f t="shared" si="93"/>
        <v>-</v>
      </c>
      <c r="Q36" s="200" t="str">
        <f t="shared" si="93"/>
        <v>-</v>
      </c>
      <c r="R36" s="242">
        <f t="shared" si="93"/>
        <v>3.3481424359936653E-3</v>
      </c>
      <c r="S36" s="242">
        <f t="shared" si="93"/>
        <v>4.1048745650241209E-3</v>
      </c>
      <c r="T36" s="176"/>
      <c r="U36" s="281">
        <f t="shared" ref="U36:AH36" si="94">IF(U27&lt;&gt;0,U27/U$39,"-")</f>
        <v>8.53233920642682E-3</v>
      </c>
      <c r="V36" s="200">
        <f t="shared" si="94"/>
        <v>9.8650948282240358E-3</v>
      </c>
      <c r="W36" s="200">
        <f t="shared" si="94"/>
        <v>1.4111475119532495E-2</v>
      </c>
      <c r="X36" s="200">
        <f t="shared" si="94"/>
        <v>9.337537156958205E-3</v>
      </c>
      <c r="Y36" s="200">
        <f t="shared" si="94"/>
        <v>1.0974581892817843E-2</v>
      </c>
      <c r="Z36" s="200">
        <f t="shared" si="94"/>
        <v>7.2782705211848209E-3</v>
      </c>
      <c r="AA36" s="200">
        <f t="shared" si="94"/>
        <v>1.2067512245782312E-2</v>
      </c>
      <c r="AB36" s="200">
        <f t="shared" si="94"/>
        <v>8.4578568893841025E-3</v>
      </c>
      <c r="AC36" s="200">
        <f t="shared" si="94"/>
        <v>1.0231400167112869E-2</v>
      </c>
      <c r="AD36" s="200">
        <f t="shared" si="94"/>
        <v>8.0408848065935245E-3</v>
      </c>
      <c r="AE36" s="200">
        <f t="shared" si="94"/>
        <v>1.2062382622127436E-2</v>
      </c>
      <c r="AF36" s="200">
        <f t="shared" si="94"/>
        <v>8.7527941612130025E-3</v>
      </c>
      <c r="AG36" s="242">
        <f t="shared" si="94"/>
        <v>9.9249999999999998E-3</v>
      </c>
      <c r="AH36" s="242">
        <f t="shared" si="94"/>
        <v>9.9249999999999998E-3</v>
      </c>
      <c r="AI36" s="176"/>
      <c r="AJ36" s="200" t="str">
        <f t="shared" ref="AJ36:AV36" si="95">IF(AJ27&lt;&gt;0,AJ27/AJ$39,"-")</f>
        <v>-</v>
      </c>
      <c r="AK36" s="200" t="str">
        <f t="shared" si="95"/>
        <v>-</v>
      </c>
      <c r="AL36" s="200">
        <f t="shared" si="95"/>
        <v>5.8451382203273273E-3</v>
      </c>
      <c r="AM36" s="200" t="str">
        <f t="shared" si="95"/>
        <v>-</v>
      </c>
      <c r="AN36" s="200" t="str">
        <f t="shared" si="95"/>
        <v>-</v>
      </c>
      <c r="AO36" s="200" t="str">
        <f t="shared" si="95"/>
        <v>-</v>
      </c>
      <c r="AP36" s="200">
        <f t="shared" si="95"/>
        <v>1.6814022895094509E-4</v>
      </c>
      <c r="AQ36" s="200">
        <f t="shared" si="95"/>
        <v>3.6160242417397756E-3</v>
      </c>
      <c r="AR36" s="200">
        <f t="shared" si="95"/>
        <v>5.3377743616021867E-6</v>
      </c>
      <c r="AS36" s="200">
        <f t="shared" si="95"/>
        <v>5.0440391490195252E-3</v>
      </c>
      <c r="AT36" s="200">
        <f t="shared" si="95"/>
        <v>1.1169288892833144E-2</v>
      </c>
      <c r="AU36" s="200">
        <f t="shared" si="95"/>
        <v>8.5401472321382832E-6</v>
      </c>
      <c r="AV36" s="242">
        <f t="shared" si="95"/>
        <v>2.1190156958546323E-3</v>
      </c>
      <c r="AW36" s="242">
        <f t="shared" ref="AW36" si="96">IF(AW27&lt;&gt;0,AW27/AW$39,"-")</f>
        <v>2.1190156958546323E-3</v>
      </c>
    </row>
    <row r="37" spans="2:49" s="167" customFormat="1" ht="15.5" hidden="1" outlineLevel="1" x14ac:dyDescent="0.35">
      <c r="B37" s="292"/>
      <c r="C37" s="168"/>
      <c r="D37" s="262" t="s">
        <v>269</v>
      </c>
      <c r="E37" s="168" t="s">
        <v>285</v>
      </c>
      <c r="F37" s="281" t="str">
        <f t="shared" ref="F37:S37" si="97">IF(F28&lt;&gt;0,F28/F$39,"-")</f>
        <v>-</v>
      </c>
      <c r="G37" s="200" t="str">
        <f t="shared" si="97"/>
        <v>-</v>
      </c>
      <c r="H37" s="200" t="str">
        <f t="shared" si="97"/>
        <v>-</v>
      </c>
      <c r="I37" s="200" t="str">
        <f t="shared" si="97"/>
        <v>-</v>
      </c>
      <c r="J37" s="200" t="str">
        <f t="shared" si="97"/>
        <v>-</v>
      </c>
      <c r="K37" s="200" t="str">
        <f t="shared" si="97"/>
        <v>-</v>
      </c>
      <c r="L37" s="200" t="str">
        <f t="shared" si="97"/>
        <v>-</v>
      </c>
      <c r="M37" s="200" t="str">
        <f t="shared" si="97"/>
        <v>-</v>
      </c>
      <c r="N37" s="200" t="str">
        <f t="shared" si="97"/>
        <v>-</v>
      </c>
      <c r="O37" s="200" t="str">
        <f t="shared" si="97"/>
        <v>-</v>
      </c>
      <c r="P37" s="200" t="str">
        <f t="shared" si="97"/>
        <v>-</v>
      </c>
      <c r="Q37" s="200" t="str">
        <f t="shared" si="97"/>
        <v>-</v>
      </c>
      <c r="R37" s="242" t="str">
        <f t="shared" si="97"/>
        <v>-</v>
      </c>
      <c r="S37" s="242" t="str">
        <f t="shared" si="97"/>
        <v>-</v>
      </c>
      <c r="T37" s="176"/>
      <c r="U37" s="281"/>
      <c r="V37" s="200"/>
      <c r="W37" s="200"/>
      <c r="X37" s="200"/>
      <c r="Y37" s="200"/>
      <c r="Z37" s="200"/>
      <c r="AA37" s="200"/>
      <c r="AB37" s="200"/>
      <c r="AC37" s="200"/>
      <c r="AD37" s="200"/>
      <c r="AE37" s="200"/>
      <c r="AF37" s="200"/>
      <c r="AG37" s="242"/>
      <c r="AH37" s="242"/>
      <c r="AI37" s="176"/>
      <c r="AJ37" s="200"/>
      <c r="AK37" s="200"/>
      <c r="AL37" s="200"/>
      <c r="AM37" s="200"/>
      <c r="AN37" s="200"/>
      <c r="AO37" s="200"/>
      <c r="AP37" s="200"/>
      <c r="AQ37" s="200"/>
      <c r="AR37" s="200"/>
      <c r="AS37" s="200"/>
      <c r="AT37" s="200"/>
      <c r="AU37" s="200"/>
      <c r="AV37" s="242"/>
      <c r="AW37" s="242"/>
    </row>
    <row r="38" spans="2:49" s="167" customFormat="1" ht="15.5" hidden="1" outlineLevel="1" x14ac:dyDescent="0.35">
      <c r="B38" s="292"/>
      <c r="C38" s="168"/>
      <c r="D38" s="262" t="s">
        <v>1091</v>
      </c>
      <c r="E38" s="294" t="s">
        <v>285</v>
      </c>
      <c r="F38" s="281" t="str">
        <f t="shared" ref="F38:S38" si="98">IF(F28&lt;&gt;0,F28/F$39,"-")</f>
        <v>-</v>
      </c>
      <c r="G38" s="200" t="str">
        <f t="shared" si="98"/>
        <v>-</v>
      </c>
      <c r="H38" s="200" t="str">
        <f t="shared" si="98"/>
        <v>-</v>
      </c>
      <c r="I38" s="200" t="str">
        <f t="shared" si="98"/>
        <v>-</v>
      </c>
      <c r="J38" s="200" t="str">
        <f t="shared" si="98"/>
        <v>-</v>
      </c>
      <c r="K38" s="200" t="str">
        <f t="shared" si="98"/>
        <v>-</v>
      </c>
      <c r="L38" s="200" t="str">
        <f t="shared" si="98"/>
        <v>-</v>
      </c>
      <c r="M38" s="200" t="str">
        <f t="shared" si="98"/>
        <v>-</v>
      </c>
      <c r="N38" s="200" t="str">
        <f t="shared" si="98"/>
        <v>-</v>
      </c>
      <c r="O38" s="200" t="str">
        <f t="shared" si="98"/>
        <v>-</v>
      </c>
      <c r="P38" s="200" t="str">
        <f t="shared" si="98"/>
        <v>-</v>
      </c>
      <c r="Q38" s="200" t="str">
        <f t="shared" si="98"/>
        <v>-</v>
      </c>
      <c r="R38" s="242" t="str">
        <f t="shared" si="98"/>
        <v>-</v>
      </c>
      <c r="S38" s="242" t="str">
        <f t="shared" si="98"/>
        <v>-</v>
      </c>
      <c r="T38" s="176"/>
      <c r="U38" s="281" t="str">
        <f t="shared" ref="U38:AH38" si="99">IF(U28&lt;&gt;0,U28/U$39,"-")</f>
        <v>-</v>
      </c>
      <c r="V38" s="200" t="str">
        <f t="shared" si="99"/>
        <v>-</v>
      </c>
      <c r="W38" s="200">
        <f t="shared" si="99"/>
        <v>2.9053037010802196E-3</v>
      </c>
      <c r="X38" s="200">
        <f t="shared" si="99"/>
        <v>2.7046659351189282E-3</v>
      </c>
      <c r="Y38" s="200">
        <f t="shared" si="99"/>
        <v>2.048588619992664E-3</v>
      </c>
      <c r="Z38" s="200">
        <f t="shared" si="99"/>
        <v>2.1228289020122394E-3</v>
      </c>
      <c r="AA38" s="200">
        <f t="shared" si="99"/>
        <v>1.9198314936471859E-3</v>
      </c>
      <c r="AB38" s="200">
        <f t="shared" si="99"/>
        <v>1.9305977682289798E-3</v>
      </c>
      <c r="AC38" s="200">
        <f t="shared" si="99"/>
        <v>1.6277227538588654E-3</v>
      </c>
      <c r="AD38" s="200">
        <f t="shared" si="99"/>
        <v>1.6236402013313847E-3</v>
      </c>
      <c r="AE38" s="200">
        <f t="shared" si="99"/>
        <v>1.7590974657269178E-3</v>
      </c>
      <c r="AF38" s="200">
        <f t="shared" si="99"/>
        <v>1.7673911287064716E-3</v>
      </c>
      <c r="AG38" s="242">
        <f t="shared" si="99"/>
        <v>1.75E-3</v>
      </c>
      <c r="AH38" s="242">
        <f t="shared" si="99"/>
        <v>1.75E-3</v>
      </c>
      <c r="AI38" s="176"/>
      <c r="AJ38" s="200">
        <f t="shared" ref="AJ38:AV38" si="100">IF(AJ28&lt;&gt;0,AJ28/AJ$39,"-")</f>
        <v>6.9659712305388186E-3</v>
      </c>
      <c r="AK38" s="200">
        <f t="shared" si="100"/>
        <v>7.266121707538601E-3</v>
      </c>
      <c r="AL38" s="200">
        <f t="shared" si="100"/>
        <v>1.3409434740750927E-2</v>
      </c>
      <c r="AM38" s="200">
        <f t="shared" si="100"/>
        <v>9.5290166367257671E-3</v>
      </c>
      <c r="AN38" s="200">
        <f t="shared" si="100"/>
        <v>1.1027255308333008E-2</v>
      </c>
      <c r="AO38" s="200">
        <f t="shared" si="100"/>
        <v>2.7899561578318055E-3</v>
      </c>
      <c r="AP38" s="200" t="str">
        <f t="shared" si="100"/>
        <v>-</v>
      </c>
      <c r="AQ38" s="200" t="str">
        <f t="shared" si="100"/>
        <v>-</v>
      </c>
      <c r="AR38" s="200" t="str">
        <f t="shared" si="100"/>
        <v>-</v>
      </c>
      <c r="AS38" s="200" t="str">
        <f t="shared" si="100"/>
        <v>-</v>
      </c>
      <c r="AT38" s="200" t="str">
        <f t="shared" si="100"/>
        <v>-</v>
      </c>
      <c r="AU38" s="200" t="str">
        <f t="shared" si="100"/>
        <v>-</v>
      </c>
      <c r="AV38" s="242">
        <f t="shared" si="100"/>
        <v>4.0048896040452038E-3</v>
      </c>
      <c r="AW38" s="242">
        <f t="shared" ref="AW38" si="101">IF(AW28&lt;&gt;0,AW28/AW$39,"-")</f>
        <v>4.0048896040452038E-3</v>
      </c>
    </row>
    <row r="39" spans="2:49" ht="15.5" collapsed="1" x14ac:dyDescent="0.35">
      <c r="B39" s="266"/>
      <c r="C39" s="102"/>
      <c r="D39" s="264" t="s">
        <v>259</v>
      </c>
      <c r="E39" s="289"/>
      <c r="F39" s="104">
        <f t="shared" ref="F39:S39" si="102">F5+F21</f>
        <v>3487.9992999999999</v>
      </c>
      <c r="G39" s="104">
        <f t="shared" si="102"/>
        <v>5476.6750000000002</v>
      </c>
      <c r="H39" s="104">
        <f t="shared" si="102"/>
        <v>4580.05</v>
      </c>
      <c r="I39" s="104">
        <f t="shared" si="102"/>
        <v>3850.9250000000002</v>
      </c>
      <c r="J39" s="104">
        <f t="shared" si="102"/>
        <v>4582.7242999999999</v>
      </c>
      <c r="K39" s="104">
        <f t="shared" si="102"/>
        <v>3673.2080000000001</v>
      </c>
      <c r="L39" s="104">
        <f t="shared" si="102"/>
        <v>4560.4241000000002</v>
      </c>
      <c r="M39" s="104">
        <f t="shared" si="102"/>
        <v>5189.3680000000004</v>
      </c>
      <c r="N39" s="104">
        <f t="shared" si="102"/>
        <v>2657.0430000000001</v>
      </c>
      <c r="O39" s="104">
        <f t="shared" si="102"/>
        <v>0</v>
      </c>
      <c r="P39" s="220">
        <f t="shared" si="102"/>
        <v>0</v>
      </c>
      <c r="Q39" s="220">
        <f t="shared" si="102"/>
        <v>0</v>
      </c>
      <c r="R39" s="104">
        <f t="shared" si="102"/>
        <v>38058.416700000002</v>
      </c>
      <c r="S39" s="104">
        <f t="shared" si="102"/>
        <v>4434.6230658730155</v>
      </c>
      <c r="T39" s="284"/>
      <c r="U39" s="104">
        <f t="shared" ref="U39:AH39" si="103">U5+U21</f>
        <v>3047.23</v>
      </c>
      <c r="V39" s="104">
        <f t="shared" si="103"/>
        <v>3649.23</v>
      </c>
      <c r="W39" s="104">
        <f t="shared" si="103"/>
        <v>3614.08</v>
      </c>
      <c r="X39" s="104">
        <f t="shared" si="103"/>
        <v>3882.18</v>
      </c>
      <c r="Y39" s="104">
        <f t="shared" si="103"/>
        <v>5125.4800000000005</v>
      </c>
      <c r="Z39" s="104">
        <f t="shared" si="103"/>
        <v>4946.2300000000005</v>
      </c>
      <c r="AA39" s="104">
        <f t="shared" si="103"/>
        <v>5469.2300000000005</v>
      </c>
      <c r="AB39" s="104">
        <f t="shared" si="103"/>
        <v>5438.7300000000005</v>
      </c>
      <c r="AC39" s="104">
        <f t="shared" si="103"/>
        <v>6450.7300000000005</v>
      </c>
      <c r="AD39" s="104">
        <f t="shared" si="103"/>
        <v>6466.9500000000007</v>
      </c>
      <c r="AE39" s="220">
        <f t="shared" si="103"/>
        <v>5968.9699999999993</v>
      </c>
      <c r="AF39" s="220">
        <f t="shared" si="103"/>
        <v>5940.96</v>
      </c>
      <c r="AG39" s="104">
        <f t="shared" si="103"/>
        <v>60000</v>
      </c>
      <c r="AH39" s="104">
        <f t="shared" si="103"/>
        <v>5000</v>
      </c>
      <c r="AI39" s="284"/>
      <c r="AJ39" s="104">
        <f t="shared" ref="AJ39:AV39" si="104">AJ5+AJ21</f>
        <v>2153.3249999999998</v>
      </c>
      <c r="AK39" s="104">
        <f t="shared" si="104"/>
        <v>2064.375</v>
      </c>
      <c r="AL39" s="104">
        <f t="shared" si="104"/>
        <v>2908.4</v>
      </c>
      <c r="AM39" s="104">
        <f t="shared" si="104"/>
        <v>3200.75</v>
      </c>
      <c r="AN39" s="104">
        <f t="shared" si="104"/>
        <v>3196.625</v>
      </c>
      <c r="AO39" s="104">
        <f t="shared" si="104"/>
        <v>1881.75</v>
      </c>
      <c r="AP39" s="104">
        <f t="shared" si="104"/>
        <v>1784.2249999999999</v>
      </c>
      <c r="AQ39" s="104">
        <f t="shared" si="104"/>
        <v>4611.4182000000001</v>
      </c>
      <c r="AR39" s="104">
        <f t="shared" si="104"/>
        <v>4683.6000000000004</v>
      </c>
      <c r="AS39" s="104">
        <f t="shared" si="104"/>
        <v>3573.5250000000001</v>
      </c>
      <c r="AT39" s="220">
        <f t="shared" si="104"/>
        <v>1971.9250000000002</v>
      </c>
      <c r="AU39" s="220">
        <f t="shared" si="104"/>
        <v>2927.35</v>
      </c>
      <c r="AV39" s="104">
        <f t="shared" si="104"/>
        <v>34957.268199999999</v>
      </c>
      <c r="AW39" s="104">
        <f t="shared" ref="AW39" si="105">AW5+AW21</f>
        <v>2913.1056833333332</v>
      </c>
    </row>
    <row r="40" spans="2:49" x14ac:dyDescent="0.35">
      <c r="B40" s="267"/>
      <c r="R40" s="194"/>
      <c r="S40" s="194"/>
      <c r="AG40" s="194"/>
      <c r="AH40" s="194"/>
    </row>
    <row r="41" spans="2:49" ht="18.5" x14ac:dyDescent="0.45">
      <c r="B41" s="268"/>
      <c r="C41" s="178" t="s">
        <v>288</v>
      </c>
      <c r="D41" s="98" t="s">
        <v>262</v>
      </c>
      <c r="E41" s="174"/>
      <c r="R41" s="194"/>
      <c r="S41" s="194"/>
      <c r="T41" s="174"/>
      <c r="AG41" s="194"/>
      <c r="AH41" s="194"/>
      <c r="AI41" s="174"/>
    </row>
    <row r="42" spans="2:49" ht="15.5" x14ac:dyDescent="0.35">
      <c r="B42" s="269"/>
      <c r="C42" s="99" t="s">
        <v>174</v>
      </c>
      <c r="D42" s="265" t="s">
        <v>258</v>
      </c>
      <c r="E42" s="100" t="s">
        <v>385</v>
      </c>
      <c r="F42" s="276">
        <v>1</v>
      </c>
      <c r="G42" s="276">
        <v>2</v>
      </c>
      <c r="H42" s="276">
        <v>3</v>
      </c>
      <c r="I42" s="276">
        <v>4</v>
      </c>
      <c r="J42" s="276">
        <v>5</v>
      </c>
      <c r="K42" s="276">
        <v>6</v>
      </c>
      <c r="L42" s="276">
        <v>7</v>
      </c>
      <c r="M42" s="276">
        <v>8</v>
      </c>
      <c r="N42" s="276">
        <v>9</v>
      </c>
      <c r="O42" s="276">
        <v>10</v>
      </c>
      <c r="P42" s="276">
        <v>11</v>
      </c>
      <c r="Q42" s="276">
        <v>12</v>
      </c>
      <c r="R42" s="276" t="s">
        <v>381</v>
      </c>
      <c r="S42" s="276" t="s">
        <v>382</v>
      </c>
      <c r="T42" s="282"/>
      <c r="U42" s="296">
        <v>1</v>
      </c>
      <c r="V42" s="296">
        <v>2</v>
      </c>
      <c r="W42" s="296">
        <v>3</v>
      </c>
      <c r="X42" s="296">
        <v>4</v>
      </c>
      <c r="Y42" s="296">
        <v>5</v>
      </c>
      <c r="Z42" s="296">
        <v>6</v>
      </c>
      <c r="AA42" s="296">
        <v>7</v>
      </c>
      <c r="AB42" s="296">
        <v>8</v>
      </c>
      <c r="AC42" s="296">
        <v>9</v>
      </c>
      <c r="AD42" s="296">
        <v>10</v>
      </c>
      <c r="AE42" s="296">
        <v>11</v>
      </c>
      <c r="AF42" s="296">
        <v>12</v>
      </c>
      <c r="AG42" s="296" t="s">
        <v>389</v>
      </c>
      <c r="AH42" s="296" t="s">
        <v>388</v>
      </c>
      <c r="AI42" s="282"/>
      <c r="AJ42" s="100">
        <v>1</v>
      </c>
      <c r="AK42" s="100">
        <v>2</v>
      </c>
      <c r="AL42" s="100">
        <v>3</v>
      </c>
      <c r="AM42" s="100">
        <v>4</v>
      </c>
      <c r="AN42" s="100">
        <v>5</v>
      </c>
      <c r="AO42" s="100">
        <v>6</v>
      </c>
      <c r="AP42" s="100">
        <v>7</v>
      </c>
      <c r="AQ42" s="100">
        <v>8</v>
      </c>
      <c r="AR42" s="100">
        <v>9</v>
      </c>
      <c r="AS42" s="100">
        <v>10</v>
      </c>
      <c r="AT42" s="100">
        <v>11</v>
      </c>
      <c r="AU42" s="100">
        <v>12</v>
      </c>
      <c r="AV42" s="100" t="s">
        <v>384</v>
      </c>
      <c r="AW42" s="100" t="s">
        <v>383</v>
      </c>
    </row>
    <row r="43" spans="2:49" s="164" customFormat="1" ht="15.5" x14ac:dyDescent="0.35">
      <c r="B43" s="293" t="s">
        <v>26</v>
      </c>
      <c r="C43" s="163">
        <v>1</v>
      </c>
      <c r="D43" s="261" t="s">
        <v>260</v>
      </c>
      <c r="E43" s="163" t="s">
        <v>286</v>
      </c>
      <c r="F43" s="223">
        <f>SUM(F44:F50)</f>
        <v>3182280.7886391007</v>
      </c>
      <c r="G43" s="223">
        <f t="shared" ref="G43:S43" si="106">SUM(G44:G50)</f>
        <v>5031700.8597479323</v>
      </c>
      <c r="H43" s="223">
        <f t="shared" si="106"/>
        <v>4081416.5698818895</v>
      </c>
      <c r="I43" s="223">
        <f t="shared" si="106"/>
        <v>3471539.4636082076</v>
      </c>
      <c r="J43" s="223">
        <f t="shared" si="106"/>
        <v>4440218.8317865431</v>
      </c>
      <c r="K43" s="223">
        <f t="shared" si="106"/>
        <v>2702716.5316358036</v>
      </c>
      <c r="L43" s="223">
        <f t="shared" si="106"/>
        <v>3385444.735843258</v>
      </c>
      <c r="M43" s="223">
        <f t="shared" si="106"/>
        <v>3593163.8240641709</v>
      </c>
      <c r="N43" s="223">
        <f t="shared" si="106"/>
        <v>950627.65394285717</v>
      </c>
      <c r="O43" s="223">
        <f t="shared" si="106"/>
        <v>0</v>
      </c>
      <c r="P43" s="270">
        <f t="shared" si="106"/>
        <v>0</v>
      </c>
      <c r="Q43" s="270">
        <f t="shared" si="106"/>
        <v>0</v>
      </c>
      <c r="R43" s="223">
        <f t="shared" si="106"/>
        <v>30839109.259149764</v>
      </c>
      <c r="S43" s="223">
        <f t="shared" si="106"/>
        <v>3609710.1499059144</v>
      </c>
      <c r="T43" s="175"/>
      <c r="U43" s="223">
        <f>SUM(U44:U50)</f>
        <v>2472084.7999999998</v>
      </c>
      <c r="V43" s="223">
        <f t="shared" ref="V43:AH43" si="107">SUM(V44:V50)</f>
        <v>3114991.8</v>
      </c>
      <c r="W43" s="223">
        <f t="shared" si="107"/>
        <v>2679850.5</v>
      </c>
      <c r="X43" s="223">
        <f t="shared" si="107"/>
        <v>2579289.5</v>
      </c>
      <c r="Y43" s="223">
        <f t="shared" si="107"/>
        <v>4128890.5</v>
      </c>
      <c r="Z43" s="223">
        <f t="shared" si="107"/>
        <v>3734267.5</v>
      </c>
      <c r="AA43" s="223">
        <f t="shared" si="107"/>
        <v>4663566.5</v>
      </c>
      <c r="AB43" s="223">
        <f t="shared" si="107"/>
        <v>4193162.5</v>
      </c>
      <c r="AC43" s="223">
        <f t="shared" si="107"/>
        <v>5487774.5</v>
      </c>
      <c r="AD43" s="223">
        <f t="shared" si="107"/>
        <v>5526474.8999999994</v>
      </c>
      <c r="AE43" s="270">
        <f t="shared" si="107"/>
        <v>4412740.8999999994</v>
      </c>
      <c r="AF43" s="270">
        <f t="shared" si="107"/>
        <v>4276523.12</v>
      </c>
      <c r="AG43" s="223">
        <f t="shared" si="107"/>
        <v>47269617.020000003</v>
      </c>
      <c r="AH43" s="223">
        <f t="shared" si="107"/>
        <v>3939134.7516666665</v>
      </c>
      <c r="AI43" s="175"/>
      <c r="AJ43" s="223">
        <f>SUM(AJ44:AJ50)</f>
        <v>1425605.1193877552</v>
      </c>
      <c r="AK43" s="223">
        <f t="shared" ref="AK43:AV43" si="108">SUM(AK44:AK50)</f>
        <v>1246091.9206122449</v>
      </c>
      <c r="AL43" s="223">
        <f t="shared" si="108"/>
        <v>2270704.1109274193</v>
      </c>
      <c r="AM43" s="223">
        <f t="shared" si="108"/>
        <v>2828441.532258065</v>
      </c>
      <c r="AN43" s="223">
        <f t="shared" si="108"/>
        <v>1249924.4031999998</v>
      </c>
      <c r="AO43" s="223">
        <f t="shared" si="108"/>
        <v>306835.6367233874</v>
      </c>
      <c r="AP43" s="223">
        <f t="shared" si="108"/>
        <v>1294222.0272401434</v>
      </c>
      <c r="AQ43" s="223">
        <f t="shared" si="108"/>
        <v>4071092.4830837715</v>
      </c>
      <c r="AR43" s="223">
        <f t="shared" si="108"/>
        <v>4453609.9005316971</v>
      </c>
      <c r="AS43" s="223">
        <f t="shared" si="108"/>
        <v>2573407.7218152867</v>
      </c>
      <c r="AT43" s="270">
        <f t="shared" si="108"/>
        <v>764221.44467408583</v>
      </c>
      <c r="AU43" s="270">
        <f t="shared" si="108"/>
        <v>1774425.1342427835</v>
      </c>
      <c r="AV43" s="223">
        <f t="shared" si="108"/>
        <v>24258581.434696641</v>
      </c>
      <c r="AW43" s="223">
        <f t="shared" ref="AW43" si="109">SUM(AW44:AW50)</f>
        <v>2021548.4528913866</v>
      </c>
    </row>
    <row r="44" spans="2:49" s="172" customFormat="1" ht="15" hidden="1" customHeight="1" outlineLevel="1" x14ac:dyDescent="0.35">
      <c r="B44" s="291"/>
      <c r="C44" s="168"/>
      <c r="D44" s="262" t="s">
        <v>283</v>
      </c>
      <c r="E44" s="168" t="s">
        <v>286</v>
      </c>
      <c r="F44" s="271">
        <f>SUMIFS('01. KE30'!$Y:$Y,'01. KE30'!$B:$B,'03. TH_ XK-B2B'!$B$43,'01. KE30'!$E:$E,'03. TH_ XK-B2B'!$D44,'01. KE30'!$A:$A,'03. TH_ XK-B2B'!F$42)</f>
        <v>3182280.7886391007</v>
      </c>
      <c r="G44" s="271">
        <f>SUMIFS('01. KE30'!$Y:$Y,'01. KE30'!$B:$B,'03. TH_ XK-B2B'!$B$43,'01. KE30'!$E:$E,'03. TH_ XK-B2B'!$D44,'01. KE30'!$A:$A,'03. TH_ XK-B2B'!G$42)</f>
        <v>4978035.5387554159</v>
      </c>
      <c r="H44" s="271">
        <f>SUMIFS('01. KE30'!$Y:$Y,'01. KE30'!$B:$B,'03. TH_ XK-B2B'!$B$43,'01. KE30'!$E:$E,'03. TH_ XK-B2B'!$D44,'01. KE30'!$A:$A,'03. TH_ XK-B2B'!H$42)</f>
        <v>3908447.9368110234</v>
      </c>
      <c r="I44" s="271">
        <f>SUMIFS('01. KE30'!$Y:$Y,'01. KE30'!$B:$B,'03. TH_ XK-B2B'!$B$43,'01. KE30'!$E:$E,'03. TH_ XK-B2B'!$D44,'01. KE30'!$A:$A,'03. TH_ XK-B2B'!I$42)</f>
        <v>3471539.4636082076</v>
      </c>
      <c r="J44" s="271">
        <f>SUMIFS('01. KE30'!$Y:$Y,'01. KE30'!$B:$B,'03. TH_ XK-B2B'!$B$43,'01. KE30'!$E:$E,'03. TH_ XK-B2B'!$D44,'01. KE30'!$A:$A,'03. TH_ XK-B2B'!J$42)</f>
        <v>4440218.8317865431</v>
      </c>
      <c r="K44" s="271">
        <f>SUMIFS('01. KE30'!$Y:$Y,'01. KE30'!$B:$B,'03. TH_ XK-B2B'!$B$43,'01. KE30'!$E:$E,'03. TH_ XK-B2B'!$D44,'01. KE30'!$A:$A,'03. TH_ XK-B2B'!K$42)</f>
        <v>2613983.7013888899</v>
      </c>
      <c r="L44" s="271">
        <f>SUMIFS('01. KE30'!$Y:$Y,'01. KE30'!$B:$B,'03. TH_ XK-B2B'!$B$43,'01. KE30'!$E:$E,'03. TH_ XK-B2B'!$D44,'01. KE30'!$A:$A,'03. TH_ XK-B2B'!L$42)</f>
        <v>3359574.5245485981</v>
      </c>
      <c r="M44" s="271">
        <f>SUMIFS('01. KE30'!$Y:$Y,'01. KE30'!$B:$B,'03. TH_ XK-B2B'!$B$43,'01. KE30'!$E:$E,'03. TH_ XK-B2B'!$D44,'01. KE30'!$A:$A,'03. TH_ XK-B2B'!M$42)</f>
        <v>3426748.3133689836</v>
      </c>
      <c r="N44" s="271">
        <f>SUMIFS('01. KE30'!$Y:$Y,'01. KE30'!$B:$B,'03. TH_ XK-B2B'!$B$43,'01. KE30'!$E:$E,'03. TH_ XK-B2B'!$D44,'01. KE30'!$A:$A,'03. TH_ XK-B2B'!N$42)</f>
        <v>924707.65394285717</v>
      </c>
      <c r="O44" s="271">
        <f>SUMIFS('01. KE30'!$Y:$Y,'01. KE30'!$B:$B,'03. TH_ XK-B2B'!$B$43,'01. KE30'!$E:$E,'03. TH_ XK-B2B'!$D44,'01. KE30'!$A:$A,'03. TH_ XK-B2B'!O$42)</f>
        <v>0</v>
      </c>
      <c r="P44" s="272">
        <f>SUMIFS('01. KE30'!$Y:$Y,'01. KE30'!$B:$B,'03. TH_ XK-B2B'!$B$43,'01. KE30'!$E:$E,'03. TH_ XK-B2B'!$D44,'01. KE30'!$A:$A,'03. TH_ XK-B2B'!P$42)</f>
        <v>0</v>
      </c>
      <c r="Q44" s="272">
        <f>SUMIFS('01. KE30'!$Y:$Y,'01. KE30'!$B:$B,'03. TH_ XK-B2B'!$B$43,'01. KE30'!$E:$E,'03. TH_ XK-B2B'!$D44,'01. KE30'!$A:$A,'03. TH_ XK-B2B'!Q$42)</f>
        <v>0</v>
      </c>
      <c r="R44" s="239">
        <f t="shared" ref="R44:R50" si="110">SUM(F44:Q44)</f>
        <v>30305536.75284962</v>
      </c>
      <c r="S44" s="239">
        <f t="shared" ref="S44:S50" si="111">IFERROR(R44/(12-COUNTIF(F44:Q44,0)),0)</f>
        <v>3367281.8614277355</v>
      </c>
      <c r="T44" s="176"/>
      <c r="U44" s="271">
        <v>2446646</v>
      </c>
      <c r="V44" s="271">
        <v>3059413</v>
      </c>
      <c r="W44" s="271">
        <v>2654411.7000000002</v>
      </c>
      <c r="X44" s="271">
        <v>2538780.7000000002</v>
      </c>
      <c r="Y44" s="271">
        <v>3970461.7</v>
      </c>
      <c r="Z44" s="271">
        <v>3590908.7</v>
      </c>
      <c r="AA44" s="271">
        <v>4623057.7</v>
      </c>
      <c r="AB44" s="271">
        <v>4152653.7</v>
      </c>
      <c r="AC44" s="271">
        <v>5226495.7</v>
      </c>
      <c r="AD44" s="271">
        <v>5485966.0999999996</v>
      </c>
      <c r="AE44" s="271">
        <v>4372232.0999999996</v>
      </c>
      <c r="AF44" s="271">
        <v>4251084.32</v>
      </c>
      <c r="AG44" s="239">
        <f t="shared" ref="AG44:AG50" si="112">SUM(U44:AF44)</f>
        <v>46372111.420000002</v>
      </c>
      <c r="AH44" s="239">
        <f>AVERAGE(U44:AF44)</f>
        <v>3864342.6183333336</v>
      </c>
      <c r="AI44" s="176"/>
      <c r="AJ44" s="271">
        <v>1401022.1469795918</v>
      </c>
      <c r="AK44" s="271">
        <v>1246091.9206122449</v>
      </c>
      <c r="AL44" s="271">
        <v>2253812.6653225808</v>
      </c>
      <c r="AM44" s="271">
        <v>2649957.6612903229</v>
      </c>
      <c r="AN44" s="271">
        <v>1249924.4031999998</v>
      </c>
      <c r="AO44" s="271">
        <v>306835.6367233874</v>
      </c>
      <c r="AP44" s="271">
        <v>1294222.0272401434</v>
      </c>
      <c r="AQ44" s="271">
        <v>4043403.2884257385</v>
      </c>
      <c r="AR44" s="271">
        <v>4259230.7226175871</v>
      </c>
      <c r="AS44" s="271">
        <v>2375171.2568471339</v>
      </c>
      <c r="AT44" s="272">
        <v>764221.44467408583</v>
      </c>
      <c r="AU44" s="272">
        <v>1548120.0334124158</v>
      </c>
      <c r="AV44" s="239">
        <f t="shared" ref="AV44:AV66" si="113">SUM(AJ44:AU44)</f>
        <v>23392013.207345232</v>
      </c>
      <c r="AW44" s="239">
        <f>AVERAGE(AJ44:AU44)</f>
        <v>1949334.433945436</v>
      </c>
    </row>
    <row r="45" spans="2:49" s="172" customFormat="1" ht="15.5" hidden="1" outlineLevel="1" x14ac:dyDescent="0.35">
      <c r="B45" s="291"/>
      <c r="C45" s="168"/>
      <c r="D45" s="262" t="s">
        <v>95</v>
      </c>
      <c r="E45" s="168" t="s">
        <v>286</v>
      </c>
      <c r="F45" s="271">
        <f>SUMIFS('01. KE30'!$Y:$Y,'01. KE30'!$B:$B,'03. TH_ XK-B2B'!$B$43,'01. KE30'!$E:$E,'03. TH_ XK-B2B'!$D45,'01. KE30'!$A:$A,'03. TH_ XK-B2B'!F$42)</f>
        <v>0</v>
      </c>
      <c r="G45" s="271">
        <f>SUMIFS('01. KE30'!$Y:$Y,'01. KE30'!$B:$B,'03. TH_ XK-B2B'!$B$43,'01. KE30'!$E:$E,'03. TH_ XK-B2B'!$D45,'01. KE30'!$A:$A,'03. TH_ XK-B2B'!G$42)</f>
        <v>0</v>
      </c>
      <c r="H45" s="271">
        <f>SUMIFS('01. KE30'!$Y:$Y,'01. KE30'!$B:$B,'03. TH_ XK-B2B'!$B$43,'01. KE30'!$E:$E,'03. TH_ XK-B2B'!$D45,'01. KE30'!$A:$A,'03. TH_ XK-B2B'!H$42)</f>
        <v>0</v>
      </c>
      <c r="I45" s="271">
        <f>SUMIFS('01. KE30'!$Y:$Y,'01. KE30'!$B:$B,'03. TH_ XK-B2B'!$B$43,'01. KE30'!$E:$E,'03. TH_ XK-B2B'!$D45,'01. KE30'!$A:$A,'03. TH_ XK-B2B'!I$42)</f>
        <v>0</v>
      </c>
      <c r="J45" s="271">
        <f>SUMIFS('01. KE30'!$Y:$Y,'01. KE30'!$B:$B,'03. TH_ XK-B2B'!$B$43,'01. KE30'!$E:$E,'03. TH_ XK-B2B'!$D45,'01. KE30'!$A:$A,'03. TH_ XK-B2B'!J$42)</f>
        <v>0</v>
      </c>
      <c r="K45" s="271">
        <f>SUMIFS('01. KE30'!$Y:$Y,'01. KE30'!$B:$B,'03. TH_ XK-B2B'!$B$43,'01. KE30'!$E:$E,'03. TH_ XK-B2B'!$D45,'01. KE30'!$A:$A,'03. TH_ XK-B2B'!K$42)</f>
        <v>56140.089120370372</v>
      </c>
      <c r="L45" s="271">
        <f>SUMIFS('01. KE30'!$Y:$Y,'01. KE30'!$B:$B,'03. TH_ XK-B2B'!$B$43,'01. KE30'!$E:$E,'03. TH_ XK-B2B'!$D45,'01. KE30'!$A:$A,'03. TH_ XK-B2B'!L$42)</f>
        <v>0</v>
      </c>
      <c r="M45" s="271">
        <f>SUMIFS('01. KE30'!$Y:$Y,'01. KE30'!$B:$B,'03. TH_ XK-B2B'!$B$43,'01. KE30'!$E:$E,'03. TH_ XK-B2B'!$D45,'01. KE30'!$A:$A,'03. TH_ XK-B2B'!M$42)</f>
        <v>0</v>
      </c>
      <c r="N45" s="271">
        <f>SUMIFS('01. KE30'!$Y:$Y,'01. KE30'!$B:$B,'03. TH_ XK-B2B'!$B$43,'01. KE30'!$E:$E,'03. TH_ XK-B2B'!$D45,'01. KE30'!$A:$A,'03. TH_ XK-B2B'!N$42)</f>
        <v>0</v>
      </c>
      <c r="O45" s="271">
        <f>SUMIFS('01. KE30'!$Y:$Y,'01. KE30'!$B:$B,'03. TH_ XK-B2B'!$B$43,'01. KE30'!$E:$E,'03. TH_ XK-B2B'!$D45,'01. KE30'!$A:$A,'03. TH_ XK-B2B'!O$42)</f>
        <v>0</v>
      </c>
      <c r="P45" s="272">
        <f>SUMIFS('01. KE30'!$Y:$Y,'01. KE30'!$B:$B,'03. TH_ XK-B2B'!$B$43,'01. KE30'!$E:$E,'03. TH_ XK-B2B'!$D45,'01. KE30'!$A:$A,'03. TH_ XK-B2B'!P$42)</f>
        <v>0</v>
      </c>
      <c r="Q45" s="272">
        <f>SUMIFS('01. KE30'!$Y:$Y,'01. KE30'!$B:$B,'03. TH_ XK-B2B'!$B$43,'01. KE30'!$E:$E,'03. TH_ XK-B2B'!$D45,'01. KE30'!$A:$A,'03. TH_ XK-B2B'!Q$42)</f>
        <v>0</v>
      </c>
      <c r="R45" s="239">
        <f t="shared" si="110"/>
        <v>56140.089120370372</v>
      </c>
      <c r="S45" s="239">
        <f t="shared" si="111"/>
        <v>56140.089120370372</v>
      </c>
      <c r="T45" s="176"/>
      <c r="U45" s="271">
        <v>0</v>
      </c>
      <c r="V45" s="271">
        <v>0</v>
      </c>
      <c r="W45" s="271">
        <v>0</v>
      </c>
      <c r="X45" s="271">
        <v>0</v>
      </c>
      <c r="Y45" s="271">
        <v>117920</v>
      </c>
      <c r="Z45" s="271">
        <v>117920</v>
      </c>
      <c r="AA45" s="271">
        <v>0</v>
      </c>
      <c r="AB45" s="271">
        <v>0</v>
      </c>
      <c r="AC45" s="271">
        <v>235840</v>
      </c>
      <c r="AD45" s="271">
        <v>0</v>
      </c>
      <c r="AE45" s="271">
        <v>0</v>
      </c>
      <c r="AF45" s="271">
        <v>0</v>
      </c>
      <c r="AG45" s="239">
        <f t="shared" si="112"/>
        <v>471680</v>
      </c>
      <c r="AH45" s="239">
        <f t="shared" ref="AH45:AH50" si="114">AVERAGE(U45:AF45)</f>
        <v>39306.666666666664</v>
      </c>
      <c r="AI45" s="176"/>
      <c r="AJ45" s="271">
        <v>24582.972408163267</v>
      </c>
      <c r="AK45" s="271">
        <v>0</v>
      </c>
      <c r="AL45" s="271">
        <v>312.33270161290324</v>
      </c>
      <c r="AM45" s="271">
        <v>178483.87096774194</v>
      </c>
      <c r="AN45" s="271">
        <v>0</v>
      </c>
      <c r="AO45" s="271">
        <v>0</v>
      </c>
      <c r="AP45" s="271">
        <v>0</v>
      </c>
      <c r="AQ45" s="271">
        <v>0</v>
      </c>
      <c r="AR45" s="271">
        <v>194379.17791411042</v>
      </c>
      <c r="AS45" s="271">
        <v>198236.46496815287</v>
      </c>
      <c r="AT45" s="272">
        <v>0</v>
      </c>
      <c r="AU45" s="272">
        <v>199925.97864768683</v>
      </c>
      <c r="AV45" s="239">
        <f t="shared" si="113"/>
        <v>795920.79760746821</v>
      </c>
      <c r="AW45" s="239">
        <f t="shared" ref="AW45:AW50" si="115">AVERAGE(AJ45:AU45)</f>
        <v>66326.733133955684</v>
      </c>
    </row>
    <row r="46" spans="2:49" s="172" customFormat="1" ht="15.5" hidden="1" outlineLevel="1" x14ac:dyDescent="0.35">
      <c r="B46" s="291"/>
      <c r="C46" s="168"/>
      <c r="D46" s="262" t="s">
        <v>265</v>
      </c>
      <c r="E46" s="168" t="s">
        <v>286</v>
      </c>
      <c r="F46" s="271">
        <f>SUMIFS('01. KE30'!$Y:$Y,'01. KE30'!$B:$B,'03. TH_ XK-B2B'!$B$43,'01. KE30'!$E:$E,'03. TH_ XK-B2B'!$D46,'01. KE30'!$A:$A,'03. TH_ XK-B2B'!F$42)</f>
        <v>0</v>
      </c>
      <c r="G46" s="271">
        <f>SUMIFS('01. KE30'!$Y:$Y,'01. KE30'!$B:$B,'03. TH_ XK-B2B'!$B$43,'01. KE30'!$E:$E,'03. TH_ XK-B2B'!$D46,'01. KE30'!$A:$A,'03. TH_ XK-B2B'!G$42)</f>
        <v>0</v>
      </c>
      <c r="H46" s="271">
        <f>SUMIFS('01. KE30'!$Y:$Y,'01. KE30'!$B:$B,'03. TH_ XK-B2B'!$B$43,'01. KE30'!$E:$E,'03. TH_ XK-B2B'!$D46,'01. KE30'!$A:$A,'03. TH_ XK-B2B'!H$42)</f>
        <v>147015</v>
      </c>
      <c r="I46" s="271">
        <f>SUMIFS('01. KE30'!$Y:$Y,'01. KE30'!$B:$B,'03. TH_ XK-B2B'!$B$43,'01. KE30'!$E:$E,'03. TH_ XK-B2B'!$D46,'01. KE30'!$A:$A,'03. TH_ XK-B2B'!I$42)</f>
        <v>0</v>
      </c>
      <c r="J46" s="271">
        <f>SUMIFS('01. KE30'!$Y:$Y,'01. KE30'!$B:$B,'03. TH_ XK-B2B'!$B$43,'01. KE30'!$E:$E,'03. TH_ XK-B2B'!$D46,'01. KE30'!$A:$A,'03. TH_ XK-B2B'!J$42)</f>
        <v>0</v>
      </c>
      <c r="K46" s="271">
        <f>SUMIFS('01. KE30'!$Y:$Y,'01. KE30'!$B:$B,'03. TH_ XK-B2B'!$B$43,'01. KE30'!$E:$E,'03. TH_ XK-B2B'!$D46,'01. KE30'!$A:$A,'03. TH_ XK-B2B'!K$42)</f>
        <v>6742.7411265432102</v>
      </c>
      <c r="L46" s="271">
        <f>SUMIFS('01. KE30'!$Y:$Y,'01. KE30'!$B:$B,'03. TH_ XK-B2B'!$B$43,'01. KE30'!$E:$E,'03. TH_ XK-B2B'!$D46,'01. KE30'!$A:$A,'03. TH_ XK-B2B'!L$42)</f>
        <v>0</v>
      </c>
      <c r="M46" s="271">
        <f>SUMIFS('01. KE30'!$Y:$Y,'01. KE30'!$B:$B,'03. TH_ XK-B2B'!$B$43,'01. KE30'!$E:$E,'03. TH_ XK-B2B'!$D46,'01. KE30'!$A:$A,'03. TH_ XK-B2B'!M$42)</f>
        <v>166415.51069518717</v>
      </c>
      <c r="N46" s="271">
        <f>SUMIFS('01. KE30'!$Y:$Y,'01. KE30'!$B:$B,'03. TH_ XK-B2B'!$B$43,'01. KE30'!$E:$E,'03. TH_ XK-B2B'!$D46,'01. KE30'!$A:$A,'03. TH_ XK-B2B'!N$42)</f>
        <v>0</v>
      </c>
      <c r="O46" s="271">
        <f>SUMIFS('01. KE30'!$Y:$Y,'01. KE30'!$B:$B,'03. TH_ XK-B2B'!$B$43,'01. KE30'!$E:$E,'03. TH_ XK-B2B'!$D46,'01. KE30'!$A:$A,'03. TH_ XK-B2B'!O$42)</f>
        <v>0</v>
      </c>
      <c r="P46" s="272">
        <f>SUMIFS('01. KE30'!$Y:$Y,'01. KE30'!$B:$B,'03. TH_ XK-B2B'!$B$43,'01. KE30'!$E:$E,'03. TH_ XK-B2B'!$D46,'01. KE30'!$A:$A,'03. TH_ XK-B2B'!P$42)</f>
        <v>0</v>
      </c>
      <c r="Q46" s="272">
        <f>SUMIFS('01. KE30'!$Y:$Y,'01. KE30'!$B:$B,'03. TH_ XK-B2B'!$B$43,'01. KE30'!$E:$E,'03. TH_ XK-B2B'!$D46,'01. KE30'!$A:$A,'03. TH_ XK-B2B'!Q$42)</f>
        <v>0</v>
      </c>
      <c r="R46" s="239">
        <f>SUM(F46:Q46)</f>
        <v>320173.2518217304</v>
      </c>
      <c r="S46" s="239">
        <f t="shared" si="111"/>
        <v>106724.41727391013</v>
      </c>
      <c r="T46" s="176"/>
      <c r="U46" s="271">
        <v>0</v>
      </c>
      <c r="V46" s="271">
        <v>30140</v>
      </c>
      <c r="W46" s="271">
        <v>0</v>
      </c>
      <c r="X46" s="271">
        <v>15070</v>
      </c>
      <c r="Y46" s="271">
        <v>15070</v>
      </c>
      <c r="Z46" s="271">
        <v>0</v>
      </c>
      <c r="AA46" s="271">
        <v>15070</v>
      </c>
      <c r="AB46" s="271">
        <v>15070</v>
      </c>
      <c r="AC46" s="271">
        <v>0</v>
      </c>
      <c r="AD46" s="271">
        <v>15070</v>
      </c>
      <c r="AE46" s="271">
        <v>15070</v>
      </c>
      <c r="AF46" s="271">
        <v>0</v>
      </c>
      <c r="AG46" s="239">
        <f t="shared" si="112"/>
        <v>120560</v>
      </c>
      <c r="AH46" s="239">
        <f t="shared" si="114"/>
        <v>10046.666666666666</v>
      </c>
      <c r="AI46" s="176"/>
      <c r="AJ46" s="271">
        <v>0</v>
      </c>
      <c r="AK46" s="271">
        <v>0</v>
      </c>
      <c r="AL46" s="271">
        <v>16579.112903225807</v>
      </c>
      <c r="AM46" s="271">
        <v>0</v>
      </c>
      <c r="AN46" s="271">
        <v>0</v>
      </c>
      <c r="AO46" s="271">
        <v>0</v>
      </c>
      <c r="AP46" s="271">
        <v>0</v>
      </c>
      <c r="AQ46" s="271">
        <v>0</v>
      </c>
      <c r="AR46" s="271">
        <v>0</v>
      </c>
      <c r="AS46" s="271">
        <v>0</v>
      </c>
      <c r="AT46" s="272">
        <v>0</v>
      </c>
      <c r="AU46" s="272">
        <v>0</v>
      </c>
      <c r="AV46" s="239">
        <f t="shared" si="113"/>
        <v>16579.112903225807</v>
      </c>
      <c r="AW46" s="239">
        <f t="shared" si="115"/>
        <v>1381.5927419354839</v>
      </c>
    </row>
    <row r="47" spans="2:49" s="172" customFormat="1" ht="15.5" hidden="1" outlineLevel="1" x14ac:dyDescent="0.35">
      <c r="B47" s="291"/>
      <c r="C47" s="168"/>
      <c r="D47" s="262" t="s">
        <v>266</v>
      </c>
      <c r="E47" s="168" t="s">
        <v>286</v>
      </c>
      <c r="F47" s="271">
        <f>SUMIFS('01. KE30'!$Y:$Y,'01. KE30'!$B:$B,'03. TH_ XK-B2B'!$B$43,'01. KE30'!$E:$E,'03. TH_ XK-B2B'!$D47,'01. KE30'!$A:$A,'03. TH_ XK-B2B'!F$42)</f>
        <v>0</v>
      </c>
      <c r="G47" s="271">
        <f>SUMIFS('01. KE30'!$Y:$Y,'01. KE30'!$B:$B,'03. TH_ XK-B2B'!$B$43,'01. KE30'!$E:$E,'03. TH_ XK-B2B'!$D47,'01. KE30'!$A:$A,'03. TH_ XK-B2B'!G$42)</f>
        <v>53665.320992516739</v>
      </c>
      <c r="H47" s="271">
        <f>SUMIFS('01. KE30'!$Y:$Y,'01. KE30'!$B:$B,'03. TH_ XK-B2B'!$B$43,'01. KE30'!$E:$E,'03. TH_ XK-B2B'!$D47,'01. KE30'!$A:$A,'03. TH_ XK-B2B'!H$42)</f>
        <v>0</v>
      </c>
      <c r="I47" s="271">
        <f>SUMIFS('01. KE30'!$Y:$Y,'01. KE30'!$B:$B,'03. TH_ XK-B2B'!$B$43,'01. KE30'!$E:$E,'03. TH_ XK-B2B'!$D47,'01. KE30'!$A:$A,'03. TH_ XK-B2B'!I$42)</f>
        <v>0</v>
      </c>
      <c r="J47" s="271">
        <f>SUMIFS('01. KE30'!$Y:$Y,'01. KE30'!$B:$B,'03. TH_ XK-B2B'!$B$43,'01. KE30'!$E:$E,'03. TH_ XK-B2B'!$D47,'01. KE30'!$A:$A,'03. TH_ XK-B2B'!J$42)</f>
        <v>0</v>
      </c>
      <c r="K47" s="271">
        <f>SUMIFS('01. KE30'!$Y:$Y,'01. KE30'!$B:$B,'03. TH_ XK-B2B'!$B$43,'01. KE30'!$E:$E,'03. TH_ XK-B2B'!$D47,'01. KE30'!$A:$A,'03. TH_ XK-B2B'!K$42)</f>
        <v>0</v>
      </c>
      <c r="L47" s="271">
        <f>SUMIFS('01. KE30'!$Y:$Y,'01. KE30'!$B:$B,'03. TH_ XK-B2B'!$B$43,'01. KE30'!$E:$E,'03. TH_ XK-B2B'!$D47,'01. KE30'!$A:$A,'03. TH_ XK-B2B'!L$42)</f>
        <v>0</v>
      </c>
      <c r="M47" s="271">
        <f>SUMIFS('01. KE30'!$Y:$Y,'01. KE30'!$B:$B,'03. TH_ XK-B2B'!$B$43,'01. KE30'!$E:$E,'03. TH_ XK-B2B'!$D47,'01. KE30'!$A:$A,'03. TH_ XK-B2B'!M$42)</f>
        <v>0</v>
      </c>
      <c r="N47" s="271">
        <f>SUMIFS('01. KE30'!$Y:$Y,'01. KE30'!$B:$B,'03. TH_ XK-B2B'!$B$43,'01. KE30'!$E:$E,'03. TH_ XK-B2B'!$D47,'01. KE30'!$A:$A,'03. TH_ XK-B2B'!N$42)</f>
        <v>0</v>
      </c>
      <c r="O47" s="271">
        <f>SUMIFS('01. KE30'!$Y:$Y,'01. KE30'!$B:$B,'03. TH_ XK-B2B'!$B$43,'01. KE30'!$E:$E,'03. TH_ XK-B2B'!$D47,'01. KE30'!$A:$A,'03. TH_ XK-B2B'!O$42)</f>
        <v>0</v>
      </c>
      <c r="P47" s="272">
        <f>SUMIFS('01. KE30'!$Y:$Y,'01. KE30'!$B:$B,'03. TH_ XK-B2B'!$B$43,'01. KE30'!$E:$E,'03. TH_ XK-B2B'!$D47,'01. KE30'!$A:$A,'03. TH_ XK-B2B'!P$42)</f>
        <v>0</v>
      </c>
      <c r="Q47" s="272">
        <f>SUMIFS('01. KE30'!$Y:$Y,'01. KE30'!$B:$B,'03. TH_ XK-B2B'!$B$43,'01. KE30'!$E:$E,'03. TH_ XK-B2B'!$D47,'01. KE30'!$A:$A,'03. TH_ XK-B2B'!Q$42)</f>
        <v>0</v>
      </c>
      <c r="R47" s="239">
        <f t="shared" si="110"/>
        <v>53665.320992516739</v>
      </c>
      <c r="S47" s="239">
        <f t="shared" si="111"/>
        <v>53665.320992516739</v>
      </c>
      <c r="T47" s="176"/>
      <c r="U47" s="271">
        <v>0</v>
      </c>
      <c r="V47" s="271">
        <v>0</v>
      </c>
      <c r="W47" s="271">
        <v>0</v>
      </c>
      <c r="X47" s="271">
        <v>0</v>
      </c>
      <c r="Y47" s="271">
        <v>0</v>
      </c>
      <c r="Z47" s="271">
        <v>0</v>
      </c>
      <c r="AA47" s="271">
        <v>0</v>
      </c>
      <c r="AB47" s="271">
        <v>0</v>
      </c>
      <c r="AC47" s="271">
        <v>0</v>
      </c>
      <c r="AD47" s="271">
        <v>0</v>
      </c>
      <c r="AE47" s="271">
        <v>0</v>
      </c>
      <c r="AF47" s="271">
        <v>0</v>
      </c>
      <c r="AG47" s="239">
        <f t="shared" si="112"/>
        <v>0</v>
      </c>
      <c r="AH47" s="239">
        <f t="shared" si="114"/>
        <v>0</v>
      </c>
      <c r="AI47" s="176"/>
      <c r="AJ47" s="271">
        <v>0</v>
      </c>
      <c r="AK47" s="271">
        <v>0</v>
      </c>
      <c r="AL47" s="271">
        <v>0</v>
      </c>
      <c r="AM47" s="271">
        <v>0</v>
      </c>
      <c r="AN47" s="271">
        <v>0</v>
      </c>
      <c r="AO47" s="271">
        <v>0</v>
      </c>
      <c r="AP47" s="271">
        <v>0</v>
      </c>
      <c r="AQ47" s="271">
        <v>0</v>
      </c>
      <c r="AR47" s="271">
        <v>0</v>
      </c>
      <c r="AS47" s="271">
        <v>0</v>
      </c>
      <c r="AT47" s="272">
        <v>0</v>
      </c>
      <c r="AU47" s="272">
        <v>0</v>
      </c>
      <c r="AV47" s="239">
        <f t="shared" si="113"/>
        <v>0</v>
      </c>
      <c r="AW47" s="239">
        <f t="shared" si="115"/>
        <v>0</v>
      </c>
    </row>
    <row r="48" spans="2:49" s="172" customFormat="1" ht="15.5" hidden="1" outlineLevel="1" x14ac:dyDescent="0.35">
      <c r="B48" s="291"/>
      <c r="C48" s="168"/>
      <c r="D48" s="262" t="s">
        <v>295</v>
      </c>
      <c r="E48" s="168" t="s">
        <v>286</v>
      </c>
      <c r="F48" s="271">
        <f>SUMIFS('01. KE30'!$Y:$Y,'01. KE30'!$B:$B,'03. TH_ XK-B2B'!$B$43,'01. KE30'!$E:$E,'03. TH_ XK-B2B'!$D48,'01. KE30'!$A:$A,'03. TH_ XK-B2B'!F$42)</f>
        <v>0</v>
      </c>
      <c r="G48" s="271">
        <f>SUMIFS('01. KE30'!$Y:$Y,'01. KE30'!$B:$B,'03. TH_ XK-B2B'!$B$43,'01. KE30'!$E:$E,'03. TH_ XK-B2B'!$D48,'01. KE30'!$A:$A,'03. TH_ XK-B2B'!G$42)</f>
        <v>0</v>
      </c>
      <c r="H48" s="271">
        <f>SUMIFS('01. KE30'!$Y:$Y,'01. KE30'!$B:$B,'03. TH_ XK-B2B'!$B$43,'01. KE30'!$E:$E,'03. TH_ XK-B2B'!$D48,'01. KE30'!$A:$A,'03. TH_ XK-B2B'!H$42)</f>
        <v>0</v>
      </c>
      <c r="I48" s="271">
        <f>SUMIFS('01. KE30'!$Y:$Y,'01. KE30'!$B:$B,'03. TH_ XK-B2B'!$B$43,'01. KE30'!$E:$E,'03. TH_ XK-B2B'!$D48,'01. KE30'!$A:$A,'03. TH_ XK-B2B'!I$42)</f>
        <v>0</v>
      </c>
      <c r="J48" s="271">
        <f>SUMIFS('01. KE30'!$Y:$Y,'01. KE30'!$B:$B,'03. TH_ XK-B2B'!$B$43,'01. KE30'!$E:$E,'03. TH_ XK-B2B'!$D48,'01. KE30'!$A:$A,'03. TH_ XK-B2B'!J$42)</f>
        <v>0</v>
      </c>
      <c r="K48" s="271">
        <f>SUMIFS('01. KE30'!$Y:$Y,'01. KE30'!$B:$B,'03. TH_ XK-B2B'!$B$43,'01. KE30'!$E:$E,'03. TH_ XK-B2B'!$D48,'01. KE30'!$A:$A,'03. TH_ XK-B2B'!K$42)</f>
        <v>0</v>
      </c>
      <c r="L48" s="271">
        <f>SUMIFS('01. KE30'!$Y:$Y,'01. KE30'!$B:$B,'03. TH_ XK-B2B'!$B$43,'01. KE30'!$E:$E,'03. TH_ XK-B2B'!$D48,'01. KE30'!$A:$A,'03. TH_ XK-B2B'!L$42)</f>
        <v>0</v>
      </c>
      <c r="M48" s="271">
        <f>SUMIFS('01. KE30'!$Y:$Y,'01. KE30'!$B:$B,'03. TH_ XK-B2B'!$B$43,'01. KE30'!$E:$E,'03. TH_ XK-B2B'!$D48,'01. KE30'!$A:$A,'03. TH_ XK-B2B'!M$42)</f>
        <v>0</v>
      </c>
      <c r="N48" s="271">
        <f>SUMIFS('01. KE30'!$Y:$Y,'01. KE30'!$B:$B,'03. TH_ XK-B2B'!$B$43,'01. KE30'!$E:$E,'03. TH_ XK-B2B'!$D48,'01. KE30'!$A:$A,'03. TH_ XK-B2B'!N$42)</f>
        <v>0</v>
      </c>
      <c r="O48" s="271">
        <f>SUMIFS('01. KE30'!$Y:$Y,'01. KE30'!$B:$B,'03. TH_ XK-B2B'!$B$43,'01. KE30'!$E:$E,'03. TH_ XK-B2B'!$D48,'01. KE30'!$A:$A,'03. TH_ XK-B2B'!O$42)</f>
        <v>0</v>
      </c>
      <c r="P48" s="272">
        <f>SUMIFS('01. KE30'!$Y:$Y,'01. KE30'!$B:$B,'03. TH_ XK-B2B'!$B$43,'01. KE30'!$E:$E,'03. TH_ XK-B2B'!$D48,'01. KE30'!$A:$A,'03. TH_ XK-B2B'!P$42)</f>
        <v>0</v>
      </c>
      <c r="Q48" s="272">
        <f>SUMIFS('01. KE30'!$Y:$Y,'01. KE30'!$B:$B,'03. TH_ XK-B2B'!$B$43,'01. KE30'!$E:$E,'03. TH_ XK-B2B'!$D48,'01. KE30'!$A:$A,'03. TH_ XK-B2B'!Q$42)</f>
        <v>0</v>
      </c>
      <c r="R48" s="239">
        <f t="shared" si="110"/>
        <v>0</v>
      </c>
      <c r="S48" s="239">
        <f t="shared" si="111"/>
        <v>0</v>
      </c>
      <c r="T48" s="176"/>
      <c r="U48" s="271">
        <v>0</v>
      </c>
      <c r="V48" s="271">
        <v>0</v>
      </c>
      <c r="W48" s="271">
        <v>0</v>
      </c>
      <c r="X48" s="271">
        <v>0</v>
      </c>
      <c r="Y48" s="271">
        <v>0</v>
      </c>
      <c r="Z48" s="271">
        <v>0</v>
      </c>
      <c r="AA48" s="271">
        <v>0</v>
      </c>
      <c r="AB48" s="271">
        <v>0</v>
      </c>
      <c r="AC48" s="271">
        <v>0</v>
      </c>
      <c r="AD48" s="271">
        <v>0</v>
      </c>
      <c r="AE48" s="271">
        <v>0</v>
      </c>
      <c r="AF48" s="271">
        <v>0</v>
      </c>
      <c r="AG48" s="239">
        <f t="shared" si="112"/>
        <v>0</v>
      </c>
      <c r="AH48" s="239">
        <f t="shared" si="114"/>
        <v>0</v>
      </c>
      <c r="AI48" s="176"/>
      <c r="AJ48" s="271">
        <v>0</v>
      </c>
      <c r="AK48" s="271">
        <v>0</v>
      </c>
      <c r="AL48" s="271">
        <v>0</v>
      </c>
      <c r="AM48" s="271">
        <v>0</v>
      </c>
      <c r="AN48" s="271">
        <v>0</v>
      </c>
      <c r="AO48" s="271">
        <v>0</v>
      </c>
      <c r="AP48" s="271">
        <v>0</v>
      </c>
      <c r="AQ48" s="271">
        <v>0</v>
      </c>
      <c r="AR48" s="271">
        <v>0</v>
      </c>
      <c r="AS48" s="271">
        <v>0</v>
      </c>
      <c r="AT48" s="272">
        <v>0</v>
      </c>
      <c r="AU48" s="272">
        <v>0</v>
      </c>
      <c r="AV48" s="239">
        <f t="shared" si="113"/>
        <v>0</v>
      </c>
      <c r="AW48" s="239">
        <f t="shared" si="115"/>
        <v>0</v>
      </c>
    </row>
    <row r="49" spans="2:49" s="172" customFormat="1" ht="15.5" hidden="1" outlineLevel="1" x14ac:dyDescent="0.35">
      <c r="B49" s="291"/>
      <c r="C49" s="168"/>
      <c r="D49" s="262" t="s">
        <v>23</v>
      </c>
      <c r="E49" s="168" t="s">
        <v>286</v>
      </c>
      <c r="F49" s="271">
        <f>SUMIFS('01. KE30'!$Y:$Y,'01. KE30'!$B:$B,'03. TH_ XK-B2B'!$B$43,'01. KE30'!$E:$E,'03. TH_ XK-B2B'!$D49,'01. KE30'!$A:$A,'03. TH_ XK-B2B'!F$42)</f>
        <v>0</v>
      </c>
      <c r="G49" s="271">
        <f>SUMIFS('01. KE30'!$Y:$Y,'01. KE30'!$B:$B,'03. TH_ XK-B2B'!$B$43,'01. KE30'!$E:$E,'03. TH_ XK-B2B'!$D49,'01. KE30'!$A:$A,'03. TH_ XK-B2B'!G$42)</f>
        <v>0</v>
      </c>
      <c r="H49" s="271">
        <f>SUMIFS('01. KE30'!$Y:$Y,'01. KE30'!$B:$B,'03. TH_ XK-B2B'!$B$43,'01. KE30'!$E:$E,'03. TH_ XK-B2B'!$D49,'01. KE30'!$A:$A,'03. TH_ XK-B2B'!H$42)</f>
        <v>25953.633070866144</v>
      </c>
      <c r="I49" s="271">
        <f>SUMIFS('01. KE30'!$Y:$Y,'01. KE30'!$B:$B,'03. TH_ XK-B2B'!$B$43,'01. KE30'!$E:$E,'03. TH_ XK-B2B'!$D49,'01. KE30'!$A:$A,'03. TH_ XK-B2B'!I$42)</f>
        <v>0</v>
      </c>
      <c r="J49" s="271">
        <f>SUMIFS('01. KE30'!$Y:$Y,'01. KE30'!$B:$B,'03. TH_ XK-B2B'!$B$43,'01. KE30'!$E:$E,'03. TH_ XK-B2B'!$D49,'01. KE30'!$A:$A,'03. TH_ XK-B2B'!J$42)</f>
        <v>0</v>
      </c>
      <c r="K49" s="271">
        <f>SUMIFS('01. KE30'!$Y:$Y,'01. KE30'!$B:$B,'03. TH_ XK-B2B'!$B$43,'01. KE30'!$E:$E,'03. TH_ XK-B2B'!$D49,'01. KE30'!$A:$A,'03. TH_ XK-B2B'!K$42)</f>
        <v>25850</v>
      </c>
      <c r="L49" s="271">
        <f>SUMIFS('01. KE30'!$Y:$Y,'01. KE30'!$B:$B,'03. TH_ XK-B2B'!$B$43,'01. KE30'!$E:$E,'03. TH_ XK-B2B'!$D49,'01. KE30'!$A:$A,'03. TH_ XK-B2B'!L$42)</f>
        <v>25870.211294660006</v>
      </c>
      <c r="M49" s="271">
        <f>SUMIFS('01. KE30'!$Y:$Y,'01. KE30'!$B:$B,'03. TH_ XK-B2B'!$B$43,'01. KE30'!$E:$E,'03. TH_ XK-B2B'!$D49,'01. KE30'!$A:$A,'03. TH_ XK-B2B'!M$42)</f>
        <v>0</v>
      </c>
      <c r="N49" s="271">
        <f>SUMIFS('01. KE30'!$Y:$Y,'01. KE30'!$B:$B,'03. TH_ XK-B2B'!$B$43,'01. KE30'!$E:$E,'03. TH_ XK-B2B'!$D49,'01. KE30'!$A:$A,'03. TH_ XK-B2B'!N$42)</f>
        <v>25920</v>
      </c>
      <c r="O49" s="271">
        <f>SUMIFS('01. KE30'!$Y:$Y,'01. KE30'!$B:$B,'03. TH_ XK-B2B'!$B$43,'01. KE30'!$E:$E,'03. TH_ XK-B2B'!$D49,'01. KE30'!$A:$A,'03. TH_ XK-B2B'!O$42)</f>
        <v>0</v>
      </c>
      <c r="P49" s="272">
        <f>SUMIFS('01. KE30'!$Y:$Y,'01. KE30'!$B:$B,'03. TH_ XK-B2B'!$B$43,'01. KE30'!$E:$E,'03. TH_ XK-B2B'!$D49,'01. KE30'!$A:$A,'03. TH_ XK-B2B'!P$42)</f>
        <v>0</v>
      </c>
      <c r="Q49" s="272">
        <f>SUMIFS('01. KE30'!$Y:$Y,'01. KE30'!$B:$B,'03. TH_ XK-B2B'!$B$43,'01. KE30'!$E:$E,'03. TH_ XK-B2B'!$D49,'01. KE30'!$A:$A,'03. TH_ XK-B2B'!Q$42)</f>
        <v>0</v>
      </c>
      <c r="R49" s="239">
        <f t="shared" si="110"/>
        <v>103593.84436552615</v>
      </c>
      <c r="S49" s="239">
        <f t="shared" si="111"/>
        <v>25898.461091381538</v>
      </c>
      <c r="T49" s="176"/>
      <c r="U49" s="271">
        <v>25438.799999999999</v>
      </c>
      <c r="V49" s="271">
        <v>25438.799999999999</v>
      </c>
      <c r="W49" s="271">
        <v>25438.799999999999</v>
      </c>
      <c r="X49" s="271">
        <v>25438.799999999999</v>
      </c>
      <c r="Y49" s="271">
        <v>25438.799999999999</v>
      </c>
      <c r="Z49" s="271">
        <v>25438.799999999999</v>
      </c>
      <c r="AA49" s="271">
        <v>25438.799999999999</v>
      </c>
      <c r="AB49" s="271">
        <v>25438.799999999999</v>
      </c>
      <c r="AC49" s="271">
        <v>25438.799999999999</v>
      </c>
      <c r="AD49" s="271">
        <v>25438.799999999999</v>
      </c>
      <c r="AE49" s="271">
        <v>25438.799999999999</v>
      </c>
      <c r="AF49" s="271">
        <v>25438.799999999999</v>
      </c>
      <c r="AG49" s="239">
        <f t="shared" si="112"/>
        <v>305265.59999999992</v>
      </c>
      <c r="AH49" s="239">
        <f t="shared" si="114"/>
        <v>25438.799999999992</v>
      </c>
      <c r="AI49" s="176"/>
      <c r="AJ49" s="271">
        <v>0</v>
      </c>
      <c r="AK49" s="271">
        <v>0</v>
      </c>
      <c r="AL49" s="271">
        <v>0</v>
      </c>
      <c r="AM49" s="271">
        <v>0</v>
      </c>
      <c r="AN49" s="271">
        <v>0</v>
      </c>
      <c r="AO49" s="271">
        <v>0</v>
      </c>
      <c r="AP49" s="271">
        <v>0</v>
      </c>
      <c r="AQ49" s="271">
        <v>27689.194658033186</v>
      </c>
      <c r="AR49" s="271">
        <v>0</v>
      </c>
      <c r="AS49" s="271">
        <v>0</v>
      </c>
      <c r="AT49" s="272">
        <v>0</v>
      </c>
      <c r="AU49" s="272">
        <v>26379.122182680901</v>
      </c>
      <c r="AV49" s="239">
        <f t="shared" si="113"/>
        <v>54068.316840714091</v>
      </c>
      <c r="AW49" s="239">
        <f t="shared" si="115"/>
        <v>4505.6930700595076</v>
      </c>
    </row>
    <row r="50" spans="2:49" s="172" customFormat="1" ht="15.5" hidden="1" outlineLevel="1" x14ac:dyDescent="0.35">
      <c r="B50" s="291"/>
      <c r="C50" s="168"/>
      <c r="D50" s="262" t="s">
        <v>269</v>
      </c>
      <c r="E50" s="168" t="s">
        <v>286</v>
      </c>
      <c r="F50" s="271">
        <f>SUMIFS('01. KE30'!$Y:$Y,'01. KE30'!$B:$B,'03. TH_ XK-B2B'!$B$43,'01. KE30'!$E:$E,'03. TH_ XK-B2B'!$D50,'01. KE30'!$A:$A,'03. TH_ XK-B2B'!F$42)</f>
        <v>0</v>
      </c>
      <c r="G50" s="271">
        <f>SUMIFS('01. KE30'!$Y:$Y,'01. KE30'!$B:$B,'03. TH_ XK-B2B'!$B$43,'01. KE30'!$E:$E,'03. TH_ XK-B2B'!$D50,'01. KE30'!$A:$A,'03. TH_ XK-B2B'!G$42)</f>
        <v>0</v>
      </c>
      <c r="H50" s="271">
        <f>SUMIFS('01. KE30'!$Y:$Y,'01. KE30'!$B:$B,'03. TH_ XK-B2B'!$B$43,'01. KE30'!$E:$E,'03. TH_ XK-B2B'!$D50,'01. KE30'!$A:$A,'03. TH_ XK-B2B'!H$42)</f>
        <v>0</v>
      </c>
      <c r="I50" s="271">
        <f>SUMIFS('01. KE30'!$Y:$Y,'01. KE30'!$B:$B,'03. TH_ XK-B2B'!$B$43,'01. KE30'!$E:$E,'03. TH_ XK-B2B'!$D50,'01. KE30'!$A:$A,'03. TH_ XK-B2B'!I$42)</f>
        <v>0</v>
      </c>
      <c r="J50" s="271">
        <f>SUMIFS('01. KE30'!$Y:$Y,'01. KE30'!$B:$B,'03. TH_ XK-B2B'!$B$43,'01. KE30'!$E:$E,'03. TH_ XK-B2B'!$D50,'01. KE30'!$A:$A,'03. TH_ XK-B2B'!J$42)</f>
        <v>0</v>
      </c>
      <c r="K50" s="271">
        <f>SUMIFS('01. KE30'!$Y:$Y,'01. KE30'!$B:$B,'03. TH_ XK-B2B'!$B$43,'01. KE30'!$E:$E,'03. TH_ XK-B2B'!$D50,'01. KE30'!$A:$A,'03. TH_ XK-B2B'!K$42)</f>
        <v>0</v>
      </c>
      <c r="L50" s="271">
        <f>SUMIFS('01. KE30'!$Y:$Y,'01. KE30'!$B:$B,'03. TH_ XK-B2B'!$B$43,'01. KE30'!$E:$E,'03. TH_ XK-B2B'!$D50,'01. KE30'!$A:$A,'03. TH_ XK-B2B'!L$42)</f>
        <v>0</v>
      </c>
      <c r="M50" s="271">
        <f>SUMIFS('01. KE30'!$Y:$Y,'01. KE30'!$B:$B,'03. TH_ XK-B2B'!$B$43,'01. KE30'!$E:$E,'03. TH_ XK-B2B'!$D50,'01. KE30'!$A:$A,'03. TH_ XK-B2B'!M$42)</f>
        <v>0</v>
      </c>
      <c r="N50" s="271">
        <f>SUMIFS('01. KE30'!$Y:$Y,'01. KE30'!$B:$B,'03. TH_ XK-B2B'!$B$43,'01. KE30'!$E:$E,'03. TH_ XK-B2B'!$D50,'01. KE30'!$A:$A,'03. TH_ XK-B2B'!N$42)</f>
        <v>0</v>
      </c>
      <c r="O50" s="271">
        <f>SUMIFS('01. KE30'!$Y:$Y,'01. KE30'!$B:$B,'03. TH_ XK-B2B'!$B$43,'01. KE30'!$E:$E,'03. TH_ XK-B2B'!$D50,'01. KE30'!$A:$A,'03. TH_ XK-B2B'!O$42)</f>
        <v>0</v>
      </c>
      <c r="P50" s="272">
        <f>SUMIFS('01. KE30'!$Y:$Y,'01. KE30'!$B:$B,'03. TH_ XK-B2B'!$B$43,'01. KE30'!$E:$E,'03. TH_ XK-B2B'!$D50,'01. KE30'!$A:$A,'03. TH_ XK-B2B'!P$42)</f>
        <v>0</v>
      </c>
      <c r="Q50" s="272">
        <f>SUMIFS('01. KE30'!$Y:$Y,'01. KE30'!$B:$B,'03. TH_ XK-B2B'!$B$43,'01. KE30'!$E:$E,'03. TH_ XK-B2B'!$D50,'01. KE30'!$A:$A,'03. TH_ XK-B2B'!Q$42)</f>
        <v>0</v>
      </c>
      <c r="R50" s="239">
        <f t="shared" si="110"/>
        <v>0</v>
      </c>
      <c r="S50" s="239">
        <f t="shared" si="111"/>
        <v>0</v>
      </c>
      <c r="T50" s="176"/>
      <c r="U50" s="271">
        <v>0</v>
      </c>
      <c r="V50" s="271">
        <v>0</v>
      </c>
      <c r="W50" s="271">
        <v>0</v>
      </c>
      <c r="X50" s="271">
        <v>0</v>
      </c>
      <c r="Y50" s="271">
        <v>0</v>
      </c>
      <c r="Z50" s="271">
        <v>0</v>
      </c>
      <c r="AA50" s="271">
        <v>0</v>
      </c>
      <c r="AB50" s="271">
        <v>0</v>
      </c>
      <c r="AC50" s="271">
        <v>0</v>
      </c>
      <c r="AD50" s="271">
        <v>0</v>
      </c>
      <c r="AE50" s="271">
        <v>0</v>
      </c>
      <c r="AF50" s="271">
        <v>0</v>
      </c>
      <c r="AG50" s="239">
        <f t="shared" si="112"/>
        <v>0</v>
      </c>
      <c r="AH50" s="239">
        <f t="shared" si="114"/>
        <v>0</v>
      </c>
      <c r="AI50" s="176"/>
      <c r="AJ50" s="271">
        <v>0</v>
      </c>
      <c r="AK50" s="271">
        <v>0</v>
      </c>
      <c r="AL50" s="271">
        <v>0</v>
      </c>
      <c r="AM50" s="271">
        <v>0</v>
      </c>
      <c r="AN50" s="271">
        <v>0</v>
      </c>
      <c r="AO50" s="271">
        <v>0</v>
      </c>
      <c r="AP50" s="271">
        <v>0</v>
      </c>
      <c r="AQ50" s="271">
        <v>0</v>
      </c>
      <c r="AR50" s="271">
        <v>0</v>
      </c>
      <c r="AS50" s="271">
        <v>0</v>
      </c>
      <c r="AT50" s="272">
        <v>0</v>
      </c>
      <c r="AU50" s="272">
        <v>0</v>
      </c>
      <c r="AV50" s="239">
        <f t="shared" si="113"/>
        <v>0</v>
      </c>
      <c r="AW50" s="239">
        <f t="shared" si="115"/>
        <v>0</v>
      </c>
    </row>
    <row r="51" spans="2:49" s="167" customFormat="1" ht="15.5" collapsed="1" x14ac:dyDescent="0.35">
      <c r="B51" s="292"/>
      <c r="C51" s="196"/>
      <c r="D51" s="263"/>
      <c r="E51" s="165" t="s">
        <v>285</v>
      </c>
      <c r="F51" s="206">
        <f t="shared" ref="F51:S51" si="116">IFERROR(F43/F$77,"-")</f>
        <v>0.71432764250491876</v>
      </c>
      <c r="G51" s="206">
        <f t="shared" si="116"/>
        <v>0.71075063263405047</v>
      </c>
      <c r="H51" s="206">
        <f t="shared" si="116"/>
        <v>0.71277737685273657</v>
      </c>
      <c r="I51" s="206">
        <f t="shared" si="116"/>
        <v>0.73080241478536012</v>
      </c>
      <c r="J51" s="206">
        <f t="shared" si="116"/>
        <v>0.77084276718879108</v>
      </c>
      <c r="K51" s="206">
        <f t="shared" si="116"/>
        <v>0.60882104194103803</v>
      </c>
      <c r="L51" s="206">
        <f t="shared" si="116"/>
        <v>0.64350097759044322</v>
      </c>
      <c r="M51" s="206">
        <f t="shared" si="116"/>
        <v>0.57478186801800368</v>
      </c>
      <c r="N51" s="206">
        <f t="shared" si="116"/>
        <v>0.32422510062756288</v>
      </c>
      <c r="O51" s="206" t="str">
        <f t="shared" si="116"/>
        <v>-</v>
      </c>
      <c r="P51" s="224" t="str">
        <f t="shared" si="116"/>
        <v>-</v>
      </c>
      <c r="Q51" s="224" t="str">
        <f t="shared" si="116"/>
        <v>-</v>
      </c>
      <c r="R51" s="206">
        <f t="shared" si="116"/>
        <v>0.66100979659561243</v>
      </c>
      <c r="S51" s="206">
        <f t="shared" si="116"/>
        <v>0.67078282059202443</v>
      </c>
      <c r="T51" s="283"/>
      <c r="U51" s="206">
        <f t="shared" ref="U51:AH51" si="117">IFERROR(U43/U$77,"-")</f>
        <v>0.63077959085477109</v>
      </c>
      <c r="V51" s="206">
        <f t="shared" si="117"/>
        <v>0.65023794650870814</v>
      </c>
      <c r="W51" s="206">
        <f t="shared" si="117"/>
        <v>0.57427572222706558</v>
      </c>
      <c r="X51" s="206">
        <f t="shared" si="117"/>
        <v>0.52212549274409858</v>
      </c>
      <c r="Y51" s="206">
        <f t="shared" si="117"/>
        <v>0.61583529403746262</v>
      </c>
      <c r="Z51" s="206">
        <f t="shared" si="117"/>
        <v>0.58341205535392771</v>
      </c>
      <c r="AA51" s="206">
        <f t="shared" si="117"/>
        <v>0.63195368523598516</v>
      </c>
      <c r="AB51" s="206">
        <f t="shared" si="117"/>
        <v>0.57113110668035638</v>
      </c>
      <c r="AC51" s="206">
        <f t="shared" si="117"/>
        <v>0.62849523534011165</v>
      </c>
      <c r="AD51" s="206">
        <f t="shared" si="117"/>
        <v>0.62214246327248557</v>
      </c>
      <c r="AE51" s="224">
        <f t="shared" si="117"/>
        <v>0.54343188902954465</v>
      </c>
      <c r="AF51" s="224">
        <f t="shared" si="117"/>
        <v>0.52995424512925138</v>
      </c>
      <c r="AG51" s="206">
        <f t="shared" si="117"/>
        <v>0.59126072286744757</v>
      </c>
      <c r="AH51" s="206">
        <f t="shared" si="117"/>
        <v>0.59126072286744746</v>
      </c>
      <c r="AI51" s="283"/>
      <c r="AJ51" s="206">
        <f t="shared" ref="AJ51:AV51" si="118">IFERROR(AJ43/AJ$77,"-")</f>
        <v>0.53077509110552357</v>
      </c>
      <c r="AK51" s="206">
        <f t="shared" si="118"/>
        <v>0.47835208773014731</v>
      </c>
      <c r="AL51" s="206">
        <f t="shared" si="118"/>
        <v>0.61947892949714345</v>
      </c>
      <c r="AM51" s="206">
        <f t="shared" si="118"/>
        <v>0.7206201223631622</v>
      </c>
      <c r="AN51" s="206">
        <f t="shared" si="118"/>
        <v>0.32074420941023823</v>
      </c>
      <c r="AO51" s="206">
        <f t="shared" si="118"/>
        <v>0.13559366136013568</v>
      </c>
      <c r="AP51" s="206">
        <f t="shared" si="118"/>
        <v>0.61586315874963393</v>
      </c>
      <c r="AQ51" s="206">
        <f t="shared" si="118"/>
        <v>0.69101766554971489</v>
      </c>
      <c r="AR51" s="206">
        <f t="shared" si="118"/>
        <v>0.75665720661295599</v>
      </c>
      <c r="AS51" s="206">
        <f t="shared" si="118"/>
        <v>0.59088992951022723</v>
      </c>
      <c r="AT51" s="224">
        <f t="shared" si="118"/>
        <v>0.29175892017446253</v>
      </c>
      <c r="AU51" s="224">
        <f t="shared" si="118"/>
        <v>0.46731132562283573</v>
      </c>
      <c r="AV51" s="206">
        <f t="shared" si="118"/>
        <v>0.55522236877869935</v>
      </c>
      <c r="AW51" s="206">
        <f t="shared" ref="AW51" si="119">IFERROR(AW43/AW$77,"-")</f>
        <v>0.55522236877869935</v>
      </c>
    </row>
    <row r="52" spans="2:49" s="167" customFormat="1" ht="15.5" hidden="1" outlineLevel="1" x14ac:dyDescent="0.35">
      <c r="B52" s="292"/>
      <c r="C52" s="168"/>
      <c r="D52" s="262" t="s">
        <v>283</v>
      </c>
      <c r="E52" s="168" t="s">
        <v>285</v>
      </c>
      <c r="F52" s="202">
        <f t="shared" ref="F52:S52" si="120">IF(F44&lt;&gt;0,F44/F$77,"-")</f>
        <v>0.71432764250491876</v>
      </c>
      <c r="G52" s="202">
        <f t="shared" si="120"/>
        <v>0.70317016195244253</v>
      </c>
      <c r="H52" s="202">
        <f t="shared" si="120"/>
        <v>0.68257018617589194</v>
      </c>
      <c r="I52" s="202">
        <f t="shared" si="120"/>
        <v>0.73080241478536012</v>
      </c>
      <c r="J52" s="202">
        <f t="shared" si="120"/>
        <v>0.77084276718879108</v>
      </c>
      <c r="K52" s="202">
        <f t="shared" si="120"/>
        <v>0.58883285097355742</v>
      </c>
      <c r="L52" s="202">
        <f t="shared" si="120"/>
        <v>0.63858360112810419</v>
      </c>
      <c r="M52" s="202">
        <f t="shared" si="120"/>
        <v>0.54816114522658954</v>
      </c>
      <c r="N52" s="202">
        <f t="shared" si="120"/>
        <v>0.31538471546370817</v>
      </c>
      <c r="O52" s="202" t="str">
        <f t="shared" si="120"/>
        <v>-</v>
      </c>
      <c r="P52" s="202" t="str">
        <f t="shared" si="120"/>
        <v>-</v>
      </c>
      <c r="Q52" s="202" t="str">
        <f t="shared" si="120"/>
        <v>-</v>
      </c>
      <c r="R52" s="240">
        <f t="shared" si="120"/>
        <v>0.64957312860061101</v>
      </c>
      <c r="S52" s="240">
        <f t="shared" si="120"/>
        <v>0.62573301759304167</v>
      </c>
      <c r="T52" s="176"/>
      <c r="U52" s="202">
        <f t="shared" ref="U52:AH52" si="121">IF(U44&lt;&gt;0,U44/U$77,"-")</f>
        <v>0.62428860160721922</v>
      </c>
      <c r="V52" s="202">
        <f t="shared" si="121"/>
        <v>0.63863616804450218</v>
      </c>
      <c r="W52" s="202">
        <f t="shared" si="121"/>
        <v>0.56882434154646799</v>
      </c>
      <c r="X52" s="202">
        <f t="shared" si="121"/>
        <v>0.51392529762816763</v>
      </c>
      <c r="Y52" s="202">
        <f t="shared" si="121"/>
        <v>0.59220520584984848</v>
      </c>
      <c r="Z52" s="202">
        <f t="shared" si="121"/>
        <v>0.56101482426079563</v>
      </c>
      <c r="AA52" s="202">
        <f t="shared" si="121"/>
        <v>0.6264643916996997</v>
      </c>
      <c r="AB52" s="202">
        <f t="shared" si="121"/>
        <v>0.5656135919705656</v>
      </c>
      <c r="AC52" s="202">
        <f t="shared" si="121"/>
        <v>0.59857190651248182</v>
      </c>
      <c r="AD52" s="202">
        <f t="shared" si="121"/>
        <v>0.61758218840066592</v>
      </c>
      <c r="AE52" s="202">
        <f t="shared" si="121"/>
        <v>0.53844320417240299</v>
      </c>
      <c r="AF52" s="202">
        <f t="shared" si="121"/>
        <v>0.52680182441908485</v>
      </c>
      <c r="AG52" s="240">
        <f t="shared" si="121"/>
        <v>0.5800344882734787</v>
      </c>
      <c r="AH52" s="240">
        <f t="shared" si="121"/>
        <v>0.5800344882734787</v>
      </c>
      <c r="AI52" s="176"/>
      <c r="AJ52" s="202">
        <f t="shared" ref="AJ52:AV52" si="122">IF(AJ44&lt;&gt;0,AJ44/AJ$77,"-")</f>
        <v>0.52162246585036798</v>
      </c>
      <c r="AK52" s="202">
        <f t="shared" si="122"/>
        <v>0.47835208773014731</v>
      </c>
      <c r="AL52" s="202">
        <f t="shared" si="122"/>
        <v>0.61487071366198087</v>
      </c>
      <c r="AM52" s="202">
        <f t="shared" si="122"/>
        <v>0.67514664607958386</v>
      </c>
      <c r="AN52" s="202">
        <f t="shared" si="122"/>
        <v>0.32074420941023823</v>
      </c>
      <c r="AO52" s="202">
        <f t="shared" si="122"/>
        <v>0.13559366136013568</v>
      </c>
      <c r="AP52" s="202">
        <f t="shared" si="122"/>
        <v>0.61586315874963393</v>
      </c>
      <c r="AQ52" s="202">
        <f t="shared" si="122"/>
        <v>0.68631776675521428</v>
      </c>
      <c r="AR52" s="202">
        <f t="shared" si="122"/>
        <v>0.72363266942422422</v>
      </c>
      <c r="AS52" s="202">
        <f t="shared" si="122"/>
        <v>0.54537210121648116</v>
      </c>
      <c r="AT52" s="202">
        <f t="shared" si="122"/>
        <v>0.29175892017446253</v>
      </c>
      <c r="AU52" s="202">
        <f t="shared" si="122"/>
        <v>0.40771177722634705</v>
      </c>
      <c r="AV52" s="240">
        <f t="shared" si="122"/>
        <v>0.53538864250770457</v>
      </c>
      <c r="AW52" s="240">
        <f t="shared" ref="AW52" si="123">IF(AW44&lt;&gt;0,AW44/AW$77,"-")</f>
        <v>0.53538864250770468</v>
      </c>
    </row>
    <row r="53" spans="2:49" s="167" customFormat="1" ht="15.5" hidden="1" outlineLevel="1" x14ac:dyDescent="0.35">
      <c r="B53" s="292"/>
      <c r="C53" s="168"/>
      <c r="D53" s="262" t="s">
        <v>95</v>
      </c>
      <c r="E53" s="168" t="s">
        <v>285</v>
      </c>
      <c r="F53" s="200" t="str">
        <f t="shared" ref="F53:S53" si="124">IF(F45&lt;&gt;0,F45/F$77,"-")</f>
        <v>-</v>
      </c>
      <c r="G53" s="200" t="str">
        <f t="shared" si="124"/>
        <v>-</v>
      </c>
      <c r="H53" s="200" t="str">
        <f t="shared" si="124"/>
        <v>-</v>
      </c>
      <c r="I53" s="200" t="str">
        <f t="shared" si="124"/>
        <v>-</v>
      </c>
      <c r="J53" s="200" t="str">
        <f t="shared" si="124"/>
        <v>-</v>
      </c>
      <c r="K53" s="200">
        <f t="shared" si="124"/>
        <v>1.2646264287376011E-2</v>
      </c>
      <c r="L53" s="200" t="str">
        <f t="shared" si="124"/>
        <v>-</v>
      </c>
      <c r="M53" s="200" t="str">
        <f t="shared" si="124"/>
        <v>-</v>
      </c>
      <c r="N53" s="200" t="str">
        <f t="shared" si="124"/>
        <v>-</v>
      </c>
      <c r="O53" s="200" t="str">
        <f t="shared" si="124"/>
        <v>-</v>
      </c>
      <c r="P53" s="200" t="str">
        <f t="shared" si="124"/>
        <v>-</v>
      </c>
      <c r="Q53" s="200" t="str">
        <f t="shared" si="124"/>
        <v>-</v>
      </c>
      <c r="R53" s="241">
        <f t="shared" si="124"/>
        <v>1.2033145503158634E-3</v>
      </c>
      <c r="S53" s="241">
        <f t="shared" si="124"/>
        <v>1.0432363199419542E-2</v>
      </c>
      <c r="T53" s="176"/>
      <c r="U53" s="200" t="str">
        <f t="shared" ref="U53:AH53" si="125">IF(U45&lt;&gt;0,U45/U$77,"-")</f>
        <v>-</v>
      </c>
      <c r="V53" s="200" t="str">
        <f t="shared" si="125"/>
        <v>-</v>
      </c>
      <c r="W53" s="200" t="str">
        <f t="shared" si="125"/>
        <v>-</v>
      </c>
      <c r="X53" s="200" t="str">
        <f t="shared" si="125"/>
        <v>-</v>
      </c>
      <c r="Y53" s="200">
        <f t="shared" si="125"/>
        <v>1.7588090038449213E-2</v>
      </c>
      <c r="Z53" s="200">
        <f t="shared" si="125"/>
        <v>1.8422876659836274E-2</v>
      </c>
      <c r="AA53" s="200" t="str">
        <f t="shared" si="125"/>
        <v>-</v>
      </c>
      <c r="AB53" s="200" t="str">
        <f t="shared" si="125"/>
        <v>-</v>
      </c>
      <c r="AC53" s="200">
        <f t="shared" si="125"/>
        <v>2.7009913818910002E-2</v>
      </c>
      <c r="AD53" s="200" t="str">
        <f t="shared" si="125"/>
        <v>-</v>
      </c>
      <c r="AE53" s="200" t="str">
        <f t="shared" si="125"/>
        <v>-</v>
      </c>
      <c r="AF53" s="200" t="str">
        <f t="shared" si="125"/>
        <v>-</v>
      </c>
      <c r="AG53" s="241">
        <f t="shared" si="125"/>
        <v>5.8998967062525529E-3</v>
      </c>
      <c r="AH53" s="241">
        <f t="shared" si="125"/>
        <v>5.8998967062525529E-3</v>
      </c>
      <c r="AI53" s="176"/>
      <c r="AJ53" s="200">
        <f t="shared" ref="AJ53:AV53" si="126">IF(AJ45&lt;&gt;0,AJ45/AJ$77,"-")</f>
        <v>9.1526252551555626E-3</v>
      </c>
      <c r="AK53" s="200" t="str">
        <f t="shared" si="126"/>
        <v>-</v>
      </c>
      <c r="AL53" s="200">
        <f t="shared" si="126"/>
        <v>8.5208604111386364E-5</v>
      </c>
      <c r="AM53" s="200">
        <f t="shared" si="126"/>
        <v>4.5473476283578319E-2</v>
      </c>
      <c r="AN53" s="200" t="str">
        <f t="shared" si="126"/>
        <v>-</v>
      </c>
      <c r="AO53" s="200" t="str">
        <f t="shared" si="126"/>
        <v>-</v>
      </c>
      <c r="AP53" s="200" t="str">
        <f t="shared" si="126"/>
        <v>-</v>
      </c>
      <c r="AQ53" s="200" t="str">
        <f t="shared" si="126"/>
        <v>-</v>
      </c>
      <c r="AR53" s="200">
        <f t="shared" si="126"/>
        <v>3.3024537188731898E-2</v>
      </c>
      <c r="AS53" s="200">
        <f t="shared" si="126"/>
        <v>4.5517828293746072E-2</v>
      </c>
      <c r="AT53" s="200" t="str">
        <f t="shared" si="126"/>
        <v>-</v>
      </c>
      <c r="AU53" s="200">
        <f t="shared" si="126"/>
        <v>5.2652361773585066E-2</v>
      </c>
      <c r="AV53" s="241">
        <f t="shared" si="126"/>
        <v>1.821677132265407E-2</v>
      </c>
      <c r="AW53" s="241">
        <f t="shared" ref="AW53" si="127">IF(AW45&lt;&gt;0,AW45/AW$77,"-")</f>
        <v>1.8216771322654073E-2</v>
      </c>
    </row>
    <row r="54" spans="2:49" s="167" customFormat="1" ht="15.5" hidden="1" outlineLevel="1" x14ac:dyDescent="0.35">
      <c r="B54" s="292"/>
      <c r="C54" s="168"/>
      <c r="D54" s="262" t="s">
        <v>265</v>
      </c>
      <c r="E54" s="168" t="s">
        <v>285</v>
      </c>
      <c r="F54" s="200" t="str">
        <f t="shared" ref="F54:S54" si="128">IF(F46&lt;&gt;0,F46/F$77,"-")</f>
        <v>-</v>
      </c>
      <c r="G54" s="200" t="str">
        <f t="shared" si="128"/>
        <v>-</v>
      </c>
      <c r="H54" s="200">
        <f t="shared" si="128"/>
        <v>2.5674655910224206E-2</v>
      </c>
      <c r="I54" s="200" t="str">
        <f t="shared" si="128"/>
        <v>-</v>
      </c>
      <c r="J54" s="200" t="str">
        <f t="shared" si="128"/>
        <v>-</v>
      </c>
      <c r="K54" s="200">
        <f t="shared" si="128"/>
        <v>1.5188876192340169E-3</v>
      </c>
      <c r="L54" s="200" t="str">
        <f t="shared" si="128"/>
        <v>-</v>
      </c>
      <c r="M54" s="200">
        <f t="shared" si="128"/>
        <v>2.6620722791414107E-2</v>
      </c>
      <c r="N54" s="200" t="str">
        <f t="shared" si="128"/>
        <v>-</v>
      </c>
      <c r="O54" s="200" t="str">
        <f t="shared" si="128"/>
        <v>-</v>
      </c>
      <c r="P54" s="200" t="str">
        <f t="shared" si="128"/>
        <v>-</v>
      </c>
      <c r="Q54" s="200" t="str">
        <f t="shared" si="128"/>
        <v>-</v>
      </c>
      <c r="R54" s="241">
        <f t="shared" si="128"/>
        <v>6.8626384207010225E-3</v>
      </c>
      <c r="S54" s="241">
        <f t="shared" si="128"/>
        <v>1.983231413937752E-2</v>
      </c>
      <c r="T54" s="176"/>
      <c r="U54" s="200" t="str">
        <f t="shared" ref="U54:AH54" si="129">IF(U46&lt;&gt;0,U46/U$77,"-")</f>
        <v>-</v>
      </c>
      <c r="V54" s="200">
        <f t="shared" si="129"/>
        <v>6.2915644618301934E-3</v>
      </c>
      <c r="W54" s="200" t="str">
        <f t="shared" si="129"/>
        <v>-</v>
      </c>
      <c r="X54" s="200">
        <f t="shared" si="129"/>
        <v>3.0506196282555974E-3</v>
      </c>
      <c r="Y54" s="200">
        <f t="shared" si="129"/>
        <v>2.2477316560331551E-3</v>
      </c>
      <c r="Z54" s="200" t="str">
        <f t="shared" si="129"/>
        <v>-</v>
      </c>
      <c r="AA54" s="200">
        <f t="shared" si="129"/>
        <v>2.0421156289947397E-3</v>
      </c>
      <c r="AB54" s="200">
        <f t="shared" si="129"/>
        <v>2.0526144115981604E-3</v>
      </c>
      <c r="AC54" s="200" t="str">
        <f t="shared" si="129"/>
        <v>-</v>
      </c>
      <c r="AD54" s="200">
        <f t="shared" si="129"/>
        <v>1.696504026737977E-3</v>
      </c>
      <c r="AE54" s="200">
        <f t="shared" si="129"/>
        <v>1.8558802234854169E-3</v>
      </c>
      <c r="AF54" s="200" t="str">
        <f t="shared" si="129"/>
        <v>-</v>
      </c>
      <c r="AG54" s="241">
        <f t="shared" si="129"/>
        <v>1.5079959864861936E-3</v>
      </c>
      <c r="AH54" s="241">
        <f t="shared" si="129"/>
        <v>1.5079959864861936E-3</v>
      </c>
      <c r="AI54" s="176"/>
      <c r="AJ54" s="200" t="str">
        <f t="shared" ref="AJ54:AV54" si="130">IF(AJ46&lt;&gt;0,AJ46/AJ$77,"-")</f>
        <v>-</v>
      </c>
      <c r="AK54" s="200" t="str">
        <f t="shared" si="130"/>
        <v>-</v>
      </c>
      <c r="AL54" s="200">
        <f t="shared" si="130"/>
        <v>4.5230072310512865E-3</v>
      </c>
      <c r="AM54" s="200" t="str">
        <f t="shared" si="130"/>
        <v>-</v>
      </c>
      <c r="AN54" s="200" t="str">
        <f t="shared" si="130"/>
        <v>-</v>
      </c>
      <c r="AO54" s="200" t="str">
        <f t="shared" si="130"/>
        <v>-</v>
      </c>
      <c r="AP54" s="200" t="str">
        <f t="shared" si="130"/>
        <v>-</v>
      </c>
      <c r="AQ54" s="200" t="str">
        <f t="shared" si="130"/>
        <v>-</v>
      </c>
      <c r="AR54" s="200" t="str">
        <f t="shared" si="130"/>
        <v>-</v>
      </c>
      <c r="AS54" s="200" t="str">
        <f t="shared" si="130"/>
        <v>-</v>
      </c>
      <c r="AT54" s="200" t="str">
        <f t="shared" si="130"/>
        <v>-</v>
      </c>
      <c r="AU54" s="200" t="str">
        <f t="shared" si="130"/>
        <v>-</v>
      </c>
      <c r="AV54" s="241">
        <f t="shared" si="130"/>
        <v>3.7945723921072478E-4</v>
      </c>
      <c r="AW54" s="241">
        <f t="shared" ref="AW54" si="131">IF(AW46&lt;&gt;0,AW46/AW$77,"-")</f>
        <v>3.7945723921072483E-4</v>
      </c>
    </row>
    <row r="55" spans="2:49" s="167" customFormat="1" ht="15.5" hidden="1" outlineLevel="1" x14ac:dyDescent="0.35">
      <c r="B55" s="292"/>
      <c r="C55" s="168"/>
      <c r="D55" s="262" t="s">
        <v>266</v>
      </c>
      <c r="E55" s="168" t="s">
        <v>285</v>
      </c>
      <c r="F55" s="200" t="str">
        <f t="shared" ref="F55:S55" si="132">IF(F47&lt;&gt;0,F47/F$77,"-")</f>
        <v>-</v>
      </c>
      <c r="G55" s="200">
        <f t="shared" si="132"/>
        <v>7.5804706816079382E-3</v>
      </c>
      <c r="H55" s="200" t="str">
        <f t="shared" si="132"/>
        <v>-</v>
      </c>
      <c r="I55" s="200" t="str">
        <f t="shared" si="132"/>
        <v>-</v>
      </c>
      <c r="J55" s="200" t="str">
        <f t="shared" si="132"/>
        <v>-</v>
      </c>
      <c r="K55" s="200" t="str">
        <f t="shared" si="132"/>
        <v>-</v>
      </c>
      <c r="L55" s="200" t="str">
        <f t="shared" si="132"/>
        <v>-</v>
      </c>
      <c r="M55" s="200" t="str">
        <f t="shared" si="132"/>
        <v>-</v>
      </c>
      <c r="N55" s="200" t="str">
        <f t="shared" si="132"/>
        <v>-</v>
      </c>
      <c r="O55" s="200" t="str">
        <f t="shared" si="132"/>
        <v>-</v>
      </c>
      <c r="P55" s="200" t="str">
        <f t="shared" si="132"/>
        <v>-</v>
      </c>
      <c r="Q55" s="200" t="str">
        <f t="shared" si="132"/>
        <v>-</v>
      </c>
      <c r="R55" s="241">
        <f t="shared" si="132"/>
        <v>1.1502700228923455E-3</v>
      </c>
      <c r="S55" s="241">
        <f t="shared" si="132"/>
        <v>9.9724836312065183E-3</v>
      </c>
      <c r="T55" s="176"/>
      <c r="U55" s="200" t="str">
        <f t="shared" ref="U55:AH55" si="133">IF(U47&lt;&gt;0,U47/U$77,"-")</f>
        <v>-</v>
      </c>
      <c r="V55" s="200" t="str">
        <f t="shared" si="133"/>
        <v>-</v>
      </c>
      <c r="W55" s="200" t="str">
        <f t="shared" si="133"/>
        <v>-</v>
      </c>
      <c r="X55" s="200" t="str">
        <f t="shared" si="133"/>
        <v>-</v>
      </c>
      <c r="Y55" s="200" t="str">
        <f t="shared" si="133"/>
        <v>-</v>
      </c>
      <c r="Z55" s="200" t="str">
        <f t="shared" si="133"/>
        <v>-</v>
      </c>
      <c r="AA55" s="200" t="str">
        <f t="shared" si="133"/>
        <v>-</v>
      </c>
      <c r="AB55" s="200" t="str">
        <f t="shared" si="133"/>
        <v>-</v>
      </c>
      <c r="AC55" s="200" t="str">
        <f t="shared" si="133"/>
        <v>-</v>
      </c>
      <c r="AD55" s="200" t="str">
        <f t="shared" si="133"/>
        <v>-</v>
      </c>
      <c r="AE55" s="200" t="str">
        <f t="shared" si="133"/>
        <v>-</v>
      </c>
      <c r="AF55" s="200" t="str">
        <f t="shared" si="133"/>
        <v>-</v>
      </c>
      <c r="AG55" s="241" t="str">
        <f t="shared" si="133"/>
        <v>-</v>
      </c>
      <c r="AH55" s="241" t="str">
        <f t="shared" si="133"/>
        <v>-</v>
      </c>
      <c r="AI55" s="176"/>
      <c r="AJ55" s="200" t="str">
        <f t="shared" ref="AJ55:AV55" si="134">IF(AJ47&lt;&gt;0,AJ47/AJ$77,"-")</f>
        <v>-</v>
      </c>
      <c r="AK55" s="200" t="str">
        <f t="shared" si="134"/>
        <v>-</v>
      </c>
      <c r="AL55" s="200" t="str">
        <f t="shared" si="134"/>
        <v>-</v>
      </c>
      <c r="AM55" s="200" t="str">
        <f t="shared" si="134"/>
        <v>-</v>
      </c>
      <c r="AN55" s="200" t="str">
        <f t="shared" si="134"/>
        <v>-</v>
      </c>
      <c r="AO55" s="200" t="str">
        <f t="shared" si="134"/>
        <v>-</v>
      </c>
      <c r="AP55" s="200" t="str">
        <f t="shared" si="134"/>
        <v>-</v>
      </c>
      <c r="AQ55" s="200" t="str">
        <f t="shared" si="134"/>
        <v>-</v>
      </c>
      <c r="AR55" s="200" t="str">
        <f t="shared" si="134"/>
        <v>-</v>
      </c>
      <c r="AS55" s="200" t="str">
        <f t="shared" si="134"/>
        <v>-</v>
      </c>
      <c r="AT55" s="200" t="str">
        <f t="shared" si="134"/>
        <v>-</v>
      </c>
      <c r="AU55" s="200" t="str">
        <f t="shared" si="134"/>
        <v>-</v>
      </c>
      <c r="AV55" s="241" t="str">
        <f t="shared" si="134"/>
        <v>-</v>
      </c>
      <c r="AW55" s="241" t="str">
        <f t="shared" ref="AW55" si="135">IF(AW47&lt;&gt;0,AW47/AW$77,"-")</f>
        <v>-</v>
      </c>
    </row>
    <row r="56" spans="2:49" s="167" customFormat="1" ht="15.5" hidden="1" outlineLevel="1" x14ac:dyDescent="0.35">
      <c r="B56" s="292"/>
      <c r="C56" s="168"/>
      <c r="D56" s="262" t="s">
        <v>295</v>
      </c>
      <c r="E56" s="168" t="s">
        <v>285</v>
      </c>
      <c r="F56" s="200" t="str">
        <f t="shared" ref="F56:S56" si="136">IF(F48&lt;&gt;0,F48/F$77,"-")</f>
        <v>-</v>
      </c>
      <c r="G56" s="200" t="str">
        <f t="shared" si="136"/>
        <v>-</v>
      </c>
      <c r="H56" s="200" t="str">
        <f t="shared" si="136"/>
        <v>-</v>
      </c>
      <c r="I56" s="200" t="str">
        <f t="shared" si="136"/>
        <v>-</v>
      </c>
      <c r="J56" s="200" t="str">
        <f t="shared" si="136"/>
        <v>-</v>
      </c>
      <c r="K56" s="200" t="str">
        <f t="shared" si="136"/>
        <v>-</v>
      </c>
      <c r="L56" s="200" t="str">
        <f t="shared" si="136"/>
        <v>-</v>
      </c>
      <c r="M56" s="200" t="str">
        <f t="shared" si="136"/>
        <v>-</v>
      </c>
      <c r="N56" s="200" t="str">
        <f t="shared" si="136"/>
        <v>-</v>
      </c>
      <c r="O56" s="200" t="str">
        <f t="shared" si="136"/>
        <v>-</v>
      </c>
      <c r="P56" s="200" t="str">
        <f t="shared" si="136"/>
        <v>-</v>
      </c>
      <c r="Q56" s="200" t="str">
        <f t="shared" si="136"/>
        <v>-</v>
      </c>
      <c r="R56" s="241" t="str">
        <f t="shared" si="136"/>
        <v>-</v>
      </c>
      <c r="S56" s="241" t="str">
        <f t="shared" si="136"/>
        <v>-</v>
      </c>
      <c r="T56" s="176"/>
      <c r="U56" s="200" t="str">
        <f t="shared" ref="U56:AH56" si="137">IF(U48&lt;&gt;0,U48/U$77,"-")</f>
        <v>-</v>
      </c>
      <c r="V56" s="200" t="str">
        <f t="shared" si="137"/>
        <v>-</v>
      </c>
      <c r="W56" s="200" t="str">
        <f t="shared" si="137"/>
        <v>-</v>
      </c>
      <c r="X56" s="200" t="str">
        <f t="shared" si="137"/>
        <v>-</v>
      </c>
      <c r="Y56" s="200" t="str">
        <f t="shared" si="137"/>
        <v>-</v>
      </c>
      <c r="Z56" s="200" t="str">
        <f t="shared" si="137"/>
        <v>-</v>
      </c>
      <c r="AA56" s="200" t="str">
        <f t="shared" si="137"/>
        <v>-</v>
      </c>
      <c r="AB56" s="200" t="str">
        <f t="shared" si="137"/>
        <v>-</v>
      </c>
      <c r="AC56" s="200" t="str">
        <f t="shared" si="137"/>
        <v>-</v>
      </c>
      <c r="AD56" s="200" t="str">
        <f t="shared" si="137"/>
        <v>-</v>
      </c>
      <c r="AE56" s="200" t="str">
        <f t="shared" si="137"/>
        <v>-</v>
      </c>
      <c r="AF56" s="200" t="str">
        <f t="shared" si="137"/>
        <v>-</v>
      </c>
      <c r="AG56" s="241" t="str">
        <f t="shared" si="137"/>
        <v>-</v>
      </c>
      <c r="AH56" s="241" t="str">
        <f t="shared" si="137"/>
        <v>-</v>
      </c>
      <c r="AI56" s="176"/>
      <c r="AJ56" s="200" t="str">
        <f t="shared" ref="AJ56:AV56" si="138">IF(AJ48&lt;&gt;0,AJ48/AJ$77,"-")</f>
        <v>-</v>
      </c>
      <c r="AK56" s="200" t="str">
        <f t="shared" si="138"/>
        <v>-</v>
      </c>
      <c r="AL56" s="200" t="str">
        <f t="shared" si="138"/>
        <v>-</v>
      </c>
      <c r="AM56" s="200" t="str">
        <f t="shared" si="138"/>
        <v>-</v>
      </c>
      <c r="AN56" s="200" t="str">
        <f t="shared" si="138"/>
        <v>-</v>
      </c>
      <c r="AO56" s="200" t="str">
        <f t="shared" si="138"/>
        <v>-</v>
      </c>
      <c r="AP56" s="200" t="str">
        <f t="shared" si="138"/>
        <v>-</v>
      </c>
      <c r="AQ56" s="200" t="str">
        <f t="shared" si="138"/>
        <v>-</v>
      </c>
      <c r="AR56" s="200" t="str">
        <f t="shared" si="138"/>
        <v>-</v>
      </c>
      <c r="AS56" s="200" t="str">
        <f t="shared" si="138"/>
        <v>-</v>
      </c>
      <c r="AT56" s="200" t="str">
        <f t="shared" si="138"/>
        <v>-</v>
      </c>
      <c r="AU56" s="200" t="str">
        <f t="shared" si="138"/>
        <v>-</v>
      </c>
      <c r="AV56" s="241" t="str">
        <f t="shared" si="138"/>
        <v>-</v>
      </c>
      <c r="AW56" s="241" t="str">
        <f t="shared" ref="AW56" si="139">IF(AW48&lt;&gt;0,AW48/AW$77,"-")</f>
        <v>-</v>
      </c>
    </row>
    <row r="57" spans="2:49" s="167" customFormat="1" ht="15.5" hidden="1" outlineLevel="1" x14ac:dyDescent="0.35">
      <c r="B57" s="292"/>
      <c r="C57" s="168"/>
      <c r="D57" s="262" t="s">
        <v>23</v>
      </c>
      <c r="E57" s="168" t="s">
        <v>285</v>
      </c>
      <c r="F57" s="200" t="str">
        <f t="shared" ref="F57:S57" si="140">IF(F49&lt;&gt;0,F49/F$77,"-")</f>
        <v>-</v>
      </c>
      <c r="G57" s="200" t="str">
        <f t="shared" si="140"/>
        <v>-</v>
      </c>
      <c r="H57" s="200">
        <f t="shared" si="140"/>
        <v>4.5325347666204394E-3</v>
      </c>
      <c r="I57" s="200" t="str">
        <f t="shared" si="140"/>
        <v>-</v>
      </c>
      <c r="J57" s="200" t="str">
        <f t="shared" si="140"/>
        <v>-</v>
      </c>
      <c r="K57" s="200">
        <f t="shared" si="140"/>
        <v>5.8230390608705399E-3</v>
      </c>
      <c r="L57" s="200">
        <f t="shared" si="140"/>
        <v>4.9173764623389789E-3</v>
      </c>
      <c r="M57" s="200" t="str">
        <f t="shared" si="140"/>
        <v>-</v>
      </c>
      <c r="N57" s="200">
        <f t="shared" si="140"/>
        <v>8.8403851638546947E-3</v>
      </c>
      <c r="O57" s="200" t="str">
        <f t="shared" si="140"/>
        <v>-</v>
      </c>
      <c r="P57" s="200" t="str">
        <f t="shared" si="140"/>
        <v>-</v>
      </c>
      <c r="Q57" s="200" t="str">
        <f t="shared" si="140"/>
        <v>-</v>
      </c>
      <c r="R57" s="241">
        <f t="shared" si="140"/>
        <v>2.2204450010921578E-3</v>
      </c>
      <c r="S57" s="241">
        <f t="shared" si="140"/>
        <v>4.8126420289791149E-3</v>
      </c>
      <c r="T57" s="176"/>
      <c r="U57" s="200">
        <f t="shared" ref="U57:AH57" si="141">IF(U49&lt;&gt;0,U49/U$77,"-")</f>
        <v>6.4909892475518436E-3</v>
      </c>
      <c r="V57" s="200">
        <f t="shared" si="141"/>
        <v>5.3102140023757764E-3</v>
      </c>
      <c r="W57" s="200">
        <f t="shared" si="141"/>
        <v>5.4513806805976213E-3</v>
      </c>
      <c r="X57" s="200">
        <f t="shared" si="141"/>
        <v>5.1495754876754139E-3</v>
      </c>
      <c r="Y57" s="200">
        <f t="shared" si="141"/>
        <v>3.7942664931317994E-3</v>
      </c>
      <c r="Z57" s="200">
        <f t="shared" si="141"/>
        <v>3.9743544332958188E-3</v>
      </c>
      <c r="AA57" s="200">
        <f t="shared" si="141"/>
        <v>3.4471779072907352E-3</v>
      </c>
      <c r="AB57" s="200">
        <f t="shared" si="141"/>
        <v>3.4649002981926528E-3</v>
      </c>
      <c r="AC57" s="200">
        <f t="shared" si="141"/>
        <v>2.9134150087198429E-3</v>
      </c>
      <c r="AD57" s="200">
        <f t="shared" si="141"/>
        <v>2.8637708450817553E-3</v>
      </c>
      <c r="AE57" s="200">
        <f t="shared" si="141"/>
        <v>3.1328046336563252E-3</v>
      </c>
      <c r="AF57" s="200">
        <f t="shared" si="141"/>
        <v>3.1524207101665332E-3</v>
      </c>
      <c r="AG57" s="241">
        <f t="shared" si="141"/>
        <v>3.81834190123009E-3</v>
      </c>
      <c r="AH57" s="241">
        <f t="shared" si="141"/>
        <v>3.81834190123009E-3</v>
      </c>
      <c r="AI57" s="176"/>
      <c r="AJ57" s="200" t="str">
        <f t="shared" ref="AJ57:AV57" si="142">IF(AJ49&lt;&gt;0,AJ49/AJ$77,"-")</f>
        <v>-</v>
      </c>
      <c r="AK57" s="200" t="str">
        <f t="shared" si="142"/>
        <v>-</v>
      </c>
      <c r="AL57" s="200" t="str">
        <f t="shared" si="142"/>
        <v>-</v>
      </c>
      <c r="AM57" s="200" t="str">
        <f t="shared" si="142"/>
        <v>-</v>
      </c>
      <c r="AN57" s="200" t="str">
        <f t="shared" si="142"/>
        <v>-</v>
      </c>
      <c r="AO57" s="200" t="str">
        <f t="shared" si="142"/>
        <v>-</v>
      </c>
      <c r="AP57" s="200" t="str">
        <f t="shared" si="142"/>
        <v>-</v>
      </c>
      <c r="AQ57" s="200">
        <f t="shared" si="142"/>
        <v>4.6998987945005644E-3</v>
      </c>
      <c r="AR57" s="200" t="str">
        <f t="shared" si="142"/>
        <v>-</v>
      </c>
      <c r="AS57" s="200" t="str">
        <f t="shared" si="142"/>
        <v>-</v>
      </c>
      <c r="AT57" s="200" t="str">
        <f t="shared" si="142"/>
        <v>-</v>
      </c>
      <c r="AU57" s="200">
        <f t="shared" si="142"/>
        <v>6.9471866229035848E-3</v>
      </c>
      <c r="AV57" s="241">
        <f t="shared" si="142"/>
        <v>1.2374977091299125E-3</v>
      </c>
      <c r="AW57" s="241">
        <f t="shared" ref="AW57" si="143">IF(AW49&lt;&gt;0,AW49/AW$77,"-")</f>
        <v>1.2374977091299125E-3</v>
      </c>
    </row>
    <row r="58" spans="2:49" s="167" customFormat="1" ht="15.5" hidden="1" outlineLevel="1" x14ac:dyDescent="0.35">
      <c r="B58" s="292"/>
      <c r="C58" s="168"/>
      <c r="D58" s="262" t="s">
        <v>269</v>
      </c>
      <c r="E58" s="168" t="s">
        <v>285</v>
      </c>
      <c r="F58" s="201" t="str">
        <f t="shared" ref="F58:S58" si="144">IF(F50&lt;&gt;0,F50/F$77,"-")</f>
        <v>-</v>
      </c>
      <c r="G58" s="201" t="str">
        <f t="shared" si="144"/>
        <v>-</v>
      </c>
      <c r="H58" s="201" t="str">
        <f t="shared" si="144"/>
        <v>-</v>
      </c>
      <c r="I58" s="201" t="str">
        <f t="shared" si="144"/>
        <v>-</v>
      </c>
      <c r="J58" s="201" t="str">
        <f t="shared" si="144"/>
        <v>-</v>
      </c>
      <c r="K58" s="201" t="str">
        <f t="shared" si="144"/>
        <v>-</v>
      </c>
      <c r="L58" s="201" t="str">
        <f t="shared" si="144"/>
        <v>-</v>
      </c>
      <c r="M58" s="201" t="str">
        <f t="shared" si="144"/>
        <v>-</v>
      </c>
      <c r="N58" s="201" t="str">
        <f t="shared" si="144"/>
        <v>-</v>
      </c>
      <c r="O58" s="201" t="str">
        <f t="shared" si="144"/>
        <v>-</v>
      </c>
      <c r="P58" s="201" t="str">
        <f t="shared" si="144"/>
        <v>-</v>
      </c>
      <c r="Q58" s="201" t="str">
        <f t="shared" si="144"/>
        <v>-</v>
      </c>
      <c r="R58" s="243" t="str">
        <f t="shared" si="144"/>
        <v>-</v>
      </c>
      <c r="S58" s="243" t="str">
        <f t="shared" si="144"/>
        <v>-</v>
      </c>
      <c r="T58" s="176"/>
      <c r="U58" s="201" t="str">
        <f t="shared" ref="U58:AH58" si="145">IF(U50&lt;&gt;0,U50/U$77,"-")</f>
        <v>-</v>
      </c>
      <c r="V58" s="201" t="str">
        <f t="shared" si="145"/>
        <v>-</v>
      </c>
      <c r="W58" s="201" t="str">
        <f t="shared" si="145"/>
        <v>-</v>
      </c>
      <c r="X58" s="201" t="str">
        <f t="shared" si="145"/>
        <v>-</v>
      </c>
      <c r="Y58" s="201" t="str">
        <f t="shared" si="145"/>
        <v>-</v>
      </c>
      <c r="Z58" s="201" t="str">
        <f t="shared" si="145"/>
        <v>-</v>
      </c>
      <c r="AA58" s="201" t="str">
        <f t="shared" si="145"/>
        <v>-</v>
      </c>
      <c r="AB58" s="201" t="str">
        <f t="shared" si="145"/>
        <v>-</v>
      </c>
      <c r="AC58" s="201" t="str">
        <f t="shared" si="145"/>
        <v>-</v>
      </c>
      <c r="AD58" s="201" t="str">
        <f t="shared" si="145"/>
        <v>-</v>
      </c>
      <c r="AE58" s="201" t="str">
        <f t="shared" si="145"/>
        <v>-</v>
      </c>
      <c r="AF58" s="201" t="str">
        <f t="shared" si="145"/>
        <v>-</v>
      </c>
      <c r="AG58" s="243" t="str">
        <f t="shared" si="145"/>
        <v>-</v>
      </c>
      <c r="AH58" s="243" t="str">
        <f t="shared" si="145"/>
        <v>-</v>
      </c>
      <c r="AI58" s="176"/>
      <c r="AJ58" s="201" t="str">
        <f t="shared" ref="AJ58:AV58" si="146">IF(AJ50&lt;&gt;0,AJ50/AJ$77,"-")</f>
        <v>-</v>
      </c>
      <c r="AK58" s="201" t="str">
        <f t="shared" si="146"/>
        <v>-</v>
      </c>
      <c r="AL58" s="201" t="str">
        <f t="shared" si="146"/>
        <v>-</v>
      </c>
      <c r="AM58" s="201" t="str">
        <f t="shared" si="146"/>
        <v>-</v>
      </c>
      <c r="AN58" s="201" t="str">
        <f t="shared" si="146"/>
        <v>-</v>
      </c>
      <c r="AO58" s="201" t="str">
        <f t="shared" si="146"/>
        <v>-</v>
      </c>
      <c r="AP58" s="201" t="str">
        <f t="shared" si="146"/>
        <v>-</v>
      </c>
      <c r="AQ58" s="201" t="str">
        <f t="shared" si="146"/>
        <v>-</v>
      </c>
      <c r="AR58" s="201" t="str">
        <f t="shared" si="146"/>
        <v>-</v>
      </c>
      <c r="AS58" s="201" t="str">
        <f t="shared" si="146"/>
        <v>-</v>
      </c>
      <c r="AT58" s="201" t="str">
        <f t="shared" si="146"/>
        <v>-</v>
      </c>
      <c r="AU58" s="201" t="str">
        <f t="shared" si="146"/>
        <v>-</v>
      </c>
      <c r="AV58" s="243" t="str">
        <f t="shared" si="146"/>
        <v>-</v>
      </c>
      <c r="AW58" s="243" t="str">
        <f t="shared" ref="AW58" si="147">IF(AW50&lt;&gt;0,AW50/AW$77,"-")</f>
        <v>-</v>
      </c>
    </row>
    <row r="59" spans="2:49" s="164" customFormat="1" ht="15.5" collapsed="1" x14ac:dyDescent="0.35">
      <c r="B59" s="293" t="s">
        <v>22</v>
      </c>
      <c r="C59" s="163">
        <v>2</v>
      </c>
      <c r="D59" s="261" t="s">
        <v>261</v>
      </c>
      <c r="E59" s="163" t="s">
        <v>286</v>
      </c>
      <c r="F59" s="223">
        <f t="shared" ref="F59:S59" si="148">SUM(F60:F66)</f>
        <v>1272650.8131674025</v>
      </c>
      <c r="G59" s="223">
        <f t="shared" si="148"/>
        <v>2047717.1931075233</v>
      </c>
      <c r="H59" s="223">
        <f t="shared" si="148"/>
        <v>1644658.2220866145</v>
      </c>
      <c r="I59" s="223">
        <f t="shared" si="148"/>
        <v>1278772.5131629887</v>
      </c>
      <c r="J59" s="223">
        <f t="shared" si="148"/>
        <v>1319994.5616395979</v>
      </c>
      <c r="K59" s="223">
        <f t="shared" si="148"/>
        <v>1736546.1505787037</v>
      </c>
      <c r="L59" s="223">
        <f t="shared" si="148"/>
        <v>1875533.6522858241</v>
      </c>
      <c r="M59" s="223">
        <f t="shared" si="148"/>
        <v>2658188.2522536288</v>
      </c>
      <c r="N59" s="223">
        <f t="shared" si="148"/>
        <v>1981371.2940190476</v>
      </c>
      <c r="O59" s="223">
        <f t="shared" si="148"/>
        <v>0</v>
      </c>
      <c r="P59" s="270">
        <f t="shared" si="148"/>
        <v>0</v>
      </c>
      <c r="Q59" s="270">
        <f t="shared" si="148"/>
        <v>0</v>
      </c>
      <c r="R59" s="223">
        <f t="shared" si="148"/>
        <v>15815432.652301332</v>
      </c>
      <c r="S59" s="223">
        <f t="shared" si="148"/>
        <v>1771629.4418266672</v>
      </c>
      <c r="T59" s="175"/>
      <c r="U59" s="223">
        <f t="shared" ref="U59:AH59" si="149">SUM(U60:U66)</f>
        <v>1447009.66</v>
      </c>
      <c r="V59" s="223">
        <f t="shared" si="149"/>
        <v>1675549.5959999999</v>
      </c>
      <c r="W59" s="223">
        <f t="shared" si="149"/>
        <v>1986637.0359999998</v>
      </c>
      <c r="X59" s="223">
        <f t="shared" si="149"/>
        <v>2360690.5159999998</v>
      </c>
      <c r="Y59" s="223">
        <f t="shared" si="149"/>
        <v>2575646.4759999998</v>
      </c>
      <c r="Z59" s="223">
        <f t="shared" si="149"/>
        <v>2666470.1359999999</v>
      </c>
      <c r="AA59" s="223">
        <f t="shared" si="149"/>
        <v>2716035.216</v>
      </c>
      <c r="AB59" s="223">
        <f t="shared" si="149"/>
        <v>3148693.7759999996</v>
      </c>
      <c r="AC59" s="223">
        <f t="shared" si="149"/>
        <v>3243834.2560000001</v>
      </c>
      <c r="AD59" s="223">
        <f t="shared" si="149"/>
        <v>3356498.4160000002</v>
      </c>
      <c r="AE59" s="270">
        <f t="shared" si="149"/>
        <v>3707395.2</v>
      </c>
      <c r="AF59" s="270">
        <f t="shared" si="149"/>
        <v>3793085.0759999999</v>
      </c>
      <c r="AG59" s="223">
        <f t="shared" si="149"/>
        <v>32677545.359999999</v>
      </c>
      <c r="AH59" s="223">
        <f t="shared" si="149"/>
        <v>2723128.78</v>
      </c>
      <c r="AI59" s="175"/>
      <c r="AJ59" s="223">
        <f t="shared" ref="AJ59:AV59" si="150">SUM(AJ60:AJ66)</f>
        <v>1260287.9137959185</v>
      </c>
      <c r="AK59" s="223">
        <f t="shared" si="150"/>
        <v>1358876.1616326529</v>
      </c>
      <c r="AL59" s="223">
        <f t="shared" si="150"/>
        <v>1394802.499233871</v>
      </c>
      <c r="AM59" s="223">
        <f t="shared" si="150"/>
        <v>1096568.9475806449</v>
      </c>
      <c r="AN59" s="223">
        <f t="shared" si="150"/>
        <v>2647026.3959999997</v>
      </c>
      <c r="AO59" s="223">
        <f t="shared" si="150"/>
        <v>1956069.8239414326</v>
      </c>
      <c r="AP59" s="223">
        <f t="shared" si="150"/>
        <v>807254.58952608518</v>
      </c>
      <c r="AQ59" s="223">
        <f t="shared" si="150"/>
        <v>1820352.3902468642</v>
      </c>
      <c r="AR59" s="223">
        <f t="shared" si="150"/>
        <v>1432291.7489979551</v>
      </c>
      <c r="AS59" s="223">
        <f t="shared" si="150"/>
        <v>1781731.1852707004</v>
      </c>
      <c r="AT59" s="270">
        <f t="shared" si="150"/>
        <v>1855137.8682034977</v>
      </c>
      <c r="AU59" s="270">
        <f t="shared" si="150"/>
        <v>2022669.0874258601</v>
      </c>
      <c r="AV59" s="223">
        <f t="shared" si="150"/>
        <v>19433068.611855488</v>
      </c>
      <c r="AW59" s="223">
        <f t="shared" ref="AW59" si="151">SUM(AW60:AW66)</f>
        <v>1619422.3843212903</v>
      </c>
    </row>
    <row r="60" spans="2:49" s="172" customFormat="1" ht="15.5" hidden="1" outlineLevel="1" x14ac:dyDescent="0.35">
      <c r="B60" s="291"/>
      <c r="C60" s="168"/>
      <c r="D60" s="262" t="s">
        <v>283</v>
      </c>
      <c r="E60" s="168" t="s">
        <v>286</v>
      </c>
      <c r="F60" s="271">
        <f>SUMIFS('01. KE30'!$Y:$Y,'01. KE30'!$B:$B,'03. TH_ XK-B2B'!$B$59,'01. KE30'!$E:$E,'03. TH_ XK-B2B'!$D60,'01. KE30'!$A:$A,'03. TH_ XK-B2B'!F$42)</f>
        <v>1019029.7176234444</v>
      </c>
      <c r="G60" s="271">
        <f>SUMIFS('01. KE30'!$Y:$Y,'01. KE30'!$B:$B,'03. TH_ XK-B2B'!$B$59,'01. KE30'!$E:$E,'03. TH_ XK-B2B'!$D60,'01. KE30'!$A:$A,'03. TH_ XK-B2B'!G$42)</f>
        <v>1712289.283733754</v>
      </c>
      <c r="H60" s="271">
        <f>SUMIFS('01. KE30'!$Y:$Y,'01. KE30'!$B:$B,'03. TH_ XK-B2B'!$B$59,'01. KE30'!$E:$E,'03. TH_ XK-B2B'!$D60,'01. KE30'!$A:$A,'03. TH_ XK-B2B'!H$42)</f>
        <v>1167564.0535433071</v>
      </c>
      <c r="I60" s="271">
        <f>SUMIFS('01. KE30'!$Y:$Y,'01. KE30'!$B:$B,'03. TH_ XK-B2B'!$B$59,'01. KE30'!$E:$E,'03. TH_ XK-B2B'!$D60,'01. KE30'!$A:$A,'03. TH_ XK-B2B'!I$42)</f>
        <v>1010750.4837011227</v>
      </c>
      <c r="J60" s="271">
        <f>SUMIFS('01. KE30'!$Y:$Y,'01. KE30'!$B:$B,'03. TH_ XK-B2B'!$B$59,'01. KE30'!$E:$E,'03. TH_ XK-B2B'!$D60,'01. KE30'!$A:$A,'03. TH_ XK-B2B'!J$42)</f>
        <v>942762.56194895587</v>
      </c>
      <c r="K60" s="271">
        <f>SUMIFS('01. KE30'!$Y:$Y,'01. KE30'!$B:$B,'03. TH_ XK-B2B'!$B$59,'01. KE30'!$E:$E,'03. TH_ XK-B2B'!$D60,'01. KE30'!$A:$A,'03. TH_ XK-B2B'!K$42)</f>
        <v>1287301.5534722223</v>
      </c>
      <c r="L60" s="271">
        <f>SUMIFS('01. KE30'!$Y:$Y,'01. KE30'!$B:$B,'03. TH_ XK-B2B'!$B$59,'01. KE30'!$E:$E,'03. TH_ XK-B2B'!$D60,'01. KE30'!$A:$A,'03. TH_ XK-B2B'!L$42)</f>
        <v>1168507.7509028045</v>
      </c>
      <c r="M60" s="271">
        <f>SUMIFS('01. KE30'!$Y:$Y,'01. KE30'!$B:$B,'03. TH_ XK-B2B'!$B$59,'01. KE30'!$E:$E,'03. TH_ XK-B2B'!$D60,'01. KE30'!$A:$A,'03. TH_ XK-B2B'!M$42)</f>
        <v>2028456.5522918259</v>
      </c>
      <c r="N60" s="271">
        <f>SUMIFS('01. KE30'!$Y:$Y,'01. KE30'!$B:$B,'03. TH_ XK-B2B'!$B$59,'01. KE30'!$E:$E,'03. TH_ XK-B2B'!$D60,'01. KE30'!$A:$A,'03. TH_ XK-B2B'!N$42)</f>
        <v>1303709.7197333334</v>
      </c>
      <c r="O60" s="271">
        <f>SUMIFS('01. KE30'!$Y:$Y,'01. KE30'!$B:$B,'03. TH_ XK-B2B'!$B$59,'01. KE30'!$E:$E,'03. TH_ XK-B2B'!$D60,'01. KE30'!$A:$A,'03. TH_ XK-B2B'!O$42)</f>
        <v>0</v>
      </c>
      <c r="P60" s="272">
        <f>SUMIFS('01. KE30'!$Y:$Y,'01. KE30'!$B:$B,'03. TH_ XK-B2B'!$B$59,'01. KE30'!$E:$E,'03. TH_ XK-B2B'!$D60,'01. KE30'!$A:$A,'03. TH_ XK-B2B'!P$42)</f>
        <v>0</v>
      </c>
      <c r="Q60" s="272">
        <f>SUMIFS('01. KE30'!$Y:$Y,'01. KE30'!$B:$B,'03. TH_ XK-B2B'!$B$59,'01. KE30'!$E:$E,'03. TH_ XK-B2B'!$D60,'01. KE30'!$A:$A,'03. TH_ XK-B2B'!Q$42)</f>
        <v>0</v>
      </c>
      <c r="R60" s="239">
        <f t="shared" ref="R60:R66" si="152">SUM(F60:Q60)</f>
        <v>11640371.676950771</v>
      </c>
      <c r="S60" s="239">
        <f t="shared" ref="S60:S66" si="153">IFERROR(R60/(12-COUNTIF(F60:Q60,0)),0)</f>
        <v>1293374.630772308</v>
      </c>
      <c r="T60" s="176"/>
      <c r="U60" s="271">
        <v>1065936.0599999998</v>
      </c>
      <c r="V60" s="271">
        <v>1190673.5959999999</v>
      </c>
      <c r="W60" s="271">
        <v>1289639.5359999998</v>
      </c>
      <c r="X60" s="271">
        <v>1446845.5159999998</v>
      </c>
      <c r="Y60" s="271">
        <v>1559507.4759999998</v>
      </c>
      <c r="Z60" s="271">
        <v>1614843.6359999999</v>
      </c>
      <c r="AA60" s="271">
        <v>1503633.716</v>
      </c>
      <c r="AB60" s="271">
        <v>1869526.7559999998</v>
      </c>
      <c r="AC60" s="271">
        <v>1869526.7559999998</v>
      </c>
      <c r="AD60" s="271">
        <v>1978740.916</v>
      </c>
      <c r="AE60" s="271">
        <v>2170827.7000000002</v>
      </c>
      <c r="AF60" s="271">
        <v>2268677.5759999999</v>
      </c>
      <c r="AG60" s="239">
        <f t="shared" ref="AG60:AG66" si="154">SUM(U60:AF60)</f>
        <v>19828379.239999998</v>
      </c>
      <c r="AH60" s="239">
        <f>AVERAGE(U60:AF60)</f>
        <v>1652364.9366666665</v>
      </c>
      <c r="AI60" s="176"/>
      <c r="AJ60" s="271">
        <v>944674.98367346951</v>
      </c>
      <c r="AK60" s="271">
        <v>1212470.088163265</v>
      </c>
      <c r="AL60" s="271">
        <v>1115893.6322580646</v>
      </c>
      <c r="AM60" s="271">
        <v>779620.30645161285</v>
      </c>
      <c r="AN60" s="271">
        <v>2297941.87</v>
      </c>
      <c r="AO60" s="271">
        <v>1658901.1120300752</v>
      </c>
      <c r="AP60" s="271">
        <v>545746.88383114303</v>
      </c>
      <c r="AQ60" s="271">
        <v>1615777.2532577908</v>
      </c>
      <c r="AR60" s="271">
        <v>1234050.9310429448</v>
      </c>
      <c r="AS60" s="271">
        <v>1469905.8878184713</v>
      </c>
      <c r="AT60" s="272">
        <v>1630293.2676470589</v>
      </c>
      <c r="AU60" s="272">
        <v>1710784.6018584422</v>
      </c>
      <c r="AV60" s="239">
        <f t="shared" si="113"/>
        <v>16216060.818032339</v>
      </c>
      <c r="AW60" s="239">
        <f>AVERAGE(AJ60:AU60)</f>
        <v>1351338.4015026949</v>
      </c>
    </row>
    <row r="61" spans="2:49" s="172" customFormat="1" ht="15.5" hidden="1" outlineLevel="1" x14ac:dyDescent="0.35">
      <c r="B61" s="291"/>
      <c r="C61" s="168"/>
      <c r="D61" s="262" t="s">
        <v>95</v>
      </c>
      <c r="E61" s="168" t="s">
        <v>286</v>
      </c>
      <c r="F61" s="271">
        <f>SUMIFS('01. KE30'!$Y:$Y,'01. KE30'!$B:$B,'03. TH_ XK-B2B'!$B$59,'01. KE30'!$E:$E,'03. TH_ XK-B2B'!$D61,'01. KE30'!$A:$A,'03. TH_ XK-B2B'!F$42)</f>
        <v>8390.2047370533928</v>
      </c>
      <c r="G61" s="271">
        <f>SUMIFS('01. KE30'!$Y:$Y,'01. KE30'!$B:$B,'03. TH_ XK-B2B'!$B$59,'01. KE30'!$E:$E,'03. TH_ XK-B2B'!$D61,'01. KE30'!$A:$A,'03. TH_ XK-B2B'!G$42)</f>
        <v>12369.042930287516</v>
      </c>
      <c r="H61" s="271">
        <f>SUMIFS('01. KE30'!$Y:$Y,'01. KE30'!$B:$B,'03. TH_ XK-B2B'!$B$59,'01. KE30'!$E:$E,'03. TH_ XK-B2B'!$D61,'01. KE30'!$A:$A,'03. TH_ XK-B2B'!H$42)</f>
        <v>24685.039370078739</v>
      </c>
      <c r="I61" s="271">
        <f>SUMIFS('01. KE30'!$Y:$Y,'01. KE30'!$B:$B,'03. TH_ XK-B2B'!$B$59,'01. KE30'!$E:$E,'03. TH_ XK-B2B'!$D61,'01. KE30'!$A:$A,'03. TH_ XK-B2B'!I$42)</f>
        <v>1130</v>
      </c>
      <c r="J61" s="271">
        <f>SUMIFS('01. KE30'!$Y:$Y,'01. KE30'!$B:$B,'03. TH_ XK-B2B'!$B$59,'01. KE30'!$E:$E,'03. TH_ XK-B2B'!$D61,'01. KE30'!$A:$A,'03. TH_ XK-B2B'!J$42)</f>
        <v>0</v>
      </c>
      <c r="K61" s="271">
        <f>SUMIFS('01. KE30'!$Y:$Y,'01. KE30'!$B:$B,'03. TH_ XK-B2B'!$B$59,'01. KE30'!$E:$E,'03. TH_ XK-B2B'!$D61,'01. KE30'!$A:$A,'03. TH_ XK-B2B'!K$42)</f>
        <v>41849.922839506173</v>
      </c>
      <c r="L61" s="271">
        <f>SUMIFS('01. KE30'!$Y:$Y,'01. KE30'!$B:$B,'03. TH_ XK-B2B'!$B$59,'01. KE30'!$E:$E,'03. TH_ XK-B2B'!$D61,'01. KE30'!$A:$A,'03. TH_ XK-B2B'!L$42)</f>
        <v>379655.39761813288</v>
      </c>
      <c r="M61" s="271">
        <f>SUMIFS('01. KE30'!$Y:$Y,'01. KE30'!$B:$B,'03. TH_ XK-B2B'!$B$59,'01. KE30'!$E:$E,'03. TH_ XK-B2B'!$D61,'01. KE30'!$A:$A,'03. TH_ XK-B2B'!M$42)</f>
        <v>216914.82047364401</v>
      </c>
      <c r="N61" s="271">
        <f>SUMIFS('01. KE30'!$Y:$Y,'01. KE30'!$B:$B,'03. TH_ XK-B2B'!$B$59,'01. KE30'!$E:$E,'03. TH_ XK-B2B'!$D61,'01. KE30'!$A:$A,'03. TH_ XK-B2B'!N$42)</f>
        <v>137416</v>
      </c>
      <c r="O61" s="271">
        <f>SUMIFS('01. KE30'!$Y:$Y,'01. KE30'!$B:$B,'03. TH_ XK-B2B'!$B$59,'01. KE30'!$E:$E,'03. TH_ XK-B2B'!$D61,'01. KE30'!$A:$A,'03. TH_ XK-B2B'!O$42)</f>
        <v>0</v>
      </c>
      <c r="P61" s="272">
        <f>SUMIFS('01. KE30'!$Y:$Y,'01. KE30'!$B:$B,'03. TH_ XK-B2B'!$B$59,'01. KE30'!$E:$E,'03. TH_ XK-B2B'!$D61,'01. KE30'!$A:$A,'03. TH_ XK-B2B'!P$42)</f>
        <v>0</v>
      </c>
      <c r="Q61" s="272">
        <f>SUMIFS('01. KE30'!$Y:$Y,'01. KE30'!$B:$B,'03. TH_ XK-B2B'!$B$59,'01. KE30'!$E:$E,'03. TH_ XK-B2B'!$D61,'01. KE30'!$A:$A,'03. TH_ XK-B2B'!Q$42)</f>
        <v>0</v>
      </c>
      <c r="R61" s="239">
        <f t="shared" si="152"/>
        <v>822410.42796870274</v>
      </c>
      <c r="S61" s="239">
        <f t="shared" si="153"/>
        <v>102801.30349608784</v>
      </c>
      <c r="T61" s="176"/>
      <c r="U61" s="271">
        <v>22117.599999999999</v>
      </c>
      <c r="V61" s="271">
        <v>0</v>
      </c>
      <c r="W61" s="271">
        <v>55294</v>
      </c>
      <c r="X61" s="271">
        <v>55294</v>
      </c>
      <c r="Y61" s="271">
        <v>110588</v>
      </c>
      <c r="Z61" s="271">
        <v>110588</v>
      </c>
      <c r="AA61" s="271">
        <v>110588</v>
      </c>
      <c r="AB61" s="271">
        <v>110588</v>
      </c>
      <c r="AC61" s="271">
        <v>110588</v>
      </c>
      <c r="AD61" s="271">
        <v>110588</v>
      </c>
      <c r="AE61" s="271">
        <v>110588</v>
      </c>
      <c r="AF61" s="271">
        <v>110588</v>
      </c>
      <c r="AG61" s="239">
        <f t="shared" si="154"/>
        <v>1017409.6</v>
      </c>
      <c r="AH61" s="239">
        <f t="shared" ref="AH61:AH66" si="155">AVERAGE(U61:AF61)</f>
        <v>84784.133333333331</v>
      </c>
      <c r="AI61" s="176"/>
      <c r="AJ61" s="271">
        <v>0</v>
      </c>
      <c r="AK61" s="271">
        <v>-47569.146938775513</v>
      </c>
      <c r="AL61" s="271">
        <v>0</v>
      </c>
      <c r="AM61" s="271">
        <v>4369.8387096774195</v>
      </c>
      <c r="AN61" s="271">
        <v>65406.613999999994</v>
      </c>
      <c r="AO61" s="271">
        <v>123568.52394143252</v>
      </c>
      <c r="AP61" s="271">
        <v>108422.93906810036</v>
      </c>
      <c r="AQ61" s="271">
        <v>0</v>
      </c>
      <c r="AR61" s="271">
        <v>0</v>
      </c>
      <c r="AS61" s="271">
        <v>8320.0636942675155</v>
      </c>
      <c r="AT61" s="272">
        <v>8306.836248012718</v>
      </c>
      <c r="AU61" s="272">
        <v>16528.272044286277</v>
      </c>
      <c r="AV61" s="239">
        <f t="shared" si="113"/>
        <v>287353.94076700124</v>
      </c>
      <c r="AW61" s="239">
        <f t="shared" ref="AW61:AW66" si="156">AVERAGE(AJ61:AU61)</f>
        <v>23946.161730583437</v>
      </c>
    </row>
    <row r="62" spans="2:49" s="172" customFormat="1" ht="15.5" hidden="1" outlineLevel="1" x14ac:dyDescent="0.35">
      <c r="B62" s="291"/>
      <c r="C62" s="168"/>
      <c r="D62" s="262" t="s">
        <v>265</v>
      </c>
      <c r="E62" s="168" t="s">
        <v>286</v>
      </c>
      <c r="F62" s="271">
        <f>SUMIFS('01. KE30'!$Y:$Y,'01. KE30'!$B:$B,'03. TH_ XK-B2B'!$B$59,'01. KE30'!$E:$E,'03. TH_ XK-B2B'!$D62,'01. KE30'!$A:$A,'03. TH_ XK-B2B'!F$42)</f>
        <v>232345.41148133282</v>
      </c>
      <c r="G62" s="271">
        <f>SUMIFS('01. KE30'!$Y:$Y,'01. KE30'!$B:$B,'03. TH_ XK-B2B'!$B$59,'01. KE30'!$E:$E,'03. TH_ XK-B2B'!$D62,'01. KE30'!$A:$A,'03. TH_ XK-B2B'!G$42)</f>
        <v>284895.12800315086</v>
      </c>
      <c r="H62" s="271">
        <f>SUMIFS('01. KE30'!$Y:$Y,'01. KE30'!$B:$B,'03. TH_ XK-B2B'!$B$59,'01. KE30'!$E:$E,'03. TH_ XK-B2B'!$D62,'01. KE30'!$A:$A,'03. TH_ XK-B2B'!H$42)</f>
        <v>353486.67716535431</v>
      </c>
      <c r="I62" s="271">
        <f>SUMIFS('01. KE30'!$Y:$Y,'01. KE30'!$B:$B,'03. TH_ XK-B2B'!$B$59,'01. KE30'!$E:$E,'03. TH_ XK-B2B'!$D62,'01. KE30'!$A:$A,'03. TH_ XK-B2B'!I$42)</f>
        <v>183759.14827719709</v>
      </c>
      <c r="J62" s="271">
        <f>SUMIFS('01. KE30'!$Y:$Y,'01. KE30'!$B:$B,'03. TH_ XK-B2B'!$B$59,'01. KE30'!$E:$E,'03. TH_ XK-B2B'!$D62,'01. KE30'!$A:$A,'03. TH_ XK-B2B'!J$42)</f>
        <v>255666.30413766435</v>
      </c>
      <c r="K62" s="271">
        <f>SUMIFS('01. KE30'!$Y:$Y,'01. KE30'!$B:$B,'03. TH_ XK-B2B'!$B$59,'01. KE30'!$E:$E,'03. TH_ XK-B2B'!$D62,'01. KE30'!$A:$A,'03. TH_ XK-B2B'!K$42)</f>
        <v>318524.36114969139</v>
      </c>
      <c r="L62" s="271">
        <f>SUMIFS('01. KE30'!$Y:$Y,'01. KE30'!$B:$B,'03. TH_ XK-B2B'!$B$59,'01. KE30'!$E:$E,'03. TH_ XK-B2B'!$D62,'01. KE30'!$A:$A,'03. TH_ XK-B2B'!L$42)</f>
        <v>267006.5362658471</v>
      </c>
      <c r="M62" s="271">
        <f>SUMIFS('01. KE30'!$Y:$Y,'01. KE30'!$B:$B,'03. TH_ XK-B2B'!$B$59,'01. KE30'!$E:$E,'03. TH_ XK-B2B'!$D62,'01. KE30'!$A:$A,'03. TH_ XK-B2B'!M$42)</f>
        <v>298397.98598166544</v>
      </c>
      <c r="N62" s="271">
        <f>SUMIFS('01. KE30'!$Y:$Y,'01. KE30'!$B:$B,'03. TH_ XK-B2B'!$B$59,'01. KE30'!$E:$E,'03. TH_ XK-B2B'!$D62,'01. KE30'!$A:$A,'03. TH_ XK-B2B'!N$42)</f>
        <v>304843.58944761904</v>
      </c>
      <c r="O62" s="271">
        <f>SUMIFS('01. KE30'!$Y:$Y,'01. KE30'!$B:$B,'03. TH_ XK-B2B'!$B$59,'01. KE30'!$E:$E,'03. TH_ XK-B2B'!$D62,'01. KE30'!$A:$A,'03. TH_ XK-B2B'!O$42)</f>
        <v>0</v>
      </c>
      <c r="P62" s="272">
        <f>SUMIFS('01. KE30'!$Y:$Y,'01. KE30'!$B:$B,'03. TH_ XK-B2B'!$B$59,'01. KE30'!$E:$E,'03. TH_ XK-B2B'!$D62,'01. KE30'!$A:$A,'03. TH_ XK-B2B'!P$42)</f>
        <v>0</v>
      </c>
      <c r="Q62" s="272">
        <f>SUMIFS('01. KE30'!$Y:$Y,'01. KE30'!$B:$B,'03. TH_ XK-B2B'!$B$59,'01. KE30'!$E:$E,'03. TH_ XK-B2B'!$D62,'01. KE30'!$A:$A,'03. TH_ XK-B2B'!Q$42)</f>
        <v>0</v>
      </c>
      <c r="R62" s="239">
        <f t="shared" si="152"/>
        <v>2498925.141909522</v>
      </c>
      <c r="S62" s="239">
        <f t="shared" si="153"/>
        <v>277658.34910105797</v>
      </c>
      <c r="T62" s="176"/>
      <c r="U62" s="271">
        <v>319256</v>
      </c>
      <c r="V62" s="271">
        <v>441676</v>
      </c>
      <c r="W62" s="271">
        <v>539076</v>
      </c>
      <c r="X62" s="271">
        <v>698876</v>
      </c>
      <c r="Y62" s="271">
        <v>744376</v>
      </c>
      <c r="Z62" s="271">
        <v>791826</v>
      </c>
      <c r="AA62" s="271">
        <v>921726</v>
      </c>
      <c r="AB62" s="271">
        <v>1000241.52</v>
      </c>
      <c r="AC62" s="271">
        <v>1073382</v>
      </c>
      <c r="AD62" s="271">
        <v>1089632</v>
      </c>
      <c r="AE62" s="271">
        <v>1226032</v>
      </c>
      <c r="AF62" s="271">
        <v>1226032</v>
      </c>
      <c r="AG62" s="239">
        <f t="shared" si="154"/>
        <v>10072131.52</v>
      </c>
      <c r="AH62" s="239">
        <f t="shared" si="155"/>
        <v>839344.29333333333</v>
      </c>
      <c r="AI62" s="176"/>
      <c r="AJ62" s="271">
        <v>275163.72448979592</v>
      </c>
      <c r="AK62" s="271">
        <v>150359.18367346938</v>
      </c>
      <c r="AL62" s="271">
        <v>217529.75403225809</v>
      </c>
      <c r="AM62" s="271">
        <v>259628.21572580645</v>
      </c>
      <c r="AN62" s="271">
        <v>210031.54200000002</v>
      </c>
      <c r="AO62" s="271">
        <v>159043.80688563513</v>
      </c>
      <c r="AP62" s="271">
        <v>150719.73516527281</v>
      </c>
      <c r="AQ62" s="271">
        <v>168100.23269931201</v>
      </c>
      <c r="AR62" s="271">
        <v>189213.03222903886</v>
      </c>
      <c r="AS62" s="271">
        <v>227732.84235668788</v>
      </c>
      <c r="AT62" s="272">
        <v>159619.15480922099</v>
      </c>
      <c r="AU62" s="272">
        <v>280069.48556741799</v>
      </c>
      <c r="AV62" s="239">
        <f t="shared" si="113"/>
        <v>2447210.7096339152</v>
      </c>
      <c r="AW62" s="239">
        <f t="shared" si="156"/>
        <v>203934.22580282626</v>
      </c>
    </row>
    <row r="63" spans="2:49" s="172" customFormat="1" ht="15.5" hidden="1" outlineLevel="1" x14ac:dyDescent="0.35">
      <c r="B63" s="291"/>
      <c r="C63" s="168"/>
      <c r="D63" s="262" t="s">
        <v>266</v>
      </c>
      <c r="E63" s="168" t="s">
        <v>286</v>
      </c>
      <c r="F63" s="271">
        <f>SUMIFS('01. KE30'!$Y:$Y,'01. KE30'!$B:$B,'03. TH_ XK-B2B'!$B$59,'01. KE30'!$E:$E,'03. TH_ XK-B2B'!$D63,'01. KE30'!$A:$A,'03. TH_ XK-B2B'!F$42)</f>
        <v>12885.47932557206</v>
      </c>
      <c r="G63" s="271">
        <f>SUMIFS('01. KE30'!$Y:$Y,'01. KE30'!$B:$B,'03. TH_ XK-B2B'!$B$59,'01. KE30'!$E:$E,'03. TH_ XK-B2B'!$D63,'01. KE30'!$A:$A,'03. TH_ XK-B2B'!G$42)</f>
        <v>37438.506853091778</v>
      </c>
      <c r="H63" s="271">
        <f>SUMIFS('01. KE30'!$Y:$Y,'01. KE30'!$B:$B,'03. TH_ XK-B2B'!$B$59,'01. KE30'!$E:$E,'03. TH_ XK-B2B'!$D63,'01. KE30'!$A:$A,'03. TH_ XK-B2B'!H$42)</f>
        <v>77009.175590551196</v>
      </c>
      <c r="I63" s="271">
        <f>SUMIFS('01. KE30'!$Y:$Y,'01. KE30'!$B:$B,'03. TH_ XK-B2B'!$B$59,'01. KE30'!$E:$E,'03. TH_ XK-B2B'!$D63,'01. KE30'!$A:$A,'03. TH_ XK-B2B'!I$42)</f>
        <v>78103.50089043747</v>
      </c>
      <c r="J63" s="271">
        <f>SUMIFS('01. KE30'!$Y:$Y,'01. KE30'!$B:$B,'03. TH_ XK-B2B'!$B$59,'01. KE30'!$E:$E,'03. TH_ XK-B2B'!$D63,'01. KE30'!$A:$A,'03. TH_ XK-B2B'!J$42)</f>
        <v>107427.06446249031</v>
      </c>
      <c r="K63" s="271">
        <f>SUMIFS('01. KE30'!$Y:$Y,'01. KE30'!$B:$B,'03. TH_ XK-B2B'!$B$59,'01. KE30'!$E:$E,'03. TH_ XK-B2B'!$D63,'01. KE30'!$A:$A,'03. TH_ XK-B2B'!K$42)</f>
        <v>88870.313117283949</v>
      </c>
      <c r="L63" s="271">
        <f>SUMIFS('01. KE30'!$Y:$Y,'01. KE30'!$B:$B,'03. TH_ XK-B2B'!$B$59,'01. KE30'!$E:$E,'03. TH_ XK-B2B'!$D63,'01. KE30'!$A:$A,'03. TH_ XK-B2B'!L$42)</f>
        <v>41763.883557433728</v>
      </c>
      <c r="M63" s="271">
        <f>SUMIFS('01. KE30'!$Y:$Y,'01. KE30'!$B:$B,'03. TH_ XK-B2B'!$B$59,'01. KE30'!$E:$E,'03. TH_ XK-B2B'!$D63,'01. KE30'!$A:$A,'03. TH_ XK-B2B'!M$42)</f>
        <v>102096.30634071809</v>
      </c>
      <c r="N63" s="271">
        <f>SUMIFS('01. KE30'!$Y:$Y,'01. KE30'!$B:$B,'03. TH_ XK-B2B'!$B$59,'01. KE30'!$E:$E,'03. TH_ XK-B2B'!$D63,'01. KE30'!$A:$A,'03. TH_ XK-B2B'!N$42)</f>
        <v>215622.60308571425</v>
      </c>
      <c r="O63" s="271">
        <f>SUMIFS('01. KE30'!$Y:$Y,'01. KE30'!$B:$B,'03. TH_ XK-B2B'!$B$59,'01. KE30'!$E:$E,'03. TH_ XK-B2B'!$D63,'01. KE30'!$A:$A,'03. TH_ XK-B2B'!O$42)</f>
        <v>0</v>
      </c>
      <c r="P63" s="272">
        <f>SUMIFS('01. KE30'!$Y:$Y,'01. KE30'!$B:$B,'03. TH_ XK-B2B'!$B$59,'01. KE30'!$E:$E,'03. TH_ XK-B2B'!$D63,'01. KE30'!$A:$A,'03. TH_ XK-B2B'!P$42)</f>
        <v>0</v>
      </c>
      <c r="Q63" s="272">
        <f>SUMIFS('01. KE30'!$Y:$Y,'01. KE30'!$B:$B,'03. TH_ XK-B2B'!$B$59,'01. KE30'!$E:$E,'03. TH_ XK-B2B'!$D63,'01. KE30'!$A:$A,'03. TH_ XK-B2B'!Q$42)</f>
        <v>0</v>
      </c>
      <c r="R63" s="239">
        <f t="shared" si="152"/>
        <v>761216.83322329284</v>
      </c>
      <c r="S63" s="239">
        <f t="shared" si="153"/>
        <v>84579.648135921423</v>
      </c>
      <c r="T63" s="176"/>
      <c r="U63" s="271">
        <v>13500</v>
      </c>
      <c r="V63" s="271">
        <v>8500</v>
      </c>
      <c r="W63" s="271">
        <v>41790</v>
      </c>
      <c r="X63" s="271">
        <v>100750</v>
      </c>
      <c r="Y63" s="271">
        <v>85250</v>
      </c>
      <c r="Z63" s="271">
        <v>90500</v>
      </c>
      <c r="AA63" s="271">
        <v>85250</v>
      </c>
      <c r="AB63" s="271">
        <v>90500</v>
      </c>
      <c r="AC63" s="271">
        <v>95500</v>
      </c>
      <c r="AD63" s="271">
        <v>90500</v>
      </c>
      <c r="AE63" s="271">
        <v>95910</v>
      </c>
      <c r="AF63" s="271">
        <v>100750</v>
      </c>
      <c r="AG63" s="239">
        <f t="shared" si="154"/>
        <v>898700</v>
      </c>
      <c r="AH63" s="239">
        <f t="shared" si="155"/>
        <v>74891.666666666672</v>
      </c>
      <c r="AI63" s="176"/>
      <c r="AJ63" s="271">
        <v>26390.532163265307</v>
      </c>
      <c r="AK63" s="271">
        <v>136.05714285714285</v>
      </c>
      <c r="AL63" s="271">
        <v>0</v>
      </c>
      <c r="AM63" s="271">
        <v>5153.9334677419356</v>
      </c>
      <c r="AN63" s="271">
        <v>42469.86</v>
      </c>
      <c r="AO63" s="271">
        <v>9962.6830233478431</v>
      </c>
      <c r="AP63" s="271">
        <v>66.441656710473922</v>
      </c>
      <c r="AQ63" s="271">
        <v>20392.619789558885</v>
      </c>
      <c r="AR63" s="271">
        <v>0</v>
      </c>
      <c r="AS63" s="271">
        <v>14319.027109872612</v>
      </c>
      <c r="AT63" s="272">
        <v>29257.004769475356</v>
      </c>
      <c r="AU63" s="272">
        <v>7264.3376828786086</v>
      </c>
      <c r="AV63" s="239">
        <f t="shared" si="113"/>
        <v>155412.49680570816</v>
      </c>
      <c r="AW63" s="239">
        <f t="shared" si="156"/>
        <v>12951.04140047568</v>
      </c>
    </row>
    <row r="64" spans="2:49" s="172" customFormat="1" ht="15.5" hidden="1" outlineLevel="1" x14ac:dyDescent="0.35">
      <c r="B64" s="291"/>
      <c r="C64" s="168"/>
      <c r="D64" s="262" t="s">
        <v>295</v>
      </c>
      <c r="E64" s="168" t="s">
        <v>286</v>
      </c>
      <c r="F64" s="271">
        <f>SUMIFS('01. KE30'!$Y:$Y,'01. KE30'!$B:$B,'03. TH_ XK-B2B'!$B$59,'01. KE30'!$E:$E,'03. TH_ XK-B2B'!$D64,'01. KE30'!$A:$A,'03. TH_ XK-B2B'!F$42)</f>
        <v>0</v>
      </c>
      <c r="G64" s="271">
        <f>SUMIFS('01. KE30'!$Y:$Y,'01. KE30'!$B:$B,'03. TH_ XK-B2B'!$B$59,'01. KE30'!$E:$E,'03. TH_ XK-B2B'!$D64,'01. KE30'!$A:$A,'03. TH_ XK-B2B'!G$42)</f>
        <v>0</v>
      </c>
      <c r="H64" s="271">
        <f>SUMIFS('01. KE30'!$Y:$Y,'01. KE30'!$B:$B,'03. TH_ XK-B2B'!$B$59,'01. KE30'!$E:$E,'03. TH_ XK-B2B'!$D64,'01. KE30'!$A:$A,'03. TH_ XK-B2B'!H$42)</f>
        <v>0</v>
      </c>
      <c r="I64" s="271">
        <f>SUMIFS('01. KE30'!$Y:$Y,'01. KE30'!$B:$B,'03. TH_ XK-B2B'!$B$59,'01. KE30'!$E:$E,'03. TH_ XK-B2B'!$D64,'01. KE30'!$A:$A,'03. TH_ XK-B2B'!I$42)</f>
        <v>0</v>
      </c>
      <c r="J64" s="271">
        <f>SUMIFS('01. KE30'!$Y:$Y,'01. KE30'!$B:$B,'03. TH_ XK-B2B'!$B$59,'01. KE30'!$E:$E,'03. TH_ XK-B2B'!$D64,'01. KE30'!$A:$A,'03. TH_ XK-B2B'!J$42)</f>
        <v>0</v>
      </c>
      <c r="K64" s="271">
        <f>SUMIFS('01. KE30'!$Y:$Y,'01. KE30'!$B:$B,'03. TH_ XK-B2B'!$B$59,'01. KE30'!$E:$E,'03. TH_ XK-B2B'!$D64,'01. KE30'!$A:$A,'03. TH_ XK-B2B'!K$42)</f>
        <v>0</v>
      </c>
      <c r="L64" s="271">
        <f>SUMIFS('01. KE30'!$Y:$Y,'01. KE30'!$B:$B,'03. TH_ XK-B2B'!$B$59,'01. KE30'!$E:$E,'03. TH_ XK-B2B'!$D64,'01. KE30'!$A:$A,'03. TH_ XK-B2B'!L$42)</f>
        <v>0</v>
      </c>
      <c r="M64" s="271">
        <f>SUMIFS('01. KE30'!$Y:$Y,'01. KE30'!$B:$B,'03. TH_ XK-B2B'!$B$59,'01. KE30'!$E:$E,'03. TH_ XK-B2B'!$D64,'01. KE30'!$A:$A,'03. TH_ XK-B2B'!M$42)</f>
        <v>0</v>
      </c>
      <c r="N64" s="271">
        <f>SUMIFS('01. KE30'!$Y:$Y,'01. KE30'!$B:$B,'03. TH_ XK-B2B'!$B$59,'01. KE30'!$E:$E,'03. TH_ XK-B2B'!$D64,'01. KE30'!$A:$A,'03. TH_ XK-B2B'!N$42)</f>
        <v>0</v>
      </c>
      <c r="O64" s="271">
        <f>SUMIFS('01. KE30'!$Y:$Y,'01. KE30'!$B:$B,'03. TH_ XK-B2B'!$B$59,'01. KE30'!$E:$E,'03. TH_ XK-B2B'!$D64,'01. KE30'!$A:$A,'03. TH_ XK-B2B'!O$42)</f>
        <v>0</v>
      </c>
      <c r="P64" s="272">
        <f>SUMIFS('01. KE30'!$Y:$Y,'01. KE30'!$B:$B,'03. TH_ XK-B2B'!$B$59,'01. KE30'!$E:$E,'03. TH_ XK-B2B'!$D64,'01. KE30'!$A:$A,'03. TH_ XK-B2B'!P$42)</f>
        <v>0</v>
      </c>
      <c r="Q64" s="272">
        <f>SUMIFS('01. KE30'!$Y:$Y,'01. KE30'!$B:$B,'03. TH_ XK-B2B'!$B$59,'01. KE30'!$E:$E,'03. TH_ XK-B2B'!$D64,'01. KE30'!$A:$A,'03. TH_ XK-B2B'!Q$42)</f>
        <v>0</v>
      </c>
      <c r="R64" s="239">
        <f t="shared" si="152"/>
        <v>0</v>
      </c>
      <c r="S64" s="239">
        <f t="shared" si="153"/>
        <v>0</v>
      </c>
      <c r="T64" s="176"/>
      <c r="U64" s="271">
        <v>4100</v>
      </c>
      <c r="V64" s="271">
        <v>4100</v>
      </c>
      <c r="W64" s="271">
        <v>8562.5</v>
      </c>
      <c r="X64" s="271">
        <v>19187.5</v>
      </c>
      <c r="Y64" s="271">
        <v>19187.5</v>
      </c>
      <c r="Z64" s="271">
        <v>19187.5</v>
      </c>
      <c r="AA64" s="271">
        <v>29812.5</v>
      </c>
      <c r="AB64" s="271">
        <v>29812.5</v>
      </c>
      <c r="AC64" s="271">
        <v>29812.5</v>
      </c>
      <c r="AD64" s="271">
        <v>33912.5</v>
      </c>
      <c r="AE64" s="271">
        <v>33912.5</v>
      </c>
      <c r="AF64" s="271">
        <v>33912.5</v>
      </c>
      <c r="AG64" s="239">
        <f t="shared" si="154"/>
        <v>265500</v>
      </c>
      <c r="AH64" s="239">
        <f t="shared" si="155"/>
        <v>22125</v>
      </c>
      <c r="AI64" s="176"/>
      <c r="AJ64" s="271">
        <v>1870.7142857142858</v>
      </c>
      <c r="AK64" s="271">
        <v>31292.020408163266</v>
      </c>
      <c r="AL64" s="271">
        <v>10698.870967741936</v>
      </c>
      <c r="AM64" s="271">
        <v>20603.689516129034</v>
      </c>
      <c r="AN64" s="271">
        <v>0</v>
      </c>
      <c r="AO64" s="271">
        <v>0</v>
      </c>
      <c r="AP64" s="271">
        <v>2007.168458781362</v>
      </c>
      <c r="AQ64" s="271">
        <v>0</v>
      </c>
      <c r="AR64" s="271">
        <v>9002.4994274028631</v>
      </c>
      <c r="AS64" s="271">
        <v>45433.008558917194</v>
      </c>
      <c r="AT64" s="272">
        <v>8317.2744435612076</v>
      </c>
      <c r="AU64" s="272">
        <v>7999.7034400948996</v>
      </c>
      <c r="AV64" s="239">
        <f t="shared" si="113"/>
        <v>137224.94950650603</v>
      </c>
      <c r="AW64" s="239">
        <f t="shared" si="156"/>
        <v>11435.412458875502</v>
      </c>
    </row>
    <row r="65" spans="2:49" s="172" customFormat="1" ht="15.5" hidden="1" outlineLevel="1" x14ac:dyDescent="0.35">
      <c r="B65" s="291"/>
      <c r="C65" s="168"/>
      <c r="D65" s="262" t="s">
        <v>23</v>
      </c>
      <c r="E65" s="168" t="s">
        <v>286</v>
      </c>
      <c r="F65" s="271">
        <f>SUMIFS('01. KE30'!$Y:$Y,'01. KE30'!$B:$B,'03. TH_ XK-B2B'!$B$59,'01. KE30'!$E:$E,'03. TH_ XK-B2B'!$D65,'01. KE30'!$A:$A,'03. TH_ XK-B2B'!F$42)</f>
        <v>0</v>
      </c>
      <c r="G65" s="271">
        <f>SUMIFS('01. KE30'!$Y:$Y,'01. KE30'!$B:$B,'03. TH_ XK-B2B'!$B$59,'01. KE30'!$E:$E,'03. TH_ XK-B2B'!$D65,'01. KE30'!$A:$A,'03. TH_ XK-B2B'!G$42)</f>
        <v>725.23158723907079</v>
      </c>
      <c r="H65" s="271">
        <f>SUMIFS('01. KE30'!$Y:$Y,'01. KE30'!$B:$B,'03. TH_ XK-B2B'!$B$59,'01. KE30'!$E:$E,'03. TH_ XK-B2B'!$D65,'01. KE30'!$A:$A,'03. TH_ XK-B2B'!H$42)</f>
        <v>21913.276417322835</v>
      </c>
      <c r="I65" s="271">
        <f>SUMIFS('01. KE30'!$Y:$Y,'01. KE30'!$B:$B,'03. TH_ XK-B2B'!$B$59,'01. KE30'!$E:$E,'03. TH_ XK-B2B'!$D65,'01. KE30'!$A:$A,'03. TH_ XK-B2B'!I$42)</f>
        <v>5029.3802942315142</v>
      </c>
      <c r="J65" s="271">
        <f>SUMIFS('01. KE30'!$Y:$Y,'01. KE30'!$B:$B,'03. TH_ XK-B2B'!$B$59,'01. KE30'!$E:$E,'03. TH_ XK-B2B'!$D65,'01. KE30'!$A:$A,'03. TH_ XK-B2B'!J$42)</f>
        <v>14138.631090487239</v>
      </c>
      <c r="K65" s="271">
        <f>SUMIFS('01. KE30'!$Y:$Y,'01. KE30'!$B:$B,'03. TH_ XK-B2B'!$B$59,'01. KE30'!$E:$E,'03. TH_ XK-B2B'!$D65,'01. KE30'!$A:$A,'03. TH_ XK-B2B'!K$42)</f>
        <v>0</v>
      </c>
      <c r="L65" s="271">
        <f>SUMIFS('01. KE30'!$Y:$Y,'01. KE30'!$B:$B,'03. TH_ XK-B2B'!$B$59,'01. KE30'!$E:$E,'03. TH_ XK-B2B'!$D65,'01. KE30'!$A:$A,'03. TH_ XK-B2B'!L$42)</f>
        <v>18600.083941605841</v>
      </c>
      <c r="M65" s="271">
        <f>SUMIFS('01. KE30'!$Y:$Y,'01. KE30'!$B:$B,'03. TH_ XK-B2B'!$B$59,'01. KE30'!$E:$E,'03. TH_ XK-B2B'!$D65,'01. KE30'!$A:$A,'03. TH_ XK-B2B'!M$42)</f>
        <v>12322.587165775401</v>
      </c>
      <c r="N65" s="271">
        <f>SUMIFS('01. KE30'!$Y:$Y,'01. KE30'!$B:$B,'03. TH_ XK-B2B'!$B$59,'01. KE30'!$E:$E,'03. TH_ XK-B2B'!$D65,'01. KE30'!$A:$A,'03. TH_ XK-B2B'!N$42)</f>
        <v>19779.381752380952</v>
      </c>
      <c r="O65" s="271">
        <f>SUMIFS('01. KE30'!$Y:$Y,'01. KE30'!$B:$B,'03. TH_ XK-B2B'!$B$59,'01. KE30'!$E:$E,'03. TH_ XK-B2B'!$D65,'01. KE30'!$A:$A,'03. TH_ XK-B2B'!O$42)</f>
        <v>0</v>
      </c>
      <c r="P65" s="272">
        <f>SUMIFS('01. KE30'!$Y:$Y,'01. KE30'!$B:$B,'03. TH_ XK-B2B'!$B$59,'01. KE30'!$E:$E,'03. TH_ XK-B2B'!$D65,'01. KE30'!$A:$A,'03. TH_ XK-B2B'!P$42)</f>
        <v>0</v>
      </c>
      <c r="Q65" s="272">
        <f>SUMIFS('01. KE30'!$Y:$Y,'01. KE30'!$B:$B,'03. TH_ XK-B2B'!$B$59,'01. KE30'!$E:$E,'03. TH_ XK-B2B'!$D65,'01. KE30'!$A:$A,'03. TH_ XK-B2B'!Q$42)</f>
        <v>0</v>
      </c>
      <c r="R65" s="239">
        <f t="shared" si="152"/>
        <v>92508.57224904286</v>
      </c>
      <c r="S65" s="239">
        <f t="shared" si="153"/>
        <v>13215.510321291837</v>
      </c>
      <c r="T65" s="176"/>
      <c r="U65" s="271">
        <v>22100</v>
      </c>
      <c r="V65" s="271">
        <v>30600</v>
      </c>
      <c r="W65" s="271">
        <v>43350</v>
      </c>
      <c r="X65" s="271">
        <v>30812.5</v>
      </c>
      <c r="Y65" s="271">
        <v>47812.5</v>
      </c>
      <c r="Z65" s="271">
        <v>30600</v>
      </c>
      <c r="AA65" s="271">
        <v>56100</v>
      </c>
      <c r="AB65" s="271">
        <v>39100</v>
      </c>
      <c r="AC65" s="271">
        <v>56100</v>
      </c>
      <c r="AD65" s="271">
        <v>44200</v>
      </c>
      <c r="AE65" s="271">
        <v>61200</v>
      </c>
      <c r="AF65" s="271">
        <v>44200</v>
      </c>
      <c r="AG65" s="239">
        <f t="shared" si="154"/>
        <v>506175</v>
      </c>
      <c r="AH65" s="239">
        <f t="shared" si="155"/>
        <v>42181.25</v>
      </c>
      <c r="AI65" s="176"/>
      <c r="AJ65" s="271">
        <v>0</v>
      </c>
      <c r="AK65" s="271">
        <v>0</v>
      </c>
      <c r="AL65" s="271">
        <v>15908.911330645162</v>
      </c>
      <c r="AM65" s="271">
        <v>0</v>
      </c>
      <c r="AN65" s="271">
        <v>0</v>
      </c>
      <c r="AO65" s="271">
        <v>0</v>
      </c>
      <c r="AP65" s="271">
        <v>291.42134607726007</v>
      </c>
      <c r="AQ65" s="271">
        <v>16082.284500202346</v>
      </c>
      <c r="AR65" s="271">
        <v>25.286298568507156</v>
      </c>
      <c r="AS65" s="271">
        <v>16020.355732484077</v>
      </c>
      <c r="AT65" s="272">
        <v>19344.330286168522</v>
      </c>
      <c r="AU65" s="272">
        <v>22.686832740213521</v>
      </c>
      <c r="AV65" s="239">
        <f t="shared" si="113"/>
        <v>67695.276326886087</v>
      </c>
      <c r="AW65" s="239">
        <f t="shared" si="156"/>
        <v>5641.273027240507</v>
      </c>
    </row>
    <row r="66" spans="2:49" s="172" customFormat="1" ht="15.5" hidden="1" outlineLevel="1" x14ac:dyDescent="0.35">
      <c r="B66" s="291"/>
      <c r="C66" s="168"/>
      <c r="D66" s="262" t="s">
        <v>269</v>
      </c>
      <c r="E66" s="168" t="s">
        <v>286</v>
      </c>
      <c r="F66" s="271">
        <f>SUMIFS('01. KE30'!$Y:$Y,'01. KE30'!$B:$B,'03. TH_ XK-B2B'!$B$59,'01. KE30'!$E:$E,'03. TH_ XK-B2B'!$D66,'01. KE30'!$A:$A,'03. TH_ XK-B2B'!F$42)</f>
        <v>0</v>
      </c>
      <c r="G66" s="271">
        <f>SUMIFS('01. KE30'!$Y:$Y,'01. KE30'!$B:$B,'03. TH_ XK-B2B'!$B$59,'01. KE30'!$E:$E,'03. TH_ XK-B2B'!$D66,'01. KE30'!$A:$A,'03. TH_ XK-B2B'!G$42)</f>
        <v>0</v>
      </c>
      <c r="H66" s="271">
        <f>SUMIFS('01. KE30'!$Y:$Y,'01. KE30'!$B:$B,'03. TH_ XK-B2B'!$B$59,'01. KE30'!$E:$E,'03. TH_ XK-B2B'!$D66,'01. KE30'!$A:$A,'03. TH_ XK-B2B'!H$42)</f>
        <v>0</v>
      </c>
      <c r="I66" s="271">
        <f>SUMIFS('01. KE30'!$Y:$Y,'01. KE30'!$B:$B,'03. TH_ XK-B2B'!$B$59,'01. KE30'!$E:$E,'03. TH_ XK-B2B'!$D66,'01. KE30'!$A:$A,'03. TH_ XK-B2B'!I$42)</f>
        <v>0</v>
      </c>
      <c r="J66" s="271">
        <f>SUMIFS('01. KE30'!$Y:$Y,'01. KE30'!$B:$B,'03. TH_ XK-B2B'!$B$59,'01. KE30'!$E:$E,'03. TH_ XK-B2B'!$D66,'01. KE30'!$A:$A,'03. TH_ XK-B2B'!J$42)</f>
        <v>0</v>
      </c>
      <c r="K66" s="271">
        <f>SUMIFS('01. KE30'!$Y:$Y,'01. KE30'!$B:$B,'03. TH_ XK-B2B'!$B$59,'01. KE30'!$E:$E,'03. TH_ XK-B2B'!$D66,'01. KE30'!$A:$A,'03. TH_ XK-B2B'!K$42)</f>
        <v>0</v>
      </c>
      <c r="L66" s="271">
        <f>SUMIFS('01. KE30'!$Y:$Y,'01. KE30'!$B:$B,'03. TH_ XK-B2B'!$B$59,'01. KE30'!$E:$E,'03. TH_ XK-B2B'!$D66,'01. KE30'!$A:$A,'03. TH_ XK-B2B'!L$42)</f>
        <v>0</v>
      </c>
      <c r="M66" s="271">
        <f>SUMIFS('01. KE30'!$Y:$Y,'01. KE30'!$B:$B,'03. TH_ XK-B2B'!$B$59,'01. KE30'!$E:$E,'03. TH_ XK-B2B'!$D66,'01. KE30'!$A:$A,'03. TH_ XK-B2B'!M$42)</f>
        <v>0</v>
      </c>
      <c r="N66" s="271">
        <f>SUMIFS('01. KE30'!$Y:$Y,'01. KE30'!$B:$B,'03. TH_ XK-B2B'!$B$59,'01. KE30'!$E:$E,'03. TH_ XK-B2B'!$D66,'01. KE30'!$A:$A,'03. TH_ XK-B2B'!N$42)</f>
        <v>0</v>
      </c>
      <c r="O66" s="271">
        <f>SUMIFS('01. KE30'!$Y:$Y,'01. KE30'!$B:$B,'03. TH_ XK-B2B'!$B$59,'01. KE30'!$E:$E,'03. TH_ XK-B2B'!$D66,'01. KE30'!$A:$A,'03. TH_ XK-B2B'!O$42)</f>
        <v>0</v>
      </c>
      <c r="P66" s="272">
        <f>SUMIFS('01. KE30'!$Y:$Y,'01. KE30'!$B:$B,'03. TH_ XK-B2B'!$B$59,'01. KE30'!$E:$E,'03. TH_ XK-B2B'!$D66,'01. KE30'!$A:$A,'03. TH_ XK-B2B'!P$42)</f>
        <v>0</v>
      </c>
      <c r="Q66" s="272">
        <f>SUMIFS('01. KE30'!$Y:$Y,'01. KE30'!$B:$B,'03. TH_ XK-B2B'!$B$59,'01. KE30'!$E:$E,'03. TH_ XK-B2B'!$D66,'01. KE30'!$A:$A,'03. TH_ XK-B2B'!Q$42)</f>
        <v>0</v>
      </c>
      <c r="R66" s="239">
        <f t="shared" si="152"/>
        <v>0</v>
      </c>
      <c r="S66" s="239">
        <f t="shared" si="153"/>
        <v>0</v>
      </c>
      <c r="T66" s="176"/>
      <c r="U66" s="271">
        <v>0</v>
      </c>
      <c r="V66" s="271">
        <v>0</v>
      </c>
      <c r="W66" s="271">
        <v>8925</v>
      </c>
      <c r="X66" s="271">
        <v>8925</v>
      </c>
      <c r="Y66" s="271">
        <v>8925</v>
      </c>
      <c r="Z66" s="271">
        <v>8925</v>
      </c>
      <c r="AA66" s="271">
        <v>8925</v>
      </c>
      <c r="AB66" s="271">
        <v>8925</v>
      </c>
      <c r="AC66" s="271">
        <v>8925</v>
      </c>
      <c r="AD66" s="271">
        <v>8925</v>
      </c>
      <c r="AE66" s="271">
        <v>8925</v>
      </c>
      <c r="AF66" s="271">
        <v>8925</v>
      </c>
      <c r="AG66" s="239">
        <f t="shared" si="154"/>
        <v>89250</v>
      </c>
      <c r="AH66" s="239">
        <f t="shared" si="155"/>
        <v>7437.5</v>
      </c>
      <c r="AI66" s="176"/>
      <c r="AJ66" s="271">
        <v>12187.959183673469</v>
      </c>
      <c r="AK66" s="271">
        <v>12187.959183673469</v>
      </c>
      <c r="AL66" s="271">
        <v>34771.330645161288</v>
      </c>
      <c r="AM66" s="271">
        <v>27192.96370967742</v>
      </c>
      <c r="AN66" s="271">
        <v>31176.51</v>
      </c>
      <c r="AO66" s="271">
        <v>4593.6980609418279</v>
      </c>
      <c r="AP66" s="271">
        <v>0</v>
      </c>
      <c r="AQ66" s="271">
        <v>0</v>
      </c>
      <c r="AR66" s="271">
        <v>0</v>
      </c>
      <c r="AS66" s="271">
        <v>0</v>
      </c>
      <c r="AT66" s="272">
        <v>0</v>
      </c>
      <c r="AU66" s="272">
        <v>0</v>
      </c>
      <c r="AV66" s="239">
        <f t="shared" si="113"/>
        <v>122110.42078312747</v>
      </c>
      <c r="AW66" s="239">
        <f t="shared" si="156"/>
        <v>10175.868398593955</v>
      </c>
    </row>
    <row r="67" spans="2:49" s="172" customFormat="1" ht="15.5" hidden="1" outlineLevel="1" x14ac:dyDescent="0.35">
      <c r="B67" s="291"/>
      <c r="C67" s="168"/>
      <c r="D67" s="262" t="s">
        <v>1091</v>
      </c>
      <c r="E67" s="168" t="s">
        <v>286</v>
      </c>
      <c r="F67" s="271">
        <f>SUMIFS('01. KE30'!$Y:$Y,'01. KE30'!$B:$B,'03. TH_ XK-B2B'!$B$59,'01. KE30'!$E:$E,'03. TH_ XK-B2B'!$D67,'01. KE30'!$A:$A,'03. TH_ XK-B2B'!F$42)</f>
        <v>0</v>
      </c>
      <c r="G67" s="271">
        <f>SUMIFS('01. KE30'!$Y:$Y,'01. KE30'!$B:$B,'03. TH_ XK-B2B'!$B$59,'01. KE30'!$E:$E,'03. TH_ XK-B2B'!$D67,'01. KE30'!$A:$A,'03. TH_ XK-B2B'!G$42)</f>
        <v>0</v>
      </c>
      <c r="H67" s="271">
        <f>SUMIFS('01. KE30'!$Y:$Y,'01. KE30'!$B:$B,'03. TH_ XK-B2B'!$B$59,'01. KE30'!$E:$E,'03. TH_ XK-B2B'!$D67,'01. KE30'!$A:$A,'03. TH_ XK-B2B'!H$42)</f>
        <v>0</v>
      </c>
      <c r="I67" s="271">
        <f>SUMIFS('01. KE30'!$Y:$Y,'01. KE30'!$B:$B,'03. TH_ XK-B2B'!$B$59,'01. KE30'!$E:$E,'03. TH_ XK-B2B'!$D67,'01. KE30'!$A:$A,'03. TH_ XK-B2B'!I$42)</f>
        <v>0</v>
      </c>
      <c r="J67" s="271">
        <f>SUMIFS('01. KE30'!$Y:$Y,'01. KE30'!$B:$B,'03. TH_ XK-B2B'!$B$59,'01. KE30'!$E:$E,'03. TH_ XK-B2B'!$D67,'01. KE30'!$A:$A,'03. TH_ XK-B2B'!J$42)</f>
        <v>2199.3068058778035</v>
      </c>
      <c r="K67" s="271">
        <f>SUMIFS('01. KE30'!$Y:$Y,'01. KE30'!$B:$B,'03. TH_ XK-B2B'!$B$59,'01. KE30'!$E:$E,'03. TH_ XK-B2B'!$D67,'01. KE30'!$A:$A,'03. TH_ XK-B2B'!K$42)</f>
        <v>0</v>
      </c>
      <c r="L67" s="271">
        <f>SUMIFS('01. KE30'!$Y:$Y,'01. KE30'!$B:$B,'03. TH_ XK-B2B'!$B$59,'01. KE30'!$E:$E,'03. TH_ XK-B2B'!$D67,'01. KE30'!$A:$A,'03. TH_ XK-B2B'!L$42)</f>
        <v>0</v>
      </c>
      <c r="M67" s="271">
        <f>SUMIFS('01. KE30'!$Y:$Y,'01. KE30'!$B:$B,'03. TH_ XK-B2B'!$B$59,'01. KE30'!$E:$E,'03. TH_ XK-B2B'!$D67,'01. KE30'!$A:$A,'03. TH_ XK-B2B'!M$42)</f>
        <v>0</v>
      </c>
      <c r="N67" s="271">
        <f>SUMIFS('01. KE30'!$Y:$Y,'01. KE30'!$B:$B,'03. TH_ XK-B2B'!$B$59,'01. KE30'!$E:$E,'03. TH_ XK-B2B'!$D67,'01. KE30'!$A:$A,'03. TH_ XK-B2B'!N$42)</f>
        <v>4355.8377523809522</v>
      </c>
      <c r="O67" s="271">
        <f>SUMIFS('01. KE30'!$Y:$Y,'01. KE30'!$B:$B,'03. TH_ XK-B2B'!$B$59,'01. KE30'!$E:$E,'03. TH_ XK-B2B'!$D67,'01. KE30'!$A:$A,'03. TH_ XK-B2B'!O$42)</f>
        <v>0</v>
      </c>
      <c r="P67" s="272">
        <f>SUMIFS('01. KE30'!$Y:$Y,'01. KE30'!$B:$B,'03. TH_ XK-B2B'!$B$59,'01. KE30'!$E:$E,'03. TH_ XK-B2B'!$D67,'01. KE30'!$A:$A,'03. TH_ XK-B2B'!P$42)</f>
        <v>0</v>
      </c>
      <c r="Q67" s="272">
        <f>SUMIFS('01. KE30'!$Y:$Y,'01. KE30'!$B:$B,'03. TH_ XK-B2B'!$B$59,'01. KE30'!$E:$E,'03. TH_ XK-B2B'!$D67,'01. KE30'!$A:$A,'03. TH_ XK-B2B'!Q$42)</f>
        <v>0</v>
      </c>
      <c r="R67" s="239">
        <f t="shared" ref="R67" si="157">SUM(F67:Q67)</f>
        <v>6555.1445582587558</v>
      </c>
      <c r="S67" s="239">
        <f t="shared" ref="S67" si="158">IFERROR(R67/(12-COUNTIF(F67:Q67,0)),0)</f>
        <v>3277.5722791293779</v>
      </c>
      <c r="T67" s="176"/>
      <c r="U67" s="271"/>
      <c r="V67" s="271"/>
      <c r="W67" s="271"/>
      <c r="X67" s="271"/>
      <c r="Y67" s="271"/>
      <c r="Z67" s="271"/>
      <c r="AA67" s="271"/>
      <c r="AB67" s="271"/>
      <c r="AC67" s="271"/>
      <c r="AD67" s="271"/>
      <c r="AE67" s="271"/>
      <c r="AF67" s="271"/>
      <c r="AG67" s="239"/>
      <c r="AH67" s="239"/>
      <c r="AI67" s="176"/>
      <c r="AJ67" s="271"/>
      <c r="AK67" s="271"/>
      <c r="AL67" s="271"/>
      <c r="AM67" s="271"/>
      <c r="AN67" s="271"/>
      <c r="AO67" s="271"/>
      <c r="AP67" s="271"/>
      <c r="AQ67" s="271"/>
      <c r="AR67" s="271"/>
      <c r="AS67" s="271"/>
      <c r="AT67" s="272"/>
      <c r="AU67" s="272"/>
      <c r="AV67" s="239"/>
      <c r="AW67" s="239"/>
    </row>
    <row r="68" spans="2:49" s="167" customFormat="1" ht="15.5" collapsed="1" x14ac:dyDescent="0.35">
      <c r="B68" s="292"/>
      <c r="C68" s="165"/>
      <c r="D68" s="263"/>
      <c r="E68" s="165" t="s">
        <v>285</v>
      </c>
      <c r="F68" s="206">
        <f t="shared" ref="F68:S68" si="159">IFERROR(F59/F$77,"-")</f>
        <v>0.2856723574950813</v>
      </c>
      <c r="G68" s="206">
        <f t="shared" si="159"/>
        <v>0.28924936736594958</v>
      </c>
      <c r="H68" s="206">
        <f t="shared" si="159"/>
        <v>0.28722262314726343</v>
      </c>
      <c r="I68" s="206">
        <f t="shared" si="159"/>
        <v>0.26919758521463993</v>
      </c>
      <c r="J68" s="206">
        <f t="shared" si="159"/>
        <v>0.22915723281120892</v>
      </c>
      <c r="K68" s="206">
        <f t="shared" si="159"/>
        <v>0.39117895805896191</v>
      </c>
      <c r="L68" s="206">
        <f t="shared" si="159"/>
        <v>0.35649902240955689</v>
      </c>
      <c r="M68" s="206">
        <f t="shared" si="159"/>
        <v>0.42521813198199626</v>
      </c>
      <c r="N68" s="206">
        <f t="shared" si="159"/>
        <v>0.67577489937243707</v>
      </c>
      <c r="O68" s="206" t="str">
        <f t="shared" si="159"/>
        <v>-</v>
      </c>
      <c r="P68" s="224" t="str">
        <f t="shared" si="159"/>
        <v>-</v>
      </c>
      <c r="Q68" s="224" t="str">
        <f t="shared" si="159"/>
        <v>-</v>
      </c>
      <c r="R68" s="206">
        <f t="shared" si="159"/>
        <v>0.33899020340438757</v>
      </c>
      <c r="S68" s="206">
        <f t="shared" si="159"/>
        <v>0.32921717940797551</v>
      </c>
      <c r="T68" s="283"/>
      <c r="U68" s="206">
        <f t="shared" ref="U68:AH68" si="160">IFERROR(U59/U$77,"-")</f>
        <v>0.36922040914522891</v>
      </c>
      <c r="V68" s="206">
        <f t="shared" si="160"/>
        <v>0.34976205349129186</v>
      </c>
      <c r="W68" s="206">
        <f t="shared" si="160"/>
        <v>0.42572427777293431</v>
      </c>
      <c r="X68" s="206">
        <f t="shared" si="160"/>
        <v>0.47787450725590142</v>
      </c>
      <c r="Y68" s="206">
        <f t="shared" si="160"/>
        <v>0.38416470596253743</v>
      </c>
      <c r="Z68" s="206">
        <f t="shared" si="160"/>
        <v>0.41658794464607235</v>
      </c>
      <c r="AA68" s="206">
        <f t="shared" si="160"/>
        <v>0.36804631476401484</v>
      </c>
      <c r="AB68" s="206">
        <f t="shared" si="160"/>
        <v>0.42886889331964362</v>
      </c>
      <c r="AC68" s="206">
        <f t="shared" si="160"/>
        <v>0.37150476465988824</v>
      </c>
      <c r="AD68" s="206">
        <f t="shared" si="160"/>
        <v>0.37785753672751438</v>
      </c>
      <c r="AE68" s="224">
        <f t="shared" si="160"/>
        <v>0.45656811097045535</v>
      </c>
      <c r="AF68" s="224">
        <f t="shared" si="160"/>
        <v>0.47004575487074857</v>
      </c>
      <c r="AG68" s="206">
        <f t="shared" si="160"/>
        <v>0.40873927713255259</v>
      </c>
      <c r="AH68" s="206">
        <f t="shared" si="160"/>
        <v>0.40873927713255254</v>
      </c>
      <c r="AI68" s="283"/>
      <c r="AJ68" s="206">
        <f t="shared" ref="AJ68:AV68" si="161">IFERROR(AJ59/AJ$77,"-")</f>
        <v>0.46922490889447654</v>
      </c>
      <c r="AK68" s="206">
        <f t="shared" si="161"/>
        <v>0.52164791226985274</v>
      </c>
      <c r="AL68" s="206">
        <f t="shared" si="161"/>
        <v>0.3805210705028565</v>
      </c>
      <c r="AM68" s="206">
        <f t="shared" si="161"/>
        <v>0.2793798776368378</v>
      </c>
      <c r="AN68" s="206">
        <f t="shared" si="161"/>
        <v>0.67925579058976182</v>
      </c>
      <c r="AO68" s="206">
        <f t="shared" si="161"/>
        <v>0.86440633863986438</v>
      </c>
      <c r="AP68" s="206">
        <f t="shared" si="161"/>
        <v>0.38413684125036612</v>
      </c>
      <c r="AQ68" s="206">
        <f t="shared" si="161"/>
        <v>0.30898233445028511</v>
      </c>
      <c r="AR68" s="206">
        <f t="shared" si="161"/>
        <v>0.2433427933870439</v>
      </c>
      <c r="AS68" s="206">
        <f t="shared" si="161"/>
        <v>0.40911007048977288</v>
      </c>
      <c r="AT68" s="224">
        <f t="shared" si="161"/>
        <v>0.70824107982553752</v>
      </c>
      <c r="AU68" s="224">
        <f t="shared" si="161"/>
        <v>0.53268867437716427</v>
      </c>
      <c r="AV68" s="206">
        <f t="shared" si="161"/>
        <v>0.44477763122130071</v>
      </c>
      <c r="AW68" s="206">
        <f t="shared" ref="AW68" si="162">IFERROR(AW59/AW$77,"-")</f>
        <v>0.44477763122130065</v>
      </c>
    </row>
    <row r="69" spans="2:49" s="164" customFormat="1" ht="15.5" hidden="1" outlineLevel="1" x14ac:dyDescent="0.35">
      <c r="B69" s="293"/>
      <c r="C69" s="195"/>
      <c r="D69" s="262" t="s">
        <v>283</v>
      </c>
      <c r="E69" s="168" t="s">
        <v>285</v>
      </c>
      <c r="F69" s="200">
        <f t="shared" ref="F69:S69" si="163">IF(F60&lt;&gt;0,F60/F$77,"-")</f>
        <v>0.22874194459242009</v>
      </c>
      <c r="G69" s="200">
        <f t="shared" si="163"/>
        <v>0.24186864950617076</v>
      </c>
      <c r="H69" s="200">
        <f t="shared" si="163"/>
        <v>0.20390303933524473</v>
      </c>
      <c r="I69" s="200">
        <f t="shared" si="163"/>
        <v>0.21277560055921491</v>
      </c>
      <c r="J69" s="200">
        <f t="shared" si="163"/>
        <v>0.16366799240890731</v>
      </c>
      <c r="K69" s="200">
        <f t="shared" si="163"/>
        <v>0.28998093729160834</v>
      </c>
      <c r="L69" s="200">
        <f t="shared" si="163"/>
        <v>0.2221084491697278</v>
      </c>
      <c r="M69" s="200">
        <f t="shared" si="163"/>
        <v>0.32448285227387746</v>
      </c>
      <c r="N69" s="200">
        <f t="shared" si="163"/>
        <v>0.44464876791295233</v>
      </c>
      <c r="O69" s="200" t="str">
        <f t="shared" si="163"/>
        <v>-</v>
      </c>
      <c r="P69" s="200" t="str">
        <f t="shared" si="163"/>
        <v>-</v>
      </c>
      <c r="Q69" s="200" t="str">
        <f t="shared" si="163"/>
        <v>-</v>
      </c>
      <c r="R69" s="242">
        <f t="shared" si="163"/>
        <v>0.24950136042582616</v>
      </c>
      <c r="S69" s="242">
        <f t="shared" si="163"/>
        <v>0.24034436197993067</v>
      </c>
      <c r="T69" s="176"/>
      <c r="U69" s="200">
        <f t="shared" ref="U69:AH69" si="164">IF(U60&lt;&gt;0,U60/U$77,"-")</f>
        <v>0.27198529427637214</v>
      </c>
      <c r="V69" s="200">
        <f t="shared" si="164"/>
        <v>0.24854677114244061</v>
      </c>
      <c r="W69" s="200">
        <f t="shared" si="164"/>
        <v>0.27636193733530201</v>
      </c>
      <c r="X69" s="200">
        <f t="shared" si="164"/>
        <v>0.29288489251248823</v>
      </c>
      <c r="Y69" s="200">
        <f t="shared" si="164"/>
        <v>0.23260479904615561</v>
      </c>
      <c r="Z69" s="200">
        <f t="shared" si="164"/>
        <v>0.25229024025567792</v>
      </c>
      <c r="AA69" s="200">
        <f t="shared" si="164"/>
        <v>0.20375540223802507</v>
      </c>
      <c r="AB69" s="200">
        <f t="shared" si="164"/>
        <v>0.25463951972355386</v>
      </c>
      <c r="AC69" s="200">
        <f t="shared" si="164"/>
        <v>0.21411022965445378</v>
      </c>
      <c r="AD69" s="200">
        <f t="shared" si="164"/>
        <v>0.22275659800034461</v>
      </c>
      <c r="AE69" s="200">
        <f t="shared" si="164"/>
        <v>0.26733883191933205</v>
      </c>
      <c r="AF69" s="200">
        <f t="shared" si="164"/>
        <v>0.28113850398889922</v>
      </c>
      <c r="AG69" s="242">
        <f t="shared" si="164"/>
        <v>0.24801854937330922</v>
      </c>
      <c r="AH69" s="242">
        <f t="shared" si="164"/>
        <v>0.24801854937330922</v>
      </c>
      <c r="AI69" s="176"/>
      <c r="AJ69" s="200">
        <f t="shared" ref="AJ69:AV69" si="165">IF(AJ60&lt;&gt;0,AJ60/AJ$77,"-")</f>
        <v>0.35171727689904186</v>
      </c>
      <c r="AK69" s="200">
        <f t="shared" si="165"/>
        <v>0.46544527605819569</v>
      </c>
      <c r="AL69" s="200">
        <f t="shared" si="165"/>
        <v>0.30443094255092962</v>
      </c>
      <c r="AM69" s="200">
        <f t="shared" si="165"/>
        <v>0.19862884709639037</v>
      </c>
      <c r="AN69" s="200">
        <f t="shared" si="165"/>
        <v>0.58967690084045765</v>
      </c>
      <c r="AO69" s="200">
        <f t="shared" si="165"/>
        <v>0.73308458566479662</v>
      </c>
      <c r="AP69" s="200">
        <f t="shared" si="165"/>
        <v>0.25969686242378626</v>
      </c>
      <c r="AQ69" s="200">
        <f t="shared" si="165"/>
        <v>0.27425823172378028</v>
      </c>
      <c r="AR69" s="200">
        <f t="shared" si="165"/>
        <v>0.20966217319338981</v>
      </c>
      <c r="AS69" s="200">
        <f t="shared" si="165"/>
        <v>0.33751067857488426</v>
      </c>
      <c r="AT69" s="200">
        <f t="shared" si="165"/>
        <v>0.62240153904507534</v>
      </c>
      <c r="AU69" s="200">
        <f t="shared" si="165"/>
        <v>0.45055100084048821</v>
      </c>
      <c r="AV69" s="242">
        <f t="shared" si="165"/>
        <v>0.37114782345721936</v>
      </c>
      <c r="AW69" s="242">
        <f t="shared" ref="AW69" si="166">IF(AW60&lt;&gt;0,AW60/AW$77,"-")</f>
        <v>0.37114782345721936</v>
      </c>
    </row>
    <row r="70" spans="2:49" s="164" customFormat="1" ht="15.5" hidden="1" outlineLevel="1" x14ac:dyDescent="0.35">
      <c r="B70" s="293"/>
      <c r="C70" s="195"/>
      <c r="D70" s="262" t="s">
        <v>95</v>
      </c>
      <c r="E70" s="168" t="s">
        <v>285</v>
      </c>
      <c r="F70" s="200">
        <f t="shared" ref="F70:S70" si="167">IF(F61&lt;&gt;0,F61/F$77,"-")</f>
        <v>1.8833520886496018E-3</v>
      </c>
      <c r="G70" s="200">
        <f t="shared" si="167"/>
        <v>1.747183573273867E-3</v>
      </c>
      <c r="H70" s="200">
        <f t="shared" si="167"/>
        <v>4.3109879397143789E-3</v>
      </c>
      <c r="I70" s="200">
        <f t="shared" si="167"/>
        <v>2.3787911310365451E-4</v>
      </c>
      <c r="J70" s="200" t="str">
        <f t="shared" si="167"/>
        <v>-</v>
      </c>
      <c r="K70" s="200">
        <f t="shared" si="167"/>
        <v>9.4272238061455533E-3</v>
      </c>
      <c r="L70" s="200">
        <f t="shared" si="167"/>
        <v>7.2164409280751032E-2</v>
      </c>
      <c r="M70" s="200">
        <f t="shared" si="167"/>
        <v>3.4698864793648317E-2</v>
      </c>
      <c r="N70" s="200">
        <f t="shared" si="167"/>
        <v>4.6867683938127194E-2</v>
      </c>
      <c r="O70" s="200" t="str">
        <f t="shared" si="167"/>
        <v>-</v>
      </c>
      <c r="P70" s="200" t="str">
        <f t="shared" si="167"/>
        <v>-</v>
      </c>
      <c r="Q70" s="200" t="str">
        <f t="shared" si="167"/>
        <v>-</v>
      </c>
      <c r="R70" s="242">
        <f t="shared" si="167"/>
        <v>1.7627660550812239E-2</v>
      </c>
      <c r="S70" s="242">
        <f t="shared" si="167"/>
        <v>1.9103292357542857E-2</v>
      </c>
      <c r="T70" s="176"/>
      <c r="U70" s="200">
        <f t="shared" ref="U70:AH70" si="168">IF(U61&lt;&gt;0,U61/U$77,"-")</f>
        <v>5.6435485864762746E-3</v>
      </c>
      <c r="V70" s="200" t="str">
        <f t="shared" si="168"/>
        <v>-</v>
      </c>
      <c r="W70" s="200">
        <f t="shared" si="168"/>
        <v>1.1849169117763609E-2</v>
      </c>
      <c r="X70" s="200">
        <f t="shared" si="168"/>
        <v>1.1193162689101858E-2</v>
      </c>
      <c r="Y70" s="200">
        <f t="shared" si="168"/>
        <v>1.6494502214823792E-2</v>
      </c>
      <c r="Z70" s="200">
        <f t="shared" si="168"/>
        <v>1.7277383684345095E-2</v>
      </c>
      <c r="AA70" s="200">
        <f t="shared" si="168"/>
        <v>1.4985632593183163E-2</v>
      </c>
      <c r="AB70" s="200">
        <f t="shared" si="168"/>
        <v>1.5062675683464987E-2</v>
      </c>
      <c r="AC70" s="200">
        <f t="shared" si="168"/>
        <v>1.2665249107045537E-2</v>
      </c>
      <c r="AD70" s="200">
        <f t="shared" si="168"/>
        <v>1.2449435123350989E-2</v>
      </c>
      <c r="AE70" s="200">
        <f t="shared" si="168"/>
        <v>1.3618983553736249E-2</v>
      </c>
      <c r="AF70" s="200">
        <f t="shared" si="168"/>
        <v>1.3704258907491572E-2</v>
      </c>
      <c r="AG70" s="242">
        <f t="shared" si="168"/>
        <v>1.2726025161019606E-2</v>
      </c>
      <c r="AH70" s="242">
        <f t="shared" si="168"/>
        <v>1.2726025161019606E-2</v>
      </c>
      <c r="AI70" s="176"/>
      <c r="AJ70" s="200" t="str">
        <f t="shared" ref="AJ70:AV70" si="169">IF(AJ61&lt;&gt;0,AJ61/AJ$77,"-")</f>
        <v>-</v>
      </c>
      <c r="AK70" s="200">
        <f t="shared" si="169"/>
        <v>-1.8260932739637095E-2</v>
      </c>
      <c r="AL70" s="200" t="str">
        <f t="shared" si="169"/>
        <v>-</v>
      </c>
      <c r="AM70" s="200">
        <f t="shared" si="169"/>
        <v>1.1133317304816443E-3</v>
      </c>
      <c r="AN70" s="200">
        <f t="shared" si="169"/>
        <v>1.678404921443382E-2</v>
      </c>
      <c r="AO70" s="200">
        <f t="shared" si="169"/>
        <v>5.460613626568795E-2</v>
      </c>
      <c r="AP70" s="200">
        <f t="shared" si="169"/>
        <v>5.1593692836298402E-2</v>
      </c>
      <c r="AQ70" s="200" t="str">
        <f t="shared" si="169"/>
        <v>-</v>
      </c>
      <c r="AR70" s="200" t="str">
        <f t="shared" si="169"/>
        <v>-</v>
      </c>
      <c r="AS70" s="200">
        <f t="shared" si="169"/>
        <v>1.9104014525760443E-3</v>
      </c>
      <c r="AT70" s="200">
        <f t="shared" si="169"/>
        <v>3.1713236924669833E-3</v>
      </c>
      <c r="AU70" s="200">
        <f t="shared" si="169"/>
        <v>4.3528738238744263E-3</v>
      </c>
      <c r="AV70" s="242">
        <f t="shared" si="169"/>
        <v>6.5768617221101588E-3</v>
      </c>
      <c r="AW70" s="242">
        <f t="shared" ref="AW70" si="170">IF(AW61&lt;&gt;0,AW61/AW$77,"-")</f>
        <v>6.5768617221101597E-3</v>
      </c>
    </row>
    <row r="71" spans="2:49" s="164" customFormat="1" ht="15.5" hidden="1" outlineLevel="1" x14ac:dyDescent="0.35">
      <c r="B71" s="293"/>
      <c r="C71" s="195"/>
      <c r="D71" s="262" t="s">
        <v>265</v>
      </c>
      <c r="E71" s="168" t="s">
        <v>285</v>
      </c>
      <c r="F71" s="200">
        <f t="shared" ref="F71:S71" si="171">IF(F62&lt;&gt;0,F62/F$77,"-")</f>
        <v>5.2154652921520793E-2</v>
      </c>
      <c r="G71" s="200">
        <f t="shared" si="171"/>
        <v>4.0242732647811287E-2</v>
      </c>
      <c r="H71" s="200">
        <f t="shared" si="171"/>
        <v>6.1732808251327966E-2</v>
      </c>
      <c r="I71" s="200">
        <f t="shared" si="171"/>
        <v>3.868359576713503E-2</v>
      </c>
      <c r="J71" s="200">
        <f t="shared" si="171"/>
        <v>4.438486678799855E-2</v>
      </c>
      <c r="K71" s="200">
        <f t="shared" si="171"/>
        <v>7.1751636240367025E-2</v>
      </c>
      <c r="L71" s="200">
        <f t="shared" si="171"/>
        <v>5.0752258718325664E-2</v>
      </c>
      <c r="M71" s="200">
        <f t="shared" si="171"/>
        <v>4.7733351495606237E-2</v>
      </c>
      <c r="N71" s="200">
        <f t="shared" si="171"/>
        <v>0.10397124789540675</v>
      </c>
      <c r="O71" s="200" t="str">
        <f t="shared" si="171"/>
        <v>-</v>
      </c>
      <c r="P71" s="200" t="str">
        <f t="shared" si="171"/>
        <v>-</v>
      </c>
      <c r="Q71" s="200" t="str">
        <f t="shared" si="171"/>
        <v>-</v>
      </c>
      <c r="R71" s="242">
        <f t="shared" si="171"/>
        <v>5.3562312253593793E-2</v>
      </c>
      <c r="S71" s="242">
        <f t="shared" si="171"/>
        <v>5.1596511308750689E-2</v>
      </c>
      <c r="T71" s="176"/>
      <c r="U71" s="200">
        <f t="shared" ref="U71:AH71" si="172">IF(U62&lt;&gt;0,U62/U$77,"-")</f>
        <v>8.146167520545039E-2</v>
      </c>
      <c r="V71" s="200">
        <f t="shared" si="172"/>
        <v>9.2197512450010358E-2</v>
      </c>
      <c r="W71" s="200">
        <f t="shared" si="172"/>
        <v>0.11552071999362562</v>
      </c>
      <c r="X71" s="200">
        <f t="shared" si="172"/>
        <v>0.14147344680270466</v>
      </c>
      <c r="Y71" s="200">
        <f t="shared" si="172"/>
        <v>0.11102571328409659</v>
      </c>
      <c r="Z71" s="200">
        <f t="shared" si="172"/>
        <v>0.12370855439324556</v>
      </c>
      <c r="AA71" s="200">
        <f t="shared" si="172"/>
        <v>0.12490186265765132</v>
      </c>
      <c r="AB71" s="200">
        <f t="shared" si="172"/>
        <v>0.1362382321851924</v>
      </c>
      <c r="AC71" s="200">
        <f t="shared" si="172"/>
        <v>0.12293061107008674</v>
      </c>
      <c r="AD71" s="200">
        <f t="shared" si="172"/>
        <v>0.12266523395239252</v>
      </c>
      <c r="AE71" s="200">
        <f t="shared" si="172"/>
        <v>0.15098663186199551</v>
      </c>
      <c r="AF71" s="200">
        <f t="shared" si="172"/>
        <v>0.15193203563559976</v>
      </c>
      <c r="AG71" s="242">
        <f t="shared" si="172"/>
        <v>0.1259848532475206</v>
      </c>
      <c r="AH71" s="242">
        <f t="shared" si="172"/>
        <v>0.12598485324752062</v>
      </c>
      <c r="AI71" s="176"/>
      <c r="AJ71" s="200">
        <f t="shared" ref="AJ71:AV71" si="173">IF(AJ62&lt;&gt;0,AJ62/AJ$77,"-")</f>
        <v>0.10244775986616106</v>
      </c>
      <c r="AK71" s="200">
        <f t="shared" si="173"/>
        <v>5.7720163520734391E-2</v>
      </c>
      <c r="AL71" s="200">
        <f t="shared" si="173"/>
        <v>5.934507209159999E-2</v>
      </c>
      <c r="AM71" s="200">
        <f t="shared" si="173"/>
        <v>6.614713949412826E-2</v>
      </c>
      <c r="AN71" s="200">
        <f t="shared" si="173"/>
        <v>5.389638022710401E-2</v>
      </c>
      <c r="AO71" s="200">
        <f t="shared" si="173"/>
        <v>7.0283009896007581E-2</v>
      </c>
      <c r="AP71" s="200">
        <f t="shared" si="173"/>
        <v>7.17208718682779E-2</v>
      </c>
      <c r="AQ71" s="200">
        <f t="shared" si="173"/>
        <v>2.8532938237318884E-2</v>
      </c>
      <c r="AR71" s="200">
        <f t="shared" si="173"/>
        <v>3.2146821930699274E-2</v>
      </c>
      <c r="AS71" s="200">
        <f t="shared" si="173"/>
        <v>5.2290603632907634E-2</v>
      </c>
      <c r="AT71" s="200">
        <f t="shared" si="173"/>
        <v>6.0938243189654691E-2</v>
      </c>
      <c r="AU71" s="200">
        <f t="shared" si="173"/>
        <v>7.3758898046080254E-2</v>
      </c>
      <c r="AV71" s="242">
        <f t="shared" si="173"/>
        <v>5.6010947332647915E-2</v>
      </c>
      <c r="AW71" s="242">
        <f t="shared" ref="AW71" si="174">IF(AW62&lt;&gt;0,AW62/AW$77,"-")</f>
        <v>5.6010947332647922E-2</v>
      </c>
    </row>
    <row r="72" spans="2:49" s="167" customFormat="1" ht="15.5" hidden="1" outlineLevel="1" x14ac:dyDescent="0.35">
      <c r="B72" s="292"/>
      <c r="C72" s="168"/>
      <c r="D72" s="262" t="s">
        <v>266</v>
      </c>
      <c r="E72" s="168" t="s">
        <v>285</v>
      </c>
      <c r="F72" s="200">
        <f t="shared" ref="F72:S72" si="175">IF(F63&lt;&gt;0,F63/F$77,"-")</f>
        <v>2.892407892490856E-3</v>
      </c>
      <c r="G72" s="200">
        <f t="shared" si="175"/>
        <v>5.288359378351884E-3</v>
      </c>
      <c r="H72" s="200">
        <f t="shared" si="175"/>
        <v>1.3448859539621393E-2</v>
      </c>
      <c r="I72" s="200">
        <f t="shared" si="175"/>
        <v>1.6441762408944915E-2</v>
      </c>
      <c r="J72" s="200">
        <f t="shared" si="175"/>
        <v>1.8649841095312848E-2</v>
      </c>
      <c r="K72" s="200">
        <f t="shared" si="175"/>
        <v>2.0019160720841003E-2</v>
      </c>
      <c r="L72" s="200">
        <f t="shared" si="175"/>
        <v>7.9384252274577148E-3</v>
      </c>
      <c r="M72" s="200">
        <f t="shared" si="175"/>
        <v>1.6331875903693352E-2</v>
      </c>
      <c r="N72" s="200">
        <f t="shared" si="175"/>
        <v>7.3541159772788495E-2</v>
      </c>
      <c r="O72" s="200" t="str">
        <f t="shared" si="175"/>
        <v>-</v>
      </c>
      <c r="P72" s="200" t="str">
        <f t="shared" si="175"/>
        <v>-</v>
      </c>
      <c r="Q72" s="200" t="str">
        <f t="shared" si="175"/>
        <v>-</v>
      </c>
      <c r="R72" s="242">
        <f t="shared" si="175"/>
        <v>1.6316028451593401E-2</v>
      </c>
      <c r="S72" s="242">
        <f t="shared" si="175"/>
        <v>1.5717210685953026E-2</v>
      </c>
      <c r="T72" s="176"/>
      <c r="U72" s="200">
        <f t="shared" ref="U72:AH72" si="176">IF(U63&lt;&gt;0,U63/U$77,"-")</f>
        <v>3.4446732881248288E-3</v>
      </c>
      <c r="V72" s="200">
        <f t="shared" si="176"/>
        <v>1.7743297254663782E-3</v>
      </c>
      <c r="W72" s="200">
        <f t="shared" si="176"/>
        <v>8.9553437521492606E-3</v>
      </c>
      <c r="X72" s="200">
        <f t="shared" si="176"/>
        <v>2.0394819346167978E-2</v>
      </c>
      <c r="Y72" s="200">
        <f t="shared" si="176"/>
        <v>1.2715270316975877E-2</v>
      </c>
      <c r="Z72" s="200">
        <f t="shared" si="176"/>
        <v>1.4138995401248158E-2</v>
      </c>
      <c r="AA72" s="200">
        <f t="shared" si="176"/>
        <v>1.1552113959641775E-2</v>
      </c>
      <c r="AB72" s="200">
        <f t="shared" si="176"/>
        <v>1.2326582896458761E-2</v>
      </c>
      <c r="AC72" s="200">
        <f t="shared" si="176"/>
        <v>1.0937274294885961E-2</v>
      </c>
      <c r="AD72" s="200">
        <f t="shared" si="176"/>
        <v>1.0188030153934102E-2</v>
      </c>
      <c r="AE72" s="200">
        <f t="shared" si="176"/>
        <v>1.1811378383177593E-2</v>
      </c>
      <c r="AF72" s="200">
        <f t="shared" si="176"/>
        <v>1.2485116693762215E-2</v>
      </c>
      <c r="AG72" s="242">
        <f t="shared" si="176"/>
        <v>1.1241174461306753E-2</v>
      </c>
      <c r="AH72" s="242">
        <f t="shared" si="176"/>
        <v>1.1241174461306755E-2</v>
      </c>
      <c r="AI72" s="176"/>
      <c r="AJ72" s="200">
        <f t="shared" ref="AJ72:AV72" si="177">IF(AJ63&lt;&gt;0,AJ63/AJ$77,"-")</f>
        <v>9.8256080332371903E-3</v>
      </c>
      <c r="AK72" s="200">
        <f t="shared" si="177"/>
        <v>5.2229869450028782E-5</v>
      </c>
      <c r="AL72" s="200" t="str">
        <f t="shared" si="177"/>
        <v>-</v>
      </c>
      <c r="AM72" s="200">
        <f t="shared" si="177"/>
        <v>1.3131005622063271E-3</v>
      </c>
      <c r="AN72" s="200">
        <f t="shared" si="177"/>
        <v>1.0898228432526937E-2</v>
      </c>
      <c r="AO72" s="200">
        <f t="shared" si="177"/>
        <v>4.4026068240698409E-3</v>
      </c>
      <c r="AP72" s="200">
        <f t="shared" si="177"/>
        <v>3.1616652871786388E-5</v>
      </c>
      <c r="AQ72" s="200">
        <f t="shared" si="177"/>
        <v>3.4613953330654246E-3</v>
      </c>
      <c r="AR72" s="200" t="str">
        <f t="shared" si="177"/>
        <v>-</v>
      </c>
      <c r="AS72" s="200">
        <f t="shared" si="177"/>
        <v>3.2878462467810102E-3</v>
      </c>
      <c r="AT72" s="200">
        <f t="shared" si="177"/>
        <v>1.1169527076960705E-2</v>
      </c>
      <c r="AU72" s="200">
        <f t="shared" si="177"/>
        <v>1.91313074124515E-3</v>
      </c>
      <c r="AV72" s="242">
        <f t="shared" si="177"/>
        <v>3.5570296988124929E-3</v>
      </c>
      <c r="AW72" s="242">
        <f t="shared" ref="AW72" si="178">IF(AW63&lt;&gt;0,AW63/AW$77,"-")</f>
        <v>3.5570296988124933E-3</v>
      </c>
    </row>
    <row r="73" spans="2:49" s="167" customFormat="1" ht="15.5" hidden="1" outlineLevel="1" x14ac:dyDescent="0.35">
      <c r="B73" s="292"/>
      <c r="C73" s="168"/>
      <c r="D73" s="262" t="s">
        <v>295</v>
      </c>
      <c r="E73" s="168" t="s">
        <v>285</v>
      </c>
      <c r="F73" s="200" t="str">
        <f t="shared" ref="F73:S73" si="179">IF(F64&lt;&gt;0,F64/F$77,"-")</f>
        <v>-</v>
      </c>
      <c r="G73" s="200" t="str">
        <f t="shared" si="179"/>
        <v>-</v>
      </c>
      <c r="H73" s="200" t="str">
        <f t="shared" si="179"/>
        <v>-</v>
      </c>
      <c r="I73" s="200" t="str">
        <f t="shared" si="179"/>
        <v>-</v>
      </c>
      <c r="J73" s="200" t="str">
        <f t="shared" si="179"/>
        <v>-</v>
      </c>
      <c r="K73" s="200" t="str">
        <f t="shared" si="179"/>
        <v>-</v>
      </c>
      <c r="L73" s="200" t="str">
        <f t="shared" si="179"/>
        <v>-</v>
      </c>
      <c r="M73" s="200" t="str">
        <f t="shared" si="179"/>
        <v>-</v>
      </c>
      <c r="N73" s="200" t="str">
        <f t="shared" si="179"/>
        <v>-</v>
      </c>
      <c r="O73" s="200" t="str">
        <f t="shared" si="179"/>
        <v>-</v>
      </c>
      <c r="P73" s="200" t="str">
        <f t="shared" si="179"/>
        <v>-</v>
      </c>
      <c r="Q73" s="200" t="str">
        <f t="shared" si="179"/>
        <v>-</v>
      </c>
      <c r="R73" s="242" t="str">
        <f t="shared" si="179"/>
        <v>-</v>
      </c>
      <c r="S73" s="242" t="str">
        <f t="shared" si="179"/>
        <v>-</v>
      </c>
      <c r="T73" s="176"/>
      <c r="U73" s="200">
        <f t="shared" ref="U73:AH73" si="180">IF(U64&lt;&gt;0,U64/U$77,"-")</f>
        <v>1.0461600356527258E-3</v>
      </c>
      <c r="V73" s="200">
        <f t="shared" si="180"/>
        <v>8.558531616955472E-4</v>
      </c>
      <c r="W73" s="200">
        <f t="shared" si="180"/>
        <v>1.8348918611576464E-3</v>
      </c>
      <c r="X73" s="200">
        <f t="shared" si="180"/>
        <v>3.8841250243632566E-3</v>
      </c>
      <c r="Y73" s="200">
        <f t="shared" si="180"/>
        <v>2.8618680258882655E-3</v>
      </c>
      <c r="Z73" s="200">
        <f t="shared" si="180"/>
        <v>2.9977013730546854E-3</v>
      </c>
      <c r="AA73" s="200">
        <f t="shared" si="180"/>
        <v>4.0398521691709143E-3</v>
      </c>
      <c r="AB73" s="200">
        <f t="shared" si="180"/>
        <v>4.0606215756980859E-3</v>
      </c>
      <c r="AC73" s="200">
        <f t="shared" si="180"/>
        <v>3.4143192661391384E-3</v>
      </c>
      <c r="AD73" s="200">
        <f t="shared" si="180"/>
        <v>3.8176969347545882E-3</v>
      </c>
      <c r="AE73" s="200">
        <f t="shared" si="180"/>
        <v>4.1763462560682942E-3</v>
      </c>
      <c r="AF73" s="200">
        <f t="shared" si="180"/>
        <v>4.2024964752080509E-3</v>
      </c>
      <c r="AG73" s="242">
        <f t="shared" si="180"/>
        <v>3.3209433843072694E-3</v>
      </c>
      <c r="AH73" s="242">
        <f t="shared" si="180"/>
        <v>3.3209433843072694E-3</v>
      </c>
      <c r="AI73" s="176"/>
      <c r="AJ73" s="200">
        <f t="shared" ref="AJ73:AV73" si="181">IF(AJ64&lt;&gt;0,AJ64/AJ$77,"-")</f>
        <v>6.9649619795054507E-4</v>
      </c>
      <c r="AK73" s="200">
        <f t="shared" si="181"/>
        <v>1.2012439085701414E-2</v>
      </c>
      <c r="AL73" s="200">
        <f t="shared" si="181"/>
        <v>2.9187973466159325E-3</v>
      </c>
      <c r="AM73" s="200">
        <f t="shared" si="181"/>
        <v>5.2493336315819726E-3</v>
      </c>
      <c r="AN73" s="200" t="str">
        <f t="shared" si="181"/>
        <v>-</v>
      </c>
      <c r="AO73" s="200" t="str">
        <f t="shared" si="181"/>
        <v>-</v>
      </c>
      <c r="AP73" s="200">
        <f t="shared" si="181"/>
        <v>9.5512290870502831E-4</v>
      </c>
      <c r="AQ73" s="200" t="str">
        <f t="shared" si="181"/>
        <v>-</v>
      </c>
      <c r="AR73" s="200">
        <f t="shared" si="181"/>
        <v>1.5295021839385069E-3</v>
      </c>
      <c r="AS73" s="200">
        <f t="shared" si="181"/>
        <v>1.0432045803406145E-2</v>
      </c>
      <c r="AT73" s="200">
        <f t="shared" si="181"/>
        <v>3.175308711054228E-3</v>
      </c>
      <c r="AU73" s="200">
        <f t="shared" si="181"/>
        <v>2.1067961375420934E-3</v>
      </c>
      <c r="AV73" s="242">
        <f t="shared" si="181"/>
        <v>3.14075914643409E-3</v>
      </c>
      <c r="AW73" s="242">
        <f t="shared" ref="AW73" si="182">IF(AW64&lt;&gt;0,AW64/AW$77,"-")</f>
        <v>3.14075914643409E-3</v>
      </c>
    </row>
    <row r="74" spans="2:49" s="167" customFormat="1" ht="15.5" hidden="1" outlineLevel="1" x14ac:dyDescent="0.35">
      <c r="B74" s="292"/>
      <c r="C74" s="168"/>
      <c r="D74" s="262" t="s">
        <v>23</v>
      </c>
      <c r="E74" s="168" t="s">
        <v>285</v>
      </c>
      <c r="F74" s="200" t="str">
        <f t="shared" ref="F74:S75" si="183">IF(F65&lt;&gt;0,F65/F$77,"-")</f>
        <v>-</v>
      </c>
      <c r="G74" s="200">
        <f t="shared" si="183"/>
        <v>1.0244226034180189E-4</v>
      </c>
      <c r="H74" s="200">
        <f t="shared" si="183"/>
        <v>3.8269280813549261E-3</v>
      </c>
      <c r="I74" s="200">
        <f t="shared" si="183"/>
        <v>1.0587473662414066E-3</v>
      </c>
      <c r="J74" s="200">
        <f t="shared" si="183"/>
        <v>2.45453251899018E-3</v>
      </c>
      <c r="K74" s="200" t="str">
        <f t="shared" si="183"/>
        <v>-</v>
      </c>
      <c r="L74" s="200">
        <f t="shared" si="183"/>
        <v>3.5354800132947201E-3</v>
      </c>
      <c r="M74" s="200">
        <f t="shared" si="183"/>
        <v>1.9711875151709113E-3</v>
      </c>
      <c r="N74" s="200">
        <f t="shared" si="183"/>
        <v>6.7460398531623018E-3</v>
      </c>
      <c r="O74" s="200" t="str">
        <f t="shared" si="183"/>
        <v>-</v>
      </c>
      <c r="P74" s="200" t="str">
        <f t="shared" si="183"/>
        <v>-</v>
      </c>
      <c r="Q74" s="200" t="str">
        <f t="shared" si="183"/>
        <v>-</v>
      </c>
      <c r="R74" s="242">
        <f t="shared" si="183"/>
        <v>1.9828417225620032E-3</v>
      </c>
      <c r="S74" s="242">
        <f t="shared" si="183"/>
        <v>2.4558030757982617E-3</v>
      </c>
      <c r="T74" s="176"/>
      <c r="U74" s="200">
        <f t="shared" ref="U74:AH74" si="184">IF(U65&lt;&gt;0,U65/U$77,"-")</f>
        <v>5.6390577531524972E-3</v>
      </c>
      <c r="V74" s="200">
        <f t="shared" si="184"/>
        <v>6.3875870116789617E-3</v>
      </c>
      <c r="W74" s="200">
        <f t="shared" si="184"/>
        <v>9.2896422985324339E-3</v>
      </c>
      <c r="X74" s="200">
        <f t="shared" si="184"/>
        <v>6.2373734104595622E-3</v>
      </c>
      <c r="Y74" s="200">
        <f t="shared" si="184"/>
        <v>7.1313649505033326E-3</v>
      </c>
      <c r="Z74" s="200">
        <f t="shared" si="184"/>
        <v>4.7806989975491005E-3</v>
      </c>
      <c r="AA74" s="200">
        <f t="shared" si="184"/>
        <v>7.6020362831191041E-3</v>
      </c>
      <c r="AB74" s="200">
        <f t="shared" si="184"/>
        <v>5.3256286326136739E-3</v>
      </c>
      <c r="AC74" s="200">
        <f t="shared" si="184"/>
        <v>6.4249328580429574E-3</v>
      </c>
      <c r="AD74" s="200">
        <f t="shared" si="184"/>
        <v>4.9758114121976503E-3</v>
      </c>
      <c r="AE74" s="200">
        <f t="shared" si="184"/>
        <v>7.536819487545289E-3</v>
      </c>
      <c r="AF74" s="200">
        <f t="shared" si="184"/>
        <v>5.4773415172634232E-3</v>
      </c>
      <c r="AG74" s="242">
        <f t="shared" si="184"/>
        <v>6.3313691809858087E-3</v>
      </c>
      <c r="AH74" s="242">
        <f t="shared" si="184"/>
        <v>6.3313691809858087E-3</v>
      </c>
      <c r="AI74" s="176"/>
      <c r="AJ74" s="200" t="str">
        <f t="shared" ref="AJ74:AV74" si="185">IF(AJ65&lt;&gt;0,AJ65/AJ$77,"-")</f>
        <v>-</v>
      </c>
      <c r="AK74" s="200" t="str">
        <f t="shared" si="185"/>
        <v>-</v>
      </c>
      <c r="AL74" s="200">
        <f t="shared" si="185"/>
        <v>4.3401671372092091E-3</v>
      </c>
      <c r="AM74" s="200" t="str">
        <f t="shared" si="185"/>
        <v>-</v>
      </c>
      <c r="AN74" s="200" t="str">
        <f t="shared" si="185"/>
        <v>-</v>
      </c>
      <c r="AO74" s="200" t="str">
        <f t="shared" si="185"/>
        <v>-</v>
      </c>
      <c r="AP74" s="200">
        <f t="shared" si="185"/>
        <v>1.3867456042680214E-4</v>
      </c>
      <c r="AQ74" s="200">
        <f t="shared" si="185"/>
        <v>2.7297691561205218E-3</v>
      </c>
      <c r="AR74" s="200">
        <f t="shared" si="185"/>
        <v>4.2960790162927383E-6</v>
      </c>
      <c r="AS74" s="200">
        <f t="shared" si="185"/>
        <v>3.6784947792177906E-3</v>
      </c>
      <c r="AT74" s="200">
        <f t="shared" si="185"/>
        <v>7.3851381103256014E-3</v>
      </c>
      <c r="AU74" s="200">
        <f t="shared" si="185"/>
        <v>5.9747879340860099E-6</v>
      </c>
      <c r="AV74" s="242">
        <f t="shared" si="185"/>
        <v>1.5493870397377718E-3</v>
      </c>
      <c r="AW74" s="242">
        <f t="shared" ref="AW74" si="186">IF(AW65&lt;&gt;0,AW65/AW$77,"-")</f>
        <v>1.549387039737772E-3</v>
      </c>
    </row>
    <row r="75" spans="2:49" s="167" customFormat="1" ht="15.5" hidden="1" outlineLevel="1" x14ac:dyDescent="0.35">
      <c r="B75" s="292"/>
      <c r="C75" s="168"/>
      <c r="D75" s="262" t="s">
        <v>269</v>
      </c>
      <c r="E75" s="168" t="s">
        <v>285</v>
      </c>
      <c r="F75" s="200"/>
      <c r="G75" s="200"/>
      <c r="H75" s="200" t="str">
        <f t="shared" si="183"/>
        <v>-</v>
      </c>
      <c r="I75" s="200" t="str">
        <f t="shared" si="183"/>
        <v>-</v>
      </c>
      <c r="J75" s="200" t="str">
        <f t="shared" si="183"/>
        <v>-</v>
      </c>
      <c r="K75" s="200" t="str">
        <f t="shared" si="183"/>
        <v>-</v>
      </c>
      <c r="L75" s="200" t="str">
        <f t="shared" si="183"/>
        <v>-</v>
      </c>
      <c r="M75" s="200" t="str">
        <f t="shared" si="183"/>
        <v>-</v>
      </c>
      <c r="N75" s="200" t="str">
        <f t="shared" si="183"/>
        <v>-</v>
      </c>
      <c r="O75" s="200" t="str">
        <f t="shared" si="183"/>
        <v>-</v>
      </c>
      <c r="P75" s="200" t="str">
        <f t="shared" si="183"/>
        <v>-</v>
      </c>
      <c r="Q75" s="200" t="str">
        <f t="shared" si="183"/>
        <v>-</v>
      </c>
      <c r="R75" s="242" t="str">
        <f t="shared" si="183"/>
        <v>-</v>
      </c>
      <c r="S75" s="242" t="str">
        <f t="shared" si="183"/>
        <v>-</v>
      </c>
      <c r="T75" s="176"/>
      <c r="U75" s="200"/>
      <c r="V75" s="200"/>
      <c r="W75" s="200"/>
      <c r="X75" s="200"/>
      <c r="Y75" s="200"/>
      <c r="Z75" s="200"/>
      <c r="AA75" s="200"/>
      <c r="AB75" s="200"/>
      <c r="AC75" s="200"/>
      <c r="AD75" s="200"/>
      <c r="AE75" s="200"/>
      <c r="AF75" s="200"/>
      <c r="AG75" s="242"/>
      <c r="AH75" s="242"/>
      <c r="AI75" s="176"/>
      <c r="AJ75" s="200"/>
      <c r="AK75" s="200"/>
      <c r="AL75" s="200"/>
      <c r="AM75" s="200"/>
      <c r="AN75" s="200"/>
      <c r="AO75" s="200"/>
      <c r="AP75" s="200"/>
      <c r="AQ75" s="200"/>
      <c r="AR75" s="200"/>
      <c r="AS75" s="200"/>
      <c r="AT75" s="200"/>
      <c r="AU75" s="200"/>
      <c r="AV75" s="242"/>
      <c r="AW75" s="242"/>
    </row>
    <row r="76" spans="2:49" s="167" customFormat="1" ht="15.5" hidden="1" outlineLevel="1" x14ac:dyDescent="0.35">
      <c r="B76" s="295"/>
      <c r="C76" s="168"/>
      <c r="D76" s="262" t="s">
        <v>1091</v>
      </c>
      <c r="E76" s="294" t="s">
        <v>285</v>
      </c>
      <c r="F76" s="200" t="str">
        <f t="shared" ref="F76:S76" si="187">IF(F66&lt;&gt;0,F66/F$77,"-")</f>
        <v>-</v>
      </c>
      <c r="G76" s="200" t="str">
        <f t="shared" si="187"/>
        <v>-</v>
      </c>
      <c r="H76" s="200" t="str">
        <f t="shared" si="187"/>
        <v>-</v>
      </c>
      <c r="I76" s="200" t="str">
        <f t="shared" si="187"/>
        <v>-</v>
      </c>
      <c r="J76" s="200" t="str">
        <f t="shared" si="187"/>
        <v>-</v>
      </c>
      <c r="K76" s="200" t="str">
        <f t="shared" si="187"/>
        <v>-</v>
      </c>
      <c r="L76" s="200" t="str">
        <f t="shared" si="187"/>
        <v>-</v>
      </c>
      <c r="M76" s="200" t="str">
        <f t="shared" si="187"/>
        <v>-</v>
      </c>
      <c r="N76" s="200" t="str">
        <f t="shared" si="187"/>
        <v>-</v>
      </c>
      <c r="O76" s="200" t="str">
        <f t="shared" si="187"/>
        <v>-</v>
      </c>
      <c r="P76" s="200" t="str">
        <f t="shared" si="187"/>
        <v>-</v>
      </c>
      <c r="Q76" s="200" t="str">
        <f t="shared" si="187"/>
        <v>-</v>
      </c>
      <c r="R76" s="242" t="str">
        <f t="shared" si="187"/>
        <v>-</v>
      </c>
      <c r="S76" s="242" t="str">
        <f t="shared" si="187"/>
        <v>-</v>
      </c>
      <c r="T76" s="176"/>
      <c r="U76" s="200" t="str">
        <f t="shared" ref="U76:AH76" si="188">IF(U66&lt;&gt;0,U66/U$77,"-")</f>
        <v>-</v>
      </c>
      <c r="V76" s="200" t="str">
        <f t="shared" si="188"/>
        <v>-</v>
      </c>
      <c r="W76" s="200">
        <f t="shared" si="188"/>
        <v>1.9125734144037365E-3</v>
      </c>
      <c r="X76" s="200">
        <f t="shared" si="188"/>
        <v>1.8066874706158731E-3</v>
      </c>
      <c r="Y76" s="200">
        <f t="shared" si="188"/>
        <v>1.3311881240939555E-3</v>
      </c>
      <c r="Z76" s="200">
        <f t="shared" si="188"/>
        <v>1.3943705409518211E-3</v>
      </c>
      <c r="AA76" s="200">
        <f t="shared" si="188"/>
        <v>1.2094148632234938E-3</v>
      </c>
      <c r="AB76" s="200">
        <f t="shared" si="188"/>
        <v>1.215632622661817E-3</v>
      </c>
      <c r="AC76" s="200">
        <f t="shared" si="188"/>
        <v>1.022148409234107E-3</v>
      </c>
      <c r="AD76" s="200">
        <f t="shared" si="188"/>
        <v>1.00473115053991E-3</v>
      </c>
      <c r="AE76" s="200">
        <f t="shared" si="188"/>
        <v>1.0991195086003547E-3</v>
      </c>
      <c r="AF76" s="200">
        <f t="shared" si="188"/>
        <v>1.1060016525243452E-3</v>
      </c>
      <c r="AG76" s="242">
        <f t="shared" si="188"/>
        <v>1.1163623241032912E-3</v>
      </c>
      <c r="AH76" s="242">
        <f t="shared" si="188"/>
        <v>1.1163623241032912E-3</v>
      </c>
      <c r="AI76" s="176"/>
      <c r="AJ76" s="200">
        <f t="shared" ref="AJ76:AV76" si="189">IF(AJ66&lt;&gt;0,AJ66/AJ$77,"-")</f>
        <v>4.537767898085911E-3</v>
      </c>
      <c r="AK76" s="200">
        <f t="shared" si="189"/>
        <v>4.6787364754082451E-3</v>
      </c>
      <c r="AL76" s="200">
        <f t="shared" si="189"/>
        <v>9.4860913765017797E-3</v>
      </c>
      <c r="AM76" s="200">
        <f t="shared" si="189"/>
        <v>6.9281251220493197E-3</v>
      </c>
      <c r="AN76" s="200">
        <f t="shared" si="189"/>
        <v>8.0002318752395302E-3</v>
      </c>
      <c r="AO76" s="200">
        <f t="shared" si="189"/>
        <v>2.0299999893023564E-3</v>
      </c>
      <c r="AP76" s="200" t="str">
        <f t="shared" si="189"/>
        <v>-</v>
      </c>
      <c r="AQ76" s="200" t="str">
        <f t="shared" si="189"/>
        <v>-</v>
      </c>
      <c r="AR76" s="200" t="str">
        <f t="shared" si="189"/>
        <v>-</v>
      </c>
      <c r="AS76" s="200" t="str">
        <f t="shared" si="189"/>
        <v>-</v>
      </c>
      <c r="AT76" s="200" t="str">
        <f t="shared" si="189"/>
        <v>-</v>
      </c>
      <c r="AU76" s="200" t="str">
        <f t="shared" si="189"/>
        <v>-</v>
      </c>
      <c r="AV76" s="242">
        <f t="shared" si="189"/>
        <v>2.7948228243388044E-3</v>
      </c>
      <c r="AW76" s="242">
        <f t="shared" ref="AW76" si="190">IF(AW66&lt;&gt;0,AW66/AW$77,"-")</f>
        <v>2.7948228243388044E-3</v>
      </c>
    </row>
    <row r="77" spans="2:49" ht="15" customHeight="1" collapsed="1" x14ac:dyDescent="0.35">
      <c r="B77" s="234"/>
      <c r="C77" s="102"/>
      <c r="D77" s="103" t="s">
        <v>259</v>
      </c>
      <c r="E77" s="177"/>
      <c r="F77" s="273">
        <f t="shared" ref="F77:S77" si="191">F43+F59</f>
        <v>4454931.6018065028</v>
      </c>
      <c r="G77" s="273">
        <f t="shared" si="191"/>
        <v>7079418.0528554553</v>
      </c>
      <c r="H77" s="273">
        <f t="shared" si="191"/>
        <v>5726074.791968504</v>
      </c>
      <c r="I77" s="273">
        <f t="shared" si="191"/>
        <v>4750311.9767711964</v>
      </c>
      <c r="J77" s="273">
        <f t="shared" si="191"/>
        <v>5760213.3934261408</v>
      </c>
      <c r="K77" s="273">
        <f t="shared" si="191"/>
        <v>4439262.6822145078</v>
      </c>
      <c r="L77" s="273">
        <f t="shared" si="191"/>
        <v>5260978.3881290816</v>
      </c>
      <c r="M77" s="273">
        <f t="shared" si="191"/>
        <v>6251352.0763178002</v>
      </c>
      <c r="N77" s="273">
        <f t="shared" si="191"/>
        <v>2931998.947961905</v>
      </c>
      <c r="O77" s="273">
        <f t="shared" si="191"/>
        <v>0</v>
      </c>
      <c r="P77" s="274">
        <f t="shared" si="191"/>
        <v>0</v>
      </c>
      <c r="Q77" s="274">
        <f t="shared" si="191"/>
        <v>0</v>
      </c>
      <c r="R77" s="104">
        <f t="shared" si="191"/>
        <v>46654541.911451094</v>
      </c>
      <c r="S77" s="104">
        <f t="shared" si="191"/>
        <v>5381339.5917325821</v>
      </c>
      <c r="T77" s="284"/>
      <c r="U77" s="273">
        <f t="shared" ref="U77:AH77" si="192">U43+U59</f>
        <v>3919094.46</v>
      </c>
      <c r="V77" s="273">
        <f t="shared" si="192"/>
        <v>4790541.3959999997</v>
      </c>
      <c r="W77" s="273">
        <f t="shared" si="192"/>
        <v>4666487.5360000003</v>
      </c>
      <c r="X77" s="273">
        <f t="shared" si="192"/>
        <v>4939980.0159999998</v>
      </c>
      <c r="Y77" s="273">
        <f t="shared" si="192"/>
        <v>6704536.9759999998</v>
      </c>
      <c r="Z77" s="273">
        <f t="shared" si="192"/>
        <v>6400737.6359999999</v>
      </c>
      <c r="AA77" s="273">
        <f t="shared" si="192"/>
        <v>7379601.716</v>
      </c>
      <c r="AB77" s="273">
        <f t="shared" si="192"/>
        <v>7341856.2759999996</v>
      </c>
      <c r="AC77" s="273">
        <f t="shared" si="192"/>
        <v>8731608.756000001</v>
      </c>
      <c r="AD77" s="273">
        <f t="shared" si="192"/>
        <v>8882973.3159999996</v>
      </c>
      <c r="AE77" s="274">
        <f t="shared" si="192"/>
        <v>8120136.0999999996</v>
      </c>
      <c r="AF77" s="274">
        <f t="shared" si="192"/>
        <v>8069608.1960000005</v>
      </c>
      <c r="AG77" s="104">
        <f t="shared" si="192"/>
        <v>79947162.379999995</v>
      </c>
      <c r="AH77" s="104">
        <f t="shared" si="192"/>
        <v>6662263.5316666663</v>
      </c>
      <c r="AI77" s="284"/>
      <c r="AJ77" s="273">
        <f t="shared" ref="AJ77:AV77" si="193">AJ43+AJ59</f>
        <v>2685893.0331836734</v>
      </c>
      <c r="AK77" s="273">
        <f t="shared" si="193"/>
        <v>2604968.0822448977</v>
      </c>
      <c r="AL77" s="273">
        <f t="shared" si="193"/>
        <v>3665506.6101612905</v>
      </c>
      <c r="AM77" s="273">
        <f t="shared" si="193"/>
        <v>3925010.4798387098</v>
      </c>
      <c r="AN77" s="273">
        <f t="shared" si="193"/>
        <v>3896950.7991999993</v>
      </c>
      <c r="AO77" s="273">
        <f t="shared" si="193"/>
        <v>2262905.4606648199</v>
      </c>
      <c r="AP77" s="273">
        <f t="shared" si="193"/>
        <v>2101476.6167662283</v>
      </c>
      <c r="AQ77" s="273">
        <f t="shared" si="193"/>
        <v>5891444.8733306359</v>
      </c>
      <c r="AR77" s="273">
        <f t="shared" si="193"/>
        <v>5885901.6495296527</v>
      </c>
      <c r="AS77" s="273">
        <f t="shared" si="193"/>
        <v>4355138.9070859868</v>
      </c>
      <c r="AT77" s="274">
        <f t="shared" si="193"/>
        <v>2619359.3128775833</v>
      </c>
      <c r="AU77" s="274">
        <f t="shared" si="193"/>
        <v>3797094.2216686439</v>
      </c>
      <c r="AV77" s="104">
        <f t="shared" si="193"/>
        <v>43691650.046552129</v>
      </c>
      <c r="AW77" s="104">
        <f t="shared" ref="AW77" si="194">AW43+AW59</f>
        <v>3640970.8372126771</v>
      </c>
    </row>
    <row r="78" spans="2:49" x14ac:dyDescent="0.35">
      <c r="R78" s="194"/>
      <c r="S78" s="194"/>
      <c r="AG78" s="194"/>
      <c r="AH78" s="194"/>
    </row>
    <row r="79" spans="2:49" ht="18.5" x14ac:dyDescent="0.45">
      <c r="B79" s="98"/>
      <c r="C79" s="178" t="s">
        <v>289</v>
      </c>
      <c r="D79" s="98" t="s">
        <v>263</v>
      </c>
      <c r="E79" s="174"/>
      <c r="R79" s="194"/>
      <c r="S79" s="194"/>
      <c r="T79" s="174"/>
      <c r="AG79" s="194"/>
      <c r="AH79" s="194"/>
      <c r="AI79" s="174"/>
    </row>
    <row r="80" spans="2:49" ht="15.5" x14ac:dyDescent="0.35">
      <c r="B80" s="100"/>
      <c r="C80" s="99" t="s">
        <v>174</v>
      </c>
      <c r="D80" s="100" t="s">
        <v>258</v>
      </c>
      <c r="E80" s="100" t="s">
        <v>385</v>
      </c>
      <c r="F80" s="276">
        <v>1</v>
      </c>
      <c r="G80" s="276">
        <v>2</v>
      </c>
      <c r="H80" s="276">
        <v>3</v>
      </c>
      <c r="I80" s="276">
        <v>4</v>
      </c>
      <c r="J80" s="276">
        <v>5</v>
      </c>
      <c r="K80" s="276">
        <v>6</v>
      </c>
      <c r="L80" s="276">
        <v>7</v>
      </c>
      <c r="M80" s="276">
        <v>8</v>
      </c>
      <c r="N80" s="276">
        <v>9</v>
      </c>
      <c r="O80" s="276">
        <v>10</v>
      </c>
      <c r="P80" s="276">
        <v>11</v>
      </c>
      <c r="Q80" s="276">
        <v>12</v>
      </c>
      <c r="R80" s="276" t="s">
        <v>381</v>
      </c>
      <c r="S80" s="276" t="s">
        <v>382</v>
      </c>
      <c r="T80" s="282"/>
      <c r="U80" s="296">
        <v>1</v>
      </c>
      <c r="V80" s="296">
        <v>2</v>
      </c>
      <c r="W80" s="296">
        <v>3</v>
      </c>
      <c r="X80" s="296">
        <v>4</v>
      </c>
      <c r="Y80" s="296">
        <v>5</v>
      </c>
      <c r="Z80" s="296">
        <v>6</v>
      </c>
      <c r="AA80" s="296">
        <v>7</v>
      </c>
      <c r="AB80" s="296">
        <v>8</v>
      </c>
      <c r="AC80" s="296">
        <v>9</v>
      </c>
      <c r="AD80" s="296">
        <v>10</v>
      </c>
      <c r="AE80" s="296">
        <v>11</v>
      </c>
      <c r="AF80" s="296">
        <v>12</v>
      </c>
      <c r="AG80" s="296" t="s">
        <v>389</v>
      </c>
      <c r="AH80" s="296" t="s">
        <v>388</v>
      </c>
      <c r="AI80" s="282"/>
      <c r="AJ80" s="100">
        <v>1</v>
      </c>
      <c r="AK80" s="100">
        <v>2</v>
      </c>
      <c r="AL80" s="100">
        <v>3</v>
      </c>
      <c r="AM80" s="100">
        <v>4</v>
      </c>
      <c r="AN80" s="100">
        <v>5</v>
      </c>
      <c r="AO80" s="100">
        <v>6</v>
      </c>
      <c r="AP80" s="100">
        <v>7</v>
      </c>
      <c r="AQ80" s="100">
        <v>8</v>
      </c>
      <c r="AR80" s="100">
        <v>9</v>
      </c>
      <c r="AS80" s="100">
        <v>10</v>
      </c>
      <c r="AT80" s="100">
        <v>11</v>
      </c>
      <c r="AU80" s="100">
        <v>12</v>
      </c>
      <c r="AV80" s="100" t="s">
        <v>384</v>
      </c>
      <c r="AW80" s="100" t="s">
        <v>383</v>
      </c>
    </row>
    <row r="81" spans="2:49" s="164" customFormat="1" ht="15.5" x14ac:dyDescent="0.35">
      <c r="B81" s="162" t="s">
        <v>26</v>
      </c>
      <c r="C81" s="163">
        <v>1</v>
      </c>
      <c r="D81" s="161" t="s">
        <v>260</v>
      </c>
      <c r="E81" s="175" t="s">
        <v>286</v>
      </c>
      <c r="F81" s="223">
        <f>SUM(F82:F88)</f>
        <v>3182280.7886391007</v>
      </c>
      <c r="G81" s="223">
        <f t="shared" ref="G81:S81" si="195">SUM(G82:G88)</f>
        <v>4858588.3419850348</v>
      </c>
      <c r="H81" s="223">
        <f t="shared" si="195"/>
        <v>3983695.0605171267</v>
      </c>
      <c r="I81" s="223">
        <f t="shared" si="195"/>
        <v>3391675.5284165703</v>
      </c>
      <c r="J81" s="223">
        <f t="shared" si="195"/>
        <v>4315801.7707269918</v>
      </c>
      <c r="K81" s="223">
        <f t="shared" si="195"/>
        <v>2644945.4107638886</v>
      </c>
      <c r="L81" s="223">
        <f t="shared" si="195"/>
        <v>3306051.6544371881</v>
      </c>
      <c r="M81" s="223">
        <f t="shared" si="195"/>
        <v>3509364.8496944234</v>
      </c>
      <c r="N81" s="223">
        <f t="shared" si="195"/>
        <v>922893.73443657137</v>
      </c>
      <c r="O81" s="223">
        <f t="shared" si="195"/>
        <v>0</v>
      </c>
      <c r="P81" s="270">
        <f t="shared" si="195"/>
        <v>0</v>
      </c>
      <c r="Q81" s="270">
        <f t="shared" si="195"/>
        <v>0</v>
      </c>
      <c r="R81" s="223">
        <f t="shared" si="195"/>
        <v>30115297.139616899</v>
      </c>
      <c r="S81" s="223">
        <f t="shared" si="195"/>
        <v>3514479.5659064963</v>
      </c>
      <c r="T81" s="175"/>
      <c r="U81" s="223">
        <f>SUM(U82:U88)</f>
        <v>2370905</v>
      </c>
      <c r="V81" s="223">
        <f t="shared" ref="V81:AH81" si="196">SUM(V82:V88)</f>
        <v>2916605</v>
      </c>
      <c r="W81" s="223">
        <f t="shared" si="196"/>
        <v>2549372.5</v>
      </c>
      <c r="X81" s="223">
        <f t="shared" si="196"/>
        <v>2482152.5</v>
      </c>
      <c r="Y81" s="223">
        <f t="shared" si="196"/>
        <v>3801152.5</v>
      </c>
      <c r="Z81" s="223">
        <f t="shared" si="196"/>
        <v>3454102.5</v>
      </c>
      <c r="AA81" s="223">
        <f t="shared" si="196"/>
        <v>4193532.5</v>
      </c>
      <c r="AB81" s="223">
        <f t="shared" si="196"/>
        <v>3812992.5</v>
      </c>
      <c r="AC81" s="223">
        <f t="shared" si="196"/>
        <v>4893082.5</v>
      </c>
      <c r="AD81" s="223">
        <f t="shared" si="196"/>
        <v>4933068.5</v>
      </c>
      <c r="AE81" s="270">
        <f t="shared" si="196"/>
        <v>3973628.5</v>
      </c>
      <c r="AF81" s="270">
        <f t="shared" si="196"/>
        <v>3831153.5</v>
      </c>
      <c r="AG81" s="223">
        <f t="shared" si="196"/>
        <v>43211748</v>
      </c>
      <c r="AH81" s="223" t="e">
        <f t="shared" si="196"/>
        <v>#DIV/0!</v>
      </c>
      <c r="AI81" s="175"/>
      <c r="AJ81" s="223">
        <f>SUM(AJ82:AJ88)</f>
        <v>1421561.2303265305</v>
      </c>
      <c r="AK81" s="223">
        <f t="shared" ref="AK81:AV81" si="197">SUM(AK82:AK88)</f>
        <v>1219175.0808163264</v>
      </c>
      <c r="AL81" s="223">
        <f t="shared" si="197"/>
        <v>2172074.3348657261</v>
      </c>
      <c r="AM81" s="223">
        <f t="shared" si="197"/>
        <v>2686728.2140000002</v>
      </c>
      <c r="AN81" s="223">
        <f t="shared" si="197"/>
        <v>1215519.0043600001</v>
      </c>
      <c r="AO81" s="223">
        <f t="shared" si="197"/>
        <v>294844.37136994535</v>
      </c>
      <c r="AP81" s="223">
        <f t="shared" si="197"/>
        <v>1261473.5523695739</v>
      </c>
      <c r="AQ81" s="223">
        <f t="shared" si="197"/>
        <v>3823019.6756495344</v>
      </c>
      <c r="AR81" s="223">
        <f t="shared" si="197"/>
        <v>4212373.5250715744</v>
      </c>
      <c r="AS81" s="223">
        <f t="shared" si="197"/>
        <v>2460430.5583598725</v>
      </c>
      <c r="AT81" s="270">
        <f t="shared" si="197"/>
        <v>743595.30564387923</v>
      </c>
      <c r="AU81" s="270">
        <f t="shared" si="197"/>
        <v>1697253.1908264137</v>
      </c>
      <c r="AV81" s="223">
        <f t="shared" si="197"/>
        <v>23208048.043659382</v>
      </c>
      <c r="AW81" s="223">
        <f t="shared" ref="AW81" si="198">SUM(AW82:AW88)</f>
        <v>1934004.0036382817</v>
      </c>
    </row>
    <row r="82" spans="2:49" s="172" customFormat="1" ht="15" hidden="1" customHeight="1" outlineLevel="1" x14ac:dyDescent="0.35">
      <c r="B82" s="170"/>
      <c r="C82" s="168"/>
      <c r="D82" s="169" t="s">
        <v>283</v>
      </c>
      <c r="E82" s="176" t="s">
        <v>286</v>
      </c>
      <c r="F82" s="271">
        <f>SUMIFS('01. KE30'!$Y:$Y,'01. KE30'!$B:$B,'03. TH_ XK-B2B'!$B$43,'01. KE30'!$E:$E,'03. TH_ XK-B2B'!$D82,'01. KE30'!$A:$A,'03. TH_ XK-B2B'!F$42)</f>
        <v>3182280.7886391007</v>
      </c>
      <c r="G82" s="271">
        <f>SUMIFS('01. KE30'!$X:$X,'01. KE30'!$B:$B,'03. TH_ XK-B2B'!$B$81,'01. KE30'!$E:$E,'03. TH_ XK-B2B'!$D82,'01. KE30'!$A:$A,'03. TH_ XK-B2B'!G$80)</f>
        <v>4810434.8920834986</v>
      </c>
      <c r="H82" s="271">
        <f>SUMIFS('01. KE30'!$X:$X,'01. KE30'!$B:$B,'03. TH_ XK-B2B'!$B$81,'01. KE30'!$E:$E,'03. TH_ XK-B2B'!$D82,'01. KE30'!$A:$A,'03. TH_ XK-B2B'!H$80)</f>
        <v>3821332.3299659453</v>
      </c>
      <c r="I82" s="271">
        <f>SUMIFS('01. KE30'!$X:$X,'01. KE30'!$B:$B,'03. TH_ XK-B2B'!$B$81,'01. KE30'!$E:$E,'03. TH_ XK-B2B'!$D82,'01. KE30'!$A:$A,'03. TH_ XK-B2B'!I$80)</f>
        <v>3391675.5284165703</v>
      </c>
      <c r="J82" s="271">
        <f>SUMIFS('01. KE30'!$X:$X,'01. KE30'!$B:$B,'03. TH_ XK-B2B'!$B$81,'01. KE30'!$E:$E,'03. TH_ XK-B2B'!$D82,'01. KE30'!$A:$A,'03. TH_ XK-B2B'!J$80)</f>
        <v>4315801.7707269918</v>
      </c>
      <c r="K82" s="271">
        <f>SUMIFS('01. KE30'!$X:$X,'01. KE30'!$B:$B,'03. TH_ XK-B2B'!$B$81,'01. KE30'!$E:$E,'03. TH_ XK-B2B'!$D82,'01. KE30'!$A:$A,'03. TH_ XK-B2B'!K$80)</f>
        <v>2561830.5216435185</v>
      </c>
      <c r="L82" s="271">
        <f>SUMIFS('01. KE30'!$X:$X,'01. KE30'!$B:$B,'03. TH_ XK-B2B'!$B$81,'01. KE30'!$E:$E,'03. TH_ XK-B2B'!$D82,'01. KE30'!$A:$A,'03. TH_ XK-B2B'!L$80)</f>
        <v>3280851.0119093354</v>
      </c>
      <c r="M82" s="271">
        <f>SUMIFS('01. KE30'!$X:$X,'01. KE30'!$B:$B,'03. TH_ XK-B2B'!$B$81,'01. KE30'!$E:$E,'03. TH_ XK-B2B'!$D82,'01. KE30'!$A:$A,'03. TH_ XK-B2B'!M$80)</f>
        <v>3358743.435332315</v>
      </c>
      <c r="N82" s="271">
        <f>SUMIFS('01. KE30'!$X:$X,'01. KE30'!$B:$B,'03. TH_ XK-B2B'!$B$81,'01. KE30'!$E:$E,'03. TH_ XK-B2B'!$D82,'01. KE30'!$A:$A,'03. TH_ XK-B2B'!N$80)</f>
        <v>897686.50990323804</v>
      </c>
      <c r="O82" s="271">
        <f>SUMIFS('01. KE30'!$X:$X,'01. KE30'!$B:$B,'03. TH_ XK-B2B'!$B$81,'01. KE30'!$E:$E,'03. TH_ XK-B2B'!$D82,'01. KE30'!$A:$A,'03. TH_ XK-B2B'!O$80)</f>
        <v>0</v>
      </c>
      <c r="P82" s="272">
        <f>SUMIFS('01. KE30'!$X:$X,'01. KE30'!$B:$B,'03. TH_ XK-B2B'!$B$81,'01. KE30'!$E:$E,'03. TH_ XK-B2B'!$D82,'01. KE30'!$A:$A,'03. TH_ XK-B2B'!P$80)</f>
        <v>0</v>
      </c>
      <c r="Q82" s="272">
        <f>SUMIFS('01. KE30'!$X:$X,'01. KE30'!$B:$B,'03. TH_ XK-B2B'!$B$81,'01. KE30'!$E:$E,'03. TH_ XK-B2B'!$D82,'01. KE30'!$A:$A,'03. TH_ XK-B2B'!Q$80)</f>
        <v>0</v>
      </c>
      <c r="R82" s="239">
        <f t="shared" ref="R82:R88" si="199">SUM(F82:Q82)</f>
        <v>29620636.788620517</v>
      </c>
      <c r="S82" s="239">
        <f t="shared" ref="S82:S88" si="200">IFERROR(R82/(12-COUNTIF(F82:Q82,0)),0)</f>
        <v>3291181.8654022794</v>
      </c>
      <c r="T82" s="176"/>
      <c r="U82" s="271">
        <v>2345965</v>
      </c>
      <c r="V82" s="271">
        <v>2861965</v>
      </c>
      <c r="W82" s="271">
        <v>2524432.5</v>
      </c>
      <c r="X82" s="271">
        <v>2442362.5</v>
      </c>
      <c r="Y82" s="271">
        <v>3673362.5</v>
      </c>
      <c r="Z82" s="271">
        <v>3341162.5</v>
      </c>
      <c r="AA82" s="271">
        <v>4153742.5</v>
      </c>
      <c r="AB82" s="271">
        <v>3773202.5</v>
      </c>
      <c r="AC82" s="271">
        <v>4692142.5</v>
      </c>
      <c r="AD82" s="271">
        <v>4893278.5</v>
      </c>
      <c r="AE82" s="272">
        <v>3933838.5</v>
      </c>
      <c r="AF82" s="272">
        <v>3806213.5</v>
      </c>
      <c r="AG82" s="239">
        <f t="shared" ref="AG82:AG88" si="201">SUM(U82:AF82)</f>
        <v>42441668</v>
      </c>
      <c r="AH82" s="239">
        <f>AVERAGE(U82:AF82)</f>
        <v>3536805.6666666665</v>
      </c>
      <c r="AI82" s="176"/>
      <c r="AJ82" s="271">
        <v>1401022.1469795918</v>
      </c>
      <c r="AK82" s="271">
        <v>1219175.0808163264</v>
      </c>
      <c r="AL82" s="271">
        <v>2155862.6713173389</v>
      </c>
      <c r="AM82" s="271">
        <v>2538789.3087580646</v>
      </c>
      <c r="AN82" s="271">
        <v>1215519.0043600001</v>
      </c>
      <c r="AO82" s="271">
        <v>294844.37136994535</v>
      </c>
      <c r="AP82" s="271">
        <v>1261473.5523695739</v>
      </c>
      <c r="AQ82" s="271">
        <v>3795927.7733023064</v>
      </c>
      <c r="AR82" s="271">
        <v>4055382.5634355824</v>
      </c>
      <c r="AS82" s="271">
        <v>2301714.9170382167</v>
      </c>
      <c r="AT82" s="272">
        <v>743595.30564387923</v>
      </c>
      <c r="AU82" s="272">
        <v>1508489.6451561884</v>
      </c>
      <c r="AV82" s="239">
        <f t="shared" ref="AV82:AV104" si="202">SUM(AJ82:AU82)</f>
        <v>22491796.340547018</v>
      </c>
      <c r="AW82" s="239">
        <f>AVERAGE(AJ82:AU82)</f>
        <v>1874316.3617122516</v>
      </c>
    </row>
    <row r="83" spans="2:49" s="172" customFormat="1" ht="15.5" hidden="1" outlineLevel="1" x14ac:dyDescent="0.35">
      <c r="B83" s="170"/>
      <c r="C83" s="168"/>
      <c r="D83" s="169" t="s">
        <v>95</v>
      </c>
      <c r="E83" s="176" t="s">
        <v>286</v>
      </c>
      <c r="F83" s="271">
        <f>SUMIFS('01. KE30'!$X:$X,'01. KE30'!$B:$B,'03. TH_ XK-B2B'!$B$81,'01. KE30'!$E:$E,'03. TH_ XK-B2B'!$D83,'01. KE30'!$A:$A,'03. TH_ XK-B2B'!F$80)</f>
        <v>0</v>
      </c>
      <c r="G83" s="271">
        <f>SUMIFS('01. KE30'!$X:$X,'01. KE30'!$B:$B,'03. TH_ XK-B2B'!$B$81,'01. KE30'!$E:$E,'03. TH_ XK-B2B'!$D83,'01. KE30'!$A:$A,'03. TH_ XK-B2B'!G$80)</f>
        <v>0</v>
      </c>
      <c r="H83" s="271">
        <f>SUMIFS('01. KE30'!$X:$X,'01. KE30'!$B:$B,'03. TH_ XK-B2B'!$B$81,'01. KE30'!$E:$E,'03. TH_ XK-B2B'!$D83,'01. KE30'!$A:$A,'03. TH_ XK-B2B'!H$80)</f>
        <v>0</v>
      </c>
      <c r="I83" s="271">
        <f>SUMIFS('01. KE30'!$X:$X,'01. KE30'!$B:$B,'03. TH_ XK-B2B'!$B$81,'01. KE30'!$E:$E,'03. TH_ XK-B2B'!$D83,'01. KE30'!$A:$A,'03. TH_ XK-B2B'!I$80)</f>
        <v>0</v>
      </c>
      <c r="J83" s="271">
        <f>SUMIFS('01. KE30'!$X:$X,'01. KE30'!$B:$B,'03. TH_ XK-B2B'!$B$81,'01. KE30'!$E:$E,'03. TH_ XK-B2B'!$D83,'01. KE30'!$A:$A,'03. TH_ XK-B2B'!J$80)</f>
        <v>0</v>
      </c>
      <c r="K83" s="271">
        <f>SUMIFS('01. KE30'!$X:$X,'01. KE30'!$B:$B,'03. TH_ XK-B2B'!$B$81,'01. KE30'!$E:$E,'03. TH_ XK-B2B'!$D83,'01. KE30'!$A:$A,'03. TH_ XK-B2B'!K$80)</f>
        <v>52080.718441358025</v>
      </c>
      <c r="L83" s="271">
        <f>SUMIFS('01. KE30'!$X:$X,'01. KE30'!$B:$B,'03. TH_ XK-B2B'!$B$81,'01. KE30'!$E:$E,'03. TH_ XK-B2B'!$D83,'01. KE30'!$A:$A,'03. TH_ XK-B2B'!L$80)</f>
        <v>0</v>
      </c>
      <c r="M83" s="271">
        <f>SUMIFS('01. KE30'!$X:$X,'01. KE30'!$B:$B,'03. TH_ XK-B2B'!$B$81,'01. KE30'!$E:$E,'03. TH_ XK-B2B'!$D83,'01. KE30'!$A:$A,'03. TH_ XK-B2B'!M$80)</f>
        <v>0</v>
      </c>
      <c r="N83" s="271">
        <f>SUMIFS('01. KE30'!$X:$X,'01. KE30'!$B:$B,'03. TH_ XK-B2B'!$B$81,'01. KE30'!$E:$E,'03. TH_ XK-B2B'!$D83,'01. KE30'!$A:$A,'03. TH_ XK-B2B'!N$80)</f>
        <v>0</v>
      </c>
      <c r="O83" s="271">
        <f>SUMIFS('01. KE30'!$X:$X,'01. KE30'!$B:$B,'03. TH_ XK-B2B'!$B$81,'01. KE30'!$E:$E,'03. TH_ XK-B2B'!$D83,'01. KE30'!$A:$A,'03. TH_ XK-B2B'!O$80)</f>
        <v>0</v>
      </c>
      <c r="P83" s="272">
        <f>SUMIFS('01. KE30'!$X:$X,'01. KE30'!$B:$B,'03. TH_ XK-B2B'!$B$81,'01. KE30'!$E:$E,'03. TH_ XK-B2B'!$D83,'01. KE30'!$A:$A,'03. TH_ XK-B2B'!P$80)</f>
        <v>0</v>
      </c>
      <c r="Q83" s="272">
        <f>SUMIFS('01. KE30'!$X:$X,'01. KE30'!$B:$B,'03. TH_ XK-B2B'!$B$81,'01. KE30'!$E:$E,'03. TH_ XK-B2B'!$D83,'01. KE30'!$A:$A,'03. TH_ XK-B2B'!Q$80)</f>
        <v>0</v>
      </c>
      <c r="R83" s="239">
        <f t="shared" si="199"/>
        <v>52080.718441358025</v>
      </c>
      <c r="S83" s="239">
        <f t="shared" si="200"/>
        <v>52080.718441358025</v>
      </c>
      <c r="T83" s="176"/>
      <c r="U83" s="271">
        <v>0</v>
      </c>
      <c r="V83" s="271">
        <v>0</v>
      </c>
      <c r="W83" s="271">
        <v>0</v>
      </c>
      <c r="X83" s="271">
        <v>0</v>
      </c>
      <c r="Y83" s="271">
        <v>88000</v>
      </c>
      <c r="Z83" s="271">
        <v>88000</v>
      </c>
      <c r="AA83" s="271">
        <v>0</v>
      </c>
      <c r="AB83" s="271">
        <v>0</v>
      </c>
      <c r="AC83" s="271">
        <v>176000</v>
      </c>
      <c r="AD83" s="271">
        <v>0</v>
      </c>
      <c r="AE83" s="272">
        <v>0</v>
      </c>
      <c r="AF83" s="272">
        <v>0</v>
      </c>
      <c r="AG83" s="239">
        <f t="shared" si="201"/>
        <v>352000</v>
      </c>
      <c r="AH83" s="239">
        <f t="shared" ref="AH83:AH88" si="203">AVERAGE(U83:AF83)</f>
        <v>29333.333333333332</v>
      </c>
      <c r="AI83" s="176"/>
      <c r="AJ83" s="271">
        <v>20539.083346938776</v>
      </c>
      <c r="AK83" s="271">
        <v>0</v>
      </c>
      <c r="AL83" s="271">
        <v>87.98673387096774</v>
      </c>
      <c r="AM83" s="271">
        <v>147938.90524193548</v>
      </c>
      <c r="AN83" s="271">
        <v>0</v>
      </c>
      <c r="AO83" s="271">
        <v>0</v>
      </c>
      <c r="AP83" s="271">
        <v>0</v>
      </c>
      <c r="AQ83" s="271">
        <v>0</v>
      </c>
      <c r="AR83" s="271">
        <v>156990.96163599181</v>
      </c>
      <c r="AS83" s="271">
        <v>158715.64132165606</v>
      </c>
      <c r="AT83" s="272">
        <v>0</v>
      </c>
      <c r="AU83" s="272">
        <v>163023.48319493872</v>
      </c>
      <c r="AV83" s="239">
        <f t="shared" si="202"/>
        <v>647296.06147533178</v>
      </c>
      <c r="AW83" s="239">
        <f t="shared" ref="AW83:AW88" si="204">AVERAGE(AJ83:AU83)</f>
        <v>53941.338456277648</v>
      </c>
    </row>
    <row r="84" spans="2:49" s="172" customFormat="1" ht="15.5" hidden="1" outlineLevel="1" x14ac:dyDescent="0.35">
      <c r="B84" s="170"/>
      <c r="C84" s="168"/>
      <c r="D84" s="169" t="s">
        <v>265</v>
      </c>
      <c r="E84" s="176" t="s">
        <v>286</v>
      </c>
      <c r="F84" s="271">
        <f>SUMIFS('01. KE30'!$X:$X,'01. KE30'!$B:$B,'03. TH_ XK-B2B'!$B$81,'01. KE30'!$E:$E,'03. TH_ XK-B2B'!$D84,'01. KE30'!$A:$A,'03. TH_ XK-B2B'!F$80)</f>
        <v>0</v>
      </c>
      <c r="G84" s="271">
        <f>SUMIFS('01. KE30'!$X:$X,'01. KE30'!$B:$B,'03. TH_ XK-B2B'!$B$81,'01. KE30'!$E:$E,'03. TH_ XK-B2B'!$D84,'01. KE30'!$A:$A,'03. TH_ XK-B2B'!G$80)</f>
        <v>0</v>
      </c>
      <c r="H84" s="271">
        <f>SUMIFS('01. KE30'!$X:$X,'01. KE30'!$B:$B,'03. TH_ XK-B2B'!$B$81,'01. KE30'!$E:$E,'03. TH_ XK-B2B'!$D84,'01. KE30'!$A:$A,'03. TH_ XK-B2B'!H$80)</f>
        <v>137096.78472440946</v>
      </c>
      <c r="I84" s="271">
        <f>SUMIFS('01. KE30'!$X:$X,'01. KE30'!$B:$B,'03. TH_ XK-B2B'!$B$81,'01. KE30'!$E:$E,'03. TH_ XK-B2B'!$D84,'01. KE30'!$A:$A,'03. TH_ XK-B2B'!I$80)</f>
        <v>0</v>
      </c>
      <c r="J84" s="271">
        <f>SUMIFS('01. KE30'!$X:$X,'01. KE30'!$B:$B,'03. TH_ XK-B2B'!$B$81,'01. KE30'!$E:$E,'03. TH_ XK-B2B'!$D84,'01. KE30'!$A:$A,'03. TH_ XK-B2B'!J$80)</f>
        <v>0</v>
      </c>
      <c r="K84" s="271">
        <f>SUMIFS('01. KE30'!$X:$X,'01. KE30'!$B:$B,'03. TH_ XK-B2B'!$B$81,'01. KE30'!$E:$E,'03. TH_ XK-B2B'!$D84,'01. KE30'!$A:$A,'03. TH_ XK-B2B'!K$80)</f>
        <v>5765.6388888888887</v>
      </c>
      <c r="L84" s="271">
        <f>SUMIFS('01. KE30'!$X:$X,'01. KE30'!$B:$B,'03. TH_ XK-B2B'!$B$81,'01. KE30'!$E:$E,'03. TH_ XK-B2B'!$D84,'01. KE30'!$A:$A,'03. TH_ XK-B2B'!L$80)</f>
        <v>0</v>
      </c>
      <c r="M84" s="271">
        <f>SUMIFS('01. KE30'!$X:$X,'01. KE30'!$B:$B,'03. TH_ XK-B2B'!$B$81,'01. KE30'!$E:$E,'03. TH_ XK-B2B'!$D84,'01. KE30'!$A:$A,'03. TH_ XK-B2B'!M$80)</f>
        <v>150621.41436210851</v>
      </c>
      <c r="N84" s="271">
        <f>SUMIFS('01. KE30'!$X:$X,'01. KE30'!$B:$B,'03. TH_ XK-B2B'!$B$81,'01. KE30'!$E:$E,'03. TH_ XK-B2B'!$D84,'01. KE30'!$A:$A,'03. TH_ XK-B2B'!N$80)</f>
        <v>0</v>
      </c>
      <c r="O84" s="271">
        <f>SUMIFS('01. KE30'!$X:$X,'01. KE30'!$B:$B,'03. TH_ XK-B2B'!$B$81,'01. KE30'!$E:$E,'03. TH_ XK-B2B'!$D84,'01. KE30'!$A:$A,'03. TH_ XK-B2B'!O$80)</f>
        <v>0</v>
      </c>
      <c r="P84" s="272">
        <f>SUMIFS('01. KE30'!$X:$X,'01. KE30'!$B:$B,'03. TH_ XK-B2B'!$B$81,'01. KE30'!$E:$E,'03. TH_ XK-B2B'!$D84,'01. KE30'!$A:$A,'03. TH_ XK-B2B'!P$80)</f>
        <v>0</v>
      </c>
      <c r="Q84" s="272">
        <f>SUMIFS('01. KE30'!$X:$X,'01. KE30'!$B:$B,'03. TH_ XK-B2B'!$B$81,'01. KE30'!$E:$E,'03. TH_ XK-B2B'!$D84,'01. KE30'!$A:$A,'03. TH_ XK-B2B'!Q$80)</f>
        <v>0</v>
      </c>
      <c r="R84" s="239">
        <f t="shared" si="199"/>
        <v>293483.83797540684</v>
      </c>
      <c r="S84" s="239">
        <f t="shared" si="200"/>
        <v>97827.945991802277</v>
      </c>
      <c r="T84" s="176"/>
      <c r="U84" s="271">
        <v>0</v>
      </c>
      <c r="V84" s="271">
        <v>29700</v>
      </c>
      <c r="W84" s="271">
        <v>0</v>
      </c>
      <c r="X84" s="271">
        <v>14850</v>
      </c>
      <c r="Y84" s="271">
        <v>14850</v>
      </c>
      <c r="Z84" s="271">
        <v>0</v>
      </c>
      <c r="AA84" s="271">
        <v>14850</v>
      </c>
      <c r="AB84" s="271">
        <v>14850</v>
      </c>
      <c r="AC84" s="271">
        <v>0</v>
      </c>
      <c r="AD84" s="271">
        <v>14850</v>
      </c>
      <c r="AE84" s="272">
        <v>14850</v>
      </c>
      <c r="AF84" s="272">
        <v>0</v>
      </c>
      <c r="AG84" s="239">
        <f t="shared" si="201"/>
        <v>118800</v>
      </c>
      <c r="AH84" s="239">
        <f t="shared" si="203"/>
        <v>9900</v>
      </c>
      <c r="AI84" s="176"/>
      <c r="AJ84" s="271">
        <v>0</v>
      </c>
      <c r="AK84" s="271">
        <v>0</v>
      </c>
      <c r="AL84" s="271">
        <v>16123.67681451613</v>
      </c>
      <c r="AM84" s="271">
        <v>0</v>
      </c>
      <c r="AN84" s="271">
        <v>0</v>
      </c>
      <c r="AO84" s="271">
        <v>0</v>
      </c>
      <c r="AP84" s="271">
        <v>0</v>
      </c>
      <c r="AQ84" s="271">
        <v>0</v>
      </c>
      <c r="AR84" s="271">
        <v>0</v>
      </c>
      <c r="AS84" s="271">
        <v>0</v>
      </c>
      <c r="AT84" s="272">
        <v>0</v>
      </c>
      <c r="AU84" s="272">
        <v>0</v>
      </c>
      <c r="AV84" s="239">
        <f t="shared" si="202"/>
        <v>16123.67681451613</v>
      </c>
      <c r="AW84" s="239">
        <f t="shared" si="204"/>
        <v>1343.6397345430107</v>
      </c>
    </row>
    <row r="85" spans="2:49" s="172" customFormat="1" ht="15.5" hidden="1" outlineLevel="1" x14ac:dyDescent="0.35">
      <c r="B85" s="170"/>
      <c r="C85" s="168"/>
      <c r="D85" s="169" t="s">
        <v>266</v>
      </c>
      <c r="E85" s="176" t="s">
        <v>286</v>
      </c>
      <c r="F85" s="271">
        <f>SUMIFS('01. KE30'!$X:$X,'01. KE30'!$B:$B,'03. TH_ XK-B2B'!$B$81,'01. KE30'!$E:$E,'03. TH_ XK-B2B'!$D85,'01. KE30'!$A:$A,'03. TH_ XK-B2B'!F$80)</f>
        <v>0</v>
      </c>
      <c r="G85" s="271">
        <f>SUMIFS('01. KE30'!$X:$X,'01. KE30'!$B:$B,'03. TH_ XK-B2B'!$B$81,'01. KE30'!$E:$E,'03. TH_ XK-B2B'!$D85,'01. KE30'!$A:$A,'03. TH_ XK-B2B'!G$80)</f>
        <v>48153.449901536034</v>
      </c>
      <c r="H85" s="271">
        <f>SUMIFS('01. KE30'!$X:$X,'01. KE30'!$B:$B,'03. TH_ XK-B2B'!$B$81,'01. KE30'!$E:$E,'03. TH_ XK-B2B'!$D85,'01. KE30'!$A:$A,'03. TH_ XK-B2B'!H$80)</f>
        <v>0</v>
      </c>
      <c r="I85" s="271">
        <f>SUMIFS('01. KE30'!$X:$X,'01. KE30'!$B:$B,'03. TH_ XK-B2B'!$B$81,'01. KE30'!$E:$E,'03. TH_ XK-B2B'!$D85,'01. KE30'!$A:$A,'03. TH_ XK-B2B'!I$80)</f>
        <v>0</v>
      </c>
      <c r="J85" s="271">
        <f>SUMIFS('01. KE30'!$X:$X,'01. KE30'!$B:$B,'03. TH_ XK-B2B'!$B$81,'01. KE30'!$E:$E,'03. TH_ XK-B2B'!$D85,'01. KE30'!$A:$A,'03. TH_ XK-B2B'!J$80)</f>
        <v>0</v>
      </c>
      <c r="K85" s="271">
        <f>SUMIFS('01. KE30'!$X:$X,'01. KE30'!$B:$B,'03. TH_ XK-B2B'!$B$81,'01. KE30'!$E:$E,'03. TH_ XK-B2B'!$D85,'01. KE30'!$A:$A,'03. TH_ XK-B2B'!K$80)</f>
        <v>0</v>
      </c>
      <c r="L85" s="271">
        <f>SUMIFS('01. KE30'!$X:$X,'01. KE30'!$B:$B,'03. TH_ XK-B2B'!$B$81,'01. KE30'!$E:$E,'03. TH_ XK-B2B'!$D85,'01. KE30'!$A:$A,'03. TH_ XK-B2B'!L$80)</f>
        <v>0</v>
      </c>
      <c r="M85" s="271">
        <f>SUMIFS('01. KE30'!$X:$X,'01. KE30'!$B:$B,'03. TH_ XK-B2B'!$B$81,'01. KE30'!$E:$E,'03. TH_ XK-B2B'!$D85,'01. KE30'!$A:$A,'03. TH_ XK-B2B'!M$80)</f>
        <v>0</v>
      </c>
      <c r="N85" s="271">
        <f>SUMIFS('01. KE30'!$X:$X,'01. KE30'!$B:$B,'03. TH_ XK-B2B'!$B$81,'01. KE30'!$E:$E,'03. TH_ XK-B2B'!$D85,'01. KE30'!$A:$A,'03. TH_ XK-B2B'!N$80)</f>
        <v>0</v>
      </c>
      <c r="O85" s="271">
        <f>SUMIFS('01. KE30'!$X:$X,'01. KE30'!$B:$B,'03. TH_ XK-B2B'!$B$81,'01. KE30'!$E:$E,'03. TH_ XK-B2B'!$D85,'01. KE30'!$A:$A,'03. TH_ XK-B2B'!O$80)</f>
        <v>0</v>
      </c>
      <c r="P85" s="272">
        <f>SUMIFS('01. KE30'!$X:$X,'01. KE30'!$B:$B,'03. TH_ XK-B2B'!$B$81,'01. KE30'!$E:$E,'03. TH_ XK-B2B'!$D85,'01. KE30'!$A:$A,'03. TH_ XK-B2B'!P$80)</f>
        <v>0</v>
      </c>
      <c r="Q85" s="272">
        <f>SUMIFS('01. KE30'!$X:$X,'01. KE30'!$B:$B,'03. TH_ XK-B2B'!$B$81,'01. KE30'!$E:$E,'03. TH_ XK-B2B'!$D85,'01. KE30'!$A:$A,'03. TH_ XK-B2B'!Q$80)</f>
        <v>0</v>
      </c>
      <c r="R85" s="239">
        <f t="shared" si="199"/>
        <v>48153.449901536034</v>
      </c>
      <c r="S85" s="239">
        <f t="shared" si="200"/>
        <v>48153.449901536034</v>
      </c>
      <c r="T85" s="176"/>
      <c r="U85" s="271"/>
      <c r="V85" s="271"/>
      <c r="W85" s="271"/>
      <c r="X85" s="271"/>
      <c r="Y85" s="271"/>
      <c r="Z85" s="271"/>
      <c r="AA85" s="271"/>
      <c r="AB85" s="271"/>
      <c r="AC85" s="271"/>
      <c r="AD85" s="271"/>
      <c r="AE85" s="272"/>
      <c r="AF85" s="272"/>
      <c r="AG85" s="239">
        <f t="shared" si="201"/>
        <v>0</v>
      </c>
      <c r="AH85" s="239" t="e">
        <f t="shared" si="203"/>
        <v>#DIV/0!</v>
      </c>
      <c r="AI85" s="176"/>
      <c r="AJ85" s="271">
        <v>0</v>
      </c>
      <c r="AK85" s="271">
        <v>0</v>
      </c>
      <c r="AL85" s="271">
        <v>0</v>
      </c>
      <c r="AM85" s="271">
        <v>0</v>
      </c>
      <c r="AN85" s="271">
        <v>0</v>
      </c>
      <c r="AO85" s="271">
        <v>0</v>
      </c>
      <c r="AP85" s="271">
        <v>0</v>
      </c>
      <c r="AQ85" s="271">
        <v>0</v>
      </c>
      <c r="AR85" s="271">
        <v>0</v>
      </c>
      <c r="AS85" s="271">
        <v>0</v>
      </c>
      <c r="AT85" s="272">
        <v>0</v>
      </c>
      <c r="AU85" s="272">
        <v>0</v>
      </c>
      <c r="AV85" s="239">
        <f t="shared" si="202"/>
        <v>0</v>
      </c>
      <c r="AW85" s="239">
        <f t="shared" si="204"/>
        <v>0</v>
      </c>
    </row>
    <row r="86" spans="2:49" s="172" customFormat="1" ht="15.5" hidden="1" outlineLevel="1" x14ac:dyDescent="0.35">
      <c r="B86" s="170"/>
      <c r="C86" s="168"/>
      <c r="D86" s="169" t="s">
        <v>295</v>
      </c>
      <c r="E86" s="176" t="s">
        <v>286</v>
      </c>
      <c r="F86" s="271">
        <f>SUMIFS('01. KE30'!$X:$X,'01. KE30'!$B:$B,'03. TH_ XK-B2B'!$B$81,'01. KE30'!$E:$E,'03. TH_ XK-B2B'!$D86,'01. KE30'!$A:$A,'03. TH_ XK-B2B'!F$80)</f>
        <v>0</v>
      </c>
      <c r="G86" s="271">
        <f>SUMIFS('01. KE30'!$X:$X,'01. KE30'!$B:$B,'03. TH_ XK-B2B'!$B$81,'01. KE30'!$E:$E,'03. TH_ XK-B2B'!$D86,'01. KE30'!$A:$A,'03. TH_ XK-B2B'!G$80)</f>
        <v>0</v>
      </c>
      <c r="H86" s="271">
        <f>SUMIFS('01. KE30'!$X:$X,'01. KE30'!$B:$B,'03. TH_ XK-B2B'!$B$81,'01. KE30'!$E:$E,'03. TH_ XK-B2B'!$D86,'01. KE30'!$A:$A,'03. TH_ XK-B2B'!H$80)</f>
        <v>0</v>
      </c>
      <c r="I86" s="271">
        <f>SUMIFS('01. KE30'!$X:$X,'01. KE30'!$B:$B,'03. TH_ XK-B2B'!$B$81,'01. KE30'!$E:$E,'03. TH_ XK-B2B'!$D86,'01. KE30'!$A:$A,'03. TH_ XK-B2B'!I$80)</f>
        <v>0</v>
      </c>
      <c r="J86" s="271">
        <f>SUMIFS('01. KE30'!$X:$X,'01. KE30'!$B:$B,'03. TH_ XK-B2B'!$B$81,'01. KE30'!$E:$E,'03. TH_ XK-B2B'!$D86,'01. KE30'!$A:$A,'03. TH_ XK-B2B'!J$80)</f>
        <v>0</v>
      </c>
      <c r="K86" s="271">
        <f>SUMIFS('01. KE30'!$X:$X,'01. KE30'!$B:$B,'03. TH_ XK-B2B'!$B$81,'01. KE30'!$E:$E,'03. TH_ XK-B2B'!$D86,'01. KE30'!$A:$A,'03. TH_ XK-B2B'!K$80)</f>
        <v>0</v>
      </c>
      <c r="L86" s="271">
        <f>SUMIFS('01. KE30'!$X:$X,'01. KE30'!$B:$B,'03. TH_ XK-B2B'!$B$81,'01. KE30'!$E:$E,'03. TH_ XK-B2B'!$D86,'01. KE30'!$A:$A,'03. TH_ XK-B2B'!L$80)</f>
        <v>0</v>
      </c>
      <c r="M86" s="271">
        <f>SUMIFS('01. KE30'!$X:$X,'01. KE30'!$B:$B,'03. TH_ XK-B2B'!$B$81,'01. KE30'!$E:$E,'03. TH_ XK-B2B'!$D86,'01. KE30'!$A:$A,'03. TH_ XK-B2B'!M$80)</f>
        <v>0</v>
      </c>
      <c r="N86" s="271">
        <f>SUMIFS('01. KE30'!$X:$X,'01. KE30'!$B:$B,'03. TH_ XK-B2B'!$B$81,'01. KE30'!$E:$E,'03. TH_ XK-B2B'!$D86,'01. KE30'!$A:$A,'03. TH_ XK-B2B'!N$80)</f>
        <v>0</v>
      </c>
      <c r="O86" s="271">
        <f>SUMIFS('01. KE30'!$X:$X,'01. KE30'!$B:$B,'03. TH_ XK-B2B'!$B$81,'01. KE30'!$E:$E,'03. TH_ XK-B2B'!$D86,'01. KE30'!$A:$A,'03. TH_ XK-B2B'!O$80)</f>
        <v>0</v>
      </c>
      <c r="P86" s="272">
        <f>SUMIFS('01. KE30'!$X:$X,'01. KE30'!$B:$B,'03. TH_ XK-B2B'!$B$81,'01. KE30'!$E:$E,'03. TH_ XK-B2B'!$D86,'01. KE30'!$A:$A,'03. TH_ XK-B2B'!P$80)</f>
        <v>0</v>
      </c>
      <c r="Q86" s="272">
        <f>SUMIFS('01. KE30'!$X:$X,'01. KE30'!$B:$B,'03. TH_ XK-B2B'!$B$81,'01. KE30'!$E:$E,'03. TH_ XK-B2B'!$D86,'01. KE30'!$A:$A,'03. TH_ XK-B2B'!Q$80)</f>
        <v>0</v>
      </c>
      <c r="R86" s="239">
        <f t="shared" si="199"/>
        <v>0</v>
      </c>
      <c r="S86" s="239">
        <f t="shared" si="200"/>
        <v>0</v>
      </c>
      <c r="T86" s="176"/>
      <c r="U86" s="271"/>
      <c r="V86" s="271"/>
      <c r="W86" s="271"/>
      <c r="X86" s="271"/>
      <c r="Y86" s="271"/>
      <c r="Z86" s="271"/>
      <c r="AA86" s="271"/>
      <c r="AB86" s="271"/>
      <c r="AC86" s="271"/>
      <c r="AD86" s="271"/>
      <c r="AE86" s="272"/>
      <c r="AF86" s="272"/>
      <c r="AG86" s="239">
        <f t="shared" si="201"/>
        <v>0</v>
      </c>
      <c r="AH86" s="239" t="e">
        <f t="shared" si="203"/>
        <v>#DIV/0!</v>
      </c>
      <c r="AI86" s="176"/>
      <c r="AJ86" s="271">
        <v>0</v>
      </c>
      <c r="AK86" s="271">
        <v>0</v>
      </c>
      <c r="AL86" s="271">
        <v>0</v>
      </c>
      <c r="AM86" s="271">
        <v>0</v>
      </c>
      <c r="AN86" s="271">
        <v>0</v>
      </c>
      <c r="AO86" s="271">
        <v>0</v>
      </c>
      <c r="AP86" s="271">
        <v>0</v>
      </c>
      <c r="AQ86" s="271">
        <v>0</v>
      </c>
      <c r="AR86" s="271">
        <v>0</v>
      </c>
      <c r="AS86" s="271">
        <v>0</v>
      </c>
      <c r="AT86" s="272">
        <v>0</v>
      </c>
      <c r="AU86" s="272">
        <v>0</v>
      </c>
      <c r="AV86" s="239">
        <f t="shared" si="202"/>
        <v>0</v>
      </c>
      <c r="AW86" s="239">
        <f t="shared" si="204"/>
        <v>0</v>
      </c>
    </row>
    <row r="87" spans="2:49" s="172" customFormat="1" ht="15.5" hidden="1" outlineLevel="1" x14ac:dyDescent="0.35">
      <c r="B87" s="170"/>
      <c r="C87" s="168"/>
      <c r="D87" s="169" t="s">
        <v>23</v>
      </c>
      <c r="E87" s="198" t="s">
        <v>286</v>
      </c>
      <c r="F87" s="271">
        <f>SUMIFS('01. KE30'!$X:$X,'01. KE30'!$B:$B,'03. TH_ XK-B2B'!$B$81,'01. KE30'!$E:$E,'03. TH_ XK-B2B'!$D87,'01. KE30'!$A:$A,'03. TH_ XK-B2B'!F$80)</f>
        <v>0</v>
      </c>
      <c r="G87" s="271">
        <f>SUMIFS('01. KE30'!$X:$X,'01. KE30'!$B:$B,'03. TH_ XK-B2B'!$B$81,'01. KE30'!$E:$E,'03. TH_ XK-B2B'!$D87,'01. KE30'!$A:$A,'03. TH_ XK-B2B'!G$80)</f>
        <v>0</v>
      </c>
      <c r="H87" s="271">
        <f>SUMIFS('01. KE30'!$X:$X,'01. KE30'!$B:$B,'03. TH_ XK-B2B'!$B$81,'01. KE30'!$E:$E,'03. TH_ XK-B2B'!$D87,'01. KE30'!$A:$A,'03. TH_ XK-B2B'!H$80)</f>
        <v>25265.945826771655</v>
      </c>
      <c r="I87" s="271">
        <f>SUMIFS('01. KE30'!$X:$X,'01. KE30'!$B:$B,'03. TH_ XK-B2B'!$B$81,'01. KE30'!$E:$E,'03. TH_ XK-B2B'!$D87,'01. KE30'!$A:$A,'03. TH_ XK-B2B'!I$80)</f>
        <v>0</v>
      </c>
      <c r="J87" s="271">
        <f>SUMIFS('01. KE30'!$X:$X,'01. KE30'!$B:$B,'03. TH_ XK-B2B'!$B$81,'01. KE30'!$E:$E,'03. TH_ XK-B2B'!$D87,'01. KE30'!$A:$A,'03. TH_ XK-B2B'!J$80)</f>
        <v>0</v>
      </c>
      <c r="K87" s="271">
        <f>SUMIFS('01. KE30'!$X:$X,'01. KE30'!$B:$B,'03. TH_ XK-B2B'!$B$81,'01. KE30'!$E:$E,'03. TH_ XK-B2B'!$D87,'01. KE30'!$A:$A,'03. TH_ XK-B2B'!K$80)</f>
        <v>25268.531790123452</v>
      </c>
      <c r="L87" s="271">
        <f>SUMIFS('01. KE30'!$X:$X,'01. KE30'!$B:$B,'03. TH_ XK-B2B'!$B$81,'01. KE30'!$E:$E,'03. TH_ XK-B2B'!$D87,'01. KE30'!$A:$A,'03. TH_ XK-B2B'!L$80)</f>
        <v>25200.642527852477</v>
      </c>
      <c r="M87" s="271">
        <f>SUMIFS('01. KE30'!$X:$X,'01. KE30'!$B:$B,'03. TH_ XK-B2B'!$B$81,'01. KE30'!$E:$E,'03. TH_ XK-B2B'!$D87,'01. KE30'!$A:$A,'03. TH_ XK-B2B'!M$80)</f>
        <v>0</v>
      </c>
      <c r="N87" s="271">
        <f>SUMIFS('01. KE30'!$X:$X,'01. KE30'!$B:$B,'03. TH_ XK-B2B'!$B$81,'01. KE30'!$E:$E,'03. TH_ XK-B2B'!$D87,'01. KE30'!$A:$A,'03. TH_ XK-B2B'!N$80)</f>
        <v>25207.224533333334</v>
      </c>
      <c r="O87" s="271">
        <f>SUMIFS('01. KE30'!$X:$X,'01. KE30'!$B:$B,'03. TH_ XK-B2B'!$B$81,'01. KE30'!$E:$E,'03. TH_ XK-B2B'!$D87,'01. KE30'!$A:$A,'03. TH_ XK-B2B'!O$80)</f>
        <v>0</v>
      </c>
      <c r="P87" s="272">
        <f>SUMIFS('01. KE30'!$X:$X,'01. KE30'!$B:$B,'03. TH_ XK-B2B'!$B$81,'01. KE30'!$E:$E,'03. TH_ XK-B2B'!$D87,'01. KE30'!$A:$A,'03. TH_ XK-B2B'!P$80)</f>
        <v>0</v>
      </c>
      <c r="Q87" s="272">
        <f>SUMIFS('01. KE30'!$X:$X,'01. KE30'!$B:$B,'03. TH_ XK-B2B'!$B$81,'01. KE30'!$E:$E,'03. TH_ XK-B2B'!$D87,'01. KE30'!$A:$A,'03. TH_ XK-B2B'!Q$80)</f>
        <v>0</v>
      </c>
      <c r="R87" s="239">
        <f t="shared" si="199"/>
        <v>100942.3446780809</v>
      </c>
      <c r="S87" s="239">
        <f t="shared" si="200"/>
        <v>25235.586169520226</v>
      </c>
      <c r="T87" s="176"/>
      <c r="U87" s="271">
        <v>24940</v>
      </c>
      <c r="V87" s="271">
        <v>24940</v>
      </c>
      <c r="W87" s="271">
        <v>24940</v>
      </c>
      <c r="X87" s="271">
        <v>24940</v>
      </c>
      <c r="Y87" s="271">
        <v>24940</v>
      </c>
      <c r="Z87" s="271">
        <v>24940</v>
      </c>
      <c r="AA87" s="271">
        <v>24940</v>
      </c>
      <c r="AB87" s="271">
        <v>24940</v>
      </c>
      <c r="AC87" s="271">
        <v>24940</v>
      </c>
      <c r="AD87" s="271">
        <v>24940</v>
      </c>
      <c r="AE87" s="272">
        <v>24940</v>
      </c>
      <c r="AF87" s="272">
        <v>24940</v>
      </c>
      <c r="AG87" s="239">
        <f t="shared" si="201"/>
        <v>299280</v>
      </c>
      <c r="AH87" s="239">
        <f t="shared" si="203"/>
        <v>24940</v>
      </c>
      <c r="AI87" s="176"/>
      <c r="AJ87" s="271">
        <v>0</v>
      </c>
      <c r="AK87" s="271">
        <v>0</v>
      </c>
      <c r="AL87" s="271">
        <v>0</v>
      </c>
      <c r="AM87" s="271">
        <v>0</v>
      </c>
      <c r="AN87" s="271">
        <v>0</v>
      </c>
      <c r="AO87" s="271">
        <v>0</v>
      </c>
      <c r="AP87" s="271">
        <v>0</v>
      </c>
      <c r="AQ87" s="271">
        <v>27091.902347227846</v>
      </c>
      <c r="AR87" s="271">
        <v>0</v>
      </c>
      <c r="AS87" s="271">
        <v>0</v>
      </c>
      <c r="AT87" s="272">
        <v>0</v>
      </c>
      <c r="AU87" s="272">
        <v>25740.062475286675</v>
      </c>
      <c r="AV87" s="239">
        <f t="shared" si="202"/>
        <v>52831.964822514521</v>
      </c>
      <c r="AW87" s="239">
        <f t="shared" si="204"/>
        <v>4402.6637352095431</v>
      </c>
    </row>
    <row r="88" spans="2:49" s="172" customFormat="1" ht="15.5" hidden="1" outlineLevel="1" x14ac:dyDescent="0.35">
      <c r="B88" s="170"/>
      <c r="C88" s="168"/>
      <c r="D88" s="169" t="s">
        <v>269</v>
      </c>
      <c r="E88" s="198" t="s">
        <v>286</v>
      </c>
      <c r="F88" s="271">
        <f>SUMIFS('01. KE30'!$X:$X,'01. KE30'!$B:$B,'03. TH_ XK-B2B'!$B$81,'01. KE30'!$E:$E,'03. TH_ XK-B2B'!$D88,'01. KE30'!$A:$A,'03. TH_ XK-B2B'!F$80)</f>
        <v>0</v>
      </c>
      <c r="G88" s="271">
        <f>SUMIFS('01. KE30'!$X:$X,'01. KE30'!$B:$B,'03. TH_ XK-B2B'!$B$81,'01. KE30'!$E:$E,'03. TH_ XK-B2B'!$D88,'01. KE30'!$A:$A,'03. TH_ XK-B2B'!G$80)</f>
        <v>0</v>
      </c>
      <c r="H88" s="271">
        <f>SUMIFS('01. KE30'!$X:$X,'01. KE30'!$B:$B,'03. TH_ XK-B2B'!$B$81,'01. KE30'!$E:$E,'03. TH_ XK-B2B'!$D88,'01. KE30'!$A:$A,'03. TH_ XK-B2B'!H$80)</f>
        <v>0</v>
      </c>
      <c r="I88" s="271">
        <f>SUMIFS('01. KE30'!$X:$X,'01. KE30'!$B:$B,'03. TH_ XK-B2B'!$B$81,'01. KE30'!$E:$E,'03. TH_ XK-B2B'!$D88,'01. KE30'!$A:$A,'03. TH_ XK-B2B'!I$80)</f>
        <v>0</v>
      </c>
      <c r="J88" s="271">
        <f>SUMIFS('01. KE30'!$X:$X,'01. KE30'!$B:$B,'03. TH_ XK-B2B'!$B$81,'01. KE30'!$E:$E,'03. TH_ XK-B2B'!$D88,'01. KE30'!$A:$A,'03. TH_ XK-B2B'!J$80)</f>
        <v>0</v>
      </c>
      <c r="K88" s="271">
        <f>SUMIFS('01. KE30'!$X:$X,'01. KE30'!$B:$B,'03. TH_ XK-B2B'!$B$81,'01. KE30'!$E:$E,'03. TH_ XK-B2B'!$D88,'01. KE30'!$A:$A,'03. TH_ XK-B2B'!K$80)</f>
        <v>0</v>
      </c>
      <c r="L88" s="271">
        <f>SUMIFS('01. KE30'!$X:$X,'01. KE30'!$B:$B,'03. TH_ XK-B2B'!$B$81,'01. KE30'!$E:$E,'03. TH_ XK-B2B'!$D88,'01. KE30'!$A:$A,'03. TH_ XK-B2B'!L$80)</f>
        <v>0</v>
      </c>
      <c r="M88" s="271">
        <f>SUMIFS('01. KE30'!$X:$X,'01. KE30'!$B:$B,'03. TH_ XK-B2B'!$B$81,'01. KE30'!$E:$E,'03. TH_ XK-B2B'!$D88,'01. KE30'!$A:$A,'03. TH_ XK-B2B'!M$80)</f>
        <v>0</v>
      </c>
      <c r="N88" s="271">
        <f>SUMIFS('01. KE30'!$X:$X,'01. KE30'!$B:$B,'03. TH_ XK-B2B'!$B$81,'01. KE30'!$E:$E,'03. TH_ XK-B2B'!$D88,'01. KE30'!$A:$A,'03. TH_ XK-B2B'!N$80)</f>
        <v>0</v>
      </c>
      <c r="O88" s="271">
        <f>SUMIFS('01. KE30'!$X:$X,'01. KE30'!$B:$B,'03. TH_ XK-B2B'!$B$81,'01. KE30'!$E:$E,'03. TH_ XK-B2B'!$D88,'01. KE30'!$A:$A,'03. TH_ XK-B2B'!O$80)</f>
        <v>0</v>
      </c>
      <c r="P88" s="272">
        <f>SUMIFS('01. KE30'!$X:$X,'01. KE30'!$B:$B,'03. TH_ XK-B2B'!$B$81,'01. KE30'!$E:$E,'03. TH_ XK-B2B'!$D88,'01. KE30'!$A:$A,'03. TH_ XK-B2B'!P$80)</f>
        <v>0</v>
      </c>
      <c r="Q88" s="272">
        <f>SUMIFS('01. KE30'!$X:$X,'01. KE30'!$B:$B,'03. TH_ XK-B2B'!$B$81,'01. KE30'!$E:$E,'03. TH_ XK-B2B'!$D88,'01. KE30'!$A:$A,'03. TH_ XK-B2B'!Q$80)</f>
        <v>0</v>
      </c>
      <c r="R88" s="239">
        <f t="shared" si="199"/>
        <v>0</v>
      </c>
      <c r="S88" s="239">
        <f t="shared" si="200"/>
        <v>0</v>
      </c>
      <c r="T88" s="176"/>
      <c r="U88" s="271"/>
      <c r="V88" s="271"/>
      <c r="W88" s="271"/>
      <c r="X88" s="271"/>
      <c r="Y88" s="271"/>
      <c r="Z88" s="271"/>
      <c r="AA88" s="271"/>
      <c r="AB88" s="271"/>
      <c r="AC88" s="271"/>
      <c r="AD88" s="271"/>
      <c r="AE88" s="272"/>
      <c r="AF88" s="272"/>
      <c r="AG88" s="239">
        <f t="shared" si="201"/>
        <v>0</v>
      </c>
      <c r="AH88" s="239" t="e">
        <f t="shared" si="203"/>
        <v>#DIV/0!</v>
      </c>
      <c r="AI88" s="176"/>
      <c r="AJ88" s="271">
        <v>0</v>
      </c>
      <c r="AK88" s="271">
        <v>0</v>
      </c>
      <c r="AL88" s="271">
        <v>0</v>
      </c>
      <c r="AM88" s="271">
        <v>0</v>
      </c>
      <c r="AN88" s="271">
        <v>0</v>
      </c>
      <c r="AO88" s="271">
        <v>0</v>
      </c>
      <c r="AP88" s="271">
        <v>0</v>
      </c>
      <c r="AQ88" s="271">
        <v>0</v>
      </c>
      <c r="AR88" s="271">
        <v>0</v>
      </c>
      <c r="AS88" s="271">
        <v>0</v>
      </c>
      <c r="AT88" s="272">
        <v>0</v>
      </c>
      <c r="AU88" s="272">
        <v>0</v>
      </c>
      <c r="AV88" s="239">
        <f t="shared" si="202"/>
        <v>0</v>
      </c>
      <c r="AW88" s="239">
        <f t="shared" si="204"/>
        <v>0</v>
      </c>
    </row>
    <row r="89" spans="2:49" s="167" customFormat="1" ht="15.5" collapsed="1" x14ac:dyDescent="0.35">
      <c r="B89" s="166"/>
      <c r="C89" s="196"/>
      <c r="D89" s="166"/>
      <c r="E89" s="165"/>
      <c r="F89" s="206">
        <f t="shared" ref="F89:S89" si="205">IFERROR(F81/F$113,"-")</f>
        <v>0.71595881050578802</v>
      </c>
      <c r="G89" s="206">
        <f t="shared" si="205"/>
        <v>0.70572721123491844</v>
      </c>
      <c r="H89" s="206">
        <f t="shared" si="205"/>
        <v>0.70898203643025348</v>
      </c>
      <c r="I89" s="206">
        <f t="shared" si="205"/>
        <v>0.72831829866102071</v>
      </c>
      <c r="J89" s="206">
        <f t="shared" si="205"/>
        <v>0.76759957324311112</v>
      </c>
      <c r="K89" s="206">
        <f t="shared" si="205"/>
        <v>0.6076814485797325</v>
      </c>
      <c r="L89" s="206">
        <f t="shared" si="205"/>
        <v>0.63978705255051105</v>
      </c>
      <c r="M89" s="206">
        <f t="shared" si="205"/>
        <v>0.57437497335136867</v>
      </c>
      <c r="N89" s="206">
        <f t="shared" si="205"/>
        <v>0.32125153535815537</v>
      </c>
      <c r="O89" s="206" t="str">
        <f t="shared" si="205"/>
        <v>-</v>
      </c>
      <c r="P89" s="224" t="str">
        <f t="shared" si="205"/>
        <v>-</v>
      </c>
      <c r="Q89" s="224" t="str">
        <f t="shared" si="205"/>
        <v>-</v>
      </c>
      <c r="R89" s="206">
        <f t="shared" si="205"/>
        <v>0.65854359122455119</v>
      </c>
      <c r="S89" s="206">
        <f t="shared" si="205"/>
        <v>0.66766697663726815</v>
      </c>
      <c r="T89" s="283"/>
      <c r="U89" s="206">
        <f t="shared" ref="U89:AH89" si="206">IFERROR(U81/U$113,"-")</f>
        <v>0.62258391131444946</v>
      </c>
      <c r="V89" s="206">
        <f t="shared" si="206"/>
        <v>0.63667578012732351</v>
      </c>
      <c r="W89" s="206">
        <f t="shared" si="206"/>
        <v>0.56364718551214332</v>
      </c>
      <c r="X89" s="206">
        <f t="shared" si="206"/>
        <v>0.51416168446916344</v>
      </c>
      <c r="Y89" s="206">
        <f t="shared" si="206"/>
        <v>0.59757473310775011</v>
      </c>
      <c r="Z89" s="206">
        <f t="shared" si="206"/>
        <v>0.56587474513046787</v>
      </c>
      <c r="AA89" s="206">
        <f t="shared" si="206"/>
        <v>0.60826518572635535</v>
      </c>
      <c r="AB89" s="206">
        <f t="shared" si="206"/>
        <v>0.54913022957922797</v>
      </c>
      <c r="AC89" s="206">
        <f t="shared" si="206"/>
        <v>0.60268065322041831</v>
      </c>
      <c r="AD89" s="206">
        <f t="shared" si="206"/>
        <v>0.59642717637038878</v>
      </c>
      <c r="AE89" s="224">
        <f t="shared" si="206"/>
        <v>0.51868301458452659</v>
      </c>
      <c r="AF89" s="224">
        <f t="shared" si="206"/>
        <v>0.50389424542420269</v>
      </c>
      <c r="AG89" s="206">
        <f t="shared" si="206"/>
        <v>0.57085436653704158</v>
      </c>
      <c r="AH89" s="206" t="str">
        <f t="shared" si="206"/>
        <v>-</v>
      </c>
      <c r="AI89" s="283"/>
      <c r="AJ89" s="206">
        <f t="shared" ref="AJ89:AV89" si="207">IFERROR(AJ81/AJ$113,"-")</f>
        <v>0.53087132412839311</v>
      </c>
      <c r="AK89" s="206">
        <f t="shared" si="207"/>
        <v>0.47362494223907298</v>
      </c>
      <c r="AL89" s="206">
        <f t="shared" si="207"/>
        <v>0.60948911320849386</v>
      </c>
      <c r="AM89" s="206">
        <f t="shared" si="207"/>
        <v>0.71076468544823035</v>
      </c>
      <c r="AN89" s="206">
        <f t="shared" si="207"/>
        <v>0.31499225248995549</v>
      </c>
      <c r="AO89" s="206">
        <f t="shared" si="207"/>
        <v>0.13153687795866942</v>
      </c>
      <c r="AP89" s="206">
        <f t="shared" si="207"/>
        <v>0.61037109623116892</v>
      </c>
      <c r="AQ89" s="206">
        <f t="shared" si="207"/>
        <v>0.68062845934112126</v>
      </c>
      <c r="AR89" s="206">
        <f t="shared" si="207"/>
        <v>0.74877446488355859</v>
      </c>
      <c r="AS89" s="206">
        <f t="shared" si="207"/>
        <v>0.58232773495210843</v>
      </c>
      <c r="AT89" s="224">
        <f t="shared" si="207"/>
        <v>0.28762305622919759</v>
      </c>
      <c r="AU89" s="224">
        <f t="shared" si="207"/>
        <v>0.45856308689046349</v>
      </c>
      <c r="AV89" s="206">
        <f t="shared" si="207"/>
        <v>0.5458508361097848</v>
      </c>
      <c r="AW89" s="206">
        <f t="shared" ref="AW89" si="208">IFERROR(AW81/AW$113,"-")</f>
        <v>0.5458508361097848</v>
      </c>
    </row>
    <row r="90" spans="2:49" s="167" customFormat="1" ht="15.5" hidden="1" outlineLevel="1" x14ac:dyDescent="0.35">
      <c r="B90" s="1292"/>
      <c r="C90" s="168"/>
      <c r="D90" s="169" t="s">
        <v>283</v>
      </c>
      <c r="E90" s="176" t="s">
        <v>285</v>
      </c>
      <c r="F90" s="202">
        <f t="shared" ref="F90:S90" si="209">IF(F82&lt;&gt;0,F82/F$113,"-")</f>
        <v>0.71595881050578802</v>
      </c>
      <c r="G90" s="202">
        <f t="shared" si="209"/>
        <v>0.69873275162682835</v>
      </c>
      <c r="H90" s="202">
        <f t="shared" si="209"/>
        <v>0.68008618531769105</v>
      </c>
      <c r="I90" s="202">
        <f t="shared" si="209"/>
        <v>0.72831829866102071</v>
      </c>
      <c r="J90" s="202">
        <f t="shared" si="209"/>
        <v>0.76759957324311112</v>
      </c>
      <c r="K90" s="202">
        <f t="shared" si="209"/>
        <v>0.58858563812796838</v>
      </c>
      <c r="L90" s="202">
        <f t="shared" si="209"/>
        <v>0.63491022469344038</v>
      </c>
      <c r="M90" s="202">
        <f t="shared" si="209"/>
        <v>0.54972288541929892</v>
      </c>
      <c r="N90" s="202">
        <f t="shared" si="209"/>
        <v>0.31247711282033752</v>
      </c>
      <c r="O90" s="202" t="str">
        <f t="shared" si="209"/>
        <v>-</v>
      </c>
      <c r="P90" s="202" t="str">
        <f t="shared" si="209"/>
        <v>-</v>
      </c>
      <c r="Q90" s="202" t="str">
        <f t="shared" si="209"/>
        <v>-</v>
      </c>
      <c r="R90" s="240">
        <f t="shared" si="209"/>
        <v>0.64772664983853978</v>
      </c>
      <c r="S90" s="240">
        <f t="shared" si="209"/>
        <v>0.62524575955807593</v>
      </c>
      <c r="T90" s="176"/>
      <c r="U90" s="202">
        <f t="shared" ref="U90:AH90" si="210">IF(U82&lt;&gt;0,U82/U$113,"-")</f>
        <v>0.61603483290422956</v>
      </c>
      <c r="V90" s="202">
        <f t="shared" si="210"/>
        <v>0.62474822578720657</v>
      </c>
      <c r="W90" s="202">
        <f t="shared" si="210"/>
        <v>0.55813313811158771</v>
      </c>
      <c r="X90" s="202">
        <f t="shared" si="210"/>
        <v>0.505919445756986</v>
      </c>
      <c r="Y90" s="202">
        <f t="shared" si="210"/>
        <v>0.57748501685883902</v>
      </c>
      <c r="Z90" s="202">
        <f t="shared" si="210"/>
        <v>0.54737214026711045</v>
      </c>
      <c r="AA90" s="202">
        <f t="shared" si="210"/>
        <v>0.60249370983102091</v>
      </c>
      <c r="AB90" s="202">
        <f t="shared" si="210"/>
        <v>0.54339985066163043</v>
      </c>
      <c r="AC90" s="202">
        <f t="shared" si="210"/>
        <v>0.57793088649195812</v>
      </c>
      <c r="AD90" s="202">
        <f t="shared" si="210"/>
        <v>0.591616410546282</v>
      </c>
      <c r="AE90" s="202">
        <f t="shared" si="210"/>
        <v>0.51348917294826935</v>
      </c>
      <c r="AF90" s="202">
        <f t="shared" si="210"/>
        <v>0.50061400032807712</v>
      </c>
      <c r="AG90" s="240">
        <f t="shared" si="210"/>
        <v>0.56068112544105897</v>
      </c>
      <c r="AH90" s="240" t="e">
        <f t="shared" si="210"/>
        <v>#DIV/0!</v>
      </c>
      <c r="AI90" s="176"/>
      <c r="AJ90" s="202">
        <f t="shared" ref="AJ90:AV90" si="211">IF(AJ82&lt;&gt;0,AJ82/AJ$113,"-")</f>
        <v>0.52320115829932901</v>
      </c>
      <c r="AK90" s="202">
        <f t="shared" si="211"/>
        <v>0.47362494223907298</v>
      </c>
      <c r="AL90" s="202">
        <f t="shared" si="211"/>
        <v>0.60494008268907951</v>
      </c>
      <c r="AM90" s="202">
        <f t="shared" si="211"/>
        <v>0.67162795814476672</v>
      </c>
      <c r="AN90" s="202">
        <f t="shared" si="211"/>
        <v>0.31499225248995549</v>
      </c>
      <c r="AO90" s="202">
        <f t="shared" si="211"/>
        <v>0.13153687795866942</v>
      </c>
      <c r="AP90" s="202">
        <f t="shared" si="211"/>
        <v>0.61037109623116892</v>
      </c>
      <c r="AQ90" s="202">
        <f t="shared" si="211"/>
        <v>0.67580517269348428</v>
      </c>
      <c r="AR90" s="202">
        <f t="shared" si="211"/>
        <v>0.72086838708896228</v>
      </c>
      <c r="AS90" s="202">
        <f t="shared" si="211"/>
        <v>0.5447633665539523</v>
      </c>
      <c r="AT90" s="202">
        <f t="shared" si="211"/>
        <v>0.28762305622919759</v>
      </c>
      <c r="AU90" s="202">
        <f t="shared" si="211"/>
        <v>0.40756303889362905</v>
      </c>
      <c r="AV90" s="240">
        <f t="shared" si="211"/>
        <v>0.52900467178465715</v>
      </c>
      <c r="AW90" s="240">
        <f t="shared" ref="AW90" si="212">IF(AW82&lt;&gt;0,AW82/AW$113,"-")</f>
        <v>0.52900467178465727</v>
      </c>
    </row>
    <row r="91" spans="2:49" s="167" customFormat="1" ht="15.5" hidden="1" outlineLevel="1" x14ac:dyDescent="0.35">
      <c r="B91" s="1293"/>
      <c r="C91" s="168"/>
      <c r="D91" s="169" t="s">
        <v>95</v>
      </c>
      <c r="E91" s="176" t="s">
        <v>285</v>
      </c>
      <c r="F91" s="200" t="str">
        <f t="shared" ref="F91:S91" si="213">IF(F83&lt;&gt;0,F83/F$113,"-")</f>
        <v>-</v>
      </c>
      <c r="G91" s="200" t="str">
        <f t="shared" si="213"/>
        <v>-</v>
      </c>
      <c r="H91" s="200" t="str">
        <f t="shared" si="213"/>
        <v>-</v>
      </c>
      <c r="I91" s="200" t="str">
        <f t="shared" si="213"/>
        <v>-</v>
      </c>
      <c r="J91" s="200" t="str">
        <f t="shared" si="213"/>
        <v>-</v>
      </c>
      <c r="K91" s="200">
        <f t="shared" si="213"/>
        <v>1.1965648249949026E-2</v>
      </c>
      <c r="L91" s="200" t="str">
        <f t="shared" si="213"/>
        <v>-</v>
      </c>
      <c r="M91" s="200" t="str">
        <f t="shared" si="213"/>
        <v>-</v>
      </c>
      <c r="N91" s="200" t="str">
        <f t="shared" si="213"/>
        <v>-</v>
      </c>
      <c r="O91" s="200" t="str">
        <f t="shared" si="213"/>
        <v>-</v>
      </c>
      <c r="P91" s="200" t="str">
        <f t="shared" si="213"/>
        <v>-</v>
      </c>
      <c r="Q91" s="200" t="str">
        <f t="shared" si="213"/>
        <v>-</v>
      </c>
      <c r="R91" s="241">
        <f t="shared" si="213"/>
        <v>1.1388704948492143E-3</v>
      </c>
      <c r="S91" s="241">
        <f t="shared" si="213"/>
        <v>9.8940896285647836E-3</v>
      </c>
      <c r="T91" s="176"/>
      <c r="U91" s="200" t="str">
        <f t="shared" ref="U91:AH91" si="214">IF(U83&lt;&gt;0,U83/U$113,"-")</f>
        <v>-</v>
      </c>
      <c r="V91" s="200" t="str">
        <f t="shared" si="214"/>
        <v>-</v>
      </c>
      <c r="W91" s="200" t="str">
        <f t="shared" si="214"/>
        <v>-</v>
      </c>
      <c r="X91" s="200" t="str">
        <f t="shared" si="214"/>
        <v>-</v>
      </c>
      <c r="Y91" s="200">
        <f t="shared" si="214"/>
        <v>1.3834376945803152E-2</v>
      </c>
      <c r="Z91" s="200">
        <f t="shared" si="214"/>
        <v>1.4416763130648606E-2</v>
      </c>
      <c r="AA91" s="200" t="str">
        <f t="shared" si="214"/>
        <v>-</v>
      </c>
      <c r="AB91" s="200" t="str">
        <f t="shared" si="214"/>
        <v>-</v>
      </c>
      <c r="AC91" s="200">
        <f t="shared" si="214"/>
        <v>2.1677908550855954E-2</v>
      </c>
      <c r="AD91" s="200" t="str">
        <f t="shared" si="214"/>
        <v>-</v>
      </c>
      <c r="AE91" s="200" t="str">
        <f t="shared" si="214"/>
        <v>-</v>
      </c>
      <c r="AF91" s="200" t="str">
        <f t="shared" si="214"/>
        <v>-</v>
      </c>
      <c r="AG91" s="241">
        <f t="shared" si="214"/>
        <v>4.6501413694497763E-3</v>
      </c>
      <c r="AH91" s="241" t="e">
        <f t="shared" si="214"/>
        <v>#DIV/0!</v>
      </c>
      <c r="AI91" s="176"/>
      <c r="AJ91" s="200">
        <f t="shared" ref="AJ91:AV91" si="215">IF(AJ83&lt;&gt;0,AJ83/AJ$113,"-")</f>
        <v>7.6701658290640583E-3</v>
      </c>
      <c r="AK91" s="200" t="str">
        <f t="shared" si="215"/>
        <v>-</v>
      </c>
      <c r="AL91" s="200">
        <f t="shared" si="215"/>
        <v>2.4689282286668613E-5</v>
      </c>
      <c r="AM91" s="200">
        <f t="shared" si="215"/>
        <v>3.9136727303463612E-2</v>
      </c>
      <c r="AN91" s="200" t="str">
        <f t="shared" si="215"/>
        <v>-</v>
      </c>
      <c r="AO91" s="200" t="str">
        <f t="shared" si="215"/>
        <v>-</v>
      </c>
      <c r="AP91" s="200" t="str">
        <f t="shared" si="215"/>
        <v>-</v>
      </c>
      <c r="AQ91" s="200" t="str">
        <f t="shared" si="215"/>
        <v>-</v>
      </c>
      <c r="AR91" s="200">
        <f t="shared" si="215"/>
        <v>2.7906077794596265E-2</v>
      </c>
      <c r="AS91" s="200">
        <f t="shared" si="215"/>
        <v>3.7564368398156127E-2</v>
      </c>
      <c r="AT91" s="200" t="str">
        <f t="shared" si="215"/>
        <v>-</v>
      </c>
      <c r="AU91" s="200">
        <f t="shared" si="215"/>
        <v>4.4045609749660743E-2</v>
      </c>
      <c r="AV91" s="241">
        <f t="shared" si="215"/>
        <v>1.522433492477245E-2</v>
      </c>
      <c r="AW91" s="241">
        <f t="shared" ref="AW91" si="216">IF(AW83&lt;&gt;0,AW83/AW$113,"-")</f>
        <v>1.5224334924772452E-2</v>
      </c>
    </row>
    <row r="92" spans="2:49" s="167" customFormat="1" ht="15.5" hidden="1" outlineLevel="1" x14ac:dyDescent="0.35">
      <c r="B92" s="1293"/>
      <c r="C92" s="168"/>
      <c r="D92" s="169" t="s">
        <v>265</v>
      </c>
      <c r="E92" s="176" t="s">
        <v>285</v>
      </c>
      <c r="F92" s="200" t="str">
        <f t="shared" ref="F92:S92" si="217">IF(F84&lt;&gt;0,F84/F$113,"-")</f>
        <v>-</v>
      </c>
      <c r="G92" s="200" t="str">
        <f t="shared" si="217"/>
        <v>-</v>
      </c>
      <c r="H92" s="200">
        <f t="shared" si="217"/>
        <v>2.4399246464746824E-2</v>
      </c>
      <c r="I92" s="200" t="str">
        <f t="shared" si="217"/>
        <v>-</v>
      </c>
      <c r="J92" s="200" t="str">
        <f t="shared" si="217"/>
        <v>-</v>
      </c>
      <c r="K92" s="200">
        <f t="shared" si="217"/>
        <v>1.3246669582400723E-3</v>
      </c>
      <c r="L92" s="200" t="str">
        <f t="shared" si="217"/>
        <v>-</v>
      </c>
      <c r="M92" s="200">
        <f t="shared" si="217"/>
        <v>2.4652087932069709E-2</v>
      </c>
      <c r="N92" s="200" t="str">
        <f t="shared" si="217"/>
        <v>-</v>
      </c>
      <c r="O92" s="200" t="str">
        <f t="shared" si="217"/>
        <v>-</v>
      </c>
      <c r="P92" s="200" t="str">
        <f t="shared" si="217"/>
        <v>-</v>
      </c>
      <c r="Q92" s="200" t="str">
        <f t="shared" si="217"/>
        <v>-</v>
      </c>
      <c r="R92" s="241">
        <f t="shared" si="217"/>
        <v>6.4177318168459349E-3</v>
      </c>
      <c r="S92" s="241">
        <f t="shared" si="217"/>
        <v>1.8584967619276332E-2</v>
      </c>
      <c r="T92" s="176"/>
      <c r="U92" s="200" t="str">
        <f t="shared" ref="U92:AH92" si="218">IF(U84&lt;&gt;0,U84/U$113,"-")</f>
        <v>-</v>
      </c>
      <c r="V92" s="200">
        <f t="shared" si="218"/>
        <v>6.4833155911690164E-3</v>
      </c>
      <c r="W92" s="200" t="str">
        <f t="shared" si="218"/>
        <v>-</v>
      </c>
      <c r="X92" s="200">
        <f t="shared" si="218"/>
        <v>3.0760805447558426E-3</v>
      </c>
      <c r="Y92" s="200">
        <f t="shared" si="218"/>
        <v>2.3345511096042816E-3</v>
      </c>
      <c r="Z92" s="200" t="str">
        <f t="shared" si="218"/>
        <v>-</v>
      </c>
      <c r="AA92" s="200">
        <f t="shared" si="218"/>
        <v>2.1539687621441772E-3</v>
      </c>
      <c r="AB92" s="200">
        <f t="shared" si="218"/>
        <v>2.1386309858337084E-3</v>
      </c>
      <c r="AC92" s="200" t="str">
        <f t="shared" si="218"/>
        <v>-</v>
      </c>
      <c r="AD92" s="200">
        <f t="shared" si="218"/>
        <v>1.7954227818041191E-3</v>
      </c>
      <c r="AE92" s="200">
        <f t="shared" si="218"/>
        <v>1.9383902563060991E-3</v>
      </c>
      <c r="AF92" s="200" t="str">
        <f t="shared" si="218"/>
        <v>-</v>
      </c>
      <c r="AG92" s="241">
        <f t="shared" si="218"/>
        <v>1.5694227121892995E-3</v>
      </c>
      <c r="AH92" s="241" t="e">
        <f t="shared" si="218"/>
        <v>#DIV/0!</v>
      </c>
      <c r="AI92" s="176"/>
      <c r="AJ92" s="200" t="str">
        <f t="shared" ref="AJ92:AV92" si="219">IF(AJ84&lt;&gt;0,AJ84/AJ$113,"-")</f>
        <v>-</v>
      </c>
      <c r="AK92" s="200" t="str">
        <f t="shared" si="219"/>
        <v>-</v>
      </c>
      <c r="AL92" s="200">
        <f t="shared" si="219"/>
        <v>4.5243412371277292E-3</v>
      </c>
      <c r="AM92" s="200" t="str">
        <f t="shared" si="219"/>
        <v>-</v>
      </c>
      <c r="AN92" s="200" t="str">
        <f t="shared" si="219"/>
        <v>-</v>
      </c>
      <c r="AO92" s="200" t="str">
        <f t="shared" si="219"/>
        <v>-</v>
      </c>
      <c r="AP92" s="200" t="str">
        <f t="shared" si="219"/>
        <v>-</v>
      </c>
      <c r="AQ92" s="200" t="str">
        <f t="shared" si="219"/>
        <v>-</v>
      </c>
      <c r="AR92" s="200" t="str">
        <f t="shared" si="219"/>
        <v>-</v>
      </c>
      <c r="AS92" s="200" t="str">
        <f t="shared" si="219"/>
        <v>-</v>
      </c>
      <c r="AT92" s="200" t="str">
        <f t="shared" si="219"/>
        <v>-</v>
      </c>
      <c r="AU92" s="200" t="str">
        <f t="shared" si="219"/>
        <v>-</v>
      </c>
      <c r="AV92" s="241">
        <f t="shared" si="219"/>
        <v>3.7922717385842862E-4</v>
      </c>
      <c r="AW92" s="241">
        <f t="shared" ref="AW92" si="220">IF(AW84&lt;&gt;0,AW84/AW$113,"-")</f>
        <v>3.7922717385842862E-4</v>
      </c>
    </row>
    <row r="93" spans="2:49" s="167" customFormat="1" ht="15.5" hidden="1" outlineLevel="1" x14ac:dyDescent="0.35">
      <c r="B93" s="1293"/>
      <c r="C93" s="168"/>
      <c r="D93" s="169" t="s">
        <v>266</v>
      </c>
      <c r="E93" s="176" t="s">
        <v>285</v>
      </c>
      <c r="F93" s="200" t="str">
        <f t="shared" ref="F93:S93" si="221">IF(F85&lt;&gt;0,F85/F$113,"-")</f>
        <v>-</v>
      </c>
      <c r="G93" s="200">
        <f t="shared" si="221"/>
        <v>6.9944596080900191E-3</v>
      </c>
      <c r="H93" s="200" t="str">
        <f t="shared" si="221"/>
        <v>-</v>
      </c>
      <c r="I93" s="200" t="str">
        <f t="shared" si="221"/>
        <v>-</v>
      </c>
      <c r="J93" s="200" t="str">
        <f t="shared" si="221"/>
        <v>-</v>
      </c>
      <c r="K93" s="200" t="str">
        <f t="shared" si="221"/>
        <v>-</v>
      </c>
      <c r="L93" s="200" t="str">
        <f t="shared" si="221"/>
        <v>-</v>
      </c>
      <c r="M93" s="200" t="str">
        <f t="shared" si="221"/>
        <v>-</v>
      </c>
      <c r="N93" s="200" t="str">
        <f t="shared" si="221"/>
        <v>-</v>
      </c>
      <c r="O93" s="200" t="str">
        <f t="shared" si="221"/>
        <v>-</v>
      </c>
      <c r="P93" s="200" t="str">
        <f t="shared" si="221"/>
        <v>-</v>
      </c>
      <c r="Q93" s="200" t="str">
        <f t="shared" si="221"/>
        <v>-</v>
      </c>
      <c r="R93" s="241">
        <f t="shared" si="221"/>
        <v>1.05299129810985E-3</v>
      </c>
      <c r="S93" s="241">
        <f t="shared" si="221"/>
        <v>9.1480026295501001E-3</v>
      </c>
      <c r="T93" s="176"/>
      <c r="U93" s="200" t="str">
        <f t="shared" ref="U93:AH93" si="222">IF(U85&lt;&gt;0,U85/U$113,"-")</f>
        <v>-</v>
      </c>
      <c r="V93" s="200" t="str">
        <f t="shared" si="222"/>
        <v>-</v>
      </c>
      <c r="W93" s="200" t="str">
        <f t="shared" si="222"/>
        <v>-</v>
      </c>
      <c r="X93" s="200" t="str">
        <f t="shared" si="222"/>
        <v>-</v>
      </c>
      <c r="Y93" s="200" t="str">
        <f t="shared" si="222"/>
        <v>-</v>
      </c>
      <c r="Z93" s="200" t="str">
        <f t="shared" si="222"/>
        <v>-</v>
      </c>
      <c r="AA93" s="200" t="str">
        <f t="shared" si="222"/>
        <v>-</v>
      </c>
      <c r="AB93" s="200" t="str">
        <f t="shared" si="222"/>
        <v>-</v>
      </c>
      <c r="AC93" s="200" t="str">
        <f t="shared" si="222"/>
        <v>-</v>
      </c>
      <c r="AD93" s="200" t="str">
        <f t="shared" si="222"/>
        <v>-</v>
      </c>
      <c r="AE93" s="200" t="str">
        <f t="shared" si="222"/>
        <v>-</v>
      </c>
      <c r="AF93" s="200" t="str">
        <f t="shared" si="222"/>
        <v>-</v>
      </c>
      <c r="AG93" s="241" t="str">
        <f t="shared" si="222"/>
        <v>-</v>
      </c>
      <c r="AH93" s="241" t="e">
        <f t="shared" si="222"/>
        <v>#DIV/0!</v>
      </c>
      <c r="AI93" s="176"/>
      <c r="AJ93" s="200" t="str">
        <f t="shared" ref="AJ93:AV93" si="223">IF(AJ85&lt;&gt;0,AJ85/AJ$113,"-")</f>
        <v>-</v>
      </c>
      <c r="AK93" s="200" t="str">
        <f t="shared" si="223"/>
        <v>-</v>
      </c>
      <c r="AL93" s="200" t="str">
        <f t="shared" si="223"/>
        <v>-</v>
      </c>
      <c r="AM93" s="200" t="str">
        <f t="shared" si="223"/>
        <v>-</v>
      </c>
      <c r="AN93" s="200" t="str">
        <f t="shared" si="223"/>
        <v>-</v>
      </c>
      <c r="AO93" s="200" t="str">
        <f t="shared" si="223"/>
        <v>-</v>
      </c>
      <c r="AP93" s="200" t="str">
        <f t="shared" si="223"/>
        <v>-</v>
      </c>
      <c r="AQ93" s="200" t="str">
        <f t="shared" si="223"/>
        <v>-</v>
      </c>
      <c r="AR93" s="200" t="str">
        <f t="shared" si="223"/>
        <v>-</v>
      </c>
      <c r="AS93" s="200" t="str">
        <f t="shared" si="223"/>
        <v>-</v>
      </c>
      <c r="AT93" s="200" t="str">
        <f t="shared" si="223"/>
        <v>-</v>
      </c>
      <c r="AU93" s="200" t="str">
        <f t="shared" si="223"/>
        <v>-</v>
      </c>
      <c r="AV93" s="241" t="str">
        <f t="shared" si="223"/>
        <v>-</v>
      </c>
      <c r="AW93" s="241" t="str">
        <f t="shared" ref="AW93" si="224">IF(AW85&lt;&gt;0,AW85/AW$113,"-")</f>
        <v>-</v>
      </c>
    </row>
    <row r="94" spans="2:49" s="167" customFormat="1" ht="15.5" hidden="1" outlineLevel="1" x14ac:dyDescent="0.35">
      <c r="B94" s="1293"/>
      <c r="C94" s="168"/>
      <c r="D94" s="169" t="s">
        <v>295</v>
      </c>
      <c r="E94" s="176" t="s">
        <v>285</v>
      </c>
      <c r="F94" s="200" t="str">
        <f t="shared" ref="F94:S94" si="225">IF(F86&lt;&gt;0,F86/F$113,"-")</f>
        <v>-</v>
      </c>
      <c r="G94" s="200" t="str">
        <f t="shared" si="225"/>
        <v>-</v>
      </c>
      <c r="H94" s="200" t="str">
        <f t="shared" si="225"/>
        <v>-</v>
      </c>
      <c r="I94" s="200" t="str">
        <f t="shared" si="225"/>
        <v>-</v>
      </c>
      <c r="J94" s="200" t="str">
        <f t="shared" si="225"/>
        <v>-</v>
      </c>
      <c r="K94" s="200" t="str">
        <f t="shared" si="225"/>
        <v>-</v>
      </c>
      <c r="L94" s="200" t="str">
        <f t="shared" si="225"/>
        <v>-</v>
      </c>
      <c r="M94" s="200" t="str">
        <f t="shared" si="225"/>
        <v>-</v>
      </c>
      <c r="N94" s="200" t="str">
        <f t="shared" si="225"/>
        <v>-</v>
      </c>
      <c r="O94" s="200" t="str">
        <f t="shared" si="225"/>
        <v>-</v>
      </c>
      <c r="P94" s="200" t="str">
        <f t="shared" si="225"/>
        <v>-</v>
      </c>
      <c r="Q94" s="200" t="str">
        <f t="shared" si="225"/>
        <v>-</v>
      </c>
      <c r="R94" s="241" t="str">
        <f t="shared" si="225"/>
        <v>-</v>
      </c>
      <c r="S94" s="241" t="str">
        <f t="shared" si="225"/>
        <v>-</v>
      </c>
      <c r="T94" s="176"/>
      <c r="U94" s="200" t="str">
        <f t="shared" ref="U94:AH94" si="226">IF(U86&lt;&gt;0,U86/U$113,"-")</f>
        <v>-</v>
      </c>
      <c r="V94" s="200" t="str">
        <f t="shared" si="226"/>
        <v>-</v>
      </c>
      <c r="W94" s="200" t="str">
        <f t="shared" si="226"/>
        <v>-</v>
      </c>
      <c r="X94" s="200" t="str">
        <f t="shared" si="226"/>
        <v>-</v>
      </c>
      <c r="Y94" s="200" t="str">
        <f t="shared" si="226"/>
        <v>-</v>
      </c>
      <c r="Z94" s="200" t="str">
        <f t="shared" si="226"/>
        <v>-</v>
      </c>
      <c r="AA94" s="200" t="str">
        <f t="shared" si="226"/>
        <v>-</v>
      </c>
      <c r="AB94" s="200" t="str">
        <f t="shared" si="226"/>
        <v>-</v>
      </c>
      <c r="AC94" s="200" t="str">
        <f t="shared" si="226"/>
        <v>-</v>
      </c>
      <c r="AD94" s="200" t="str">
        <f t="shared" si="226"/>
        <v>-</v>
      </c>
      <c r="AE94" s="200" t="str">
        <f t="shared" si="226"/>
        <v>-</v>
      </c>
      <c r="AF94" s="200" t="str">
        <f t="shared" si="226"/>
        <v>-</v>
      </c>
      <c r="AG94" s="241" t="str">
        <f t="shared" si="226"/>
        <v>-</v>
      </c>
      <c r="AH94" s="241" t="e">
        <f t="shared" si="226"/>
        <v>#DIV/0!</v>
      </c>
      <c r="AI94" s="176"/>
      <c r="AJ94" s="200" t="str">
        <f t="shared" ref="AJ94:AV94" si="227">IF(AJ86&lt;&gt;0,AJ86/AJ$113,"-")</f>
        <v>-</v>
      </c>
      <c r="AK94" s="200" t="str">
        <f t="shared" si="227"/>
        <v>-</v>
      </c>
      <c r="AL94" s="200" t="str">
        <f t="shared" si="227"/>
        <v>-</v>
      </c>
      <c r="AM94" s="200" t="str">
        <f t="shared" si="227"/>
        <v>-</v>
      </c>
      <c r="AN94" s="200" t="str">
        <f t="shared" si="227"/>
        <v>-</v>
      </c>
      <c r="AO94" s="200" t="str">
        <f t="shared" si="227"/>
        <v>-</v>
      </c>
      <c r="AP94" s="200" t="str">
        <f t="shared" si="227"/>
        <v>-</v>
      </c>
      <c r="AQ94" s="200" t="str">
        <f t="shared" si="227"/>
        <v>-</v>
      </c>
      <c r="AR94" s="200" t="str">
        <f t="shared" si="227"/>
        <v>-</v>
      </c>
      <c r="AS94" s="200" t="str">
        <f t="shared" si="227"/>
        <v>-</v>
      </c>
      <c r="AT94" s="200" t="str">
        <f t="shared" si="227"/>
        <v>-</v>
      </c>
      <c r="AU94" s="200" t="str">
        <f t="shared" si="227"/>
        <v>-</v>
      </c>
      <c r="AV94" s="241" t="str">
        <f t="shared" si="227"/>
        <v>-</v>
      </c>
      <c r="AW94" s="241" t="str">
        <f t="shared" ref="AW94" si="228">IF(AW86&lt;&gt;0,AW86/AW$113,"-")</f>
        <v>-</v>
      </c>
    </row>
    <row r="95" spans="2:49" s="167" customFormat="1" ht="15.5" hidden="1" outlineLevel="1" x14ac:dyDescent="0.35">
      <c r="B95" s="1293"/>
      <c r="C95" s="168"/>
      <c r="D95" s="169" t="s">
        <v>23</v>
      </c>
      <c r="E95" s="176" t="s">
        <v>285</v>
      </c>
      <c r="F95" s="200" t="str">
        <f t="shared" ref="F95:S95" si="229">IF(F87&lt;&gt;0,F87/F$113,"-")</f>
        <v>-</v>
      </c>
      <c r="G95" s="200" t="str">
        <f t="shared" si="229"/>
        <v>-</v>
      </c>
      <c r="H95" s="200">
        <f t="shared" si="229"/>
        <v>4.4966046478155178E-3</v>
      </c>
      <c r="I95" s="200" t="str">
        <f t="shared" si="229"/>
        <v>-</v>
      </c>
      <c r="J95" s="200" t="str">
        <f t="shared" si="229"/>
        <v>-</v>
      </c>
      <c r="K95" s="200">
        <f t="shared" si="229"/>
        <v>5.8054952435749848E-3</v>
      </c>
      <c r="L95" s="200">
        <f t="shared" si="229"/>
        <v>4.8768278570706517E-3</v>
      </c>
      <c r="M95" s="200" t="str">
        <f t="shared" si="229"/>
        <v>-</v>
      </c>
      <c r="N95" s="200">
        <f t="shared" si="229"/>
        <v>8.7744225378178081E-3</v>
      </c>
      <c r="O95" s="200" t="str">
        <f t="shared" si="229"/>
        <v>-</v>
      </c>
      <c r="P95" s="200" t="str">
        <f t="shared" si="229"/>
        <v>-</v>
      </c>
      <c r="Q95" s="200" t="str">
        <f t="shared" si="229"/>
        <v>-</v>
      </c>
      <c r="R95" s="241">
        <f t="shared" si="229"/>
        <v>2.2073477762064512E-3</v>
      </c>
      <c r="S95" s="241">
        <f t="shared" si="229"/>
        <v>4.7941572018009278E-3</v>
      </c>
      <c r="T95" s="176"/>
      <c r="U95" s="200">
        <f t="shared" ref="U95:AH95" si="230">IF(U87&lt;&gt;0,U87/U$113,"-")</f>
        <v>6.5490784102198813E-3</v>
      </c>
      <c r="V95" s="200">
        <f t="shared" si="230"/>
        <v>5.4442387489479892E-3</v>
      </c>
      <c r="W95" s="200">
        <f t="shared" si="230"/>
        <v>5.5140474005555698E-3</v>
      </c>
      <c r="X95" s="200">
        <f t="shared" si="230"/>
        <v>5.1661581674215971E-3</v>
      </c>
      <c r="Y95" s="200">
        <f t="shared" si="230"/>
        <v>3.920788193503757E-3</v>
      </c>
      <c r="Z95" s="200">
        <f t="shared" si="230"/>
        <v>4.0858417327088205E-3</v>
      </c>
      <c r="AA95" s="200">
        <f t="shared" si="230"/>
        <v>3.6175071331902885E-3</v>
      </c>
      <c r="AB95" s="200">
        <f t="shared" si="230"/>
        <v>3.5917479317638169E-3</v>
      </c>
      <c r="AC95" s="200">
        <f t="shared" si="230"/>
        <v>3.0718581776042471E-3</v>
      </c>
      <c r="AD95" s="200">
        <f t="shared" si="230"/>
        <v>3.0153430423026754E-3</v>
      </c>
      <c r="AE95" s="200">
        <f t="shared" si="230"/>
        <v>3.2554513799511187E-3</v>
      </c>
      <c r="AF95" s="200">
        <f t="shared" si="230"/>
        <v>3.2802450961256489E-3</v>
      </c>
      <c r="AG95" s="241">
        <f t="shared" si="230"/>
        <v>3.9536770143435481E-3</v>
      </c>
      <c r="AH95" s="241" t="e">
        <f t="shared" si="230"/>
        <v>#DIV/0!</v>
      </c>
      <c r="AI95" s="176"/>
      <c r="AJ95" s="200" t="str">
        <f t="shared" ref="AJ95:AV95" si="231">IF(AJ87&lt;&gt;0,AJ87/AJ$113,"-")</f>
        <v>-</v>
      </c>
      <c r="AK95" s="200" t="str">
        <f t="shared" si="231"/>
        <v>-</v>
      </c>
      <c r="AL95" s="200" t="str">
        <f t="shared" si="231"/>
        <v>-</v>
      </c>
      <c r="AM95" s="200" t="str">
        <f t="shared" si="231"/>
        <v>-</v>
      </c>
      <c r="AN95" s="200" t="str">
        <f t="shared" si="231"/>
        <v>-</v>
      </c>
      <c r="AO95" s="200" t="str">
        <f t="shared" si="231"/>
        <v>-</v>
      </c>
      <c r="AP95" s="200" t="str">
        <f t="shared" si="231"/>
        <v>-</v>
      </c>
      <c r="AQ95" s="200">
        <f t="shared" si="231"/>
        <v>4.8232866476369636E-3</v>
      </c>
      <c r="AR95" s="200" t="str">
        <f t="shared" si="231"/>
        <v>-</v>
      </c>
      <c r="AS95" s="200" t="str">
        <f t="shared" si="231"/>
        <v>-</v>
      </c>
      <c r="AT95" s="200" t="str">
        <f t="shared" si="231"/>
        <v>-</v>
      </c>
      <c r="AU95" s="200">
        <f t="shared" si="231"/>
        <v>6.9544382471737167E-3</v>
      </c>
      <c r="AV95" s="241">
        <f t="shared" si="231"/>
        <v>1.2426022264966465E-3</v>
      </c>
      <c r="AW95" s="241">
        <f t="shared" ref="AW95" si="232">IF(AW87&lt;&gt;0,AW87/AW$113,"-")</f>
        <v>1.2426022264966465E-3</v>
      </c>
    </row>
    <row r="96" spans="2:49" s="167" customFormat="1" ht="15.5" hidden="1" outlineLevel="1" x14ac:dyDescent="0.35">
      <c r="B96" s="1294"/>
      <c r="C96" s="168"/>
      <c r="D96" s="169" t="s">
        <v>269</v>
      </c>
      <c r="E96" s="176" t="s">
        <v>285</v>
      </c>
      <c r="F96" s="201" t="str">
        <f t="shared" ref="F96:S96" si="233">IF(F88&lt;&gt;0,F88/F$113,"-")</f>
        <v>-</v>
      </c>
      <c r="G96" s="201" t="str">
        <f t="shared" si="233"/>
        <v>-</v>
      </c>
      <c r="H96" s="201" t="str">
        <f t="shared" si="233"/>
        <v>-</v>
      </c>
      <c r="I96" s="201" t="str">
        <f t="shared" si="233"/>
        <v>-</v>
      </c>
      <c r="J96" s="201" t="str">
        <f t="shared" si="233"/>
        <v>-</v>
      </c>
      <c r="K96" s="201" t="str">
        <f t="shared" si="233"/>
        <v>-</v>
      </c>
      <c r="L96" s="201" t="str">
        <f t="shared" si="233"/>
        <v>-</v>
      </c>
      <c r="M96" s="201" t="str">
        <f t="shared" si="233"/>
        <v>-</v>
      </c>
      <c r="N96" s="201" t="str">
        <f t="shared" si="233"/>
        <v>-</v>
      </c>
      <c r="O96" s="201" t="str">
        <f t="shared" si="233"/>
        <v>-</v>
      </c>
      <c r="P96" s="201" t="str">
        <f t="shared" si="233"/>
        <v>-</v>
      </c>
      <c r="Q96" s="201" t="str">
        <f t="shared" si="233"/>
        <v>-</v>
      </c>
      <c r="R96" s="243" t="str">
        <f t="shared" si="233"/>
        <v>-</v>
      </c>
      <c r="S96" s="243" t="str">
        <f t="shared" si="233"/>
        <v>-</v>
      </c>
      <c r="T96" s="176"/>
      <c r="U96" s="201" t="str">
        <f t="shared" ref="U96:AH96" si="234">IF(U88&lt;&gt;0,U88/U$113,"-")</f>
        <v>-</v>
      </c>
      <c r="V96" s="201" t="str">
        <f t="shared" si="234"/>
        <v>-</v>
      </c>
      <c r="W96" s="201" t="str">
        <f t="shared" si="234"/>
        <v>-</v>
      </c>
      <c r="X96" s="201" t="str">
        <f t="shared" si="234"/>
        <v>-</v>
      </c>
      <c r="Y96" s="201" t="str">
        <f t="shared" si="234"/>
        <v>-</v>
      </c>
      <c r="Z96" s="201" t="str">
        <f t="shared" si="234"/>
        <v>-</v>
      </c>
      <c r="AA96" s="201" t="str">
        <f t="shared" si="234"/>
        <v>-</v>
      </c>
      <c r="AB96" s="201" t="str">
        <f t="shared" si="234"/>
        <v>-</v>
      </c>
      <c r="AC96" s="201" t="str">
        <f t="shared" si="234"/>
        <v>-</v>
      </c>
      <c r="AD96" s="201" t="str">
        <f t="shared" si="234"/>
        <v>-</v>
      </c>
      <c r="AE96" s="201" t="str">
        <f t="shared" si="234"/>
        <v>-</v>
      </c>
      <c r="AF96" s="201" t="str">
        <f t="shared" si="234"/>
        <v>-</v>
      </c>
      <c r="AG96" s="243" t="str">
        <f t="shared" si="234"/>
        <v>-</v>
      </c>
      <c r="AH96" s="243" t="e">
        <f t="shared" si="234"/>
        <v>#DIV/0!</v>
      </c>
      <c r="AI96" s="176"/>
      <c r="AJ96" s="201" t="str">
        <f t="shared" ref="AJ96:AV96" si="235">IF(AJ88&lt;&gt;0,AJ88/AJ$113,"-")</f>
        <v>-</v>
      </c>
      <c r="AK96" s="201" t="str">
        <f t="shared" si="235"/>
        <v>-</v>
      </c>
      <c r="AL96" s="201" t="str">
        <f t="shared" si="235"/>
        <v>-</v>
      </c>
      <c r="AM96" s="201" t="str">
        <f t="shared" si="235"/>
        <v>-</v>
      </c>
      <c r="AN96" s="201" t="str">
        <f t="shared" si="235"/>
        <v>-</v>
      </c>
      <c r="AO96" s="201" t="str">
        <f t="shared" si="235"/>
        <v>-</v>
      </c>
      <c r="AP96" s="201" t="str">
        <f t="shared" si="235"/>
        <v>-</v>
      </c>
      <c r="AQ96" s="201" t="str">
        <f t="shared" si="235"/>
        <v>-</v>
      </c>
      <c r="AR96" s="201" t="str">
        <f t="shared" si="235"/>
        <v>-</v>
      </c>
      <c r="AS96" s="201" t="str">
        <f t="shared" si="235"/>
        <v>-</v>
      </c>
      <c r="AT96" s="201" t="str">
        <f t="shared" si="235"/>
        <v>-</v>
      </c>
      <c r="AU96" s="201" t="str">
        <f t="shared" si="235"/>
        <v>-</v>
      </c>
      <c r="AV96" s="243" t="str">
        <f t="shared" si="235"/>
        <v>-</v>
      </c>
      <c r="AW96" s="243" t="str">
        <f t="shared" ref="AW96" si="236">IF(AW88&lt;&gt;0,AW88/AW$113,"-")</f>
        <v>-</v>
      </c>
    </row>
    <row r="97" spans="2:49" s="164" customFormat="1" ht="15.5" collapsed="1" x14ac:dyDescent="0.35">
      <c r="B97" s="162" t="s">
        <v>22</v>
      </c>
      <c r="C97" s="163">
        <v>2</v>
      </c>
      <c r="D97" s="161" t="s">
        <v>261</v>
      </c>
      <c r="E97" s="199" t="s">
        <v>286</v>
      </c>
      <c r="F97" s="223">
        <f t="shared" ref="F97:S97" si="237">SUM(F98:F104)</f>
        <v>1262501.1484544359</v>
      </c>
      <c r="G97" s="223">
        <f t="shared" si="237"/>
        <v>2025924.9155996093</v>
      </c>
      <c r="H97" s="223">
        <f t="shared" si="237"/>
        <v>1635199.1509288426</v>
      </c>
      <c r="I97" s="223">
        <f t="shared" si="237"/>
        <v>1265183.3403664988</v>
      </c>
      <c r="J97" s="223">
        <f t="shared" si="237"/>
        <v>1306663.2763713445</v>
      </c>
      <c r="K97" s="223">
        <f t="shared" si="237"/>
        <v>1707574.1814429013</v>
      </c>
      <c r="L97" s="223">
        <f t="shared" si="237"/>
        <v>1861373.4149786644</v>
      </c>
      <c r="M97" s="223">
        <f t="shared" si="237"/>
        <v>2600519.8293297119</v>
      </c>
      <c r="N97" s="223">
        <f t="shared" si="237"/>
        <v>1949913.4987106882</v>
      </c>
      <c r="O97" s="223">
        <f t="shared" si="237"/>
        <v>0</v>
      </c>
      <c r="P97" s="270">
        <f t="shared" si="237"/>
        <v>0</v>
      </c>
      <c r="Q97" s="270">
        <f t="shared" si="237"/>
        <v>0</v>
      </c>
      <c r="R97" s="223">
        <f t="shared" si="237"/>
        <v>15614852.756182697</v>
      </c>
      <c r="S97" s="223">
        <f t="shared" si="237"/>
        <v>1749341.6037540368</v>
      </c>
      <c r="T97" s="175"/>
      <c r="U97" s="223">
        <f t="shared" ref="U97:AH97" si="238">SUM(U98:U104)</f>
        <v>1437264.4</v>
      </c>
      <c r="V97" s="223">
        <f t="shared" si="238"/>
        <v>1664384.4</v>
      </c>
      <c r="W97" s="223">
        <f t="shared" si="238"/>
        <v>1973620.9</v>
      </c>
      <c r="X97" s="223">
        <f t="shared" si="238"/>
        <v>2345419.4</v>
      </c>
      <c r="Y97" s="223">
        <f t="shared" si="238"/>
        <v>2559813.4</v>
      </c>
      <c r="Z97" s="223">
        <f t="shared" si="238"/>
        <v>2649902.9</v>
      </c>
      <c r="AA97" s="223">
        <f t="shared" si="238"/>
        <v>2700717.9</v>
      </c>
      <c r="AB97" s="223">
        <f t="shared" si="238"/>
        <v>3130701.9</v>
      </c>
      <c r="AC97" s="223">
        <f t="shared" si="238"/>
        <v>3225781.9</v>
      </c>
      <c r="AD97" s="223">
        <f t="shared" si="238"/>
        <v>3337963.9</v>
      </c>
      <c r="AE97" s="270">
        <f t="shared" si="238"/>
        <v>3687367.5</v>
      </c>
      <c r="AF97" s="270">
        <f t="shared" si="238"/>
        <v>3771936.9</v>
      </c>
      <c r="AG97" s="223">
        <f t="shared" si="238"/>
        <v>32484875.399999999</v>
      </c>
      <c r="AH97" s="223">
        <f t="shared" si="238"/>
        <v>2707072.9499999997</v>
      </c>
      <c r="AI97" s="175"/>
      <c r="AJ97" s="223">
        <f t="shared" ref="AJ97:AV97" si="239">SUM(AJ98:AJ104)</f>
        <v>1256227.4648163267</v>
      </c>
      <c r="AK97" s="223">
        <f t="shared" si="239"/>
        <v>1354961.0595918368</v>
      </c>
      <c r="AL97" s="223">
        <f t="shared" si="239"/>
        <v>1391687.9831048388</v>
      </c>
      <c r="AM97" s="223">
        <f t="shared" si="239"/>
        <v>1093324.8316935482</v>
      </c>
      <c r="AN97" s="223">
        <f t="shared" si="239"/>
        <v>2643366.3959999997</v>
      </c>
      <c r="AO97" s="223">
        <f t="shared" si="239"/>
        <v>1946689.531104076</v>
      </c>
      <c r="AP97" s="223">
        <f t="shared" si="239"/>
        <v>805258.57200318598</v>
      </c>
      <c r="AQ97" s="223">
        <f t="shared" si="239"/>
        <v>1793876.9192274834</v>
      </c>
      <c r="AR97" s="223">
        <f t="shared" si="239"/>
        <v>1413317.1503264408</v>
      </c>
      <c r="AS97" s="223">
        <f t="shared" si="239"/>
        <v>1764734.0880779664</v>
      </c>
      <c r="AT97" s="270">
        <f t="shared" si="239"/>
        <v>1841716.5792675028</v>
      </c>
      <c r="AU97" s="270">
        <f t="shared" si="239"/>
        <v>2003989.3194147889</v>
      </c>
      <c r="AV97" s="223">
        <f t="shared" si="239"/>
        <v>19309149.894627996</v>
      </c>
      <c r="AW97" s="223">
        <f t="shared" ref="AW97" si="240">SUM(AW98:AW104)</f>
        <v>1609095.824552333</v>
      </c>
    </row>
    <row r="98" spans="2:49" s="172" customFormat="1" ht="15.5" hidden="1" outlineLevel="1" x14ac:dyDescent="0.35">
      <c r="B98" s="170"/>
      <c r="C98" s="168"/>
      <c r="D98" s="169" t="s">
        <v>283</v>
      </c>
      <c r="E98" s="176" t="s">
        <v>286</v>
      </c>
      <c r="F98" s="271">
        <f>SUMIFS('01. KE30'!$X:$X,'01. KE30'!$B:$B,'03. TH_ XK-B2B'!$B$97,'01. KE30'!$E:$E,'03. TH_ XK-B2B'!$D98,'01. KE30'!$A:$A,'03. TH_ XK-B2B'!F$80)</f>
        <v>1010404.0578081091</v>
      </c>
      <c r="G98" s="271">
        <f>SUMIFS('01. KE30'!$X:$X,'01. KE30'!$B:$B,'03. TH_ XK-B2B'!$B$97,'01. KE30'!$E:$E,'03. TH_ XK-B2B'!$D98,'01. KE30'!$A:$A,'03. TH_ XK-B2B'!G$80)</f>
        <v>1691244.6029757999</v>
      </c>
      <c r="H98" s="271">
        <f>SUMIFS('01. KE30'!$X:$X,'01. KE30'!$B:$B,'03. TH_ XK-B2B'!$B$97,'01. KE30'!$E:$E,'03. TH_ XK-B2B'!$D98,'01. KE30'!$A:$A,'03. TH_ XK-B2B'!H$80)</f>
        <v>1159265.087372412</v>
      </c>
      <c r="I98" s="271">
        <f>SUMIFS('01. KE30'!$X:$X,'01. KE30'!$B:$B,'03. TH_ XK-B2B'!$B$97,'01. KE30'!$E:$E,'03. TH_ XK-B2B'!$D98,'01. KE30'!$A:$A,'03. TH_ XK-B2B'!I$80)</f>
        <v>999402.78292252752</v>
      </c>
      <c r="J98" s="271">
        <f>SUMIFS('01. KE30'!$X:$X,'01. KE30'!$B:$B,'03. TH_ XK-B2B'!$B$97,'01. KE30'!$E:$E,'03. TH_ XK-B2B'!$D98,'01. KE30'!$A:$A,'03. TH_ XK-B2B'!J$80)</f>
        <v>933438.25155968033</v>
      </c>
      <c r="K98" s="271">
        <f>SUMIFS('01. KE30'!$X:$X,'01. KE30'!$B:$B,'03. TH_ XK-B2B'!$B$97,'01. KE30'!$E:$E,'03. TH_ XK-B2B'!$D98,'01. KE30'!$A:$A,'03. TH_ XK-B2B'!K$80)</f>
        <v>1260670.8337648606</v>
      </c>
      <c r="L98" s="271">
        <f>SUMIFS('01. KE30'!$X:$X,'01. KE30'!$B:$B,'03. TH_ XK-B2B'!$B$97,'01. KE30'!$E:$E,'03. TH_ XK-B2B'!$D98,'01. KE30'!$A:$A,'03. TH_ XK-B2B'!L$80)</f>
        <v>1155535.6014145431</v>
      </c>
      <c r="M98" s="271">
        <f>SUMIFS('01. KE30'!$X:$X,'01. KE30'!$B:$B,'03. TH_ XK-B2B'!$B$97,'01. KE30'!$E:$E,'03. TH_ XK-B2B'!$D98,'01. KE30'!$A:$A,'03. TH_ XK-B2B'!M$80)</f>
        <v>1974649.7851413293</v>
      </c>
      <c r="N98" s="271">
        <f>SUMIFS('01. KE30'!$X:$X,'01. KE30'!$B:$B,'03. TH_ XK-B2B'!$B$97,'01. KE30'!$E:$E,'03. TH_ XK-B2B'!$D98,'01. KE30'!$A:$A,'03. TH_ XK-B2B'!N$80)</f>
        <v>1276265.6810386169</v>
      </c>
      <c r="O98" s="271">
        <f>SUMIFS('01. KE30'!$X:$X,'01. KE30'!$B:$B,'03. TH_ XK-B2B'!$B$97,'01. KE30'!$E:$E,'03. TH_ XK-B2B'!$D98,'01. KE30'!$A:$A,'03. TH_ XK-B2B'!O$80)</f>
        <v>0</v>
      </c>
      <c r="P98" s="272">
        <f>SUMIFS('01. KE30'!$X:$X,'01. KE30'!$B:$B,'03. TH_ XK-B2B'!$B$97,'01. KE30'!$E:$E,'03. TH_ XK-B2B'!$D98,'01. KE30'!$A:$A,'03. TH_ XK-B2B'!P$80)</f>
        <v>0</v>
      </c>
      <c r="Q98" s="272">
        <f>SUMIFS('01. KE30'!$X:$X,'01. KE30'!$B:$B,'03. TH_ XK-B2B'!$B$97,'01. KE30'!$E:$E,'03. TH_ XK-B2B'!$D98,'01. KE30'!$A:$A,'03. TH_ XK-B2B'!Q$80)</f>
        <v>0</v>
      </c>
      <c r="R98" s="239">
        <f t="shared" ref="R98:R104" si="241">SUM(F98:Q98)</f>
        <v>11460876.683997879</v>
      </c>
      <c r="S98" s="239">
        <f t="shared" ref="S98:S104" si="242">IFERROR(R98/(12-COUNTIF(F98:Q98,0)),0)</f>
        <v>1273430.742666431</v>
      </c>
      <c r="T98" s="176"/>
      <c r="U98" s="271">
        <v>1057064.3999999999</v>
      </c>
      <c r="V98" s="271">
        <v>1180264.3999999999</v>
      </c>
      <c r="W98" s="271">
        <v>1277673.3999999999</v>
      </c>
      <c r="X98" s="271">
        <v>1432624.4</v>
      </c>
      <c r="Y98" s="271">
        <v>1545018.4</v>
      </c>
      <c r="Z98" s="271">
        <v>1599620.4</v>
      </c>
      <c r="AA98" s="271">
        <v>1489660.4</v>
      </c>
      <c r="AB98" s="271">
        <v>1853574.4</v>
      </c>
      <c r="AC98" s="271">
        <v>1853574.4</v>
      </c>
      <c r="AD98" s="271">
        <v>1962306.4</v>
      </c>
      <c r="AE98" s="272">
        <v>2152900</v>
      </c>
      <c r="AF98" s="272">
        <v>2249629.4</v>
      </c>
      <c r="AG98" s="239">
        <f t="shared" ref="AG98:AG104" si="243">SUM(U98:AF98)</f>
        <v>19653910.399999999</v>
      </c>
      <c r="AH98" s="239">
        <f>AVERAGE(U98:AF98)</f>
        <v>1637825.8666666665</v>
      </c>
      <c r="AI98" s="176"/>
      <c r="AJ98" s="271">
        <v>940614.53469387768</v>
      </c>
      <c r="AK98" s="271">
        <v>1208554.9861224489</v>
      </c>
      <c r="AL98" s="271">
        <v>1112779.1161290323</v>
      </c>
      <c r="AM98" s="271">
        <v>776842.88709677418</v>
      </c>
      <c r="AN98" s="271">
        <v>2295213.87</v>
      </c>
      <c r="AO98" s="271">
        <v>1649520.8191927185</v>
      </c>
      <c r="AP98" s="271">
        <v>543750.86630824383</v>
      </c>
      <c r="AQ98" s="271">
        <v>1589835.9789199156</v>
      </c>
      <c r="AR98" s="271">
        <v>1215549.7096311443</v>
      </c>
      <c r="AS98" s="271">
        <v>1452908.7906257373</v>
      </c>
      <c r="AT98" s="272">
        <v>1616871.978711064</v>
      </c>
      <c r="AU98" s="272">
        <v>1693211.990826414</v>
      </c>
      <c r="AV98" s="239">
        <f t="shared" si="202"/>
        <v>16095655.52825737</v>
      </c>
      <c r="AW98" s="239">
        <f>AVERAGE(AJ98:AU98)</f>
        <v>1341304.6273547809</v>
      </c>
    </row>
    <row r="99" spans="2:49" s="172" customFormat="1" ht="15.5" hidden="1" outlineLevel="1" x14ac:dyDescent="0.35">
      <c r="B99" s="170"/>
      <c r="C99" s="168"/>
      <c r="D99" s="169" t="s">
        <v>95</v>
      </c>
      <c r="E99" s="176" t="s">
        <v>286</v>
      </c>
      <c r="F99" s="271">
        <f>SUMIFS('01. KE30'!$X:$X,'01. KE30'!$B:$B,'03. TH_ XK-B2B'!$B$97,'01. KE30'!$E:$E,'03. TH_ XK-B2B'!$D99,'01. KE30'!$A:$A,'03. TH_ XK-B2B'!F$80)</f>
        <v>8390.2047370533928</v>
      </c>
      <c r="G99" s="271">
        <f>SUMIFS('01. KE30'!$X:$X,'01. KE30'!$B:$B,'03. TH_ XK-B2B'!$B$97,'01. KE30'!$E:$E,'03. TH_ XK-B2B'!$D99,'01. KE30'!$A:$A,'03. TH_ XK-B2B'!G$80)</f>
        <v>12369.042930287516</v>
      </c>
      <c r="H99" s="271">
        <f>SUMIFS('01. KE30'!$X:$X,'01. KE30'!$B:$B,'03. TH_ XK-B2B'!$B$97,'01. KE30'!$E:$E,'03. TH_ XK-B2B'!$D99,'01. KE30'!$A:$A,'03. TH_ XK-B2B'!H$80)</f>
        <v>24685.039370078739</v>
      </c>
      <c r="I99" s="271">
        <f>SUMIFS('01. KE30'!$X:$X,'01. KE30'!$B:$B,'03. TH_ XK-B2B'!$B$97,'01. KE30'!$E:$E,'03. TH_ XK-B2B'!$D99,'01. KE30'!$A:$A,'03. TH_ XK-B2B'!I$80)</f>
        <v>1044.8277197057685</v>
      </c>
      <c r="J99" s="271">
        <f>SUMIFS('01. KE30'!$X:$X,'01. KE30'!$B:$B,'03. TH_ XK-B2B'!$B$97,'01. KE30'!$E:$E,'03. TH_ XK-B2B'!$D99,'01. KE30'!$A:$A,'03. TH_ XK-B2B'!J$80)</f>
        <v>0</v>
      </c>
      <c r="K99" s="271">
        <f>SUMIFS('01. KE30'!$X:$X,'01. KE30'!$B:$B,'03. TH_ XK-B2B'!$B$97,'01. KE30'!$E:$E,'03. TH_ XK-B2B'!$D99,'01. KE30'!$A:$A,'03. TH_ XK-B2B'!K$80)</f>
        <v>41849.922839506173</v>
      </c>
      <c r="L99" s="271">
        <f>SUMIFS('01. KE30'!$X:$X,'01. KE30'!$B:$B,'03. TH_ XK-B2B'!$B$97,'01. KE30'!$E:$E,'03. TH_ XK-B2B'!$D99,'01. KE30'!$A:$A,'03. TH_ XK-B2B'!L$80)</f>
        <v>379655.39761813288</v>
      </c>
      <c r="M99" s="271">
        <f>SUMIFS('01. KE30'!$X:$X,'01. KE30'!$B:$B,'03. TH_ XK-B2B'!$B$97,'01. KE30'!$E:$E,'03. TH_ XK-B2B'!$D99,'01. KE30'!$A:$A,'03. TH_ XK-B2B'!M$80)</f>
        <v>216914.82047364401</v>
      </c>
      <c r="N99" s="271">
        <f>SUMIFS('01. KE30'!$X:$X,'01. KE30'!$B:$B,'03. TH_ XK-B2B'!$B$97,'01. KE30'!$E:$E,'03. TH_ XK-B2B'!$D99,'01. KE30'!$A:$A,'03. TH_ XK-B2B'!N$80)</f>
        <v>137416</v>
      </c>
      <c r="O99" s="271">
        <f>SUMIFS('01. KE30'!$X:$X,'01. KE30'!$B:$B,'03. TH_ XK-B2B'!$B$97,'01. KE30'!$E:$E,'03. TH_ XK-B2B'!$D99,'01. KE30'!$A:$A,'03. TH_ XK-B2B'!O$80)</f>
        <v>0</v>
      </c>
      <c r="P99" s="272">
        <f>SUMIFS('01. KE30'!$X:$X,'01. KE30'!$B:$B,'03. TH_ XK-B2B'!$B$97,'01. KE30'!$E:$E,'03. TH_ XK-B2B'!$D99,'01. KE30'!$A:$A,'03. TH_ XK-B2B'!P$80)</f>
        <v>0</v>
      </c>
      <c r="Q99" s="272">
        <f>SUMIFS('01. KE30'!$X:$X,'01. KE30'!$B:$B,'03. TH_ XK-B2B'!$B$97,'01. KE30'!$E:$E,'03. TH_ XK-B2B'!$D99,'01. KE30'!$A:$A,'03. TH_ XK-B2B'!Q$80)</f>
        <v>0</v>
      </c>
      <c r="R99" s="239">
        <f t="shared" si="241"/>
        <v>822325.25568840839</v>
      </c>
      <c r="S99" s="239">
        <f t="shared" si="242"/>
        <v>102790.65696105105</v>
      </c>
      <c r="T99" s="176"/>
      <c r="U99" s="271">
        <v>22000</v>
      </c>
      <c r="V99" s="271">
        <v>0</v>
      </c>
      <c r="W99" s="271">
        <v>55000</v>
      </c>
      <c r="X99" s="271">
        <v>55000</v>
      </c>
      <c r="Y99" s="271">
        <v>110000</v>
      </c>
      <c r="Z99" s="271">
        <v>110000</v>
      </c>
      <c r="AA99" s="271">
        <v>110000</v>
      </c>
      <c r="AB99" s="271">
        <v>110000</v>
      </c>
      <c r="AC99" s="271">
        <v>110000</v>
      </c>
      <c r="AD99" s="271">
        <v>110000</v>
      </c>
      <c r="AE99" s="272">
        <v>110000</v>
      </c>
      <c r="AF99" s="272">
        <v>110000</v>
      </c>
      <c r="AG99" s="239">
        <f t="shared" si="243"/>
        <v>1012000</v>
      </c>
      <c r="AH99" s="239">
        <f t="shared" ref="AH99:AH104" si="244">AVERAGE(U99:AF99)</f>
        <v>84333.333333333328</v>
      </c>
      <c r="AI99" s="176"/>
      <c r="AJ99" s="271">
        <v>0</v>
      </c>
      <c r="AK99" s="271">
        <v>-47569.146938775513</v>
      </c>
      <c r="AL99" s="271">
        <v>0</v>
      </c>
      <c r="AM99" s="271">
        <v>4369.8387096774195</v>
      </c>
      <c r="AN99" s="271">
        <v>65406.613999999994</v>
      </c>
      <c r="AO99" s="271">
        <v>123568.52394143252</v>
      </c>
      <c r="AP99" s="271">
        <v>108422.93906810036</v>
      </c>
      <c r="AQ99" s="271">
        <v>0</v>
      </c>
      <c r="AR99" s="271">
        <v>0</v>
      </c>
      <c r="AS99" s="271">
        <v>8320.0636942675155</v>
      </c>
      <c r="AT99" s="272">
        <v>8306.836248012718</v>
      </c>
      <c r="AU99" s="272">
        <v>16528.272044286277</v>
      </c>
      <c r="AV99" s="239">
        <f t="shared" si="202"/>
        <v>287353.94076700124</v>
      </c>
      <c r="AW99" s="239">
        <f t="shared" ref="AW99:AW104" si="245">AVERAGE(AJ99:AU99)</f>
        <v>23946.161730583437</v>
      </c>
    </row>
    <row r="100" spans="2:49" s="172" customFormat="1" ht="15.5" hidden="1" outlineLevel="1" x14ac:dyDescent="0.35">
      <c r="B100" s="170"/>
      <c r="C100" s="168"/>
      <c r="D100" s="169" t="s">
        <v>265</v>
      </c>
      <c r="E100" s="176" t="s">
        <v>286</v>
      </c>
      <c r="F100" s="271">
        <f>SUMIFS('01. KE30'!$X:$X,'01. KE30'!$B:$B,'03. TH_ XK-B2B'!$B$97,'01. KE30'!$E:$E,'03. TH_ XK-B2B'!$D100,'01. KE30'!$A:$A,'03. TH_ XK-B2B'!F$80)</f>
        <v>230821.40658370135</v>
      </c>
      <c r="G100" s="271">
        <f>SUMIFS('01. KE30'!$X:$X,'01. KE30'!$B:$B,'03. TH_ XK-B2B'!$B$97,'01. KE30'!$E:$E,'03. TH_ XK-B2B'!$D100,'01. KE30'!$A:$A,'03. TH_ XK-B2B'!G$80)</f>
        <v>284147.53125319094</v>
      </c>
      <c r="H100" s="271">
        <f>SUMIFS('01. KE30'!$X:$X,'01. KE30'!$B:$B,'03. TH_ XK-B2B'!$B$97,'01. KE30'!$E:$E,'03. TH_ XK-B2B'!$D100,'01. KE30'!$A:$A,'03. TH_ XK-B2B'!H$80)</f>
        <v>352721.14785651793</v>
      </c>
      <c r="I100" s="271">
        <f>SUMIFS('01. KE30'!$X:$X,'01. KE30'!$B:$B,'03. TH_ XK-B2B'!$B$97,'01. KE30'!$E:$E,'03. TH_ XK-B2B'!$D100,'01. KE30'!$A:$A,'03. TH_ XK-B2B'!I$80)</f>
        <v>183006.36297156627</v>
      </c>
      <c r="J100" s="271">
        <f>SUMIFS('01. KE30'!$X:$X,'01. KE30'!$B:$B,'03. TH_ XK-B2B'!$B$97,'01. KE30'!$E:$E,'03. TH_ XK-B2B'!$D100,'01. KE30'!$A:$A,'03. TH_ XK-B2B'!J$80)</f>
        <v>254975.26119990833</v>
      </c>
      <c r="K100" s="271">
        <f>SUMIFS('01. KE30'!$X:$X,'01. KE30'!$B:$B,'03. TH_ XK-B2B'!$B$97,'01. KE30'!$E:$E,'03. TH_ XK-B2B'!$D100,'01. KE30'!$A:$A,'03. TH_ XK-B2B'!K$80)</f>
        <v>317687.74135088018</v>
      </c>
      <c r="L100" s="271">
        <f>SUMIFS('01. KE30'!$X:$X,'01. KE30'!$B:$B,'03. TH_ XK-B2B'!$B$97,'01. KE30'!$E:$E,'03. TH_ XK-B2B'!$D100,'01. KE30'!$A:$A,'03. TH_ XK-B2B'!L$80)</f>
        <v>265818.44844694866</v>
      </c>
      <c r="M100" s="271">
        <f>SUMIFS('01. KE30'!$X:$X,'01. KE30'!$B:$B,'03. TH_ XK-B2B'!$B$97,'01. KE30'!$E:$E,'03. TH_ XK-B2B'!$D100,'01. KE30'!$A:$A,'03. TH_ XK-B2B'!M$80)</f>
        <v>297227.31569334806</v>
      </c>
      <c r="N100" s="271">
        <f>SUMIFS('01. KE30'!$X:$X,'01. KE30'!$B:$B,'03. TH_ XK-B2B'!$B$97,'01. KE30'!$E:$E,'03. TH_ XK-B2B'!$D100,'01. KE30'!$A:$A,'03. TH_ XK-B2B'!N$80)</f>
        <v>303658.40426254773</v>
      </c>
      <c r="O100" s="271">
        <f>SUMIFS('01. KE30'!$X:$X,'01. KE30'!$B:$B,'03. TH_ XK-B2B'!$B$97,'01. KE30'!$E:$E,'03. TH_ XK-B2B'!$D100,'01. KE30'!$A:$A,'03. TH_ XK-B2B'!O$80)</f>
        <v>0</v>
      </c>
      <c r="P100" s="272">
        <f>SUMIFS('01. KE30'!$X:$X,'01. KE30'!$B:$B,'03. TH_ XK-B2B'!$B$97,'01. KE30'!$E:$E,'03. TH_ XK-B2B'!$D100,'01. KE30'!$A:$A,'03. TH_ XK-B2B'!P$80)</f>
        <v>0</v>
      </c>
      <c r="Q100" s="272">
        <f>SUMIFS('01. KE30'!$X:$X,'01. KE30'!$B:$B,'03. TH_ XK-B2B'!$B$97,'01. KE30'!$E:$E,'03. TH_ XK-B2B'!$D100,'01. KE30'!$A:$A,'03. TH_ XK-B2B'!Q$80)</f>
        <v>0</v>
      </c>
      <c r="R100" s="239">
        <f t="shared" si="241"/>
        <v>2490063.6196186095</v>
      </c>
      <c r="S100" s="239">
        <f t="shared" si="242"/>
        <v>276673.73551317886</v>
      </c>
      <c r="T100" s="176"/>
      <c r="U100" s="271">
        <v>318500</v>
      </c>
      <c r="V100" s="271">
        <v>440920</v>
      </c>
      <c r="W100" s="271">
        <v>538320</v>
      </c>
      <c r="X100" s="271">
        <v>698120</v>
      </c>
      <c r="Y100" s="271">
        <v>743620</v>
      </c>
      <c r="Z100" s="271">
        <v>791070</v>
      </c>
      <c r="AA100" s="271">
        <v>920970</v>
      </c>
      <c r="AB100" s="271">
        <v>998790</v>
      </c>
      <c r="AC100" s="271">
        <v>1071870</v>
      </c>
      <c r="AD100" s="271">
        <v>1088120</v>
      </c>
      <c r="AE100" s="272">
        <v>1224520</v>
      </c>
      <c r="AF100" s="272">
        <v>1224520</v>
      </c>
      <c r="AG100" s="239">
        <f t="shared" si="243"/>
        <v>10059340</v>
      </c>
      <c r="AH100" s="239">
        <f t="shared" si="244"/>
        <v>838278.33333333337</v>
      </c>
      <c r="AI100" s="176"/>
      <c r="AJ100" s="271">
        <v>275163.72448979592</v>
      </c>
      <c r="AK100" s="271">
        <v>150359.18367346938</v>
      </c>
      <c r="AL100" s="271">
        <v>217529.75403225809</v>
      </c>
      <c r="AM100" s="271">
        <v>259161.51919354839</v>
      </c>
      <c r="AN100" s="271">
        <v>209099.54200000002</v>
      </c>
      <c r="AO100" s="271">
        <v>159043.80688563513</v>
      </c>
      <c r="AP100" s="271">
        <v>150719.73516527281</v>
      </c>
      <c r="AQ100" s="271">
        <v>167566.03601780656</v>
      </c>
      <c r="AR100" s="271">
        <v>188739.65496932514</v>
      </c>
      <c r="AS100" s="271">
        <v>227732.84235668788</v>
      </c>
      <c r="AT100" s="272">
        <v>159619.15480922099</v>
      </c>
      <c r="AU100" s="272">
        <v>278962.32858837489</v>
      </c>
      <c r="AV100" s="239">
        <f t="shared" si="202"/>
        <v>2443697.2821813952</v>
      </c>
      <c r="AW100" s="239">
        <f t="shared" si="245"/>
        <v>203641.44018178293</v>
      </c>
    </row>
    <row r="101" spans="2:49" s="172" customFormat="1" ht="15.5" hidden="1" outlineLevel="1" x14ac:dyDescent="0.35">
      <c r="B101" s="170"/>
      <c r="C101" s="168"/>
      <c r="D101" s="169" t="s">
        <v>266</v>
      </c>
      <c r="E101" s="176" t="s">
        <v>286</v>
      </c>
      <c r="F101" s="271">
        <f>SUMIFS('01. KE30'!$X:$X,'01. KE30'!$B:$B,'03. TH_ XK-B2B'!$B$97,'01. KE30'!$E:$E,'03. TH_ XK-B2B'!$D101,'01. KE30'!$A:$A,'03. TH_ XK-B2B'!F$80)</f>
        <v>12885.47932557206</v>
      </c>
      <c r="G101" s="271">
        <f>SUMIFS('01. KE30'!$X:$X,'01. KE30'!$B:$B,'03. TH_ XK-B2B'!$B$97,'01. KE30'!$E:$E,'03. TH_ XK-B2B'!$D101,'01. KE30'!$A:$A,'03. TH_ XK-B2B'!G$80)</f>
        <v>37438.506853091778</v>
      </c>
      <c r="H101" s="271">
        <f>SUMIFS('01. KE30'!$X:$X,'01. KE30'!$B:$B,'03. TH_ XK-B2B'!$B$97,'01. KE30'!$E:$E,'03. TH_ XK-B2B'!$D101,'01. KE30'!$A:$A,'03. TH_ XK-B2B'!H$80)</f>
        <v>76614.599912510952</v>
      </c>
      <c r="I101" s="271">
        <f>SUMIFS('01. KE30'!$X:$X,'01. KE30'!$B:$B,'03. TH_ XK-B2B'!$B$97,'01. KE30'!$E:$E,'03. TH_ XK-B2B'!$D101,'01. KE30'!$A:$A,'03. TH_ XK-B2B'!I$80)</f>
        <v>76699.986458467742</v>
      </c>
      <c r="J101" s="271">
        <f>SUMIFS('01. KE30'!$X:$X,'01. KE30'!$B:$B,'03. TH_ XK-B2B'!$B$97,'01. KE30'!$E:$E,'03. TH_ XK-B2B'!$D101,'01. KE30'!$A:$A,'03. TH_ XK-B2B'!J$80)</f>
        <v>104111.13252126836</v>
      </c>
      <c r="K101" s="271">
        <f>SUMIFS('01. KE30'!$X:$X,'01. KE30'!$B:$B,'03. TH_ XK-B2B'!$B$97,'01. KE30'!$E:$E,'03. TH_ XK-B2B'!$D101,'01. KE30'!$A:$A,'03. TH_ XK-B2B'!K$80)</f>
        <v>87365.683487654329</v>
      </c>
      <c r="L101" s="271">
        <f>SUMIFS('01. KE30'!$X:$X,'01. KE30'!$B:$B,'03. TH_ XK-B2B'!$B$97,'01. KE30'!$E:$E,'03. TH_ XK-B2B'!$D101,'01. KE30'!$A:$A,'03. TH_ XK-B2B'!L$80)</f>
        <v>41763.883557433728</v>
      </c>
      <c r="M101" s="271">
        <f>SUMIFS('01. KE30'!$X:$X,'01. KE30'!$B:$B,'03. TH_ XK-B2B'!$B$97,'01. KE30'!$E:$E,'03. TH_ XK-B2B'!$D101,'01. KE30'!$A:$A,'03. TH_ XK-B2B'!M$80)</f>
        <v>99405.320855614962</v>
      </c>
      <c r="N101" s="271">
        <f>SUMIFS('01. KE30'!$X:$X,'01. KE30'!$B:$B,'03. TH_ XK-B2B'!$B$97,'01. KE30'!$E:$E,'03. TH_ XK-B2B'!$D101,'01. KE30'!$A:$A,'03. TH_ XK-B2B'!N$80)</f>
        <v>212794.03165714286</v>
      </c>
      <c r="O101" s="271">
        <f>SUMIFS('01. KE30'!$X:$X,'01. KE30'!$B:$B,'03. TH_ XK-B2B'!$B$97,'01. KE30'!$E:$E,'03. TH_ XK-B2B'!$D101,'01. KE30'!$A:$A,'03. TH_ XK-B2B'!O$80)</f>
        <v>0</v>
      </c>
      <c r="P101" s="272">
        <f>SUMIFS('01. KE30'!$X:$X,'01. KE30'!$B:$B,'03. TH_ XK-B2B'!$B$97,'01. KE30'!$E:$E,'03. TH_ XK-B2B'!$D101,'01. KE30'!$A:$A,'03. TH_ XK-B2B'!P$80)</f>
        <v>0</v>
      </c>
      <c r="Q101" s="272">
        <f>SUMIFS('01. KE30'!$X:$X,'01. KE30'!$B:$B,'03. TH_ XK-B2B'!$B$97,'01. KE30'!$E:$E,'03. TH_ XK-B2B'!$D101,'01. KE30'!$A:$A,'03. TH_ XK-B2B'!Q$80)</f>
        <v>0</v>
      </c>
      <c r="R101" s="239">
        <f t="shared" si="241"/>
        <v>749078.62462875666</v>
      </c>
      <c r="S101" s="239">
        <f t="shared" si="242"/>
        <v>83230.958292084077</v>
      </c>
      <c r="T101" s="176"/>
      <c r="U101" s="271">
        <v>13500</v>
      </c>
      <c r="V101" s="271">
        <v>8500</v>
      </c>
      <c r="W101" s="271">
        <v>41790</v>
      </c>
      <c r="X101" s="271">
        <v>100750</v>
      </c>
      <c r="Y101" s="271">
        <v>85250</v>
      </c>
      <c r="Z101" s="271">
        <v>90500</v>
      </c>
      <c r="AA101" s="271">
        <v>85250</v>
      </c>
      <c r="AB101" s="271">
        <v>90500</v>
      </c>
      <c r="AC101" s="271">
        <v>95500</v>
      </c>
      <c r="AD101" s="271">
        <v>90500</v>
      </c>
      <c r="AE101" s="272">
        <v>95910</v>
      </c>
      <c r="AF101" s="272">
        <v>100750</v>
      </c>
      <c r="AG101" s="239">
        <f t="shared" si="243"/>
        <v>898700</v>
      </c>
      <c r="AH101" s="239">
        <f t="shared" si="244"/>
        <v>74891.666666666672</v>
      </c>
      <c r="AI101" s="176"/>
      <c r="AJ101" s="271">
        <v>26390.532163265307</v>
      </c>
      <c r="AK101" s="271">
        <v>136.05714285714285</v>
      </c>
      <c r="AL101" s="271">
        <v>0</v>
      </c>
      <c r="AM101" s="271">
        <v>5153.9334677419356</v>
      </c>
      <c r="AN101" s="271">
        <v>42469.86</v>
      </c>
      <c r="AO101" s="271">
        <v>9962.6830233478431</v>
      </c>
      <c r="AP101" s="271">
        <v>66.441656710473922</v>
      </c>
      <c r="AQ101" s="271">
        <v>20392.619789558885</v>
      </c>
      <c r="AR101" s="271">
        <v>0</v>
      </c>
      <c r="AS101" s="271">
        <v>14319.027109872612</v>
      </c>
      <c r="AT101" s="272">
        <v>29257.004769475356</v>
      </c>
      <c r="AU101" s="272">
        <v>7264.3376828786086</v>
      </c>
      <c r="AV101" s="239">
        <f t="shared" si="202"/>
        <v>155412.49680570816</v>
      </c>
      <c r="AW101" s="239">
        <f t="shared" si="245"/>
        <v>12951.04140047568</v>
      </c>
    </row>
    <row r="102" spans="2:49" s="172" customFormat="1" ht="15.5" hidden="1" outlineLevel="1" x14ac:dyDescent="0.35">
      <c r="B102" s="170"/>
      <c r="C102" s="168"/>
      <c r="D102" s="169" t="s">
        <v>295</v>
      </c>
      <c r="E102" s="176" t="s">
        <v>286</v>
      </c>
      <c r="F102" s="271">
        <f>SUMIFS('01. KE30'!$X:$X,'01. KE30'!$B:$B,'03. TH_ XK-B2B'!$B$97,'01. KE30'!$E:$E,'03. TH_ XK-B2B'!$D102,'01. KE30'!$A:$A,'03. TH_ XK-B2B'!F$80)</f>
        <v>0</v>
      </c>
      <c r="G102" s="271">
        <f>SUMIFS('01. KE30'!$X:$X,'01. KE30'!$B:$B,'03. TH_ XK-B2B'!$B$97,'01. KE30'!$E:$E,'03. TH_ XK-B2B'!$D102,'01. KE30'!$A:$A,'03. TH_ XK-B2B'!G$80)</f>
        <v>0</v>
      </c>
      <c r="H102" s="271">
        <f>SUMIFS('01. KE30'!$X:$X,'01. KE30'!$B:$B,'03. TH_ XK-B2B'!$B$97,'01. KE30'!$E:$E,'03. TH_ XK-B2B'!$D102,'01. KE30'!$A:$A,'03. TH_ XK-B2B'!H$80)</f>
        <v>0</v>
      </c>
      <c r="I102" s="271">
        <f>SUMIFS('01. KE30'!$X:$X,'01. KE30'!$B:$B,'03. TH_ XK-B2B'!$B$97,'01. KE30'!$E:$E,'03. TH_ XK-B2B'!$D102,'01. KE30'!$A:$A,'03. TH_ XK-B2B'!I$80)</f>
        <v>0</v>
      </c>
      <c r="J102" s="271">
        <f>SUMIFS('01. KE30'!$X:$X,'01. KE30'!$B:$B,'03. TH_ XK-B2B'!$B$97,'01. KE30'!$E:$E,'03. TH_ XK-B2B'!$D102,'01. KE30'!$A:$A,'03. TH_ XK-B2B'!J$80)</f>
        <v>0</v>
      </c>
      <c r="K102" s="271">
        <f>SUMIFS('01. KE30'!$X:$X,'01. KE30'!$B:$B,'03. TH_ XK-B2B'!$B$97,'01. KE30'!$E:$E,'03. TH_ XK-B2B'!$D102,'01. KE30'!$A:$A,'03. TH_ XK-B2B'!K$80)</f>
        <v>0</v>
      </c>
      <c r="L102" s="271">
        <f>SUMIFS('01. KE30'!$X:$X,'01. KE30'!$B:$B,'03. TH_ XK-B2B'!$B$97,'01. KE30'!$E:$E,'03. TH_ XK-B2B'!$D102,'01. KE30'!$A:$A,'03. TH_ XK-B2B'!L$80)</f>
        <v>0</v>
      </c>
      <c r="M102" s="271">
        <f>SUMIFS('01. KE30'!$X:$X,'01. KE30'!$B:$B,'03. TH_ XK-B2B'!$B$97,'01. KE30'!$E:$E,'03. TH_ XK-B2B'!$D102,'01. KE30'!$A:$A,'03. TH_ XK-B2B'!M$80)</f>
        <v>0</v>
      </c>
      <c r="N102" s="271">
        <f>SUMIFS('01. KE30'!$X:$X,'01. KE30'!$B:$B,'03. TH_ XK-B2B'!$B$97,'01. KE30'!$E:$E,'03. TH_ XK-B2B'!$D102,'01. KE30'!$A:$A,'03. TH_ XK-B2B'!N$80)</f>
        <v>0</v>
      </c>
      <c r="O102" s="271">
        <f>SUMIFS('01. KE30'!$X:$X,'01. KE30'!$B:$B,'03. TH_ XK-B2B'!$B$97,'01. KE30'!$E:$E,'03. TH_ XK-B2B'!$D102,'01. KE30'!$A:$A,'03. TH_ XK-B2B'!O$80)</f>
        <v>0</v>
      </c>
      <c r="P102" s="272">
        <f>SUMIFS('01. KE30'!$X:$X,'01. KE30'!$B:$B,'03. TH_ XK-B2B'!$B$97,'01. KE30'!$E:$E,'03. TH_ XK-B2B'!$D102,'01. KE30'!$A:$A,'03. TH_ XK-B2B'!P$80)</f>
        <v>0</v>
      </c>
      <c r="Q102" s="272">
        <f>SUMIFS('01. KE30'!$X:$X,'01. KE30'!$B:$B,'03. TH_ XK-B2B'!$B$97,'01. KE30'!$E:$E,'03. TH_ XK-B2B'!$D102,'01. KE30'!$A:$A,'03. TH_ XK-B2B'!Q$80)</f>
        <v>0</v>
      </c>
      <c r="R102" s="239">
        <f t="shared" si="241"/>
        <v>0</v>
      </c>
      <c r="S102" s="239">
        <f t="shared" si="242"/>
        <v>0</v>
      </c>
      <c r="T102" s="176"/>
      <c r="U102" s="271">
        <v>4100</v>
      </c>
      <c r="V102" s="271">
        <v>4100</v>
      </c>
      <c r="W102" s="271">
        <v>8562.5</v>
      </c>
      <c r="X102" s="271">
        <v>19187.5</v>
      </c>
      <c r="Y102" s="271">
        <v>19187.5</v>
      </c>
      <c r="Z102" s="271">
        <v>19187.5</v>
      </c>
      <c r="AA102" s="271">
        <v>29812.5</v>
      </c>
      <c r="AB102" s="271">
        <v>29812.5</v>
      </c>
      <c r="AC102" s="271">
        <v>29812.5</v>
      </c>
      <c r="AD102" s="271">
        <v>33912.5</v>
      </c>
      <c r="AE102" s="272">
        <v>33912.5</v>
      </c>
      <c r="AF102" s="272">
        <v>33912.5</v>
      </c>
      <c r="AG102" s="239">
        <f t="shared" si="243"/>
        <v>265500</v>
      </c>
      <c r="AH102" s="239">
        <f t="shared" si="244"/>
        <v>22125</v>
      </c>
      <c r="AI102" s="176"/>
      <c r="AJ102" s="271">
        <v>1870.7142857142858</v>
      </c>
      <c r="AK102" s="271">
        <v>31292.020408163266</v>
      </c>
      <c r="AL102" s="271">
        <v>10698.870967741936</v>
      </c>
      <c r="AM102" s="271">
        <v>20603.689516129034</v>
      </c>
      <c r="AN102" s="271">
        <v>0</v>
      </c>
      <c r="AO102" s="271">
        <v>0</v>
      </c>
      <c r="AP102" s="271">
        <v>2007.168458781362</v>
      </c>
      <c r="AQ102" s="271">
        <v>0</v>
      </c>
      <c r="AR102" s="271">
        <v>9002.4994274028631</v>
      </c>
      <c r="AS102" s="271">
        <v>45433.008558917194</v>
      </c>
      <c r="AT102" s="272">
        <v>8317.2744435612076</v>
      </c>
      <c r="AU102" s="272">
        <v>7999.7034400948996</v>
      </c>
      <c r="AV102" s="239">
        <f t="shared" si="202"/>
        <v>137224.94950650603</v>
      </c>
      <c r="AW102" s="239">
        <f t="shared" si="245"/>
        <v>11435.412458875502</v>
      </c>
    </row>
    <row r="103" spans="2:49" s="172" customFormat="1" ht="15.5" hidden="1" outlineLevel="1" x14ac:dyDescent="0.35">
      <c r="B103" s="170"/>
      <c r="C103" s="168"/>
      <c r="D103" s="169" t="s">
        <v>23</v>
      </c>
      <c r="E103" s="176" t="s">
        <v>286</v>
      </c>
      <c r="F103" s="271">
        <f>SUMIFS('01. KE30'!$X:$X,'01. KE30'!$B:$B,'03. TH_ XK-B2B'!$B$97,'01. KE30'!$E:$E,'03. TH_ XK-B2B'!$D103,'01. KE30'!$A:$A,'03. TH_ XK-B2B'!F$80)</f>
        <v>0</v>
      </c>
      <c r="G103" s="271">
        <f>SUMIFS('01. KE30'!$X:$X,'01. KE30'!$B:$B,'03. TH_ XK-B2B'!$B$97,'01. KE30'!$E:$E,'03. TH_ XK-B2B'!$D103,'01. KE30'!$A:$A,'03. TH_ XK-B2B'!G$80)</f>
        <v>725.23158723907079</v>
      </c>
      <c r="H103" s="271">
        <f>SUMIFS('01. KE30'!$X:$X,'01. KE30'!$B:$B,'03. TH_ XK-B2B'!$B$97,'01. KE30'!$E:$E,'03. TH_ XK-B2B'!$D103,'01. KE30'!$A:$A,'03. TH_ XK-B2B'!H$80)</f>
        <v>21913.276417322835</v>
      </c>
      <c r="I103" s="271">
        <f>SUMIFS('01. KE30'!$X:$X,'01. KE30'!$B:$B,'03. TH_ XK-B2B'!$B$97,'01. KE30'!$E:$E,'03. TH_ XK-B2B'!$D103,'01. KE30'!$A:$A,'03. TH_ XK-B2B'!I$80)</f>
        <v>5029.3802942315142</v>
      </c>
      <c r="J103" s="271">
        <f>SUMIFS('01. KE30'!$X:$X,'01. KE30'!$B:$B,'03. TH_ XK-B2B'!$B$97,'01. KE30'!$E:$E,'03. TH_ XK-B2B'!$D103,'01. KE30'!$A:$A,'03. TH_ XK-B2B'!J$80)</f>
        <v>14138.631090487239</v>
      </c>
      <c r="K103" s="271">
        <f>SUMIFS('01. KE30'!$X:$X,'01. KE30'!$B:$B,'03. TH_ XK-B2B'!$B$97,'01. KE30'!$E:$E,'03. TH_ XK-B2B'!$D103,'01. KE30'!$A:$A,'03. TH_ XK-B2B'!K$80)</f>
        <v>0</v>
      </c>
      <c r="L103" s="271">
        <f>SUMIFS('01. KE30'!$X:$X,'01. KE30'!$B:$B,'03. TH_ XK-B2B'!$B$97,'01. KE30'!$E:$E,'03. TH_ XK-B2B'!$D103,'01. KE30'!$A:$A,'03. TH_ XK-B2B'!L$80)</f>
        <v>18600.083941605841</v>
      </c>
      <c r="M103" s="271">
        <f>SUMIFS('01. KE30'!$X:$X,'01. KE30'!$B:$B,'03. TH_ XK-B2B'!$B$97,'01. KE30'!$E:$E,'03. TH_ XK-B2B'!$D103,'01. KE30'!$A:$A,'03. TH_ XK-B2B'!M$80)</f>
        <v>12322.587165775401</v>
      </c>
      <c r="N103" s="271">
        <f>SUMIFS('01. KE30'!$X:$X,'01. KE30'!$B:$B,'03. TH_ XK-B2B'!$B$97,'01. KE30'!$E:$E,'03. TH_ XK-B2B'!$D103,'01. KE30'!$A:$A,'03. TH_ XK-B2B'!N$80)</f>
        <v>19779.381752380952</v>
      </c>
      <c r="O103" s="271">
        <f>SUMIFS('01. KE30'!$X:$X,'01. KE30'!$B:$B,'03. TH_ XK-B2B'!$B$97,'01. KE30'!$E:$E,'03. TH_ XK-B2B'!$D103,'01. KE30'!$A:$A,'03. TH_ XK-B2B'!O$80)</f>
        <v>0</v>
      </c>
      <c r="P103" s="272">
        <f>SUMIFS('01. KE30'!$X:$X,'01. KE30'!$B:$B,'03. TH_ XK-B2B'!$B$97,'01. KE30'!$E:$E,'03. TH_ XK-B2B'!$D103,'01. KE30'!$A:$A,'03. TH_ XK-B2B'!P$80)</f>
        <v>0</v>
      </c>
      <c r="Q103" s="272">
        <f>SUMIFS('01. KE30'!$X:$X,'01. KE30'!$B:$B,'03. TH_ XK-B2B'!$B$97,'01. KE30'!$E:$E,'03. TH_ XK-B2B'!$D103,'01. KE30'!$A:$A,'03. TH_ XK-B2B'!Q$80)</f>
        <v>0</v>
      </c>
      <c r="R103" s="239">
        <f t="shared" si="241"/>
        <v>92508.57224904286</v>
      </c>
      <c r="S103" s="239">
        <f t="shared" si="242"/>
        <v>13215.510321291837</v>
      </c>
      <c r="T103" s="176"/>
      <c r="U103" s="271">
        <v>22100</v>
      </c>
      <c r="V103" s="271">
        <v>30600</v>
      </c>
      <c r="W103" s="271">
        <v>43350</v>
      </c>
      <c r="X103" s="271">
        <v>30812.5</v>
      </c>
      <c r="Y103" s="271">
        <v>47812.5</v>
      </c>
      <c r="Z103" s="271">
        <v>30600</v>
      </c>
      <c r="AA103" s="271">
        <v>56100</v>
      </c>
      <c r="AB103" s="271">
        <v>39100</v>
      </c>
      <c r="AC103" s="271">
        <v>56100</v>
      </c>
      <c r="AD103" s="271">
        <v>44200</v>
      </c>
      <c r="AE103" s="272">
        <v>61200</v>
      </c>
      <c r="AF103" s="272">
        <v>44200</v>
      </c>
      <c r="AG103" s="239">
        <f t="shared" si="243"/>
        <v>506175</v>
      </c>
      <c r="AH103" s="239">
        <f t="shared" si="244"/>
        <v>42181.25</v>
      </c>
      <c r="AI103" s="176"/>
      <c r="AJ103" s="271">
        <v>0</v>
      </c>
      <c r="AK103" s="271">
        <v>0</v>
      </c>
      <c r="AL103" s="271">
        <v>15908.911330645162</v>
      </c>
      <c r="AM103" s="271">
        <v>0</v>
      </c>
      <c r="AN103" s="271">
        <v>0</v>
      </c>
      <c r="AO103" s="271">
        <v>0</v>
      </c>
      <c r="AP103" s="271">
        <v>291.42134607726007</v>
      </c>
      <c r="AQ103" s="271">
        <v>16082.284500202346</v>
      </c>
      <c r="AR103" s="271">
        <v>25.286298568507156</v>
      </c>
      <c r="AS103" s="271">
        <v>16020.355732484077</v>
      </c>
      <c r="AT103" s="272">
        <v>19344.330286168522</v>
      </c>
      <c r="AU103" s="272">
        <v>22.686832740213521</v>
      </c>
      <c r="AV103" s="239">
        <f t="shared" si="202"/>
        <v>67695.276326886087</v>
      </c>
      <c r="AW103" s="239">
        <f t="shared" si="245"/>
        <v>5641.273027240507</v>
      </c>
    </row>
    <row r="104" spans="2:49" s="172" customFormat="1" ht="15.5" hidden="1" outlineLevel="1" x14ac:dyDescent="0.35">
      <c r="B104" s="170"/>
      <c r="C104" s="168"/>
      <c r="D104" s="169" t="s">
        <v>269</v>
      </c>
      <c r="E104" s="176" t="s">
        <v>286</v>
      </c>
      <c r="F104" s="271">
        <f>SUMIFS('01. KE30'!$X:$X,'01. KE30'!$B:$B,'03. TH_ XK-B2B'!$B$97,'01. KE30'!$E:$E,'03. TH_ XK-B2B'!$D104,'01. KE30'!$A:$A,'03. TH_ XK-B2B'!F$80)</f>
        <v>0</v>
      </c>
      <c r="G104" s="271">
        <f>SUMIFS('01. KE30'!$X:$X,'01. KE30'!$B:$B,'03. TH_ XK-B2B'!$B$97,'01. KE30'!$E:$E,'03. TH_ XK-B2B'!$D104,'01. KE30'!$A:$A,'03. TH_ XK-B2B'!G$80)</f>
        <v>0</v>
      </c>
      <c r="H104" s="271">
        <f>SUMIFS('01. KE30'!$X:$X,'01. KE30'!$B:$B,'03. TH_ XK-B2B'!$B$97,'01. KE30'!$E:$E,'03. TH_ XK-B2B'!$D104,'01. KE30'!$A:$A,'03. TH_ XK-B2B'!H$80)</f>
        <v>0</v>
      </c>
      <c r="I104" s="271">
        <f>SUMIFS('01. KE30'!$X:$X,'01. KE30'!$B:$B,'03. TH_ XK-B2B'!$B$97,'01. KE30'!$E:$E,'03. TH_ XK-B2B'!$D104,'01. KE30'!$A:$A,'03. TH_ XK-B2B'!I$80)</f>
        <v>0</v>
      </c>
      <c r="J104" s="271">
        <f>SUMIFS('01. KE30'!$X:$X,'01. KE30'!$B:$B,'03. TH_ XK-B2B'!$B$97,'01. KE30'!$E:$E,'03. TH_ XK-B2B'!$D104,'01. KE30'!$A:$A,'03. TH_ XK-B2B'!J$80)</f>
        <v>0</v>
      </c>
      <c r="K104" s="271">
        <f>SUMIFS('01. KE30'!$X:$X,'01. KE30'!$B:$B,'03. TH_ XK-B2B'!$B$97,'01. KE30'!$E:$E,'03. TH_ XK-B2B'!$D104,'01. KE30'!$A:$A,'03. TH_ XK-B2B'!K$80)</f>
        <v>0</v>
      </c>
      <c r="L104" s="271">
        <f>SUMIFS('01. KE30'!$X:$X,'01. KE30'!$B:$B,'03. TH_ XK-B2B'!$B$97,'01. KE30'!$E:$E,'03. TH_ XK-B2B'!$D104,'01. KE30'!$A:$A,'03. TH_ XK-B2B'!L$80)</f>
        <v>0</v>
      </c>
      <c r="M104" s="271">
        <f>SUMIFS('01. KE30'!$X:$X,'01. KE30'!$B:$B,'03. TH_ XK-B2B'!$B$97,'01. KE30'!$E:$E,'03. TH_ XK-B2B'!$D104,'01. KE30'!$A:$A,'03. TH_ XK-B2B'!M$80)</f>
        <v>0</v>
      </c>
      <c r="N104" s="271">
        <f>SUMIFS('01. KE30'!$X:$X,'01. KE30'!$B:$B,'03. TH_ XK-B2B'!$B$97,'01. KE30'!$E:$E,'03. TH_ XK-B2B'!$D104,'01. KE30'!$A:$A,'03. TH_ XK-B2B'!N$80)</f>
        <v>0</v>
      </c>
      <c r="O104" s="271">
        <f>SUMIFS('01. KE30'!$X:$X,'01. KE30'!$B:$B,'03. TH_ XK-B2B'!$B$97,'01. KE30'!$E:$E,'03. TH_ XK-B2B'!$D104,'01. KE30'!$A:$A,'03. TH_ XK-B2B'!O$80)</f>
        <v>0</v>
      </c>
      <c r="P104" s="272">
        <f>SUMIFS('01. KE30'!$X:$X,'01. KE30'!$B:$B,'03. TH_ XK-B2B'!$B$97,'01. KE30'!$E:$E,'03. TH_ XK-B2B'!$D104,'01. KE30'!$A:$A,'03. TH_ XK-B2B'!P$80)</f>
        <v>0</v>
      </c>
      <c r="Q104" s="272">
        <f>SUMIFS('01. KE30'!$X:$X,'01. KE30'!$B:$B,'03. TH_ XK-B2B'!$B$97,'01. KE30'!$E:$E,'03. TH_ XK-B2B'!$D104,'01. KE30'!$A:$A,'03. TH_ XK-B2B'!Q$80)</f>
        <v>0</v>
      </c>
      <c r="R104" s="239">
        <f t="shared" si="241"/>
        <v>0</v>
      </c>
      <c r="S104" s="239">
        <f t="shared" si="242"/>
        <v>0</v>
      </c>
      <c r="T104" s="176"/>
      <c r="U104" s="271">
        <v>0</v>
      </c>
      <c r="V104" s="271">
        <v>0</v>
      </c>
      <c r="W104" s="271">
        <v>8925</v>
      </c>
      <c r="X104" s="271">
        <v>8925</v>
      </c>
      <c r="Y104" s="271">
        <v>8925</v>
      </c>
      <c r="Z104" s="271">
        <v>8925</v>
      </c>
      <c r="AA104" s="271">
        <v>8925</v>
      </c>
      <c r="AB104" s="271">
        <v>8925</v>
      </c>
      <c r="AC104" s="271">
        <v>8925</v>
      </c>
      <c r="AD104" s="271">
        <v>8925</v>
      </c>
      <c r="AE104" s="272">
        <v>8925</v>
      </c>
      <c r="AF104" s="272">
        <v>8925</v>
      </c>
      <c r="AG104" s="239">
        <f t="shared" si="243"/>
        <v>89250</v>
      </c>
      <c r="AH104" s="239">
        <f t="shared" si="244"/>
        <v>7437.5</v>
      </c>
      <c r="AI104" s="176"/>
      <c r="AJ104" s="271">
        <v>12187.959183673469</v>
      </c>
      <c r="AK104" s="271">
        <v>12187.959183673469</v>
      </c>
      <c r="AL104" s="271">
        <v>34771.330645161288</v>
      </c>
      <c r="AM104" s="271">
        <v>27192.96370967742</v>
      </c>
      <c r="AN104" s="271">
        <v>31176.51</v>
      </c>
      <c r="AO104" s="271">
        <v>4593.6980609418279</v>
      </c>
      <c r="AP104" s="271">
        <v>0</v>
      </c>
      <c r="AQ104" s="271">
        <v>0</v>
      </c>
      <c r="AR104" s="271">
        <v>0</v>
      </c>
      <c r="AS104" s="271">
        <v>0</v>
      </c>
      <c r="AT104" s="272">
        <v>0</v>
      </c>
      <c r="AU104" s="272">
        <v>0</v>
      </c>
      <c r="AV104" s="239">
        <f t="shared" si="202"/>
        <v>122110.42078312747</v>
      </c>
      <c r="AW104" s="239">
        <f t="shared" si="245"/>
        <v>10175.868398593955</v>
      </c>
    </row>
    <row r="105" spans="2:49" s="167" customFormat="1" ht="15.5" collapsed="1" x14ac:dyDescent="0.35">
      <c r="B105" s="166"/>
      <c r="C105" s="165"/>
      <c r="D105" s="166"/>
      <c r="E105" s="165"/>
      <c r="F105" s="206">
        <f t="shared" ref="F105:S105" si="246">IFERROR(F97/F$113,"-")</f>
        <v>0.28404118949421203</v>
      </c>
      <c r="G105" s="206">
        <f t="shared" si="246"/>
        <v>0.29427278876508151</v>
      </c>
      <c r="H105" s="206">
        <f t="shared" si="246"/>
        <v>0.29101796356974652</v>
      </c>
      <c r="I105" s="206">
        <f t="shared" si="246"/>
        <v>0.27168170133897934</v>
      </c>
      <c r="J105" s="206">
        <f t="shared" si="246"/>
        <v>0.23240042675688882</v>
      </c>
      <c r="K105" s="206">
        <f t="shared" si="246"/>
        <v>0.3923185514202675</v>
      </c>
      <c r="L105" s="206">
        <f t="shared" si="246"/>
        <v>0.36021294744948895</v>
      </c>
      <c r="M105" s="206">
        <f t="shared" si="246"/>
        <v>0.42562502664863128</v>
      </c>
      <c r="N105" s="206">
        <f t="shared" si="246"/>
        <v>0.67874846464184457</v>
      </c>
      <c r="O105" s="206" t="str">
        <f t="shared" si="246"/>
        <v>-</v>
      </c>
      <c r="P105" s="224" t="str">
        <f t="shared" si="246"/>
        <v>-</v>
      </c>
      <c r="Q105" s="224" t="str">
        <f t="shared" si="246"/>
        <v>-</v>
      </c>
      <c r="R105" s="206">
        <f t="shared" si="246"/>
        <v>0.34145640877544886</v>
      </c>
      <c r="S105" s="206">
        <f t="shared" si="246"/>
        <v>0.33233302336273196</v>
      </c>
      <c r="T105" s="283"/>
      <c r="U105" s="206">
        <f t="shared" ref="U105:AH105" si="247">IFERROR(U97/U$113,"-")</f>
        <v>0.3774160886855506</v>
      </c>
      <c r="V105" s="206">
        <f t="shared" si="247"/>
        <v>0.36332421987267638</v>
      </c>
      <c r="W105" s="206">
        <f t="shared" si="247"/>
        <v>0.43635281448785657</v>
      </c>
      <c r="X105" s="206">
        <f t="shared" si="247"/>
        <v>0.48583831553083645</v>
      </c>
      <c r="Y105" s="206">
        <f t="shared" si="247"/>
        <v>0.40242526689224978</v>
      </c>
      <c r="Z105" s="206">
        <f t="shared" si="247"/>
        <v>0.43412525486953202</v>
      </c>
      <c r="AA105" s="206">
        <f t="shared" si="247"/>
        <v>0.39173481427364459</v>
      </c>
      <c r="AB105" s="206">
        <f t="shared" si="247"/>
        <v>0.45086977042077192</v>
      </c>
      <c r="AC105" s="206">
        <f t="shared" si="247"/>
        <v>0.39731934677958158</v>
      </c>
      <c r="AD105" s="206">
        <f t="shared" si="247"/>
        <v>0.40357282362961117</v>
      </c>
      <c r="AE105" s="224">
        <f t="shared" si="247"/>
        <v>0.48131698541547341</v>
      </c>
      <c r="AF105" s="224">
        <f t="shared" si="247"/>
        <v>0.4961057545757972</v>
      </c>
      <c r="AG105" s="206">
        <f t="shared" si="247"/>
        <v>0.42914563346295836</v>
      </c>
      <c r="AH105" s="206" t="str">
        <f t="shared" si="247"/>
        <v>-</v>
      </c>
      <c r="AI105" s="283"/>
      <c r="AJ105" s="206">
        <f t="shared" ref="AJ105:AV105" si="248">IFERROR(AJ97/AJ$113,"-")</f>
        <v>0.46912867587160695</v>
      </c>
      <c r="AK105" s="206">
        <f t="shared" si="248"/>
        <v>0.52637505776092708</v>
      </c>
      <c r="AL105" s="206">
        <f t="shared" si="248"/>
        <v>0.3905108867915062</v>
      </c>
      <c r="AM105" s="206">
        <f t="shared" si="248"/>
        <v>0.2892353145517696</v>
      </c>
      <c r="AN105" s="206">
        <f t="shared" si="248"/>
        <v>0.68500774751004445</v>
      </c>
      <c r="AO105" s="206">
        <f t="shared" si="248"/>
        <v>0.86846312204133047</v>
      </c>
      <c r="AP105" s="206">
        <f t="shared" si="248"/>
        <v>0.38962890376883114</v>
      </c>
      <c r="AQ105" s="206">
        <f t="shared" si="248"/>
        <v>0.31937154065887879</v>
      </c>
      <c r="AR105" s="206">
        <f t="shared" si="248"/>
        <v>0.25122553511644136</v>
      </c>
      <c r="AS105" s="206">
        <f t="shared" si="248"/>
        <v>0.41767226504789162</v>
      </c>
      <c r="AT105" s="224">
        <f t="shared" si="248"/>
        <v>0.71237694377080241</v>
      </c>
      <c r="AU105" s="224">
        <f t="shared" si="248"/>
        <v>0.54143691310953657</v>
      </c>
      <c r="AV105" s="206">
        <f t="shared" si="248"/>
        <v>0.45414916389021526</v>
      </c>
      <c r="AW105" s="206">
        <f t="shared" ref="AW105" si="249">IFERROR(AW97/AW$113,"-")</f>
        <v>0.45414916389021526</v>
      </c>
    </row>
    <row r="106" spans="2:49" s="164" customFormat="1" ht="15.5" hidden="1" outlineLevel="1" x14ac:dyDescent="0.35">
      <c r="B106" s="370"/>
      <c r="C106" s="195"/>
      <c r="D106" s="169" t="s">
        <v>283</v>
      </c>
      <c r="E106" s="176" t="s">
        <v>285</v>
      </c>
      <c r="F106" s="200">
        <f t="shared" ref="F106:S106" si="250">IF(F98&lt;&gt;0,F98/F$113,"-")</f>
        <v>0.22732365099306021</v>
      </c>
      <c r="G106" s="200">
        <f t="shared" si="250"/>
        <v>0.24565928478858859</v>
      </c>
      <c r="H106" s="200">
        <f t="shared" si="250"/>
        <v>0.20631552112352122</v>
      </c>
      <c r="I106" s="200">
        <f t="shared" si="250"/>
        <v>0.21460877623368724</v>
      </c>
      <c r="J106" s="200">
        <f t="shared" si="250"/>
        <v>0.16601939607279778</v>
      </c>
      <c r="K106" s="200">
        <f t="shared" si="250"/>
        <v>0.28964162183717646</v>
      </c>
      <c r="L106" s="200">
        <f t="shared" si="250"/>
        <v>0.22361922735053219</v>
      </c>
      <c r="M106" s="200">
        <f t="shared" si="250"/>
        <v>0.32318937081095911</v>
      </c>
      <c r="N106" s="200">
        <f t="shared" si="250"/>
        <v>0.44425733349342195</v>
      </c>
      <c r="O106" s="200" t="str">
        <f t="shared" si="250"/>
        <v>-</v>
      </c>
      <c r="P106" s="200" t="str">
        <f t="shared" si="250"/>
        <v>-</v>
      </c>
      <c r="Q106" s="200" t="str">
        <f t="shared" si="250"/>
        <v>-</v>
      </c>
      <c r="R106" s="242">
        <f t="shared" si="250"/>
        <v>0.25061970516415438</v>
      </c>
      <c r="S106" s="242">
        <f t="shared" si="250"/>
        <v>0.2419213536368211</v>
      </c>
      <c r="T106" s="176"/>
      <c r="U106" s="200">
        <f t="shared" ref="U106:AH106" si="251">IF(U98&lt;&gt;0,U98/U$113,"-")</f>
        <v>0.27757809303336134</v>
      </c>
      <c r="V106" s="200">
        <f t="shared" si="251"/>
        <v>0.25764399280207889</v>
      </c>
      <c r="W106" s="200">
        <f t="shared" si="251"/>
        <v>0.28248402927141125</v>
      </c>
      <c r="X106" s="200">
        <f t="shared" si="251"/>
        <v>0.29675879089444523</v>
      </c>
      <c r="Y106" s="200">
        <f t="shared" si="251"/>
        <v>0.24289053333865535</v>
      </c>
      <c r="Z106" s="200">
        <f t="shared" si="251"/>
        <v>0.26206077733810651</v>
      </c>
      <c r="AA106" s="200">
        <f t="shared" si="251"/>
        <v>0.21607285978472726</v>
      </c>
      <c r="AB106" s="200">
        <f t="shared" si="251"/>
        <v>0.26694354521132146</v>
      </c>
      <c r="AC106" s="200">
        <f t="shared" si="251"/>
        <v>0.2283046382693619</v>
      </c>
      <c r="AD106" s="200">
        <f t="shared" si="251"/>
        <v>0.23725047915421052</v>
      </c>
      <c r="AE106" s="200">
        <f t="shared" si="251"/>
        <v>0.28102090119874751</v>
      </c>
      <c r="AF106" s="200">
        <f t="shared" si="251"/>
        <v>0.2958835528247829</v>
      </c>
      <c r="AG106" s="242">
        <f t="shared" si="251"/>
        <v>0.25964051654119086</v>
      </c>
      <c r="AH106" s="242" t="e">
        <f t="shared" si="251"/>
        <v>#DIV/0!</v>
      </c>
      <c r="AI106" s="176"/>
      <c r="AJ106" s="200">
        <f t="shared" ref="AJ106:AV106" si="252">IF(AJ98&lt;&gt;0,AJ98/AJ$113,"-")</f>
        <v>0.35126540656476141</v>
      </c>
      <c r="AK106" s="200">
        <f t="shared" si="252"/>
        <v>0.4694992495349592</v>
      </c>
      <c r="AL106" s="200">
        <f t="shared" si="252"/>
        <v>0.31224840964217848</v>
      </c>
      <c r="AM106" s="200">
        <f t="shared" si="252"/>
        <v>0.20551110730623154</v>
      </c>
      <c r="AN106" s="200">
        <f t="shared" si="252"/>
        <v>0.59478674069612869</v>
      </c>
      <c r="AO106" s="200">
        <f t="shared" si="252"/>
        <v>0.73588930213016746</v>
      </c>
      <c r="AP106" s="200">
        <f t="shared" si="252"/>
        <v>0.26309692480019337</v>
      </c>
      <c r="AQ106" s="200">
        <f t="shared" si="252"/>
        <v>0.28304526388645851</v>
      </c>
      <c r="AR106" s="200">
        <f t="shared" si="252"/>
        <v>0.21607119547950343</v>
      </c>
      <c r="AS106" s="200">
        <f t="shared" si="252"/>
        <v>0.34387033694666996</v>
      </c>
      <c r="AT106" s="200">
        <f t="shared" si="252"/>
        <v>0.6254069337427296</v>
      </c>
      <c r="AU106" s="200">
        <f t="shared" si="252"/>
        <v>0.45747123733215489</v>
      </c>
      <c r="AV106" s="242">
        <f t="shared" si="252"/>
        <v>0.37856811616842206</v>
      </c>
      <c r="AW106" s="242">
        <f t="shared" ref="AW106" si="253">IF(AW98&lt;&gt;0,AW98/AW$113,"-")</f>
        <v>0.37856811616842212</v>
      </c>
    </row>
    <row r="107" spans="2:49" s="164" customFormat="1" ht="15.5" hidden="1" outlineLevel="1" x14ac:dyDescent="0.35">
      <c r="B107" s="371"/>
      <c r="C107" s="195"/>
      <c r="D107" s="169" t="s">
        <v>95</v>
      </c>
      <c r="E107" s="176" t="s">
        <v>285</v>
      </c>
      <c r="F107" s="200">
        <f t="shared" ref="F107:S107" si="254">IF(F99&lt;&gt;0,F99/F$113,"-")</f>
        <v>1.8876527253302751E-3</v>
      </c>
      <c r="G107" s="200">
        <f t="shared" si="254"/>
        <v>1.7966474124602178E-3</v>
      </c>
      <c r="H107" s="200">
        <f t="shared" si="254"/>
        <v>4.3932201677323052E-3</v>
      </c>
      <c r="I107" s="200">
        <f t="shared" si="254"/>
        <v>2.2436319183080655E-4</v>
      </c>
      <c r="J107" s="200" t="str">
        <f t="shared" si="254"/>
        <v>-</v>
      </c>
      <c r="K107" s="200">
        <f t="shared" si="254"/>
        <v>9.6151026900461716E-3</v>
      </c>
      <c r="L107" s="200">
        <f t="shared" si="254"/>
        <v>7.3470905241602422E-2</v>
      </c>
      <c r="M107" s="200">
        <f t="shared" si="254"/>
        <v>3.5502277353668385E-2</v>
      </c>
      <c r="N107" s="200">
        <f t="shared" si="254"/>
        <v>4.7833352135310522E-2</v>
      </c>
      <c r="O107" s="200" t="str">
        <f t="shared" si="254"/>
        <v>-</v>
      </c>
      <c r="P107" s="200" t="str">
        <f t="shared" si="254"/>
        <v>-</v>
      </c>
      <c r="Q107" s="200" t="str">
        <f t="shared" si="254"/>
        <v>-</v>
      </c>
      <c r="R107" s="242">
        <f t="shared" si="254"/>
        <v>1.7982124649977161E-2</v>
      </c>
      <c r="S107" s="242">
        <f t="shared" si="254"/>
        <v>1.9527763890139924E-2</v>
      </c>
      <c r="T107" s="176"/>
      <c r="U107" s="200">
        <f t="shared" ref="U107:AH107" si="255">IF(U99&lt;&gt;0,U99/U$113,"-")</f>
        <v>5.7770539304265196E-3</v>
      </c>
      <c r="V107" s="200" t="str">
        <f t="shared" si="255"/>
        <v>-</v>
      </c>
      <c r="W107" s="200">
        <f t="shared" si="255"/>
        <v>1.216008849360691E-2</v>
      </c>
      <c r="X107" s="200">
        <f t="shared" si="255"/>
        <v>1.1392890906503122E-2</v>
      </c>
      <c r="Y107" s="200">
        <f t="shared" si="255"/>
        <v>1.7292971182253938E-2</v>
      </c>
      <c r="Z107" s="200">
        <f t="shared" si="255"/>
        <v>1.8020953913310756E-2</v>
      </c>
      <c r="AA107" s="200">
        <f t="shared" si="255"/>
        <v>1.5955324164030942E-2</v>
      </c>
      <c r="AB107" s="200">
        <f t="shared" si="255"/>
        <v>1.5841711006175617E-2</v>
      </c>
      <c r="AC107" s="200">
        <f t="shared" si="255"/>
        <v>1.3548692844284971E-2</v>
      </c>
      <c r="AD107" s="200">
        <f t="shared" si="255"/>
        <v>1.3299428013363845E-2</v>
      </c>
      <c r="AE107" s="200">
        <f t="shared" si="255"/>
        <v>1.4358446343008141E-2</v>
      </c>
      <c r="AF107" s="200">
        <f t="shared" si="255"/>
        <v>1.4467801145702541E-2</v>
      </c>
      <c r="AG107" s="242">
        <f t="shared" si="255"/>
        <v>1.3369156437168107E-2</v>
      </c>
      <c r="AH107" s="242" t="e">
        <f t="shared" si="255"/>
        <v>#DIV/0!</v>
      </c>
      <c r="AI107" s="176"/>
      <c r="AJ107" s="200" t="str">
        <f t="shared" ref="AJ107:AV107" si="256">IF(AJ99&lt;&gt;0,AJ99/AJ$113,"-")</f>
        <v>-</v>
      </c>
      <c r="AK107" s="200">
        <f t="shared" si="256"/>
        <v>-1.8479654666296245E-2</v>
      </c>
      <c r="AL107" s="200" t="str">
        <f t="shared" si="256"/>
        <v>-</v>
      </c>
      <c r="AM107" s="200">
        <f t="shared" si="256"/>
        <v>1.1560257638859827E-3</v>
      </c>
      <c r="AN107" s="200">
        <f t="shared" si="256"/>
        <v>1.694961296178895E-2</v>
      </c>
      <c r="AO107" s="200">
        <f t="shared" si="256"/>
        <v>5.5126770023441407E-2</v>
      </c>
      <c r="AP107" s="200">
        <f t="shared" si="256"/>
        <v>5.246105084905768E-2</v>
      </c>
      <c r="AQ107" s="200" t="str">
        <f t="shared" si="256"/>
        <v>-</v>
      </c>
      <c r="AR107" s="200" t="str">
        <f t="shared" si="256"/>
        <v>-</v>
      </c>
      <c r="AS107" s="200">
        <f t="shared" si="256"/>
        <v>1.9691691071215445E-3</v>
      </c>
      <c r="AT107" s="200">
        <f t="shared" si="256"/>
        <v>3.2130886399021272E-3</v>
      </c>
      <c r="AU107" s="200">
        <f t="shared" si="256"/>
        <v>4.4656009430760488E-3</v>
      </c>
      <c r="AV107" s="242">
        <f t="shared" si="256"/>
        <v>6.7585343037913298E-3</v>
      </c>
      <c r="AW107" s="242">
        <f t="shared" ref="AW107" si="257">IF(AW99&lt;&gt;0,AW99/AW$113,"-")</f>
        <v>6.7585343037913307E-3</v>
      </c>
    </row>
    <row r="108" spans="2:49" s="164" customFormat="1" ht="15.5" hidden="1" outlineLevel="1" x14ac:dyDescent="0.35">
      <c r="B108" s="371"/>
      <c r="C108" s="195"/>
      <c r="D108" s="169" t="s">
        <v>265</v>
      </c>
      <c r="E108" s="176" t="s">
        <v>285</v>
      </c>
      <c r="F108" s="200">
        <f t="shared" ref="F108:S108" si="258">IF(F100&lt;&gt;0,F100/F$113,"-")</f>
        <v>5.1930873066550601E-2</v>
      </c>
      <c r="G108" s="200">
        <f t="shared" si="258"/>
        <v>4.1273438022673074E-2</v>
      </c>
      <c r="H108" s="200">
        <f t="shared" si="258"/>
        <v>6.2774121487820009E-2</v>
      </c>
      <c r="I108" s="200">
        <f t="shared" si="258"/>
        <v>3.9298241181053767E-2</v>
      </c>
      <c r="J108" s="200">
        <f t="shared" si="258"/>
        <v>4.534937239520892E-2</v>
      </c>
      <c r="K108" s="200">
        <f t="shared" si="258"/>
        <v>7.2989388013255996E-2</v>
      </c>
      <c r="L108" s="200">
        <f t="shared" si="258"/>
        <v>5.1441181028484252E-2</v>
      </c>
      <c r="M108" s="200">
        <f t="shared" si="258"/>
        <v>4.864696001771688E-2</v>
      </c>
      <c r="N108" s="200">
        <f t="shared" si="258"/>
        <v>0.10570093278757149</v>
      </c>
      <c r="O108" s="200" t="str">
        <f t="shared" si="258"/>
        <v>-</v>
      </c>
      <c r="P108" s="200" t="str">
        <f t="shared" si="258"/>
        <v>-</v>
      </c>
      <c r="Q108" s="200" t="str">
        <f t="shared" si="258"/>
        <v>-</v>
      </c>
      <c r="R108" s="242">
        <f t="shared" si="258"/>
        <v>5.4451245519475694E-2</v>
      </c>
      <c r="S108" s="242">
        <f t="shared" si="258"/>
        <v>5.2561385844158863E-2</v>
      </c>
      <c r="T108" s="176"/>
      <c r="U108" s="200">
        <f t="shared" ref="U108:AH108" si="259">IF(U100&lt;&gt;0,U100/U$113,"-")</f>
        <v>8.3635985310947569E-2</v>
      </c>
      <c r="V108" s="200">
        <f t="shared" si="259"/>
        <v>9.6249949847078881E-2</v>
      </c>
      <c r="W108" s="200">
        <f t="shared" si="259"/>
        <v>0.11901852432506312</v>
      </c>
      <c r="X108" s="200">
        <f t="shared" si="259"/>
        <v>0.14461099999359925</v>
      </c>
      <c r="Y108" s="200">
        <f t="shared" si="259"/>
        <v>0.11690362936861522</v>
      </c>
      <c r="Z108" s="200">
        <f t="shared" si="259"/>
        <v>0.1295985092018431</v>
      </c>
      <c r="AA108" s="200">
        <f t="shared" si="259"/>
        <v>0.13358522632134162</v>
      </c>
      <c r="AB108" s="200">
        <f t="shared" si="259"/>
        <v>0.14384129578052859</v>
      </c>
      <c r="AC108" s="200">
        <f t="shared" si="259"/>
        <v>0.13202215817276119</v>
      </c>
      <c r="AD108" s="200">
        <f t="shared" si="259"/>
        <v>0.13155794190819514</v>
      </c>
      <c r="AE108" s="200">
        <f t="shared" si="259"/>
        <v>0.15983822469036663</v>
      </c>
      <c r="AF108" s="200">
        <f t="shared" si="259"/>
        <v>0.16105556235396068</v>
      </c>
      <c r="AG108" s="242">
        <f t="shared" si="259"/>
        <v>0.1328902076231844</v>
      </c>
      <c r="AH108" s="242" t="e">
        <f t="shared" si="259"/>
        <v>#DIV/0!</v>
      </c>
      <c r="AI108" s="176"/>
      <c r="AJ108" s="200">
        <f t="shared" ref="AJ108:AV108" si="260">IF(AJ100&lt;&gt;0,AJ100/AJ$113,"-")</f>
        <v>0.10275781841521152</v>
      </c>
      <c r="AK108" s="200">
        <f t="shared" si="260"/>
        <v>5.8411511851749989E-2</v>
      </c>
      <c r="AL108" s="200">
        <f t="shared" si="260"/>
        <v>6.1039355216072184E-2</v>
      </c>
      <c r="AM108" s="200">
        <f t="shared" si="260"/>
        <v>6.8560286340108356E-2</v>
      </c>
      <c r="AN108" s="200">
        <f t="shared" si="260"/>
        <v>5.4186512504489734E-2</v>
      </c>
      <c r="AO108" s="200">
        <f t="shared" si="260"/>
        <v>7.0953112379917874E-2</v>
      </c>
      <c r="AP108" s="200">
        <f t="shared" si="260"/>
        <v>7.2926594302111264E-2</v>
      </c>
      <c r="AQ108" s="200">
        <f t="shared" si="260"/>
        <v>2.9832494365418422E-2</v>
      </c>
      <c r="AR108" s="200">
        <f t="shared" si="260"/>
        <v>3.3549596993434391E-2</v>
      </c>
      <c r="AS108" s="200">
        <f t="shared" si="260"/>
        <v>5.3899164035817015E-2</v>
      </c>
      <c r="AT108" s="200">
        <f t="shared" si="260"/>
        <v>6.1740773227711487E-2</v>
      </c>
      <c r="AU108" s="200">
        <f t="shared" si="260"/>
        <v>7.5369913702357072E-2</v>
      </c>
      <c r="AV108" s="242">
        <f t="shared" si="260"/>
        <v>5.7475501695298907E-2</v>
      </c>
      <c r="AW108" s="242">
        <f t="shared" ref="AW108" si="261">IF(AW100&lt;&gt;0,AW100/AW$113,"-")</f>
        <v>5.7475501695298907E-2</v>
      </c>
    </row>
    <row r="109" spans="2:49" s="167" customFormat="1" ht="15.5" hidden="1" outlineLevel="1" x14ac:dyDescent="0.35">
      <c r="B109" s="372"/>
      <c r="C109" s="168"/>
      <c r="D109" s="169" t="s">
        <v>266</v>
      </c>
      <c r="E109" s="176" t="s">
        <v>285</v>
      </c>
      <c r="F109" s="200">
        <f t="shared" ref="F109:S109" si="262">IF(F101&lt;&gt;0,F101/F$113,"-")</f>
        <v>2.8990127092709378E-3</v>
      </c>
      <c r="G109" s="200">
        <f t="shared" si="262"/>
        <v>5.4380760777598767E-3</v>
      </c>
      <c r="H109" s="200">
        <f t="shared" si="262"/>
        <v>1.3635173938039832E-2</v>
      </c>
      <c r="I109" s="200">
        <f t="shared" si="262"/>
        <v>1.647032659130402E-2</v>
      </c>
      <c r="J109" s="200">
        <f t="shared" si="262"/>
        <v>1.8516990616953399E-2</v>
      </c>
      <c r="K109" s="200">
        <f t="shared" si="262"/>
        <v>2.0072438879788861E-2</v>
      </c>
      <c r="L109" s="200">
        <f t="shared" si="262"/>
        <v>8.0821459423996815E-3</v>
      </c>
      <c r="M109" s="200">
        <f t="shared" si="262"/>
        <v>1.6269590356898827E-2</v>
      </c>
      <c r="N109" s="200">
        <f t="shared" si="262"/>
        <v>7.4071810040668692E-2</v>
      </c>
      <c r="O109" s="200" t="str">
        <f t="shared" si="262"/>
        <v>-</v>
      </c>
      <c r="P109" s="200" t="str">
        <f t="shared" si="262"/>
        <v>-</v>
      </c>
      <c r="Q109" s="200" t="str">
        <f t="shared" si="262"/>
        <v>-</v>
      </c>
      <c r="R109" s="242">
        <f t="shared" si="262"/>
        <v>1.6380410436781907E-2</v>
      </c>
      <c r="S109" s="242">
        <f t="shared" si="262"/>
        <v>1.581188942584303E-2</v>
      </c>
      <c r="T109" s="176"/>
      <c r="U109" s="200">
        <f t="shared" ref="U109:AH109" si="263">IF(U101&lt;&gt;0,U101/U$113,"-")</f>
        <v>3.5450103663980915E-3</v>
      </c>
      <c r="V109" s="200">
        <f t="shared" si="263"/>
        <v>1.8554943611089779E-3</v>
      </c>
      <c r="W109" s="200">
        <f t="shared" si="263"/>
        <v>9.2394563299605954E-3</v>
      </c>
      <c r="X109" s="200">
        <f t="shared" si="263"/>
        <v>2.0869704706003446E-2</v>
      </c>
      <c r="Y109" s="200">
        <f t="shared" si="263"/>
        <v>1.3402052666246804E-2</v>
      </c>
      <c r="Z109" s="200">
        <f t="shared" si="263"/>
        <v>1.4826330265042032E-2</v>
      </c>
      <c r="AA109" s="200">
        <f t="shared" si="263"/>
        <v>1.236537622712398E-2</v>
      </c>
      <c r="AB109" s="200">
        <f t="shared" si="263"/>
        <v>1.3033407691444485E-2</v>
      </c>
      <c r="AC109" s="200">
        <f t="shared" si="263"/>
        <v>1.1762728787538316E-2</v>
      </c>
      <c r="AD109" s="200">
        <f t="shared" si="263"/>
        <v>1.0941802138267526E-2</v>
      </c>
      <c r="AE109" s="200">
        <f t="shared" si="263"/>
        <v>1.2519259897799189E-2</v>
      </c>
      <c r="AF109" s="200">
        <f t="shared" si="263"/>
        <v>1.3251190594813918E-2</v>
      </c>
      <c r="AG109" s="242">
        <f t="shared" si="263"/>
        <v>1.187239218387646E-2</v>
      </c>
      <c r="AH109" s="242" t="e">
        <f t="shared" si="263"/>
        <v>#DIV/0!</v>
      </c>
      <c r="AI109" s="176"/>
      <c r="AJ109" s="200">
        <f t="shared" ref="AJ109:AV109" si="264">IF(AJ101&lt;&gt;0,AJ101/AJ$113,"-")</f>
        <v>9.8553452746791125E-3</v>
      </c>
      <c r="AK109" s="200">
        <f t="shared" si="264"/>
        <v>5.2855457301325647E-5</v>
      </c>
      <c r="AL109" s="200" t="str">
        <f t="shared" si="264"/>
        <v>-</v>
      </c>
      <c r="AM109" s="200">
        <f t="shared" si="264"/>
        <v>1.3634553286530171E-3</v>
      </c>
      <c r="AN109" s="200">
        <f t="shared" si="264"/>
        <v>1.1005732379623904E-2</v>
      </c>
      <c r="AO109" s="200">
        <f t="shared" si="264"/>
        <v>4.4445827976778976E-3</v>
      </c>
      <c r="AP109" s="200">
        <f t="shared" si="264"/>
        <v>3.2148170499182878E-5</v>
      </c>
      <c r="AQ109" s="200">
        <f t="shared" si="264"/>
        <v>3.6305848692600655E-3</v>
      </c>
      <c r="AR109" s="200" t="str">
        <f t="shared" si="264"/>
        <v>-</v>
      </c>
      <c r="AS109" s="200">
        <f t="shared" si="264"/>
        <v>3.3889867752123527E-3</v>
      </c>
      <c r="AT109" s="200">
        <f t="shared" si="264"/>
        <v>1.1316624868445306E-2</v>
      </c>
      <c r="AU109" s="200">
        <f t="shared" si="264"/>
        <v>1.9626754158308872E-3</v>
      </c>
      <c r="AV109" s="242">
        <f t="shared" si="264"/>
        <v>3.6552854925031844E-3</v>
      </c>
      <c r="AW109" s="242">
        <f t="shared" ref="AW109" si="265">IF(AW101&lt;&gt;0,AW101/AW$113,"-")</f>
        <v>3.6552854925031848E-3</v>
      </c>
    </row>
    <row r="110" spans="2:49" s="167" customFormat="1" ht="15.5" hidden="1" outlineLevel="1" x14ac:dyDescent="0.35">
      <c r="B110" s="372"/>
      <c r="C110" s="168"/>
      <c r="D110" s="169" t="s">
        <v>295</v>
      </c>
      <c r="E110" s="176" t="s">
        <v>285</v>
      </c>
      <c r="F110" s="200" t="str">
        <f t="shared" ref="F110:S110" si="266">IF(F102&lt;&gt;0,F102/F$113,"-")</f>
        <v>-</v>
      </c>
      <c r="G110" s="200" t="str">
        <f t="shared" si="266"/>
        <v>-</v>
      </c>
      <c r="H110" s="200" t="str">
        <f t="shared" si="266"/>
        <v>-</v>
      </c>
      <c r="I110" s="200" t="str">
        <f t="shared" si="266"/>
        <v>-</v>
      </c>
      <c r="J110" s="200" t="str">
        <f t="shared" si="266"/>
        <v>-</v>
      </c>
      <c r="K110" s="200" t="str">
        <f t="shared" si="266"/>
        <v>-</v>
      </c>
      <c r="L110" s="200" t="str">
        <f t="shared" si="266"/>
        <v>-</v>
      </c>
      <c r="M110" s="200" t="str">
        <f t="shared" si="266"/>
        <v>-</v>
      </c>
      <c r="N110" s="200" t="str">
        <f t="shared" si="266"/>
        <v>-</v>
      </c>
      <c r="O110" s="200" t="str">
        <f t="shared" si="266"/>
        <v>-</v>
      </c>
      <c r="P110" s="200" t="str">
        <f t="shared" si="266"/>
        <v>-</v>
      </c>
      <c r="Q110" s="200" t="str">
        <f t="shared" si="266"/>
        <v>-</v>
      </c>
      <c r="R110" s="242" t="str">
        <f t="shared" si="266"/>
        <v>-</v>
      </c>
      <c r="S110" s="242" t="str">
        <f t="shared" si="266"/>
        <v>-</v>
      </c>
      <c r="T110" s="176"/>
      <c r="U110" s="200">
        <f t="shared" ref="U110:AH110" si="267">IF(U102&lt;&gt;0,U102/U$113,"-")</f>
        <v>1.0766327779431241E-3</v>
      </c>
      <c r="V110" s="200">
        <f t="shared" si="267"/>
        <v>8.9500316241727159E-4</v>
      </c>
      <c r="W110" s="200">
        <f t="shared" si="267"/>
        <v>1.8931046859365303E-3</v>
      </c>
      <c r="X110" s="200">
        <f t="shared" si="267"/>
        <v>3.9745653503368847E-3</v>
      </c>
      <c r="Y110" s="200">
        <f t="shared" si="267"/>
        <v>3.0164444050863404E-3</v>
      </c>
      <c r="Z110" s="200">
        <f t="shared" si="267"/>
        <v>3.143427756469547E-3</v>
      </c>
      <c r="AA110" s="200">
        <f t="shared" si="267"/>
        <v>4.3242554694561137E-3</v>
      </c>
      <c r="AB110" s="200">
        <f t="shared" si="267"/>
        <v>4.2934637215600964E-3</v>
      </c>
      <c r="AC110" s="200">
        <f t="shared" si="267"/>
        <v>3.6720036856385972E-3</v>
      </c>
      <c r="AD110" s="200">
        <f t="shared" si="267"/>
        <v>4.1001532045745583E-3</v>
      </c>
      <c r="AE110" s="200">
        <f t="shared" si="267"/>
        <v>4.4266437418842147E-3</v>
      </c>
      <c r="AF110" s="200">
        <f t="shared" si="267"/>
        <v>4.4603573304876128E-3</v>
      </c>
      <c r="AG110" s="242">
        <f t="shared" si="267"/>
        <v>3.5074219704230554E-3</v>
      </c>
      <c r="AH110" s="242" t="e">
        <f t="shared" si="267"/>
        <v>#DIV/0!</v>
      </c>
      <c r="AI110" s="176"/>
      <c r="AJ110" s="200">
        <f t="shared" ref="AJ110:AV110" si="268">IF(AJ102&lt;&gt;0,AJ102/AJ$113,"-")</f>
        <v>6.9860414643900244E-4</v>
      </c>
      <c r="AK110" s="200">
        <f t="shared" si="268"/>
        <v>1.2156319130503138E-2</v>
      </c>
      <c r="AL110" s="200">
        <f t="shared" si="268"/>
        <v>3.0021280919302613E-3</v>
      </c>
      <c r="AM110" s="200">
        <f t="shared" si="268"/>
        <v>5.4506350220671984E-3</v>
      </c>
      <c r="AN110" s="200" t="str">
        <f t="shared" si="268"/>
        <v>-</v>
      </c>
      <c r="AO110" s="200" t="str">
        <f t="shared" si="268"/>
        <v>-</v>
      </c>
      <c r="AP110" s="200">
        <f t="shared" si="268"/>
        <v>9.7117978431313394E-4</v>
      </c>
      <c r="AQ110" s="200" t="str">
        <f t="shared" si="268"/>
        <v>-</v>
      </c>
      <c r="AR110" s="200">
        <f t="shared" si="268"/>
        <v>1.6002478534364031E-3</v>
      </c>
      <c r="AS110" s="200">
        <f t="shared" si="268"/>
        <v>1.0752955768770089E-2</v>
      </c>
      <c r="AT110" s="200">
        <f t="shared" si="268"/>
        <v>3.2171261394430572E-3</v>
      </c>
      <c r="AU110" s="200">
        <f t="shared" si="268"/>
        <v>2.1613561980767305E-3</v>
      </c>
      <c r="AV110" s="242">
        <f t="shared" si="268"/>
        <v>3.2275163030659861E-3</v>
      </c>
      <c r="AW110" s="242">
        <f t="shared" ref="AW110" si="269">IF(AW102&lt;&gt;0,AW102/AW$113,"-")</f>
        <v>3.2275163030659861E-3</v>
      </c>
    </row>
    <row r="111" spans="2:49" s="167" customFormat="1" ht="15.5" hidden="1" outlineLevel="1" x14ac:dyDescent="0.35">
      <c r="B111" s="372"/>
      <c r="C111" s="168"/>
      <c r="D111" s="169" t="s">
        <v>23</v>
      </c>
      <c r="E111" s="176" t="s">
        <v>285</v>
      </c>
      <c r="F111" s="200" t="str">
        <f t="shared" ref="F111:S111" si="270">IF(F103&lt;&gt;0,F103/F$113,"-")</f>
        <v>-</v>
      </c>
      <c r="G111" s="200">
        <f t="shared" si="270"/>
        <v>1.0534246359974478E-4</v>
      </c>
      <c r="H111" s="200">
        <f t="shared" si="270"/>
        <v>3.8999268526331019E-3</v>
      </c>
      <c r="I111" s="200">
        <f t="shared" si="270"/>
        <v>1.0799941411034843E-3</v>
      </c>
      <c r="J111" s="200">
        <f t="shared" si="270"/>
        <v>2.5146676719286958E-3</v>
      </c>
      <c r="K111" s="200" t="str">
        <f t="shared" si="270"/>
        <v>-</v>
      </c>
      <c r="L111" s="200">
        <f t="shared" si="270"/>
        <v>3.5994878864704029E-3</v>
      </c>
      <c r="M111" s="200">
        <f t="shared" si="270"/>
        <v>2.0168281093880733E-3</v>
      </c>
      <c r="N111" s="200">
        <f t="shared" si="270"/>
        <v>6.8850361848720194E-3</v>
      </c>
      <c r="O111" s="200" t="str">
        <f t="shared" si="270"/>
        <v>-</v>
      </c>
      <c r="P111" s="200" t="str">
        <f t="shared" si="270"/>
        <v>-</v>
      </c>
      <c r="Q111" s="200" t="str">
        <f t="shared" si="270"/>
        <v>-</v>
      </c>
      <c r="R111" s="242">
        <f t="shared" si="270"/>
        <v>2.0229230050597311E-3</v>
      </c>
      <c r="S111" s="242">
        <f t="shared" si="270"/>
        <v>2.510630565769033E-3</v>
      </c>
      <c r="T111" s="176"/>
      <c r="U111" s="200">
        <f t="shared" ref="U111:AH111" si="271">IF(U103&lt;&gt;0,U103/U$113,"-")</f>
        <v>5.8033132664739124E-3</v>
      </c>
      <c r="V111" s="200">
        <f t="shared" si="271"/>
        <v>6.6797796999923196E-3</v>
      </c>
      <c r="W111" s="200">
        <f t="shared" si="271"/>
        <v>9.5843606581429014E-3</v>
      </c>
      <c r="X111" s="200">
        <f t="shared" si="271"/>
        <v>6.3826082010295894E-3</v>
      </c>
      <c r="Y111" s="200">
        <f t="shared" si="271"/>
        <v>7.516547133195604E-3</v>
      </c>
      <c r="Z111" s="200">
        <f t="shared" si="271"/>
        <v>5.0131017249755378E-3</v>
      </c>
      <c r="AA111" s="200">
        <f t="shared" si="271"/>
        <v>8.1372153236557807E-3</v>
      </c>
      <c r="AB111" s="200">
        <f t="shared" si="271"/>
        <v>5.6310081849224236E-3</v>
      </c>
      <c r="AC111" s="200">
        <f t="shared" si="271"/>
        <v>6.9098333505853348E-3</v>
      </c>
      <c r="AD111" s="200">
        <f t="shared" si="271"/>
        <v>5.3439519835516537E-3</v>
      </c>
      <c r="AE111" s="200">
        <f t="shared" si="271"/>
        <v>7.9885174199281657E-3</v>
      </c>
      <c r="AF111" s="200">
        <f t="shared" si="271"/>
        <v>5.813425551273203E-3</v>
      </c>
      <c r="AG111" s="242">
        <f t="shared" si="271"/>
        <v>6.686890078639888E-3</v>
      </c>
      <c r="AH111" s="242" t="e">
        <f t="shared" si="271"/>
        <v>#DIV/0!</v>
      </c>
      <c r="AI111" s="176"/>
      <c r="AJ111" s="200" t="str">
        <f t="shared" ref="AJ111:AV111" si="272">IF(AJ103&lt;&gt;0,AJ103/AJ$113,"-")</f>
        <v>-</v>
      </c>
      <c r="AK111" s="200" t="str">
        <f t="shared" si="272"/>
        <v>-</v>
      </c>
      <c r="AL111" s="200">
        <f t="shared" si="272"/>
        <v>4.4640775425519169E-3</v>
      </c>
      <c r="AM111" s="200" t="str">
        <f t="shared" si="272"/>
        <v>-</v>
      </c>
      <c r="AN111" s="200" t="str">
        <f t="shared" si="272"/>
        <v>-</v>
      </c>
      <c r="AO111" s="200" t="str">
        <f t="shared" si="272"/>
        <v>-</v>
      </c>
      <c r="AP111" s="200">
        <f t="shared" si="272"/>
        <v>1.4100586265658623E-4</v>
      </c>
      <c r="AQ111" s="200">
        <f t="shared" si="272"/>
        <v>2.8631975377418298E-3</v>
      </c>
      <c r="AR111" s="200">
        <f t="shared" si="272"/>
        <v>4.4947900671268527E-6</v>
      </c>
      <c r="AS111" s="200">
        <f t="shared" si="272"/>
        <v>3.7916524143007196E-3</v>
      </c>
      <c r="AT111" s="200">
        <f t="shared" si="272"/>
        <v>7.4823971525708579E-3</v>
      </c>
      <c r="AU111" s="200">
        <f t="shared" si="272"/>
        <v>6.1295180408848883E-6</v>
      </c>
      <c r="AV111" s="242">
        <f t="shared" si="272"/>
        <v>1.5921857415237958E-3</v>
      </c>
      <c r="AW111" s="242">
        <f t="shared" ref="AW111" si="273">IF(AW103&lt;&gt;0,AW103/AW$113,"-")</f>
        <v>1.5921857415237958E-3</v>
      </c>
    </row>
    <row r="112" spans="2:49" s="167" customFormat="1" ht="15.5" hidden="1" outlineLevel="1" x14ac:dyDescent="0.35">
      <c r="B112" s="166"/>
      <c r="C112" s="168"/>
      <c r="D112" s="169" t="s">
        <v>269</v>
      </c>
      <c r="E112" s="176" t="s">
        <v>285</v>
      </c>
      <c r="F112" s="200" t="str">
        <f t="shared" ref="F112:S112" si="274">IF(F104&lt;&gt;0,F104/F$113,"-")</f>
        <v>-</v>
      </c>
      <c r="G112" s="200" t="str">
        <f t="shared" si="274"/>
        <v>-</v>
      </c>
      <c r="H112" s="200" t="str">
        <f t="shared" si="274"/>
        <v>-</v>
      </c>
      <c r="I112" s="200" t="str">
        <f t="shared" si="274"/>
        <v>-</v>
      </c>
      <c r="J112" s="200" t="str">
        <f t="shared" si="274"/>
        <v>-</v>
      </c>
      <c r="K112" s="200" t="str">
        <f t="shared" si="274"/>
        <v>-</v>
      </c>
      <c r="L112" s="200" t="str">
        <f t="shared" si="274"/>
        <v>-</v>
      </c>
      <c r="M112" s="200" t="str">
        <f t="shared" si="274"/>
        <v>-</v>
      </c>
      <c r="N112" s="200" t="str">
        <f t="shared" si="274"/>
        <v>-</v>
      </c>
      <c r="O112" s="200" t="str">
        <f t="shared" si="274"/>
        <v>-</v>
      </c>
      <c r="P112" s="200" t="str">
        <f t="shared" si="274"/>
        <v>-</v>
      </c>
      <c r="Q112" s="200" t="str">
        <f t="shared" si="274"/>
        <v>-</v>
      </c>
      <c r="R112" s="242" t="str">
        <f t="shared" si="274"/>
        <v>-</v>
      </c>
      <c r="S112" s="242" t="str">
        <f t="shared" si="274"/>
        <v>-</v>
      </c>
      <c r="T112" s="176"/>
      <c r="U112" s="200" t="str">
        <f t="shared" ref="U112:AH112" si="275">IF(U104&lt;&gt;0,U104/U$113,"-")</f>
        <v>-</v>
      </c>
      <c r="V112" s="200" t="str">
        <f t="shared" si="275"/>
        <v>-</v>
      </c>
      <c r="W112" s="200">
        <f t="shared" si="275"/>
        <v>1.9732507237353032E-3</v>
      </c>
      <c r="X112" s="200">
        <f t="shared" si="275"/>
        <v>1.8487554789189157E-3</v>
      </c>
      <c r="Y112" s="200">
        <f t="shared" si="275"/>
        <v>1.4030887981965128E-3</v>
      </c>
      <c r="Z112" s="200">
        <f t="shared" si="275"/>
        <v>1.4621546697845319E-3</v>
      </c>
      <c r="AA112" s="200">
        <f t="shared" si="275"/>
        <v>1.2945569833088743E-3</v>
      </c>
      <c r="AB112" s="200">
        <f t="shared" si="275"/>
        <v>1.2853388248192489E-3</v>
      </c>
      <c r="AC112" s="200">
        <f t="shared" si="275"/>
        <v>1.0992916694113034E-3</v>
      </c>
      <c r="AD112" s="200">
        <f t="shared" si="275"/>
        <v>1.0790672274479302E-3</v>
      </c>
      <c r="AE112" s="200">
        <f t="shared" si="275"/>
        <v>1.1649921237395242E-3</v>
      </c>
      <c r="AF112" s="200">
        <f t="shared" si="275"/>
        <v>1.1738647747763199E-3</v>
      </c>
      <c r="AG112" s="242">
        <f t="shared" si="275"/>
        <v>1.179048628475547E-3</v>
      </c>
      <c r="AH112" s="242" t="e">
        <f t="shared" si="275"/>
        <v>#DIV/0!</v>
      </c>
      <c r="AI112" s="176"/>
      <c r="AJ112" s="200">
        <f t="shared" ref="AJ112:AV112" si="276">IF(AJ104&lt;&gt;0,AJ104/AJ$113,"-")</f>
        <v>4.5515014705158627E-3</v>
      </c>
      <c r="AK112" s="200">
        <f t="shared" si="276"/>
        <v>4.7347764527096489E-3</v>
      </c>
      <c r="AL112" s="200">
        <f t="shared" si="276"/>
        <v>9.7569162987733472E-3</v>
      </c>
      <c r="AM112" s="200">
        <f t="shared" si="276"/>
        <v>7.1938047908235558E-3</v>
      </c>
      <c r="AN112" s="200">
        <f t="shared" si="276"/>
        <v>8.0791489680132784E-3</v>
      </c>
      <c r="AO112" s="200">
        <f t="shared" si="276"/>
        <v>2.0493547101258116E-3</v>
      </c>
      <c r="AP112" s="200" t="str">
        <f t="shared" si="276"/>
        <v>-</v>
      </c>
      <c r="AQ112" s="200" t="str">
        <f t="shared" si="276"/>
        <v>-</v>
      </c>
      <c r="AR112" s="200" t="str">
        <f t="shared" si="276"/>
        <v>-</v>
      </c>
      <c r="AS112" s="200" t="str">
        <f t="shared" si="276"/>
        <v>-</v>
      </c>
      <c r="AT112" s="200" t="str">
        <f t="shared" si="276"/>
        <v>-</v>
      </c>
      <c r="AU112" s="200" t="str">
        <f t="shared" si="276"/>
        <v>-</v>
      </c>
      <c r="AV112" s="242">
        <f t="shared" si="276"/>
        <v>2.8720241856099644E-3</v>
      </c>
      <c r="AW112" s="242">
        <f t="shared" ref="AW112" si="277">IF(AW104&lt;&gt;0,AW104/AW$113,"-")</f>
        <v>2.8720241856099648E-3</v>
      </c>
    </row>
    <row r="113" spans="1:49" ht="15.5" collapsed="1" x14ac:dyDescent="0.35">
      <c r="B113" s="102"/>
      <c r="C113" s="102"/>
      <c r="D113" s="103" t="s">
        <v>259</v>
      </c>
      <c r="E113" s="275"/>
      <c r="F113" s="273">
        <f t="shared" ref="F113:S113" si="278">F81+F97</f>
        <v>4444781.9370935364</v>
      </c>
      <c r="G113" s="273">
        <f t="shared" si="278"/>
        <v>6884513.2575846445</v>
      </c>
      <c r="H113" s="273">
        <f t="shared" si="278"/>
        <v>5618894.2114459695</v>
      </c>
      <c r="I113" s="273">
        <f t="shared" si="278"/>
        <v>4656858.8687830688</v>
      </c>
      <c r="J113" s="273">
        <f t="shared" si="278"/>
        <v>5622465.0470983367</v>
      </c>
      <c r="K113" s="273">
        <f t="shared" si="278"/>
        <v>4352519.5922067901</v>
      </c>
      <c r="L113" s="273">
        <f t="shared" si="278"/>
        <v>5167425.0694158524</v>
      </c>
      <c r="M113" s="273">
        <f t="shared" si="278"/>
        <v>6109884.6790241357</v>
      </c>
      <c r="N113" s="273">
        <f t="shared" si="278"/>
        <v>2872807.2331472598</v>
      </c>
      <c r="O113" s="273">
        <f t="shared" si="278"/>
        <v>0</v>
      </c>
      <c r="P113" s="274">
        <f t="shared" si="278"/>
        <v>0</v>
      </c>
      <c r="Q113" s="274">
        <f t="shared" si="278"/>
        <v>0</v>
      </c>
      <c r="R113" s="273">
        <f t="shared" si="278"/>
        <v>45730149.895799592</v>
      </c>
      <c r="S113" s="273">
        <f t="shared" si="278"/>
        <v>5263821.1696605328</v>
      </c>
      <c r="T113" s="285"/>
      <c r="U113" s="273">
        <f t="shared" ref="U113:AH113" si="279">U81+U97</f>
        <v>3808169.4</v>
      </c>
      <c r="V113" s="273">
        <f t="shared" si="279"/>
        <v>4580989.4000000004</v>
      </c>
      <c r="W113" s="273">
        <f t="shared" si="279"/>
        <v>4522993.4000000004</v>
      </c>
      <c r="X113" s="273">
        <f t="shared" si="279"/>
        <v>4827571.9000000004</v>
      </c>
      <c r="Y113" s="273">
        <f t="shared" si="279"/>
        <v>6360965.9000000004</v>
      </c>
      <c r="Z113" s="273">
        <f t="shared" si="279"/>
        <v>6104005.4000000004</v>
      </c>
      <c r="AA113" s="273">
        <f t="shared" si="279"/>
        <v>6894250.4000000004</v>
      </c>
      <c r="AB113" s="273">
        <f t="shared" si="279"/>
        <v>6943694.4000000004</v>
      </c>
      <c r="AC113" s="273">
        <f t="shared" si="279"/>
        <v>8118864.4000000004</v>
      </c>
      <c r="AD113" s="273">
        <f t="shared" si="279"/>
        <v>8271032.4000000004</v>
      </c>
      <c r="AE113" s="274">
        <f t="shared" si="279"/>
        <v>7660996</v>
      </c>
      <c r="AF113" s="274">
        <f t="shared" si="279"/>
        <v>7603090.4000000004</v>
      </c>
      <c r="AG113" s="273">
        <f>AG81+AG97</f>
        <v>75696623.400000006</v>
      </c>
      <c r="AH113" s="273" t="e">
        <f t="shared" si="279"/>
        <v>#DIV/0!</v>
      </c>
      <c r="AI113" s="285"/>
      <c r="AJ113" s="273">
        <f t="shared" ref="AJ113:AV113" si="280">AJ81+AJ97</f>
        <v>2677788.6951428573</v>
      </c>
      <c r="AK113" s="273">
        <f t="shared" si="280"/>
        <v>2574136.140408163</v>
      </c>
      <c r="AL113" s="273">
        <f t="shared" si="280"/>
        <v>3563762.3179705646</v>
      </c>
      <c r="AM113" s="273">
        <f t="shared" si="280"/>
        <v>3780053.0456935484</v>
      </c>
      <c r="AN113" s="273">
        <f t="shared" si="280"/>
        <v>3858885.4003599999</v>
      </c>
      <c r="AO113" s="273">
        <f t="shared" si="280"/>
        <v>2241533.9024740215</v>
      </c>
      <c r="AP113" s="273">
        <f t="shared" si="280"/>
        <v>2066732.1243727598</v>
      </c>
      <c r="AQ113" s="273">
        <f t="shared" si="280"/>
        <v>5616896.5948770177</v>
      </c>
      <c r="AR113" s="273">
        <f t="shared" si="280"/>
        <v>5625690.6753980154</v>
      </c>
      <c r="AS113" s="273">
        <f t="shared" si="280"/>
        <v>4225164.6464378387</v>
      </c>
      <c r="AT113" s="274">
        <f t="shared" si="280"/>
        <v>2585311.8849113821</v>
      </c>
      <c r="AU113" s="274">
        <f t="shared" si="280"/>
        <v>3701242.5102412025</v>
      </c>
      <c r="AV113" s="273">
        <f t="shared" si="280"/>
        <v>42517197.938287377</v>
      </c>
      <c r="AW113" s="273">
        <f t="shared" ref="AW113" si="281">AW81+AW97</f>
        <v>3543099.8281906145</v>
      </c>
    </row>
    <row r="114" spans="1:49" x14ac:dyDescent="0.35">
      <c r="F114" s="254">
        <f>F81*25/10^3</f>
        <v>79557.019715977513</v>
      </c>
      <c r="G114" s="254">
        <f t="shared" ref="G114:N114" si="282">G81*25/10^3</f>
        <v>121464.70854962588</v>
      </c>
      <c r="H114" s="254">
        <f t="shared" si="282"/>
        <v>99592.376512928167</v>
      </c>
      <c r="I114" s="254">
        <f t="shared" si="282"/>
        <v>84791.888210414254</v>
      </c>
      <c r="J114" s="254">
        <f t="shared" si="282"/>
        <v>107895.0442681748</v>
      </c>
      <c r="K114" s="254">
        <f t="shared" si="282"/>
        <v>66123.635269097213</v>
      </c>
      <c r="L114" s="254">
        <f t="shared" si="282"/>
        <v>82651.291360929696</v>
      </c>
      <c r="M114" s="254">
        <f t="shared" si="282"/>
        <v>87734.12124236059</v>
      </c>
      <c r="N114" s="254">
        <f t="shared" si="282"/>
        <v>23072.343360914281</v>
      </c>
      <c r="O114" s="254">
        <f>O81*25/10^3</f>
        <v>0</v>
      </c>
      <c r="P114" s="254">
        <f t="shared" ref="P114:Q114" si="283">P81*25/10^3</f>
        <v>0</v>
      </c>
      <c r="Q114" s="254">
        <f t="shared" si="283"/>
        <v>0</v>
      </c>
      <c r="R114" s="194"/>
      <c r="S114" s="194"/>
      <c r="U114" s="254">
        <f>U81*25/10^3</f>
        <v>59272.625</v>
      </c>
      <c r="V114" s="254">
        <f t="shared" ref="V114:AC114" si="284">V81*25/10^3</f>
        <v>72915.125</v>
      </c>
      <c r="W114" s="254">
        <f t="shared" si="284"/>
        <v>63734.3125</v>
      </c>
      <c r="X114" s="254">
        <f t="shared" si="284"/>
        <v>62053.8125</v>
      </c>
      <c r="Y114" s="254">
        <f t="shared" si="284"/>
        <v>95028.8125</v>
      </c>
      <c r="Z114" s="254">
        <f t="shared" si="284"/>
        <v>86352.5625</v>
      </c>
      <c r="AA114" s="254">
        <f t="shared" si="284"/>
        <v>104838.3125</v>
      </c>
      <c r="AB114" s="254">
        <f t="shared" si="284"/>
        <v>95324.8125</v>
      </c>
      <c r="AC114" s="254">
        <f t="shared" si="284"/>
        <v>122327.0625</v>
      </c>
      <c r="AD114" s="254">
        <f>AD81*25/10^3</f>
        <v>123326.71249999999</v>
      </c>
      <c r="AE114" s="254">
        <f t="shared" ref="AE114:AF114" si="285">AE81*25/10^3</f>
        <v>99340.712499999994</v>
      </c>
      <c r="AF114" s="254">
        <f t="shared" si="285"/>
        <v>95778.837499999994</v>
      </c>
      <c r="AG114" s="194"/>
      <c r="AH114" s="194"/>
      <c r="AJ114" s="254">
        <f>AJ81*25/10^3</f>
        <v>35539.030758163266</v>
      </c>
      <c r="AK114" s="254">
        <f t="shared" ref="AK114:AU114" si="286">AK81*25/10^3</f>
        <v>30479.377020408159</v>
      </c>
      <c r="AL114" s="254">
        <f t="shared" si="286"/>
        <v>54301.858371643146</v>
      </c>
      <c r="AM114" s="254">
        <f t="shared" si="286"/>
        <v>67168.205350000004</v>
      </c>
      <c r="AN114" s="254">
        <f t="shared" si="286"/>
        <v>30387.975109000006</v>
      </c>
      <c r="AO114" s="254">
        <f t="shared" si="286"/>
        <v>7371.1092842486332</v>
      </c>
      <c r="AP114" s="254">
        <f t="shared" si="286"/>
        <v>31536.838809239347</v>
      </c>
      <c r="AQ114" s="254">
        <f t="shared" si="286"/>
        <v>95575.491891238358</v>
      </c>
      <c r="AR114" s="254">
        <f t="shared" si="286"/>
        <v>105309.33812678936</v>
      </c>
      <c r="AS114" s="254">
        <f>AS81*25/10^3</f>
        <v>61510.763958996817</v>
      </c>
      <c r="AT114" s="254">
        <f t="shared" si="286"/>
        <v>18589.882641096978</v>
      </c>
      <c r="AU114" s="254">
        <f t="shared" si="286"/>
        <v>42431.329770660341</v>
      </c>
    </row>
    <row r="115" spans="1:49" x14ac:dyDescent="0.35">
      <c r="F115" s="193"/>
      <c r="G115" s="193"/>
      <c r="H115" s="193"/>
      <c r="I115" s="193"/>
      <c r="J115" s="193"/>
      <c r="K115" s="193"/>
      <c r="L115" s="193"/>
      <c r="M115" s="193"/>
      <c r="N115" s="193"/>
      <c r="O115" s="193"/>
      <c r="P115" s="193"/>
      <c r="Q115" s="193"/>
      <c r="R115" s="244"/>
      <c r="S115" s="244"/>
      <c r="U115" s="193"/>
      <c r="V115" s="193"/>
      <c r="W115" s="193"/>
      <c r="X115" s="193"/>
      <c r="Y115" s="193"/>
      <c r="Z115" s="193"/>
      <c r="AA115" s="193"/>
      <c r="AB115" s="193"/>
      <c r="AC115" s="193"/>
      <c r="AD115" s="193"/>
      <c r="AE115" s="193"/>
      <c r="AF115" s="193"/>
      <c r="AG115" s="244"/>
      <c r="AH115" s="244"/>
      <c r="AJ115" s="193"/>
      <c r="AK115" s="193"/>
      <c r="AL115" s="193"/>
      <c r="AM115" s="193"/>
      <c r="AN115" s="193"/>
      <c r="AO115" s="193"/>
      <c r="AP115" s="193"/>
      <c r="AQ115" s="193"/>
      <c r="AR115" s="193"/>
      <c r="AS115" s="193"/>
      <c r="AT115" s="193"/>
      <c r="AU115" s="193"/>
      <c r="AV115" s="244"/>
      <c r="AW115" s="244"/>
    </row>
    <row r="116" spans="1:49" ht="18.5" x14ac:dyDescent="0.45">
      <c r="B116" s="98"/>
      <c r="C116" s="178" t="s">
        <v>290</v>
      </c>
      <c r="D116" s="98" t="s">
        <v>291</v>
      </c>
      <c r="E116" s="174"/>
      <c r="R116" s="194">
        <f>R119/R82</f>
        <v>0.15806578547416603</v>
      </c>
      <c r="S116" s="194"/>
      <c r="T116" s="174"/>
      <c r="AG116" s="194"/>
      <c r="AH116" s="194"/>
      <c r="AI116" s="174"/>
      <c r="AV116" s="194">
        <f>AV119/AV82</f>
        <v>0.13567529061145586</v>
      </c>
    </row>
    <row r="117" spans="1:49" ht="15.5" x14ac:dyDescent="0.35">
      <c r="A117" s="552">
        <v>1</v>
      </c>
      <c r="B117" s="100"/>
      <c r="C117" s="99" t="s">
        <v>174</v>
      </c>
      <c r="D117" s="100" t="s">
        <v>258</v>
      </c>
      <c r="E117" s="100" t="s">
        <v>385</v>
      </c>
      <c r="F117" s="276">
        <v>1</v>
      </c>
      <c r="G117" s="276">
        <v>2</v>
      </c>
      <c r="H117" s="276">
        <v>3</v>
      </c>
      <c r="I117" s="276">
        <v>4</v>
      </c>
      <c r="J117" s="276">
        <v>5</v>
      </c>
      <c r="K117" s="276">
        <v>6</v>
      </c>
      <c r="L117" s="276">
        <v>7</v>
      </c>
      <c r="M117" s="276">
        <v>8</v>
      </c>
      <c r="N117" s="276">
        <v>9</v>
      </c>
      <c r="O117" s="276">
        <v>10</v>
      </c>
      <c r="P117" s="276">
        <v>11</v>
      </c>
      <c r="Q117" s="276">
        <v>12</v>
      </c>
      <c r="R117" s="276" t="s">
        <v>381</v>
      </c>
      <c r="S117" s="276" t="s">
        <v>382</v>
      </c>
      <c r="T117" s="282"/>
      <c r="U117" s="296">
        <v>1</v>
      </c>
      <c r="V117" s="296">
        <v>2</v>
      </c>
      <c r="W117" s="296">
        <v>3</v>
      </c>
      <c r="X117" s="296">
        <v>4</v>
      </c>
      <c r="Y117" s="296">
        <v>5</v>
      </c>
      <c r="Z117" s="296">
        <v>6</v>
      </c>
      <c r="AA117" s="296">
        <v>7</v>
      </c>
      <c r="AB117" s="296">
        <v>8</v>
      </c>
      <c r="AC117" s="296">
        <v>9</v>
      </c>
      <c r="AD117" s="296">
        <v>10</v>
      </c>
      <c r="AE117" s="296">
        <v>11</v>
      </c>
      <c r="AF117" s="296">
        <v>12</v>
      </c>
      <c r="AG117" s="296" t="s">
        <v>389</v>
      </c>
      <c r="AH117" s="296" t="s">
        <v>388</v>
      </c>
      <c r="AI117" s="282"/>
      <c r="AJ117" s="100">
        <v>1</v>
      </c>
      <c r="AK117" s="100">
        <v>2</v>
      </c>
      <c r="AL117" s="100">
        <v>3</v>
      </c>
      <c r="AM117" s="100">
        <v>4</v>
      </c>
      <c r="AN117" s="100">
        <v>5</v>
      </c>
      <c r="AO117" s="100">
        <v>6</v>
      </c>
      <c r="AP117" s="100">
        <v>7</v>
      </c>
      <c r="AQ117" s="100">
        <v>8</v>
      </c>
      <c r="AR117" s="100">
        <v>9</v>
      </c>
      <c r="AS117" s="100">
        <v>10</v>
      </c>
      <c r="AT117" s="100">
        <v>11</v>
      </c>
      <c r="AU117" s="100">
        <v>12</v>
      </c>
      <c r="AV117" s="100" t="s">
        <v>384</v>
      </c>
      <c r="AW117" s="100" t="s">
        <v>383</v>
      </c>
    </row>
    <row r="118" spans="1:49" s="164" customFormat="1" ht="15.5" x14ac:dyDescent="0.35">
      <c r="A118" s="553">
        <f>ROWS($A$117:A118)</f>
        <v>2</v>
      </c>
      <c r="B118" s="229" t="s">
        <v>26</v>
      </c>
      <c r="C118" s="163">
        <v>1</v>
      </c>
      <c r="D118" s="161" t="s">
        <v>260</v>
      </c>
      <c r="E118" s="225" t="s">
        <v>286</v>
      </c>
      <c r="F118" s="221">
        <f t="shared" ref="F118:S118" si="287">SUM(F119:F125)</f>
        <v>557231.43416298693</v>
      </c>
      <c r="G118" s="221">
        <f t="shared" si="287"/>
        <v>959516.37164237886</v>
      </c>
      <c r="H118" s="221">
        <f t="shared" si="287"/>
        <v>668416.97555649641</v>
      </c>
      <c r="I118" s="221">
        <f t="shared" si="287"/>
        <v>550267.21304684551</v>
      </c>
      <c r="J118" s="221">
        <f t="shared" si="287"/>
        <v>741808.53321732441</v>
      </c>
      <c r="K118" s="221">
        <f t="shared" si="287"/>
        <v>303614.04795524658</v>
      </c>
      <c r="L118" s="221">
        <f t="shared" si="287"/>
        <v>373165.97944679263</v>
      </c>
      <c r="M118" s="221">
        <f t="shared" si="287"/>
        <v>435490.28437738807</v>
      </c>
      <c r="N118" s="221">
        <f t="shared" si="287"/>
        <v>113412.44933180939</v>
      </c>
      <c r="O118" s="221">
        <f t="shared" si="287"/>
        <v>0</v>
      </c>
      <c r="P118" s="222">
        <f t="shared" si="287"/>
        <v>0</v>
      </c>
      <c r="Q118" s="222">
        <f t="shared" si="287"/>
        <v>0</v>
      </c>
      <c r="R118" s="223">
        <f t="shared" si="287"/>
        <v>4702923.2887372691</v>
      </c>
      <c r="S118" s="223">
        <f t="shared" si="287"/>
        <v>511328.26124336827</v>
      </c>
      <c r="T118" s="175"/>
      <c r="U118" s="221">
        <f t="shared" ref="U118:AH118" si="288">SUM(U119:U125)</f>
        <v>0</v>
      </c>
      <c r="V118" s="221">
        <f t="shared" si="288"/>
        <v>0</v>
      </c>
      <c r="W118" s="221">
        <f t="shared" si="288"/>
        <v>0</v>
      </c>
      <c r="X118" s="221">
        <f t="shared" si="288"/>
        <v>0</v>
      </c>
      <c r="Y118" s="221">
        <f t="shared" si="288"/>
        <v>0</v>
      </c>
      <c r="Z118" s="221">
        <f t="shared" si="288"/>
        <v>0</v>
      </c>
      <c r="AA118" s="221">
        <f t="shared" si="288"/>
        <v>0</v>
      </c>
      <c r="AB118" s="221">
        <f t="shared" si="288"/>
        <v>0</v>
      </c>
      <c r="AC118" s="221">
        <f t="shared" si="288"/>
        <v>0</v>
      </c>
      <c r="AD118" s="221">
        <f t="shared" si="288"/>
        <v>0</v>
      </c>
      <c r="AE118" s="222">
        <f t="shared" si="288"/>
        <v>0</v>
      </c>
      <c r="AF118" s="222">
        <f t="shared" si="288"/>
        <v>0</v>
      </c>
      <c r="AG118" s="223">
        <f t="shared" si="288"/>
        <v>0</v>
      </c>
      <c r="AH118" s="223" t="e">
        <f t="shared" si="288"/>
        <v>#DIV/0!</v>
      </c>
      <c r="AI118" s="175"/>
      <c r="AJ118" s="221">
        <f t="shared" ref="AJ118:AV118" si="289">SUM(AJ119:AJ125)</f>
        <v>370238.96387755091</v>
      </c>
      <c r="AK118" s="221">
        <f t="shared" si="289"/>
        <v>219886.10216326511</v>
      </c>
      <c r="AL118" s="221">
        <f t="shared" si="289"/>
        <v>284047.91147862916</v>
      </c>
      <c r="AM118" s="221">
        <f t="shared" si="289"/>
        <v>489954.79863709677</v>
      </c>
      <c r="AN118" s="221">
        <f t="shared" si="289"/>
        <v>17889.667120000347</v>
      </c>
      <c r="AO118" s="221">
        <f t="shared" si="289"/>
        <v>58485.639039118309</v>
      </c>
      <c r="AP118" s="221">
        <f t="shared" si="289"/>
        <v>111048.04034249322</v>
      </c>
      <c r="AQ118" s="221">
        <f t="shared" si="289"/>
        <v>241379.14234317996</v>
      </c>
      <c r="AR118" s="221">
        <f t="shared" si="289"/>
        <v>374535.29226993769</v>
      </c>
      <c r="AS118" s="221">
        <f t="shared" si="289"/>
        <v>261169.56421178355</v>
      </c>
      <c r="AT118" s="222">
        <f t="shared" si="289"/>
        <v>179808.33561208274</v>
      </c>
      <c r="AU118" s="222">
        <f t="shared" si="289"/>
        <v>268076.16785290639</v>
      </c>
      <c r="AV118" s="223">
        <f t="shared" si="289"/>
        <v>2876519.6249480452</v>
      </c>
      <c r="AW118" s="223">
        <f t="shared" ref="AW118" si="290">SUM(AW119:AW125)</f>
        <v>239709.9687456704</v>
      </c>
    </row>
    <row r="119" spans="1:49" s="172" customFormat="1" ht="15" hidden="1" customHeight="1" outlineLevel="1" x14ac:dyDescent="0.35">
      <c r="A119" s="553">
        <f>ROWS($A$117:A119)</f>
        <v>3</v>
      </c>
      <c r="B119" s="170"/>
      <c r="C119" s="168"/>
      <c r="D119" s="169" t="s">
        <v>283</v>
      </c>
      <c r="E119" s="176" t="s">
        <v>286</v>
      </c>
      <c r="F119" s="227">
        <f>IFERROR(F82-SUMIFS('01. KE30'!$AA:$AA,'01. KE30'!$B:$B,'03. TH_ XK-B2B'!$B$118,'01. KE30'!$E:$E,$D119,'01. KE30'!$A:$A,'03. TH_ XK-B2B'!F$117)," -")</f>
        <v>557231.43416298693</v>
      </c>
      <c r="G119" s="227">
        <f>IFERROR(G82-SUMIFS('01. KE30'!$AA:$AA,'01. KE30'!$B:$B,'03. TH_ XK-B2B'!$B$118,'01. KE30'!$E:$E,$D119,'01. KE30'!$A:$A,'03. TH_ XK-B2B'!G$117)," -")</f>
        <v>955586.26171721146</v>
      </c>
      <c r="H119" s="227">
        <f>IFERROR(H82-SUMIFS('01. KE30'!$AA:$AA,'01. KE30'!$B:$B,'03. TH_ XK-B2B'!$B$118,'01. KE30'!$E:$E,$D119,'01. KE30'!$A:$A,'03. TH_ XK-B2B'!H$117)," -")</f>
        <v>643870.15323366178</v>
      </c>
      <c r="I119" s="227">
        <f>IFERROR(I82-SUMIFS('01. KE30'!$AA:$AA,'01. KE30'!$B:$B,'03. TH_ XK-B2B'!$B$118,'01. KE30'!$E:$E,$D119,'01. KE30'!$A:$A,'03. TH_ XK-B2B'!I$117)," -")</f>
        <v>550267.21304684551</v>
      </c>
      <c r="J119" s="227">
        <f>IFERROR(J82-SUMIFS('01. KE30'!$AA:$AA,'01. KE30'!$B:$B,'03. TH_ XK-B2B'!$B$118,'01. KE30'!$E:$E,$D119,'01. KE30'!$A:$A,'03. TH_ XK-B2B'!J$117)," -")</f>
        <v>741808.53321732441</v>
      </c>
      <c r="K119" s="227">
        <f>IFERROR(K82-SUMIFS('01. KE30'!$AA:$AA,'01. KE30'!$B:$B,'03. TH_ XK-B2B'!$B$118,'01. KE30'!$E:$E,$D119,'01. KE30'!$A:$A,'03. TH_ XK-B2B'!K$117)," -")</f>
        <v>331122.9258101848</v>
      </c>
      <c r="L119" s="227">
        <f>IFERROR(L82-SUMIFS('01. KE30'!$AA:$AA,'01. KE30'!$B:$B,'03. TH_ XK-B2B'!$B$118,'01. KE30'!$E:$E,$D119,'01. KE30'!$A:$A,'03. TH_ XK-B2B'!L$117)," -")</f>
        <v>373573.02266615489</v>
      </c>
      <c r="M119" s="227">
        <f>IFERROR(M82-SUMIFS('01. KE30'!$AA:$AA,'01. KE30'!$B:$B,'03. TH_ XK-B2B'!$B$118,'01. KE30'!$E:$E,$D119,'01. KE30'!$A:$A,'03. TH_ XK-B2B'!M$117)," -")</f>
        <v>414498.14453781582</v>
      </c>
      <c r="N119" s="227">
        <f>IFERROR(N82-SUMIFS('01. KE30'!$AA:$AA,'01. KE30'!$B:$B,'03. TH_ XK-B2B'!$B$118,'01. KE30'!$E:$E,$D119,'01. KE30'!$A:$A,'03. TH_ XK-B2B'!N$117)," -")</f>
        <v>114051.53184609511</v>
      </c>
      <c r="O119" s="227">
        <f>IFERROR(O82-SUMIFS('01. KE30'!$AA:$AA,'01. KE30'!$B:$B,'03. TH_ XK-B2B'!$B$118,'01. KE30'!$E:$E,$D119,'01. KE30'!$A:$A,'03. TH_ XK-B2B'!O$117)," -")</f>
        <v>0</v>
      </c>
      <c r="P119" s="228">
        <f>IFERROR(P82-SUMIFS('01. KE30'!$AA:$AA,'01. KE30'!$B:$B,'03. TH_ XK-B2B'!$B$118,'01. KE30'!$E:$E,$D119,'01. KE30'!$A:$A,'03. TH_ XK-B2B'!P$117)," -")</f>
        <v>0</v>
      </c>
      <c r="Q119" s="228">
        <f>IFERROR(Q82-SUMIFS('01. KE30'!$AA:$AA,'01. KE30'!$B:$B,'03. TH_ XK-B2B'!$B$118,'01. KE30'!$E:$E,$D119,'01. KE30'!$A:$A,'03. TH_ XK-B2B'!Q$117)," -")</f>
        <v>0</v>
      </c>
      <c r="R119" s="245">
        <f t="shared" ref="R119:R125" si="291">SUM(F119:Q119)</f>
        <v>4682009.2202382805</v>
      </c>
      <c r="S119" s="239">
        <f t="shared" ref="S119:S125" si="292">IFERROR(R119/(12-COUNTIF(F119:Q119,0)),0)</f>
        <v>520223.24669314228</v>
      </c>
      <c r="T119" s="17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8"/>
      <c r="AF119" s="228"/>
      <c r="AG119" s="245">
        <f t="shared" ref="AG119:AG125" si="293">SUM(U119:AF119)</f>
        <v>0</v>
      </c>
      <c r="AH119" s="245" t="e">
        <f>AVERAGE(U119:AF119)</f>
        <v>#DIV/0!</v>
      </c>
      <c r="AI119" s="176"/>
      <c r="AJ119" s="227">
        <v>364257.76085714274</v>
      </c>
      <c r="AK119" s="227">
        <v>219886.10216326511</v>
      </c>
      <c r="AL119" s="227">
        <v>283213.80034959689</v>
      </c>
      <c r="AM119" s="227">
        <v>542295.39137903228</v>
      </c>
      <c r="AN119" s="227">
        <v>17889.667120000347</v>
      </c>
      <c r="AO119" s="227">
        <v>58485.639039118309</v>
      </c>
      <c r="AP119" s="227">
        <v>111048.04034249322</v>
      </c>
      <c r="AQ119" s="227">
        <v>222209.78694050899</v>
      </c>
      <c r="AR119" s="227">
        <v>428859.59198363917</v>
      </c>
      <c r="AS119" s="227">
        <v>309990.24175955425</v>
      </c>
      <c r="AT119" s="228">
        <v>179808.33561208274</v>
      </c>
      <c r="AU119" s="228">
        <v>313636.64733096096</v>
      </c>
      <c r="AV119" s="245">
        <f t="shared" ref="AV119:AV135" si="294">SUM(AJ119:AU119)</f>
        <v>3051581.0048773959</v>
      </c>
      <c r="AW119" s="245">
        <f>AVERAGE(AJ119:AU119)</f>
        <v>254298.41707311632</v>
      </c>
    </row>
    <row r="120" spans="1:49" s="172" customFormat="1" ht="15.5" hidden="1" outlineLevel="1" x14ac:dyDescent="0.35">
      <c r="A120" s="553">
        <f>ROWS($A$117:A120)</f>
        <v>4</v>
      </c>
      <c r="B120" s="170"/>
      <c r="C120" s="168"/>
      <c r="D120" s="169" t="s">
        <v>95</v>
      </c>
      <c r="E120" s="176" t="s">
        <v>286</v>
      </c>
      <c r="F120" s="227">
        <f>IFERROR(F83-SUMIFS('01. KE30'!$AA:$AA,'01. KE30'!$B:$B,'03. TH_ XK-B2B'!$B$118,'01. KE30'!$E:$E,$D120,'01. KE30'!$A:$A,'03. TH_ XK-B2B'!F$117)," -")</f>
        <v>0</v>
      </c>
      <c r="G120" s="227">
        <f>IFERROR(G83-SUMIFS('01. KE30'!$AA:$AA,'01. KE30'!$B:$B,'03. TH_ XK-B2B'!$B$118,'01. KE30'!$E:$E,$D120,'01. KE30'!$A:$A,'03. TH_ XK-B2B'!G$117)," -")</f>
        <v>0</v>
      </c>
      <c r="H120" s="227">
        <f>IFERROR(H83-SUMIFS('01. KE30'!$AA:$AA,'01. KE30'!$B:$B,'03. TH_ XK-B2B'!$B$118,'01. KE30'!$E:$E,$D120,'01. KE30'!$A:$A,'03. TH_ XK-B2B'!H$117)," -")</f>
        <v>0</v>
      </c>
      <c r="I120" s="227">
        <f>IFERROR(I83-SUMIFS('01. KE30'!$AA:$AA,'01. KE30'!$B:$B,'03. TH_ XK-B2B'!$B$118,'01. KE30'!$E:$E,$D120,'01. KE30'!$A:$A,'03. TH_ XK-B2B'!I$117)," -")</f>
        <v>0</v>
      </c>
      <c r="J120" s="227">
        <f>IFERROR(J83-SUMIFS('01. KE30'!$AA:$AA,'01. KE30'!$B:$B,'03. TH_ XK-B2B'!$B$118,'01. KE30'!$E:$E,$D120,'01. KE30'!$A:$A,'03. TH_ XK-B2B'!J$117)," -")</f>
        <v>0</v>
      </c>
      <c r="K120" s="227">
        <f>IFERROR(K83-SUMIFS('01. KE30'!$AA:$AA,'01. KE30'!$B:$B,'03. TH_ XK-B2B'!$B$118,'01. KE30'!$E:$E,$D120,'01. KE30'!$A:$A,'03. TH_ XK-B2B'!K$117)," -")</f>
        <v>-28164.567901234564</v>
      </c>
      <c r="L120" s="227">
        <f>IFERROR(L83-SUMIFS('01. KE30'!$AA:$AA,'01. KE30'!$B:$B,'03. TH_ XK-B2B'!$B$118,'01. KE30'!$E:$E,$D120,'01. KE30'!$A:$A,'03. TH_ XK-B2B'!L$117)," -")</f>
        <v>0</v>
      </c>
      <c r="M120" s="227">
        <f>IFERROR(M83-SUMIFS('01. KE30'!$AA:$AA,'01. KE30'!$B:$B,'03. TH_ XK-B2B'!$B$118,'01. KE30'!$E:$E,$D120,'01. KE30'!$A:$A,'03. TH_ XK-B2B'!M$117)," -")</f>
        <v>0</v>
      </c>
      <c r="N120" s="227">
        <f>IFERROR(N83-SUMIFS('01. KE30'!$AA:$AA,'01. KE30'!$B:$B,'03. TH_ XK-B2B'!$B$118,'01. KE30'!$E:$E,$D120,'01. KE30'!$A:$A,'03. TH_ XK-B2B'!N$117)," -")</f>
        <v>0</v>
      </c>
      <c r="O120" s="227">
        <f>IFERROR(O83-SUMIFS('01. KE30'!$AA:$AA,'01. KE30'!$B:$B,'03. TH_ XK-B2B'!$B$118,'01. KE30'!$E:$E,$D120,'01. KE30'!$A:$A,'03. TH_ XK-B2B'!O$117)," -")</f>
        <v>0</v>
      </c>
      <c r="P120" s="228">
        <f>IFERROR(P83-SUMIFS('01. KE30'!$AA:$AA,'01. KE30'!$B:$B,'03. TH_ XK-B2B'!$B$118,'01. KE30'!$E:$E,$D120,'01. KE30'!$A:$A,'03. TH_ XK-B2B'!P$117)," -")</f>
        <v>0</v>
      </c>
      <c r="Q120" s="228">
        <f>IFERROR(Q83-SUMIFS('01. KE30'!$AA:$AA,'01. KE30'!$B:$B,'03. TH_ XK-B2B'!$B$118,'01. KE30'!$E:$E,$D120,'01. KE30'!$A:$A,'03. TH_ XK-B2B'!Q$117)," -")</f>
        <v>0</v>
      </c>
      <c r="R120" s="245">
        <f t="shared" si="291"/>
        <v>-28164.567901234564</v>
      </c>
      <c r="S120" s="239">
        <f t="shared" si="292"/>
        <v>-28164.567901234564</v>
      </c>
      <c r="T120" s="176"/>
      <c r="U120" s="227"/>
      <c r="V120" s="227"/>
      <c r="W120" s="227"/>
      <c r="X120" s="227"/>
      <c r="Y120" s="227"/>
      <c r="Z120" s="227"/>
      <c r="AA120" s="227"/>
      <c r="AB120" s="227"/>
      <c r="AC120" s="227"/>
      <c r="AD120" s="227"/>
      <c r="AE120" s="228"/>
      <c r="AF120" s="228"/>
      <c r="AG120" s="245">
        <f t="shared" si="293"/>
        <v>0</v>
      </c>
      <c r="AH120" s="245" t="e">
        <f t="shared" ref="AH120:AH125" si="295">AVERAGE(U120:AF120)</f>
        <v>#DIV/0!</v>
      </c>
      <c r="AI120" s="176"/>
      <c r="AJ120" s="227">
        <v>5981.2030204081639</v>
      </c>
      <c r="AK120" s="227">
        <v>0</v>
      </c>
      <c r="AL120" s="227">
        <v>-5.0495564516129008</v>
      </c>
      <c r="AM120" s="227">
        <v>-52340.592741935485</v>
      </c>
      <c r="AN120" s="227">
        <v>0</v>
      </c>
      <c r="AO120" s="227">
        <v>0</v>
      </c>
      <c r="AP120" s="227">
        <v>0</v>
      </c>
      <c r="AQ120" s="227">
        <v>0</v>
      </c>
      <c r="AR120" s="227">
        <v>-54324.299713701446</v>
      </c>
      <c r="AS120" s="227">
        <v>-48820.677547770698</v>
      </c>
      <c r="AT120" s="228">
        <v>0</v>
      </c>
      <c r="AU120" s="228">
        <v>-38943.10913404508</v>
      </c>
      <c r="AV120" s="245">
        <f t="shared" si="294"/>
        <v>-188452.52567349616</v>
      </c>
      <c r="AW120" s="245">
        <f t="shared" ref="AW120:AW125" si="296">AVERAGE(AJ120:AU120)</f>
        <v>-15704.377139458013</v>
      </c>
    </row>
    <row r="121" spans="1:49" s="172" customFormat="1" ht="15.5" hidden="1" outlineLevel="1" x14ac:dyDescent="0.35">
      <c r="A121" s="553">
        <f>ROWS($A$117:A121)</f>
        <v>5</v>
      </c>
      <c r="B121" s="170"/>
      <c r="C121" s="168"/>
      <c r="D121" s="169" t="s">
        <v>265</v>
      </c>
      <c r="E121" s="176" t="s">
        <v>286</v>
      </c>
      <c r="F121" s="227">
        <f>IFERROR(F84-SUMIFS('01. KE30'!$AA:$AA,'01. KE30'!$B:$B,'03. TH_ XK-B2B'!$B$118,'01. KE30'!$E:$E,$D121,'01. KE30'!$A:$A,'03. TH_ XK-B2B'!F$117)," -")</f>
        <v>0</v>
      </c>
      <c r="G121" s="227">
        <f>IFERROR(G84-SUMIFS('01. KE30'!$AA:$AA,'01. KE30'!$B:$B,'03. TH_ XK-B2B'!$B$118,'01. KE30'!$E:$E,$D121,'01. KE30'!$A:$A,'03. TH_ XK-B2B'!G$117)," -")</f>
        <v>0</v>
      </c>
      <c r="H121" s="227">
        <f>IFERROR(H84-SUMIFS('01. KE30'!$AA:$AA,'01. KE30'!$B:$B,'03. TH_ XK-B2B'!$B$118,'01. KE30'!$E:$E,$D121,'01. KE30'!$A:$A,'03. TH_ XK-B2B'!H$117)," -")</f>
        <v>26404.719685039381</v>
      </c>
      <c r="I121" s="227">
        <f>IFERROR(I84-SUMIFS('01. KE30'!$AA:$AA,'01. KE30'!$B:$B,'03. TH_ XK-B2B'!$B$118,'01. KE30'!$E:$E,$D121,'01. KE30'!$A:$A,'03. TH_ XK-B2B'!I$117)," -")</f>
        <v>0</v>
      </c>
      <c r="J121" s="227">
        <f>IFERROR(J84-SUMIFS('01. KE30'!$AA:$AA,'01. KE30'!$B:$B,'03. TH_ XK-B2B'!$B$118,'01. KE30'!$E:$E,$D121,'01. KE30'!$A:$A,'03. TH_ XK-B2B'!J$117)," -")</f>
        <v>0</v>
      </c>
      <c r="K121" s="227">
        <f>IFERROR(K84-SUMIFS('01. KE30'!$AA:$AA,'01. KE30'!$B:$B,'03. TH_ XK-B2B'!$B$118,'01. KE30'!$E:$E,$D121,'01. KE30'!$A:$A,'03. TH_ XK-B2B'!K$117)," -")</f>
        <v>1231.2313657407403</v>
      </c>
      <c r="L121" s="227">
        <f>IFERROR(L84-SUMIFS('01. KE30'!$AA:$AA,'01. KE30'!$B:$B,'03. TH_ XK-B2B'!$B$118,'01. KE30'!$E:$E,$D121,'01. KE30'!$A:$A,'03. TH_ XK-B2B'!L$117)," -")</f>
        <v>0</v>
      </c>
      <c r="M121" s="227">
        <f>IFERROR(M84-SUMIFS('01. KE30'!$AA:$AA,'01. KE30'!$B:$B,'03. TH_ XK-B2B'!$B$118,'01. KE30'!$E:$E,$D121,'01. KE30'!$A:$A,'03. TH_ XK-B2B'!M$117)," -")</f>
        <v>20992.139839572221</v>
      </c>
      <c r="N121" s="227">
        <f>IFERROR(N84-SUMIFS('01. KE30'!$AA:$AA,'01. KE30'!$B:$B,'03. TH_ XK-B2B'!$B$118,'01. KE30'!$E:$E,$D121,'01. KE30'!$A:$A,'03. TH_ XK-B2B'!N$117)," -")</f>
        <v>0</v>
      </c>
      <c r="O121" s="227">
        <f>IFERROR(O84-SUMIFS('01. KE30'!$AA:$AA,'01. KE30'!$B:$B,'03. TH_ XK-B2B'!$B$118,'01. KE30'!$E:$E,$D121,'01. KE30'!$A:$A,'03. TH_ XK-B2B'!O$117)," -")</f>
        <v>0</v>
      </c>
      <c r="P121" s="228">
        <f>IFERROR(P84-SUMIFS('01. KE30'!$AA:$AA,'01. KE30'!$B:$B,'03. TH_ XK-B2B'!$B$118,'01. KE30'!$E:$E,$D121,'01. KE30'!$A:$A,'03. TH_ XK-B2B'!P$117)," -")</f>
        <v>0</v>
      </c>
      <c r="Q121" s="228">
        <f>IFERROR(Q84-SUMIFS('01. KE30'!$AA:$AA,'01. KE30'!$B:$B,'03. TH_ XK-B2B'!$B$118,'01. KE30'!$E:$E,$D121,'01. KE30'!$A:$A,'03. TH_ XK-B2B'!Q$117)," -")</f>
        <v>0</v>
      </c>
      <c r="R121" s="245">
        <f t="shared" si="291"/>
        <v>48628.090890352338</v>
      </c>
      <c r="S121" s="239">
        <f t="shared" si="292"/>
        <v>16209.363630117447</v>
      </c>
      <c r="T121" s="176"/>
      <c r="U121" s="227"/>
      <c r="V121" s="227"/>
      <c r="W121" s="227"/>
      <c r="X121" s="227"/>
      <c r="Y121" s="227"/>
      <c r="Z121" s="227"/>
      <c r="AA121" s="227"/>
      <c r="AB121" s="227"/>
      <c r="AC121" s="227"/>
      <c r="AD121" s="227"/>
      <c r="AE121" s="228"/>
      <c r="AF121" s="228"/>
      <c r="AG121" s="245">
        <f t="shared" si="293"/>
        <v>0</v>
      </c>
      <c r="AH121" s="245" t="e">
        <f t="shared" si="295"/>
        <v>#DIV/0!</v>
      </c>
      <c r="AI121" s="176"/>
      <c r="AJ121" s="227">
        <v>0</v>
      </c>
      <c r="AK121" s="227">
        <v>0</v>
      </c>
      <c r="AL121" s="227">
        <v>839.16068548387193</v>
      </c>
      <c r="AM121" s="227">
        <v>0</v>
      </c>
      <c r="AN121" s="227">
        <v>0</v>
      </c>
      <c r="AO121" s="227">
        <v>0</v>
      </c>
      <c r="AP121" s="227">
        <v>0</v>
      </c>
      <c r="AQ121" s="227">
        <v>0</v>
      </c>
      <c r="AR121" s="227">
        <v>0</v>
      </c>
      <c r="AS121" s="227">
        <v>0</v>
      </c>
      <c r="AT121" s="228">
        <v>0</v>
      </c>
      <c r="AU121" s="228">
        <v>0</v>
      </c>
      <c r="AV121" s="245">
        <f t="shared" si="294"/>
        <v>839.16068548387193</v>
      </c>
      <c r="AW121" s="245">
        <f t="shared" si="296"/>
        <v>69.930057123655999</v>
      </c>
    </row>
    <row r="122" spans="1:49" s="172" customFormat="1" ht="15.5" hidden="1" outlineLevel="1" x14ac:dyDescent="0.35">
      <c r="A122" s="553">
        <f>ROWS($A$117:A122)</f>
        <v>6</v>
      </c>
      <c r="B122" s="170"/>
      <c r="C122" s="168"/>
      <c r="D122" s="169" t="s">
        <v>266</v>
      </c>
      <c r="E122" s="176" t="s">
        <v>286</v>
      </c>
      <c r="F122" s="227">
        <f>IFERROR(F85-SUMIFS('01. KE30'!$AA:$AA,'01. KE30'!$B:$B,'03. TH_ XK-B2B'!$B$118,'01. KE30'!$E:$E,$D122,'01. KE30'!$A:$A,'03. TH_ XK-B2B'!F$117)," -")</f>
        <v>0</v>
      </c>
      <c r="G122" s="227">
        <f>IFERROR(G85-SUMIFS('01. KE30'!$AA:$AA,'01. KE30'!$B:$B,'03. TH_ XK-B2B'!$B$118,'01. KE30'!$E:$E,$D122,'01. KE30'!$A:$A,'03. TH_ XK-B2B'!G$117)," -")</f>
        <v>3930.1099251673877</v>
      </c>
      <c r="H122" s="227">
        <f>IFERROR(H85-SUMIFS('01. KE30'!$AA:$AA,'01. KE30'!$B:$B,'03. TH_ XK-B2B'!$B$118,'01. KE30'!$E:$E,$D122,'01. KE30'!$A:$A,'03. TH_ XK-B2B'!H$117)," -")</f>
        <v>0</v>
      </c>
      <c r="I122" s="227">
        <f>IFERROR(I85-SUMIFS('01. KE30'!$AA:$AA,'01. KE30'!$B:$B,'03. TH_ XK-B2B'!$B$118,'01. KE30'!$E:$E,$D122,'01. KE30'!$A:$A,'03. TH_ XK-B2B'!I$117)," -")</f>
        <v>0</v>
      </c>
      <c r="J122" s="227">
        <f>IFERROR(J85-SUMIFS('01. KE30'!$AA:$AA,'01. KE30'!$B:$B,'03. TH_ XK-B2B'!$B$118,'01. KE30'!$E:$E,$D122,'01. KE30'!$A:$A,'03. TH_ XK-B2B'!J$117)," -")</f>
        <v>0</v>
      </c>
      <c r="K122" s="227">
        <f>IFERROR(K85-SUMIFS('01. KE30'!$AA:$AA,'01. KE30'!$B:$B,'03. TH_ XK-B2B'!$B$118,'01. KE30'!$E:$E,$D122,'01. KE30'!$A:$A,'03. TH_ XK-B2B'!K$117)," -")</f>
        <v>0</v>
      </c>
      <c r="L122" s="227">
        <f>IFERROR(L85-SUMIFS('01. KE30'!$AA:$AA,'01. KE30'!$B:$B,'03. TH_ XK-B2B'!$B$118,'01. KE30'!$E:$E,$D122,'01. KE30'!$A:$A,'03. TH_ XK-B2B'!L$117)," -")</f>
        <v>0</v>
      </c>
      <c r="M122" s="227">
        <f>IFERROR(M85-SUMIFS('01. KE30'!$AA:$AA,'01. KE30'!$B:$B,'03. TH_ XK-B2B'!$B$118,'01. KE30'!$E:$E,$D122,'01. KE30'!$A:$A,'03. TH_ XK-B2B'!M$117)," -")</f>
        <v>0</v>
      </c>
      <c r="N122" s="227">
        <f>IFERROR(N85-SUMIFS('01. KE30'!$AA:$AA,'01. KE30'!$B:$B,'03. TH_ XK-B2B'!$B$118,'01. KE30'!$E:$E,$D122,'01. KE30'!$A:$A,'03. TH_ XK-B2B'!N$117)," -")</f>
        <v>0</v>
      </c>
      <c r="O122" s="227">
        <f>IFERROR(O85-SUMIFS('01. KE30'!$AA:$AA,'01. KE30'!$B:$B,'03. TH_ XK-B2B'!$B$118,'01. KE30'!$E:$E,$D122,'01. KE30'!$A:$A,'03. TH_ XK-B2B'!O$117)," -")</f>
        <v>0</v>
      </c>
      <c r="P122" s="228">
        <f>IFERROR(P85-SUMIFS('01. KE30'!$AA:$AA,'01. KE30'!$B:$B,'03. TH_ XK-B2B'!$B$118,'01. KE30'!$E:$E,$D122,'01. KE30'!$A:$A,'03. TH_ XK-B2B'!P$117)," -")</f>
        <v>0</v>
      </c>
      <c r="Q122" s="228">
        <f>IFERROR(Q85-SUMIFS('01. KE30'!$AA:$AA,'01. KE30'!$B:$B,'03. TH_ XK-B2B'!$B$118,'01. KE30'!$E:$E,$D122,'01. KE30'!$A:$A,'03. TH_ XK-B2B'!Q$117)," -")</f>
        <v>0</v>
      </c>
      <c r="R122" s="245">
        <f t="shared" si="291"/>
        <v>3930.1099251673877</v>
      </c>
      <c r="S122" s="239">
        <f t="shared" si="292"/>
        <v>3930.1099251673877</v>
      </c>
      <c r="T122" s="176"/>
      <c r="U122" s="227"/>
      <c r="V122" s="227"/>
      <c r="W122" s="227"/>
      <c r="X122" s="227"/>
      <c r="Y122" s="227"/>
      <c r="Z122" s="227"/>
      <c r="AA122" s="227"/>
      <c r="AB122" s="227"/>
      <c r="AC122" s="227"/>
      <c r="AD122" s="227"/>
      <c r="AE122" s="228"/>
      <c r="AF122" s="228"/>
      <c r="AG122" s="245">
        <f t="shared" si="293"/>
        <v>0</v>
      </c>
      <c r="AH122" s="245" t="e">
        <f t="shared" si="295"/>
        <v>#DIV/0!</v>
      </c>
      <c r="AI122" s="176"/>
      <c r="AJ122" s="227">
        <v>0</v>
      </c>
      <c r="AK122" s="227">
        <v>0</v>
      </c>
      <c r="AL122" s="227">
        <v>0</v>
      </c>
      <c r="AM122" s="227">
        <v>0</v>
      </c>
      <c r="AN122" s="227">
        <v>0</v>
      </c>
      <c r="AO122" s="227">
        <v>0</v>
      </c>
      <c r="AP122" s="227">
        <v>0</v>
      </c>
      <c r="AQ122" s="227">
        <v>0</v>
      </c>
      <c r="AR122" s="227">
        <v>0</v>
      </c>
      <c r="AS122" s="227">
        <v>0</v>
      </c>
      <c r="AT122" s="228">
        <v>0</v>
      </c>
      <c r="AU122" s="228">
        <v>0</v>
      </c>
      <c r="AV122" s="245">
        <f t="shared" si="294"/>
        <v>0</v>
      </c>
      <c r="AW122" s="245">
        <f t="shared" si="296"/>
        <v>0</v>
      </c>
    </row>
    <row r="123" spans="1:49" s="172" customFormat="1" ht="15.5" hidden="1" outlineLevel="1" x14ac:dyDescent="0.35">
      <c r="A123" s="553">
        <f>ROWS($A$117:A123)</f>
        <v>7</v>
      </c>
      <c r="B123" s="170"/>
      <c r="C123" s="168"/>
      <c r="D123" s="169" t="s">
        <v>295</v>
      </c>
      <c r="E123" s="176" t="s">
        <v>286</v>
      </c>
      <c r="F123" s="227">
        <f>IFERROR(F86-SUMIFS('01. KE30'!$AA:$AA,'01. KE30'!$B:$B,'03. TH_ XK-B2B'!$B$118,'01. KE30'!$E:$E,$D123,'01. KE30'!$A:$A,'03. TH_ XK-B2B'!F$117)," -")</f>
        <v>0</v>
      </c>
      <c r="G123" s="227">
        <f>IFERROR(G86-SUMIFS('01. KE30'!$AA:$AA,'01. KE30'!$B:$B,'03. TH_ XK-B2B'!$B$118,'01. KE30'!$E:$E,$D123,'01. KE30'!$A:$A,'03. TH_ XK-B2B'!G$117)," -")</f>
        <v>0</v>
      </c>
      <c r="H123" s="227">
        <f>IFERROR(H86-SUMIFS('01. KE30'!$AA:$AA,'01. KE30'!$B:$B,'03. TH_ XK-B2B'!$B$118,'01. KE30'!$E:$E,$D123,'01. KE30'!$A:$A,'03. TH_ XK-B2B'!H$117)," -")</f>
        <v>0</v>
      </c>
      <c r="I123" s="227">
        <f>IFERROR(I86-SUMIFS('01. KE30'!$AA:$AA,'01. KE30'!$B:$B,'03. TH_ XK-B2B'!$B$118,'01. KE30'!$E:$E,$D123,'01. KE30'!$A:$A,'03. TH_ XK-B2B'!I$117)," -")</f>
        <v>0</v>
      </c>
      <c r="J123" s="227">
        <f>IFERROR(J86-SUMIFS('01. KE30'!$AA:$AA,'01. KE30'!$B:$B,'03. TH_ XK-B2B'!$B$118,'01. KE30'!$E:$E,$D123,'01. KE30'!$A:$A,'03. TH_ XK-B2B'!J$117)," -")</f>
        <v>0</v>
      </c>
      <c r="K123" s="227">
        <f>IFERROR(K86-SUMIFS('01. KE30'!$AA:$AA,'01. KE30'!$B:$B,'03. TH_ XK-B2B'!$B$118,'01. KE30'!$E:$E,$D123,'01. KE30'!$A:$A,'03. TH_ XK-B2B'!K$117)," -")</f>
        <v>0</v>
      </c>
      <c r="L123" s="227">
        <f>IFERROR(L86-SUMIFS('01. KE30'!$AA:$AA,'01. KE30'!$B:$B,'03. TH_ XK-B2B'!$B$118,'01. KE30'!$E:$E,$D123,'01. KE30'!$A:$A,'03. TH_ XK-B2B'!L$117)," -")</f>
        <v>0</v>
      </c>
      <c r="M123" s="227">
        <f>IFERROR(M86-SUMIFS('01. KE30'!$AA:$AA,'01. KE30'!$B:$B,'03. TH_ XK-B2B'!$B$118,'01. KE30'!$E:$E,$D123,'01. KE30'!$A:$A,'03. TH_ XK-B2B'!M$117)," -")</f>
        <v>0</v>
      </c>
      <c r="N123" s="227">
        <f>IFERROR(N86-SUMIFS('01. KE30'!$AA:$AA,'01. KE30'!$B:$B,'03. TH_ XK-B2B'!$B$118,'01. KE30'!$E:$E,$D123,'01. KE30'!$A:$A,'03. TH_ XK-B2B'!N$117)," -")</f>
        <v>0</v>
      </c>
      <c r="O123" s="227">
        <f>IFERROR(O86-SUMIFS('01. KE30'!$AA:$AA,'01. KE30'!$B:$B,'03. TH_ XK-B2B'!$B$118,'01. KE30'!$E:$E,$D123,'01. KE30'!$A:$A,'03. TH_ XK-B2B'!O$117)," -")</f>
        <v>0</v>
      </c>
      <c r="P123" s="228">
        <f>IFERROR(P86-SUMIFS('01. KE30'!$AA:$AA,'01. KE30'!$B:$B,'03. TH_ XK-B2B'!$B$118,'01. KE30'!$E:$E,$D123,'01. KE30'!$A:$A,'03. TH_ XK-B2B'!P$117)," -")</f>
        <v>0</v>
      </c>
      <c r="Q123" s="228">
        <f>IFERROR(Q86-SUMIFS('01. KE30'!$AA:$AA,'01. KE30'!$B:$B,'03. TH_ XK-B2B'!$B$118,'01. KE30'!$E:$E,$D123,'01. KE30'!$A:$A,'03. TH_ XK-B2B'!Q$117)," -")</f>
        <v>0</v>
      </c>
      <c r="R123" s="245">
        <f t="shared" si="291"/>
        <v>0</v>
      </c>
      <c r="S123" s="239">
        <f t="shared" si="292"/>
        <v>0</v>
      </c>
      <c r="T123" s="176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8"/>
      <c r="AF123" s="228"/>
      <c r="AG123" s="245">
        <f t="shared" si="293"/>
        <v>0</v>
      </c>
      <c r="AH123" s="245" t="e">
        <f t="shared" si="295"/>
        <v>#DIV/0!</v>
      </c>
      <c r="AI123" s="176"/>
      <c r="AJ123" s="227">
        <v>0</v>
      </c>
      <c r="AK123" s="227">
        <v>0</v>
      </c>
      <c r="AL123" s="227">
        <v>0</v>
      </c>
      <c r="AM123" s="227">
        <v>0</v>
      </c>
      <c r="AN123" s="227">
        <v>0</v>
      </c>
      <c r="AO123" s="227">
        <v>0</v>
      </c>
      <c r="AP123" s="227">
        <v>0</v>
      </c>
      <c r="AQ123" s="227">
        <v>0</v>
      </c>
      <c r="AR123" s="227">
        <v>0</v>
      </c>
      <c r="AS123" s="227">
        <v>0</v>
      </c>
      <c r="AT123" s="228">
        <v>0</v>
      </c>
      <c r="AU123" s="228">
        <v>0</v>
      </c>
      <c r="AV123" s="245">
        <f t="shared" si="294"/>
        <v>0</v>
      </c>
      <c r="AW123" s="245">
        <f t="shared" si="296"/>
        <v>0</v>
      </c>
    </row>
    <row r="124" spans="1:49" s="172" customFormat="1" ht="15.5" hidden="1" outlineLevel="1" x14ac:dyDescent="0.35">
      <c r="A124" s="553">
        <f>ROWS($A$117:A124)</f>
        <v>8</v>
      </c>
      <c r="B124" s="170"/>
      <c r="C124" s="168"/>
      <c r="D124" s="169" t="s">
        <v>23</v>
      </c>
      <c r="E124" s="176" t="s">
        <v>286</v>
      </c>
      <c r="F124" s="227">
        <f>IFERROR(F87-SUMIFS('01. KE30'!$AA:$AA,'01. KE30'!$B:$B,'03. TH_ XK-B2B'!$B$118,'01. KE30'!$E:$E,$D124,'01. KE30'!$A:$A,'03. TH_ XK-B2B'!F$117)," -")</f>
        <v>0</v>
      </c>
      <c r="G124" s="227">
        <f>IFERROR(G87-SUMIFS('01. KE30'!$AA:$AA,'01. KE30'!$B:$B,'03. TH_ XK-B2B'!$B$118,'01. KE30'!$E:$E,$D124,'01. KE30'!$A:$A,'03. TH_ XK-B2B'!G$117)," -")</f>
        <v>0</v>
      </c>
      <c r="H124" s="227">
        <f>IFERROR(H87-SUMIFS('01. KE30'!$AA:$AA,'01. KE30'!$B:$B,'03. TH_ XK-B2B'!$B$118,'01. KE30'!$E:$E,$D124,'01. KE30'!$A:$A,'03. TH_ XK-B2B'!H$117)," -")</f>
        <v>-1857.8973622047233</v>
      </c>
      <c r="I124" s="227">
        <f>IFERROR(I87-SUMIFS('01. KE30'!$AA:$AA,'01. KE30'!$B:$B,'03. TH_ XK-B2B'!$B$118,'01. KE30'!$E:$E,$D124,'01. KE30'!$A:$A,'03. TH_ XK-B2B'!I$117)," -")</f>
        <v>0</v>
      </c>
      <c r="J124" s="227">
        <f>IFERROR(J87-SUMIFS('01. KE30'!$AA:$AA,'01. KE30'!$B:$B,'03. TH_ XK-B2B'!$B$118,'01. KE30'!$E:$E,$D124,'01. KE30'!$A:$A,'03. TH_ XK-B2B'!J$117)," -")</f>
        <v>0</v>
      </c>
      <c r="K124" s="227">
        <f>IFERROR(K87-SUMIFS('01. KE30'!$AA:$AA,'01. KE30'!$B:$B,'03. TH_ XK-B2B'!$B$118,'01. KE30'!$E:$E,$D124,'01. KE30'!$A:$A,'03. TH_ XK-B2B'!K$117)," -")</f>
        <v>-575.54131944444816</v>
      </c>
      <c r="L124" s="227">
        <f>IFERROR(L87-SUMIFS('01. KE30'!$AA:$AA,'01. KE30'!$B:$B,'03. TH_ XK-B2B'!$B$118,'01. KE30'!$E:$E,$D124,'01. KE30'!$A:$A,'03. TH_ XK-B2B'!L$117)," -")</f>
        <v>-407.04321936227643</v>
      </c>
      <c r="M124" s="227">
        <f>IFERROR(M87-SUMIFS('01. KE30'!$AA:$AA,'01. KE30'!$B:$B,'03. TH_ XK-B2B'!$B$118,'01. KE30'!$E:$E,$D124,'01. KE30'!$A:$A,'03. TH_ XK-B2B'!M$117)," -")</f>
        <v>0</v>
      </c>
      <c r="N124" s="227">
        <f>IFERROR(N87-SUMIFS('01. KE30'!$AA:$AA,'01. KE30'!$B:$B,'03. TH_ XK-B2B'!$B$118,'01. KE30'!$E:$E,$D124,'01. KE30'!$A:$A,'03. TH_ XK-B2B'!N$117)," -")</f>
        <v>-639.08251428571384</v>
      </c>
      <c r="O124" s="227">
        <f>IFERROR(O87-SUMIFS('01. KE30'!$AA:$AA,'01. KE30'!$B:$B,'03. TH_ XK-B2B'!$B$118,'01. KE30'!$E:$E,$D124,'01. KE30'!$A:$A,'03. TH_ XK-B2B'!O$117)," -")</f>
        <v>0</v>
      </c>
      <c r="P124" s="228">
        <f>IFERROR(P87-SUMIFS('01. KE30'!$AA:$AA,'01. KE30'!$B:$B,'03. TH_ XK-B2B'!$B$118,'01. KE30'!$E:$E,$D124,'01. KE30'!$A:$A,'03. TH_ XK-B2B'!P$117)," -")</f>
        <v>0</v>
      </c>
      <c r="Q124" s="228">
        <f>IFERROR(Q87-SUMIFS('01. KE30'!$AA:$AA,'01. KE30'!$B:$B,'03. TH_ XK-B2B'!$B$118,'01. KE30'!$E:$E,$D124,'01. KE30'!$A:$A,'03. TH_ XK-B2B'!Q$117)," -")</f>
        <v>0</v>
      </c>
      <c r="R124" s="245">
        <f t="shared" si="291"/>
        <v>-3479.5644152971618</v>
      </c>
      <c r="S124" s="239">
        <f t="shared" si="292"/>
        <v>-869.89110382429044</v>
      </c>
      <c r="T124" s="176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8"/>
      <c r="AF124" s="228"/>
      <c r="AG124" s="245">
        <f t="shared" si="293"/>
        <v>0</v>
      </c>
      <c r="AH124" s="245" t="e">
        <f t="shared" si="295"/>
        <v>#DIV/0!</v>
      </c>
      <c r="AI124" s="176"/>
      <c r="AJ124" s="227">
        <v>0</v>
      </c>
      <c r="AK124" s="227">
        <v>0</v>
      </c>
      <c r="AL124" s="227">
        <v>0</v>
      </c>
      <c r="AM124" s="227">
        <v>0</v>
      </c>
      <c r="AN124" s="227">
        <v>0</v>
      </c>
      <c r="AO124" s="227">
        <v>0</v>
      </c>
      <c r="AP124" s="227">
        <v>0</v>
      </c>
      <c r="AQ124" s="227">
        <v>19169.355402670986</v>
      </c>
      <c r="AR124" s="227">
        <v>0</v>
      </c>
      <c r="AS124" s="227">
        <v>0</v>
      </c>
      <c r="AT124" s="228">
        <v>0</v>
      </c>
      <c r="AU124" s="228">
        <v>-6617.3703440094905</v>
      </c>
      <c r="AV124" s="245">
        <f t="shared" si="294"/>
        <v>12551.985058661496</v>
      </c>
      <c r="AW124" s="245">
        <f t="shared" si="296"/>
        <v>1045.9987548884581</v>
      </c>
    </row>
    <row r="125" spans="1:49" s="172" customFormat="1" ht="15.5" hidden="1" outlineLevel="1" x14ac:dyDescent="0.35">
      <c r="A125" s="553">
        <f>ROWS($A$117:A125)</f>
        <v>9</v>
      </c>
      <c r="B125" s="170"/>
      <c r="C125" s="168"/>
      <c r="D125" s="169" t="s">
        <v>269</v>
      </c>
      <c r="E125" s="176" t="s">
        <v>286</v>
      </c>
      <c r="F125" s="227">
        <f>IFERROR(F88-SUMIFS('01. KE30'!$AA:$AA,'01. KE30'!$B:$B,'03. TH_ XK-B2B'!$B$118,'01. KE30'!$E:$E,$D125,'01. KE30'!$A:$A,'03. TH_ XK-B2B'!F$117)," -")</f>
        <v>0</v>
      </c>
      <c r="G125" s="227">
        <f>IFERROR(G88-SUMIFS('01. KE30'!$AA:$AA,'01. KE30'!$B:$B,'03. TH_ XK-B2B'!$B$118,'01. KE30'!$E:$E,$D125,'01. KE30'!$A:$A,'03. TH_ XK-B2B'!G$117)," -")</f>
        <v>0</v>
      </c>
      <c r="H125" s="227">
        <f>IFERROR(H88-SUMIFS('01. KE30'!$AA:$AA,'01. KE30'!$B:$B,'03. TH_ XK-B2B'!$B$118,'01. KE30'!$E:$E,$D125,'01. KE30'!$A:$A,'03. TH_ XK-B2B'!H$117)," -")</f>
        <v>0</v>
      </c>
      <c r="I125" s="227">
        <f>IFERROR(I88-SUMIFS('01. KE30'!$AA:$AA,'01. KE30'!$B:$B,'03. TH_ XK-B2B'!$B$118,'01. KE30'!$E:$E,$D125,'01. KE30'!$A:$A,'03. TH_ XK-B2B'!I$117)," -")</f>
        <v>0</v>
      </c>
      <c r="J125" s="227">
        <f>IFERROR(J88-SUMIFS('01. KE30'!$AA:$AA,'01. KE30'!$B:$B,'03. TH_ XK-B2B'!$B$118,'01. KE30'!$E:$E,$D125,'01. KE30'!$A:$A,'03. TH_ XK-B2B'!J$117)," -")</f>
        <v>0</v>
      </c>
      <c r="K125" s="227">
        <f>IFERROR(K88-SUMIFS('01. KE30'!$AA:$AA,'01. KE30'!$B:$B,'03. TH_ XK-B2B'!$B$118,'01. KE30'!$E:$E,$D125,'01. KE30'!$A:$A,'03. TH_ XK-B2B'!K$117)," -")</f>
        <v>0</v>
      </c>
      <c r="L125" s="227">
        <f>IFERROR(L88-SUMIFS('01. KE30'!$AA:$AA,'01. KE30'!$B:$B,'03. TH_ XK-B2B'!$B$118,'01. KE30'!$E:$E,$D125,'01. KE30'!$A:$A,'03. TH_ XK-B2B'!L$117)," -")</f>
        <v>0</v>
      </c>
      <c r="M125" s="227">
        <f>IFERROR(M88-SUMIFS('01. KE30'!$AA:$AA,'01. KE30'!$B:$B,'03. TH_ XK-B2B'!$B$118,'01. KE30'!$E:$E,$D125,'01. KE30'!$A:$A,'03. TH_ XK-B2B'!M$117)," -")</f>
        <v>0</v>
      </c>
      <c r="N125" s="227">
        <f>IFERROR(N88-SUMIFS('01. KE30'!$AA:$AA,'01. KE30'!$B:$B,'03. TH_ XK-B2B'!$B$118,'01. KE30'!$E:$E,$D125,'01. KE30'!$A:$A,'03. TH_ XK-B2B'!N$117)," -")</f>
        <v>0</v>
      </c>
      <c r="O125" s="227">
        <f>IFERROR(O88-SUMIFS('01. KE30'!$AA:$AA,'01. KE30'!$B:$B,'03. TH_ XK-B2B'!$B$118,'01. KE30'!$E:$E,$D125,'01. KE30'!$A:$A,'03. TH_ XK-B2B'!O$117)," -")</f>
        <v>0</v>
      </c>
      <c r="P125" s="228">
        <f>IFERROR(P88-SUMIFS('01. KE30'!$AA:$AA,'01. KE30'!$B:$B,'03. TH_ XK-B2B'!$B$118,'01. KE30'!$E:$E,$D125,'01. KE30'!$A:$A,'03. TH_ XK-B2B'!P$117)," -")</f>
        <v>0</v>
      </c>
      <c r="Q125" s="228">
        <f>IFERROR(Q88-SUMIFS('01. KE30'!$AA:$AA,'01. KE30'!$B:$B,'03. TH_ XK-B2B'!$B$118,'01. KE30'!$E:$E,$D125,'01. KE30'!$A:$A,'03. TH_ XK-B2B'!Q$117)," -")</f>
        <v>0</v>
      </c>
      <c r="R125" s="245">
        <f t="shared" si="291"/>
        <v>0</v>
      </c>
      <c r="S125" s="239">
        <f t="shared" si="292"/>
        <v>0</v>
      </c>
      <c r="T125" s="176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8"/>
      <c r="AF125" s="228"/>
      <c r="AG125" s="245">
        <f t="shared" si="293"/>
        <v>0</v>
      </c>
      <c r="AH125" s="245" t="e">
        <f t="shared" si="295"/>
        <v>#DIV/0!</v>
      </c>
      <c r="AI125" s="176"/>
      <c r="AJ125" s="227">
        <v>0</v>
      </c>
      <c r="AK125" s="227">
        <v>0</v>
      </c>
      <c r="AL125" s="227">
        <v>0</v>
      </c>
      <c r="AM125" s="227">
        <v>0</v>
      </c>
      <c r="AN125" s="227">
        <v>0</v>
      </c>
      <c r="AO125" s="227">
        <v>0</v>
      </c>
      <c r="AP125" s="227">
        <v>0</v>
      </c>
      <c r="AQ125" s="227">
        <v>0</v>
      </c>
      <c r="AR125" s="227">
        <v>0</v>
      </c>
      <c r="AS125" s="227">
        <v>0</v>
      </c>
      <c r="AT125" s="228">
        <v>0</v>
      </c>
      <c r="AU125" s="228">
        <v>0</v>
      </c>
      <c r="AV125" s="245">
        <f t="shared" si="294"/>
        <v>0</v>
      </c>
      <c r="AW125" s="245">
        <f t="shared" si="296"/>
        <v>0</v>
      </c>
    </row>
    <row r="126" spans="1:49" ht="15.5" collapsed="1" x14ac:dyDescent="0.35">
      <c r="A126" s="553">
        <f>ROWS($A$117:A126)</f>
        <v>10</v>
      </c>
      <c r="B126" s="204"/>
      <c r="C126" s="207"/>
      <c r="D126" s="209" t="s">
        <v>300</v>
      </c>
      <c r="E126" s="210" t="s">
        <v>285</v>
      </c>
      <c r="F126" s="208">
        <f t="shared" ref="F126:S126" si="297">IFERROR(F118/F$138,"-")</f>
        <v>0.67423021377930448</v>
      </c>
      <c r="G126" s="205">
        <f t="shared" si="297"/>
        <v>0.68340813249392118</v>
      </c>
      <c r="H126" s="205">
        <f t="shared" si="297"/>
        <v>0.73037927012349491</v>
      </c>
      <c r="I126" s="205">
        <f t="shared" si="297"/>
        <v>0.75311692811286057</v>
      </c>
      <c r="J126" s="205">
        <f t="shared" si="297"/>
        <v>0.82566529358887353</v>
      </c>
      <c r="K126" s="205">
        <f t="shared" si="297"/>
        <v>0.61166820831936131</v>
      </c>
      <c r="L126" s="205">
        <f t="shared" si="297"/>
        <v>0.99899133928140937</v>
      </c>
      <c r="M126" s="205">
        <f t="shared" si="297"/>
        <v>0.69051688817456969</v>
      </c>
      <c r="N126" s="205">
        <f t="shared" si="297"/>
        <v>0.97745614840394901</v>
      </c>
      <c r="O126" s="205" t="str">
        <f t="shared" si="297"/>
        <v>-</v>
      </c>
      <c r="P126" s="226" t="str">
        <f t="shared" si="297"/>
        <v>-</v>
      </c>
      <c r="Q126" s="226" t="str">
        <f t="shared" si="297"/>
        <v>-</v>
      </c>
      <c r="R126" s="197">
        <f t="shared" si="297"/>
        <v>0.73582556980493485</v>
      </c>
      <c r="S126" s="197">
        <f t="shared" si="297"/>
        <v>0.73852298460445198</v>
      </c>
      <c r="T126" s="286"/>
      <c r="U126" s="208" t="str">
        <f t="shared" ref="U126:AH126" si="298">IFERROR(U118/U$138,"-")</f>
        <v>-</v>
      </c>
      <c r="V126" s="205" t="str">
        <f t="shared" si="298"/>
        <v>-</v>
      </c>
      <c r="W126" s="205" t="str">
        <f t="shared" si="298"/>
        <v>-</v>
      </c>
      <c r="X126" s="205" t="str">
        <f t="shared" si="298"/>
        <v>-</v>
      </c>
      <c r="Y126" s="205" t="str">
        <f t="shared" si="298"/>
        <v>-</v>
      </c>
      <c r="Z126" s="205" t="str">
        <f t="shared" si="298"/>
        <v>-</v>
      </c>
      <c r="AA126" s="205" t="str">
        <f t="shared" si="298"/>
        <v>-</v>
      </c>
      <c r="AB126" s="205" t="str">
        <f t="shared" si="298"/>
        <v>-</v>
      </c>
      <c r="AC126" s="205" t="str">
        <f t="shared" si="298"/>
        <v>-</v>
      </c>
      <c r="AD126" s="205" t="str">
        <f t="shared" si="298"/>
        <v>-</v>
      </c>
      <c r="AE126" s="226" t="str">
        <f t="shared" si="298"/>
        <v>-</v>
      </c>
      <c r="AF126" s="226" t="str">
        <f t="shared" si="298"/>
        <v>-</v>
      </c>
      <c r="AG126" s="197" t="str">
        <f t="shared" si="298"/>
        <v>-</v>
      </c>
      <c r="AH126" s="197" t="str">
        <f t="shared" si="298"/>
        <v>-</v>
      </c>
      <c r="AI126" s="286"/>
      <c r="AJ126" s="205">
        <f t="shared" ref="AJ126:AV126" si="299">IFERROR(AJ118/AJ$138,"-")</f>
        <v>0.52514331737608755</v>
      </c>
      <c r="AK126" s="205">
        <f t="shared" si="299"/>
        <v>0.39469648096111376</v>
      </c>
      <c r="AL126" s="205">
        <f t="shared" si="299"/>
        <v>0.47721820123782993</v>
      </c>
      <c r="AM126" s="205">
        <f t="shared" si="299"/>
        <v>0.67108948474972596</v>
      </c>
      <c r="AN126" s="205">
        <f t="shared" si="299"/>
        <v>3.2780068044790008E-2</v>
      </c>
      <c r="AO126" s="205">
        <f t="shared" si="299"/>
        <v>0.1532945797437604</v>
      </c>
      <c r="AP126" s="205">
        <f t="shared" si="299"/>
        <v>0.48662762431815104</v>
      </c>
      <c r="AQ126" s="205">
        <f t="shared" si="299"/>
        <v>0.436778593091522</v>
      </c>
      <c r="AR126" s="205">
        <f t="shared" si="299"/>
        <v>0.56971908007960825</v>
      </c>
      <c r="AS126" s="205">
        <f t="shared" si="299"/>
        <v>0.45391423870091879</v>
      </c>
      <c r="AT126" s="226">
        <f t="shared" si="299"/>
        <v>0.31027464489409745</v>
      </c>
      <c r="AU126" s="226">
        <f t="shared" si="299"/>
        <v>0.37080454760991122</v>
      </c>
      <c r="AV126" s="197">
        <f t="shared" si="299"/>
        <v>0.42111112499341874</v>
      </c>
      <c r="AW126" s="197">
        <f t="shared" ref="AW126" si="300">IFERROR(AW118/AW$138,"-")</f>
        <v>0.4211111249934188</v>
      </c>
    </row>
    <row r="127" spans="1:49" ht="15.5" x14ac:dyDescent="0.35">
      <c r="A127" s="553">
        <f>ROWS($A$117:A127)</f>
        <v>11</v>
      </c>
      <c r="B127" s="232"/>
      <c r="C127" s="207"/>
      <c r="D127" s="231" t="s">
        <v>299</v>
      </c>
      <c r="E127" s="233" t="s">
        <v>285</v>
      </c>
      <c r="F127" s="214">
        <f>IFERROR(F118/F43,"-")</f>
        <v>0.17510442075140906</v>
      </c>
      <c r="G127" s="214">
        <f t="shared" ref="G127:Q127" si="301">IFERROR(G118/G43,"-")</f>
        <v>0.19069424005672045</v>
      </c>
      <c r="H127" s="214">
        <f t="shared" si="301"/>
        <v>0.16377082910109309</v>
      </c>
      <c r="I127" s="214">
        <f t="shared" si="301"/>
        <v>0.15850812552046153</v>
      </c>
      <c r="J127" s="214">
        <f t="shared" si="301"/>
        <v>0.16706575989158043</v>
      </c>
      <c r="K127" s="214">
        <f t="shared" si="301"/>
        <v>0.11233662295005312</v>
      </c>
      <c r="L127" s="214">
        <f t="shared" si="301"/>
        <v>0.11022657540260901</v>
      </c>
      <c r="M127" s="214">
        <f t="shared" si="301"/>
        <v>0.12119967407575975</v>
      </c>
      <c r="N127" s="214">
        <f t="shared" si="301"/>
        <v>0.11930270370466908</v>
      </c>
      <c r="O127" s="214" t="str">
        <f t="shared" si="301"/>
        <v>-</v>
      </c>
      <c r="P127" s="214" t="str">
        <f t="shared" si="301"/>
        <v>-</v>
      </c>
      <c r="Q127" s="214" t="str">
        <f t="shared" si="301"/>
        <v>-</v>
      </c>
      <c r="R127" s="214">
        <f t="shared" ref="R127:S127" si="302">IFERROR(R118/R81,"-")</f>
        <v>0.15616393445942589</v>
      </c>
      <c r="S127" s="214">
        <f t="shared" si="302"/>
        <v>0.14549188625357121</v>
      </c>
      <c r="T127" s="287"/>
      <c r="U127" s="214">
        <f>IFERROR(U118/U43,"-")</f>
        <v>0</v>
      </c>
      <c r="V127" s="214">
        <f t="shared" ref="V127:AF127" si="303">IFERROR(V118/V43,"-")</f>
        <v>0</v>
      </c>
      <c r="W127" s="214">
        <f t="shared" si="303"/>
        <v>0</v>
      </c>
      <c r="X127" s="214">
        <f t="shared" si="303"/>
        <v>0</v>
      </c>
      <c r="Y127" s="214">
        <f t="shared" si="303"/>
        <v>0</v>
      </c>
      <c r="Z127" s="214">
        <f t="shared" si="303"/>
        <v>0</v>
      </c>
      <c r="AA127" s="214">
        <f t="shared" si="303"/>
        <v>0</v>
      </c>
      <c r="AB127" s="214">
        <f t="shared" si="303"/>
        <v>0</v>
      </c>
      <c r="AC127" s="214">
        <f t="shared" si="303"/>
        <v>0</v>
      </c>
      <c r="AD127" s="214">
        <f t="shared" si="303"/>
        <v>0</v>
      </c>
      <c r="AE127" s="214">
        <f t="shared" si="303"/>
        <v>0</v>
      </c>
      <c r="AF127" s="214">
        <f t="shared" si="303"/>
        <v>0</v>
      </c>
      <c r="AG127" s="214">
        <f t="shared" ref="AG127:AH127" si="304">IFERROR(AG118/AG81,"-")</f>
        <v>0</v>
      </c>
      <c r="AH127" s="214" t="str">
        <f t="shared" si="304"/>
        <v>-</v>
      </c>
      <c r="AI127" s="287"/>
      <c r="AJ127" s="214">
        <f>IFERROR(AJ118/AJ43,"-")</f>
        <v>0.25970653362731672</v>
      </c>
      <c r="AK127" s="214">
        <f t="shared" ref="AK127:AU127" si="305">IFERROR(AK118/AK43,"-")</f>
        <v>0.17646057929276038</v>
      </c>
      <c r="AL127" s="214">
        <f t="shared" si="305"/>
        <v>0.12509243723640243</v>
      </c>
      <c r="AM127" s="214">
        <f t="shared" si="305"/>
        <v>0.17322429792138749</v>
      </c>
      <c r="AN127" s="214">
        <f t="shared" si="305"/>
        <v>1.4312599285364805E-2</v>
      </c>
      <c r="AO127" s="214">
        <f t="shared" si="305"/>
        <v>0.19060901681326919</v>
      </c>
      <c r="AP127" s="214">
        <f t="shared" si="305"/>
        <v>8.5802928713318988E-2</v>
      </c>
      <c r="AQ127" s="214">
        <f t="shared" si="305"/>
        <v>5.9290999491207842E-2</v>
      </c>
      <c r="AR127" s="214">
        <f t="shared" si="305"/>
        <v>8.4097013576609744E-2</v>
      </c>
      <c r="AS127" s="214">
        <f t="shared" si="305"/>
        <v>0.10148782954127224</v>
      </c>
      <c r="AT127" s="214">
        <f t="shared" si="305"/>
        <v>0.2352830280610155</v>
      </c>
      <c r="AU127" s="214">
        <f t="shared" si="305"/>
        <v>0.15107775621500366</v>
      </c>
      <c r="AV127" s="214">
        <f t="shared" ref="AV127" si="306">IFERROR(AV118/AV81,"-")</f>
        <v>0.12394491857034623</v>
      </c>
      <c r="AW127" s="214">
        <f t="shared" ref="AW127" si="307">IFERROR(AW118/AW81,"-")</f>
        <v>0.12394491857034622</v>
      </c>
    </row>
    <row r="128" spans="1:49" s="164" customFormat="1" ht="15.5" x14ac:dyDescent="0.35">
      <c r="A128" s="553">
        <f>ROWS($A$117:A128)</f>
        <v>12</v>
      </c>
      <c r="B128" s="229" t="s">
        <v>22</v>
      </c>
      <c r="C128" s="163">
        <v>2</v>
      </c>
      <c r="D128" s="161" t="s">
        <v>261</v>
      </c>
      <c r="E128" s="225" t="s">
        <v>286</v>
      </c>
      <c r="F128" s="221">
        <f t="shared" ref="F128:S128" si="308">SUM(F129:F135)</f>
        <v>269239.14335608186</v>
      </c>
      <c r="G128" s="221">
        <f t="shared" si="308"/>
        <v>444500.24159409531</v>
      </c>
      <c r="H128" s="221">
        <f t="shared" si="308"/>
        <v>246747.24514144092</v>
      </c>
      <c r="I128" s="221">
        <f t="shared" si="308"/>
        <v>180385.88012646794</v>
      </c>
      <c r="J128" s="221">
        <f t="shared" si="308"/>
        <v>156628.81055541235</v>
      </c>
      <c r="K128" s="221">
        <f t="shared" si="308"/>
        <v>192756.44151234569</v>
      </c>
      <c r="L128" s="221">
        <f t="shared" si="308"/>
        <v>376.77790605586779</v>
      </c>
      <c r="M128" s="221">
        <f t="shared" si="308"/>
        <v>195182.60984919267</v>
      </c>
      <c r="N128" s="221">
        <f t="shared" si="308"/>
        <v>2615.7218725932471</v>
      </c>
      <c r="O128" s="221">
        <f t="shared" si="308"/>
        <v>0</v>
      </c>
      <c r="P128" s="222">
        <f t="shared" si="308"/>
        <v>0</v>
      </c>
      <c r="Q128" s="222">
        <f t="shared" si="308"/>
        <v>0</v>
      </c>
      <c r="R128" s="223">
        <f t="shared" si="308"/>
        <v>1688432.8719136857</v>
      </c>
      <c r="S128" s="223">
        <f t="shared" si="308"/>
        <v>181037.81523999566</v>
      </c>
      <c r="T128" s="175"/>
      <c r="U128" s="221">
        <f t="shared" ref="U128:AH128" si="309">SUM(U129:U135)</f>
        <v>0</v>
      </c>
      <c r="V128" s="221">
        <f t="shared" si="309"/>
        <v>0</v>
      </c>
      <c r="W128" s="221">
        <f t="shared" si="309"/>
        <v>0</v>
      </c>
      <c r="X128" s="221">
        <f t="shared" si="309"/>
        <v>0</v>
      </c>
      <c r="Y128" s="221">
        <f t="shared" si="309"/>
        <v>0</v>
      </c>
      <c r="Z128" s="221">
        <f t="shared" si="309"/>
        <v>0</v>
      </c>
      <c r="AA128" s="221">
        <f t="shared" si="309"/>
        <v>0</v>
      </c>
      <c r="AB128" s="221">
        <f t="shared" si="309"/>
        <v>0</v>
      </c>
      <c r="AC128" s="221">
        <f t="shared" si="309"/>
        <v>0</v>
      </c>
      <c r="AD128" s="221">
        <f t="shared" si="309"/>
        <v>0</v>
      </c>
      <c r="AE128" s="222">
        <f t="shared" si="309"/>
        <v>0</v>
      </c>
      <c r="AF128" s="222">
        <f t="shared" si="309"/>
        <v>0</v>
      </c>
      <c r="AG128" s="223">
        <f t="shared" si="309"/>
        <v>0</v>
      </c>
      <c r="AH128" s="223" t="e">
        <f t="shared" si="309"/>
        <v>#DIV/0!</v>
      </c>
      <c r="AI128" s="175"/>
      <c r="AJ128" s="221">
        <f t="shared" ref="AJ128:AV128" si="310">SUM(AJ129:AJ135)</f>
        <v>334785.64869387774</v>
      </c>
      <c r="AK128" s="221">
        <f t="shared" si="310"/>
        <v>337215.65265306103</v>
      </c>
      <c r="AL128" s="221">
        <f t="shared" si="310"/>
        <v>311168.09399193549</v>
      </c>
      <c r="AM128" s="221">
        <f t="shared" si="310"/>
        <v>240133.82556451627</v>
      </c>
      <c r="AN128" s="221">
        <f t="shared" si="310"/>
        <v>527858.6545599997</v>
      </c>
      <c r="AO128" s="221">
        <f t="shared" si="310"/>
        <v>323038.86846062494</v>
      </c>
      <c r="AP128" s="221">
        <f t="shared" si="310"/>
        <v>117151.17152528887</v>
      </c>
      <c r="AQ128" s="221">
        <f t="shared" si="310"/>
        <v>311255.86807410413</v>
      </c>
      <c r="AR128" s="221">
        <f t="shared" si="310"/>
        <v>282868.16386427317</v>
      </c>
      <c r="AS128" s="221">
        <f t="shared" si="310"/>
        <v>314202.4817483488</v>
      </c>
      <c r="AT128" s="222">
        <f t="shared" si="310"/>
        <v>399705.13276511803</v>
      </c>
      <c r="AU128" s="222">
        <f t="shared" si="310"/>
        <v>454881.97702649323</v>
      </c>
      <c r="AV128" s="223">
        <f t="shared" si="310"/>
        <v>3954265.5389276422</v>
      </c>
      <c r="AW128" s="223">
        <f t="shared" ref="AW128" si="311">SUM(AW129:AW135)</f>
        <v>329522.12824397016</v>
      </c>
    </row>
    <row r="129" spans="1:49" s="172" customFormat="1" ht="15" hidden="1" customHeight="1" outlineLevel="1" x14ac:dyDescent="0.35">
      <c r="A129" s="553">
        <f>ROWS($A$117:A129)</f>
        <v>13</v>
      </c>
      <c r="B129" s="170"/>
      <c r="C129" s="168"/>
      <c r="D129" s="169" t="s">
        <v>283</v>
      </c>
      <c r="E129" s="176" t="s">
        <v>286</v>
      </c>
      <c r="F129" s="227">
        <f>IFERROR(F98-SUMIFS('01. KE30'!$AA:$AA,'01. KE30'!$B:$B,'03. TH_ XK-B2B'!$B$128,'01. KE30'!$E:$E,$D129,'01. KE30'!$A:$A,'03. TH_ XK-B2B'!F$117)," -")</f>
        <v>230212.73709353665</v>
      </c>
      <c r="G129" s="227">
        <f>IFERROR(G98-SUMIFS('01. KE30'!$AA:$AA,'01. KE30'!$B:$B,'03. TH_ XK-B2B'!$B$128,'01. KE30'!$E:$E,$D129,'01. KE30'!$A:$A,'03. TH_ XK-B2B'!G$117)," -")</f>
        <v>421539.14019517764</v>
      </c>
      <c r="H129" s="227">
        <f>IFERROR(H98-SUMIFS('01. KE30'!$AA:$AA,'01. KE30'!$B:$B,'03. TH_ XK-B2B'!$B$128,'01. KE30'!$E:$E,$D129,'01. KE30'!$A:$A,'03. TH_ XK-B2B'!H$117)," -")</f>
        <v>245159.27178186085</v>
      </c>
      <c r="I129" s="227">
        <f>IFERROR(I98-SUMIFS('01. KE30'!$AA:$AA,'01. KE30'!$B:$B,'03. TH_ XK-B2B'!$B$128,'01. KE30'!$E:$E,$D129,'01. KE30'!$A:$A,'03. TH_ XK-B2B'!I$117)," -")</f>
        <v>211517.82740568672</v>
      </c>
      <c r="J129" s="227">
        <f>IFERROR(J98-SUMIFS('01. KE30'!$AA:$AA,'01. KE30'!$B:$B,'03. TH_ XK-B2B'!$B$128,'01. KE30'!$E:$E,$D129,'01. KE30'!$A:$A,'03. TH_ XK-B2B'!J$117)," -")</f>
        <v>177306.19835009018</v>
      </c>
      <c r="K129" s="227">
        <f>IFERROR(K98-SUMIFS('01. KE30'!$AA:$AA,'01. KE30'!$B:$B,'03. TH_ XK-B2B'!$B$128,'01. KE30'!$E:$E,$D129,'01. KE30'!$A:$A,'03. TH_ XK-B2B'!K$117)," -")</f>
        <v>218615.01428183587</v>
      </c>
      <c r="L129" s="227">
        <f>IFERROR(L98-SUMIFS('01. KE30'!$AA:$AA,'01. KE30'!$B:$B,'03. TH_ XK-B2B'!$B$128,'01. KE30'!$E:$E,$D129,'01. KE30'!$A:$A,'03. TH_ XK-B2B'!L$117)," -")</f>
        <v>165154.3868544203</v>
      </c>
      <c r="M129" s="227">
        <f>IFERROR(M98-SUMIFS('01. KE30'!$AA:$AA,'01. KE30'!$B:$B,'03. TH_ XK-B2B'!$B$128,'01. KE30'!$E:$E,$D129,'01. KE30'!$A:$A,'03. TH_ XK-B2B'!M$117)," -")</f>
        <v>336089.47070282698</v>
      </c>
      <c r="N129" s="227">
        <f>IFERROR(N98-SUMIFS('01. KE30'!$AA:$AA,'01. KE30'!$B:$B,'03. TH_ XK-B2B'!$B$128,'01. KE30'!$E:$E,$D129,'01. KE30'!$A:$A,'03. TH_ XK-B2B'!N$117)," -")</f>
        <v>178157.99646718847</v>
      </c>
      <c r="O129" s="227">
        <f>IFERROR(O98-SUMIFS('01. KE30'!$AA:$AA,'01. KE30'!$B:$B,'03. TH_ XK-B2B'!$B$128,'01. KE30'!$E:$E,$D129,'01. KE30'!$A:$A,'03. TH_ XK-B2B'!O$117)," -")</f>
        <v>0</v>
      </c>
      <c r="P129" s="228">
        <f>IFERROR(P98-SUMIFS('01. KE30'!$AA:$AA,'01. KE30'!$B:$B,'03. TH_ XK-B2B'!$B$128,'01. KE30'!$E:$E,$D129,'01. KE30'!$A:$A,'03. TH_ XK-B2B'!P$117)," -")</f>
        <v>0</v>
      </c>
      <c r="Q129" s="228">
        <f>IFERROR(Q98-SUMIFS('01. KE30'!$AA:$AA,'01. KE30'!$B:$B,'03. TH_ XK-B2B'!$B$128,'01. KE30'!$E:$E,$D129,'01. KE30'!$A:$A,'03. TH_ XK-B2B'!Q$117)," -")</f>
        <v>0</v>
      </c>
      <c r="R129" s="245">
        <f t="shared" ref="R129:R135" si="312">SUM(F129:Q129)</f>
        <v>2183752.0431326237</v>
      </c>
      <c r="S129" s="245">
        <f t="shared" ref="S129:S135" si="313">IFERROR(R129/(12-COUNTIF(F129:Q129,0)),0)</f>
        <v>242639.11590362486</v>
      </c>
      <c r="T129" s="176"/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8"/>
      <c r="AF129" s="228"/>
      <c r="AG129" s="245">
        <f t="shared" ref="AG129:AG135" si="314">SUM(U129:AF129)</f>
        <v>0</v>
      </c>
      <c r="AH129" s="245" t="e">
        <f>AVERAGE(U129:AF129)</f>
        <v>#DIV/0!</v>
      </c>
      <c r="AI129" s="176"/>
      <c r="AJ129" s="227">
        <v>271063.98763265321</v>
      </c>
      <c r="AK129" s="227">
        <v>315893.82542857132</v>
      </c>
      <c r="AL129" s="227">
        <v>262535.15846774192</v>
      </c>
      <c r="AM129" s="227">
        <v>199055.94745967758</v>
      </c>
      <c r="AN129" s="227">
        <v>476213.49035999971</v>
      </c>
      <c r="AO129" s="227">
        <v>315053.57894736808</v>
      </c>
      <c r="AP129" s="227">
        <v>128818.79569892486</v>
      </c>
      <c r="AQ129" s="227">
        <v>272620.6167993166</v>
      </c>
      <c r="AR129" s="227">
        <v>238059.79351662495</v>
      </c>
      <c r="AS129" s="227">
        <v>284728.31275949534</v>
      </c>
      <c r="AT129" s="228">
        <v>389833.6673040688</v>
      </c>
      <c r="AU129" s="228">
        <v>418317.08687228197</v>
      </c>
      <c r="AV129" s="245">
        <f t="shared" si="294"/>
        <v>3572194.2612467245</v>
      </c>
      <c r="AW129" s="245">
        <f>AVERAGE(AJ129:AU129)</f>
        <v>297682.85510389373</v>
      </c>
    </row>
    <row r="130" spans="1:49" s="172" customFormat="1" ht="15.5" hidden="1" outlineLevel="1" x14ac:dyDescent="0.35">
      <c r="A130" s="553">
        <f>ROWS($A$117:A130)</f>
        <v>14</v>
      </c>
      <c r="B130" s="170"/>
      <c r="C130" s="168"/>
      <c r="D130" s="169" t="s">
        <v>95</v>
      </c>
      <c r="E130" s="176" t="s">
        <v>286</v>
      </c>
      <c r="F130" s="227">
        <f>IFERROR(F99-SUMIFS('01. KE30'!$AA:$AA,'01. KE30'!$B:$B,'03. TH_ XK-B2B'!$B$128,'01. KE30'!$E:$E,$D130,'01. KE30'!$A:$A,'03. TH_ XK-B2B'!F$117)," -")</f>
        <v>-2454.1705740666384</v>
      </c>
      <c r="G130" s="227">
        <f>IFERROR(G99-SUMIFS('01. KE30'!$AA:$AA,'01. KE30'!$B:$B,'03. TH_ XK-B2B'!$B$128,'01. KE30'!$E:$E,$D130,'01. KE30'!$A:$A,'03. TH_ XK-B2B'!G$117)," -")</f>
        <v>-1373.9405277668338</v>
      </c>
      <c r="H130" s="227">
        <f>IFERROR(H99-SUMIFS('01. KE30'!$AA:$AA,'01. KE30'!$B:$B,'03. TH_ XK-B2B'!$B$128,'01. KE30'!$E:$E,$D130,'01. KE30'!$A:$A,'03. TH_ XK-B2B'!H$117)," -")</f>
        <v>-1691.5599212598427</v>
      </c>
      <c r="I130" s="227">
        <f>IFERROR(I99-SUMIFS('01. KE30'!$AA:$AA,'01. KE30'!$B:$B,'03. TH_ XK-B2B'!$B$128,'01. KE30'!$E:$E,$D130,'01. KE30'!$A:$A,'03. TH_ XK-B2B'!I$117)," -")</f>
        <v>100.07680991095617</v>
      </c>
      <c r="J130" s="227">
        <f>IFERROR(J99-SUMIFS('01. KE30'!$AA:$AA,'01. KE30'!$B:$B,'03. TH_ XK-B2B'!$B$128,'01. KE30'!$E:$E,$D130,'01. KE30'!$A:$A,'03. TH_ XK-B2B'!J$117)," -")</f>
        <v>0</v>
      </c>
      <c r="K130" s="227">
        <f>IFERROR(K99-SUMIFS('01. KE30'!$AA:$AA,'01. KE30'!$B:$B,'03. TH_ XK-B2B'!$B$128,'01. KE30'!$E:$E,$D130,'01. KE30'!$A:$A,'03. TH_ XK-B2B'!K$117)," -")</f>
        <v>-18313.115200617285</v>
      </c>
      <c r="L130" s="227">
        <f>IFERROR(L99-SUMIFS('01. KE30'!$AA:$AA,'01. KE30'!$B:$B,'03. TH_ XK-B2B'!$B$128,'01. KE30'!$E:$E,$D130,'01. KE30'!$A:$A,'03. TH_ XK-B2B'!L$117)," -")</f>
        <v>-186328.38993469079</v>
      </c>
      <c r="M130" s="227">
        <f>IFERROR(M99-SUMIFS('01. KE30'!$AA:$AA,'01. KE30'!$B:$B,'03. TH_ XK-B2B'!$B$128,'01. KE30'!$E:$E,$D130,'01. KE30'!$A:$A,'03. TH_ XK-B2B'!M$117)," -")</f>
        <v>-128485.92192513368</v>
      </c>
      <c r="N130" s="227">
        <f>IFERROR(N99-SUMIFS('01. KE30'!$AA:$AA,'01. KE30'!$B:$B,'03. TH_ XK-B2B'!$B$128,'01. KE30'!$E:$E,$D130,'01. KE30'!$A:$A,'03. TH_ XK-B2B'!N$117)," -")</f>
        <v>-70389.145714285725</v>
      </c>
      <c r="O130" s="227">
        <f>IFERROR(O99-SUMIFS('01. KE30'!$AA:$AA,'01. KE30'!$B:$B,'03. TH_ XK-B2B'!$B$128,'01. KE30'!$E:$E,$D130,'01. KE30'!$A:$A,'03. TH_ XK-B2B'!O$117)," -")</f>
        <v>0</v>
      </c>
      <c r="P130" s="228">
        <f>IFERROR(P99-SUMIFS('01. KE30'!$AA:$AA,'01. KE30'!$B:$B,'03. TH_ XK-B2B'!$B$128,'01. KE30'!$E:$E,$D130,'01. KE30'!$A:$A,'03. TH_ XK-B2B'!P$117)," -")</f>
        <v>0</v>
      </c>
      <c r="Q130" s="228">
        <f>IFERROR(Q99-SUMIFS('01. KE30'!$AA:$AA,'01. KE30'!$B:$B,'03. TH_ XK-B2B'!$B$128,'01. KE30'!$E:$E,$D130,'01. KE30'!$A:$A,'03. TH_ XK-B2B'!Q$117)," -")</f>
        <v>0</v>
      </c>
      <c r="R130" s="245">
        <f t="shared" si="312"/>
        <v>-408936.16698790982</v>
      </c>
      <c r="S130" s="245">
        <f t="shared" si="313"/>
        <v>-51117.020873488727</v>
      </c>
      <c r="T130" s="176"/>
      <c r="U130" s="227"/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8"/>
      <c r="AF130" s="228"/>
      <c r="AG130" s="245">
        <f t="shared" si="314"/>
        <v>0</v>
      </c>
      <c r="AH130" s="245" t="e">
        <f t="shared" ref="AH130:AH135" si="315">AVERAGE(U130:AF130)</f>
        <v>#DIV/0!</v>
      </c>
      <c r="AI130" s="176"/>
      <c r="AJ130" s="227">
        <v>0</v>
      </c>
      <c r="AK130" s="227">
        <v>-14489.341877551029</v>
      </c>
      <c r="AL130" s="227">
        <v>0</v>
      </c>
      <c r="AM130" s="227">
        <v>-637.14875000000029</v>
      </c>
      <c r="AN130" s="227">
        <v>8699.7173199999888</v>
      </c>
      <c r="AO130" s="227">
        <v>-30397.426197071632</v>
      </c>
      <c r="AP130" s="227">
        <v>-47410.461808044609</v>
      </c>
      <c r="AQ130" s="227">
        <v>0</v>
      </c>
      <c r="AR130" s="227">
        <v>0</v>
      </c>
      <c r="AS130" s="227">
        <v>-2056.7522691082813</v>
      </c>
      <c r="AT130" s="228">
        <v>-3180.2125596184433</v>
      </c>
      <c r="AU130" s="228">
        <v>-3668.3871886121015</v>
      </c>
      <c r="AV130" s="245">
        <f t="shared" si="294"/>
        <v>-93140.013330006113</v>
      </c>
      <c r="AW130" s="245">
        <f t="shared" ref="AW130:AW135" si="316">AVERAGE(AJ130:AU130)</f>
        <v>-7761.6677775005091</v>
      </c>
    </row>
    <row r="131" spans="1:49" s="172" customFormat="1" ht="15.5" hidden="1" outlineLevel="1" x14ac:dyDescent="0.35">
      <c r="A131" s="553">
        <f>ROWS($A$117:A131)</f>
        <v>15</v>
      </c>
      <c r="B131" s="170"/>
      <c r="C131" s="168"/>
      <c r="D131" s="169" t="s">
        <v>265</v>
      </c>
      <c r="E131" s="176" t="s">
        <v>286</v>
      </c>
      <c r="F131" s="227">
        <f>IFERROR(F100-SUMIFS('01. KE30'!$AA:$AA,'01. KE30'!$B:$B,'03. TH_ XK-B2B'!$B$128,'01. KE30'!$E:$E,$D131,'01. KE30'!$A:$A,'03. TH_ XK-B2B'!F$117)," -")</f>
        <v>44673.204696908913</v>
      </c>
      <c r="G131" s="227">
        <f>IFERROR(G100-SUMIFS('01. KE30'!$AA:$AA,'01. KE30'!$B:$B,'03. TH_ XK-B2B'!$B$128,'01. KE30'!$E:$E,$D131,'01. KE30'!$A:$A,'03. TH_ XK-B2B'!G$117)," -")</f>
        <v>35498.570166148798</v>
      </c>
      <c r="H131" s="227">
        <f>IFERROR(H100-SUMIFS('01. KE30'!$AA:$AA,'01. KE30'!$B:$B,'03. TH_ XK-B2B'!$B$128,'01. KE30'!$E:$E,$D131,'01. KE30'!$A:$A,'03. TH_ XK-B2B'!H$117)," -")</f>
        <v>50076.233289588825</v>
      </c>
      <c r="I131" s="227">
        <f>IFERROR(I100-SUMIFS('01. KE30'!$AA:$AA,'01. KE30'!$B:$B,'03. TH_ XK-B2B'!$B$128,'01. KE30'!$E:$E,$D131,'01. KE30'!$A:$A,'03. TH_ XK-B2B'!I$117)," -")</f>
        <v>6381.3444659526285</v>
      </c>
      <c r="J131" s="227">
        <f>IFERROR(J100-SUMIFS('01. KE30'!$AA:$AA,'01. KE30'!$B:$B,'03. TH_ XK-B2B'!$B$128,'01. KE30'!$E:$E,$D131,'01. KE30'!$A:$A,'03. TH_ XK-B2B'!J$117)," -")</f>
        <v>37181.13915814503</v>
      </c>
      <c r="K131" s="227">
        <f>IFERROR(K100-SUMIFS('01. KE30'!$AA:$AA,'01. KE30'!$B:$B,'03. TH_ XK-B2B'!$B$128,'01. KE30'!$E:$E,$D131,'01. KE30'!$A:$A,'03. TH_ XK-B2B'!K$117)," -")</f>
        <v>41655.699182670331</v>
      </c>
      <c r="L131" s="227">
        <f>IFERROR(L100-SUMIFS('01. KE30'!$AA:$AA,'01. KE30'!$B:$B,'03. TH_ XK-B2B'!$B$128,'01. KE30'!$E:$E,$D131,'01. KE30'!$A:$A,'03. TH_ XK-B2B'!L$117)," -")</f>
        <v>42620.560279449681</v>
      </c>
      <c r="M131" s="227">
        <f>IFERROR(M100-SUMIFS('01. KE30'!$AA:$AA,'01. KE30'!$B:$B,'03. TH_ XK-B2B'!$B$128,'01. KE30'!$E:$E,$D131,'01. KE30'!$A:$A,'03. TH_ XK-B2B'!M$117)," -")</f>
        <v>51169.033264012716</v>
      </c>
      <c r="N131" s="227">
        <f>IFERROR(N100-SUMIFS('01. KE30'!$AA:$AA,'01. KE30'!$B:$B,'03. TH_ XK-B2B'!$B$128,'01. KE30'!$E:$E,$D131,'01. KE30'!$A:$A,'03. TH_ XK-B2B'!N$117)," -")</f>
        <v>43419.450738738175</v>
      </c>
      <c r="O131" s="227">
        <f>IFERROR(O100-SUMIFS('01. KE30'!$AA:$AA,'01. KE30'!$B:$B,'03. TH_ XK-B2B'!$B$128,'01. KE30'!$E:$E,$D131,'01. KE30'!$A:$A,'03. TH_ XK-B2B'!O$117)," -")</f>
        <v>0</v>
      </c>
      <c r="P131" s="228">
        <f>IFERROR(P100-SUMIFS('01. KE30'!$AA:$AA,'01. KE30'!$B:$B,'03. TH_ XK-B2B'!$B$128,'01. KE30'!$E:$E,$D131,'01. KE30'!$A:$A,'03. TH_ XK-B2B'!P$117)," -")</f>
        <v>0</v>
      </c>
      <c r="Q131" s="228">
        <f>IFERROR(Q100-SUMIFS('01. KE30'!$AA:$AA,'01. KE30'!$B:$B,'03. TH_ XK-B2B'!$B$128,'01. KE30'!$E:$E,$D131,'01. KE30'!$A:$A,'03. TH_ XK-B2B'!Q$117)," -")</f>
        <v>0</v>
      </c>
      <c r="R131" s="245">
        <f t="shared" si="312"/>
        <v>352675.2352416151</v>
      </c>
      <c r="S131" s="245">
        <f t="shared" si="313"/>
        <v>39186.137249068342</v>
      </c>
      <c r="T131" s="176"/>
      <c r="U131" s="227"/>
      <c r="V131" s="227"/>
      <c r="W131" s="227"/>
      <c r="X131" s="227"/>
      <c r="Y131" s="227"/>
      <c r="Z131" s="227"/>
      <c r="AA131" s="227"/>
      <c r="AB131" s="227"/>
      <c r="AC131" s="227"/>
      <c r="AD131" s="227"/>
      <c r="AE131" s="228"/>
      <c r="AF131" s="228"/>
      <c r="AG131" s="245">
        <f t="shared" si="314"/>
        <v>0</v>
      </c>
      <c r="AH131" s="245" t="e">
        <f t="shared" si="315"/>
        <v>#DIV/0!</v>
      </c>
      <c r="AI131" s="176"/>
      <c r="AJ131" s="227">
        <v>69944.516448979586</v>
      </c>
      <c r="AK131" s="227">
        <v>39447.709428571427</v>
      </c>
      <c r="AL131" s="227">
        <v>41775.354838709667</v>
      </c>
      <c r="AM131" s="227">
        <v>50109.08774193548</v>
      </c>
      <c r="AN131" s="227">
        <v>52196.291760000022</v>
      </c>
      <c r="AO131" s="227">
        <v>39836.009616145617</v>
      </c>
      <c r="AP131" s="227">
        <v>35487.512664277194</v>
      </c>
      <c r="AQ131" s="227">
        <v>38751.190813435853</v>
      </c>
      <c r="AR131" s="227">
        <v>44067.368425357883</v>
      </c>
      <c r="AS131" s="227">
        <v>52027.992754777049</v>
      </c>
      <c r="AT131" s="228">
        <v>34927.520071542123</v>
      </c>
      <c r="AU131" s="228">
        <v>48563.470225385594</v>
      </c>
      <c r="AV131" s="245">
        <f t="shared" si="294"/>
        <v>547134.02478911751</v>
      </c>
      <c r="AW131" s="245">
        <f t="shared" si="316"/>
        <v>45594.502065759792</v>
      </c>
    </row>
    <row r="132" spans="1:49" s="172" customFormat="1" ht="15.5" hidden="1" outlineLevel="1" x14ac:dyDescent="0.35">
      <c r="A132" s="553">
        <f>ROWS($A$117:A132)</f>
        <v>16</v>
      </c>
      <c r="B132" s="170"/>
      <c r="C132" s="168"/>
      <c r="D132" s="169" t="s">
        <v>266</v>
      </c>
      <c r="E132" s="176" t="s">
        <v>286</v>
      </c>
      <c r="F132" s="227">
        <f>IFERROR(F101-SUMIFS('01. KE30'!$AA:$AA,'01. KE30'!$B:$B,'03. TH_ XK-B2B'!$B$128,'01. KE30'!$E:$E,$D132,'01. KE30'!$A:$A,'03. TH_ XK-B2B'!F$117)," -")</f>
        <v>-3192.6278602970688</v>
      </c>
      <c r="G132" s="227">
        <f>IFERROR(G101-SUMIFS('01. KE30'!$AA:$AA,'01. KE30'!$B:$B,'03. TH_ XK-B2B'!$B$128,'01. KE30'!$E:$E,$D132,'01. KE30'!$A:$A,'03. TH_ XK-B2B'!G$117)," -")</f>
        <v>-11286.723237495069</v>
      </c>
      <c r="H132" s="227">
        <f>IFERROR(H101-SUMIFS('01. KE30'!$AA:$AA,'01. KE30'!$B:$B,'03. TH_ XK-B2B'!$B$128,'01. KE30'!$E:$E,$D132,'01. KE30'!$A:$A,'03. TH_ XK-B2B'!H$117)," -")</f>
        <v>-41910.62512685913</v>
      </c>
      <c r="I132" s="227">
        <f>IFERROR(I101-SUMIFS('01. KE30'!$AA:$AA,'01. KE30'!$B:$B,'03. TH_ XK-B2B'!$B$128,'01. KE30'!$E:$E,$D132,'01. KE30'!$A:$A,'03. TH_ XK-B2B'!I$117)," -")</f>
        <v>-36062.543196971674</v>
      </c>
      <c r="J132" s="227">
        <f>IFERROR(J101-SUMIFS('01. KE30'!$AA:$AA,'01. KE30'!$B:$B,'03. TH_ XK-B2B'!$B$128,'01. KE30'!$E:$E,$D132,'01. KE30'!$A:$A,'03. TH_ XK-B2B'!J$117)," -")</f>
        <v>-56035.787509667425</v>
      </c>
      <c r="K132" s="227">
        <f>IFERROR(K101-SUMIFS('01. KE30'!$AA:$AA,'01. KE30'!$B:$B,'03. TH_ XK-B2B'!$B$128,'01. KE30'!$E:$E,$D132,'01. KE30'!$A:$A,'03. TH_ XK-B2B'!K$117)," -")</f>
        <v>-49201.156751543211</v>
      </c>
      <c r="L132" s="227">
        <f>IFERROR(L101-SUMIFS('01. KE30'!$AA:$AA,'01. KE30'!$B:$B,'03. TH_ XK-B2B'!$B$128,'01. KE30'!$E:$E,$D132,'01. KE30'!$A:$A,'03. TH_ XK-B2B'!L$117)," -")</f>
        <v>-16219.942527852487</v>
      </c>
      <c r="M132" s="227">
        <f>IFERROR(M101-SUMIFS('01. KE30'!$AA:$AA,'01. KE30'!$B:$B,'03. TH_ XK-B2B'!$B$128,'01. KE30'!$E:$E,$D132,'01. KE30'!$A:$A,'03. TH_ XK-B2B'!M$117)," -")</f>
        <v>-58040.205423987762</v>
      </c>
      <c r="N132" s="227">
        <f>IFERROR(N101-SUMIFS('01. KE30'!$AA:$AA,'01. KE30'!$B:$B,'03. TH_ XK-B2B'!$B$128,'01. KE30'!$E:$E,$D132,'01. KE30'!$A:$A,'03. TH_ XK-B2B'!N$117)," -")</f>
        <v>-139194.3292571429</v>
      </c>
      <c r="O132" s="227">
        <f>IFERROR(O101-SUMIFS('01. KE30'!$AA:$AA,'01. KE30'!$B:$B,'03. TH_ XK-B2B'!$B$128,'01. KE30'!$E:$E,$D132,'01. KE30'!$A:$A,'03. TH_ XK-B2B'!O$117)," -")</f>
        <v>0</v>
      </c>
      <c r="P132" s="228">
        <f>IFERROR(P101-SUMIFS('01. KE30'!$AA:$AA,'01. KE30'!$B:$B,'03. TH_ XK-B2B'!$B$128,'01. KE30'!$E:$E,$D132,'01. KE30'!$A:$A,'03. TH_ XK-B2B'!P$117)," -")</f>
        <v>0</v>
      </c>
      <c r="Q132" s="228">
        <f>IFERROR(Q101-SUMIFS('01. KE30'!$AA:$AA,'01. KE30'!$B:$B,'03. TH_ XK-B2B'!$B$128,'01. KE30'!$E:$E,$D132,'01. KE30'!$A:$A,'03. TH_ XK-B2B'!Q$117)," -")</f>
        <v>0</v>
      </c>
      <c r="R132" s="245">
        <f t="shared" si="312"/>
        <v>-411143.94089181675</v>
      </c>
      <c r="S132" s="245">
        <f t="shared" si="313"/>
        <v>-45682.660099090746</v>
      </c>
      <c r="T132" s="176"/>
      <c r="U132" s="227"/>
      <c r="V132" s="227"/>
      <c r="W132" s="227"/>
      <c r="X132" s="227"/>
      <c r="Y132" s="227"/>
      <c r="Z132" s="227"/>
      <c r="AA132" s="227"/>
      <c r="AB132" s="227"/>
      <c r="AC132" s="227"/>
      <c r="AD132" s="227"/>
      <c r="AE132" s="228"/>
      <c r="AF132" s="228"/>
      <c r="AG132" s="245">
        <f t="shared" si="314"/>
        <v>0</v>
      </c>
      <c r="AH132" s="245" t="e">
        <f t="shared" si="315"/>
        <v>#DIV/0!</v>
      </c>
      <c r="AI132" s="176"/>
      <c r="AJ132" s="227">
        <v>-4626.4625306122434</v>
      </c>
      <c r="AK132" s="227">
        <v>-48.579224489795934</v>
      </c>
      <c r="AL132" s="227">
        <v>0</v>
      </c>
      <c r="AM132" s="227">
        <v>-1824.8236290322575</v>
      </c>
      <c r="AN132" s="227">
        <v>-8773.752959999998</v>
      </c>
      <c r="AO132" s="227">
        <v>-1527.3482390186</v>
      </c>
      <c r="AP132" s="227">
        <v>50.580047789725214</v>
      </c>
      <c r="AQ132" s="227">
        <v>3541.2729664103645</v>
      </c>
      <c r="AR132" s="227">
        <v>0</v>
      </c>
      <c r="AS132" s="227">
        <v>-3073.4758359872612</v>
      </c>
      <c r="AT132" s="228">
        <v>-6191.3525039745618</v>
      </c>
      <c r="AU132" s="228">
        <v>-6900.6678133649666</v>
      </c>
      <c r="AV132" s="245">
        <f t="shared" si="294"/>
        <v>-29374.609722279594</v>
      </c>
      <c r="AW132" s="245">
        <f t="shared" si="316"/>
        <v>-2447.8841435232994</v>
      </c>
    </row>
    <row r="133" spans="1:49" s="172" customFormat="1" ht="15.5" hidden="1" outlineLevel="1" x14ac:dyDescent="0.35">
      <c r="A133" s="553">
        <f>ROWS($A$117:A133)</f>
        <v>17</v>
      </c>
      <c r="B133" s="170"/>
      <c r="C133" s="168"/>
      <c r="D133" s="169" t="s">
        <v>295</v>
      </c>
      <c r="E133" s="176" t="s">
        <v>286</v>
      </c>
      <c r="F133" s="227">
        <f>IFERROR(F102-SUMIFS('01. KE30'!$AA:$AA,'01. KE30'!$B:$B,'03. TH_ XK-B2B'!$B$128,'01. KE30'!$E:$E,$D133,'01. KE30'!$A:$A,'03. TH_ XK-B2B'!F$117)," -")</f>
        <v>0</v>
      </c>
      <c r="G133" s="227">
        <f>IFERROR(G102-SUMIFS('01. KE30'!$AA:$AA,'01. KE30'!$B:$B,'03. TH_ XK-B2B'!$B$128,'01. KE30'!$E:$E,$D133,'01. KE30'!$A:$A,'03. TH_ XK-B2B'!G$117)," -")</f>
        <v>0</v>
      </c>
      <c r="H133" s="227">
        <f>IFERROR(H102-SUMIFS('01. KE30'!$AA:$AA,'01. KE30'!$B:$B,'03. TH_ XK-B2B'!$B$128,'01. KE30'!$E:$E,$D133,'01. KE30'!$A:$A,'03. TH_ XK-B2B'!H$117)," -")</f>
        <v>0</v>
      </c>
      <c r="I133" s="227">
        <f>IFERROR(I102-SUMIFS('01. KE30'!$AA:$AA,'01. KE30'!$B:$B,'03. TH_ XK-B2B'!$B$128,'01. KE30'!$E:$E,$D133,'01. KE30'!$A:$A,'03. TH_ XK-B2B'!I$117)," -")</f>
        <v>0</v>
      </c>
      <c r="J133" s="227">
        <f>IFERROR(J102-SUMIFS('01. KE30'!$AA:$AA,'01. KE30'!$B:$B,'03. TH_ XK-B2B'!$B$128,'01. KE30'!$E:$E,$D133,'01. KE30'!$A:$A,'03. TH_ XK-B2B'!J$117)," -")</f>
        <v>0</v>
      </c>
      <c r="K133" s="227">
        <f>IFERROR(K102-SUMIFS('01. KE30'!$AA:$AA,'01. KE30'!$B:$B,'03. TH_ XK-B2B'!$B$128,'01. KE30'!$E:$E,$D133,'01. KE30'!$A:$A,'03. TH_ XK-B2B'!K$117)," -")</f>
        <v>0</v>
      </c>
      <c r="L133" s="227">
        <f>IFERROR(L102-SUMIFS('01. KE30'!$AA:$AA,'01. KE30'!$B:$B,'03. TH_ XK-B2B'!$B$128,'01. KE30'!$E:$E,$D133,'01. KE30'!$A:$A,'03. TH_ XK-B2B'!L$117)," -")</f>
        <v>0</v>
      </c>
      <c r="M133" s="227">
        <f>IFERROR(M102-SUMIFS('01. KE30'!$AA:$AA,'01. KE30'!$B:$B,'03. TH_ XK-B2B'!$B$128,'01. KE30'!$E:$E,$D133,'01. KE30'!$A:$A,'03. TH_ XK-B2B'!M$117)," -")</f>
        <v>0</v>
      </c>
      <c r="N133" s="227">
        <f>IFERROR(N102-SUMIFS('01. KE30'!$AA:$AA,'01. KE30'!$B:$B,'03. TH_ XK-B2B'!$B$128,'01. KE30'!$E:$E,$D133,'01. KE30'!$A:$A,'03. TH_ XK-B2B'!N$117)," -")</f>
        <v>0</v>
      </c>
      <c r="O133" s="227">
        <f>IFERROR(O102-SUMIFS('01. KE30'!$AA:$AA,'01. KE30'!$B:$B,'03. TH_ XK-B2B'!$B$128,'01. KE30'!$E:$E,$D133,'01. KE30'!$A:$A,'03. TH_ XK-B2B'!O$117)," -")</f>
        <v>0</v>
      </c>
      <c r="P133" s="228">
        <f>IFERROR(P102-SUMIFS('01. KE30'!$AA:$AA,'01. KE30'!$B:$B,'03. TH_ XK-B2B'!$B$128,'01. KE30'!$E:$E,$D133,'01. KE30'!$A:$A,'03. TH_ XK-B2B'!P$117)," -")</f>
        <v>0</v>
      </c>
      <c r="Q133" s="228">
        <f>IFERROR(Q102-SUMIFS('01. KE30'!$AA:$AA,'01. KE30'!$B:$B,'03. TH_ XK-B2B'!$B$128,'01. KE30'!$E:$E,$D133,'01. KE30'!$A:$A,'03. TH_ XK-B2B'!Q$117)," -")</f>
        <v>0</v>
      </c>
      <c r="R133" s="245">
        <f t="shared" si="312"/>
        <v>0</v>
      </c>
      <c r="S133" s="245">
        <f t="shared" si="313"/>
        <v>0</v>
      </c>
      <c r="T133" s="176"/>
      <c r="U133" s="227"/>
      <c r="V133" s="227"/>
      <c r="W133" s="227"/>
      <c r="X133" s="227"/>
      <c r="Y133" s="227"/>
      <c r="Z133" s="227"/>
      <c r="AA133" s="227"/>
      <c r="AB133" s="227"/>
      <c r="AC133" s="227"/>
      <c r="AD133" s="227"/>
      <c r="AE133" s="228"/>
      <c r="AF133" s="228"/>
      <c r="AG133" s="245">
        <f t="shared" si="314"/>
        <v>0</v>
      </c>
      <c r="AH133" s="245" t="e">
        <f t="shared" si="315"/>
        <v>#DIV/0!</v>
      </c>
      <c r="AI133" s="176"/>
      <c r="AJ133" s="227">
        <v>-190.43155102040828</v>
      </c>
      <c r="AK133" s="227">
        <v>-3189.0265714285742</v>
      </c>
      <c r="AL133" s="227">
        <v>-3139.354838709678</v>
      </c>
      <c r="AM133" s="227">
        <v>-8746.6035080645161</v>
      </c>
      <c r="AN133" s="227">
        <v>0</v>
      </c>
      <c r="AO133" s="227">
        <v>0</v>
      </c>
      <c r="AP133" s="227">
        <v>-11.676264436479414</v>
      </c>
      <c r="AQ133" s="227">
        <v>0</v>
      </c>
      <c r="AR133" s="227">
        <v>731.03059304703493</v>
      </c>
      <c r="AS133" s="227">
        <v>-6215.633280254784</v>
      </c>
      <c r="AT133" s="228">
        <v>-791.19344197138344</v>
      </c>
      <c r="AU133" s="228">
        <v>-1434.5161328588383</v>
      </c>
      <c r="AV133" s="245">
        <f t="shared" si="294"/>
        <v>-22987.404995697631</v>
      </c>
      <c r="AW133" s="245">
        <f t="shared" si="316"/>
        <v>-1915.6170829748025</v>
      </c>
    </row>
    <row r="134" spans="1:49" s="172" customFormat="1" ht="15.5" hidden="1" outlineLevel="1" x14ac:dyDescent="0.35">
      <c r="A134" s="553">
        <f>ROWS($A$117:A134)</f>
        <v>18</v>
      </c>
      <c r="B134" s="170"/>
      <c r="C134" s="168"/>
      <c r="D134" s="169" t="s">
        <v>23</v>
      </c>
      <c r="E134" s="176" t="s">
        <v>286</v>
      </c>
      <c r="F134" s="227">
        <f>IFERROR(F103-SUMIFS('01. KE30'!$AA:$AA,'01. KE30'!$B:$B,'03. TH_ XK-B2B'!$B$128,'01. KE30'!$E:$E,$D134,'01. KE30'!$A:$A,'03. TH_ XK-B2B'!F$117)," -")</f>
        <v>0</v>
      </c>
      <c r="G134" s="227">
        <f>IFERROR(G103-SUMIFS('01. KE30'!$AA:$AA,'01. KE30'!$B:$B,'03. TH_ XK-B2B'!$B$128,'01. KE30'!$E:$E,$D134,'01. KE30'!$A:$A,'03. TH_ XK-B2B'!G$117)," -")</f>
        <v>123.19499803072108</v>
      </c>
      <c r="H134" s="227">
        <f>IFERROR(H103-SUMIFS('01. KE30'!$AA:$AA,'01. KE30'!$B:$B,'03. TH_ XK-B2B'!$B$128,'01. KE30'!$E:$E,$D134,'01. KE30'!$A:$A,'03. TH_ XK-B2B'!H$117)," -")</f>
        <v>-4886.0748818897628</v>
      </c>
      <c r="I134" s="227">
        <f>IFERROR(I103-SUMIFS('01. KE30'!$AA:$AA,'01. KE30'!$B:$B,'03. TH_ XK-B2B'!$B$128,'01. KE30'!$E:$E,$D134,'01. KE30'!$A:$A,'03. TH_ XK-B2B'!I$117)," -")</f>
        <v>-1550.8253581107228</v>
      </c>
      <c r="J134" s="227">
        <f>IFERROR(J103-SUMIFS('01. KE30'!$AA:$AA,'01. KE30'!$B:$B,'03. TH_ XK-B2B'!$B$128,'01. KE30'!$E:$E,$D134,'01. KE30'!$A:$A,'03. TH_ XK-B2B'!J$117)," -")</f>
        <v>-1822.739443155453</v>
      </c>
      <c r="K134" s="227">
        <f>IFERROR(K103-SUMIFS('01. KE30'!$AA:$AA,'01. KE30'!$B:$B,'03. TH_ XK-B2B'!$B$128,'01. KE30'!$E:$E,$D134,'01. KE30'!$A:$A,'03. TH_ XK-B2B'!K$117)," -")</f>
        <v>0</v>
      </c>
      <c r="L134" s="227">
        <f>IFERROR(L103-SUMIFS('01. KE30'!$AA:$AA,'01. KE30'!$B:$B,'03. TH_ XK-B2B'!$B$128,'01. KE30'!$E:$E,$D134,'01. KE30'!$A:$A,'03. TH_ XK-B2B'!L$117)," -")</f>
        <v>-4849.8367652708403</v>
      </c>
      <c r="M134" s="227">
        <f>IFERROR(M103-SUMIFS('01. KE30'!$AA:$AA,'01. KE30'!$B:$B,'03. TH_ XK-B2B'!$B$128,'01. KE30'!$E:$E,$D134,'01. KE30'!$A:$A,'03. TH_ XK-B2B'!M$117)," -")</f>
        <v>-5549.7667685255929</v>
      </c>
      <c r="N134" s="227">
        <f>IFERROR(N103-SUMIFS('01. KE30'!$AA:$AA,'01. KE30'!$B:$B,'03. TH_ XK-B2B'!$B$128,'01. KE30'!$E:$E,$D134,'01. KE30'!$A:$A,'03. TH_ XK-B2B'!N$117)," -")</f>
        <v>-9378.2503619047638</v>
      </c>
      <c r="O134" s="227">
        <f>IFERROR(O103-SUMIFS('01. KE30'!$AA:$AA,'01. KE30'!$B:$B,'03. TH_ XK-B2B'!$B$128,'01. KE30'!$E:$E,$D134,'01. KE30'!$A:$A,'03. TH_ XK-B2B'!O$117)," -")</f>
        <v>0</v>
      </c>
      <c r="P134" s="228">
        <f>IFERROR(P103-SUMIFS('01. KE30'!$AA:$AA,'01. KE30'!$B:$B,'03. TH_ XK-B2B'!$B$128,'01. KE30'!$E:$E,$D134,'01. KE30'!$A:$A,'03. TH_ XK-B2B'!P$117)," -")</f>
        <v>0</v>
      </c>
      <c r="Q134" s="228">
        <f>IFERROR(Q103-SUMIFS('01. KE30'!$AA:$AA,'01. KE30'!$B:$B,'03. TH_ XK-B2B'!$B$128,'01. KE30'!$E:$E,$D134,'01. KE30'!$A:$A,'03. TH_ XK-B2B'!Q$117)," -")</f>
        <v>0</v>
      </c>
      <c r="R134" s="245">
        <f t="shared" si="312"/>
        <v>-27914.298580826413</v>
      </c>
      <c r="S134" s="245">
        <f t="shared" si="313"/>
        <v>-3987.756940118059</v>
      </c>
      <c r="T134" s="176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8"/>
      <c r="AF134" s="228"/>
      <c r="AG134" s="245">
        <f t="shared" si="314"/>
        <v>0</v>
      </c>
      <c r="AH134" s="245" t="e">
        <f t="shared" si="315"/>
        <v>#DIV/0!</v>
      </c>
      <c r="AI134" s="176"/>
      <c r="AJ134" s="227">
        <v>0</v>
      </c>
      <c r="AK134" s="227">
        <v>0</v>
      </c>
      <c r="AL134" s="227">
        <v>3532.0564919354838</v>
      </c>
      <c r="AM134" s="227">
        <v>0</v>
      </c>
      <c r="AN134" s="227">
        <v>0</v>
      </c>
      <c r="AO134" s="227">
        <v>0</v>
      </c>
      <c r="AP134" s="227">
        <v>216.42118677817604</v>
      </c>
      <c r="AQ134" s="227">
        <v>-3657.2125050586837</v>
      </c>
      <c r="AR134" s="227">
        <v>9.9713292433537823</v>
      </c>
      <c r="AS134" s="227">
        <v>-11207.962380573244</v>
      </c>
      <c r="AT134" s="228">
        <v>-14893.296104928457</v>
      </c>
      <c r="AU134" s="228">
        <v>4.9910636615262938</v>
      </c>
      <c r="AV134" s="245">
        <f t="shared" si="294"/>
        <v>-25995.030918941844</v>
      </c>
      <c r="AW134" s="245">
        <f t="shared" si="316"/>
        <v>-2166.2525765784872</v>
      </c>
    </row>
    <row r="135" spans="1:49" s="172" customFormat="1" ht="15.5" hidden="1" outlineLevel="1" x14ac:dyDescent="0.35">
      <c r="A135" s="553">
        <f>ROWS($A$117:A135)</f>
        <v>19</v>
      </c>
      <c r="B135" s="170"/>
      <c r="C135" s="168"/>
      <c r="D135" s="169" t="s">
        <v>269</v>
      </c>
      <c r="E135" s="176" t="s">
        <v>286</v>
      </c>
      <c r="F135" s="227">
        <f>IFERROR(F104-SUMIFS('01. KE30'!$AA:$AA,'01. KE30'!$B:$B,'03. TH_ XK-B2B'!$B$128,'01. KE30'!$E:$E,$D135,'01. KE30'!$A:$A,'03. TH_ XK-B2B'!F$117)," -")</f>
        <v>0</v>
      </c>
      <c r="G135" s="227">
        <f>IFERROR(G104-SUMIFS('01. KE30'!$AA:$AA,'01. KE30'!$B:$B,'03. TH_ XK-B2B'!$B$128,'01. KE30'!$E:$E,$D135,'01. KE30'!$A:$A,'03. TH_ XK-B2B'!G$117)," -")</f>
        <v>0</v>
      </c>
      <c r="H135" s="227">
        <f>IFERROR(H104-SUMIFS('01. KE30'!$AA:$AA,'01. KE30'!$B:$B,'03. TH_ XK-B2B'!$B$128,'01. KE30'!$E:$E,$D135,'01. KE30'!$A:$A,'03. TH_ XK-B2B'!H$117)," -")</f>
        <v>0</v>
      </c>
      <c r="I135" s="227">
        <f>IFERROR(I104-SUMIFS('01. KE30'!$AA:$AA,'01. KE30'!$B:$B,'03. TH_ XK-B2B'!$B$128,'01. KE30'!$E:$E,$D135,'01. KE30'!$A:$A,'03. TH_ XK-B2B'!I$117)," -")</f>
        <v>0</v>
      </c>
      <c r="J135" s="227">
        <f>IFERROR(J104-SUMIFS('01. KE30'!$AA:$AA,'01. KE30'!$B:$B,'03. TH_ XK-B2B'!$B$128,'01. KE30'!$E:$E,$D135,'01. KE30'!$A:$A,'03. TH_ XK-B2B'!J$117)," -")</f>
        <v>0</v>
      </c>
      <c r="K135" s="227">
        <f>IFERROR(K104-SUMIFS('01. KE30'!$AA:$AA,'01. KE30'!$B:$B,'03. TH_ XK-B2B'!$B$128,'01. KE30'!$E:$E,$D135,'01. KE30'!$A:$A,'03. TH_ XK-B2B'!K$117)," -")</f>
        <v>0</v>
      </c>
      <c r="L135" s="227">
        <f>IFERROR(L104-SUMIFS('01. KE30'!$AA:$AA,'01. KE30'!$B:$B,'03. TH_ XK-B2B'!$B$128,'01. KE30'!$E:$E,$D135,'01. KE30'!$A:$A,'03. TH_ XK-B2B'!L$117)," -")</f>
        <v>0</v>
      </c>
      <c r="M135" s="227">
        <f>IFERROR(M104-SUMIFS('01. KE30'!$AA:$AA,'01. KE30'!$B:$B,'03. TH_ XK-B2B'!$B$128,'01. KE30'!$E:$E,$D135,'01. KE30'!$A:$A,'03. TH_ XK-B2B'!M$117)," -")</f>
        <v>0</v>
      </c>
      <c r="N135" s="227">
        <f>IFERROR(N104-SUMIFS('01. KE30'!$AA:$AA,'01. KE30'!$B:$B,'03. TH_ XK-B2B'!$B$128,'01. KE30'!$E:$E,$D135,'01. KE30'!$A:$A,'03. TH_ XK-B2B'!N$117)," -")</f>
        <v>0</v>
      </c>
      <c r="O135" s="227">
        <f>IFERROR(O104-SUMIFS('01. KE30'!$AA:$AA,'01. KE30'!$B:$B,'03. TH_ XK-B2B'!$B$128,'01. KE30'!$E:$E,$D135,'01. KE30'!$A:$A,'03. TH_ XK-B2B'!O$117)," -")</f>
        <v>0</v>
      </c>
      <c r="P135" s="228">
        <f>IFERROR(P104-SUMIFS('01. KE30'!$AA:$AA,'01. KE30'!$B:$B,'03. TH_ XK-B2B'!$B$128,'01. KE30'!$E:$E,$D135,'01. KE30'!$A:$A,'03. TH_ XK-B2B'!P$117)," -")</f>
        <v>0</v>
      </c>
      <c r="Q135" s="228">
        <f>IFERROR(Q104-SUMIFS('01. KE30'!$AA:$AA,'01. KE30'!$B:$B,'03. TH_ XK-B2B'!$B$128,'01. KE30'!$E:$E,$D135,'01. KE30'!$A:$A,'03. TH_ XK-B2B'!Q$117)," -")</f>
        <v>0</v>
      </c>
      <c r="R135" s="245">
        <f t="shared" si="312"/>
        <v>0</v>
      </c>
      <c r="S135" s="245">
        <f t="shared" si="313"/>
        <v>0</v>
      </c>
      <c r="T135" s="17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8"/>
      <c r="AF135" s="228"/>
      <c r="AG135" s="245">
        <f t="shared" si="314"/>
        <v>0</v>
      </c>
      <c r="AH135" s="245" t="e">
        <f t="shared" si="315"/>
        <v>#DIV/0!</v>
      </c>
      <c r="AI135" s="176"/>
      <c r="AJ135" s="227">
        <v>-1405.96130612245</v>
      </c>
      <c r="AK135" s="227">
        <v>-398.934530612245</v>
      </c>
      <c r="AL135" s="227">
        <v>6464.8790322580608</v>
      </c>
      <c r="AM135" s="227">
        <v>2177.3662500000028</v>
      </c>
      <c r="AN135" s="227">
        <v>-477.09192000000257</v>
      </c>
      <c r="AO135" s="227">
        <v>74.054333201424015</v>
      </c>
      <c r="AP135" s="227">
        <v>0</v>
      </c>
      <c r="AQ135" s="227">
        <v>0</v>
      </c>
      <c r="AR135" s="227">
        <v>0</v>
      </c>
      <c r="AS135" s="227">
        <v>0</v>
      </c>
      <c r="AT135" s="228">
        <v>0</v>
      </c>
      <c r="AU135" s="228">
        <v>0</v>
      </c>
      <c r="AV135" s="245">
        <f t="shared" si="294"/>
        <v>6434.31185872479</v>
      </c>
      <c r="AW135" s="245">
        <f t="shared" si="316"/>
        <v>536.19265489373254</v>
      </c>
    </row>
    <row r="136" spans="1:49" ht="15.5" collapsed="1" x14ac:dyDescent="0.35">
      <c r="A136" s="553">
        <f>ROWS($A$117:A136)</f>
        <v>20</v>
      </c>
      <c r="B136" s="204"/>
      <c r="C136" s="203"/>
      <c r="D136" s="209" t="s">
        <v>300</v>
      </c>
      <c r="E136" s="210" t="s">
        <v>285</v>
      </c>
      <c r="F136" s="205">
        <f t="shared" ref="F136:S136" si="317">IFERROR(F128/F$138,"-")</f>
        <v>0.32576978622069558</v>
      </c>
      <c r="G136" s="205">
        <f t="shared" si="317"/>
        <v>0.31659186750607882</v>
      </c>
      <c r="H136" s="205">
        <f t="shared" si="317"/>
        <v>0.26962072987650515</v>
      </c>
      <c r="I136" s="205">
        <f t="shared" si="317"/>
        <v>0.24688307188713945</v>
      </c>
      <c r="J136" s="205">
        <f t="shared" si="317"/>
        <v>0.17433470641112644</v>
      </c>
      <c r="K136" s="205">
        <f t="shared" si="317"/>
        <v>0.38833179168063864</v>
      </c>
      <c r="L136" s="205">
        <f t="shared" si="317"/>
        <v>1.0086607185906789E-3</v>
      </c>
      <c r="M136" s="205">
        <f t="shared" si="317"/>
        <v>0.30948311182543031</v>
      </c>
      <c r="N136" s="205">
        <f t="shared" si="317"/>
        <v>2.2543851596050966E-2</v>
      </c>
      <c r="O136" s="205" t="str">
        <f t="shared" si="317"/>
        <v>-</v>
      </c>
      <c r="P136" s="226" t="str">
        <f t="shared" si="317"/>
        <v>-</v>
      </c>
      <c r="Q136" s="226" t="str">
        <f t="shared" si="317"/>
        <v>-</v>
      </c>
      <c r="R136" s="197">
        <f t="shared" si="317"/>
        <v>0.2641744301950652</v>
      </c>
      <c r="S136" s="197">
        <f t="shared" si="317"/>
        <v>0.26147701539554791</v>
      </c>
      <c r="T136" s="286"/>
      <c r="U136" s="205" t="str">
        <f t="shared" ref="U136:AH136" si="318">IFERROR(U128/U$138,"-")</f>
        <v>-</v>
      </c>
      <c r="V136" s="205" t="str">
        <f t="shared" si="318"/>
        <v>-</v>
      </c>
      <c r="W136" s="205" t="str">
        <f t="shared" si="318"/>
        <v>-</v>
      </c>
      <c r="X136" s="205" t="str">
        <f t="shared" si="318"/>
        <v>-</v>
      </c>
      <c r="Y136" s="205" t="str">
        <f t="shared" si="318"/>
        <v>-</v>
      </c>
      <c r="Z136" s="205" t="str">
        <f t="shared" si="318"/>
        <v>-</v>
      </c>
      <c r="AA136" s="205" t="str">
        <f t="shared" si="318"/>
        <v>-</v>
      </c>
      <c r="AB136" s="205" t="str">
        <f t="shared" si="318"/>
        <v>-</v>
      </c>
      <c r="AC136" s="205" t="str">
        <f t="shared" si="318"/>
        <v>-</v>
      </c>
      <c r="AD136" s="205" t="str">
        <f t="shared" si="318"/>
        <v>-</v>
      </c>
      <c r="AE136" s="226" t="str">
        <f t="shared" si="318"/>
        <v>-</v>
      </c>
      <c r="AF136" s="226" t="str">
        <f t="shared" si="318"/>
        <v>-</v>
      </c>
      <c r="AG136" s="197" t="str">
        <f t="shared" si="318"/>
        <v>-</v>
      </c>
      <c r="AH136" s="197" t="str">
        <f t="shared" si="318"/>
        <v>-</v>
      </c>
      <c r="AI136" s="286"/>
      <c r="AJ136" s="205">
        <f t="shared" ref="AJ136:AV136" si="319">IFERROR(AJ128/AJ$138,"-")</f>
        <v>0.47485668262391245</v>
      </c>
      <c r="AK136" s="205">
        <f t="shared" si="319"/>
        <v>0.60530351903888635</v>
      </c>
      <c r="AL136" s="205">
        <f t="shared" si="319"/>
        <v>0.52278179876217024</v>
      </c>
      <c r="AM136" s="205">
        <f t="shared" si="319"/>
        <v>0.32891051525027409</v>
      </c>
      <c r="AN136" s="205">
        <f t="shared" si="319"/>
        <v>0.96721993195520994</v>
      </c>
      <c r="AO136" s="205">
        <f t="shared" si="319"/>
        <v>0.84670542025623963</v>
      </c>
      <c r="AP136" s="205">
        <f t="shared" si="319"/>
        <v>0.5133723756818489</v>
      </c>
      <c r="AQ136" s="205">
        <f t="shared" si="319"/>
        <v>0.563221406908478</v>
      </c>
      <c r="AR136" s="205">
        <f t="shared" si="319"/>
        <v>0.4302809199203918</v>
      </c>
      <c r="AS136" s="205">
        <f t="shared" si="319"/>
        <v>0.54608576129908115</v>
      </c>
      <c r="AT136" s="226">
        <f t="shared" si="319"/>
        <v>0.6897253551059026</v>
      </c>
      <c r="AU136" s="226">
        <f t="shared" si="319"/>
        <v>0.62919545239008889</v>
      </c>
      <c r="AV136" s="197">
        <f t="shared" si="319"/>
        <v>0.57888887500658115</v>
      </c>
      <c r="AW136" s="197">
        <f t="shared" ref="AW136" si="320">IFERROR(AW128/AW$138,"-")</f>
        <v>0.57888887500658126</v>
      </c>
    </row>
    <row r="137" spans="1:49" ht="15.5" x14ac:dyDescent="0.35">
      <c r="A137" s="553">
        <f>ROWS($A$117:A137)</f>
        <v>21</v>
      </c>
      <c r="B137" s="211"/>
      <c r="C137" s="101"/>
      <c r="D137" s="212" t="s">
        <v>299</v>
      </c>
      <c r="E137" s="213" t="s">
        <v>285</v>
      </c>
      <c r="F137" s="230">
        <f>IFERROR(F128/F59,"-")</f>
        <v>0.21155775061817098</v>
      </c>
      <c r="G137" s="230">
        <f>IFERROR(G128/G59,"-")</f>
        <v>0.21707110878897382</v>
      </c>
      <c r="H137" s="230">
        <f t="shared" ref="H137:Q137" si="321">IFERROR(H128/H59,"-")</f>
        <v>0.15002949660166304</v>
      </c>
      <c r="I137" s="230">
        <f t="shared" si="321"/>
        <v>0.14106174340601929</v>
      </c>
      <c r="J137" s="230">
        <f t="shared" si="321"/>
        <v>0.11865867868490293</v>
      </c>
      <c r="K137" s="230">
        <f t="shared" si="321"/>
        <v>0.11099989565385845</v>
      </c>
      <c r="L137" s="230">
        <f t="shared" si="321"/>
        <v>2.0089104004967665E-4</v>
      </c>
      <c r="M137" s="230">
        <f t="shared" si="321"/>
        <v>7.3426932680074719E-2</v>
      </c>
      <c r="N137" s="230">
        <f t="shared" si="321"/>
        <v>1.3201573478373516E-3</v>
      </c>
      <c r="O137" s="230" t="str">
        <f t="shared" si="321"/>
        <v>-</v>
      </c>
      <c r="P137" s="230" t="str">
        <f t="shared" si="321"/>
        <v>-</v>
      </c>
      <c r="Q137" s="230" t="str">
        <f t="shared" si="321"/>
        <v>-</v>
      </c>
      <c r="R137" s="230">
        <f t="shared" ref="R137:S137" si="322">IFERROR(R128/R97,"-")</f>
        <v>0.108129925928706</v>
      </c>
      <c r="S137" s="230">
        <f t="shared" si="322"/>
        <v>0.10348911547721366</v>
      </c>
      <c r="T137" s="287"/>
      <c r="U137" s="230">
        <f>IFERROR(U128/U59,"-")</f>
        <v>0</v>
      </c>
      <c r="V137" s="230">
        <f>IFERROR(V128/V59,"-")</f>
        <v>0</v>
      </c>
      <c r="W137" s="230">
        <f t="shared" ref="W137:AF137" si="323">IFERROR(W128/W59,"-")</f>
        <v>0</v>
      </c>
      <c r="X137" s="230">
        <f t="shared" si="323"/>
        <v>0</v>
      </c>
      <c r="Y137" s="230">
        <f t="shared" si="323"/>
        <v>0</v>
      </c>
      <c r="Z137" s="230">
        <f t="shared" si="323"/>
        <v>0</v>
      </c>
      <c r="AA137" s="230">
        <f t="shared" si="323"/>
        <v>0</v>
      </c>
      <c r="AB137" s="230">
        <f t="shared" si="323"/>
        <v>0</v>
      </c>
      <c r="AC137" s="230">
        <f t="shared" si="323"/>
        <v>0</v>
      </c>
      <c r="AD137" s="230">
        <f t="shared" si="323"/>
        <v>0</v>
      </c>
      <c r="AE137" s="230">
        <f t="shared" si="323"/>
        <v>0</v>
      </c>
      <c r="AF137" s="230">
        <f t="shared" si="323"/>
        <v>0</v>
      </c>
      <c r="AG137" s="230">
        <f t="shared" ref="AG137:AH137" si="324">IFERROR(AG128/AG97,"-")</f>
        <v>0</v>
      </c>
      <c r="AH137" s="230" t="str">
        <f t="shared" si="324"/>
        <v>-</v>
      </c>
      <c r="AI137" s="287"/>
      <c r="AJ137" s="230">
        <f>IFERROR(AJ128/AJ59,"-")</f>
        <v>0.26564219574678111</v>
      </c>
      <c r="AK137" s="230">
        <f>IFERROR(AK128/AK59,"-")</f>
        <v>0.24815775136411664</v>
      </c>
      <c r="AL137" s="230">
        <f t="shared" ref="AL137:AU137" si="325">IFERROR(AL128/AL59,"-")</f>
        <v>0.22309115029751672</v>
      </c>
      <c r="AM137" s="230">
        <f t="shared" si="325"/>
        <v>0.21898652710741304</v>
      </c>
      <c r="AN137" s="230">
        <f t="shared" si="325"/>
        <v>0.19941571242268782</v>
      </c>
      <c r="AO137" s="230">
        <f t="shared" si="325"/>
        <v>0.16514690043615599</v>
      </c>
      <c r="AP137" s="230">
        <f t="shared" si="325"/>
        <v>0.14512295506931064</v>
      </c>
      <c r="AQ137" s="230">
        <f t="shared" si="325"/>
        <v>0.17098660113380226</v>
      </c>
      <c r="AR137" s="230">
        <f t="shared" si="325"/>
        <v>0.19749339760015402</v>
      </c>
      <c r="AS137" s="230">
        <f t="shared" si="325"/>
        <v>0.17634673756951258</v>
      </c>
      <c r="AT137" s="230">
        <f t="shared" si="325"/>
        <v>0.21545845169566272</v>
      </c>
      <c r="AU137" s="230">
        <f t="shared" si="325"/>
        <v>0.22489194097755089</v>
      </c>
      <c r="AV137" s="230">
        <f t="shared" ref="AV137" si="326">IFERROR(AV128/AV97,"-")</f>
        <v>0.20478713773037516</v>
      </c>
      <c r="AW137" s="230">
        <f t="shared" ref="AW137" si="327">IFERROR(AW128/AW97,"-")</f>
        <v>0.20478713773037513</v>
      </c>
    </row>
    <row r="138" spans="1:49" ht="15.5" x14ac:dyDescent="0.35">
      <c r="A138" s="553">
        <f>ROWS($A$117:A138)</f>
        <v>22</v>
      </c>
      <c r="B138" s="234"/>
      <c r="C138" s="234"/>
      <c r="D138" s="235" t="s">
        <v>259</v>
      </c>
      <c r="E138" s="236"/>
      <c r="F138" s="237">
        <f t="shared" ref="F138:S138" si="328">F118+F128</f>
        <v>826470.57751906873</v>
      </c>
      <c r="G138" s="237">
        <f t="shared" si="328"/>
        <v>1404016.6132364741</v>
      </c>
      <c r="H138" s="237">
        <f t="shared" si="328"/>
        <v>915164.2206979373</v>
      </c>
      <c r="I138" s="237">
        <f t="shared" si="328"/>
        <v>730653.09317331342</v>
      </c>
      <c r="J138" s="237">
        <f t="shared" si="328"/>
        <v>898437.34377273673</v>
      </c>
      <c r="K138" s="237">
        <f t="shared" si="328"/>
        <v>496370.48946759227</v>
      </c>
      <c r="L138" s="237">
        <f t="shared" si="328"/>
        <v>373542.75735284848</v>
      </c>
      <c r="M138" s="237">
        <f t="shared" si="328"/>
        <v>630672.89422658074</v>
      </c>
      <c r="N138" s="237">
        <f t="shared" si="328"/>
        <v>116028.17120440264</v>
      </c>
      <c r="O138" s="237">
        <f t="shared" si="328"/>
        <v>0</v>
      </c>
      <c r="P138" s="238">
        <f t="shared" si="328"/>
        <v>0</v>
      </c>
      <c r="Q138" s="238">
        <f t="shared" si="328"/>
        <v>0</v>
      </c>
      <c r="R138" s="237">
        <f t="shared" si="328"/>
        <v>6391356.1606509546</v>
      </c>
      <c r="S138" s="237">
        <f t="shared" si="328"/>
        <v>692366.07648336398</v>
      </c>
      <c r="T138" s="284"/>
      <c r="U138" s="237">
        <f t="shared" ref="U138:AH138" si="329">U118+U128</f>
        <v>0</v>
      </c>
      <c r="V138" s="237">
        <f t="shared" si="329"/>
        <v>0</v>
      </c>
      <c r="W138" s="237">
        <f t="shared" si="329"/>
        <v>0</v>
      </c>
      <c r="X138" s="237">
        <f t="shared" si="329"/>
        <v>0</v>
      </c>
      <c r="Y138" s="237">
        <f t="shared" si="329"/>
        <v>0</v>
      </c>
      <c r="Z138" s="237">
        <f t="shared" si="329"/>
        <v>0</v>
      </c>
      <c r="AA138" s="237">
        <f t="shared" si="329"/>
        <v>0</v>
      </c>
      <c r="AB138" s="237">
        <f t="shared" si="329"/>
        <v>0</v>
      </c>
      <c r="AC138" s="237">
        <f t="shared" si="329"/>
        <v>0</v>
      </c>
      <c r="AD138" s="237">
        <f t="shared" si="329"/>
        <v>0</v>
      </c>
      <c r="AE138" s="238">
        <f t="shared" si="329"/>
        <v>0</v>
      </c>
      <c r="AF138" s="238">
        <f t="shared" si="329"/>
        <v>0</v>
      </c>
      <c r="AG138" s="237">
        <f t="shared" si="329"/>
        <v>0</v>
      </c>
      <c r="AH138" s="237" t="e">
        <f t="shared" si="329"/>
        <v>#DIV/0!</v>
      </c>
      <c r="AI138" s="284"/>
      <c r="AJ138" s="237">
        <f t="shared" ref="AJ138:AV138" si="330">AJ118+AJ128</f>
        <v>705024.61257142865</v>
      </c>
      <c r="AK138" s="237">
        <f t="shared" si="330"/>
        <v>557101.75481632608</v>
      </c>
      <c r="AL138" s="237">
        <f t="shared" si="330"/>
        <v>595216.00547056459</v>
      </c>
      <c r="AM138" s="237">
        <f t="shared" si="330"/>
        <v>730088.62420161301</v>
      </c>
      <c r="AN138" s="237">
        <f t="shared" si="330"/>
        <v>545748.32168000005</v>
      </c>
      <c r="AO138" s="237">
        <f t="shared" si="330"/>
        <v>381524.50749974325</v>
      </c>
      <c r="AP138" s="237">
        <f t="shared" si="330"/>
        <v>228199.21186778208</v>
      </c>
      <c r="AQ138" s="237">
        <f t="shared" si="330"/>
        <v>552635.01041728409</v>
      </c>
      <c r="AR138" s="237">
        <f t="shared" si="330"/>
        <v>657403.45613421081</v>
      </c>
      <c r="AS138" s="237">
        <f t="shared" si="330"/>
        <v>575372.04596013238</v>
      </c>
      <c r="AT138" s="238">
        <f t="shared" si="330"/>
        <v>579513.46837720077</v>
      </c>
      <c r="AU138" s="238">
        <f t="shared" si="330"/>
        <v>722958.14487939957</v>
      </c>
      <c r="AV138" s="237">
        <f t="shared" si="330"/>
        <v>6830785.1638756879</v>
      </c>
      <c r="AW138" s="237">
        <f t="shared" ref="AW138" si="331">AW118+AW128</f>
        <v>569232.0969896405</v>
      </c>
    </row>
    <row r="139" spans="1:49" s="215" customFormat="1" ht="18.5" x14ac:dyDescent="0.45">
      <c r="D139" s="216" t="s">
        <v>299</v>
      </c>
      <c r="E139" s="217" t="s">
        <v>285</v>
      </c>
      <c r="F139" s="218">
        <f>IFERROR(F138/F77,"-")</f>
        <v>0.18551812943299281</v>
      </c>
      <c r="G139" s="218">
        <f t="shared" ref="G139" si="332">IFERROR(G138/G77,"-")</f>
        <v>0.19832373265061942</v>
      </c>
      <c r="H139" s="218">
        <f t="shared" ref="H139" si="333">IFERROR(H138/H77,"-")</f>
        <v>0.15982400753506804</v>
      </c>
      <c r="I139" s="218">
        <f t="shared" ref="I139" si="334">IFERROR(I138/I77,"-")</f>
        <v>0.15381160158452181</v>
      </c>
      <c r="J139" s="218">
        <f t="shared" ref="J139" si="335">IFERROR(J138/J77,"-")</f>
        <v>0.15597292711379074</v>
      </c>
      <c r="K139" s="218">
        <f t="shared" ref="K139" si="336">IFERROR(K138/K77,"-")</f>
        <v>0.11181372335911871</v>
      </c>
      <c r="L139" s="218">
        <f t="shared" ref="L139" si="337">IFERROR(L138/L77,"-")</f>
        <v>7.1002526487414147E-2</v>
      </c>
      <c r="M139" s="218">
        <f t="shared" ref="M139" si="338">IFERROR(M138/M77,"-")</f>
        <v>0.10088583821982756</v>
      </c>
      <c r="N139" s="218">
        <f t="shared" ref="N139" si="339">IFERROR(N138/N77,"-")</f>
        <v>3.9573060312677225E-2</v>
      </c>
      <c r="O139" s="218" t="str">
        <f t="shared" ref="O139" si="340">IFERROR(O138/O77,"-")</f>
        <v>-</v>
      </c>
      <c r="P139" s="218" t="str">
        <f t="shared" ref="P139" si="341">IFERROR(P138/P77,"-")</f>
        <v>-</v>
      </c>
      <c r="Q139" s="218" t="str">
        <f t="shared" ref="Q139" si="342">IFERROR(Q138/Q77,"-")</f>
        <v>-</v>
      </c>
      <c r="R139" s="218">
        <f t="shared" ref="R139" si="343">IFERROR(R138/R113,"-")</f>
        <v>0.139762414407437</v>
      </c>
      <c r="S139" s="218">
        <f>IFERROR(S138/S113,"-")</f>
        <v>0.13153297845185252</v>
      </c>
      <c r="T139" s="288"/>
      <c r="U139" s="218">
        <f>IFERROR(U138/U77,"-")</f>
        <v>0</v>
      </c>
      <c r="V139" s="218">
        <f t="shared" ref="V139" si="344">IFERROR(V138/V77,"-")</f>
        <v>0</v>
      </c>
      <c r="W139" s="218">
        <f t="shared" ref="W139" si="345">IFERROR(W138/W77,"-")</f>
        <v>0</v>
      </c>
      <c r="X139" s="218">
        <f t="shared" ref="X139" si="346">IFERROR(X138/X77,"-")</f>
        <v>0</v>
      </c>
      <c r="Y139" s="218">
        <f t="shared" ref="Y139" si="347">IFERROR(Y138/Y77,"-")</f>
        <v>0</v>
      </c>
      <c r="Z139" s="218">
        <f t="shared" ref="Z139" si="348">IFERROR(Z138/Z77,"-")</f>
        <v>0</v>
      </c>
      <c r="AA139" s="218">
        <f t="shared" ref="AA139" si="349">IFERROR(AA138/AA77,"-")</f>
        <v>0</v>
      </c>
      <c r="AB139" s="218">
        <f t="shared" ref="AB139" si="350">IFERROR(AB138/AB77,"-")</f>
        <v>0</v>
      </c>
      <c r="AC139" s="218">
        <f t="shared" ref="AC139" si="351">IFERROR(AC138/AC77,"-")</f>
        <v>0</v>
      </c>
      <c r="AD139" s="218">
        <f t="shared" ref="AD139" si="352">IFERROR(AD138/AD77,"-")</f>
        <v>0</v>
      </c>
      <c r="AE139" s="218">
        <f t="shared" ref="AE139" si="353">IFERROR(AE138/AE77,"-")</f>
        <v>0</v>
      </c>
      <c r="AF139" s="218">
        <f t="shared" ref="AF139" si="354">IFERROR(AF138/AF77,"-")</f>
        <v>0</v>
      </c>
      <c r="AG139" s="218">
        <f t="shared" ref="AG139" si="355">IFERROR(AG138/AG113,"-")</f>
        <v>0</v>
      </c>
      <c r="AH139" s="218" t="str">
        <f>IFERROR(AH138/AH113,"-")</f>
        <v>-</v>
      </c>
      <c r="AI139" s="288"/>
      <c r="AJ139" s="218">
        <f>IFERROR(AJ138/AJ77,"-")</f>
        <v>0.26249169414455081</v>
      </c>
      <c r="AK139" s="218">
        <f t="shared" ref="AK139:AU139" si="356">IFERROR(AK138/AK77,"-")</f>
        <v>0.21386125941943573</v>
      </c>
      <c r="AL139" s="218">
        <f t="shared" si="356"/>
        <v>0.16238301243831987</v>
      </c>
      <c r="AM139" s="218">
        <f t="shared" si="356"/>
        <v>0.18600934391176824</v>
      </c>
      <c r="AN139" s="218">
        <f t="shared" si="356"/>
        <v>0.14004496074008327</v>
      </c>
      <c r="AO139" s="218">
        <f t="shared" si="356"/>
        <v>0.16859940202170665</v>
      </c>
      <c r="AP139" s="218">
        <f t="shared" si="356"/>
        <v>0.1085899362605981</v>
      </c>
      <c r="AQ139" s="218">
        <f t="shared" si="356"/>
        <v>9.3802967234565771E-2</v>
      </c>
      <c r="AR139" s="218">
        <f t="shared" si="356"/>
        <v>0.11169120642488894</v>
      </c>
      <c r="AS139" s="218">
        <f t="shared" si="356"/>
        <v>0.1321133626814931</v>
      </c>
      <c r="AT139" s="218">
        <f t="shared" si="356"/>
        <v>0.22124244868893425</v>
      </c>
      <c r="AU139" s="218">
        <f t="shared" si="356"/>
        <v>0.19039773644639599</v>
      </c>
      <c r="AV139" s="218">
        <f t="shared" ref="AV139" si="357">IFERROR(AV138/AV113,"-")</f>
        <v>0.16065934480890293</v>
      </c>
      <c r="AW139" s="218">
        <f>IFERROR(AW138/AW113,"-")</f>
        <v>0.1606593448089029</v>
      </c>
    </row>
    <row r="143" spans="1:49" ht="21" hidden="1" x14ac:dyDescent="0.5">
      <c r="D143" s="297" t="s">
        <v>390</v>
      </c>
      <c r="Q143" t="s">
        <v>397</v>
      </c>
      <c r="R143" s="254" t="e">
        <f>MAX(G145:Q154)</f>
        <v>#DIV/0!</v>
      </c>
    </row>
    <row r="144" spans="1:49" hidden="1" x14ac:dyDescent="0.35">
      <c r="D144" s="276"/>
      <c r="E144" s="276"/>
      <c r="F144" s="276">
        <v>1</v>
      </c>
      <c r="G144" s="276">
        <v>2</v>
      </c>
      <c r="H144" s="276">
        <v>3</v>
      </c>
      <c r="I144" s="276">
        <v>4</v>
      </c>
      <c r="J144" s="276">
        <v>5</v>
      </c>
      <c r="K144" s="276">
        <v>6</v>
      </c>
      <c r="L144" s="276">
        <v>7</v>
      </c>
      <c r="M144" s="276">
        <v>8</v>
      </c>
      <c r="N144" s="276">
        <v>9</v>
      </c>
      <c r="O144" s="276">
        <v>10</v>
      </c>
      <c r="P144" s="276">
        <v>11</v>
      </c>
      <c r="Q144" s="276">
        <v>12</v>
      </c>
      <c r="R144" s="298" t="s">
        <v>382</v>
      </c>
      <c r="S144" s="298" t="s">
        <v>380</v>
      </c>
      <c r="T144"/>
    </row>
    <row r="145" spans="2:20" hidden="1" x14ac:dyDescent="0.35">
      <c r="B145" s="312" t="s">
        <v>402</v>
      </c>
      <c r="D145" s="302" t="s">
        <v>398</v>
      </c>
      <c r="E145" s="314" t="str">
        <f>D145</f>
        <v>Thực tế XK</v>
      </c>
      <c r="F145" s="303">
        <f>F5</f>
        <v>2553.1</v>
      </c>
      <c r="G145" s="303">
        <f t="shared" ref="G145" si="358">G5</f>
        <v>3944</v>
      </c>
      <c r="H145" s="303">
        <f t="shared" ref="H145:Q145" si="359">H5</f>
        <v>3259.15</v>
      </c>
      <c r="I145" s="303">
        <f t="shared" si="359"/>
        <v>2811</v>
      </c>
      <c r="J145" s="303">
        <f t="shared" si="359"/>
        <v>3493</v>
      </c>
      <c r="K145" s="303">
        <f t="shared" si="359"/>
        <v>2248.125</v>
      </c>
      <c r="L145" s="303">
        <f t="shared" si="359"/>
        <v>2750.4</v>
      </c>
      <c r="M145" s="303">
        <f t="shared" si="359"/>
        <v>2986.3</v>
      </c>
      <c r="N145" s="303">
        <f t="shared" si="359"/>
        <v>794</v>
      </c>
      <c r="O145" s="303">
        <f t="shared" si="359"/>
        <v>0</v>
      </c>
      <c r="P145" s="303">
        <f t="shared" si="359"/>
        <v>0</v>
      </c>
      <c r="Q145" s="303">
        <f t="shared" si="359"/>
        <v>0</v>
      </c>
      <c r="R145" s="303">
        <f>AVERAGE(F145:Q145)</f>
        <v>2069.9229166666669</v>
      </c>
      <c r="S145" s="303">
        <f>AW5</f>
        <v>1664.6812499999999</v>
      </c>
      <c r="T145"/>
    </row>
    <row r="146" spans="2:20" hidden="1" x14ac:dyDescent="0.35">
      <c r="B146" t="s">
        <v>403</v>
      </c>
      <c r="D146" s="302" t="s">
        <v>399</v>
      </c>
      <c r="E146" s="315" t="str">
        <f>D146</f>
        <v>Thực tế B2B</v>
      </c>
      <c r="F146" s="303">
        <f>F21</f>
        <v>934.89930000000004</v>
      </c>
      <c r="G146" s="303">
        <f t="shared" ref="G146" si="360">G21</f>
        <v>1532.675</v>
      </c>
      <c r="H146" s="303">
        <f t="shared" ref="H146:Q146" si="361">H21</f>
        <v>1320.8999999999999</v>
      </c>
      <c r="I146" s="303">
        <f t="shared" si="361"/>
        <v>1039.925</v>
      </c>
      <c r="J146" s="303">
        <f t="shared" si="361"/>
        <v>1089.7242999999999</v>
      </c>
      <c r="K146" s="303">
        <f t="shared" si="361"/>
        <v>1425.0830000000001</v>
      </c>
      <c r="L146" s="303">
        <f t="shared" si="361"/>
        <v>1810.0240999999999</v>
      </c>
      <c r="M146" s="303">
        <f t="shared" si="361"/>
        <v>2203.0680000000002</v>
      </c>
      <c r="N146" s="303">
        <f t="shared" si="361"/>
        <v>1863.0430000000001</v>
      </c>
      <c r="O146" s="303">
        <f t="shared" si="361"/>
        <v>0</v>
      </c>
      <c r="P146" s="303">
        <f t="shared" si="361"/>
        <v>0</v>
      </c>
      <c r="Q146" s="303">
        <f t="shared" si="361"/>
        <v>0</v>
      </c>
      <c r="R146" s="303">
        <f>AVERAGE(F146:Q146)</f>
        <v>1101.6118083333333</v>
      </c>
      <c r="S146" s="303">
        <f>AW21</f>
        <v>1248.4244333333336</v>
      </c>
      <c r="T146"/>
    </row>
    <row r="147" spans="2:20" hidden="1" x14ac:dyDescent="0.35">
      <c r="B147" s="312" t="s">
        <v>402</v>
      </c>
      <c r="D147" s="302" t="s">
        <v>396</v>
      </c>
      <c r="E147" s="302" t="str">
        <f>D147</f>
        <v>Cộng TT</v>
      </c>
      <c r="F147" s="303">
        <f>F145+F146</f>
        <v>3487.9992999999999</v>
      </c>
      <c r="G147" s="303">
        <f t="shared" ref="G147:Q147" si="362">G145+G146</f>
        <v>5476.6750000000002</v>
      </c>
      <c r="H147" s="303">
        <f t="shared" si="362"/>
        <v>4580.05</v>
      </c>
      <c r="I147" s="303">
        <f t="shared" si="362"/>
        <v>3850.9250000000002</v>
      </c>
      <c r="J147" s="303">
        <f t="shared" si="362"/>
        <v>4582.7242999999999</v>
      </c>
      <c r="K147" s="303">
        <f t="shared" si="362"/>
        <v>3673.2080000000001</v>
      </c>
      <c r="L147" s="303">
        <f t="shared" si="362"/>
        <v>4560.4241000000002</v>
      </c>
      <c r="M147" s="303">
        <f t="shared" si="362"/>
        <v>5189.3680000000004</v>
      </c>
      <c r="N147" s="303">
        <f t="shared" si="362"/>
        <v>2657.0430000000001</v>
      </c>
      <c r="O147" s="303">
        <f t="shared" si="362"/>
        <v>0</v>
      </c>
      <c r="P147" s="303">
        <f t="shared" si="362"/>
        <v>0</v>
      </c>
      <c r="Q147" s="303">
        <f t="shared" si="362"/>
        <v>0</v>
      </c>
      <c r="R147" s="303">
        <f t="shared" ref="R147" si="363">R145+R146</f>
        <v>3171.5347250000004</v>
      </c>
      <c r="S147" s="303">
        <f t="shared" ref="S147" si="364">S145+S146</f>
        <v>2913.1056833333332</v>
      </c>
      <c r="T147"/>
    </row>
    <row r="148" spans="2:20" hidden="1" x14ac:dyDescent="0.35">
      <c r="B148" t="s">
        <v>403</v>
      </c>
      <c r="D148" s="302" t="s">
        <v>391</v>
      </c>
      <c r="E148" s="302"/>
      <c r="F148" s="304">
        <f>F145/F$147</f>
        <v>0.73196689001629101</v>
      </c>
      <c r="G148" s="304">
        <f t="shared" ref="G148:Q148" si="365">G145/G$147</f>
        <v>0.72014497847690429</v>
      </c>
      <c r="H148" s="304">
        <f t="shared" si="365"/>
        <v>0.71159703496686721</v>
      </c>
      <c r="I148" s="304">
        <f t="shared" si="365"/>
        <v>0.72995449145335212</v>
      </c>
      <c r="J148" s="304">
        <f t="shared" si="365"/>
        <v>0.7622103734235115</v>
      </c>
      <c r="K148" s="304">
        <f t="shared" si="365"/>
        <v>0.61203313289092254</v>
      </c>
      <c r="L148" s="304">
        <f t="shared" si="365"/>
        <v>0.60310180362392174</v>
      </c>
      <c r="M148" s="304">
        <f t="shared" si="365"/>
        <v>0.57546506626625826</v>
      </c>
      <c r="N148" s="304">
        <f t="shared" si="365"/>
        <v>0.29882843446643503</v>
      </c>
      <c r="O148" s="304" t="e">
        <f t="shared" si="365"/>
        <v>#DIV/0!</v>
      </c>
      <c r="P148" s="304" t="e">
        <f t="shared" si="365"/>
        <v>#DIV/0!</v>
      </c>
      <c r="Q148" s="304" t="e">
        <f t="shared" si="365"/>
        <v>#DIV/0!</v>
      </c>
      <c r="R148" s="304">
        <f t="shared" ref="R148" si="366">R145/R$147</f>
        <v>0.65265655152701085</v>
      </c>
      <c r="S148" s="304">
        <f>S145/S$147</f>
        <v>0.57144553990062641</v>
      </c>
      <c r="T148"/>
    </row>
    <row r="149" spans="2:20" hidden="1" x14ac:dyDescent="0.35">
      <c r="B149" t="s">
        <v>403</v>
      </c>
      <c r="D149" s="302" t="s">
        <v>392</v>
      </c>
      <c r="E149" s="302"/>
      <c r="F149" s="304">
        <f>F146/F$147</f>
        <v>0.26803310998370899</v>
      </c>
      <c r="G149" s="304">
        <f t="shared" ref="G149:Q149" si="367">G146/G$147</f>
        <v>0.27985502152309566</v>
      </c>
      <c r="H149" s="304">
        <f t="shared" si="367"/>
        <v>0.28840296503313279</v>
      </c>
      <c r="I149" s="304">
        <f t="shared" si="367"/>
        <v>0.27004550854664788</v>
      </c>
      <c r="J149" s="304">
        <f t="shared" si="367"/>
        <v>0.23778962657648856</v>
      </c>
      <c r="K149" s="304">
        <f t="shared" si="367"/>
        <v>0.38796686710907741</v>
      </c>
      <c r="L149" s="304">
        <f t="shared" si="367"/>
        <v>0.39689819637607821</v>
      </c>
      <c r="M149" s="304">
        <f t="shared" si="367"/>
        <v>0.42453493373374179</v>
      </c>
      <c r="N149" s="304">
        <f t="shared" si="367"/>
        <v>0.70117156553356497</v>
      </c>
      <c r="O149" s="304" t="e">
        <f t="shared" si="367"/>
        <v>#DIV/0!</v>
      </c>
      <c r="P149" s="304" t="e">
        <f t="shared" si="367"/>
        <v>#DIV/0!</v>
      </c>
      <c r="Q149" s="304" t="e">
        <f t="shared" si="367"/>
        <v>#DIV/0!</v>
      </c>
      <c r="R149" s="304">
        <f t="shared" ref="R149" si="368">R146/R$147</f>
        <v>0.34734344847298909</v>
      </c>
      <c r="S149" s="304">
        <f>S146/S$147</f>
        <v>0.42855446009937365</v>
      </c>
      <c r="T149"/>
    </row>
    <row r="150" spans="2:20" hidden="1" x14ac:dyDescent="0.35">
      <c r="B150" s="312" t="s">
        <v>402</v>
      </c>
      <c r="D150" s="299" t="s">
        <v>400</v>
      </c>
      <c r="E150" s="313" t="str">
        <f>D150</f>
        <v>Kế hoạch XK</v>
      </c>
      <c r="F150" s="300">
        <f t="shared" ref="F150:Q150" si="369">U5</f>
        <v>1946.44</v>
      </c>
      <c r="G150" s="300">
        <f t="shared" si="369"/>
        <v>2386.44</v>
      </c>
      <c r="H150" s="300">
        <f t="shared" si="369"/>
        <v>2087.39</v>
      </c>
      <c r="I150" s="300">
        <f t="shared" si="369"/>
        <v>2054.39</v>
      </c>
      <c r="J150" s="300">
        <f t="shared" si="369"/>
        <v>3128.3900000000003</v>
      </c>
      <c r="K150" s="300">
        <f t="shared" si="369"/>
        <v>2863.3900000000003</v>
      </c>
      <c r="L150" s="300">
        <f t="shared" si="369"/>
        <v>3332.3900000000003</v>
      </c>
      <c r="M150" s="300">
        <f t="shared" si="369"/>
        <v>3004.3900000000003</v>
      </c>
      <c r="N150" s="300">
        <f t="shared" si="369"/>
        <v>3939.3900000000003</v>
      </c>
      <c r="O150" s="300">
        <f t="shared" si="369"/>
        <v>3875.11</v>
      </c>
      <c r="P150" s="300">
        <f t="shared" si="369"/>
        <v>3111.11</v>
      </c>
      <c r="Q150" s="300">
        <f t="shared" si="369"/>
        <v>3001.9700000000003</v>
      </c>
      <c r="R150" s="300">
        <f>AVERAGE(F150:Q150)</f>
        <v>2894.2333333333331</v>
      </c>
      <c r="S150" s="316"/>
    </row>
    <row r="151" spans="2:20" hidden="1" x14ac:dyDescent="0.35">
      <c r="B151" t="s">
        <v>403</v>
      </c>
      <c r="D151" s="299" t="s">
        <v>401</v>
      </c>
      <c r="E151" s="302" t="str">
        <f>D151</f>
        <v>Kế hoạch B2B</v>
      </c>
      <c r="F151" s="300">
        <f t="shared" ref="F151:Q151" si="370">U21</f>
        <v>1100.79</v>
      </c>
      <c r="G151" s="300">
        <f t="shared" si="370"/>
        <v>1262.79</v>
      </c>
      <c r="H151" s="300">
        <f t="shared" si="370"/>
        <v>1526.69</v>
      </c>
      <c r="I151" s="300">
        <f t="shared" si="370"/>
        <v>1827.79</v>
      </c>
      <c r="J151" s="300">
        <f t="shared" si="370"/>
        <v>1997.09</v>
      </c>
      <c r="K151" s="300">
        <f t="shared" si="370"/>
        <v>2082.84</v>
      </c>
      <c r="L151" s="300">
        <f t="shared" si="370"/>
        <v>2136.84</v>
      </c>
      <c r="M151" s="300">
        <f t="shared" si="370"/>
        <v>2434.34</v>
      </c>
      <c r="N151" s="300">
        <f t="shared" si="370"/>
        <v>2511.34</v>
      </c>
      <c r="O151" s="300">
        <f t="shared" si="370"/>
        <v>2591.84</v>
      </c>
      <c r="P151" s="300">
        <f t="shared" si="370"/>
        <v>2857.8599999999997</v>
      </c>
      <c r="Q151" s="300">
        <f t="shared" si="370"/>
        <v>2938.99</v>
      </c>
      <c r="R151" s="300">
        <f>AVERAGE(F151:Q151)</f>
        <v>2105.7666666666669</v>
      </c>
      <c r="S151" s="316"/>
    </row>
    <row r="152" spans="2:20" hidden="1" x14ac:dyDescent="0.35">
      <c r="B152" s="312" t="s">
        <v>402</v>
      </c>
      <c r="D152" s="299" t="s">
        <v>393</v>
      </c>
      <c r="E152" s="299" t="str">
        <f>D152</f>
        <v>Cộng KH</v>
      </c>
      <c r="F152" s="300">
        <f>F150+F151</f>
        <v>3047.23</v>
      </c>
      <c r="G152" s="300">
        <f t="shared" ref="G152:Q152" si="371">G150+G151</f>
        <v>3649.23</v>
      </c>
      <c r="H152" s="300">
        <f t="shared" si="371"/>
        <v>3614.08</v>
      </c>
      <c r="I152" s="300">
        <f t="shared" si="371"/>
        <v>3882.18</v>
      </c>
      <c r="J152" s="300">
        <f t="shared" si="371"/>
        <v>5125.4800000000005</v>
      </c>
      <c r="K152" s="300">
        <f t="shared" si="371"/>
        <v>4946.2300000000005</v>
      </c>
      <c r="L152" s="300">
        <f t="shared" si="371"/>
        <v>5469.2300000000005</v>
      </c>
      <c r="M152" s="300">
        <f t="shared" si="371"/>
        <v>5438.7300000000005</v>
      </c>
      <c r="N152" s="300">
        <f t="shared" si="371"/>
        <v>6450.7300000000005</v>
      </c>
      <c r="O152" s="300">
        <f t="shared" si="371"/>
        <v>6466.9500000000007</v>
      </c>
      <c r="P152" s="300">
        <f t="shared" si="371"/>
        <v>5968.9699999999993</v>
      </c>
      <c r="Q152" s="300">
        <f t="shared" si="371"/>
        <v>5940.96</v>
      </c>
      <c r="R152" s="300">
        <f t="shared" ref="R152" si="372">R150+R151</f>
        <v>5000</v>
      </c>
      <c r="S152" s="300"/>
    </row>
    <row r="153" spans="2:20" hidden="1" x14ac:dyDescent="0.35">
      <c r="B153" t="s">
        <v>403</v>
      </c>
      <c r="D153" s="299" t="s">
        <v>394</v>
      </c>
      <c r="E153" s="299"/>
      <c r="F153" s="301">
        <f t="shared" ref="F153:R153" si="373">F150/F$152</f>
        <v>0.63875716634451618</v>
      </c>
      <c r="G153" s="301">
        <f t="shared" si="373"/>
        <v>0.65395713616297135</v>
      </c>
      <c r="H153" s="301">
        <f t="shared" si="373"/>
        <v>0.57757160881884184</v>
      </c>
      <c r="I153" s="301">
        <f t="shared" si="373"/>
        <v>0.52918463337609278</v>
      </c>
      <c r="J153" s="301">
        <f t="shared" si="373"/>
        <v>0.6103603955141762</v>
      </c>
      <c r="K153" s="301">
        <f t="shared" si="373"/>
        <v>0.57890352854598348</v>
      </c>
      <c r="L153" s="301">
        <f t="shared" si="373"/>
        <v>0.60929783534428061</v>
      </c>
      <c r="M153" s="301">
        <f t="shared" si="373"/>
        <v>0.55240653608471102</v>
      </c>
      <c r="N153" s="301">
        <f t="shared" si="373"/>
        <v>0.61068902279276915</v>
      </c>
      <c r="O153" s="301">
        <f t="shared" si="373"/>
        <v>0.59921756005535831</v>
      </c>
      <c r="P153" s="301">
        <f t="shared" si="373"/>
        <v>0.52121387777120687</v>
      </c>
      <c r="Q153" s="301">
        <f t="shared" si="373"/>
        <v>0.50530049015647305</v>
      </c>
      <c r="R153" s="301">
        <f t="shared" si="373"/>
        <v>0.57884666666666662</v>
      </c>
      <c r="S153" s="301"/>
    </row>
    <row r="154" spans="2:20" hidden="1" x14ac:dyDescent="0.35">
      <c r="B154" t="s">
        <v>403</v>
      </c>
      <c r="D154" s="299" t="s">
        <v>395</v>
      </c>
      <c r="E154" s="299"/>
      <c r="F154" s="301">
        <f t="shared" ref="F154:R154" si="374">F151/F$152</f>
        <v>0.36124283365548382</v>
      </c>
      <c r="G154" s="301">
        <f t="shared" si="374"/>
        <v>0.34604286383702865</v>
      </c>
      <c r="H154" s="301">
        <f t="shared" si="374"/>
        <v>0.42242839118115816</v>
      </c>
      <c r="I154" s="301">
        <f t="shared" si="374"/>
        <v>0.47081536662390722</v>
      </c>
      <c r="J154" s="301">
        <f t="shared" si="374"/>
        <v>0.38963960448582369</v>
      </c>
      <c r="K154" s="301">
        <f t="shared" si="374"/>
        <v>0.42109647145401646</v>
      </c>
      <c r="L154" s="301">
        <f t="shared" si="374"/>
        <v>0.39070216465571933</v>
      </c>
      <c r="M154" s="301">
        <f t="shared" si="374"/>
        <v>0.44759346391528904</v>
      </c>
      <c r="N154" s="301">
        <f t="shared" si="374"/>
        <v>0.38931097720723079</v>
      </c>
      <c r="O154" s="301">
        <f t="shared" si="374"/>
        <v>0.40078243994464158</v>
      </c>
      <c r="P154" s="301">
        <f t="shared" si="374"/>
        <v>0.47878612222879324</v>
      </c>
      <c r="Q154" s="301">
        <f t="shared" si="374"/>
        <v>0.49469950984352695</v>
      </c>
      <c r="R154" s="301">
        <f t="shared" si="374"/>
        <v>0.42115333333333338</v>
      </c>
      <c r="S154" s="301"/>
    </row>
    <row r="155" spans="2:20" x14ac:dyDescent="0.35">
      <c r="E155"/>
    </row>
    <row r="157" spans="2:20" x14ac:dyDescent="0.35">
      <c r="K157" s="398"/>
      <c r="L157" s="398"/>
      <c r="M157" s="398"/>
      <c r="N157" s="398"/>
      <c r="O157" s="398"/>
      <c r="P157" s="398"/>
      <c r="Q157" s="398"/>
    </row>
    <row r="158" spans="2:20" x14ac:dyDescent="0.35">
      <c r="K158" s="398"/>
      <c r="L158" s="398"/>
      <c r="M158" s="398"/>
      <c r="N158" s="398"/>
      <c r="O158" s="398"/>
      <c r="P158" s="398"/>
      <c r="Q158" s="398"/>
    </row>
    <row r="159" spans="2:20" x14ac:dyDescent="0.35">
      <c r="K159" s="398"/>
      <c r="L159" s="398"/>
      <c r="M159" s="398"/>
      <c r="N159" s="398"/>
      <c r="O159" s="398"/>
      <c r="P159" s="398"/>
      <c r="Q159" s="398"/>
    </row>
    <row r="160" spans="2:20" x14ac:dyDescent="0.35">
      <c r="K160" s="398"/>
      <c r="L160" s="398"/>
      <c r="M160" s="398"/>
      <c r="N160" s="398"/>
      <c r="O160" s="398"/>
      <c r="P160" s="398"/>
      <c r="Q160" s="398"/>
    </row>
    <row r="161" spans="11:17" x14ac:dyDescent="0.35">
      <c r="K161" s="398"/>
      <c r="L161" s="398"/>
      <c r="M161" s="398"/>
      <c r="N161" s="398"/>
      <c r="O161" s="398"/>
      <c r="P161" s="398"/>
      <c r="Q161" s="398"/>
    </row>
    <row r="162" spans="11:17" x14ac:dyDescent="0.35">
      <c r="K162" s="398"/>
      <c r="L162" s="398"/>
      <c r="M162" s="398"/>
      <c r="N162" s="398"/>
      <c r="O162" s="398"/>
      <c r="P162" s="398"/>
      <c r="Q162" s="398"/>
    </row>
    <row r="163" spans="11:17" x14ac:dyDescent="0.35">
      <c r="K163" s="398"/>
      <c r="L163" s="398"/>
      <c r="M163" s="398"/>
      <c r="N163" s="398"/>
      <c r="O163" s="398"/>
      <c r="P163" s="398"/>
      <c r="Q163" s="398"/>
    </row>
    <row r="164" spans="11:17" x14ac:dyDescent="0.35">
      <c r="K164" s="398"/>
      <c r="L164" s="398"/>
      <c r="M164" s="398"/>
      <c r="N164" s="398"/>
      <c r="O164" s="398"/>
      <c r="P164" s="398"/>
      <c r="Q164" s="398"/>
    </row>
    <row r="165" spans="11:17" x14ac:dyDescent="0.35">
      <c r="K165" s="398"/>
      <c r="L165" s="398"/>
      <c r="M165" s="398"/>
      <c r="N165" s="398"/>
      <c r="O165" s="398"/>
      <c r="P165" s="398"/>
      <c r="Q165" s="398"/>
    </row>
    <row r="166" spans="11:17" x14ac:dyDescent="0.35">
      <c r="K166" s="398"/>
      <c r="L166" s="398"/>
      <c r="M166" s="398"/>
      <c r="N166" s="398"/>
      <c r="O166" s="398"/>
      <c r="P166" s="398"/>
      <c r="Q166" s="398"/>
    </row>
    <row r="167" spans="11:17" x14ac:dyDescent="0.35">
      <c r="K167" s="398"/>
      <c r="L167" s="398"/>
      <c r="M167" s="398"/>
      <c r="N167" s="398"/>
      <c r="O167" s="398"/>
      <c r="P167" s="398"/>
      <c r="Q167" s="398"/>
    </row>
    <row r="168" spans="11:17" x14ac:dyDescent="0.35">
      <c r="K168" s="398"/>
      <c r="L168" s="398"/>
      <c r="M168" s="398"/>
      <c r="N168" s="398"/>
      <c r="O168" s="398"/>
      <c r="P168" s="398"/>
      <c r="Q168" s="398"/>
    </row>
    <row r="169" spans="11:17" x14ac:dyDescent="0.35">
      <c r="K169" s="398"/>
      <c r="L169" s="398"/>
      <c r="M169" s="398"/>
      <c r="N169" s="398"/>
      <c r="O169" s="398"/>
      <c r="P169" s="398"/>
      <c r="Q169" s="398"/>
    </row>
    <row r="170" spans="11:17" x14ac:dyDescent="0.35">
      <c r="K170" s="398"/>
      <c r="L170" s="398"/>
      <c r="M170" s="398"/>
      <c r="N170" s="398"/>
      <c r="O170" s="398"/>
      <c r="P170" s="398"/>
      <c r="Q170" s="398"/>
    </row>
    <row r="171" spans="11:17" x14ac:dyDescent="0.35">
      <c r="K171" s="398"/>
      <c r="L171" s="398"/>
      <c r="M171" s="398"/>
      <c r="N171" s="398"/>
      <c r="O171" s="398"/>
      <c r="P171" s="398"/>
      <c r="Q171" s="398"/>
    </row>
    <row r="172" spans="11:17" x14ac:dyDescent="0.35">
      <c r="K172" s="398"/>
      <c r="L172" s="398"/>
      <c r="M172" s="398"/>
      <c r="N172" s="398"/>
      <c r="O172" s="398"/>
      <c r="P172" s="398"/>
      <c r="Q172" s="398"/>
    </row>
    <row r="173" spans="11:17" x14ac:dyDescent="0.35">
      <c r="K173" s="398"/>
      <c r="L173" s="398"/>
      <c r="M173" s="398"/>
      <c r="N173" s="398"/>
      <c r="O173" s="398"/>
      <c r="P173" s="398"/>
      <c r="Q173" s="398"/>
    </row>
    <row r="174" spans="11:17" x14ac:dyDescent="0.35">
      <c r="K174" s="398"/>
      <c r="L174" s="398"/>
      <c r="M174" s="398"/>
      <c r="N174" s="398"/>
      <c r="O174" s="398"/>
      <c r="P174" s="398"/>
      <c r="Q174" s="398"/>
    </row>
    <row r="175" spans="11:17" x14ac:dyDescent="0.35">
      <c r="K175" s="398"/>
      <c r="L175" s="398"/>
      <c r="M175" s="398"/>
      <c r="N175" s="398"/>
      <c r="O175" s="398"/>
      <c r="P175" s="398"/>
      <c r="Q175" s="398"/>
    </row>
    <row r="193" spans="2:35" ht="21" x14ac:dyDescent="0.5">
      <c r="D193" s="297" t="s">
        <v>408</v>
      </c>
      <c r="Q193" t="s">
        <v>397</v>
      </c>
      <c r="R193" s="254">
        <f>MAX(G195:Q204)</f>
        <v>60000</v>
      </c>
    </row>
    <row r="194" spans="2:35" x14ac:dyDescent="0.35">
      <c r="D194" s="276"/>
      <c r="E194" s="276"/>
      <c r="F194" s="276">
        <v>1</v>
      </c>
      <c r="G194" s="276">
        <v>2</v>
      </c>
      <c r="H194" s="276">
        <v>3</v>
      </c>
      <c r="I194" s="276">
        <v>4</v>
      </c>
      <c r="J194" s="276">
        <v>5</v>
      </c>
      <c r="K194" s="276">
        <v>6</v>
      </c>
      <c r="L194" s="276">
        <v>7</v>
      </c>
      <c r="M194" s="276">
        <v>8</v>
      </c>
      <c r="N194" s="276">
        <v>9</v>
      </c>
      <c r="O194" s="276">
        <v>10</v>
      </c>
      <c r="P194" s="276">
        <v>11</v>
      </c>
      <c r="Q194" s="276">
        <v>12</v>
      </c>
      <c r="R194" s="298" t="s">
        <v>409</v>
      </c>
      <c r="S194" s="298" t="s">
        <v>410</v>
      </c>
      <c r="T194"/>
    </row>
    <row r="195" spans="2:35" x14ac:dyDescent="0.35">
      <c r="B195" s="312" t="s">
        <v>402</v>
      </c>
      <c r="D195" s="302" t="s">
        <v>398</v>
      </c>
      <c r="E195" s="314" t="str">
        <f>D195</f>
        <v>Thực tế XK</v>
      </c>
      <c r="F195" s="303">
        <f>F5</f>
        <v>2553.1</v>
      </c>
      <c r="G195" s="303">
        <f>SUM($F$5:G5)</f>
        <v>6497.1</v>
      </c>
      <c r="H195" s="303">
        <f>SUM($F$5:H5)</f>
        <v>9756.25</v>
      </c>
      <c r="I195" s="303">
        <f>SUM($F$5:I5)</f>
        <v>12567.25</v>
      </c>
      <c r="J195" s="303">
        <f>SUM($F$5:J5)</f>
        <v>16060.25</v>
      </c>
      <c r="K195" s="303">
        <f>SUM($F$5:K5)</f>
        <v>18308.375</v>
      </c>
      <c r="L195" s="303">
        <f>SUM($F$5:L5)</f>
        <v>21058.775000000001</v>
      </c>
      <c r="M195" s="303">
        <f>SUM($F$5:M5)</f>
        <v>24045.075000000001</v>
      </c>
      <c r="N195" s="303">
        <f>SUM($F$5:N5)</f>
        <v>24839.075000000001</v>
      </c>
      <c r="O195" s="303">
        <f>SUM($F$5:O5)</f>
        <v>24839.075000000001</v>
      </c>
      <c r="P195" s="303">
        <f>SUM($F$5:P5)</f>
        <v>24839.075000000001</v>
      </c>
      <c r="Q195" s="303">
        <f>SUM($F$5:Q5)</f>
        <v>24839.075000000001</v>
      </c>
      <c r="R195" s="303">
        <f>Q195</f>
        <v>24839.075000000001</v>
      </c>
      <c r="S195" s="303">
        <f>AW57</f>
        <v>1.2374977091299125E-3</v>
      </c>
      <c r="T195"/>
    </row>
    <row r="196" spans="2:35" x14ac:dyDescent="0.35">
      <c r="B196" t="s">
        <v>403</v>
      </c>
      <c r="D196" s="302" t="s">
        <v>399</v>
      </c>
      <c r="E196" s="315"/>
      <c r="F196" s="303">
        <f>F21</f>
        <v>934.89930000000004</v>
      </c>
      <c r="G196" s="303">
        <f>SUM($F$21:G21)</f>
        <v>2467.5743000000002</v>
      </c>
      <c r="H196" s="303">
        <f>SUM($F$21:H21)</f>
        <v>3788.4742999999999</v>
      </c>
      <c r="I196" s="303">
        <f>SUM($F$21:I21)</f>
        <v>4828.3993</v>
      </c>
      <c r="J196" s="303">
        <f>SUM($F$21:J21)</f>
        <v>5918.1235999999999</v>
      </c>
      <c r="K196" s="303">
        <f>SUM($F$21:K21)</f>
        <v>7343.2065999999995</v>
      </c>
      <c r="L196" s="303">
        <f>SUM($F$21:L21)</f>
        <v>9153.2307000000001</v>
      </c>
      <c r="M196" s="303">
        <f>SUM($F$21:M21)</f>
        <v>11356.298699999999</v>
      </c>
      <c r="N196" s="303">
        <f>SUM($F$21:N21)</f>
        <v>13219.341699999999</v>
      </c>
      <c r="O196" s="303">
        <f>SUM($F$21:O21)</f>
        <v>13219.341699999999</v>
      </c>
      <c r="P196" s="303">
        <f>SUM($F$21:P21)</f>
        <v>13219.341699999999</v>
      </c>
      <c r="Q196" s="303">
        <f>SUM($F$21:Q21)</f>
        <v>13219.341699999999</v>
      </c>
      <c r="R196" s="303">
        <f>Q196</f>
        <v>13219.341699999999</v>
      </c>
      <c r="S196" s="303">
        <f>AW74</f>
        <v>1.549387039737772E-3</v>
      </c>
      <c r="T196"/>
    </row>
    <row r="197" spans="2:35" s="194" customFormat="1" x14ac:dyDescent="0.35">
      <c r="B197" s="317" t="s">
        <v>402</v>
      </c>
      <c r="D197" s="305" t="s">
        <v>396</v>
      </c>
      <c r="E197" s="305" t="str">
        <f>D196</f>
        <v>Thực tế B2B</v>
      </c>
      <c r="F197" s="306">
        <f>F195+F196</f>
        <v>3487.9992999999999</v>
      </c>
      <c r="G197" s="306">
        <f t="shared" ref="G197:Q197" si="375">G195+G196</f>
        <v>8964.6743000000006</v>
      </c>
      <c r="H197" s="306">
        <f t="shared" si="375"/>
        <v>13544.7243</v>
      </c>
      <c r="I197" s="306">
        <f t="shared" si="375"/>
        <v>17395.649300000001</v>
      </c>
      <c r="J197" s="306">
        <f t="shared" si="375"/>
        <v>21978.373599999999</v>
      </c>
      <c r="K197" s="306">
        <f t="shared" si="375"/>
        <v>25651.581599999998</v>
      </c>
      <c r="L197" s="306">
        <f t="shared" si="375"/>
        <v>30212.005700000002</v>
      </c>
      <c r="M197" s="306">
        <f t="shared" si="375"/>
        <v>35401.373699999996</v>
      </c>
      <c r="N197" s="306">
        <f t="shared" si="375"/>
        <v>38058.416700000002</v>
      </c>
      <c r="O197" s="306">
        <f t="shared" si="375"/>
        <v>38058.416700000002</v>
      </c>
      <c r="P197" s="306">
        <f t="shared" si="375"/>
        <v>38058.416700000002</v>
      </c>
      <c r="Q197" s="306">
        <f t="shared" si="375"/>
        <v>38058.416700000002</v>
      </c>
      <c r="R197" s="306">
        <f t="shared" ref="R197" si="376">R195+R196</f>
        <v>38058.416700000002</v>
      </c>
      <c r="S197" s="306">
        <f t="shared" ref="S197" si="377">S195+S196</f>
        <v>2.7868847488676848E-3</v>
      </c>
      <c r="AI197" s="307"/>
    </row>
    <row r="198" spans="2:35" x14ac:dyDescent="0.35">
      <c r="B198" t="s">
        <v>403</v>
      </c>
      <c r="D198" s="302" t="s">
        <v>391</v>
      </c>
      <c r="E198" s="302"/>
      <c r="F198" s="304">
        <f>F195/F$197</f>
        <v>0.73196689001629101</v>
      </c>
      <c r="G198" s="304">
        <f t="shared" ref="G198:Q198" si="378">G195/G$197</f>
        <v>0.72474467923502806</v>
      </c>
      <c r="H198" s="304">
        <f t="shared" si="378"/>
        <v>0.72029889895950117</v>
      </c>
      <c r="I198" s="304">
        <f t="shared" si="378"/>
        <v>0.72243638528629106</v>
      </c>
      <c r="J198" s="304">
        <f t="shared" si="378"/>
        <v>0.73072968420192841</v>
      </c>
      <c r="K198" s="304">
        <f t="shared" si="378"/>
        <v>0.71373279377050192</v>
      </c>
      <c r="L198" s="304">
        <f t="shared" si="378"/>
        <v>0.69703333201741058</v>
      </c>
      <c r="M198" s="304">
        <f t="shared" si="378"/>
        <v>0.67921304985970088</v>
      </c>
      <c r="N198" s="304">
        <f t="shared" si="378"/>
        <v>0.65265655152701085</v>
      </c>
      <c r="O198" s="304">
        <f t="shared" si="378"/>
        <v>0.65265655152701085</v>
      </c>
      <c r="P198" s="304">
        <f t="shared" si="378"/>
        <v>0.65265655152701085</v>
      </c>
      <c r="Q198" s="304">
        <f t="shared" si="378"/>
        <v>0.65265655152701085</v>
      </c>
      <c r="R198" s="304">
        <f t="shared" ref="R198:S198" si="379">R195/R$197</f>
        <v>0.65265655152701085</v>
      </c>
      <c r="S198" s="304">
        <f t="shared" si="379"/>
        <v>0.44404337482298456</v>
      </c>
      <c r="T198"/>
    </row>
    <row r="199" spans="2:35" x14ac:dyDescent="0.35">
      <c r="B199" t="s">
        <v>403</v>
      </c>
      <c r="D199" s="302" t="s">
        <v>392</v>
      </c>
      <c r="E199" s="302"/>
      <c r="F199" s="304">
        <f>F196/F$197</f>
        <v>0.26803310998370899</v>
      </c>
      <c r="G199" s="304">
        <f t="shared" ref="G199:Q199" si="380">G196/G$197</f>
        <v>0.27525532076497189</v>
      </c>
      <c r="H199" s="304">
        <f t="shared" si="380"/>
        <v>0.27970110104049883</v>
      </c>
      <c r="I199" s="304">
        <f t="shared" si="380"/>
        <v>0.27756361471370888</v>
      </c>
      <c r="J199" s="304">
        <f t="shared" si="380"/>
        <v>0.26927031579807159</v>
      </c>
      <c r="K199" s="304">
        <f t="shared" si="380"/>
        <v>0.28626720622949814</v>
      </c>
      <c r="L199" s="304">
        <f t="shared" si="380"/>
        <v>0.30296666798258942</v>
      </c>
      <c r="M199" s="304">
        <f t="shared" si="380"/>
        <v>0.32078695014029923</v>
      </c>
      <c r="N199" s="304">
        <f t="shared" si="380"/>
        <v>0.34734344847298909</v>
      </c>
      <c r="O199" s="304">
        <f t="shared" si="380"/>
        <v>0.34734344847298909</v>
      </c>
      <c r="P199" s="304">
        <f t="shared" si="380"/>
        <v>0.34734344847298909</v>
      </c>
      <c r="Q199" s="304">
        <f t="shared" si="380"/>
        <v>0.34734344847298909</v>
      </c>
      <c r="R199" s="304">
        <f t="shared" ref="R199:S199" si="381">R196/R$197</f>
        <v>0.34734344847298909</v>
      </c>
      <c r="S199" s="304">
        <f t="shared" si="381"/>
        <v>0.55595662517701538</v>
      </c>
      <c r="T199"/>
    </row>
    <row r="200" spans="2:35" x14ac:dyDescent="0.35">
      <c r="B200" s="312" t="s">
        <v>402</v>
      </c>
      <c r="D200" s="299" t="s">
        <v>400</v>
      </c>
      <c r="E200" s="313" t="str">
        <f>D200</f>
        <v>Kế hoạch XK</v>
      </c>
      <c r="F200" s="300">
        <f>U5</f>
        <v>1946.44</v>
      </c>
      <c r="G200" s="300">
        <f>SUM($U$5:V5)</f>
        <v>4332.88</v>
      </c>
      <c r="H200" s="300">
        <f>SUM($U$5:W5)</f>
        <v>6420.27</v>
      </c>
      <c r="I200" s="300">
        <f>SUM($U$5:X5)</f>
        <v>8474.66</v>
      </c>
      <c r="J200" s="300">
        <f>SUM($U$5:Y5)</f>
        <v>11603.05</v>
      </c>
      <c r="K200" s="300">
        <f>SUM($U$5:Z5)</f>
        <v>14466.439999999999</v>
      </c>
      <c r="L200" s="300">
        <f>SUM($U$5:AA5)</f>
        <v>17798.829999999998</v>
      </c>
      <c r="M200" s="300">
        <f>SUM($U$5:AB5)</f>
        <v>20803.219999999998</v>
      </c>
      <c r="N200" s="300">
        <f>SUM($U$5:AC5)</f>
        <v>24742.609999999997</v>
      </c>
      <c r="O200" s="300">
        <f>SUM($U$5:AD5)</f>
        <v>28617.719999999998</v>
      </c>
      <c r="P200" s="300">
        <f>SUM($U$5:AE5)</f>
        <v>31728.829999999998</v>
      </c>
      <c r="Q200" s="300">
        <f>SUM($U$5:AF5)</f>
        <v>34730.799999999996</v>
      </c>
      <c r="R200" s="300">
        <f>Q200</f>
        <v>34730.799999999996</v>
      </c>
      <c r="S200" s="316"/>
    </row>
    <row r="201" spans="2:35" x14ac:dyDescent="0.35">
      <c r="B201" t="s">
        <v>403</v>
      </c>
      <c r="D201" s="299" t="s">
        <v>401</v>
      </c>
      <c r="E201" s="302"/>
      <c r="F201" s="300">
        <f>U21</f>
        <v>1100.79</v>
      </c>
      <c r="G201" s="300">
        <f>SUM($U$21:V21)</f>
        <v>2363.58</v>
      </c>
      <c r="H201" s="300">
        <f>SUM($U$21:W21)</f>
        <v>3890.27</v>
      </c>
      <c r="I201" s="300">
        <f>SUM($U$21:X21)</f>
        <v>5718.0599999999995</v>
      </c>
      <c r="J201" s="300">
        <f>SUM($U$21:Y21)</f>
        <v>7715.15</v>
      </c>
      <c r="K201" s="300">
        <f>SUM($U$21:Z21)</f>
        <v>9797.99</v>
      </c>
      <c r="L201" s="300">
        <f>SUM($U$21:AA21)</f>
        <v>11934.83</v>
      </c>
      <c r="M201" s="300">
        <f>SUM($U$21:AB21)</f>
        <v>14369.17</v>
      </c>
      <c r="N201" s="300">
        <f>SUM($U$21:AC21)</f>
        <v>16880.510000000002</v>
      </c>
      <c r="O201" s="300">
        <f>SUM($U$21:AD21)</f>
        <v>19472.350000000002</v>
      </c>
      <c r="P201" s="300">
        <f>SUM($U$21:AE21)</f>
        <v>22330.210000000003</v>
      </c>
      <c r="Q201" s="300">
        <f>SUM($U$21:AF21)</f>
        <v>25269.200000000004</v>
      </c>
      <c r="R201" s="300">
        <f>Q201</f>
        <v>25269.200000000004</v>
      </c>
      <c r="S201" s="316"/>
    </row>
    <row r="202" spans="2:35" s="194" customFormat="1" x14ac:dyDescent="0.35">
      <c r="B202" s="317" t="s">
        <v>402</v>
      </c>
      <c r="D202" s="318" t="s">
        <v>393</v>
      </c>
      <c r="E202" s="318" t="str">
        <f>D201</f>
        <v>Kế hoạch B2B</v>
      </c>
      <c r="F202" s="308">
        <f>F200+F201</f>
        <v>3047.23</v>
      </c>
      <c r="G202" s="308">
        <f t="shared" ref="G202" si="382">G200+G201</f>
        <v>6696.46</v>
      </c>
      <c r="H202" s="308">
        <f t="shared" ref="H202" si="383">H200+H201</f>
        <v>10310.540000000001</v>
      </c>
      <c r="I202" s="308">
        <f t="shared" ref="I202" si="384">I200+I201</f>
        <v>14192.72</v>
      </c>
      <c r="J202" s="308">
        <f t="shared" ref="J202" si="385">J200+J201</f>
        <v>19318.199999999997</v>
      </c>
      <c r="K202" s="308">
        <f t="shared" ref="K202" si="386">K200+K201</f>
        <v>24264.43</v>
      </c>
      <c r="L202" s="308">
        <f t="shared" ref="L202" si="387">L200+L201</f>
        <v>29733.659999999996</v>
      </c>
      <c r="M202" s="308">
        <f t="shared" ref="M202" si="388">M200+M201</f>
        <v>35172.39</v>
      </c>
      <c r="N202" s="308">
        <f t="shared" ref="N202" si="389">N200+N201</f>
        <v>41623.119999999995</v>
      </c>
      <c r="O202" s="308">
        <f t="shared" ref="O202" si="390">O200+O201</f>
        <v>48090.07</v>
      </c>
      <c r="P202" s="308">
        <f t="shared" ref="P202" si="391">P200+P201</f>
        <v>54059.040000000001</v>
      </c>
      <c r="Q202" s="308">
        <f t="shared" ref="Q202" si="392">Q200+Q201</f>
        <v>60000</v>
      </c>
      <c r="R202" s="308">
        <f t="shared" ref="R202" si="393">R200+R201</f>
        <v>60000</v>
      </c>
      <c r="S202" s="308"/>
      <c r="T202" s="307"/>
      <c r="AI202" s="307"/>
    </row>
    <row r="203" spans="2:35" x14ac:dyDescent="0.35">
      <c r="B203" t="s">
        <v>403</v>
      </c>
      <c r="D203" s="299" t="s">
        <v>394</v>
      </c>
      <c r="E203" s="299"/>
      <c r="F203" s="301">
        <f>F200/F$152</f>
        <v>0.63875716634451618</v>
      </c>
      <c r="G203" s="301">
        <f>G200/G$202</f>
        <v>0.64704037655716606</v>
      </c>
      <c r="H203" s="301">
        <f t="shared" ref="H203:Q203" si="394">H200/H$202</f>
        <v>0.62268998519961127</v>
      </c>
      <c r="I203" s="301">
        <f t="shared" si="394"/>
        <v>0.59711316787761615</v>
      </c>
      <c r="J203" s="301">
        <f t="shared" si="394"/>
        <v>0.60062790529138332</v>
      </c>
      <c r="K203" s="301">
        <f t="shared" si="394"/>
        <v>0.59619945739504276</v>
      </c>
      <c r="L203" s="301">
        <f t="shared" si="394"/>
        <v>0.59860878210082447</v>
      </c>
      <c r="M203" s="301">
        <f t="shared" si="394"/>
        <v>0.59146449814755264</v>
      </c>
      <c r="N203" s="301">
        <f t="shared" si="394"/>
        <v>0.59444390521421753</v>
      </c>
      <c r="O203" s="301">
        <f t="shared" si="394"/>
        <v>0.59508584620484017</v>
      </c>
      <c r="P203" s="301">
        <f t="shared" si="394"/>
        <v>0.58692921664905628</v>
      </c>
      <c r="Q203" s="301">
        <f t="shared" si="394"/>
        <v>0.57884666666666662</v>
      </c>
      <c r="R203" s="301">
        <f t="shared" ref="R203" si="395">R200/R$202</f>
        <v>0.57884666666666662</v>
      </c>
      <c r="S203" s="301"/>
    </row>
    <row r="204" spans="2:35" x14ac:dyDescent="0.35">
      <c r="B204" t="s">
        <v>403</v>
      </c>
      <c r="D204" s="299" t="s">
        <v>395</v>
      </c>
      <c r="E204" s="299"/>
      <c r="F204" s="301">
        <f>F201/F$152</f>
        <v>0.36124283365548382</v>
      </c>
      <c r="G204" s="301">
        <f>G201/G$202</f>
        <v>0.35295962344283394</v>
      </c>
      <c r="H204" s="301">
        <f t="shared" ref="H204:Q204" si="396">H201/H$202</f>
        <v>0.37731001480038867</v>
      </c>
      <c r="I204" s="301">
        <f t="shared" si="396"/>
        <v>0.40288683212238385</v>
      </c>
      <c r="J204" s="301">
        <f t="shared" si="396"/>
        <v>0.39937209470861679</v>
      </c>
      <c r="K204" s="301">
        <f t="shared" si="396"/>
        <v>0.40380054260495712</v>
      </c>
      <c r="L204" s="301">
        <f t="shared" si="396"/>
        <v>0.40139121789917559</v>
      </c>
      <c r="M204" s="301">
        <f t="shared" si="396"/>
        <v>0.40853550185244736</v>
      </c>
      <c r="N204" s="301">
        <f t="shared" si="396"/>
        <v>0.40555609478578258</v>
      </c>
      <c r="O204" s="301">
        <f t="shared" si="396"/>
        <v>0.40491415379515983</v>
      </c>
      <c r="P204" s="301">
        <f t="shared" si="396"/>
        <v>0.41307078335094377</v>
      </c>
      <c r="Q204" s="301">
        <f t="shared" si="396"/>
        <v>0.42115333333333338</v>
      </c>
      <c r="R204" s="301">
        <f t="shared" ref="R204" si="397">R201/R$202</f>
        <v>0.42115333333333338</v>
      </c>
      <c r="S204" s="301"/>
    </row>
  </sheetData>
  <mergeCells count="1">
    <mergeCell ref="B90:B96"/>
  </mergeCells>
  <phoneticPr fontId="67" type="noConversion"/>
  <hyperlinks>
    <hyperlink ref="B1" location="'00. DM'!A1" display="00. DM" xr:uid="{C8AB6F77-B158-41FB-A742-56D0388B18E6}"/>
  </hyperlink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C472E-3B73-4238-B368-ADBE427DBD66}">
  <sheetPr>
    <tabColor rgb="FF00B050"/>
  </sheetPr>
  <dimension ref="A1:U108"/>
  <sheetViews>
    <sheetView zoomScaleNormal="100" workbookViewId="0">
      <pane ySplit="1" topLeftCell="A29" activePane="bottomLeft" state="frozen"/>
      <selection activeCell="J79" sqref="J79"/>
      <selection pane="bottomLeft" activeCell="O17" sqref="O17"/>
    </sheetView>
  </sheetViews>
  <sheetFormatPr defaultRowHeight="14.5" outlineLevelRow="1" x14ac:dyDescent="0.35"/>
  <cols>
    <col min="2" max="2" width="17.36328125" bestFit="1" customWidth="1"/>
    <col min="3" max="6" width="12" customWidth="1"/>
    <col min="13" max="13" width="12.453125" customWidth="1"/>
    <col min="14" max="17" width="14.453125" customWidth="1"/>
    <col min="19" max="19" width="10.54296875" bestFit="1" customWidth="1"/>
    <col min="20" max="20" width="9.54296875" bestFit="1" customWidth="1"/>
    <col min="21" max="21" width="10.54296875" bestFit="1" customWidth="1"/>
  </cols>
  <sheetData>
    <row r="1" spans="1:17" ht="35.5" customHeight="1" x14ac:dyDescent="0.6">
      <c r="A1" s="528" t="s">
        <v>587</v>
      </c>
      <c r="C1" s="678" t="s">
        <v>860</v>
      </c>
    </row>
    <row r="3" spans="1:17" ht="17.5" x14ac:dyDescent="0.35">
      <c r="A3" s="556">
        <v>1</v>
      </c>
      <c r="B3" s="551" t="s">
        <v>588</v>
      </c>
    </row>
    <row r="5" spans="1:17" outlineLevel="1" x14ac:dyDescent="0.35">
      <c r="B5" s="988"/>
      <c r="C5" s="989"/>
      <c r="D5" s="990">
        <v>1</v>
      </c>
      <c r="E5" s="990">
        <v>2</v>
      </c>
      <c r="F5" s="990">
        <v>3</v>
      </c>
      <c r="G5" s="990">
        <v>4</v>
      </c>
      <c r="H5" s="990">
        <v>5</v>
      </c>
      <c r="I5" s="990">
        <v>6</v>
      </c>
      <c r="J5" s="990">
        <v>7</v>
      </c>
      <c r="K5" s="990">
        <v>8</v>
      </c>
      <c r="L5" s="990">
        <v>9</v>
      </c>
      <c r="M5" s="990">
        <v>10</v>
      </c>
      <c r="N5" s="990">
        <v>11</v>
      </c>
      <c r="O5" s="990">
        <v>12</v>
      </c>
      <c r="P5" s="990" t="s">
        <v>808</v>
      </c>
      <c r="Q5" s="990" t="s">
        <v>809</v>
      </c>
    </row>
    <row r="6" spans="1:17" outlineLevel="1" x14ac:dyDescent="0.35">
      <c r="A6" s="1006" t="s">
        <v>26</v>
      </c>
      <c r="B6" s="991"/>
      <c r="C6" s="992" t="s">
        <v>841</v>
      </c>
      <c r="D6" s="596">
        <v>1946.44</v>
      </c>
      <c r="E6" s="596">
        <v>2386.44</v>
      </c>
      <c r="F6" s="596">
        <v>2087.39</v>
      </c>
      <c r="G6" s="596">
        <v>2054.39</v>
      </c>
      <c r="H6" s="596">
        <v>3128.3900000000003</v>
      </c>
      <c r="I6" s="596">
        <v>2863.3900000000003</v>
      </c>
      <c r="J6" s="596">
        <v>3332.3900000000003</v>
      </c>
      <c r="K6" s="596">
        <v>3004.3900000000003</v>
      </c>
      <c r="L6" s="596">
        <v>3939.3900000000003</v>
      </c>
      <c r="M6" s="596">
        <v>3875.11</v>
      </c>
      <c r="N6" s="596">
        <v>3111.11</v>
      </c>
      <c r="O6" s="596">
        <v>3001.9700000000003</v>
      </c>
      <c r="P6" s="594">
        <f>ROUND(SUM(D6:O6)/12,0)</f>
        <v>2894</v>
      </c>
      <c r="Q6" s="594">
        <v>2541</v>
      </c>
    </row>
    <row r="7" spans="1:17" outlineLevel="1" x14ac:dyDescent="0.35">
      <c r="A7" s="1006" t="s">
        <v>22</v>
      </c>
      <c r="B7" s="993"/>
      <c r="C7" s="994" t="s">
        <v>840</v>
      </c>
      <c r="D7" s="600">
        <v>1100.79</v>
      </c>
      <c r="E7" s="600">
        <v>1262.79</v>
      </c>
      <c r="F7" s="600">
        <v>1526.69</v>
      </c>
      <c r="G7" s="600">
        <v>1827.79</v>
      </c>
      <c r="H7" s="600">
        <v>1997.09</v>
      </c>
      <c r="I7" s="600">
        <v>2082.84</v>
      </c>
      <c r="J7" s="600">
        <v>2136.84</v>
      </c>
      <c r="K7" s="600">
        <v>2434.34</v>
      </c>
      <c r="L7" s="600">
        <v>2511.34</v>
      </c>
      <c r="M7" s="600">
        <v>2591.84</v>
      </c>
      <c r="N7" s="600">
        <v>2857.8599999999997</v>
      </c>
      <c r="O7" s="600">
        <v>2938.99</v>
      </c>
      <c r="P7" s="599">
        <f>ROUND(SUM(D7:O7)/12,0)</f>
        <v>2106</v>
      </c>
      <c r="Q7" s="599">
        <v>1626</v>
      </c>
    </row>
    <row r="8" spans="1:17" outlineLevel="1" x14ac:dyDescent="0.35">
      <c r="A8" s="994"/>
      <c r="B8" s="993"/>
      <c r="C8" s="994" t="s">
        <v>393</v>
      </c>
      <c r="D8" s="995">
        <f>D6+D7</f>
        <v>3047.23</v>
      </c>
      <c r="E8" s="995">
        <f t="shared" ref="E8:Q8" si="0">E6+E7</f>
        <v>3649.23</v>
      </c>
      <c r="F8" s="995">
        <f t="shared" si="0"/>
        <v>3614.08</v>
      </c>
      <c r="G8" s="995">
        <f t="shared" si="0"/>
        <v>3882.18</v>
      </c>
      <c r="H8" s="995">
        <f t="shared" si="0"/>
        <v>5125.4800000000005</v>
      </c>
      <c r="I8" s="995">
        <f t="shared" si="0"/>
        <v>4946.2300000000005</v>
      </c>
      <c r="J8" s="995">
        <f t="shared" si="0"/>
        <v>5469.2300000000005</v>
      </c>
      <c r="K8" s="995">
        <f t="shared" si="0"/>
        <v>5438.7300000000005</v>
      </c>
      <c r="L8" s="995">
        <f t="shared" si="0"/>
        <v>6450.7300000000005</v>
      </c>
      <c r="M8" s="995">
        <f t="shared" si="0"/>
        <v>6466.9500000000007</v>
      </c>
      <c r="N8" s="995">
        <f t="shared" si="0"/>
        <v>5968.9699999999993</v>
      </c>
      <c r="O8" s="995">
        <f t="shared" si="0"/>
        <v>5940.96</v>
      </c>
      <c r="P8" s="995">
        <f t="shared" si="0"/>
        <v>5000</v>
      </c>
      <c r="Q8" s="995">
        <f t="shared" si="0"/>
        <v>4167</v>
      </c>
    </row>
    <row r="9" spans="1:17" outlineLevel="1" x14ac:dyDescent="0.35">
      <c r="A9" s="299"/>
      <c r="B9" s="993"/>
      <c r="C9" s="994" t="s">
        <v>842</v>
      </c>
      <c r="D9" s="540">
        <f>D6/D$8</f>
        <v>0.63875716634451618</v>
      </c>
      <c r="E9" s="540">
        <f>E6/E$8</f>
        <v>0.65395713616297135</v>
      </c>
      <c r="F9" s="540">
        <f t="shared" ref="F9:Q9" si="1">F6/F$8</f>
        <v>0.57757160881884184</v>
      </c>
      <c r="G9" s="540">
        <f t="shared" si="1"/>
        <v>0.52918463337609278</v>
      </c>
      <c r="H9" s="540">
        <f t="shared" si="1"/>
        <v>0.6103603955141762</v>
      </c>
      <c r="I9" s="540">
        <f t="shared" si="1"/>
        <v>0.57890352854598348</v>
      </c>
      <c r="J9" s="540">
        <f t="shared" si="1"/>
        <v>0.60929783534428061</v>
      </c>
      <c r="K9" s="540">
        <f t="shared" si="1"/>
        <v>0.55240653608471102</v>
      </c>
      <c r="L9" s="540">
        <f t="shared" si="1"/>
        <v>0.61068902279276915</v>
      </c>
      <c r="M9" s="540">
        <f t="shared" si="1"/>
        <v>0.59921756005535831</v>
      </c>
      <c r="N9" s="540">
        <f t="shared" si="1"/>
        <v>0.52121387777120687</v>
      </c>
      <c r="O9" s="540">
        <f t="shared" si="1"/>
        <v>0.50530049015647305</v>
      </c>
      <c r="P9" s="540">
        <f t="shared" si="1"/>
        <v>0.57879999999999998</v>
      </c>
      <c r="Q9" s="540">
        <f t="shared" si="1"/>
        <v>0.60979121670266379</v>
      </c>
    </row>
    <row r="10" spans="1:17" outlineLevel="1" x14ac:dyDescent="0.35">
      <c r="A10" s="299"/>
      <c r="B10" s="996"/>
      <c r="C10" s="997" t="s">
        <v>843</v>
      </c>
      <c r="D10" s="540">
        <f>D7/D$8</f>
        <v>0.36124283365548382</v>
      </c>
      <c r="E10" s="540">
        <f>E7/E$8</f>
        <v>0.34604286383702865</v>
      </c>
      <c r="F10" s="540">
        <f t="shared" ref="F10:Q10" si="2">F7/F$8</f>
        <v>0.42242839118115816</v>
      </c>
      <c r="G10" s="540">
        <f t="shared" si="2"/>
        <v>0.47081536662390722</v>
      </c>
      <c r="H10" s="540">
        <f t="shared" si="2"/>
        <v>0.38963960448582369</v>
      </c>
      <c r="I10" s="540">
        <f t="shared" si="2"/>
        <v>0.42109647145401646</v>
      </c>
      <c r="J10" s="540">
        <f t="shared" si="2"/>
        <v>0.39070216465571933</v>
      </c>
      <c r="K10" s="540">
        <f t="shared" si="2"/>
        <v>0.44759346391528904</v>
      </c>
      <c r="L10" s="540">
        <f t="shared" si="2"/>
        <v>0.38931097720723079</v>
      </c>
      <c r="M10" s="540">
        <f t="shared" si="2"/>
        <v>0.40078243994464158</v>
      </c>
      <c r="N10" s="540">
        <f t="shared" si="2"/>
        <v>0.47878612222879324</v>
      </c>
      <c r="O10" s="540">
        <f t="shared" si="2"/>
        <v>0.49469950984352695</v>
      </c>
      <c r="P10" s="540">
        <f t="shared" si="2"/>
        <v>0.42120000000000002</v>
      </c>
      <c r="Q10" s="540">
        <f t="shared" si="2"/>
        <v>0.39020878329733621</v>
      </c>
    </row>
    <row r="11" spans="1:17" outlineLevel="1" x14ac:dyDescent="0.35">
      <c r="A11" s="1005" t="s">
        <v>26</v>
      </c>
      <c r="B11" s="998"/>
      <c r="C11" s="999" t="s">
        <v>844</v>
      </c>
      <c r="D11" s="1007">
        <f>'03. TH_ XK-B2B'!F5</f>
        <v>2553.1</v>
      </c>
      <c r="E11" s="1007">
        <f>'03. TH_ XK-B2B'!G5</f>
        <v>3944</v>
      </c>
      <c r="F11" s="1007">
        <f>'03. TH_ XK-B2B'!H5</f>
        <v>3259.15</v>
      </c>
      <c r="G11" s="1007">
        <f>'03. TH_ XK-B2B'!I5</f>
        <v>2811</v>
      </c>
      <c r="H11" s="1007">
        <f>'03. TH_ XK-B2B'!J5</f>
        <v>3493</v>
      </c>
      <c r="I11" s="1007">
        <f>'03. TH_ XK-B2B'!K5</f>
        <v>2248.125</v>
      </c>
      <c r="J11" s="1007">
        <f>'03. TH_ XK-B2B'!L5</f>
        <v>2750.4</v>
      </c>
      <c r="K11" s="1007">
        <f>'03. TH_ XK-B2B'!M5</f>
        <v>2986.3</v>
      </c>
      <c r="L11" s="1007">
        <f>'03. TH_ XK-B2B'!N5</f>
        <v>794</v>
      </c>
      <c r="M11" s="1007">
        <f>'03. TH_ XK-B2B'!O5</f>
        <v>0</v>
      </c>
      <c r="N11" s="1007">
        <f>'03. TH_ XK-B2B'!P5</f>
        <v>0</v>
      </c>
      <c r="O11" s="1007">
        <f>'03. TH_ XK-B2B'!Q5</f>
        <v>0</v>
      </c>
      <c r="P11" s="1007">
        <f>SUM(D11:O11)/COUNTIF(D11:O11,"&lt;&gt;0")</f>
        <v>2759.8972222222224</v>
      </c>
      <c r="Q11" s="1007">
        <v>1664.6812499999999</v>
      </c>
    </row>
    <row r="12" spans="1:17" outlineLevel="1" x14ac:dyDescent="0.35">
      <c r="A12" s="1005" t="s">
        <v>22</v>
      </c>
      <c r="B12" s="1000"/>
      <c r="C12" s="1001" t="s">
        <v>845</v>
      </c>
      <c r="D12" s="543">
        <f>'03. TH_ XK-B2B'!F21</f>
        <v>934.89930000000004</v>
      </c>
      <c r="E12" s="543">
        <f>'03. TH_ XK-B2B'!G21</f>
        <v>1532.675</v>
      </c>
      <c r="F12" s="543">
        <f>'03. TH_ XK-B2B'!H21</f>
        <v>1320.8999999999999</v>
      </c>
      <c r="G12" s="543">
        <f>'03. TH_ XK-B2B'!I21</f>
        <v>1039.925</v>
      </c>
      <c r="H12" s="543">
        <f>'03. TH_ XK-B2B'!J21</f>
        <v>1089.7242999999999</v>
      </c>
      <c r="I12" s="543">
        <f>'03. TH_ XK-B2B'!K21</f>
        <v>1425.0830000000001</v>
      </c>
      <c r="J12" s="543">
        <f>'03. TH_ XK-B2B'!L21</f>
        <v>1810.0240999999999</v>
      </c>
      <c r="K12" s="543">
        <f>'03. TH_ XK-B2B'!M21</f>
        <v>2203.0680000000002</v>
      </c>
      <c r="L12" s="543">
        <f>'03. TH_ XK-B2B'!N21</f>
        <v>1863.0430000000001</v>
      </c>
      <c r="M12" s="543">
        <f>'03. TH_ XK-B2B'!O21</f>
        <v>0</v>
      </c>
      <c r="N12" s="543">
        <f>'03. TH_ XK-B2B'!P21</f>
        <v>0</v>
      </c>
      <c r="O12" s="543">
        <f>'03. TH_ XK-B2B'!Q21</f>
        <v>0</v>
      </c>
      <c r="P12" s="543">
        <f>SUM(D12:O12)/COUNTIF(D12:O12,"&lt;&gt;0")</f>
        <v>1468.8157444444444</v>
      </c>
      <c r="Q12" s="543">
        <v>1248.4244333333336</v>
      </c>
    </row>
    <row r="13" spans="1:17" outlineLevel="1" x14ac:dyDescent="0.35">
      <c r="A13" s="1001"/>
      <c r="B13" s="1000"/>
      <c r="C13" s="1001" t="s">
        <v>396</v>
      </c>
      <c r="D13" s="1008">
        <f>D11+D12</f>
        <v>3487.9992999999999</v>
      </c>
      <c r="E13" s="1002">
        <f t="shared" ref="E13:Q13" si="3">E11+E12</f>
        <v>5476.6750000000002</v>
      </c>
      <c r="F13" s="1002">
        <f t="shared" si="3"/>
        <v>4580.05</v>
      </c>
      <c r="G13" s="1002">
        <f t="shared" si="3"/>
        <v>3850.9250000000002</v>
      </c>
      <c r="H13" s="1002">
        <f t="shared" si="3"/>
        <v>4582.7242999999999</v>
      </c>
      <c r="I13" s="1002">
        <f t="shared" si="3"/>
        <v>3673.2080000000001</v>
      </c>
      <c r="J13" s="1002">
        <f t="shared" si="3"/>
        <v>4560.4241000000002</v>
      </c>
      <c r="K13" s="1002">
        <f t="shared" si="3"/>
        <v>5189.3680000000004</v>
      </c>
      <c r="L13" s="1002">
        <f t="shared" si="3"/>
        <v>2657.0430000000001</v>
      </c>
      <c r="M13" s="1002">
        <f t="shared" si="3"/>
        <v>0</v>
      </c>
      <c r="N13" s="1002">
        <f t="shared" si="3"/>
        <v>0</v>
      </c>
      <c r="O13" s="1002">
        <f t="shared" si="3"/>
        <v>0</v>
      </c>
      <c r="P13" s="1002">
        <f t="shared" si="3"/>
        <v>4228.7129666666669</v>
      </c>
      <c r="Q13" s="1002">
        <f t="shared" si="3"/>
        <v>2913.1056833333332</v>
      </c>
    </row>
    <row r="14" spans="1:17" outlineLevel="1" x14ac:dyDescent="0.35">
      <c r="A14" s="302"/>
      <c r="B14" s="1000"/>
      <c r="C14" s="1001" t="s">
        <v>846</v>
      </c>
      <c r="D14" s="545">
        <f>IFERROR(D11/D$13,0)</f>
        <v>0.73196689001629101</v>
      </c>
      <c r="E14" s="545">
        <f t="shared" ref="E14:Q14" si="4">IFERROR(E11/E$13,0)</f>
        <v>0.72014497847690429</v>
      </c>
      <c r="F14" s="545">
        <f t="shared" si="4"/>
        <v>0.71159703496686721</v>
      </c>
      <c r="G14" s="545">
        <f t="shared" si="4"/>
        <v>0.72995449145335212</v>
      </c>
      <c r="H14" s="545">
        <f t="shared" si="4"/>
        <v>0.7622103734235115</v>
      </c>
      <c r="I14" s="545">
        <f t="shared" si="4"/>
        <v>0.61203313289092254</v>
      </c>
      <c r="J14" s="545">
        <f t="shared" si="4"/>
        <v>0.60310180362392174</v>
      </c>
      <c r="K14" s="545">
        <f t="shared" si="4"/>
        <v>0.57546506626625826</v>
      </c>
      <c r="L14" s="545">
        <f t="shared" si="4"/>
        <v>0.29882843446643503</v>
      </c>
      <c r="M14" s="545">
        <f t="shared" si="4"/>
        <v>0</v>
      </c>
      <c r="N14" s="545">
        <f t="shared" si="4"/>
        <v>0</v>
      </c>
      <c r="O14" s="545">
        <f t="shared" si="4"/>
        <v>0</v>
      </c>
      <c r="P14" s="545">
        <f t="shared" si="4"/>
        <v>0.65265655152701085</v>
      </c>
      <c r="Q14" s="545">
        <f t="shared" si="4"/>
        <v>0.57144553990062641</v>
      </c>
    </row>
    <row r="15" spans="1:17" outlineLevel="1" x14ac:dyDescent="0.35">
      <c r="A15" s="302"/>
      <c r="B15" s="1003"/>
      <c r="C15" s="1004" t="s">
        <v>847</v>
      </c>
      <c r="D15" s="546">
        <f>IFERROR(D12/D$13,0)</f>
        <v>0.26803310998370899</v>
      </c>
      <c r="E15" s="546">
        <f t="shared" ref="E15:Q15" si="5">IFERROR(E12/E$13,0)</f>
        <v>0.27985502152309566</v>
      </c>
      <c r="F15" s="546">
        <f t="shared" si="5"/>
        <v>0.28840296503313279</v>
      </c>
      <c r="G15" s="546">
        <f t="shared" si="5"/>
        <v>0.27004550854664788</v>
      </c>
      <c r="H15" s="546">
        <f t="shared" si="5"/>
        <v>0.23778962657648856</v>
      </c>
      <c r="I15" s="546">
        <f t="shared" si="5"/>
        <v>0.38796686710907741</v>
      </c>
      <c r="J15" s="546">
        <f t="shared" si="5"/>
        <v>0.39689819637607821</v>
      </c>
      <c r="K15" s="546">
        <f t="shared" si="5"/>
        <v>0.42453493373374179</v>
      </c>
      <c r="L15" s="546">
        <f t="shared" si="5"/>
        <v>0.70117156553356497</v>
      </c>
      <c r="M15" s="546">
        <f t="shared" si="5"/>
        <v>0</v>
      </c>
      <c r="N15" s="546">
        <f t="shared" si="5"/>
        <v>0</v>
      </c>
      <c r="O15" s="546">
        <f t="shared" si="5"/>
        <v>0</v>
      </c>
      <c r="P15" s="546">
        <f t="shared" si="5"/>
        <v>0.34734344847298909</v>
      </c>
      <c r="Q15" s="546">
        <f t="shared" si="5"/>
        <v>0.42855446009937365</v>
      </c>
    </row>
    <row r="16" spans="1:17" outlineLevel="1" x14ac:dyDescent="0.35"/>
    <row r="41" spans="1:21" x14ac:dyDescent="0.35">
      <c r="B41" s="1295" t="s">
        <v>258</v>
      </c>
      <c r="C41" s="878" t="s">
        <v>300</v>
      </c>
      <c r="D41" s="878"/>
      <c r="E41" s="878" t="s">
        <v>787</v>
      </c>
      <c r="F41" s="878"/>
    </row>
    <row r="42" spans="1:21" x14ac:dyDescent="0.35">
      <c r="B42" s="1295"/>
      <c r="C42" s="879">
        <v>2024</v>
      </c>
      <c r="D42" s="879">
        <v>2025</v>
      </c>
      <c r="E42" s="879">
        <v>2024</v>
      </c>
      <c r="F42" s="879">
        <v>2025</v>
      </c>
    </row>
    <row r="43" spans="1:21" x14ac:dyDescent="0.35">
      <c r="B43" s="873" t="s">
        <v>260</v>
      </c>
      <c r="C43" s="562">
        <v>0.57144553990062641</v>
      </c>
      <c r="D43" s="562">
        <f>P14</f>
        <v>0.65265655152701085</v>
      </c>
      <c r="E43" s="330">
        <v>1664.6812499999999</v>
      </c>
      <c r="F43" s="330">
        <f>P11</f>
        <v>2759.8972222222224</v>
      </c>
    </row>
    <row r="44" spans="1:21" x14ac:dyDescent="0.35">
      <c r="B44" s="874" t="s">
        <v>261</v>
      </c>
      <c r="C44" s="563">
        <v>0.42855446009937365</v>
      </c>
      <c r="D44" s="563">
        <f>P15</f>
        <v>0.34734344847298909</v>
      </c>
      <c r="E44" s="487">
        <v>1248.4244333333336</v>
      </c>
      <c r="F44" s="487">
        <f>P12</f>
        <v>1468.8157444444444</v>
      </c>
      <c r="S44" s="252"/>
      <c r="T44" s="252"/>
      <c r="U44" s="252"/>
    </row>
    <row r="45" spans="1:21" x14ac:dyDescent="0.35">
      <c r="B45" s="875" t="s">
        <v>436</v>
      </c>
      <c r="C45" s="876">
        <f>SUM(C43:C44)</f>
        <v>1</v>
      </c>
      <c r="D45" s="876">
        <f t="shared" ref="D45:F45" si="6">SUM(D43:D44)</f>
        <v>1</v>
      </c>
      <c r="E45" s="877">
        <f t="shared" si="6"/>
        <v>2913.1056833333332</v>
      </c>
      <c r="F45" s="877">
        <f t="shared" si="6"/>
        <v>4228.7129666666669</v>
      </c>
      <c r="U45" s="252"/>
    </row>
    <row r="47" spans="1:21" ht="18.5" x14ac:dyDescent="0.45">
      <c r="B47" s="536"/>
    </row>
    <row r="48" spans="1:21" ht="17.5" x14ac:dyDescent="0.35">
      <c r="A48" s="556">
        <v>2</v>
      </c>
      <c r="B48" s="551" t="s">
        <v>590</v>
      </c>
    </row>
    <row r="50" spans="1:16" hidden="1" outlineLevel="1" x14ac:dyDescent="0.35">
      <c r="B50" s="988"/>
      <c r="C50" s="989"/>
      <c r="D50" s="990">
        <v>1</v>
      </c>
      <c r="E50" s="990">
        <v>2</v>
      </c>
      <c r="F50" s="990">
        <v>3</v>
      </c>
      <c r="G50" s="990">
        <v>4</v>
      </c>
      <c r="H50" s="990">
        <v>5</v>
      </c>
      <c r="I50" s="990">
        <v>6</v>
      </c>
      <c r="J50" s="990">
        <v>7</v>
      </c>
      <c r="K50" s="990">
        <v>8</v>
      </c>
      <c r="L50" s="990">
        <v>9</v>
      </c>
      <c r="M50" s="990">
        <v>10</v>
      </c>
      <c r="N50" s="990">
        <v>11</v>
      </c>
      <c r="O50" s="990">
        <v>12</v>
      </c>
      <c r="P50" s="990" t="s">
        <v>589</v>
      </c>
    </row>
    <row r="51" spans="1:16" hidden="1" outlineLevel="1" x14ac:dyDescent="0.35">
      <c r="A51" s="1006" t="s">
        <v>26</v>
      </c>
      <c r="B51" s="1011"/>
      <c r="C51" s="1012" t="s">
        <v>848</v>
      </c>
      <c r="D51" s="595">
        <v>0.25970653362731672</v>
      </c>
      <c r="E51" s="595">
        <v>0.17646057929276038</v>
      </c>
      <c r="F51" s="595">
        <v>0.12509243723640243</v>
      </c>
      <c r="G51" s="595">
        <v>0.17322429792138749</v>
      </c>
      <c r="H51" s="595">
        <v>1.4312599285364805E-2</v>
      </c>
      <c r="I51" s="595">
        <v>0.19060901681326919</v>
      </c>
      <c r="J51" s="595">
        <v>8.5802928713318988E-2</v>
      </c>
      <c r="K51" s="595">
        <v>5.9290999491207842E-2</v>
      </c>
      <c r="L51" s="595">
        <v>8.4097013576609744E-2</v>
      </c>
      <c r="M51" s="595">
        <v>0.10148782954127224</v>
      </c>
      <c r="N51" s="595">
        <v>0.2352830280610155</v>
      </c>
      <c r="O51" s="595">
        <v>0.15107775621500366</v>
      </c>
      <c r="P51" s="595">
        <v>0.12394491857034622</v>
      </c>
    </row>
    <row r="52" spans="1:16" hidden="1" outlineLevel="1" x14ac:dyDescent="0.35">
      <c r="A52" s="1006" t="s">
        <v>22</v>
      </c>
      <c r="B52" s="991"/>
      <c r="C52" s="992" t="s">
        <v>849</v>
      </c>
      <c r="D52" s="540">
        <v>0.26564219574678111</v>
      </c>
      <c r="E52" s="540">
        <v>0.24815775136411664</v>
      </c>
      <c r="F52" s="540">
        <v>0.22309115029751672</v>
      </c>
      <c r="G52" s="540">
        <v>0.21898652710741304</v>
      </c>
      <c r="H52" s="540">
        <v>0.19941571242268782</v>
      </c>
      <c r="I52" s="540">
        <v>0.16514690043615599</v>
      </c>
      <c r="J52" s="540">
        <v>0.14512295506931064</v>
      </c>
      <c r="K52" s="540">
        <v>0.17098660113380226</v>
      </c>
      <c r="L52" s="540">
        <v>0.19749339760015402</v>
      </c>
      <c r="M52" s="540">
        <v>0.17634673756951258</v>
      </c>
      <c r="N52" s="540">
        <v>0.21545845169566272</v>
      </c>
      <c r="O52" s="540">
        <v>0.22489194097755089</v>
      </c>
      <c r="P52" s="540">
        <v>0.20478713773037513</v>
      </c>
    </row>
    <row r="53" spans="1:16" hidden="1" outlineLevel="1" x14ac:dyDescent="0.35">
      <c r="A53" s="994"/>
      <c r="B53" s="993"/>
      <c r="C53" s="994" t="s">
        <v>850</v>
      </c>
      <c r="D53" s="1009">
        <f>D51+D52</f>
        <v>0.52534872937409782</v>
      </c>
      <c r="E53" s="1009">
        <f t="shared" ref="E53:P53" si="7">E51+E52</f>
        <v>0.42461833065687704</v>
      </c>
      <c r="F53" s="1009">
        <f t="shared" si="7"/>
        <v>0.34818358753391915</v>
      </c>
      <c r="G53" s="1009">
        <f t="shared" si="7"/>
        <v>0.39221082502880056</v>
      </c>
      <c r="H53" s="1009">
        <f t="shared" si="7"/>
        <v>0.21372831170805262</v>
      </c>
      <c r="I53" s="1009">
        <f t="shared" si="7"/>
        <v>0.35575591724942518</v>
      </c>
      <c r="J53" s="1009">
        <f t="shared" si="7"/>
        <v>0.23092588378262963</v>
      </c>
      <c r="K53" s="1009">
        <f t="shared" si="7"/>
        <v>0.2302776006250101</v>
      </c>
      <c r="L53" s="1009">
        <f t="shared" si="7"/>
        <v>0.28159041117676376</v>
      </c>
      <c r="M53" s="1009">
        <f t="shared" si="7"/>
        <v>0.2778345671107848</v>
      </c>
      <c r="N53" s="1009">
        <f t="shared" si="7"/>
        <v>0.45074147975667822</v>
      </c>
      <c r="O53" s="1009">
        <f t="shared" si="7"/>
        <v>0.37596969719255457</v>
      </c>
      <c r="P53" s="1009">
        <f t="shared" si="7"/>
        <v>0.32873205630072133</v>
      </c>
    </row>
    <row r="54" spans="1:16" hidden="1" outlineLevel="1" x14ac:dyDescent="0.35">
      <c r="A54" s="1005" t="s">
        <v>26</v>
      </c>
      <c r="B54" s="998"/>
      <c r="C54" s="999" t="s">
        <v>851</v>
      </c>
      <c r="D54" s="545">
        <f>'03. TH_ XK-B2B'!F127</f>
        <v>0.17510442075140906</v>
      </c>
      <c r="E54" s="545">
        <f>'03. TH_ XK-B2B'!G127</f>
        <v>0.19069424005672045</v>
      </c>
      <c r="F54" s="545">
        <f>'03. TH_ XK-B2B'!H127</f>
        <v>0.16377082910109309</v>
      </c>
      <c r="G54" s="545">
        <f>'03. TH_ XK-B2B'!I127</f>
        <v>0.15850812552046153</v>
      </c>
      <c r="H54" s="545">
        <f>'03. TH_ XK-B2B'!J127</f>
        <v>0.16706575989158043</v>
      </c>
      <c r="I54" s="545">
        <f>'03. TH_ XK-B2B'!K127</f>
        <v>0.11233662295005312</v>
      </c>
      <c r="J54" s="545">
        <f>'03. TH_ XK-B2B'!L127</f>
        <v>0.11022657540260901</v>
      </c>
      <c r="K54" s="545">
        <f>'03. TH_ XK-B2B'!M127</f>
        <v>0.12119967407575975</v>
      </c>
      <c r="L54" s="545">
        <f>'03. TH_ XK-B2B'!N127</f>
        <v>0.11930270370466908</v>
      </c>
      <c r="M54" s="545" t="str">
        <f>'03. TH_ XK-B2B'!O127</f>
        <v>-</v>
      </c>
      <c r="N54" s="545" t="str">
        <f>'03. TH_ XK-B2B'!P127</f>
        <v>-</v>
      </c>
      <c r="O54" s="545" t="str">
        <f>'03. TH_ XK-B2B'!Q127</f>
        <v>-</v>
      </c>
      <c r="P54" s="545">
        <f>'03. TH_ XK-B2B'!R127</f>
        <v>0.15616393445942589</v>
      </c>
    </row>
    <row r="55" spans="1:16" hidden="1" outlineLevel="1" x14ac:dyDescent="0.35">
      <c r="A55" s="1005" t="s">
        <v>22</v>
      </c>
      <c r="B55" s="1000"/>
      <c r="C55" s="1001" t="s">
        <v>852</v>
      </c>
      <c r="D55" s="545">
        <f>'03. TH_ XK-B2B'!F137</f>
        <v>0.21155775061817098</v>
      </c>
      <c r="E55" s="545">
        <f>'03. TH_ XK-B2B'!G137</f>
        <v>0.21707110878897382</v>
      </c>
      <c r="F55" s="545">
        <f>'03. TH_ XK-B2B'!H137</f>
        <v>0.15002949660166304</v>
      </c>
      <c r="G55" s="545">
        <f>'03. TH_ XK-B2B'!I137</f>
        <v>0.14106174340601929</v>
      </c>
      <c r="H55" s="545">
        <f>'03. TH_ XK-B2B'!J137</f>
        <v>0.11865867868490293</v>
      </c>
      <c r="I55" s="545">
        <f>'03. TH_ XK-B2B'!K137</f>
        <v>0.11099989565385845</v>
      </c>
      <c r="J55" s="1184">
        <f>'03. TH_ XK-B2B'!L137</f>
        <v>2.0089104004967665E-4</v>
      </c>
      <c r="K55" s="545">
        <f>'03. TH_ XK-B2B'!M137</f>
        <v>7.3426932680074719E-2</v>
      </c>
      <c r="L55" s="545">
        <f>'03. TH_ XK-B2B'!N137</f>
        <v>1.3201573478373516E-3</v>
      </c>
      <c r="M55" s="545" t="str">
        <f>'03. TH_ XK-B2B'!O137</f>
        <v>-</v>
      </c>
      <c r="N55" s="545" t="str">
        <f>'03. TH_ XK-B2B'!P137</f>
        <v>-</v>
      </c>
      <c r="O55" s="545" t="str">
        <f>'03. TH_ XK-B2B'!Q137</f>
        <v>-</v>
      </c>
      <c r="P55" s="545">
        <f>'03. TH_ XK-B2B'!R137</f>
        <v>0.108129925928706</v>
      </c>
    </row>
    <row r="56" spans="1:16" hidden="1" outlineLevel="1" x14ac:dyDescent="0.35">
      <c r="A56" s="1001"/>
      <c r="B56" s="1003"/>
      <c r="C56" s="1004" t="s">
        <v>381</v>
      </c>
      <c r="D56" s="1010">
        <f>IFERROR(D54+D55,0)</f>
        <v>0.38666217136958003</v>
      </c>
      <c r="E56" s="1010">
        <f t="shared" ref="E56:P56" si="8">IFERROR(E54+E55,0)</f>
        <v>0.40776534884569426</v>
      </c>
      <c r="F56" s="1010">
        <f t="shared" si="8"/>
        <v>0.31380032570275612</v>
      </c>
      <c r="G56" s="1010">
        <f t="shared" si="8"/>
        <v>0.29956986892648085</v>
      </c>
      <c r="H56" s="1010">
        <f t="shared" si="8"/>
        <v>0.28572443857648333</v>
      </c>
      <c r="I56" s="1010">
        <f t="shared" si="8"/>
        <v>0.22333651860391157</v>
      </c>
      <c r="J56" s="1010">
        <f t="shared" si="8"/>
        <v>0.11042746644265869</v>
      </c>
      <c r="K56" s="1010">
        <f t="shared" si="8"/>
        <v>0.19462660675583449</v>
      </c>
      <c r="L56" s="1010">
        <f t="shared" si="8"/>
        <v>0.12062286105250644</v>
      </c>
      <c r="M56" s="1010">
        <f t="shared" si="8"/>
        <v>0</v>
      </c>
      <c r="N56" s="1010">
        <f t="shared" si="8"/>
        <v>0</v>
      </c>
      <c r="O56" s="1010">
        <f t="shared" si="8"/>
        <v>0</v>
      </c>
      <c r="P56" s="1010">
        <f t="shared" si="8"/>
        <v>0.26429386038813191</v>
      </c>
    </row>
    <row r="57" spans="1:16" hidden="1" outlineLevel="1" x14ac:dyDescent="0.35"/>
    <row r="58" spans="1:16" collapsed="1" x14ac:dyDescent="0.35"/>
    <row r="62" spans="1:16" hidden="1" x14ac:dyDescent="0.35"/>
    <row r="63" spans="1:16" hidden="1" x14ac:dyDescent="0.35"/>
    <row r="64" spans="1:16" hidden="1" x14ac:dyDescent="0.35"/>
    <row r="65" hidden="1" x14ac:dyDescent="0.35"/>
    <row r="66" hidden="1" x14ac:dyDescent="0.35"/>
    <row r="67" hidden="1" x14ac:dyDescent="0.35"/>
    <row r="68" hidden="1" x14ac:dyDescent="0.35"/>
    <row r="69" hidden="1" x14ac:dyDescent="0.35"/>
    <row r="70" hidden="1" x14ac:dyDescent="0.35"/>
    <row r="71" hidden="1" x14ac:dyDescent="0.35"/>
    <row r="72" hidden="1" x14ac:dyDescent="0.35"/>
    <row r="73" hidden="1" x14ac:dyDescent="0.35"/>
    <row r="74" hidden="1" x14ac:dyDescent="0.35"/>
    <row r="75" hidden="1" x14ac:dyDescent="0.35"/>
    <row r="76" hidden="1" x14ac:dyDescent="0.35"/>
    <row r="77" hidden="1" x14ac:dyDescent="0.35"/>
    <row r="78" hidden="1" x14ac:dyDescent="0.35"/>
    <row r="79" hidden="1" x14ac:dyDescent="0.35"/>
    <row r="80" hidden="1" x14ac:dyDescent="0.35"/>
    <row r="81" hidden="1" x14ac:dyDescent="0.35"/>
    <row r="82" hidden="1" x14ac:dyDescent="0.35"/>
    <row r="83" hidden="1" x14ac:dyDescent="0.35"/>
    <row r="84" hidden="1" x14ac:dyDescent="0.35"/>
    <row r="85" hidden="1" x14ac:dyDescent="0.35"/>
    <row r="104" spans="2:4" x14ac:dyDescent="0.35">
      <c r="B104" s="1295" t="s">
        <v>258</v>
      </c>
      <c r="C104" s="878" t="s">
        <v>786</v>
      </c>
      <c r="D104" s="878"/>
    </row>
    <row r="105" spans="2:4" x14ac:dyDescent="0.35">
      <c r="B105" s="1295"/>
      <c r="C105" s="879">
        <v>2024</v>
      </c>
      <c r="D105" s="879">
        <v>2025</v>
      </c>
    </row>
    <row r="106" spans="2:4" x14ac:dyDescent="0.35">
      <c r="B106" s="873" t="s">
        <v>260</v>
      </c>
      <c r="C106" s="922">
        <f>P51</f>
        <v>0.12394491857034622</v>
      </c>
      <c r="D106" s="922">
        <f>P54</f>
        <v>0.15616393445942589</v>
      </c>
    </row>
    <row r="107" spans="2:4" x14ac:dyDescent="0.35">
      <c r="B107" s="874" t="s">
        <v>261</v>
      </c>
      <c r="C107" s="923">
        <f>P52</f>
        <v>0.20478713773037513</v>
      </c>
      <c r="D107" s="923">
        <f>P55</f>
        <v>0.108129925928706</v>
      </c>
    </row>
    <row r="108" spans="2:4" x14ac:dyDescent="0.35">
      <c r="B108" s="875" t="s">
        <v>589</v>
      </c>
      <c r="C108" s="924">
        <f>'03. TH_ XK-B2B'!AW139</f>
        <v>0.1606593448089029</v>
      </c>
      <c r="D108" s="924">
        <f>'03. TH_ XK-B2B'!S139</f>
        <v>0.13153297845185252</v>
      </c>
    </row>
  </sheetData>
  <mergeCells count="2">
    <mergeCell ref="B41:B42"/>
    <mergeCell ref="B104:B105"/>
  </mergeCells>
  <hyperlinks>
    <hyperlink ref="A1" location="'00. DM'!A1" display="00. DM" xr:uid="{059D0A70-D5B4-4F47-8ECB-764DA9A4C34E}"/>
  </hyperlink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0552E-4E3A-4D35-A8B9-A790D39C5063}">
  <sheetPr>
    <tabColor theme="0" tint="-0.14999847407452621"/>
  </sheetPr>
  <dimension ref="A1:AD87"/>
  <sheetViews>
    <sheetView zoomScale="85" zoomScaleNormal="85" workbookViewId="0">
      <pane xSplit="2" ySplit="5" topLeftCell="C72" activePane="bottomRight" state="frozen"/>
      <selection pane="topRight" activeCell="C1" sqref="C1"/>
      <selection pane="bottomLeft" activeCell="A6" sqref="A6"/>
      <selection pane="bottomRight" activeCell="M8" sqref="M8"/>
    </sheetView>
  </sheetViews>
  <sheetFormatPr defaultRowHeight="14.5" x14ac:dyDescent="0.35"/>
  <cols>
    <col min="1" max="1" width="5.453125" customWidth="1"/>
    <col min="2" max="2" width="15.90625" customWidth="1"/>
    <col min="3" max="3" width="10.6328125" customWidth="1"/>
    <col min="4" max="4" width="10.1796875" bestFit="1" customWidth="1"/>
    <col min="5" max="5" width="8.90625" customWidth="1"/>
    <col min="6" max="6" width="8.54296875" customWidth="1"/>
    <col min="7" max="7" width="8.81640625" customWidth="1"/>
    <col min="8" max="8" width="9" customWidth="1"/>
    <col min="9" max="12" width="7.36328125" customWidth="1"/>
    <col min="13" max="13" width="9.453125" customWidth="1"/>
    <col min="14" max="26" width="7.36328125" customWidth="1"/>
    <col min="27" max="30" width="6.6328125" customWidth="1"/>
  </cols>
  <sheetData>
    <row r="1" spans="1:30" ht="20" x14ac:dyDescent="0.35">
      <c r="A1" s="528" t="s">
        <v>587</v>
      </c>
      <c r="B1" s="550"/>
      <c r="C1" s="550" t="s">
        <v>606</v>
      </c>
    </row>
    <row r="3" spans="1:30" ht="17.5" x14ac:dyDescent="0.35">
      <c r="A3" s="556">
        <v>1</v>
      </c>
      <c r="B3" s="551" t="s">
        <v>588</v>
      </c>
    </row>
    <row r="5" spans="1:30" x14ac:dyDescent="0.35">
      <c r="B5" s="538"/>
      <c r="C5" s="1297" t="s">
        <v>593</v>
      </c>
      <c r="D5" s="1297"/>
      <c r="E5" s="1297" t="s">
        <v>594</v>
      </c>
      <c r="F5" s="1297"/>
      <c r="G5" s="1297" t="s">
        <v>595</v>
      </c>
      <c r="H5" s="1297"/>
      <c r="I5" s="1297" t="s">
        <v>596</v>
      </c>
      <c r="J5" s="1297"/>
      <c r="K5" s="1297" t="s">
        <v>597</v>
      </c>
      <c r="L5" s="1297"/>
      <c r="M5" s="1297" t="s">
        <v>598</v>
      </c>
      <c r="N5" s="1297"/>
      <c r="O5" s="1297" t="s">
        <v>599</v>
      </c>
      <c r="P5" s="1297"/>
      <c r="Q5" s="1297" t="s">
        <v>600</v>
      </c>
      <c r="R5" s="1297"/>
      <c r="S5" s="1297" t="s">
        <v>601</v>
      </c>
      <c r="T5" s="1297"/>
      <c r="U5" s="1297" t="s">
        <v>602</v>
      </c>
      <c r="V5" s="1297"/>
      <c r="W5" s="1297" t="s">
        <v>603</v>
      </c>
      <c r="X5" s="1297"/>
      <c r="Y5" s="1297" t="s">
        <v>604</v>
      </c>
      <c r="Z5" s="1297"/>
      <c r="AA5" s="1299" t="s">
        <v>382</v>
      </c>
      <c r="AB5" s="1299"/>
      <c r="AC5" s="1298" t="s">
        <v>380</v>
      </c>
      <c r="AD5" s="1298"/>
    </row>
    <row r="6" spans="1:30" x14ac:dyDescent="0.35">
      <c r="B6" s="547"/>
      <c r="C6" s="539" t="s">
        <v>473</v>
      </c>
      <c r="D6" s="542" t="s">
        <v>474</v>
      </c>
      <c r="E6" s="539" t="s">
        <v>473</v>
      </c>
      <c r="F6" s="542" t="s">
        <v>474</v>
      </c>
      <c r="G6" s="539" t="s">
        <v>473</v>
      </c>
      <c r="H6" s="542" t="s">
        <v>474</v>
      </c>
      <c r="I6" s="539" t="s">
        <v>473</v>
      </c>
      <c r="J6" s="542" t="s">
        <v>474</v>
      </c>
      <c r="K6" s="539" t="s">
        <v>473</v>
      </c>
      <c r="L6" s="542" t="s">
        <v>474</v>
      </c>
      <c r="M6" s="539" t="s">
        <v>473</v>
      </c>
      <c r="N6" s="542" t="s">
        <v>474</v>
      </c>
      <c r="O6" s="539" t="s">
        <v>473</v>
      </c>
      <c r="P6" s="542" t="s">
        <v>474</v>
      </c>
      <c r="Q6" s="539" t="s">
        <v>473</v>
      </c>
      <c r="R6" s="542" t="s">
        <v>474</v>
      </c>
      <c r="S6" s="539" t="s">
        <v>473</v>
      </c>
      <c r="T6" s="542" t="s">
        <v>474</v>
      </c>
      <c r="U6" s="539" t="s">
        <v>473</v>
      </c>
      <c r="V6" s="542" t="s">
        <v>474</v>
      </c>
      <c r="W6" s="539" t="s">
        <v>473</v>
      </c>
      <c r="X6" s="542" t="s">
        <v>474</v>
      </c>
      <c r="Y6" s="539" t="s">
        <v>473</v>
      </c>
      <c r="Z6" s="542" t="s">
        <v>474</v>
      </c>
      <c r="AA6" s="539" t="s">
        <v>473</v>
      </c>
      <c r="AB6" s="542" t="s">
        <v>474</v>
      </c>
      <c r="AC6" s="539" t="s">
        <v>473</v>
      </c>
      <c r="AD6" s="542" t="s">
        <v>474</v>
      </c>
    </row>
    <row r="7" spans="1:30" x14ac:dyDescent="0.35">
      <c r="B7" s="548" t="s">
        <v>26</v>
      </c>
      <c r="C7" s="537">
        <f>'03. TH_ XK-B2B'!U5</f>
        <v>1946.44</v>
      </c>
      <c r="D7" s="543">
        <f>'03. TH_ XK-B2B'!F5</f>
        <v>2553.1</v>
      </c>
      <c r="E7" s="537">
        <f>'03. TH_ XK-B2B'!V5</f>
        <v>2386.44</v>
      </c>
      <c r="F7" s="543">
        <f>'03. TH_ XK-B2B'!G5</f>
        <v>3944</v>
      </c>
      <c r="G7" s="537">
        <f>'03. TH_ XK-B2B'!W5</f>
        <v>2087.39</v>
      </c>
      <c r="H7" s="543">
        <f>'03. TH_ XK-B2B'!H5</f>
        <v>3259.15</v>
      </c>
      <c r="I7" s="537">
        <f>'03. TH_ XK-B2B'!X5</f>
        <v>2054.39</v>
      </c>
      <c r="J7" s="543">
        <f>'03. TH_ XK-B2B'!I5</f>
        <v>2811</v>
      </c>
      <c r="K7" s="537">
        <f>'03. TH_ XK-B2B'!Y5</f>
        <v>3128.3900000000003</v>
      </c>
      <c r="L7" s="543">
        <f>'03. TH_ XK-B2B'!J5</f>
        <v>3493</v>
      </c>
      <c r="M7" s="537">
        <f>'03. TH_ XK-B2B'!Z5</f>
        <v>2863.3900000000003</v>
      </c>
      <c r="N7" s="543">
        <f>'03. TH_ XK-B2B'!K5</f>
        <v>2248.125</v>
      </c>
      <c r="O7" s="537">
        <f>'03. TH_ XK-B2B'!AA5</f>
        <v>3332.3900000000003</v>
      </c>
      <c r="P7" s="543">
        <f>'03. TH_ XK-B2B'!L5</f>
        <v>2750.4</v>
      </c>
      <c r="Q7" s="537">
        <f>'03. TH_ XK-B2B'!AB5</f>
        <v>3004.3900000000003</v>
      </c>
      <c r="R7" s="543">
        <f>'03. TH_ XK-B2B'!M5</f>
        <v>2986.3</v>
      </c>
      <c r="S7" s="537">
        <f>'03. TH_ XK-B2B'!AC5</f>
        <v>3939.3900000000003</v>
      </c>
      <c r="T7" s="543">
        <f>'03. TH_ XK-B2B'!N5</f>
        <v>794</v>
      </c>
      <c r="U7" s="537">
        <f>'03. TH_ XK-B2B'!AD5</f>
        <v>3875.11</v>
      </c>
      <c r="V7" s="543">
        <f>'03. TH_ XK-B2B'!O5</f>
        <v>0</v>
      </c>
      <c r="W7" s="537">
        <f>'03. TH_ XK-B2B'!AE5</f>
        <v>3111.11</v>
      </c>
      <c r="X7" s="543">
        <f>'03. TH_ XK-B2B'!P5</f>
        <v>0</v>
      </c>
      <c r="Y7" s="537">
        <f>'03. TH_ XK-B2B'!AF5</f>
        <v>3001.9700000000003</v>
      </c>
      <c r="Z7" s="543">
        <f>'03. TH_ XK-B2B'!Q5</f>
        <v>0</v>
      </c>
      <c r="AA7" s="537">
        <f>'03. TH_ XK-B2B'!AH5</f>
        <v>2894.2333333333331</v>
      </c>
      <c r="AB7" s="543">
        <f>'03. TH_ XK-B2B'!S5</f>
        <v>2943.2652777777776</v>
      </c>
      <c r="AC7" s="537">
        <v>2541</v>
      </c>
      <c r="AD7" s="543">
        <f>'03. TH_ XK-B2B'!AW5</f>
        <v>1664.6812499999999</v>
      </c>
    </row>
    <row r="8" spans="1:30" x14ac:dyDescent="0.35">
      <c r="B8" s="548" t="s">
        <v>22</v>
      </c>
      <c r="C8" s="537">
        <f>'03. TH_ XK-B2B'!U21</f>
        <v>1100.79</v>
      </c>
      <c r="D8" s="544">
        <f>'03. TH_ XK-B2B'!F21</f>
        <v>934.89930000000004</v>
      </c>
      <c r="E8" s="537">
        <f>'03. TH_ XK-B2B'!V21</f>
        <v>1262.79</v>
      </c>
      <c r="F8" s="544">
        <f>'03. TH_ XK-B2B'!G21</f>
        <v>1532.675</v>
      </c>
      <c r="G8" s="537">
        <f>'03. TH_ XK-B2B'!W21</f>
        <v>1526.69</v>
      </c>
      <c r="H8" s="544">
        <f>'03. TH_ XK-B2B'!H21</f>
        <v>1320.8999999999999</v>
      </c>
      <c r="I8" s="537">
        <f>'03. TH_ XK-B2B'!X21</f>
        <v>1827.79</v>
      </c>
      <c r="J8" s="544">
        <f>'03. TH_ XK-B2B'!I21</f>
        <v>1039.925</v>
      </c>
      <c r="K8" s="537">
        <f>'03. TH_ XK-B2B'!Y21</f>
        <v>1997.09</v>
      </c>
      <c r="L8" s="544">
        <f>'03. TH_ XK-B2B'!J21</f>
        <v>1089.7242999999999</v>
      </c>
      <c r="M8" s="537">
        <f>'03. TH_ XK-B2B'!Z21</f>
        <v>2082.84</v>
      </c>
      <c r="N8" s="544">
        <f>'03. TH_ XK-B2B'!K21</f>
        <v>1425.0830000000001</v>
      </c>
      <c r="O8" s="537">
        <f>'03. TH_ XK-B2B'!AA21</f>
        <v>2136.84</v>
      </c>
      <c r="P8" s="544">
        <f>'03. TH_ XK-B2B'!L21</f>
        <v>1810.0240999999999</v>
      </c>
      <c r="Q8" s="537">
        <f>'03. TH_ XK-B2B'!AB21</f>
        <v>2434.34</v>
      </c>
      <c r="R8" s="544">
        <f>'03. TH_ XK-B2B'!M21</f>
        <v>2203.0680000000002</v>
      </c>
      <c r="S8" s="537">
        <f>'03. TH_ XK-B2B'!AC21</f>
        <v>2511.34</v>
      </c>
      <c r="T8" s="544">
        <f>'03. TH_ XK-B2B'!N21</f>
        <v>1863.0430000000001</v>
      </c>
      <c r="U8" s="537">
        <f>'03. TH_ XK-B2B'!AD21</f>
        <v>2591.84</v>
      </c>
      <c r="V8" s="544">
        <f>'03. TH_ XK-B2B'!O21</f>
        <v>0</v>
      </c>
      <c r="W8" s="537">
        <f>'03. TH_ XK-B2B'!AE21</f>
        <v>2857.8599999999997</v>
      </c>
      <c r="X8" s="544">
        <f>'03. TH_ XK-B2B'!P21</f>
        <v>0</v>
      </c>
      <c r="Y8" s="537">
        <f>'03. TH_ XK-B2B'!AF21</f>
        <v>2938.99</v>
      </c>
      <c r="Z8" s="544">
        <f>'03. TH_ XK-B2B'!Q21</f>
        <v>0</v>
      </c>
      <c r="AA8" s="537">
        <f>'03. TH_ XK-B2B'!AH21</f>
        <v>2105.7666666666669</v>
      </c>
      <c r="AB8" s="544">
        <f>'03. TH_ XK-B2B'!S21</f>
        <v>1491.3577880952382</v>
      </c>
      <c r="AC8" s="537">
        <v>1626</v>
      </c>
      <c r="AD8" s="544">
        <f>'03. TH_ XK-B2B'!AW21</f>
        <v>1248.4244333333336</v>
      </c>
    </row>
    <row r="9" spans="1:30" x14ac:dyDescent="0.35">
      <c r="B9" s="548" t="s">
        <v>259</v>
      </c>
      <c r="C9" s="537">
        <f t="shared" ref="C9:AD9" si="0">SUM(C7:C8)</f>
        <v>3047.23</v>
      </c>
      <c r="D9" s="544">
        <f t="shared" si="0"/>
        <v>3487.9992999999999</v>
      </c>
      <c r="E9" s="537">
        <f t="shared" si="0"/>
        <v>3649.23</v>
      </c>
      <c r="F9" s="544">
        <f t="shared" si="0"/>
        <v>5476.6750000000002</v>
      </c>
      <c r="G9" s="537">
        <f t="shared" si="0"/>
        <v>3614.08</v>
      </c>
      <c r="H9" s="544">
        <f t="shared" si="0"/>
        <v>4580.05</v>
      </c>
      <c r="I9" s="537">
        <f t="shared" si="0"/>
        <v>3882.18</v>
      </c>
      <c r="J9" s="544">
        <f t="shared" si="0"/>
        <v>3850.9250000000002</v>
      </c>
      <c r="K9" s="537">
        <f t="shared" si="0"/>
        <v>5125.4800000000005</v>
      </c>
      <c r="L9" s="544">
        <f t="shared" si="0"/>
        <v>4582.7242999999999</v>
      </c>
      <c r="M9" s="537">
        <f t="shared" si="0"/>
        <v>4946.2300000000005</v>
      </c>
      <c r="N9" s="544">
        <f t="shared" si="0"/>
        <v>3673.2080000000001</v>
      </c>
      <c r="O9" s="537">
        <f t="shared" si="0"/>
        <v>5469.2300000000005</v>
      </c>
      <c r="P9" s="544">
        <f t="shared" si="0"/>
        <v>4560.4241000000002</v>
      </c>
      <c r="Q9" s="537">
        <f t="shared" si="0"/>
        <v>5438.7300000000005</v>
      </c>
      <c r="R9" s="544">
        <f t="shared" si="0"/>
        <v>5189.3680000000004</v>
      </c>
      <c r="S9" s="537">
        <f t="shared" si="0"/>
        <v>6450.7300000000005</v>
      </c>
      <c r="T9" s="544">
        <f t="shared" si="0"/>
        <v>2657.0430000000001</v>
      </c>
      <c r="U9" s="537">
        <f t="shared" si="0"/>
        <v>6466.9500000000007</v>
      </c>
      <c r="V9" s="544">
        <f t="shared" si="0"/>
        <v>0</v>
      </c>
      <c r="W9" s="537">
        <f t="shared" si="0"/>
        <v>5968.9699999999993</v>
      </c>
      <c r="X9" s="544">
        <f t="shared" si="0"/>
        <v>0</v>
      </c>
      <c r="Y9" s="537">
        <f t="shared" si="0"/>
        <v>5940.96</v>
      </c>
      <c r="Z9" s="544">
        <f t="shared" si="0"/>
        <v>0</v>
      </c>
      <c r="AA9" s="537">
        <f t="shared" si="0"/>
        <v>5000</v>
      </c>
      <c r="AB9" s="544">
        <f t="shared" si="0"/>
        <v>4434.6230658730155</v>
      </c>
      <c r="AC9" s="537">
        <f t="shared" si="0"/>
        <v>4167</v>
      </c>
      <c r="AD9" s="544">
        <f t="shared" si="0"/>
        <v>2913.1056833333332</v>
      </c>
    </row>
    <row r="10" spans="1:30" x14ac:dyDescent="0.35">
      <c r="B10" s="548" t="s">
        <v>475</v>
      </c>
      <c r="C10" s="540">
        <f t="shared" ref="C10:AD10" si="1">C7/C$9</f>
        <v>0.63875716634451618</v>
      </c>
      <c r="D10" s="545">
        <f t="shared" si="1"/>
        <v>0.73196689001629101</v>
      </c>
      <c r="E10" s="540">
        <f t="shared" si="1"/>
        <v>0.65395713616297135</v>
      </c>
      <c r="F10" s="545">
        <f t="shared" si="1"/>
        <v>0.72014497847690429</v>
      </c>
      <c r="G10" s="540">
        <f t="shared" si="1"/>
        <v>0.57757160881884184</v>
      </c>
      <c r="H10" s="545">
        <f t="shared" si="1"/>
        <v>0.71159703496686721</v>
      </c>
      <c r="I10" s="540">
        <f t="shared" si="1"/>
        <v>0.52918463337609278</v>
      </c>
      <c r="J10" s="545">
        <f t="shared" si="1"/>
        <v>0.72995449145335212</v>
      </c>
      <c r="K10" s="540">
        <f t="shared" si="1"/>
        <v>0.6103603955141762</v>
      </c>
      <c r="L10" s="545">
        <f t="shared" si="1"/>
        <v>0.7622103734235115</v>
      </c>
      <c r="M10" s="540">
        <f t="shared" si="1"/>
        <v>0.57890352854598348</v>
      </c>
      <c r="N10" s="545">
        <f t="shared" si="1"/>
        <v>0.61203313289092254</v>
      </c>
      <c r="O10" s="540">
        <f t="shared" si="1"/>
        <v>0.60929783534428061</v>
      </c>
      <c r="P10" s="545">
        <f t="shared" si="1"/>
        <v>0.60310180362392174</v>
      </c>
      <c r="Q10" s="540">
        <f t="shared" si="1"/>
        <v>0.55240653608471102</v>
      </c>
      <c r="R10" s="545">
        <f t="shared" si="1"/>
        <v>0.57546506626625826</v>
      </c>
      <c r="S10" s="540">
        <f t="shared" si="1"/>
        <v>0.61068902279276915</v>
      </c>
      <c r="T10" s="545">
        <f t="shared" si="1"/>
        <v>0.29882843446643503</v>
      </c>
      <c r="U10" s="540">
        <f t="shared" si="1"/>
        <v>0.59921756005535831</v>
      </c>
      <c r="V10" s="545" t="e">
        <f t="shared" si="1"/>
        <v>#DIV/0!</v>
      </c>
      <c r="W10" s="540">
        <f t="shared" si="1"/>
        <v>0.52121387777120687</v>
      </c>
      <c r="X10" s="545" t="e">
        <f t="shared" si="1"/>
        <v>#DIV/0!</v>
      </c>
      <c r="Y10" s="540">
        <f t="shared" si="1"/>
        <v>0.50530049015647305</v>
      </c>
      <c r="Z10" s="545" t="e">
        <f t="shared" si="1"/>
        <v>#DIV/0!</v>
      </c>
      <c r="AA10" s="540">
        <f t="shared" si="1"/>
        <v>0.57884666666666662</v>
      </c>
      <c r="AB10" s="871">
        <f t="shared" si="1"/>
        <v>0.66370134147993387</v>
      </c>
      <c r="AC10" s="540">
        <f t="shared" si="1"/>
        <v>0.60979121670266379</v>
      </c>
      <c r="AD10" s="871">
        <f t="shared" si="1"/>
        <v>0.57144553990062641</v>
      </c>
    </row>
    <row r="11" spans="1:30" x14ac:dyDescent="0.35">
      <c r="B11" s="549" t="s">
        <v>476</v>
      </c>
      <c r="C11" s="541">
        <f t="shared" ref="C11:AD11" si="2">C8/C$9</f>
        <v>0.36124283365548382</v>
      </c>
      <c r="D11" s="546">
        <f t="shared" si="2"/>
        <v>0.26803310998370899</v>
      </c>
      <c r="E11" s="541">
        <f t="shared" si="2"/>
        <v>0.34604286383702865</v>
      </c>
      <c r="F11" s="546">
        <f t="shared" si="2"/>
        <v>0.27985502152309566</v>
      </c>
      <c r="G11" s="541">
        <f t="shared" si="2"/>
        <v>0.42242839118115816</v>
      </c>
      <c r="H11" s="546">
        <f t="shared" si="2"/>
        <v>0.28840296503313279</v>
      </c>
      <c r="I11" s="541">
        <f t="shared" si="2"/>
        <v>0.47081536662390722</v>
      </c>
      <c r="J11" s="546">
        <f t="shared" si="2"/>
        <v>0.27004550854664788</v>
      </c>
      <c r="K11" s="541">
        <f t="shared" si="2"/>
        <v>0.38963960448582369</v>
      </c>
      <c r="L11" s="546">
        <f t="shared" si="2"/>
        <v>0.23778962657648856</v>
      </c>
      <c r="M11" s="541">
        <f t="shared" si="2"/>
        <v>0.42109647145401646</v>
      </c>
      <c r="N11" s="546">
        <f t="shared" si="2"/>
        <v>0.38796686710907741</v>
      </c>
      <c r="O11" s="541">
        <f t="shared" si="2"/>
        <v>0.39070216465571933</v>
      </c>
      <c r="P11" s="546">
        <f t="shared" si="2"/>
        <v>0.39689819637607821</v>
      </c>
      <c r="Q11" s="541">
        <f t="shared" si="2"/>
        <v>0.44759346391528904</v>
      </c>
      <c r="R11" s="546">
        <f t="shared" si="2"/>
        <v>0.42453493373374179</v>
      </c>
      <c r="S11" s="541">
        <f t="shared" si="2"/>
        <v>0.38931097720723079</v>
      </c>
      <c r="T11" s="546">
        <f t="shared" si="2"/>
        <v>0.70117156553356497</v>
      </c>
      <c r="U11" s="541">
        <f t="shared" si="2"/>
        <v>0.40078243994464158</v>
      </c>
      <c r="V11" s="546" t="e">
        <f t="shared" si="2"/>
        <v>#DIV/0!</v>
      </c>
      <c r="W11" s="541">
        <f t="shared" si="2"/>
        <v>0.47878612222879324</v>
      </c>
      <c r="X11" s="546" t="e">
        <f t="shared" si="2"/>
        <v>#DIV/0!</v>
      </c>
      <c r="Y11" s="541">
        <f t="shared" si="2"/>
        <v>0.49469950984352695</v>
      </c>
      <c r="Z11" s="546" t="e">
        <f t="shared" si="2"/>
        <v>#DIV/0!</v>
      </c>
      <c r="AA11" s="541">
        <f t="shared" si="2"/>
        <v>0.42115333333333338</v>
      </c>
      <c r="AB11" s="872">
        <f t="shared" si="2"/>
        <v>0.33629865852006618</v>
      </c>
      <c r="AC11" s="541">
        <f t="shared" si="2"/>
        <v>0.39020878329733621</v>
      </c>
      <c r="AD11" s="872">
        <f t="shared" si="2"/>
        <v>0.42855446009937365</v>
      </c>
    </row>
    <row r="14" spans="1:30" x14ac:dyDescent="0.35">
      <c r="C14" s="1296" t="s">
        <v>473</v>
      </c>
      <c r="D14" s="1296"/>
      <c r="E14" s="1296"/>
      <c r="F14" s="1296"/>
      <c r="G14" s="1296"/>
      <c r="H14" s="1296" t="s">
        <v>474</v>
      </c>
      <c r="I14" s="1296"/>
      <c r="J14" s="1296"/>
      <c r="K14" s="1296"/>
      <c r="L14" s="1296"/>
      <c r="Q14" s="1296" t="s">
        <v>473</v>
      </c>
      <c r="R14" s="1296"/>
      <c r="S14" s="1296"/>
      <c r="T14" s="1296"/>
      <c r="U14" s="1296"/>
      <c r="V14" s="1296" t="s">
        <v>474</v>
      </c>
      <c r="W14" s="1296"/>
      <c r="X14" s="1296"/>
      <c r="Y14" s="1296"/>
      <c r="Z14" s="1296"/>
    </row>
    <row r="15" spans="1:30" x14ac:dyDescent="0.35">
      <c r="C15" t="s">
        <v>22</v>
      </c>
      <c r="D15" s="548" t="s">
        <v>26</v>
      </c>
      <c r="E15" t="s">
        <v>748</v>
      </c>
      <c r="F15" t="s">
        <v>476</v>
      </c>
      <c r="G15" t="s">
        <v>475</v>
      </c>
      <c r="H15" t="s">
        <v>22</v>
      </c>
      <c r="I15" s="548" t="s">
        <v>26</v>
      </c>
      <c r="J15" t="s">
        <v>748</v>
      </c>
      <c r="K15" t="s">
        <v>476</v>
      </c>
      <c r="L15" t="s">
        <v>475</v>
      </c>
      <c r="M15" t="s">
        <v>739</v>
      </c>
      <c r="Q15" t="s">
        <v>26</v>
      </c>
      <c r="R15" s="548" t="s">
        <v>22</v>
      </c>
      <c r="S15" t="s">
        <v>748</v>
      </c>
      <c r="T15" t="s">
        <v>475</v>
      </c>
      <c r="U15" t="s">
        <v>476</v>
      </c>
      <c r="V15" t="s">
        <v>26</v>
      </c>
      <c r="W15" s="548" t="s">
        <v>22</v>
      </c>
      <c r="X15" t="s">
        <v>748</v>
      </c>
      <c r="Y15" t="s">
        <v>475</v>
      </c>
      <c r="Z15" t="s">
        <v>476</v>
      </c>
    </row>
    <row r="16" spans="1:30" x14ac:dyDescent="0.35">
      <c r="B16">
        <v>1</v>
      </c>
      <c r="C16" s="252">
        <v>1100.79</v>
      </c>
      <c r="D16" s="252">
        <v>1946.44</v>
      </c>
      <c r="E16" s="252">
        <f>+C16+D16</f>
        <v>3047.23</v>
      </c>
      <c r="F16" s="259">
        <v>0.36124283365548382</v>
      </c>
      <c r="G16" s="259">
        <v>0.63875716634451618</v>
      </c>
      <c r="H16" s="252">
        <v>1066.8993</v>
      </c>
      <c r="I16" s="667">
        <v>2421.1</v>
      </c>
      <c r="J16" s="252">
        <f t="shared" ref="J16:J29" si="3">+H16+I16</f>
        <v>3487.9992999999999</v>
      </c>
      <c r="K16" s="259">
        <v>0.30587715427580509</v>
      </c>
      <c r="L16" s="259">
        <v>0.69412284572419491</v>
      </c>
      <c r="M16" s="253">
        <f>+MAX(H16:I29)</f>
        <v>3944</v>
      </c>
      <c r="Q16" s="252">
        <v>1946.44</v>
      </c>
      <c r="R16" s="252">
        <v>1100.79</v>
      </c>
      <c r="S16" s="252">
        <v>3047.23</v>
      </c>
      <c r="T16" s="259">
        <v>0.63875716634451618</v>
      </c>
      <c r="U16" s="259">
        <v>0.36124283365548382</v>
      </c>
      <c r="V16" s="252">
        <v>2421.1</v>
      </c>
      <c r="W16" s="667">
        <v>1066.8993</v>
      </c>
      <c r="X16" s="252">
        <v>3487.9992999999999</v>
      </c>
      <c r="Y16" s="259">
        <v>0.69412284572419491</v>
      </c>
      <c r="Z16" s="259">
        <v>0.30587715427580509</v>
      </c>
    </row>
    <row r="17" spans="2:26" x14ac:dyDescent="0.35">
      <c r="B17">
        <f>+B16+1</f>
        <v>2</v>
      </c>
      <c r="C17" s="252">
        <v>1262.79</v>
      </c>
      <c r="D17" s="252">
        <v>2386.44</v>
      </c>
      <c r="E17" s="252">
        <f t="shared" ref="E17:E29" si="4">+C17+D17</f>
        <v>3649.23</v>
      </c>
      <c r="F17" s="259">
        <v>0.34604286383702865</v>
      </c>
      <c r="G17" s="259">
        <v>0.65395713616297135</v>
      </c>
      <c r="H17" s="252">
        <v>1532.675</v>
      </c>
      <c r="I17" s="667">
        <v>3944</v>
      </c>
      <c r="J17" s="252">
        <f t="shared" si="3"/>
        <v>5476.6750000000002</v>
      </c>
      <c r="K17" s="259">
        <v>0.27985502152309566</v>
      </c>
      <c r="L17" s="259">
        <v>0.72014497847690429</v>
      </c>
      <c r="M17" s="253"/>
      <c r="Q17" s="252">
        <v>2386.44</v>
      </c>
      <c r="R17" s="252">
        <v>1262.79</v>
      </c>
      <c r="S17" s="252">
        <v>3649.23</v>
      </c>
      <c r="T17" s="259">
        <v>0.65395713616297135</v>
      </c>
      <c r="U17" s="259">
        <v>0.34604286383702865</v>
      </c>
      <c r="V17" s="252">
        <v>3944</v>
      </c>
      <c r="W17" s="667">
        <v>1532.675</v>
      </c>
      <c r="X17" s="252">
        <v>5476.6750000000002</v>
      </c>
      <c r="Y17" s="259">
        <v>0.72014497847690429</v>
      </c>
      <c r="Z17" s="259">
        <v>0.27985502152309566</v>
      </c>
    </row>
    <row r="18" spans="2:26" x14ac:dyDescent="0.35">
      <c r="B18">
        <f t="shared" ref="B18:B27" si="5">+B17+1</f>
        <v>3</v>
      </c>
      <c r="C18" s="252">
        <v>1526.69</v>
      </c>
      <c r="D18" s="252">
        <v>2087.39</v>
      </c>
      <c r="E18" s="252">
        <f t="shared" si="4"/>
        <v>3614.08</v>
      </c>
      <c r="F18" s="259">
        <v>0.42242839118115816</v>
      </c>
      <c r="G18" s="259">
        <v>0.57757160881884184</v>
      </c>
      <c r="H18" s="252">
        <v>1320.8999999999999</v>
      </c>
      <c r="I18" s="667">
        <v>3259.15</v>
      </c>
      <c r="J18" s="252">
        <f t="shared" si="3"/>
        <v>4580.05</v>
      </c>
      <c r="K18" s="259">
        <v>0.28840296503313279</v>
      </c>
      <c r="L18" s="259">
        <v>0.71159703496686721</v>
      </c>
      <c r="M18" s="253"/>
      <c r="Q18" s="252">
        <v>2087.39</v>
      </c>
      <c r="R18" s="252">
        <v>1526.69</v>
      </c>
      <c r="S18" s="252">
        <v>3614.08</v>
      </c>
      <c r="T18" s="259">
        <v>0.57757160881884184</v>
      </c>
      <c r="U18" s="259">
        <v>0.42242839118115816</v>
      </c>
      <c r="V18" s="252">
        <v>3259.15</v>
      </c>
      <c r="W18" s="667">
        <v>1320.8999999999999</v>
      </c>
      <c r="X18" s="252">
        <v>4580.05</v>
      </c>
      <c r="Y18" s="259">
        <v>0.71159703496686721</v>
      </c>
      <c r="Z18" s="259">
        <v>0.28840296503313279</v>
      </c>
    </row>
    <row r="19" spans="2:26" x14ac:dyDescent="0.35">
      <c r="B19">
        <f t="shared" si="5"/>
        <v>4</v>
      </c>
      <c r="C19" s="252">
        <v>1827.79</v>
      </c>
      <c r="D19" s="252">
        <v>2054.39</v>
      </c>
      <c r="E19" s="252">
        <f t="shared" si="4"/>
        <v>3882.18</v>
      </c>
      <c r="F19" s="259">
        <v>0.47081536662390722</v>
      </c>
      <c r="G19" s="259">
        <v>0.52918463337609278</v>
      </c>
      <c r="H19" s="252">
        <v>1039.925</v>
      </c>
      <c r="I19" s="667">
        <v>2811</v>
      </c>
      <c r="J19" s="252">
        <f t="shared" si="3"/>
        <v>3850.9250000000002</v>
      </c>
      <c r="K19" s="259">
        <v>0.27004550854664788</v>
      </c>
      <c r="L19" s="259">
        <v>0.72995449145335212</v>
      </c>
      <c r="M19" s="253"/>
      <c r="Q19" s="252">
        <v>2054.39</v>
      </c>
      <c r="R19" s="252">
        <v>1827.79</v>
      </c>
      <c r="S19" s="252">
        <v>3882.18</v>
      </c>
      <c r="T19" s="259">
        <v>0.52918463337609278</v>
      </c>
      <c r="U19" s="259">
        <v>0.47081536662390722</v>
      </c>
      <c r="V19" s="252">
        <v>2811</v>
      </c>
      <c r="W19" s="667">
        <v>1039.925</v>
      </c>
      <c r="X19" s="252">
        <v>3850.9250000000002</v>
      </c>
      <c r="Y19" s="259">
        <v>0.72995449145335212</v>
      </c>
      <c r="Z19" s="259">
        <v>0.27004550854664788</v>
      </c>
    </row>
    <row r="20" spans="2:26" x14ac:dyDescent="0.35">
      <c r="B20">
        <f t="shared" si="5"/>
        <v>5</v>
      </c>
      <c r="C20" s="252">
        <v>1997.09</v>
      </c>
      <c r="D20" s="252">
        <v>3128.3900000000003</v>
      </c>
      <c r="E20" s="252">
        <f t="shared" si="4"/>
        <v>5125.4800000000005</v>
      </c>
      <c r="F20" s="259">
        <v>0.38963960448582369</v>
      </c>
      <c r="G20" s="259">
        <v>0.6103603955141762</v>
      </c>
      <c r="H20" s="252">
        <v>1085.8852999999999</v>
      </c>
      <c r="I20" s="667">
        <v>3493</v>
      </c>
      <c r="J20" s="252">
        <f t="shared" si="3"/>
        <v>4578.8852999999999</v>
      </c>
      <c r="K20" s="259">
        <v>0.23715057898480224</v>
      </c>
      <c r="L20" s="259">
        <v>0.7628494210151977</v>
      </c>
      <c r="M20" s="253"/>
      <c r="Q20" s="252">
        <v>3128.3900000000003</v>
      </c>
      <c r="R20" s="252">
        <v>1997.09</v>
      </c>
      <c r="S20" s="252">
        <v>5125.4800000000005</v>
      </c>
      <c r="T20" s="259">
        <v>0.6103603955141762</v>
      </c>
      <c r="U20" s="259">
        <v>0.38963960448582369</v>
      </c>
      <c r="V20" s="770"/>
      <c r="W20" s="770"/>
      <c r="X20" s="252">
        <v>0</v>
      </c>
      <c r="Y20" s="259">
        <v>0</v>
      </c>
      <c r="Z20" s="259">
        <v>0</v>
      </c>
    </row>
    <row r="21" spans="2:26" x14ac:dyDescent="0.35">
      <c r="B21">
        <f t="shared" si="5"/>
        <v>6</v>
      </c>
      <c r="C21" s="252">
        <v>2082.84</v>
      </c>
      <c r="D21" s="252">
        <v>2863.3900000000003</v>
      </c>
      <c r="E21" s="252">
        <f t="shared" si="4"/>
        <v>4946.2300000000005</v>
      </c>
      <c r="F21" s="259">
        <v>0.42109647145401646</v>
      </c>
      <c r="G21" s="259">
        <v>0.57890352854598348</v>
      </c>
      <c r="H21" s="770"/>
      <c r="I21" s="770"/>
      <c r="J21" s="252">
        <f t="shared" si="3"/>
        <v>0</v>
      </c>
      <c r="K21" s="259">
        <v>0</v>
      </c>
      <c r="L21" s="259">
        <v>0</v>
      </c>
      <c r="M21" s="253"/>
      <c r="Q21" s="252">
        <v>2863.3900000000003</v>
      </c>
      <c r="R21" s="252">
        <v>2082.84</v>
      </c>
      <c r="S21" s="252">
        <v>4946.2300000000005</v>
      </c>
      <c r="T21" s="259">
        <v>0.57890352854598348</v>
      </c>
      <c r="U21" s="259">
        <v>0.42109647145401646</v>
      </c>
      <c r="V21" s="770"/>
      <c r="W21" s="770"/>
      <c r="X21" s="252">
        <v>0</v>
      </c>
      <c r="Y21" s="259">
        <v>0</v>
      </c>
      <c r="Z21" s="259">
        <v>0</v>
      </c>
    </row>
    <row r="22" spans="2:26" x14ac:dyDescent="0.35">
      <c r="B22">
        <f t="shared" si="5"/>
        <v>7</v>
      </c>
      <c r="C22" s="252">
        <v>2136.84</v>
      </c>
      <c r="D22" s="252">
        <v>3332.3900000000003</v>
      </c>
      <c r="E22" s="252">
        <f t="shared" si="4"/>
        <v>5469.2300000000005</v>
      </c>
      <c r="F22" s="259">
        <v>0.39070216465571933</v>
      </c>
      <c r="G22" s="259">
        <v>0.60929783534428061</v>
      </c>
      <c r="H22" s="770"/>
      <c r="I22" s="770"/>
      <c r="J22" s="252">
        <f t="shared" si="3"/>
        <v>0</v>
      </c>
      <c r="K22" s="259">
        <v>0</v>
      </c>
      <c r="L22" s="259">
        <v>0</v>
      </c>
      <c r="M22" s="253"/>
      <c r="Q22" s="252">
        <v>3332.3900000000003</v>
      </c>
      <c r="R22" s="252">
        <v>2136.84</v>
      </c>
      <c r="S22" s="252">
        <v>5469.2300000000005</v>
      </c>
      <c r="T22" s="259">
        <v>0.60929783534428061</v>
      </c>
      <c r="U22" s="259">
        <v>0.39070216465571933</v>
      </c>
      <c r="V22" s="770"/>
      <c r="W22" s="770"/>
      <c r="X22" s="252">
        <v>0</v>
      </c>
      <c r="Y22" s="259">
        <v>0</v>
      </c>
      <c r="Z22" s="259">
        <v>0</v>
      </c>
    </row>
    <row r="23" spans="2:26" x14ac:dyDescent="0.35">
      <c r="B23">
        <f t="shared" si="5"/>
        <v>8</v>
      </c>
      <c r="C23" s="252">
        <v>2434.34</v>
      </c>
      <c r="D23" s="252">
        <v>3004.3900000000003</v>
      </c>
      <c r="E23" s="252">
        <f t="shared" si="4"/>
        <v>5438.7300000000005</v>
      </c>
      <c r="F23" s="259">
        <v>0.44759346391528904</v>
      </c>
      <c r="G23" s="259">
        <v>0.55240653608471102</v>
      </c>
      <c r="H23" s="770"/>
      <c r="I23" s="770"/>
      <c r="J23" s="252">
        <f t="shared" si="3"/>
        <v>0</v>
      </c>
      <c r="K23" s="259">
        <v>0</v>
      </c>
      <c r="L23" s="259">
        <v>0</v>
      </c>
      <c r="M23" s="253"/>
      <c r="Q23" s="252">
        <v>3004.3900000000003</v>
      </c>
      <c r="R23" s="252">
        <v>2434.34</v>
      </c>
      <c r="S23" s="252">
        <v>5438.7300000000005</v>
      </c>
      <c r="T23" s="259">
        <v>0.55240653608471102</v>
      </c>
      <c r="U23" s="259">
        <v>0.44759346391528904</v>
      </c>
      <c r="V23" s="770"/>
      <c r="W23" s="770"/>
      <c r="X23" s="252">
        <v>0</v>
      </c>
      <c r="Y23" s="259">
        <v>0</v>
      </c>
      <c r="Z23" s="259">
        <v>0</v>
      </c>
    </row>
    <row r="24" spans="2:26" x14ac:dyDescent="0.35">
      <c r="B24">
        <f t="shared" si="5"/>
        <v>9</v>
      </c>
      <c r="C24" s="252">
        <v>2511.34</v>
      </c>
      <c r="D24" s="252">
        <v>3939.3900000000003</v>
      </c>
      <c r="E24" s="252">
        <f t="shared" si="4"/>
        <v>6450.7300000000005</v>
      </c>
      <c r="F24" s="259">
        <v>0.38931097720723079</v>
      </c>
      <c r="G24" s="259">
        <v>0.61068902279276915</v>
      </c>
      <c r="H24" s="770"/>
      <c r="I24" s="770"/>
      <c r="J24" s="252">
        <f t="shared" si="3"/>
        <v>0</v>
      </c>
      <c r="K24" s="259">
        <v>0</v>
      </c>
      <c r="L24" s="259">
        <v>0</v>
      </c>
      <c r="M24" s="253"/>
      <c r="Q24" s="252">
        <v>3939.3900000000003</v>
      </c>
      <c r="R24" s="252">
        <v>2511.34</v>
      </c>
      <c r="S24" s="252">
        <v>6450.7300000000005</v>
      </c>
      <c r="T24" s="259">
        <v>0.61068902279276915</v>
      </c>
      <c r="U24" s="259">
        <v>0.38931097720723079</v>
      </c>
      <c r="V24" s="770"/>
      <c r="W24" s="770"/>
      <c r="X24" s="252">
        <v>0</v>
      </c>
      <c r="Y24" s="259">
        <v>0</v>
      </c>
      <c r="Z24" s="259">
        <v>0</v>
      </c>
    </row>
    <row r="25" spans="2:26" x14ac:dyDescent="0.35">
      <c r="B25">
        <f t="shared" si="5"/>
        <v>10</v>
      </c>
      <c r="C25" s="252">
        <v>2591.84</v>
      </c>
      <c r="D25" s="252">
        <v>3875.11</v>
      </c>
      <c r="E25" s="252">
        <f t="shared" si="4"/>
        <v>6466.9500000000007</v>
      </c>
      <c r="F25" s="259">
        <v>0.40078243994464158</v>
      </c>
      <c r="G25" s="259">
        <v>0.59921756005535831</v>
      </c>
      <c r="H25" s="770"/>
      <c r="I25" s="770"/>
      <c r="J25" s="252">
        <f t="shared" si="3"/>
        <v>0</v>
      </c>
      <c r="K25" s="259">
        <v>0</v>
      </c>
      <c r="L25" s="259">
        <v>0</v>
      </c>
      <c r="M25" s="253"/>
      <c r="Q25" s="252">
        <v>3875.11</v>
      </c>
      <c r="R25" s="252">
        <v>2591.84</v>
      </c>
      <c r="S25" s="252">
        <v>6466.9500000000007</v>
      </c>
      <c r="T25" s="259">
        <v>0.59921756005535831</v>
      </c>
      <c r="U25" s="259">
        <v>0.40078243994464158</v>
      </c>
      <c r="V25" s="770"/>
      <c r="W25" s="770"/>
      <c r="X25" s="252">
        <v>0</v>
      </c>
      <c r="Y25" s="259">
        <v>0</v>
      </c>
      <c r="Z25" s="259">
        <v>0</v>
      </c>
    </row>
    <row r="26" spans="2:26" x14ac:dyDescent="0.35">
      <c r="B26">
        <f t="shared" si="5"/>
        <v>11</v>
      </c>
      <c r="C26" s="252">
        <v>2857.8599999999997</v>
      </c>
      <c r="D26" s="252">
        <v>3111.11</v>
      </c>
      <c r="E26" s="252">
        <f t="shared" si="4"/>
        <v>5968.9699999999993</v>
      </c>
      <c r="F26" s="259">
        <v>0.47878612222879324</v>
      </c>
      <c r="G26" s="259">
        <v>0.52121387777120687</v>
      </c>
      <c r="H26" s="770"/>
      <c r="I26" s="770"/>
      <c r="J26" s="252">
        <f t="shared" si="3"/>
        <v>0</v>
      </c>
      <c r="K26" s="259">
        <v>0</v>
      </c>
      <c r="L26" s="259">
        <v>0</v>
      </c>
      <c r="M26" s="253"/>
      <c r="Q26" s="252">
        <v>3111.11</v>
      </c>
      <c r="R26" s="252">
        <v>2857.8599999999997</v>
      </c>
      <c r="S26" s="252">
        <v>5968.9699999999993</v>
      </c>
      <c r="T26" s="259">
        <v>0.52121387777120687</v>
      </c>
      <c r="U26" s="259">
        <v>0.47878612222879324</v>
      </c>
      <c r="V26" s="770"/>
      <c r="W26" s="770"/>
      <c r="X26" s="252">
        <v>0</v>
      </c>
      <c r="Y26" s="259">
        <v>0</v>
      </c>
      <c r="Z26" s="259">
        <v>0</v>
      </c>
    </row>
    <row r="27" spans="2:26" x14ac:dyDescent="0.35">
      <c r="B27">
        <f t="shared" si="5"/>
        <v>12</v>
      </c>
      <c r="C27" s="252">
        <v>2938.99</v>
      </c>
      <c r="D27" s="252">
        <v>3001.9700000000003</v>
      </c>
      <c r="E27" s="252">
        <f t="shared" si="4"/>
        <v>5940.96</v>
      </c>
      <c r="F27" s="259">
        <v>0.49469950984352695</v>
      </c>
      <c r="G27" s="259">
        <v>0.50530049015647305</v>
      </c>
      <c r="H27" s="770"/>
      <c r="I27" s="770"/>
      <c r="J27" s="252">
        <f t="shared" si="3"/>
        <v>0</v>
      </c>
      <c r="K27" s="259">
        <v>0</v>
      </c>
      <c r="L27" s="259">
        <v>0</v>
      </c>
      <c r="M27" s="253"/>
      <c r="Q27" s="252">
        <v>3001.9700000000003</v>
      </c>
      <c r="R27" s="252">
        <v>2938.99</v>
      </c>
      <c r="S27" s="252">
        <v>5940.96</v>
      </c>
      <c r="T27" s="259">
        <v>0.50530049015647305</v>
      </c>
      <c r="U27" s="259">
        <v>0.49469950984352695</v>
      </c>
      <c r="V27" s="770"/>
      <c r="W27" s="770"/>
      <c r="X27" s="252">
        <v>0</v>
      </c>
      <c r="Y27" s="259">
        <v>0</v>
      </c>
      <c r="Z27" s="259">
        <v>0</v>
      </c>
    </row>
    <row r="28" spans="2:26" x14ac:dyDescent="0.35">
      <c r="B28" t="s">
        <v>746</v>
      </c>
      <c r="C28" s="252">
        <v>2105.7666666666669</v>
      </c>
      <c r="D28" s="252">
        <v>2894.2333333333331</v>
      </c>
      <c r="E28" s="252">
        <f t="shared" si="4"/>
        <v>5000</v>
      </c>
      <c r="F28" s="259">
        <v>0.42115333333333338</v>
      </c>
      <c r="G28" s="259">
        <v>0.57884666666666662</v>
      </c>
      <c r="H28" s="252">
        <v>1243.1185750000002</v>
      </c>
      <c r="I28" s="252">
        <v>3238.6000000000004</v>
      </c>
      <c r="J28" s="252">
        <f t="shared" si="3"/>
        <v>4481.7185750000008</v>
      </c>
      <c r="K28" s="259">
        <v>0.27737542065545695</v>
      </c>
      <c r="L28" s="259">
        <v>0.72262457934454305</v>
      </c>
      <c r="M28" s="253"/>
      <c r="Q28" s="252">
        <v>2894.2333333333331</v>
      </c>
      <c r="R28" s="252">
        <v>2105.7666666666669</v>
      </c>
      <c r="S28" s="252">
        <v>5000</v>
      </c>
      <c r="T28" s="259">
        <v>0.57884666666666662</v>
      </c>
      <c r="U28" s="259">
        <v>0.42115333333333338</v>
      </c>
      <c r="V28" s="252">
        <v>3238.6000000000004</v>
      </c>
      <c r="W28" s="252">
        <v>1243.1185750000002</v>
      </c>
      <c r="X28" s="252">
        <v>4481.7185750000008</v>
      </c>
      <c r="Y28" s="259">
        <v>0.72262457934454305</v>
      </c>
      <c r="Z28" s="259">
        <v>0.27737542065545695</v>
      </c>
    </row>
    <row r="29" spans="2:26" x14ac:dyDescent="0.35">
      <c r="B29" t="s">
        <v>747</v>
      </c>
      <c r="C29" s="252">
        <v>1626</v>
      </c>
      <c r="D29" s="252">
        <v>2541</v>
      </c>
      <c r="E29" s="252">
        <f t="shared" si="4"/>
        <v>4167</v>
      </c>
      <c r="F29" s="259">
        <v>0.39020878329733621</v>
      </c>
      <c r="G29" s="259">
        <v>0.60979121670266379</v>
      </c>
      <c r="H29" s="252">
        <v>1248.4244333333336</v>
      </c>
      <c r="I29" s="252">
        <v>1664.6812499999999</v>
      </c>
      <c r="J29" s="252">
        <f t="shared" si="3"/>
        <v>2913.1056833333332</v>
      </c>
      <c r="K29" s="259">
        <v>0.42855446009937365</v>
      </c>
      <c r="L29" s="259">
        <v>0.57144553990062641</v>
      </c>
      <c r="M29" s="253"/>
      <c r="Q29" s="252">
        <v>2541</v>
      </c>
      <c r="R29" s="252">
        <v>1626</v>
      </c>
      <c r="S29" s="252">
        <v>4167</v>
      </c>
      <c r="T29" s="259">
        <v>0.60979121670266379</v>
      </c>
      <c r="U29" s="259">
        <v>0.39020878329733621</v>
      </c>
      <c r="V29" s="252">
        <v>1664.6812499999999</v>
      </c>
      <c r="W29" s="252">
        <v>1248.4244333333336</v>
      </c>
      <c r="X29" s="252">
        <v>2913.1056833333332</v>
      </c>
      <c r="Y29" s="259">
        <v>0.57144553990062641</v>
      </c>
      <c r="Z29" s="259">
        <v>0.42855446009937365</v>
      </c>
    </row>
    <row r="55" spans="1:28" ht="17.5" x14ac:dyDescent="0.35">
      <c r="A55" s="556">
        <v>2</v>
      </c>
      <c r="B55" s="551" t="s">
        <v>590</v>
      </c>
    </row>
    <row r="57" spans="1:28" s="552" customFormat="1" hidden="1" x14ac:dyDescent="0.35">
      <c r="C57" s="552">
        <v>1</v>
      </c>
      <c r="D57" s="552">
        <v>1</v>
      </c>
      <c r="E57" s="552">
        <v>2</v>
      </c>
      <c r="F57" s="552">
        <v>2</v>
      </c>
      <c r="G57" s="552">
        <v>3</v>
      </c>
      <c r="H57" s="552">
        <v>3</v>
      </c>
      <c r="I57" s="552">
        <v>4</v>
      </c>
      <c r="J57" s="552">
        <v>4</v>
      </c>
      <c r="K57" s="552">
        <v>5</v>
      </c>
      <c r="L57" s="552">
        <v>5</v>
      </c>
      <c r="M57" s="552">
        <v>6</v>
      </c>
      <c r="N57" s="552">
        <v>6</v>
      </c>
      <c r="O57" s="552">
        <v>7</v>
      </c>
      <c r="P57" s="552">
        <v>7</v>
      </c>
      <c r="Q57" s="552">
        <v>8</v>
      </c>
      <c r="R57" s="552">
        <v>8</v>
      </c>
      <c r="S57" s="552">
        <v>9</v>
      </c>
      <c r="T57" s="552">
        <v>9</v>
      </c>
      <c r="U57" s="552">
        <v>10</v>
      </c>
      <c r="V57" s="552">
        <v>10</v>
      </c>
      <c r="W57" s="552">
        <v>11</v>
      </c>
      <c r="X57" s="552">
        <v>11</v>
      </c>
      <c r="Y57" s="552">
        <v>12</v>
      </c>
      <c r="Z57" s="552">
        <v>12</v>
      </c>
    </row>
    <row r="58" spans="1:28" x14ac:dyDescent="0.35">
      <c r="B58" s="538"/>
      <c r="C58" s="1297" t="s">
        <v>593</v>
      </c>
      <c r="D58" s="1297"/>
      <c r="E58" s="1297" t="s">
        <v>594</v>
      </c>
      <c r="F58" s="1297"/>
      <c r="G58" s="1297" t="s">
        <v>595</v>
      </c>
      <c r="H58" s="1297"/>
      <c r="I58" s="1297" t="s">
        <v>596</v>
      </c>
      <c r="J58" s="1297"/>
      <c r="K58" s="1297" t="s">
        <v>597</v>
      </c>
      <c r="L58" s="1297"/>
      <c r="M58" s="1297" t="s">
        <v>598</v>
      </c>
      <c r="N58" s="1297"/>
      <c r="O58" s="1297" t="s">
        <v>599</v>
      </c>
      <c r="P58" s="1297"/>
      <c r="Q58" s="1297" t="s">
        <v>600</v>
      </c>
      <c r="R58" s="1297"/>
      <c r="S58" s="1297" t="s">
        <v>601</v>
      </c>
      <c r="T58" s="1297"/>
      <c r="U58" s="1297" t="s">
        <v>602</v>
      </c>
      <c r="V58" s="1297"/>
      <c r="W58" s="1297" t="s">
        <v>603</v>
      </c>
      <c r="X58" s="1297"/>
      <c r="Y58" s="1297" t="s">
        <v>604</v>
      </c>
      <c r="Z58" s="1297"/>
      <c r="AA58" s="1299" t="s">
        <v>589</v>
      </c>
      <c r="AB58" s="1299"/>
    </row>
    <row r="59" spans="1:28" x14ac:dyDescent="0.35">
      <c r="B59" s="547"/>
      <c r="C59" s="554" t="s">
        <v>591</v>
      </c>
      <c r="D59" s="555" t="s">
        <v>592</v>
      </c>
      <c r="E59" s="554" t="s">
        <v>591</v>
      </c>
      <c r="F59" s="555" t="s">
        <v>592</v>
      </c>
      <c r="G59" s="554" t="s">
        <v>591</v>
      </c>
      <c r="H59" s="555" t="s">
        <v>592</v>
      </c>
      <c r="I59" s="554" t="s">
        <v>591</v>
      </c>
      <c r="J59" s="555" t="s">
        <v>592</v>
      </c>
      <c r="K59" s="554" t="s">
        <v>591</v>
      </c>
      <c r="L59" s="555" t="s">
        <v>592</v>
      </c>
      <c r="M59" s="554" t="s">
        <v>591</v>
      </c>
      <c r="N59" s="555" t="s">
        <v>592</v>
      </c>
      <c r="O59" s="554" t="s">
        <v>591</v>
      </c>
      <c r="P59" s="555" t="s">
        <v>592</v>
      </c>
      <c r="Q59" s="554" t="s">
        <v>591</v>
      </c>
      <c r="R59" s="555" t="s">
        <v>592</v>
      </c>
      <c r="S59" s="554" t="s">
        <v>591</v>
      </c>
      <c r="T59" s="555" t="s">
        <v>592</v>
      </c>
      <c r="U59" s="554" t="s">
        <v>591</v>
      </c>
      <c r="V59" s="555" t="s">
        <v>592</v>
      </c>
      <c r="W59" s="554" t="s">
        <v>591</v>
      </c>
      <c r="X59" s="555" t="s">
        <v>592</v>
      </c>
      <c r="Y59" s="554" t="s">
        <v>591</v>
      </c>
      <c r="Z59" s="555" t="s">
        <v>592</v>
      </c>
      <c r="AA59" s="554" t="s">
        <v>591</v>
      </c>
      <c r="AB59" s="555" t="s">
        <v>592</v>
      </c>
    </row>
    <row r="60" spans="1:28" x14ac:dyDescent="0.35">
      <c r="B60" s="548" t="s">
        <v>26</v>
      </c>
      <c r="C60" s="540">
        <f>HLOOKUP(C$57,'03. TH_ XK-B2B'!$AJ$117:$AW$139,'03. TH_ XK-B2B'!$A$127,0)</f>
        <v>0.25970653362731672</v>
      </c>
      <c r="D60" s="545">
        <f>HLOOKUP(D$57,'03. TH_ XK-B2B'!$F$117:$S$137,'03. TH_ XK-B2B'!$A127,0)</f>
        <v>0.17510442075140906</v>
      </c>
      <c r="E60" s="540">
        <f>HLOOKUP(E$57,'03. TH_ XK-B2B'!$AJ$117:$AW$139,'03. TH_ XK-B2B'!$A$127,0)</f>
        <v>0.17646057929276038</v>
      </c>
      <c r="F60" s="545">
        <f>HLOOKUP(F$57,'03. TH_ XK-B2B'!$F$117:$S$137,'03. TH_ XK-B2B'!$A127,0)</f>
        <v>0.19069424005672045</v>
      </c>
      <c r="G60" s="540">
        <f>HLOOKUP(G$57,'03. TH_ XK-B2B'!$AJ$117:$AW$139,'03. TH_ XK-B2B'!$A$127,0)</f>
        <v>0.12509243723640243</v>
      </c>
      <c r="H60" s="545">
        <f>HLOOKUP(H$57,'03. TH_ XK-B2B'!$F$117:$S$137,'03. TH_ XK-B2B'!$A127,0)</f>
        <v>0.16377082910109309</v>
      </c>
      <c r="I60" s="540">
        <f>HLOOKUP(I$57,'03. TH_ XK-B2B'!$AJ$117:$AW$139,'03. TH_ XK-B2B'!$A$127,0)</f>
        <v>0.17322429792138749</v>
      </c>
      <c r="J60" s="545">
        <f>HLOOKUP(J$57,'03. TH_ XK-B2B'!$F$117:$S$137,'03. TH_ XK-B2B'!$A127,0)</f>
        <v>0.15850812552046153</v>
      </c>
      <c r="K60" s="540">
        <f>HLOOKUP(K$57,'03. TH_ XK-B2B'!$AJ$117:$AW$139,'03. TH_ XK-B2B'!$A$127,0)</f>
        <v>1.4312599285364805E-2</v>
      </c>
      <c r="L60" s="545">
        <f>HLOOKUP(L$57,'03. TH_ XK-B2B'!$F$117:$S$137,'03. TH_ XK-B2B'!$A127,0)</f>
        <v>0.16706575989158043</v>
      </c>
      <c r="M60" s="540">
        <f>HLOOKUP(M$57,'03. TH_ XK-B2B'!$AJ$117:$AW$139,'03. TH_ XK-B2B'!$A$127,0)</f>
        <v>0.19060901681326919</v>
      </c>
      <c r="N60" s="545">
        <f>HLOOKUP(N$57,'03. TH_ XK-B2B'!$F$117:$S$137,'03. TH_ XK-B2B'!$A127,0)</f>
        <v>0.11233662295005312</v>
      </c>
      <c r="O60" s="540">
        <f>HLOOKUP(O$57,'03. TH_ XK-B2B'!$AJ$117:$AW$139,'03. TH_ XK-B2B'!$A$127,0)</f>
        <v>8.5802928713318988E-2</v>
      </c>
      <c r="P60" s="545">
        <f>HLOOKUP(P$57,'03. TH_ XK-B2B'!$F$117:$S$137,'03. TH_ XK-B2B'!$A127,0)</f>
        <v>0.11022657540260901</v>
      </c>
      <c r="Q60" s="540">
        <f>HLOOKUP(Q$57,'03. TH_ XK-B2B'!$AJ$117:$AW$139,'03. TH_ XK-B2B'!$A$127,0)</f>
        <v>5.9290999491207842E-2</v>
      </c>
      <c r="R60" s="545">
        <f>HLOOKUP(R$57,'03. TH_ XK-B2B'!$F$117:$S$137,'03. TH_ XK-B2B'!$A127,0)</f>
        <v>0.12119967407575975</v>
      </c>
      <c r="S60" s="540">
        <f>HLOOKUP(S$57,'03. TH_ XK-B2B'!$AJ$117:$AW$139,'03. TH_ XK-B2B'!$A$127,0)</f>
        <v>8.4097013576609744E-2</v>
      </c>
      <c r="T60" s="545">
        <f>HLOOKUP(T$57,'03. TH_ XK-B2B'!$F$117:$S$137,'03. TH_ XK-B2B'!$A127,0)</f>
        <v>0.11930270370466908</v>
      </c>
      <c r="U60" s="540">
        <f>HLOOKUP(U$57,'03. TH_ XK-B2B'!$AJ$117:$AW$139,'03. TH_ XK-B2B'!$A$127,0)</f>
        <v>0.10148782954127224</v>
      </c>
      <c r="V60" s="545" t="str">
        <f>HLOOKUP(V$57,'03. TH_ XK-B2B'!$F$117:$S$137,'03. TH_ XK-B2B'!$A127,0)</f>
        <v>-</v>
      </c>
      <c r="W60" s="540">
        <f>HLOOKUP(W$57,'03. TH_ XK-B2B'!$AJ$117:$AW$139,'03. TH_ XK-B2B'!$A$127,0)</f>
        <v>0.2352830280610155</v>
      </c>
      <c r="X60" s="545" t="str">
        <f>HLOOKUP(X$57,'03. TH_ XK-B2B'!$F$117:$S$137,'03. TH_ XK-B2B'!$A127,0)</f>
        <v>-</v>
      </c>
      <c r="Y60" s="540">
        <f>HLOOKUP(Y$57,'03. TH_ XK-B2B'!$AJ$117:$AW$139,'03. TH_ XK-B2B'!$A$127,0)</f>
        <v>0.15107775621500366</v>
      </c>
      <c r="Z60" s="545" t="str">
        <f>HLOOKUP(Z$57,'03. TH_ XK-B2B'!$F$117:$S$137,'03. TH_ XK-B2B'!$A127,0)</f>
        <v>-</v>
      </c>
      <c r="AA60" s="540">
        <f>'03. TH_ XK-B2B'!AW127</f>
        <v>0.12394491857034622</v>
      </c>
      <c r="AB60" s="545">
        <f>'03. TH_ XK-B2B'!S127</f>
        <v>0.14549188625357121</v>
      </c>
    </row>
    <row r="61" spans="1:28" x14ac:dyDescent="0.35">
      <c r="B61" s="548" t="s">
        <v>22</v>
      </c>
      <c r="C61" s="540">
        <f>HLOOKUP(C$57,'03. TH_ XK-B2B'!$AJ$117:$AW$139,'03. TH_ XK-B2B'!$A$137,0)</f>
        <v>0.26564219574678111</v>
      </c>
      <c r="D61" s="545">
        <f>HLOOKUP(D$57,'03. TH_ XK-B2B'!$F$117:$S$137,'03. TH_ XK-B2B'!$A137,0)</f>
        <v>0.21155775061817098</v>
      </c>
      <c r="E61" s="540">
        <f>HLOOKUP(E$57,'03. TH_ XK-B2B'!$AJ$117:$AW$139,'03. TH_ XK-B2B'!$A$137,0)</f>
        <v>0.24815775136411664</v>
      </c>
      <c r="F61" s="545">
        <f>HLOOKUP(F$57,'03. TH_ XK-B2B'!$F$117:$S$137,'03. TH_ XK-B2B'!$A137,0)</f>
        <v>0.21707110878897382</v>
      </c>
      <c r="G61" s="540">
        <f>HLOOKUP(G$57,'03. TH_ XK-B2B'!$AJ$117:$AW$139,'03. TH_ XK-B2B'!$A$137,0)</f>
        <v>0.22309115029751672</v>
      </c>
      <c r="H61" s="545">
        <f>HLOOKUP(H$57,'03. TH_ XK-B2B'!$F$117:$S$137,'03. TH_ XK-B2B'!$A137,0)</f>
        <v>0.15002949660166304</v>
      </c>
      <c r="I61" s="540">
        <f>HLOOKUP(I$57,'03. TH_ XK-B2B'!$AJ$117:$AW$139,'03. TH_ XK-B2B'!$A$137,0)</f>
        <v>0.21898652710741304</v>
      </c>
      <c r="J61" s="545">
        <f>HLOOKUP(J$57,'03. TH_ XK-B2B'!$F$117:$S$137,'03. TH_ XK-B2B'!$A137,0)</f>
        <v>0.14106174340601929</v>
      </c>
      <c r="K61" s="540">
        <f>HLOOKUP(K$57,'03. TH_ XK-B2B'!$AJ$117:$AW$139,'03. TH_ XK-B2B'!$A$137,0)</f>
        <v>0.19941571242268782</v>
      </c>
      <c r="L61" s="545">
        <f>HLOOKUP(L$57,'03. TH_ XK-B2B'!$F$117:$S$137,'03. TH_ XK-B2B'!$A137,0)</f>
        <v>0.11865867868490293</v>
      </c>
      <c r="M61" s="540">
        <f>HLOOKUP(M$57,'03. TH_ XK-B2B'!$AJ$117:$AW$139,'03. TH_ XK-B2B'!$A$137,0)</f>
        <v>0.16514690043615599</v>
      </c>
      <c r="N61" s="545">
        <f>HLOOKUP(N$57,'03. TH_ XK-B2B'!$F$117:$S$137,'03. TH_ XK-B2B'!$A137,0)</f>
        <v>0.11099989565385845</v>
      </c>
      <c r="O61" s="540">
        <f>HLOOKUP(O$57,'03. TH_ XK-B2B'!$AJ$117:$AW$139,'03. TH_ XK-B2B'!$A$137,0)</f>
        <v>0.14512295506931064</v>
      </c>
      <c r="P61" s="545">
        <f>HLOOKUP(P$57,'03. TH_ XK-B2B'!$F$117:$S$137,'03. TH_ XK-B2B'!$A137,0)</f>
        <v>2.0089104004967665E-4</v>
      </c>
      <c r="Q61" s="540">
        <f>HLOOKUP(Q$57,'03. TH_ XK-B2B'!$AJ$117:$AW$139,'03. TH_ XK-B2B'!$A$137,0)</f>
        <v>0.17098660113380226</v>
      </c>
      <c r="R61" s="545">
        <f>HLOOKUP(R$57,'03. TH_ XK-B2B'!$F$117:$S$137,'03. TH_ XK-B2B'!$A137,0)</f>
        <v>7.3426932680074719E-2</v>
      </c>
      <c r="S61" s="540">
        <f>HLOOKUP(S$57,'03. TH_ XK-B2B'!$AJ$117:$AW$139,'03. TH_ XK-B2B'!$A$137,0)</f>
        <v>0.19749339760015402</v>
      </c>
      <c r="T61" s="545">
        <f>HLOOKUP(T$57,'03. TH_ XK-B2B'!$F$117:$S$137,'03. TH_ XK-B2B'!$A137,0)</f>
        <v>1.3201573478373516E-3</v>
      </c>
      <c r="U61" s="540">
        <f>HLOOKUP(U$57,'03. TH_ XK-B2B'!$AJ$117:$AW$139,'03. TH_ XK-B2B'!$A$137,0)</f>
        <v>0.17634673756951258</v>
      </c>
      <c r="V61" s="545" t="str">
        <f>HLOOKUP(V$57,'03. TH_ XK-B2B'!$F$117:$S$137,'03. TH_ XK-B2B'!$A137,0)</f>
        <v>-</v>
      </c>
      <c r="W61" s="540">
        <f>HLOOKUP(W$57,'03. TH_ XK-B2B'!$AJ$117:$AW$139,'03. TH_ XK-B2B'!$A$137,0)</f>
        <v>0.21545845169566272</v>
      </c>
      <c r="X61" s="545" t="str">
        <f>HLOOKUP(X$57,'03. TH_ XK-B2B'!$F$117:$S$137,'03. TH_ XK-B2B'!$A137,0)</f>
        <v>-</v>
      </c>
      <c r="Y61" s="540">
        <f>HLOOKUP(Y$57,'03. TH_ XK-B2B'!$AJ$117:$AW$139,'03. TH_ XK-B2B'!$A$137,0)</f>
        <v>0.22489194097755089</v>
      </c>
      <c r="Z61" s="545" t="str">
        <f>HLOOKUP(Z$57,'03. TH_ XK-B2B'!$F$117:$S$137,'03. TH_ XK-B2B'!$A137,0)</f>
        <v>-</v>
      </c>
      <c r="AA61" s="540">
        <f>'03. TH_ XK-B2B'!AW137</f>
        <v>0.20478713773037513</v>
      </c>
      <c r="AB61" s="545">
        <f>'03. TH_ XK-B2B'!S137</f>
        <v>0.10348911547721366</v>
      </c>
    </row>
    <row r="64" spans="1:28" x14ac:dyDescent="0.35">
      <c r="C64" s="1296">
        <v>2024</v>
      </c>
      <c r="D64" s="1296"/>
      <c r="E64" s="1296">
        <v>2025</v>
      </c>
      <c r="F64" s="1296"/>
    </row>
    <row r="65" spans="2:7" x14ac:dyDescent="0.35">
      <c r="C65" t="s">
        <v>26</v>
      </c>
      <c r="D65" s="548" t="s">
        <v>22</v>
      </c>
      <c r="E65" t="s">
        <v>26</v>
      </c>
      <c r="F65" s="548" t="s">
        <v>22</v>
      </c>
      <c r="G65" t="s">
        <v>739</v>
      </c>
    </row>
    <row r="66" spans="2:7" x14ac:dyDescent="0.35">
      <c r="B66" t="s">
        <v>593</v>
      </c>
      <c r="C66" s="259">
        <v>0.25970653362731672</v>
      </c>
      <c r="D66" s="259">
        <v>0.26564219574678111</v>
      </c>
      <c r="E66" s="259">
        <v>0.16877576226838464</v>
      </c>
      <c r="F66" s="545">
        <v>0.20637215697708672</v>
      </c>
      <c r="G66" s="193">
        <f>+MAX(C66:F66)</f>
        <v>0.26564219574678111</v>
      </c>
    </row>
    <row r="67" spans="2:7" x14ac:dyDescent="0.35">
      <c r="B67" t="s">
        <v>594</v>
      </c>
      <c r="C67" s="259">
        <v>0.17646057929276038</v>
      </c>
      <c r="D67" s="259">
        <v>0.24815775136411664</v>
      </c>
      <c r="E67" s="259">
        <v>0.19060821313873022</v>
      </c>
      <c r="F67" s="545">
        <v>0.21707110878897382</v>
      </c>
      <c r="G67" s="193">
        <f t="shared" ref="G67:G78" si="6">+MAX(C67:F67)</f>
        <v>0.24815775136411664</v>
      </c>
    </row>
    <row r="68" spans="2:7" x14ac:dyDescent="0.35">
      <c r="B68" t="s">
        <v>595</v>
      </c>
      <c r="C68" s="259">
        <v>0.12509243723640243</v>
      </c>
      <c r="D68" s="259">
        <v>0.22309115029751672</v>
      </c>
      <c r="E68" s="259">
        <v>0.16397205243855864</v>
      </c>
      <c r="F68" s="545">
        <v>0.15036654578380745</v>
      </c>
      <c r="G68" s="193">
        <f t="shared" si="6"/>
        <v>0.22309115029751672</v>
      </c>
    </row>
    <row r="69" spans="2:7" x14ac:dyDescent="0.35">
      <c r="B69" t="s">
        <v>596</v>
      </c>
      <c r="C69" s="259">
        <v>0.17322429792138749</v>
      </c>
      <c r="D69" s="259">
        <v>0.21898652710741304</v>
      </c>
      <c r="E69" s="259">
        <v>0.15813101520187109</v>
      </c>
      <c r="F69" s="545">
        <v>0.14143109683209201</v>
      </c>
      <c r="G69" s="193">
        <f t="shared" si="6"/>
        <v>0.21898652710741304</v>
      </c>
    </row>
    <row r="70" spans="2:7" x14ac:dyDescent="0.35">
      <c r="B70" t="s">
        <v>597</v>
      </c>
      <c r="C70" s="259">
        <v>1.4312599285364805E-2</v>
      </c>
      <c r="D70" s="259">
        <v>0.19941571242268782</v>
      </c>
      <c r="E70" s="259">
        <v>0.16705803905321437</v>
      </c>
      <c r="F70" s="545">
        <v>0.11865867868490296</v>
      </c>
      <c r="G70" s="193">
        <f t="shared" si="6"/>
        <v>0.19941571242268782</v>
      </c>
    </row>
    <row r="71" spans="2:7" x14ac:dyDescent="0.35">
      <c r="B71" t="s">
        <v>598</v>
      </c>
      <c r="C71" s="259">
        <v>0.19060901681326919</v>
      </c>
      <c r="D71" s="259">
        <v>0.16514690043615599</v>
      </c>
      <c r="E71" s="259"/>
      <c r="G71" s="193">
        <f t="shared" si="6"/>
        <v>0.19060901681326919</v>
      </c>
    </row>
    <row r="72" spans="2:7" x14ac:dyDescent="0.35">
      <c r="B72" t="s">
        <v>599</v>
      </c>
      <c r="C72" s="259">
        <v>8.5802928713318988E-2</v>
      </c>
      <c r="D72" s="259">
        <v>0.14512295506931064</v>
      </c>
      <c r="E72" s="259"/>
      <c r="G72" s="193">
        <f t="shared" si="6"/>
        <v>0.14512295506931064</v>
      </c>
    </row>
    <row r="73" spans="2:7" x14ac:dyDescent="0.35">
      <c r="B73" t="s">
        <v>600</v>
      </c>
      <c r="C73" s="259">
        <v>5.9290999491207842E-2</v>
      </c>
      <c r="D73" s="259">
        <v>0.17098660113380226</v>
      </c>
      <c r="E73" s="259"/>
      <c r="G73" s="193">
        <f t="shared" si="6"/>
        <v>0.17098660113380226</v>
      </c>
    </row>
    <row r="74" spans="2:7" x14ac:dyDescent="0.35">
      <c r="B74" t="s">
        <v>601</v>
      </c>
      <c r="C74" s="259">
        <v>8.4097013576609744E-2</v>
      </c>
      <c r="D74" s="259">
        <v>0.19749339760015402</v>
      </c>
      <c r="E74" s="259"/>
      <c r="G74" s="193">
        <f t="shared" si="6"/>
        <v>0.19749339760015402</v>
      </c>
    </row>
    <row r="75" spans="2:7" x14ac:dyDescent="0.35">
      <c r="B75" t="s">
        <v>602</v>
      </c>
      <c r="C75" s="259">
        <v>0.10148782954127224</v>
      </c>
      <c r="D75" s="259">
        <v>0.17634673756951258</v>
      </c>
      <c r="E75" s="259"/>
      <c r="G75" s="193">
        <f t="shared" si="6"/>
        <v>0.17634673756951258</v>
      </c>
    </row>
    <row r="76" spans="2:7" x14ac:dyDescent="0.35">
      <c r="B76" t="s">
        <v>603</v>
      </c>
      <c r="C76" s="259">
        <v>0.2352830280610155</v>
      </c>
      <c r="D76" s="259">
        <v>0.21545845169566272</v>
      </c>
      <c r="E76" s="259"/>
      <c r="G76" s="193">
        <f t="shared" si="6"/>
        <v>0.2352830280610155</v>
      </c>
    </row>
    <row r="77" spans="2:7" x14ac:dyDescent="0.35">
      <c r="B77" t="s">
        <v>604</v>
      </c>
      <c r="C77" s="259">
        <v>0.15107775621500366</v>
      </c>
      <c r="D77" s="259">
        <v>0.22489194097755089</v>
      </c>
      <c r="E77" s="259"/>
      <c r="G77" s="193">
        <f t="shared" si="6"/>
        <v>0.22489194097755089</v>
      </c>
    </row>
    <row r="78" spans="2:7" x14ac:dyDescent="0.35">
      <c r="B78" t="s">
        <v>740</v>
      </c>
      <c r="C78" s="259">
        <v>0.12394491857034622</v>
      </c>
      <c r="D78" s="259">
        <v>0.20478713773037513</v>
      </c>
      <c r="E78" s="259">
        <f>+AB60</f>
        <v>0.14549188625357121</v>
      </c>
      <c r="F78" s="193">
        <f>+AB61</f>
        <v>0.10348911547721366</v>
      </c>
      <c r="G78" s="193">
        <f t="shared" si="6"/>
        <v>0.20478713773037513</v>
      </c>
    </row>
    <row r="79" spans="2:7" x14ac:dyDescent="0.35">
      <c r="D79" s="259"/>
      <c r="E79" s="259"/>
    </row>
    <row r="80" spans="2:7" x14ac:dyDescent="0.35">
      <c r="D80" s="259"/>
      <c r="E80" s="259"/>
    </row>
    <row r="81" spans="4:5" x14ac:dyDescent="0.35">
      <c r="D81" s="259"/>
      <c r="E81" s="259"/>
    </row>
    <row r="82" spans="4:5" x14ac:dyDescent="0.35">
      <c r="D82" s="259"/>
      <c r="E82" s="259"/>
    </row>
    <row r="83" spans="4:5" x14ac:dyDescent="0.35">
      <c r="D83" s="259"/>
      <c r="E83" s="259"/>
    </row>
    <row r="84" spans="4:5" x14ac:dyDescent="0.35">
      <c r="D84" s="259"/>
      <c r="E84" s="259"/>
    </row>
    <row r="85" spans="4:5" x14ac:dyDescent="0.35">
      <c r="D85" s="259"/>
      <c r="E85" s="259"/>
    </row>
    <row r="86" spans="4:5" x14ac:dyDescent="0.35">
      <c r="D86" s="259"/>
      <c r="E86" s="259"/>
    </row>
    <row r="87" spans="4:5" x14ac:dyDescent="0.35">
      <c r="D87" s="259"/>
      <c r="E87" s="259"/>
    </row>
  </sheetData>
  <mergeCells count="33">
    <mergeCell ref="AA58:AB58"/>
    <mergeCell ref="M58:N58"/>
    <mergeCell ref="O58:P58"/>
    <mergeCell ref="Q58:R58"/>
    <mergeCell ref="S58:T58"/>
    <mergeCell ref="U58:V58"/>
    <mergeCell ref="AC5:AD5"/>
    <mergeCell ref="C5:D5"/>
    <mergeCell ref="E5:F5"/>
    <mergeCell ref="G5:H5"/>
    <mergeCell ref="I5:J5"/>
    <mergeCell ref="K5:L5"/>
    <mergeCell ref="AA5:AB5"/>
    <mergeCell ref="O5:P5"/>
    <mergeCell ref="Q5:R5"/>
    <mergeCell ref="S5:T5"/>
    <mergeCell ref="U5:V5"/>
    <mergeCell ref="W5:X5"/>
    <mergeCell ref="Y5:Z5"/>
    <mergeCell ref="Q14:U14"/>
    <mergeCell ref="V14:Z14"/>
    <mergeCell ref="C64:D64"/>
    <mergeCell ref="E64:F64"/>
    <mergeCell ref="M5:N5"/>
    <mergeCell ref="C14:G14"/>
    <mergeCell ref="H14:L14"/>
    <mergeCell ref="W58:X58"/>
    <mergeCell ref="Y58:Z58"/>
    <mergeCell ref="C58:D58"/>
    <mergeCell ref="E58:F58"/>
    <mergeCell ref="G58:H58"/>
    <mergeCell ref="I58:J58"/>
    <mergeCell ref="K58:L58"/>
  </mergeCells>
  <phoneticPr fontId="67" type="noConversion"/>
  <hyperlinks>
    <hyperlink ref="A1" location="'00. DM'!A1" display="00. DM" xr:uid="{91DF1C8D-F5A9-4EAE-B8CA-8E624500C490}"/>
  </hyperlinks>
  <pageMargins left="0.7" right="0.7" top="0.75" bottom="0.75" header="0.3" footer="0.3"/>
  <pageSetup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4128C-EA87-4000-A1FF-7A598EFA0364}">
  <sheetPr>
    <tabColor rgb="FF00B0F0"/>
  </sheetPr>
  <dimension ref="A1:AW52"/>
  <sheetViews>
    <sheetView zoomScale="85" zoomScaleNormal="85" workbookViewId="0">
      <pane xSplit="3" ySplit="7" topLeftCell="D8" activePane="bottomRight" state="frozen"/>
      <selection pane="topRight"/>
      <selection pane="bottomLeft"/>
      <selection pane="bottomRight" activeCell="K1" sqref="K1"/>
    </sheetView>
  </sheetViews>
  <sheetFormatPr defaultRowHeight="14.5" outlineLevelCol="1" x14ac:dyDescent="0.35"/>
  <cols>
    <col min="1" max="1" width="6.90625" customWidth="1"/>
    <col min="2" max="2" width="4.54296875" customWidth="1"/>
    <col min="3" max="3" width="12" customWidth="1"/>
    <col min="4" max="11" width="10.81640625" bestFit="1" customWidth="1"/>
    <col min="12" max="12" width="10.81640625" bestFit="1" customWidth="1" outlineLevel="1"/>
    <col min="13" max="15" width="8.81640625" customWidth="1" outlineLevel="1"/>
    <col min="16" max="16" width="11.90625" bestFit="1" customWidth="1"/>
    <col min="17" max="17" width="10.1796875" bestFit="1" customWidth="1"/>
    <col min="18" max="19" width="10.1796875" customWidth="1"/>
    <col min="20" max="20" width="1.90625" customWidth="1"/>
    <col min="21" max="32" width="8.81640625" hidden="1" customWidth="1" outlineLevel="1"/>
    <col min="33" max="33" width="9.81640625" customWidth="1" collapsed="1"/>
    <col min="34" max="34" width="11.36328125" customWidth="1"/>
    <col min="35" max="35" width="1.90625" customWidth="1"/>
    <col min="36" max="47" width="8.81640625" hidden="1" customWidth="1" outlineLevel="1"/>
    <col min="48" max="48" width="11.90625" bestFit="1" customWidth="1" collapsed="1"/>
    <col min="49" max="49" width="10.1796875" bestFit="1" customWidth="1"/>
  </cols>
  <sheetData>
    <row r="1" spans="1:49" ht="21" x14ac:dyDescent="0.5">
      <c r="A1" s="528" t="s">
        <v>587</v>
      </c>
      <c r="C1" s="297" t="s">
        <v>412</v>
      </c>
      <c r="G1" s="377"/>
    </row>
    <row r="2" spans="1:49" hidden="1" x14ac:dyDescent="0.35"/>
    <row r="3" spans="1:49" hidden="1" x14ac:dyDescent="0.35"/>
    <row r="4" spans="1:49" x14ac:dyDescent="0.35">
      <c r="B4" s="412"/>
      <c r="F4" s="253"/>
      <c r="G4" s="253"/>
    </row>
    <row r="5" spans="1:49" ht="18.5" x14ac:dyDescent="0.45">
      <c r="B5" s="178" t="s">
        <v>406</v>
      </c>
      <c r="C5" s="98" t="s">
        <v>257</v>
      </c>
      <c r="F5" s="253"/>
      <c r="P5" s="587">
        <f>SUM(P8:P12)</f>
        <v>38046.859699999986</v>
      </c>
    </row>
    <row r="6" spans="1:49" x14ac:dyDescent="0.35">
      <c r="B6" s="328"/>
      <c r="C6" s="328">
        <v>1</v>
      </c>
      <c r="D6" s="328">
        <f>COLUMNS($C$6:D6)</f>
        <v>2</v>
      </c>
      <c r="E6" s="328">
        <f>COLUMNS($C$6:E6)</f>
        <v>3</v>
      </c>
      <c r="F6" s="328">
        <f>COLUMNS($C$6:F6)</f>
        <v>4</v>
      </c>
      <c r="G6" s="328">
        <f>COLUMNS($C$6:G6)</f>
        <v>5</v>
      </c>
      <c r="H6" s="328">
        <f>COLUMNS($C$6:H6)</f>
        <v>6</v>
      </c>
      <c r="I6" s="328">
        <f>COLUMNS($C$6:I6)</f>
        <v>7</v>
      </c>
      <c r="J6" s="328">
        <f>COLUMNS($C$6:J6)</f>
        <v>8</v>
      </c>
      <c r="K6" s="328">
        <f>COLUMNS($C$6:K6)</f>
        <v>9</v>
      </c>
      <c r="L6" s="328">
        <f>COLUMNS($C$6:L6)</f>
        <v>10</v>
      </c>
      <c r="M6" s="328">
        <f>COLUMNS($C$6:M6)</f>
        <v>11</v>
      </c>
      <c r="N6" s="328">
        <f>COLUMNS($C$6:N6)</f>
        <v>12</v>
      </c>
      <c r="O6" s="328">
        <f>COLUMNS($C$6:O6)</f>
        <v>13</v>
      </c>
      <c r="P6" s="328">
        <f>COLUMNS($C$6:P6)</f>
        <v>14</v>
      </c>
      <c r="Q6" s="328">
        <f>COLUMNS($C$6:Q6)</f>
        <v>15</v>
      </c>
      <c r="R6" s="328"/>
      <c r="S6" s="328"/>
      <c r="U6" s="328">
        <f>COLUMNS($C$6:U6)</f>
        <v>19</v>
      </c>
    </row>
    <row r="7" spans="1:49" x14ac:dyDescent="0.35">
      <c r="B7" s="276" t="s">
        <v>174</v>
      </c>
      <c r="C7" s="276"/>
      <c r="D7" s="276">
        <v>1</v>
      </c>
      <c r="E7" s="276">
        <v>2</v>
      </c>
      <c r="F7" s="276">
        <v>3</v>
      </c>
      <c r="G7" s="276">
        <v>4</v>
      </c>
      <c r="H7" s="276">
        <v>5</v>
      </c>
      <c r="I7" s="276">
        <v>6</v>
      </c>
      <c r="J7" s="276">
        <v>7</v>
      </c>
      <c r="K7" s="276">
        <v>8</v>
      </c>
      <c r="L7" s="276">
        <v>9</v>
      </c>
      <c r="M7" s="276">
        <v>10</v>
      </c>
      <c r="N7" s="276">
        <v>11</v>
      </c>
      <c r="O7" s="276">
        <v>12</v>
      </c>
      <c r="P7" s="276" t="s">
        <v>421</v>
      </c>
      <c r="Q7" s="276" t="s">
        <v>387</v>
      </c>
      <c r="R7" s="276" t="s">
        <v>388</v>
      </c>
      <c r="S7" s="276" t="s">
        <v>383</v>
      </c>
      <c r="T7" s="282"/>
      <c r="U7" s="325">
        <v>1</v>
      </c>
      <c r="V7" s="325">
        <v>2</v>
      </c>
      <c r="W7" s="325">
        <v>3</v>
      </c>
      <c r="X7" s="325">
        <v>4</v>
      </c>
      <c r="Y7" s="325">
        <v>5</v>
      </c>
      <c r="Z7" s="325">
        <v>6</v>
      </c>
      <c r="AA7" s="325">
        <v>7</v>
      </c>
      <c r="AB7" s="325">
        <v>8</v>
      </c>
      <c r="AC7" s="325">
        <v>9</v>
      </c>
      <c r="AD7" s="325">
        <v>10</v>
      </c>
      <c r="AE7" s="325">
        <v>11</v>
      </c>
      <c r="AF7" s="325">
        <v>12</v>
      </c>
      <c r="AG7" s="648" t="s">
        <v>389</v>
      </c>
      <c r="AH7" s="648" t="s">
        <v>388</v>
      </c>
      <c r="AI7" s="282"/>
      <c r="AJ7" s="326">
        <v>1</v>
      </c>
      <c r="AK7" s="326">
        <v>2</v>
      </c>
      <c r="AL7" s="326">
        <v>3</v>
      </c>
      <c r="AM7" s="326">
        <v>4</v>
      </c>
      <c r="AN7" s="326">
        <v>5</v>
      </c>
      <c r="AO7" s="326">
        <v>6</v>
      </c>
      <c r="AP7" s="326">
        <v>7</v>
      </c>
      <c r="AQ7" s="326">
        <v>8</v>
      </c>
      <c r="AR7" s="326">
        <v>9</v>
      </c>
      <c r="AS7" s="326">
        <v>10</v>
      </c>
      <c r="AT7" s="326">
        <v>11</v>
      </c>
      <c r="AU7" s="326">
        <v>12</v>
      </c>
      <c r="AV7" s="326" t="s">
        <v>384</v>
      </c>
      <c r="AW7" s="326" t="s">
        <v>383</v>
      </c>
    </row>
    <row r="8" spans="1:49" x14ac:dyDescent="0.35">
      <c r="B8" s="539">
        <v>1</v>
      </c>
      <c r="C8" s="456" t="s">
        <v>283</v>
      </c>
      <c r="D8" s="600">
        <f>SUMIFS('01. KE30'!$I:$I,'01. KE30'!$E:$E,'04. BC - Nhóm hàng'!$C8,'01. KE30'!$A:$A,'04. BC - Nhóm hàng'!D$7)/1000</f>
        <v>3296.1493</v>
      </c>
      <c r="E8" s="600">
        <f>SUMIFS('01. KE30'!$I:$I,'01. KE30'!$E:$E,'04. BC - Nhóm hàng'!$C8,'01. KE30'!$A:$A,'04. BC - Nhóm hàng'!E$7)/1000</f>
        <v>5148</v>
      </c>
      <c r="F8" s="600">
        <f>SUMIFS('01. KE30'!$I:$I,'01. KE30'!$E:$E,'04. BC - Nhóm hàng'!$C8,'01. KE30'!$A:$A,'04. BC - Nhóm hàng'!F$7)/1000</f>
        <v>4019.3</v>
      </c>
      <c r="G8" s="600">
        <f>SUMIFS('01. KE30'!$I:$I,'01. KE30'!$E:$E,'04. BC - Nhóm hàng'!$C8,'01. KE30'!$A:$A,'04. BC - Nhóm hàng'!G$7)/1000</f>
        <v>3574.4</v>
      </c>
      <c r="H8" s="600">
        <f>SUMIFS('01. KE30'!$I:$I,'01. KE30'!$E:$E,'04. BC - Nhóm hàng'!$C8,'01. KE30'!$A:$A,'04. BC - Nhóm hàng'!H$7)/1000</f>
        <v>4207.0102999999999</v>
      </c>
      <c r="I8" s="600">
        <f>SUMIFS('01. KE30'!$I:$I,'01. KE30'!$E:$E,'04. BC - Nhóm hàng'!$C8,'01. KE30'!$A:$A,'04. BC - Nhóm hàng'!I$7)/1000</f>
        <v>3103.0830000000001</v>
      </c>
      <c r="J8" s="600">
        <f>SUMIFS('01. KE30'!$I:$I,'01. KE30'!$E:$E,'04. BC - Nhóm hàng'!$C8,'01. KE30'!$A:$A,'04. BC - Nhóm hàng'!J$7)/1000</f>
        <v>3670.3490999999999</v>
      </c>
      <c r="K8" s="600">
        <f>SUMIFS('01. KE30'!$I:$I,'01. KE30'!$E:$E,'04. BC - Nhóm hàng'!$C8,'01. KE30'!$A:$A,'04. BC - Nhóm hàng'!K$7)/1000</f>
        <v>4344.5929999999998</v>
      </c>
      <c r="L8" s="600">
        <f>SUMIFS('01. KE30'!$I:$I,'01. KE30'!$E:$E,'04. BC - Nhóm hàng'!$C8,'01. KE30'!$A:$A,'04. BC - Nhóm hàng'!L$7)/1000</f>
        <v>1787</v>
      </c>
      <c r="M8" s="600">
        <f>SUMIFS('01. KE30'!$I:$I,'01. KE30'!$E:$E,'04. BC - Nhóm hàng'!$C8,'01. KE30'!$A:$A,'04. BC - Nhóm hàng'!M$7)/1000</f>
        <v>0</v>
      </c>
      <c r="N8" s="600">
        <f>SUMIFS('01. KE30'!$I:$I,'01. KE30'!$E:$E,'04. BC - Nhóm hàng'!$C8,'01. KE30'!$A:$A,'04. BC - Nhóm hàng'!N$7)/1000</f>
        <v>0</v>
      </c>
      <c r="O8" s="600">
        <f>SUMIFS('01. KE30'!$I:$I,'01. KE30'!$E:$E,'04. BC - Nhóm hàng'!$C8,'01. KE30'!$A:$A,'04. BC - Nhóm hàng'!O$7)/1000</f>
        <v>0</v>
      </c>
      <c r="P8" s="1024">
        <f>SUM(D8:O8)</f>
        <v>33149.884699999995</v>
      </c>
      <c r="Q8" s="1016">
        <f>IFERROR(P8/(12-COUNTIF(D8:O8,0)),0)</f>
        <v>3683.3205222222218</v>
      </c>
      <c r="R8" s="1016">
        <f>AH8</f>
        <v>4053.3516666666669</v>
      </c>
      <c r="S8" s="1016">
        <f>AW8</f>
        <v>2706.7035999999998</v>
      </c>
      <c r="U8" s="330">
        <f>'03. TH_ XK-B2B'!U6+'03. TH_ XK-B2B'!U22</f>
        <v>2716.29</v>
      </c>
      <c r="V8" s="330">
        <f>'03. TH_ XK-B2B'!V6+'03. TH_ XK-B2B'!V22</f>
        <v>3222.29</v>
      </c>
      <c r="W8" s="330">
        <f>'03. TH_ XK-B2B'!W6+'03. TH_ XK-B2B'!W22</f>
        <v>3018.89</v>
      </c>
      <c r="X8" s="330">
        <f>'03. TH_ XK-B2B'!X6+'03. TH_ XK-B2B'!X22</f>
        <v>3087.24</v>
      </c>
      <c r="Y8" s="330">
        <f>'03. TH_ XK-B2B'!Y6+'03. TH_ XK-B2B'!Y22</f>
        <v>4135.54</v>
      </c>
      <c r="Z8" s="330">
        <f>'03. TH_ XK-B2B'!Z6+'03. TH_ XK-B2B'!Z22</f>
        <v>3943.54</v>
      </c>
      <c r="AA8" s="330">
        <f>'03. TH_ XK-B2B'!AA6+'03. TH_ XK-B2B'!AA22</f>
        <v>4435.54</v>
      </c>
      <c r="AB8" s="330">
        <f>'03. TH_ XK-B2B'!AB6+'03. TH_ XK-B2B'!AB22</f>
        <v>4349.54</v>
      </c>
      <c r="AC8" s="330">
        <f>'03. TH_ XK-B2B'!AC6+'03. TH_ XK-B2B'!AC22</f>
        <v>5075.54</v>
      </c>
      <c r="AD8" s="330">
        <f>'03. TH_ XK-B2B'!AD6+'03. TH_ XK-B2B'!AD22</f>
        <v>5302.26</v>
      </c>
      <c r="AE8" s="330">
        <f>'03. TH_ XK-B2B'!AE6+'03. TH_ XK-B2B'!AE22</f>
        <v>4678.78</v>
      </c>
      <c r="AF8" s="330">
        <f>'03. TH_ XK-B2B'!AF6+'03. TH_ XK-B2B'!AF22</f>
        <v>4674.7700000000004</v>
      </c>
      <c r="AG8" s="335">
        <f>SUM(U8:AF8)</f>
        <v>48640.22</v>
      </c>
      <c r="AH8" s="330">
        <f>IFERROR(AVERAGE(U8:AF8),0)</f>
        <v>4053.3516666666669</v>
      </c>
      <c r="AJ8" s="330">
        <v>1901.95</v>
      </c>
      <c r="AK8" s="330">
        <v>1962.4</v>
      </c>
      <c r="AL8" s="330">
        <v>2680.4250000000002</v>
      </c>
      <c r="AM8" s="330">
        <v>2733.7249999999999</v>
      </c>
      <c r="AN8" s="330">
        <v>2882.9250000000002</v>
      </c>
      <c r="AO8" s="330">
        <v>1564.1</v>
      </c>
      <c r="AP8" s="330">
        <v>1508</v>
      </c>
      <c r="AQ8" s="330">
        <v>4428.6181999999999</v>
      </c>
      <c r="AR8" s="330">
        <v>4320.3</v>
      </c>
      <c r="AS8" s="330">
        <v>3089</v>
      </c>
      <c r="AT8" s="330">
        <v>1780.9</v>
      </c>
      <c r="AU8" s="330">
        <v>3628.1</v>
      </c>
      <c r="AV8" s="335">
        <f>SUM(AJ8:AU8)</f>
        <v>32480.443199999998</v>
      </c>
      <c r="AW8" s="330">
        <f>IFERROR(AVERAGE(AJ8:AU8),0)</f>
        <v>2706.7035999999998</v>
      </c>
    </row>
    <row r="9" spans="1:49" x14ac:dyDescent="0.35">
      <c r="B9" s="598">
        <v>2</v>
      </c>
      <c r="C9" s="457" t="s">
        <v>265</v>
      </c>
      <c r="D9" s="600">
        <f>SUMIFS('01. KE30'!$I:$I,'01. KE30'!$E:$E,'04. BC - Nhóm hàng'!$C9,'01. KE30'!$A:$A,'04. BC - Nhóm hàng'!D$7)/1000</f>
        <v>164.85</v>
      </c>
      <c r="E9" s="600">
        <f>SUMIFS('01. KE30'!$I:$I,'01. KE30'!$E:$E,'04. BC - Nhóm hàng'!$C9,'01. KE30'!$A:$A,'04. BC - Nhóm hàng'!E$7)/1000</f>
        <v>211</v>
      </c>
      <c r="F9" s="600">
        <f>SUMIFS('01. KE30'!$I:$I,'01. KE30'!$E:$E,'04. BC - Nhóm hàng'!$C9,'01. KE30'!$A:$A,'04. BC - Nhóm hàng'!F$7)/1000</f>
        <v>359.77499999999998</v>
      </c>
      <c r="G9" s="600">
        <f>SUMIFS('01. KE30'!$I:$I,'01. KE30'!$E:$E,'04. BC - Nhóm hàng'!$C9,'01. KE30'!$A:$A,'04. BC - Nhóm hàng'!G$7)/1000</f>
        <v>154.25</v>
      </c>
      <c r="H9" s="600">
        <f>SUMIFS('01. KE30'!$I:$I,'01. KE30'!$E:$E,'04. BC - Nhóm hàng'!$C9,'01. KE30'!$A:$A,'04. BC - Nhóm hàng'!H$7)/1000</f>
        <v>193.875</v>
      </c>
      <c r="I9" s="600">
        <f>SUMIFS('01. KE30'!$I:$I,'01. KE30'!$E:$E,'04. BC - Nhóm hàng'!$C9,'01. KE30'!$A:$A,'04. BC - Nhóm hàng'!I$7)/1000</f>
        <v>260.85000000000002</v>
      </c>
      <c r="J9" s="600">
        <f>SUMIFS('01. KE30'!$I:$I,'01. KE30'!$E:$E,'04. BC - Nhóm hàng'!$C9,'01. KE30'!$A:$A,'04. BC - Nhóm hàng'!J$7)/1000</f>
        <v>211.75</v>
      </c>
      <c r="K9" s="600">
        <f>SUMIFS('01. KE30'!$I:$I,'01. KE30'!$E:$E,'04. BC - Nhóm hàng'!$C9,'01. KE30'!$A:$A,'04. BC - Nhóm hàng'!K$7)/1000</f>
        <v>361.1</v>
      </c>
      <c r="L9" s="600">
        <f>SUMIFS('01. KE30'!$I:$I,'01. KE30'!$E:$E,'04. BC - Nhóm hàng'!$C9,'01. KE30'!$A:$A,'04. BC - Nhóm hàng'!L$7)/1000</f>
        <v>254.375</v>
      </c>
      <c r="M9" s="600">
        <f>SUMIFS('01. KE30'!$I:$I,'01. KE30'!$E:$E,'04. BC - Nhóm hàng'!$C9,'01. KE30'!$A:$A,'04. BC - Nhóm hàng'!M$7)/1000</f>
        <v>0</v>
      </c>
      <c r="N9" s="600">
        <f>SUMIFS('01. KE30'!$I:$I,'01. KE30'!$E:$E,'04. BC - Nhóm hàng'!$C9,'01. KE30'!$A:$A,'04. BC - Nhóm hàng'!N$7)/1000</f>
        <v>0</v>
      </c>
      <c r="O9" s="600">
        <f>SUMIFS('01. KE30'!$I:$I,'01. KE30'!$E:$E,'04. BC - Nhóm hàng'!$C9,'01. KE30'!$A:$A,'04. BC - Nhóm hàng'!O$7)/1000</f>
        <v>0</v>
      </c>
      <c r="P9" s="1025">
        <f t="shared" ref="P9:P15" si="0">SUM(D9:O9)</f>
        <v>2171.8249999999998</v>
      </c>
      <c r="Q9" s="1017">
        <f t="shared" ref="Q9:Q15" si="1">IFERROR(P9/(12-COUNTIF(D9:O9,0)),0)</f>
        <v>241.31388888888887</v>
      </c>
      <c r="R9" s="1017">
        <f t="shared" ref="R9:R15" si="2">AH9</f>
        <v>633.33333333333337</v>
      </c>
      <c r="S9" s="1017">
        <f t="shared" ref="S9:S15" si="3">AW9</f>
        <v>144.52916666666667</v>
      </c>
      <c r="U9" s="331">
        <f>'03. TH_ XK-B2B'!U8+'03. TH_ XK-B2B'!U24</f>
        <v>240</v>
      </c>
      <c r="V9" s="331">
        <f>'03. TH_ XK-B2B'!V8+'03. TH_ XK-B2B'!V24</f>
        <v>351</v>
      </c>
      <c r="W9" s="331">
        <f>'03. TH_ XK-B2B'!W8+'03. TH_ XK-B2B'!W24</f>
        <v>399</v>
      </c>
      <c r="X9" s="331">
        <f>'03. TH_ XK-B2B'!X8+'03. TH_ XK-B2B'!X24</f>
        <v>528</v>
      </c>
      <c r="Y9" s="331">
        <f>'03. TH_ XK-B2B'!Y8+'03. TH_ XK-B2B'!Y24</f>
        <v>563</v>
      </c>
      <c r="Z9" s="331">
        <f>'03. TH_ XK-B2B'!Z8+'03. TH_ XK-B2B'!Z24</f>
        <v>588.5</v>
      </c>
      <c r="AA9" s="331">
        <f>'03. TH_ XK-B2B'!AA8+'03. TH_ XK-B2B'!AA24</f>
        <v>694.5</v>
      </c>
      <c r="AB9" s="331">
        <f>'03. TH_ XK-B2B'!AB8+'03. TH_ XK-B2B'!AB24</f>
        <v>762.5</v>
      </c>
      <c r="AC9" s="331">
        <f>'03. TH_ XK-B2B'!AC8+'03. TH_ XK-B2B'!AC24</f>
        <v>803.5</v>
      </c>
      <c r="AD9" s="331">
        <f>'03. TH_ XK-B2B'!AD8+'03. TH_ XK-B2B'!AD24</f>
        <v>827</v>
      </c>
      <c r="AE9" s="331">
        <f>'03. TH_ XK-B2B'!AE8+'03. TH_ XK-B2B'!AE24</f>
        <v>927</v>
      </c>
      <c r="AF9" s="331">
        <f>'03. TH_ XK-B2B'!AF8+'03. TH_ XK-B2B'!AF24</f>
        <v>916</v>
      </c>
      <c r="AG9" s="336">
        <f t="shared" ref="AG9:AG15" si="4">SUM(U9:AF9)</f>
        <v>7600</v>
      </c>
      <c r="AH9" s="331">
        <f t="shared" ref="AH9:AH15" si="5">IFERROR(AVERAGE(U9:AF9),0)</f>
        <v>633.33333333333337</v>
      </c>
      <c r="AJ9" s="331">
        <v>181.875</v>
      </c>
      <c r="AK9" s="331">
        <v>100</v>
      </c>
      <c r="AL9" s="331">
        <v>159.9</v>
      </c>
      <c r="AM9" s="331">
        <v>182.625</v>
      </c>
      <c r="AN9" s="331">
        <v>149.4</v>
      </c>
      <c r="AO9" s="331">
        <v>115.5</v>
      </c>
      <c r="AP9" s="331">
        <v>108.625</v>
      </c>
      <c r="AQ9" s="331">
        <v>119.625</v>
      </c>
      <c r="AR9" s="331">
        <v>133.02500000000001</v>
      </c>
      <c r="AS9" s="331">
        <v>165</v>
      </c>
      <c r="AT9" s="331">
        <v>115.55</v>
      </c>
      <c r="AU9" s="331">
        <v>203.22499999999999</v>
      </c>
      <c r="AV9" s="336">
        <f t="shared" ref="AV9:AV16" si="6">SUM(AJ9:AU9)</f>
        <v>1734.35</v>
      </c>
      <c r="AW9" s="331">
        <f t="shared" ref="AW9:AW15" si="7">IFERROR(AVERAGE(AJ9:AU9),0)</f>
        <v>144.52916666666667</v>
      </c>
    </row>
    <row r="10" spans="1:49" x14ac:dyDescent="0.35">
      <c r="B10" s="598">
        <v>3</v>
      </c>
      <c r="C10" s="457" t="s">
        <v>266</v>
      </c>
      <c r="D10" s="600">
        <f>SUMIFS('01. KE30'!$I:$I,'01. KE30'!$E:$E,'04. BC - Nhóm hàng'!$C10,'01. KE30'!$A:$A,'04. BC - Nhóm hàng'!D$7)/1000</f>
        <v>16</v>
      </c>
      <c r="E10" s="600">
        <f>SUMIFS('01. KE30'!$I:$I,'01. KE30'!$E:$E,'04. BC - Nhóm hàng'!$C10,'01. KE30'!$A:$A,'04. BC - Nhóm hàng'!E$7)/1000</f>
        <v>100.5</v>
      </c>
      <c r="F10" s="600">
        <f>SUMIFS('01. KE30'!$I:$I,'01. KE30'!$E:$E,'04. BC - Nhóm hàng'!$C10,'01. KE30'!$A:$A,'04. BC - Nhóm hàng'!F$7)/1000</f>
        <v>115.05</v>
      </c>
      <c r="G10" s="600">
        <f>SUMIFS('01. KE30'!$I:$I,'01. KE30'!$E:$E,'04. BC - Nhóm hàng'!$C10,'01. KE30'!$A:$A,'04. BC - Nhóm hàng'!G$7)/1000</f>
        <v>114.6</v>
      </c>
      <c r="H10" s="600">
        <f>SUMIFS('01. KE30'!$I:$I,'01. KE30'!$E:$E,'04. BC - Nhóm hàng'!$C10,'01. KE30'!$A:$A,'04. BC - Nhóm hàng'!H$7)/1000</f>
        <v>157.75</v>
      </c>
      <c r="I10" s="600">
        <f>SUMIFS('01. KE30'!$I:$I,'01. KE30'!$E:$E,'04. BC - Nhóm hàng'!$C10,'01. KE30'!$A:$A,'04. BC - Nhóm hàng'!I$7)/1000</f>
        <v>138.375</v>
      </c>
      <c r="J10" s="600">
        <f>SUMIFS('01. KE30'!$I:$I,'01. KE30'!$E:$E,'04. BC - Nhóm hàng'!$C10,'01. KE30'!$A:$A,'04. BC - Nhóm hàng'!J$7)/1000</f>
        <v>59.674999999999997</v>
      </c>
      <c r="K10" s="600">
        <f>SUMIFS('01. KE30'!$I:$I,'01. KE30'!$E:$E,'04. BC - Nhóm hàng'!$C10,'01. KE30'!$A:$A,'04. BC - Nhóm hàng'!K$7)/1000</f>
        <v>145.77500000000001</v>
      </c>
      <c r="L10" s="600">
        <f>SUMIFS('01. KE30'!$I:$I,'01. KE30'!$E:$E,'04. BC - Nhóm hàng'!$C10,'01. KE30'!$A:$A,'04. BC - Nhóm hàng'!L$7)/1000</f>
        <v>353.75</v>
      </c>
      <c r="M10" s="600">
        <f>SUMIFS('01. KE30'!$I:$I,'01. KE30'!$E:$E,'04. BC - Nhóm hàng'!$C10,'01. KE30'!$A:$A,'04. BC - Nhóm hàng'!M$7)/1000</f>
        <v>0</v>
      </c>
      <c r="N10" s="600">
        <f>SUMIFS('01. KE30'!$I:$I,'01. KE30'!$E:$E,'04. BC - Nhóm hàng'!$C10,'01. KE30'!$A:$A,'04. BC - Nhóm hàng'!N$7)/1000</f>
        <v>0</v>
      </c>
      <c r="O10" s="600">
        <f>SUMIFS('01. KE30'!$I:$I,'01. KE30'!$E:$E,'04. BC - Nhóm hàng'!$C10,'01. KE30'!$A:$A,'04. BC - Nhóm hàng'!O$7)/1000</f>
        <v>0</v>
      </c>
      <c r="P10" s="1025">
        <f t="shared" si="0"/>
        <v>1201.4749999999999</v>
      </c>
      <c r="Q10" s="1017">
        <f t="shared" si="1"/>
        <v>133.49722222222221</v>
      </c>
      <c r="R10" s="1017">
        <f t="shared" si="2"/>
        <v>116.66666666666667</v>
      </c>
      <c r="S10" s="1017">
        <f t="shared" si="3"/>
        <v>27.695833333333329</v>
      </c>
      <c r="U10" s="331">
        <f>'03. TH_ XK-B2B'!U9+'03. TH_ XK-B2B'!U10+'03. TH_ XK-B2B'!U25+'03. TH_ XK-B2B'!U26</f>
        <v>20</v>
      </c>
      <c r="V10" s="331">
        <f>'03. TH_ XK-B2B'!V9+'03. TH_ XK-B2B'!V10+'03. TH_ XK-B2B'!V25+'03. TH_ XK-B2B'!V26</f>
        <v>15</v>
      </c>
      <c r="W10" s="331">
        <f>'03. TH_ XK-B2B'!W9+'03. TH_ XK-B2B'!W10+'03. TH_ XK-B2B'!W25+'03. TH_ XK-B2B'!W26</f>
        <v>59.75</v>
      </c>
      <c r="X10" s="331">
        <f>'03. TH_ XK-B2B'!X9+'03. TH_ XK-B2B'!X10+'03. TH_ XK-B2B'!X25+'03. TH_ XK-B2B'!X26</f>
        <v>145.25</v>
      </c>
      <c r="Y10" s="331">
        <f>'03. TH_ XK-B2B'!Y9+'03. TH_ XK-B2B'!Y10+'03. TH_ XK-B2B'!Y25+'03. TH_ XK-B2B'!Y26</f>
        <v>125.25</v>
      </c>
      <c r="Z10" s="331">
        <f>'03. TH_ XK-B2B'!Z9+'03. TH_ XK-B2B'!Z10+'03. TH_ XK-B2B'!Z25+'03. TH_ XK-B2B'!Z26</f>
        <v>132.75</v>
      </c>
      <c r="AA10" s="331">
        <f>'03. TH_ XK-B2B'!AA9+'03. TH_ XK-B2B'!AA10+'03. TH_ XK-B2B'!AA25+'03. TH_ XK-B2B'!AA26</f>
        <v>137.75</v>
      </c>
      <c r="AB10" s="331">
        <f>'03. TH_ XK-B2B'!AB9+'03. TH_ XK-B2B'!AB10+'03. TH_ XK-B2B'!AB25+'03. TH_ XK-B2B'!AB26</f>
        <v>145.25</v>
      </c>
      <c r="AC10" s="331">
        <f>'03. TH_ XK-B2B'!AC9+'03. TH_ XK-B2B'!AC10+'03. TH_ XK-B2B'!AC25+'03. TH_ XK-B2B'!AC26</f>
        <v>150.25</v>
      </c>
      <c r="AD10" s="331">
        <f>'03. TH_ XK-B2B'!AD9+'03. TH_ XK-B2B'!AD10+'03. TH_ XK-B2B'!AD25+'03. TH_ XK-B2B'!AD26</f>
        <v>150.25</v>
      </c>
      <c r="AE10" s="331">
        <f>'03. TH_ XK-B2B'!AE9+'03. TH_ XK-B2B'!AE10+'03. TH_ XK-B2B'!AE25+'03. TH_ XK-B2B'!AE26</f>
        <v>155.75</v>
      </c>
      <c r="AF10" s="331">
        <f>'03. TH_ XK-B2B'!AF9+'03. TH_ XK-B2B'!AF10+'03. TH_ XK-B2B'!AF25+'03. TH_ XK-B2B'!AF26</f>
        <v>162.75</v>
      </c>
      <c r="AG10" s="336">
        <f t="shared" si="4"/>
        <v>1400</v>
      </c>
      <c r="AH10" s="331">
        <f t="shared" si="5"/>
        <v>116.66666666666667</v>
      </c>
      <c r="AJ10" s="331">
        <v>32.5</v>
      </c>
      <c r="AK10" s="331">
        <v>36.950000000000003</v>
      </c>
      <c r="AL10" s="331">
        <v>12</v>
      </c>
      <c r="AM10" s="331">
        <v>28.4</v>
      </c>
      <c r="AN10" s="331">
        <v>46.5</v>
      </c>
      <c r="AO10" s="331">
        <v>11</v>
      </c>
      <c r="AP10" s="331">
        <v>2.2999999999999998</v>
      </c>
      <c r="AQ10" s="331">
        <v>21.5</v>
      </c>
      <c r="AR10" s="331">
        <v>10.25</v>
      </c>
      <c r="AS10" s="331">
        <v>70.5</v>
      </c>
      <c r="AT10" s="331">
        <v>42.45</v>
      </c>
      <c r="AU10" s="331">
        <v>18</v>
      </c>
      <c r="AV10" s="336">
        <f t="shared" si="6"/>
        <v>332.34999999999997</v>
      </c>
      <c r="AW10" s="331">
        <f t="shared" si="7"/>
        <v>27.695833333333329</v>
      </c>
    </row>
    <row r="11" spans="1:49" x14ac:dyDescent="0.35">
      <c r="B11" s="598">
        <v>4</v>
      </c>
      <c r="C11" s="457" t="s">
        <v>23</v>
      </c>
      <c r="D11" s="600">
        <f>SUMIFS('01. KE30'!$I:$I,'01. KE30'!$E:$E,'04. BC - Nhóm hàng'!$C11,'01. KE30'!$A:$A,'04. BC - Nhóm hàng'!D$7)/1000</f>
        <v>0</v>
      </c>
      <c r="E11" s="600">
        <f>SUMIFS('01. KE30'!$I:$I,'01. KE30'!$E:$E,'04. BC - Nhóm hàng'!$C11,'01. KE30'!$A:$A,'04. BC - Nhóm hàng'!E$7)/1000</f>
        <v>0.67500000000000004</v>
      </c>
      <c r="F11" s="600">
        <f>SUMIFS('01. KE30'!$I:$I,'01. KE30'!$E:$E,'04. BC - Nhóm hàng'!$C11,'01. KE30'!$A:$A,'04. BC - Nhóm hàng'!F$7)/1000</f>
        <v>52.924999999999997</v>
      </c>
      <c r="G11" s="600">
        <f>SUMIFS('01. KE30'!$I:$I,'01. KE30'!$E:$E,'04. BC - Nhóm hàng'!$C11,'01. KE30'!$A:$A,'04. BC - Nhóm hàng'!G$7)/1000</f>
        <v>6.6749999999999998</v>
      </c>
      <c r="H11" s="600">
        <f>SUMIFS('01. KE30'!$I:$I,'01. KE30'!$E:$E,'04. BC - Nhóm hàng'!$C11,'01. KE30'!$A:$A,'04. BC - Nhóm hàng'!H$7)/1000</f>
        <v>20.25</v>
      </c>
      <c r="I11" s="600">
        <f>SUMIFS('01. KE30'!$I:$I,'01. KE30'!$E:$E,'04. BC - Nhóm hàng'!$C11,'01. KE30'!$A:$A,'04. BC - Nhóm hàng'!I$7)/1000</f>
        <v>24</v>
      </c>
      <c r="J11" s="600">
        <f>SUMIFS('01. KE30'!$I:$I,'01. KE30'!$E:$E,'04. BC - Nhóm hàng'!$C11,'01. KE30'!$A:$A,'04. BC - Nhóm hàng'!J$7)/1000</f>
        <v>50.85</v>
      </c>
      <c r="K11" s="600">
        <f>SUMIFS('01. KE30'!$I:$I,'01. KE30'!$E:$E,'04. BC - Nhóm hàng'!$C11,'01. KE30'!$A:$A,'04. BC - Nhóm hàng'!K$7)/1000</f>
        <v>16.55</v>
      </c>
      <c r="L11" s="600">
        <f>SUMIFS('01. KE30'!$I:$I,'01. KE30'!$E:$E,'04. BC - Nhóm hàng'!$C11,'01. KE30'!$A:$A,'04. BC - Nhóm hàng'!L$7)/1000</f>
        <v>51.55</v>
      </c>
      <c r="M11" s="600">
        <f>SUMIFS('01. KE30'!$I:$I,'01. KE30'!$E:$E,'04. BC - Nhóm hàng'!$C11,'01. KE30'!$A:$A,'04. BC - Nhóm hàng'!M$7)/1000</f>
        <v>0</v>
      </c>
      <c r="N11" s="600">
        <f>SUMIFS('01. KE30'!$I:$I,'01. KE30'!$E:$E,'04. BC - Nhóm hàng'!$C11,'01. KE30'!$A:$A,'04. BC - Nhóm hàng'!N$7)/1000</f>
        <v>0</v>
      </c>
      <c r="O11" s="600">
        <f>SUMIFS('01. KE30'!$I:$I,'01. KE30'!$E:$E,'04. BC - Nhóm hàng'!$C11,'01. KE30'!$A:$A,'04. BC - Nhóm hàng'!O$7)/1000</f>
        <v>0</v>
      </c>
      <c r="P11" s="1025">
        <f t="shared" si="0"/>
        <v>223.47500000000002</v>
      </c>
      <c r="Q11" s="1017">
        <f t="shared" si="1"/>
        <v>27.934375000000003</v>
      </c>
      <c r="R11" s="1017">
        <f t="shared" si="2"/>
        <v>83.315000000000012</v>
      </c>
      <c r="S11" s="1017">
        <f t="shared" si="3"/>
        <v>21.922916666666669</v>
      </c>
      <c r="U11" s="331">
        <f>'03. TH_ XK-B2B'!U11+'03. TH_ XK-B2B'!U12+'03. TH_ XK-B2B'!U27+'03. TH_ XK-B2B'!U28</f>
        <v>50.94</v>
      </c>
      <c r="V11" s="331">
        <f>'03. TH_ XK-B2B'!V11+'03. TH_ XK-B2B'!V12+'03. TH_ XK-B2B'!V27+'03. TH_ XK-B2B'!V28</f>
        <v>60.94</v>
      </c>
      <c r="W11" s="331">
        <f>'03. TH_ XK-B2B'!W11+'03. TH_ XK-B2B'!W12+'03. TH_ XK-B2B'!W27+'03. TH_ XK-B2B'!W28</f>
        <v>86.44</v>
      </c>
      <c r="X11" s="331">
        <f>'03. TH_ XK-B2B'!X11+'03. TH_ XK-B2B'!X12+'03. TH_ XK-B2B'!X27+'03. TH_ XK-B2B'!X28</f>
        <v>71.69</v>
      </c>
      <c r="Y11" s="331">
        <f>'03. TH_ XK-B2B'!Y11+'03. TH_ XK-B2B'!Y12+'03. TH_ XK-B2B'!Y27+'03. TH_ XK-B2B'!Y28</f>
        <v>91.69</v>
      </c>
      <c r="Z11" s="331">
        <f>'03. TH_ XK-B2B'!Z11+'03. TH_ XK-B2B'!Z12+'03. TH_ XK-B2B'!Z27+'03. TH_ XK-B2B'!Z28</f>
        <v>71.44</v>
      </c>
      <c r="AA11" s="331">
        <f>'03. TH_ XK-B2B'!AA11+'03. TH_ XK-B2B'!AA12+'03. TH_ XK-B2B'!AA27+'03. TH_ XK-B2B'!AA28</f>
        <v>101.44</v>
      </c>
      <c r="AB11" s="331">
        <f>'03. TH_ XK-B2B'!AB11+'03. TH_ XK-B2B'!AB12+'03. TH_ XK-B2B'!AB27+'03. TH_ XK-B2B'!AB28</f>
        <v>81.44</v>
      </c>
      <c r="AC11" s="331">
        <f>'03. TH_ XK-B2B'!AC11+'03. TH_ XK-B2B'!AC12+'03. TH_ XK-B2B'!AC27+'03. TH_ XK-B2B'!AC28</f>
        <v>101.44</v>
      </c>
      <c r="AD11" s="331">
        <f>'03. TH_ XK-B2B'!AD11+'03. TH_ XK-B2B'!AD12+'03. TH_ XK-B2B'!AD27+'03. TH_ XK-B2B'!AD28</f>
        <v>87.44</v>
      </c>
      <c r="AE11" s="331">
        <f>'03. TH_ XK-B2B'!AE11+'03. TH_ XK-B2B'!AE12+'03. TH_ XK-B2B'!AE27+'03. TH_ XK-B2B'!AE28</f>
        <v>107.44</v>
      </c>
      <c r="AF11" s="331">
        <f>'03. TH_ XK-B2B'!AF11+'03. TH_ XK-B2B'!AF12+'03. TH_ XK-B2B'!AF27+'03. TH_ XK-B2B'!AF28</f>
        <v>87.44</v>
      </c>
      <c r="AG11" s="336">
        <f t="shared" si="4"/>
        <v>999.7800000000002</v>
      </c>
      <c r="AH11" s="331">
        <f t="shared" si="5"/>
        <v>83.315000000000012</v>
      </c>
      <c r="AJ11" s="331">
        <v>15</v>
      </c>
      <c r="AK11" s="331">
        <v>15</v>
      </c>
      <c r="AL11" s="331">
        <v>56</v>
      </c>
      <c r="AM11" s="331">
        <v>30.5</v>
      </c>
      <c r="AN11" s="331">
        <v>35.25</v>
      </c>
      <c r="AO11" s="331">
        <v>5.25</v>
      </c>
      <c r="AP11" s="331">
        <v>0.3</v>
      </c>
      <c r="AQ11" s="331">
        <v>41.674999999999997</v>
      </c>
      <c r="AR11" s="331">
        <v>2.5000000000000001E-2</v>
      </c>
      <c r="AS11" s="331">
        <v>18.024999999999999</v>
      </c>
      <c r="AT11" s="331">
        <v>22.024999999999999</v>
      </c>
      <c r="AU11" s="331">
        <v>24.024999999999999</v>
      </c>
      <c r="AV11" s="336">
        <f t="shared" si="6"/>
        <v>263.07500000000005</v>
      </c>
      <c r="AW11" s="331">
        <f t="shared" si="7"/>
        <v>21.922916666666669</v>
      </c>
    </row>
    <row r="12" spans="1:49" x14ac:dyDescent="0.35">
      <c r="B12" s="598">
        <v>5</v>
      </c>
      <c r="C12" s="457" t="s">
        <v>95</v>
      </c>
      <c r="D12" s="600">
        <f>SUMIFS('01. KE30'!$I:$I,'01. KE30'!$E:$E,'04. BC - Nhóm hàng'!$C12,'01. KE30'!$A:$A,'04. BC - Nhóm hàng'!D$7)/1000</f>
        <v>11</v>
      </c>
      <c r="E12" s="600">
        <f>SUMIFS('01. KE30'!$I:$I,'01. KE30'!$E:$E,'04. BC - Nhóm hàng'!$C12,'01. KE30'!$A:$A,'04. BC - Nhóm hàng'!E$7)/1000</f>
        <v>16.5</v>
      </c>
      <c r="F12" s="600">
        <f>SUMIFS('01. KE30'!$I:$I,'01. KE30'!$E:$E,'04. BC - Nhóm hàng'!$C12,'01. KE30'!$A:$A,'04. BC - Nhóm hàng'!F$7)/1000</f>
        <v>33</v>
      </c>
      <c r="G12" s="600">
        <f>SUMIFS('01. KE30'!$I:$I,'01. KE30'!$E:$E,'04. BC - Nhóm hàng'!$C12,'01. KE30'!$A:$A,'04. BC - Nhóm hàng'!G$7)/1000</f>
        <v>1</v>
      </c>
      <c r="H12" s="600">
        <f>SUMIFS('01. KE30'!$I:$I,'01. KE30'!$E:$E,'04. BC - Nhóm hàng'!$C12,'01. KE30'!$A:$A,'04. BC - Nhóm hàng'!H$7)/1000</f>
        <v>0</v>
      </c>
      <c r="I12" s="600">
        <f>SUMIFS('01. KE30'!$I:$I,'01. KE30'!$E:$E,'04. BC - Nhóm hàng'!$C12,'01. KE30'!$A:$A,'04. BC - Nhóm hàng'!I$7)/1000</f>
        <v>146.9</v>
      </c>
      <c r="J12" s="600">
        <f>SUMIFS('01. KE30'!$I:$I,'01. KE30'!$E:$E,'04. BC - Nhóm hàng'!$C12,'01. KE30'!$A:$A,'04. BC - Nhóm hàng'!J$7)/1000</f>
        <v>567.79999999999995</v>
      </c>
      <c r="K12" s="600">
        <f>SUMIFS('01. KE30'!$I:$I,'01. KE30'!$E:$E,'04. BC - Nhóm hàng'!$C12,'01. KE30'!$A:$A,'04. BC - Nhóm hàng'!K$7)/1000</f>
        <v>321.35000000000002</v>
      </c>
      <c r="L12" s="600">
        <f>SUMIFS('01. KE30'!$I:$I,'01. KE30'!$E:$E,'04. BC - Nhóm hàng'!$C12,'01. KE30'!$A:$A,'04. BC - Nhóm hàng'!L$7)/1000</f>
        <v>202.65</v>
      </c>
      <c r="M12" s="600">
        <f>SUMIFS('01. KE30'!$I:$I,'01. KE30'!$E:$E,'04. BC - Nhóm hàng'!$C12,'01. KE30'!$A:$A,'04. BC - Nhóm hàng'!M$7)/1000</f>
        <v>0</v>
      </c>
      <c r="N12" s="600">
        <f>SUMIFS('01. KE30'!$I:$I,'01. KE30'!$E:$E,'04. BC - Nhóm hàng'!$C12,'01. KE30'!$A:$A,'04. BC - Nhóm hàng'!N$7)/1000</f>
        <v>0</v>
      </c>
      <c r="O12" s="600">
        <f>SUMIFS('01. KE30'!$I:$I,'01. KE30'!$E:$E,'04. BC - Nhóm hàng'!$C12,'01. KE30'!$A:$A,'04. BC - Nhóm hàng'!O$7)/1000</f>
        <v>0</v>
      </c>
      <c r="P12" s="1025">
        <f t="shared" si="0"/>
        <v>1300.2</v>
      </c>
      <c r="Q12" s="1017">
        <f t="shared" si="1"/>
        <v>162.52500000000001</v>
      </c>
      <c r="R12" s="1017">
        <f t="shared" si="2"/>
        <v>113.33333333333333</v>
      </c>
      <c r="S12" s="1017">
        <f t="shared" si="3"/>
        <v>111.25416666666666</v>
      </c>
      <c r="U12" s="331">
        <f>'03. TH_ XK-B2B'!U23+'03. TH_ XK-B2B'!U7</f>
        <v>20</v>
      </c>
      <c r="V12" s="331">
        <f>'03. TH_ XK-B2B'!V23+'03. TH_ XK-B2B'!V7</f>
        <v>0</v>
      </c>
      <c r="W12" s="331">
        <f>'03. TH_ XK-B2B'!W23+'03. TH_ XK-B2B'!W7</f>
        <v>50</v>
      </c>
      <c r="X12" s="331">
        <f>'03. TH_ XK-B2B'!X23+'03. TH_ XK-B2B'!X7</f>
        <v>50</v>
      </c>
      <c r="Y12" s="331">
        <f>'03. TH_ XK-B2B'!Y23+'03. TH_ XK-B2B'!Y7</f>
        <v>210</v>
      </c>
      <c r="Z12" s="331">
        <f>'03. TH_ XK-B2B'!Z23+'03. TH_ XK-B2B'!Z7</f>
        <v>210</v>
      </c>
      <c r="AA12" s="331">
        <f>'03. TH_ XK-B2B'!AA23+'03. TH_ XK-B2B'!AA7</f>
        <v>100</v>
      </c>
      <c r="AB12" s="331">
        <f>'03. TH_ XK-B2B'!AB23+'03. TH_ XK-B2B'!AB7</f>
        <v>100</v>
      </c>
      <c r="AC12" s="331">
        <f>'03. TH_ XK-B2B'!AC23+'03. TH_ XK-B2B'!AC7</f>
        <v>320</v>
      </c>
      <c r="AD12" s="331">
        <f>'03. TH_ XK-B2B'!AD23+'03. TH_ XK-B2B'!AD7</f>
        <v>100</v>
      </c>
      <c r="AE12" s="331">
        <f>'03. TH_ XK-B2B'!AE23+'03. TH_ XK-B2B'!AE7</f>
        <v>100</v>
      </c>
      <c r="AF12" s="331">
        <f>'03. TH_ XK-B2B'!AF23+'03. TH_ XK-B2B'!AF7</f>
        <v>100</v>
      </c>
      <c r="AG12" s="336">
        <f t="shared" si="4"/>
        <v>1360</v>
      </c>
      <c r="AH12" s="331">
        <f t="shared" si="5"/>
        <v>113.33333333333333</v>
      </c>
      <c r="AJ12" s="331">
        <v>22</v>
      </c>
      <c r="AK12" s="407">
        <v>-49.975000000000001</v>
      </c>
      <c r="AL12" s="331">
        <v>7.4999999999999997E-2</v>
      </c>
      <c r="AM12" s="331">
        <v>225.5</v>
      </c>
      <c r="AN12" s="331">
        <v>82.55</v>
      </c>
      <c r="AO12" s="331">
        <v>185.9</v>
      </c>
      <c r="AP12" s="331">
        <v>165</v>
      </c>
      <c r="AQ12" s="331">
        <v>0</v>
      </c>
      <c r="AR12" s="331">
        <v>220</v>
      </c>
      <c r="AS12" s="331">
        <v>231</v>
      </c>
      <c r="AT12" s="331">
        <v>11</v>
      </c>
      <c r="AU12" s="331">
        <v>242</v>
      </c>
      <c r="AV12" s="336">
        <f t="shared" si="6"/>
        <v>1335.05</v>
      </c>
      <c r="AW12" s="331">
        <f t="shared" si="7"/>
        <v>111.25416666666666</v>
      </c>
    </row>
    <row r="13" spans="1:49" x14ac:dyDescent="0.35">
      <c r="B13" s="322">
        <v>6</v>
      </c>
      <c r="C13" s="323" t="s">
        <v>413</v>
      </c>
      <c r="D13" s="346">
        <f>SUMIFS('01. KE30'!$I:$I,'01. KE30'!$E:$E,'04. BC - Nhóm hàng'!$C13,'01. KE30'!$A:$A,'04. BC - Nhóm hàng'!D$7)/1000</f>
        <v>9.7899999999999991</v>
      </c>
      <c r="E13" s="346">
        <f>SUMIFS('01. KE30'!$I:$I,'01. KE30'!$E:$E,'04. BC - Nhóm hàng'!$C13,'01. KE30'!$A:$A,'04. BC - Nhóm hàng'!E$7)/1000</f>
        <v>105.258</v>
      </c>
      <c r="F13" s="346">
        <f>SUMIFS('01. KE30'!$I:$I,'01. KE30'!$E:$E,'04. BC - Nhóm hàng'!$C13,'01. KE30'!$A:$A,'04. BC - Nhóm hàng'!F$7)/1000</f>
        <v>134.88999999999999</v>
      </c>
      <c r="G13" s="346">
        <f>SUMIFS('01. KE30'!$I:$I,'01. KE30'!$E:$E,'04. BC - Nhóm hàng'!$C13,'01. KE30'!$A:$A,'04. BC - Nhóm hàng'!G$7)/1000</f>
        <v>83.31</v>
      </c>
      <c r="H13" s="346">
        <f>SUMIFS('01. KE30'!$I:$I,'01. KE30'!$E:$E,'04. BC - Nhóm hàng'!$C13,'01. KE30'!$A:$A,'04. BC - Nhóm hàng'!H$7)/1000</f>
        <v>96.182000000000002</v>
      </c>
      <c r="I13" s="346">
        <f>SUMIFS('01. KE30'!$I:$I,'01. KE30'!$E:$E,'04. BC - Nhóm hàng'!$C13,'01. KE30'!$A:$A,'04. BC - Nhóm hàng'!I$7)/1000</f>
        <v>114.17700000000001</v>
      </c>
      <c r="J13" s="346">
        <f>SUMIFS('01. KE30'!$I:$I,'01. KE30'!$E:$E,'04. BC - Nhóm hàng'!$C13,'01. KE30'!$A:$A,'04. BC - Nhóm hàng'!J$7)/1000</f>
        <v>55.210999999999999</v>
      </c>
      <c r="K13" s="346">
        <f>SUMIFS('01. KE30'!$I:$I,'01. KE30'!$E:$E,'04. BC - Nhóm hàng'!$C13,'01. KE30'!$A:$A,'04. BC - Nhóm hàng'!K$7)/1000</f>
        <v>373.12400000000002</v>
      </c>
      <c r="L13" s="346">
        <f>SUMIFS('01. KE30'!$I:$I,'01. KE30'!$E:$E,'04. BC - Nhóm hàng'!$C13,'01. KE30'!$A:$A,'04. BC - Nhóm hàng'!L$7)/1000</f>
        <v>158.22800000000001</v>
      </c>
      <c r="M13" s="346">
        <f>SUMIFS('01. KE30'!$I:$I,'01. KE30'!$E:$E,'04. BC - Nhóm hàng'!$C13,'01. KE30'!$A:$A,'04. BC - Nhóm hàng'!M$7)/1000</f>
        <v>0</v>
      </c>
      <c r="N13" s="346">
        <f>SUMIFS('01. KE30'!$I:$I,'01. KE30'!$E:$E,'04. BC - Nhóm hàng'!$C13,'01. KE30'!$A:$A,'04. BC - Nhóm hàng'!N$7)/1000</f>
        <v>0</v>
      </c>
      <c r="O13" s="346">
        <f>SUMIFS('01. KE30'!$I:$I,'01. KE30'!$E:$E,'04. BC - Nhóm hàng'!$C13,'01. KE30'!$A:$A,'04. BC - Nhóm hàng'!O$7)/1000</f>
        <v>0</v>
      </c>
      <c r="P13" s="336">
        <f>SUM(D13:O13)</f>
        <v>1130.17</v>
      </c>
      <c r="Q13" s="331">
        <f t="shared" si="1"/>
        <v>125.57444444444445</v>
      </c>
      <c r="R13" s="331">
        <f t="shared" si="2"/>
        <v>0</v>
      </c>
      <c r="S13" s="331">
        <f t="shared" si="3"/>
        <v>129.55275</v>
      </c>
      <c r="U13" s="331"/>
      <c r="V13" s="331"/>
      <c r="W13" s="331"/>
      <c r="X13" s="331"/>
      <c r="Y13" s="331"/>
      <c r="Z13" s="331"/>
      <c r="AA13" s="331"/>
      <c r="AB13" s="331"/>
      <c r="AC13" s="331"/>
      <c r="AD13" s="331"/>
      <c r="AE13" s="331"/>
      <c r="AF13" s="331"/>
      <c r="AG13" s="336">
        <f t="shared" si="4"/>
        <v>0</v>
      </c>
      <c r="AH13" s="331">
        <f t="shared" si="5"/>
        <v>0</v>
      </c>
      <c r="AJ13" s="331">
        <v>0</v>
      </c>
      <c r="AK13" s="331">
        <v>0</v>
      </c>
      <c r="AL13" s="331">
        <v>0</v>
      </c>
      <c r="AM13" s="331">
        <v>0</v>
      </c>
      <c r="AN13" s="331">
        <v>0</v>
      </c>
      <c r="AO13" s="331">
        <v>0</v>
      </c>
      <c r="AP13" s="331">
        <v>10.24</v>
      </c>
      <c r="AQ13" s="331">
        <v>189.98</v>
      </c>
      <c r="AR13" s="331">
        <v>246.53299999999999</v>
      </c>
      <c r="AS13" s="331">
        <v>169.14400000000001</v>
      </c>
      <c r="AT13" s="331">
        <v>483.86</v>
      </c>
      <c r="AU13" s="331">
        <v>454.87599999999998</v>
      </c>
      <c r="AV13" s="336">
        <f t="shared" si="6"/>
        <v>1554.633</v>
      </c>
      <c r="AW13" s="331">
        <f t="shared" si="7"/>
        <v>129.55275</v>
      </c>
    </row>
    <row r="14" spans="1:49" x14ac:dyDescent="0.35">
      <c r="B14" s="332">
        <v>7</v>
      </c>
      <c r="C14" s="333" t="s">
        <v>420</v>
      </c>
      <c r="D14" s="346">
        <f>SUMIFS('01. KE30'!$I:$I,'01. KE30'!$E:$E,'04. BC - Nhóm hàng'!$C14,'01. KE30'!$A:$A,'04. BC - Nhóm hàng'!D$7)/1000</f>
        <v>0</v>
      </c>
      <c r="E14" s="346">
        <f>SUMIFS('01. KE30'!$I:$I,'01. KE30'!$E:$E,'04. BC - Nhóm hàng'!$C14,'01. KE30'!$A:$A,'04. BC - Nhóm hàng'!E$7)/1000</f>
        <v>386</v>
      </c>
      <c r="F14" s="346">
        <f>SUMIFS('01. KE30'!$I:$I,'01. KE30'!$E:$E,'04. BC - Nhóm hàng'!$C14,'01. KE30'!$A:$A,'04. BC - Nhóm hàng'!F$7)/1000</f>
        <v>140</v>
      </c>
      <c r="G14" s="346">
        <f>SUMIFS('01. KE30'!$I:$I,'01. KE30'!$E:$E,'04. BC - Nhóm hàng'!$C14,'01. KE30'!$A:$A,'04. BC - Nhóm hàng'!G$7)/1000</f>
        <v>120</v>
      </c>
      <c r="H14" s="346">
        <f>SUMIFS('01. KE30'!$I:$I,'01. KE30'!$E:$E,'04. BC - Nhóm hàng'!$C14,'01. KE30'!$A:$A,'04. BC - Nhóm hàng'!H$7)/1000</f>
        <v>80</v>
      </c>
      <c r="I14" s="346">
        <f>SUMIFS('01. KE30'!$I:$I,'01. KE30'!$E:$E,'04. BC - Nhóm hàng'!$C14,'01. KE30'!$A:$A,'04. BC - Nhóm hàng'!I$7)/1000</f>
        <v>100</v>
      </c>
      <c r="J14" s="346">
        <f>SUMIFS('01. KE30'!$I:$I,'01. KE30'!$E:$E,'04. BC - Nhóm hàng'!$C14,'01. KE30'!$A:$A,'04. BC - Nhóm hàng'!J$7)/1000</f>
        <v>20</v>
      </c>
      <c r="K14" s="346">
        <f>SUMIFS('01. KE30'!$I:$I,'01. KE30'!$E:$E,'04. BC - Nhóm hàng'!$C14,'01. KE30'!$A:$A,'04. BC - Nhóm hàng'!K$7)/1000</f>
        <v>80</v>
      </c>
      <c r="L14" s="346">
        <f>SUMIFS('01. KE30'!$I:$I,'01. KE30'!$E:$E,'04. BC - Nhóm hàng'!$C14,'01. KE30'!$A:$A,'04. BC - Nhóm hàng'!L$7)/1000</f>
        <v>220</v>
      </c>
      <c r="M14" s="346">
        <f>SUMIFS('01. KE30'!$I:$I,'01. KE30'!$E:$E,'04. BC - Nhóm hàng'!$C14,'01. KE30'!$A:$A,'04. BC - Nhóm hàng'!M$7)/1000</f>
        <v>0</v>
      </c>
      <c r="N14" s="346">
        <f>SUMIFS('01. KE30'!$I:$I,'01. KE30'!$E:$E,'04. BC - Nhóm hàng'!$C14,'01. KE30'!$A:$A,'04. BC - Nhóm hàng'!N$7)/1000</f>
        <v>0</v>
      </c>
      <c r="O14" s="346">
        <f>SUMIFS('01. KE30'!$I:$I,'01. KE30'!$E:$E,'04. BC - Nhóm hàng'!$C14,'01. KE30'!$A:$A,'04. BC - Nhóm hàng'!O$7)/1000</f>
        <v>0</v>
      </c>
      <c r="P14" s="337">
        <f t="shared" si="0"/>
        <v>1146</v>
      </c>
      <c r="Q14" s="334">
        <f t="shared" si="1"/>
        <v>143.25</v>
      </c>
      <c r="R14" s="334">
        <f t="shared" si="2"/>
        <v>150</v>
      </c>
      <c r="S14" s="334">
        <f t="shared" si="3"/>
        <v>163.41666666666666</v>
      </c>
      <c r="U14" s="334">
        <v>150</v>
      </c>
      <c r="V14" s="334">
        <v>150</v>
      </c>
      <c r="W14" s="334">
        <v>150</v>
      </c>
      <c r="X14" s="334">
        <v>150</v>
      </c>
      <c r="Y14" s="334">
        <v>150</v>
      </c>
      <c r="Z14" s="334">
        <v>150</v>
      </c>
      <c r="AA14" s="334">
        <v>150</v>
      </c>
      <c r="AB14" s="334">
        <v>150</v>
      </c>
      <c r="AC14" s="334">
        <v>150</v>
      </c>
      <c r="AD14" s="334">
        <v>150</v>
      </c>
      <c r="AE14" s="334">
        <v>150</v>
      </c>
      <c r="AF14" s="334">
        <v>150</v>
      </c>
      <c r="AG14" s="336">
        <f t="shared" si="4"/>
        <v>1800</v>
      </c>
      <c r="AH14" s="334">
        <f t="shared" si="5"/>
        <v>150</v>
      </c>
      <c r="AJ14" s="334">
        <v>0</v>
      </c>
      <c r="AK14" s="334">
        <v>165</v>
      </c>
      <c r="AL14" s="334">
        <v>58</v>
      </c>
      <c r="AM14" s="334">
        <v>0</v>
      </c>
      <c r="AN14" s="334">
        <v>222</v>
      </c>
      <c r="AO14" s="334">
        <v>511.26</v>
      </c>
      <c r="AP14" s="334">
        <v>180</v>
      </c>
      <c r="AQ14" s="334">
        <v>380</v>
      </c>
      <c r="AR14" s="334">
        <v>0</v>
      </c>
      <c r="AS14" s="334">
        <v>264.74</v>
      </c>
      <c r="AT14" s="334">
        <v>115</v>
      </c>
      <c r="AU14" s="334">
        <v>65</v>
      </c>
      <c r="AV14" s="336">
        <f>SUM(AJ14:AU14)</f>
        <v>1961</v>
      </c>
      <c r="AW14" s="334">
        <f t="shared" si="7"/>
        <v>163.41666666666666</v>
      </c>
    </row>
    <row r="15" spans="1:49" x14ac:dyDescent="0.35">
      <c r="B15" s="332">
        <v>8</v>
      </c>
      <c r="C15" s="333" t="s">
        <v>404</v>
      </c>
      <c r="D15" s="346">
        <f>SUMIFS('01. KE30'!$I:$I,'01. KE30'!$E:$E,'04. BC - Nhóm hàng'!$C15,'01. KE30'!$A:$A,'04. BC - Nhóm hàng'!D$7)/1000</f>
        <v>26.962</v>
      </c>
      <c r="E15" s="346">
        <f>SUMIFS('01. KE30'!$I:$I,'01. KE30'!$E:$E,'04. BC - Nhóm hàng'!$C15,'01. KE30'!$A:$A,'04. BC - Nhóm hàng'!E$7)/1000</f>
        <v>18.23</v>
      </c>
      <c r="F15" s="346">
        <f>SUMIFS('01. KE30'!$I:$I,'01. KE30'!$E:$E,'04. BC - Nhóm hàng'!$C15,'01. KE30'!$A:$A,'04. BC - Nhóm hàng'!F$7)/1000</f>
        <v>43.9</v>
      </c>
      <c r="G15" s="346">
        <f>SUMIFS('01. KE30'!$I:$I,'01. KE30'!$E:$E,'04. BC - Nhóm hàng'!$C15,'01. KE30'!$A:$A,'04. BC - Nhóm hàng'!G$7)/1000</f>
        <v>3.532</v>
      </c>
      <c r="H15" s="346">
        <f>SUMIFS('01. KE30'!$I:$I,'01. KE30'!$E:$E,'04. BC - Nhóm hàng'!$C15,'01. KE30'!$A:$A,'04. BC - Nhóm hàng'!H$7)/1000</f>
        <v>23.553999999999998</v>
      </c>
      <c r="I15" s="346">
        <f>SUMIFS('01. KE30'!$I:$I,'01. KE30'!$E:$E,'04. BC - Nhóm hàng'!$C15,'01. KE30'!$A:$A,'04. BC - Nhóm hàng'!I$7)/1000</f>
        <v>8.31</v>
      </c>
      <c r="J15" s="346">
        <f>SUMIFS('01. KE30'!$I:$I,'01. KE30'!$E:$E,'04. BC - Nhóm hàng'!$C15,'01. KE30'!$A:$A,'04. BC - Nhóm hàng'!J$7)/1000</f>
        <v>16.783999999999999</v>
      </c>
      <c r="K15" s="346">
        <f>SUMIFS('01. KE30'!$I:$I,'01. KE30'!$E:$E,'04. BC - Nhóm hàng'!$C15,'01. KE30'!$A:$A,'04. BC - Nhóm hàng'!K$7)/1000</f>
        <v>12.778</v>
      </c>
      <c r="L15" s="346">
        <f>SUMIFS('01. KE30'!$I:$I,'01. KE30'!$E:$E,'04. BC - Nhóm hàng'!$C15,'01. KE30'!$A:$A,'04. BC - Nhóm hàng'!L$7)/1000</f>
        <v>46.52</v>
      </c>
      <c r="M15" s="346">
        <f>SUMIFS('01. KE30'!$I:$I,'01. KE30'!$E:$E,'04. BC - Nhóm hàng'!$C15,'01. KE30'!$A:$A,'04. BC - Nhóm hàng'!M$7)/1000</f>
        <v>0</v>
      </c>
      <c r="N15" s="346">
        <f>SUMIFS('01. KE30'!$I:$I,'01. KE30'!$E:$E,'04. BC - Nhóm hàng'!$C15,'01. KE30'!$A:$A,'04. BC - Nhóm hàng'!N$7)/1000</f>
        <v>0</v>
      </c>
      <c r="O15" s="346">
        <f>SUMIFS('01. KE30'!$I:$I,'01. KE30'!$E:$E,'04. BC - Nhóm hàng'!$C15,'01. KE30'!$A:$A,'04. BC - Nhóm hàng'!O$7)/1000</f>
        <v>0</v>
      </c>
      <c r="P15" s="337">
        <f t="shared" si="0"/>
        <v>200.57</v>
      </c>
      <c r="Q15" s="334">
        <f t="shared" si="1"/>
        <v>22.285555555555554</v>
      </c>
      <c r="R15" s="334">
        <f t="shared" si="2"/>
        <v>0</v>
      </c>
      <c r="S15" s="334">
        <f t="shared" si="3"/>
        <v>0.4070833333333333</v>
      </c>
      <c r="U15" s="334"/>
      <c r="V15" s="334"/>
      <c r="W15" s="334"/>
      <c r="X15" s="334"/>
      <c r="Y15" s="334"/>
      <c r="Z15" s="334"/>
      <c r="AA15" s="334"/>
      <c r="AB15" s="334"/>
      <c r="AC15" s="334"/>
      <c r="AD15" s="334"/>
      <c r="AE15" s="334"/>
      <c r="AF15" s="334"/>
      <c r="AG15" s="337">
        <f t="shared" si="4"/>
        <v>0</v>
      </c>
      <c r="AH15" s="334">
        <f t="shared" si="5"/>
        <v>0</v>
      </c>
      <c r="AJ15" s="334">
        <v>0</v>
      </c>
      <c r="AK15" s="334">
        <v>0</v>
      </c>
      <c r="AL15" s="334">
        <v>0</v>
      </c>
      <c r="AM15" s="334">
        <v>0</v>
      </c>
      <c r="AN15" s="334">
        <v>4.8849999999999998</v>
      </c>
      <c r="AO15" s="334">
        <v>0</v>
      </c>
      <c r="AP15" s="334">
        <v>0</v>
      </c>
      <c r="AQ15" s="334">
        <v>0</v>
      </c>
      <c r="AR15" s="334">
        <v>0</v>
      </c>
      <c r="AS15" s="334">
        <v>0</v>
      </c>
      <c r="AT15" s="334">
        <v>0</v>
      </c>
      <c r="AU15" s="334">
        <v>0</v>
      </c>
      <c r="AV15" s="337">
        <f t="shared" si="6"/>
        <v>4.8849999999999998</v>
      </c>
      <c r="AW15" s="334">
        <f t="shared" si="7"/>
        <v>0.4070833333333333</v>
      </c>
    </row>
    <row r="16" spans="1:49" x14ac:dyDescent="0.35">
      <c r="B16" s="338">
        <v>8</v>
      </c>
      <c r="C16" s="339" t="s">
        <v>259</v>
      </c>
      <c r="D16" s="340">
        <f>SUM(D8:D15)</f>
        <v>3524.7512999999999</v>
      </c>
      <c r="E16" s="340">
        <f t="shared" ref="E16:S16" si="8">SUM(E8:E15)</f>
        <v>5986.1629999999996</v>
      </c>
      <c r="F16" s="340">
        <f t="shared" si="8"/>
        <v>4898.84</v>
      </c>
      <c r="G16" s="340">
        <f t="shared" si="8"/>
        <v>4057.7670000000003</v>
      </c>
      <c r="H16" s="340">
        <f t="shared" si="8"/>
        <v>4778.6212999999998</v>
      </c>
      <c r="I16" s="340">
        <f t="shared" si="8"/>
        <v>3895.6950000000002</v>
      </c>
      <c r="J16" s="340">
        <f t="shared" si="8"/>
        <v>4652.4191000000001</v>
      </c>
      <c r="K16" s="340">
        <f t="shared" si="8"/>
        <v>5655.27</v>
      </c>
      <c r="L16" s="340">
        <f t="shared" si="8"/>
        <v>3074.0730000000003</v>
      </c>
      <c r="M16" s="340">
        <f t="shared" si="8"/>
        <v>0</v>
      </c>
      <c r="N16" s="340">
        <f t="shared" si="8"/>
        <v>0</v>
      </c>
      <c r="O16" s="340">
        <f t="shared" si="8"/>
        <v>0</v>
      </c>
      <c r="P16" s="340">
        <f t="shared" si="8"/>
        <v>40523.599699999984</v>
      </c>
      <c r="Q16" s="340">
        <f t="shared" si="8"/>
        <v>4539.7010083333325</v>
      </c>
      <c r="R16" s="340">
        <f t="shared" si="8"/>
        <v>5150</v>
      </c>
      <c r="S16" s="340">
        <f t="shared" si="8"/>
        <v>3305.4821833333331</v>
      </c>
      <c r="U16" s="340">
        <f>SUM(U8:U15)</f>
        <v>3197.23</v>
      </c>
      <c r="V16" s="340">
        <f t="shared" ref="V16" si="9">SUM(V8:V15)</f>
        <v>3799.23</v>
      </c>
      <c r="W16" s="340">
        <f t="shared" ref="W16" si="10">SUM(W8:W15)</f>
        <v>3764.08</v>
      </c>
      <c r="X16" s="340">
        <f t="shared" ref="X16" si="11">SUM(X8:X15)</f>
        <v>4032.18</v>
      </c>
      <c r="Y16" s="340">
        <f t="shared" ref="Y16" si="12">SUM(Y8:Y15)</f>
        <v>5275.48</v>
      </c>
      <c r="Z16" s="340">
        <f t="shared" ref="Z16" si="13">SUM(Z8:Z15)</f>
        <v>5096.2299999999996</v>
      </c>
      <c r="AA16" s="340">
        <f t="shared" ref="AA16" si="14">SUM(AA8:AA15)</f>
        <v>5619.23</v>
      </c>
      <c r="AB16" s="340">
        <f t="shared" ref="AB16" si="15">SUM(AB8:AB15)</f>
        <v>5588.73</v>
      </c>
      <c r="AC16" s="340">
        <f t="shared" ref="AC16" si="16">SUM(AC8:AC15)</f>
        <v>6600.73</v>
      </c>
      <c r="AD16" s="340">
        <f t="shared" ref="AD16" si="17">SUM(AD8:AD15)</f>
        <v>6616.95</v>
      </c>
      <c r="AE16" s="340">
        <f t="shared" ref="AE16" si="18">SUM(AE8:AE15)</f>
        <v>6118.9699999999993</v>
      </c>
      <c r="AF16" s="340">
        <f t="shared" ref="AF16" si="19">SUM(AF8:AF15)</f>
        <v>6090.96</v>
      </c>
      <c r="AG16" s="340">
        <f>SUM(U16:AF16)</f>
        <v>61799.999999999993</v>
      </c>
      <c r="AH16" s="340">
        <f t="shared" ref="AH16" si="20">SUM(AH8:AH15)</f>
        <v>5150</v>
      </c>
      <c r="AJ16" s="340">
        <f>SUM(AJ8:AJ15)</f>
        <v>2153.3249999999998</v>
      </c>
      <c r="AK16" s="340">
        <f t="shared" ref="AK16" si="21">SUM(AK8:AK15)</f>
        <v>2229.375</v>
      </c>
      <c r="AL16" s="340">
        <f t="shared" ref="AL16" si="22">SUM(AL8:AL15)</f>
        <v>2966.4</v>
      </c>
      <c r="AM16" s="340">
        <f t="shared" ref="AM16" si="23">SUM(AM8:AM15)</f>
        <v>3200.75</v>
      </c>
      <c r="AN16" s="340">
        <f t="shared" ref="AN16" si="24">SUM(AN8:AN15)</f>
        <v>3423.5100000000007</v>
      </c>
      <c r="AO16" s="340">
        <f t="shared" ref="AO16" si="25">SUM(AO8:AO15)</f>
        <v>2393.0100000000002</v>
      </c>
      <c r="AP16" s="340">
        <f t="shared" ref="AP16" si="26">SUM(AP8:AP15)</f>
        <v>1974.4649999999999</v>
      </c>
      <c r="AQ16" s="340">
        <f t="shared" ref="AQ16" si="27">SUM(AQ8:AQ15)</f>
        <v>5181.3981999999996</v>
      </c>
      <c r="AR16" s="340">
        <f t="shared" ref="AR16" si="28">SUM(AR8:AR15)</f>
        <v>4930.1329999999998</v>
      </c>
      <c r="AS16" s="340">
        <f t="shared" ref="AS16" si="29">SUM(AS8:AS15)</f>
        <v>4007.4089999999997</v>
      </c>
      <c r="AT16" s="340">
        <f t="shared" ref="AT16" si="30">SUM(AT8:AT15)</f>
        <v>2570.7850000000003</v>
      </c>
      <c r="AU16" s="340">
        <f t="shared" ref="AU16:AW16" si="31">SUM(AU8:AU15)</f>
        <v>4635.2260000000006</v>
      </c>
      <c r="AV16" s="340">
        <f t="shared" si="6"/>
        <v>39665.786200000002</v>
      </c>
      <c r="AW16" s="340">
        <f t="shared" si="31"/>
        <v>3305.4821833333331</v>
      </c>
    </row>
    <row r="17" spans="2:49" x14ac:dyDescent="0.35">
      <c r="B17" s="173"/>
      <c r="C17" s="319"/>
    </row>
    <row r="18" spans="2:49" ht="18.5" x14ac:dyDescent="0.45">
      <c r="B18" s="178" t="s">
        <v>405</v>
      </c>
      <c r="C18" s="98" t="s">
        <v>485</v>
      </c>
    </row>
    <row r="19" spans="2:49" x14ac:dyDescent="0.35">
      <c r="B19" s="276" t="s">
        <v>174</v>
      </c>
      <c r="C19" s="276"/>
      <c r="D19" s="276">
        <v>1</v>
      </c>
      <c r="E19" s="276">
        <v>2</v>
      </c>
      <c r="F19" s="276">
        <v>3</v>
      </c>
      <c r="G19" s="276">
        <v>4</v>
      </c>
      <c r="H19" s="276">
        <v>5</v>
      </c>
      <c r="I19" s="276">
        <v>6</v>
      </c>
      <c r="J19" s="276">
        <v>7</v>
      </c>
      <c r="K19" s="276">
        <v>8</v>
      </c>
      <c r="L19" s="276">
        <v>9</v>
      </c>
      <c r="M19" s="276">
        <v>10</v>
      </c>
      <c r="N19" s="276">
        <v>11</v>
      </c>
      <c r="O19" s="276">
        <v>12</v>
      </c>
      <c r="P19" s="276" t="s">
        <v>386</v>
      </c>
      <c r="Q19" s="276" t="s">
        <v>387</v>
      </c>
      <c r="R19" s="342"/>
      <c r="S19" s="342"/>
      <c r="T19" s="282"/>
      <c r="U19" s="325">
        <v>1</v>
      </c>
      <c r="V19" s="325">
        <v>2</v>
      </c>
      <c r="W19" s="325">
        <v>3</v>
      </c>
      <c r="X19" s="325">
        <v>4</v>
      </c>
      <c r="Y19" s="325">
        <v>5</v>
      </c>
      <c r="Z19" s="325">
        <v>6</v>
      </c>
      <c r="AA19" s="325">
        <v>7</v>
      </c>
      <c r="AB19" s="325">
        <v>8</v>
      </c>
      <c r="AC19" s="325">
        <v>9</v>
      </c>
      <c r="AD19" s="325">
        <v>10</v>
      </c>
      <c r="AE19" s="325">
        <v>11</v>
      </c>
      <c r="AF19" s="325">
        <v>12</v>
      </c>
      <c r="AG19" s="325" t="s">
        <v>389</v>
      </c>
      <c r="AH19" s="325" t="s">
        <v>388</v>
      </c>
      <c r="AI19" s="282"/>
      <c r="AJ19" s="326">
        <v>1</v>
      </c>
      <c r="AK19" s="326">
        <v>2</v>
      </c>
      <c r="AL19" s="326">
        <v>3</v>
      </c>
      <c r="AM19" s="326">
        <v>4</v>
      </c>
      <c r="AN19" s="326">
        <v>5</v>
      </c>
      <c r="AO19" s="326">
        <v>6</v>
      </c>
      <c r="AP19" s="326">
        <v>7</v>
      </c>
      <c r="AQ19" s="326">
        <v>8</v>
      </c>
      <c r="AR19" s="326">
        <v>9</v>
      </c>
      <c r="AS19" s="326">
        <v>10</v>
      </c>
      <c r="AT19" s="326">
        <v>11</v>
      </c>
      <c r="AU19" s="326">
        <v>12</v>
      </c>
      <c r="AV19" s="326" t="s">
        <v>384</v>
      </c>
      <c r="AW19" s="326" t="s">
        <v>383</v>
      </c>
    </row>
    <row r="20" spans="2:49" x14ac:dyDescent="0.35">
      <c r="B20" s="320">
        <v>1</v>
      </c>
      <c r="C20" s="321" t="s">
        <v>283</v>
      </c>
      <c r="D20" s="346">
        <f>SUMIFS('01. KE30'!$X:$X,'01. KE30'!$E:$E,'04. BC - Nhóm hàng'!$C20,'01. KE30'!$A:$A,'04. BC - Nhóm hàng'!D$19)</f>
        <v>4092548.3274187068</v>
      </c>
      <c r="E20" s="346">
        <f>SUMIFS('01. KE30'!$X:$X,'01. KE30'!$E:$E,'04. BC - Nhóm hàng'!$C20,'01. KE30'!$A:$A,'04. BC - Nhóm hàng'!E$19)</f>
        <v>6501679.4950592993</v>
      </c>
      <c r="F20" s="346">
        <f>SUMIFS('01. KE30'!$X:$X,'01. KE30'!$E:$E,'04. BC - Nhóm hàng'!$C20,'01. KE30'!$A:$A,'04. BC - Nhóm hàng'!F$19)</f>
        <v>4980597.4173383554</v>
      </c>
      <c r="G20" s="346">
        <f>SUMIFS('01. KE30'!$X:$X,'01. KE30'!$E:$E,'04. BC - Nhóm hàng'!$C20,'01. KE30'!$A:$A,'04. BC - Nhóm hàng'!G$19)</f>
        <v>4391078.311339098</v>
      </c>
      <c r="H20" s="346">
        <f>SUMIFS('01. KE30'!$X:$X,'01. KE30'!$E:$E,'04. BC - Nhóm hàng'!$C20,'01. KE30'!$A:$A,'04. BC - Nhóm hàng'!H$19)</f>
        <v>5249240.0222866712</v>
      </c>
      <c r="I20" s="346">
        <f>SUMIFS('01. KE30'!$X:$X,'01. KE30'!$E:$E,'04. BC - Nhóm hàng'!$C20,'01. KE30'!$A:$A,'04. BC - Nhóm hàng'!I$19)</f>
        <v>3822501.3554083798</v>
      </c>
      <c r="J20" s="346">
        <f>SUMIFS('01. KE30'!$X:$X,'01. KE30'!$E:$E,'04. BC - Nhóm hàng'!$C20,'01. KE30'!$A:$A,'04. BC - Nhóm hàng'!J$19)</f>
        <v>4436386.6133238785</v>
      </c>
      <c r="K20" s="346">
        <f>SUMIFS('01. KE30'!$X:$X,'01. KE30'!$E:$E,'04. BC - Nhóm hàng'!$C20,'01. KE30'!$A:$A,'04. BC - Nhóm hàng'!K$19)</f>
        <v>5327774.7098069768</v>
      </c>
      <c r="L20" s="346">
        <f>SUMIFS('01. KE30'!$X:$X,'01. KE30'!$E:$E,'04. BC - Nhóm hàng'!$C20,'01. KE30'!$A:$A,'04. BC - Nhóm hàng'!L$19)</f>
        <v>2173952.1909418553</v>
      </c>
      <c r="M20" s="346">
        <f>SUMIFS('01. KE30'!$X:$X,'01. KE30'!$E:$E,'04. BC - Nhóm hàng'!$C20,'01. KE30'!$A:$A,'04. BC - Nhóm hàng'!M$19)</f>
        <v>0</v>
      </c>
      <c r="N20" s="346">
        <f>SUMIFS('01. KE30'!$X:$X,'01. KE30'!$E:$E,'04. BC - Nhóm hàng'!$C20,'01. KE30'!$A:$A,'04. BC - Nhóm hàng'!N$19)</f>
        <v>0</v>
      </c>
      <c r="O20" s="346">
        <f>SUMIFS('01. KE30'!$X:$X,'01. KE30'!$E:$E,'04. BC - Nhóm hàng'!$C20,'01. KE30'!$A:$A,'04. BC - Nhóm hàng'!O$19)</f>
        <v>0</v>
      </c>
      <c r="P20" s="335">
        <f>SUM(D20:O20)</f>
        <v>40975758.442923218</v>
      </c>
      <c r="Q20" s="400">
        <f>P20/(12-COUNTIF($D$21:$O$21,0))</f>
        <v>4552862.0492136907</v>
      </c>
      <c r="R20" s="343"/>
      <c r="S20" s="343"/>
      <c r="U20" s="330">
        <f>('03. TH_ XK-B2B'!U44+'03. TH_ XK-B2B'!U60)</f>
        <v>3512582.0599999996</v>
      </c>
      <c r="V20" s="330">
        <f>'03. TH_ XK-B2B'!V44+'03. TH_ XK-B2B'!V60</f>
        <v>4250086.5959999999</v>
      </c>
      <c r="W20" s="330">
        <f>'03. TH_ XK-B2B'!W44+'03. TH_ XK-B2B'!W60</f>
        <v>3944051.236</v>
      </c>
      <c r="X20" s="330">
        <f>'03. TH_ XK-B2B'!X44+'03. TH_ XK-B2B'!X60</f>
        <v>3985626.216</v>
      </c>
      <c r="Y20" s="330">
        <f>'03. TH_ XK-B2B'!Y44+'03. TH_ XK-B2B'!Y60</f>
        <v>5529969.176</v>
      </c>
      <c r="Z20" s="330">
        <f>'03. TH_ XK-B2B'!Z44+'03. TH_ XK-B2B'!Z60</f>
        <v>5205752.3360000001</v>
      </c>
      <c r="AA20" s="330">
        <f>'03. TH_ XK-B2B'!AA44+'03. TH_ XK-B2B'!AA60</f>
        <v>6126691.4160000002</v>
      </c>
      <c r="AB20" s="330">
        <f>'03. TH_ XK-B2B'!AB44+'03. TH_ XK-B2B'!AB60</f>
        <v>6022180.4560000002</v>
      </c>
      <c r="AC20" s="330">
        <f>'03. TH_ XK-B2B'!AC44+'03. TH_ XK-B2B'!AC60</f>
        <v>7096022.4560000002</v>
      </c>
      <c r="AD20" s="330">
        <f>'03. TH_ XK-B2B'!AD44+'03. TH_ XK-B2B'!AD60</f>
        <v>7464707.0159999998</v>
      </c>
      <c r="AE20" s="330">
        <f>'03. TH_ XK-B2B'!AE44+'03. TH_ XK-B2B'!AE60</f>
        <v>6543059.7999999998</v>
      </c>
      <c r="AF20" s="330">
        <f>'03. TH_ XK-B2B'!AF44+'03. TH_ XK-B2B'!AF60</f>
        <v>6519761.8959999997</v>
      </c>
      <c r="AG20" s="335">
        <f>SUM(U20:AF20)</f>
        <v>66200490.659999996</v>
      </c>
      <c r="AH20" s="330">
        <f t="shared" ref="AH20:AH27" si="32">IFERROR(AVERAGE(U20:AF20),0)</f>
        <v>5516707.5549999997</v>
      </c>
      <c r="AJ20" s="330">
        <f>'03. TH_ XK-B2B'!AJ82+'03. TH_ XK-B2B'!AJ98</f>
        <v>2341636.6816734695</v>
      </c>
      <c r="AK20" s="330">
        <f>'03. TH_ XK-B2B'!AK82+'03. TH_ XK-B2B'!AK98</f>
        <v>2427730.0669387756</v>
      </c>
      <c r="AL20" s="330">
        <f>'03. TH_ XK-B2B'!AL82+'03. TH_ XK-B2B'!AL98</f>
        <v>3268641.7874463713</v>
      </c>
      <c r="AM20" s="330">
        <f>'03. TH_ XK-B2B'!AM82+'03. TH_ XK-B2B'!AM98</f>
        <v>3315632.1958548389</v>
      </c>
      <c r="AN20" s="330">
        <f>'03. TH_ XK-B2B'!AN82+'03. TH_ XK-B2B'!AN98</f>
        <v>3510732.8743600002</v>
      </c>
      <c r="AO20" s="330">
        <f>'03. TH_ XK-B2B'!AO82+'03. TH_ XK-B2B'!AO98</f>
        <v>1944365.1905626638</v>
      </c>
      <c r="AP20" s="330">
        <f>'03. TH_ XK-B2B'!AP82+'03. TH_ XK-B2B'!AP98</f>
        <v>1805224.4186778176</v>
      </c>
      <c r="AQ20" s="330">
        <f>'03. TH_ XK-B2B'!AQ82+'03. TH_ XK-B2B'!AQ98</f>
        <v>5385763.7522222223</v>
      </c>
      <c r="AR20" s="330">
        <f>'03. TH_ XK-B2B'!AR82+'03. TH_ XK-B2B'!AR98</f>
        <v>5270932.2730667265</v>
      </c>
      <c r="AS20" s="330">
        <f>'03. TH_ XK-B2B'!AS82+'03. TH_ XK-B2B'!AS98</f>
        <v>3754623.7076639542</v>
      </c>
      <c r="AT20" s="330">
        <f>'03. TH_ XK-B2B'!AT82+'03. TH_ XK-B2B'!AT98</f>
        <v>2360467.2843549433</v>
      </c>
      <c r="AU20" s="330">
        <f>'03. TH_ XK-B2B'!AU82+'03. TH_ XK-B2B'!AU98</f>
        <v>3201701.6359826024</v>
      </c>
      <c r="AV20" s="335">
        <f>SUM(AJ20:AU20)</f>
        <v>38587451.86880438</v>
      </c>
      <c r="AW20" s="330">
        <f t="shared" ref="AW20:AW24" si="33">IFERROR(AVERAGE(AJ20:AU20),0)</f>
        <v>3215620.9890670315</v>
      </c>
    </row>
    <row r="21" spans="2:49" x14ac:dyDescent="0.35">
      <c r="B21" s="322">
        <v>2</v>
      </c>
      <c r="C21" s="323" t="s">
        <v>265</v>
      </c>
      <c r="D21" s="346">
        <f>SUMIFS('01. KE30'!$X:$X,'01. KE30'!$E:$E,'04. BC - Nhóm hàng'!$C21,'01. KE30'!$A:$A,'04. BC - Nhóm hàng'!D$19)</f>
        <v>230821.40658370135</v>
      </c>
      <c r="E21" s="346">
        <f>SUMIFS('01. KE30'!$X:$X,'01. KE30'!$E:$E,'04. BC - Nhóm hàng'!$C21,'01. KE30'!$A:$A,'04. BC - Nhóm hàng'!E$19)</f>
        <v>284147.53125319094</v>
      </c>
      <c r="F21" s="346">
        <f>SUMIFS('01. KE30'!$X:$X,'01. KE30'!$E:$E,'04. BC - Nhóm hàng'!$C21,'01. KE30'!$A:$A,'04. BC - Nhóm hàng'!F$19)</f>
        <v>489817.93258092739</v>
      </c>
      <c r="G21" s="346">
        <f>SUMIFS('01. KE30'!$X:$X,'01. KE30'!$E:$E,'04. BC - Nhóm hàng'!$C21,'01. KE30'!$A:$A,'04. BC - Nhóm hàng'!G$19)</f>
        <v>183006.36297156627</v>
      </c>
      <c r="H21" s="346">
        <f>SUMIFS('01. KE30'!$X:$X,'01. KE30'!$E:$E,'04. BC - Nhóm hàng'!$C21,'01. KE30'!$A:$A,'04. BC - Nhóm hàng'!H$19)</f>
        <v>254975.26119990833</v>
      </c>
      <c r="I21" s="346">
        <f>SUMIFS('01. KE30'!$X:$X,'01. KE30'!$E:$E,'04. BC - Nhóm hàng'!$C21,'01. KE30'!$A:$A,'04. BC - Nhóm hàng'!I$19)</f>
        <v>323453.38023976906</v>
      </c>
      <c r="J21" s="346">
        <f>SUMIFS('01. KE30'!$X:$X,'01. KE30'!$E:$E,'04. BC - Nhóm hàng'!$C21,'01. KE30'!$A:$A,'04. BC - Nhóm hàng'!J$19)</f>
        <v>265818.44844694866</v>
      </c>
      <c r="K21" s="346">
        <f>SUMIFS('01. KE30'!$X:$X,'01. KE30'!$E:$E,'04. BC - Nhóm hàng'!$C21,'01. KE30'!$A:$A,'04. BC - Nhóm hàng'!K$19)</f>
        <v>447848.73005545652</v>
      </c>
      <c r="L21" s="346">
        <f>SUMIFS('01. KE30'!$X:$X,'01. KE30'!$E:$E,'04. BC - Nhóm hàng'!$C21,'01. KE30'!$A:$A,'04. BC - Nhóm hàng'!L$19)</f>
        <v>303658.40426254773</v>
      </c>
      <c r="M21" s="346">
        <f>SUMIFS('01. KE30'!$X:$X,'01. KE30'!$E:$E,'04. BC - Nhóm hàng'!$C21,'01. KE30'!$A:$A,'04. BC - Nhóm hàng'!M$19)</f>
        <v>0</v>
      </c>
      <c r="N21" s="346">
        <f>SUMIFS('01. KE30'!$X:$X,'01. KE30'!$E:$E,'04. BC - Nhóm hàng'!$C21,'01. KE30'!$A:$A,'04. BC - Nhóm hàng'!N$19)</f>
        <v>0</v>
      </c>
      <c r="O21" s="346">
        <f>SUMIFS('01. KE30'!$X:$X,'01. KE30'!$E:$E,'04. BC - Nhóm hàng'!$C21,'01. KE30'!$A:$A,'04. BC - Nhóm hàng'!O$19)</f>
        <v>0</v>
      </c>
      <c r="P21" s="336">
        <f t="shared" ref="P21:Q28" si="34">SUM(D21:O21)</f>
        <v>2783547.4575940166</v>
      </c>
      <c r="Q21" s="400">
        <f>P21/(12-COUNTIF($D$21:$O$21,0))</f>
        <v>309283.05084377964</v>
      </c>
      <c r="R21" s="343"/>
      <c r="S21" s="343"/>
      <c r="U21" s="331">
        <f>'03. TH_ XK-B2B'!U46+'03. TH_ XK-B2B'!U62</f>
        <v>319256</v>
      </c>
      <c r="V21" s="331">
        <f>'03. TH_ XK-B2B'!V46+'03. TH_ XK-B2B'!V62</f>
        <v>471816</v>
      </c>
      <c r="W21" s="331">
        <f>'03. TH_ XK-B2B'!W46+'03. TH_ XK-B2B'!W62</f>
        <v>539076</v>
      </c>
      <c r="X21" s="331">
        <f>'03. TH_ XK-B2B'!X46+'03. TH_ XK-B2B'!X62</f>
        <v>713946</v>
      </c>
      <c r="Y21" s="331">
        <f>'03. TH_ XK-B2B'!Y46+'03. TH_ XK-B2B'!Y62</f>
        <v>759446</v>
      </c>
      <c r="Z21" s="331">
        <f>'03. TH_ XK-B2B'!Z46+'03. TH_ XK-B2B'!Z62</f>
        <v>791826</v>
      </c>
      <c r="AA21" s="331">
        <f>'03. TH_ XK-B2B'!AA46+'03. TH_ XK-B2B'!AA62</f>
        <v>936796</v>
      </c>
      <c r="AB21" s="331">
        <f>'03. TH_ XK-B2B'!AB46+'03. TH_ XK-B2B'!AB62</f>
        <v>1015311.52</v>
      </c>
      <c r="AC21" s="331">
        <f>'03. TH_ XK-B2B'!AC46+'03. TH_ XK-B2B'!AC62</f>
        <v>1073382</v>
      </c>
      <c r="AD21" s="331">
        <f>'03. TH_ XK-B2B'!AD46+'03. TH_ XK-B2B'!AD62</f>
        <v>1104702</v>
      </c>
      <c r="AE21" s="331">
        <f>'03. TH_ XK-B2B'!AE46+'03. TH_ XK-B2B'!AE62</f>
        <v>1241102</v>
      </c>
      <c r="AF21" s="331">
        <f>'03. TH_ XK-B2B'!AF46+'03. TH_ XK-B2B'!AF62</f>
        <v>1226032</v>
      </c>
      <c r="AG21" s="336">
        <f t="shared" ref="AG21:AH28" si="35">SUM(U21:AF21)</f>
        <v>10192691.52</v>
      </c>
      <c r="AH21" s="331">
        <f t="shared" si="32"/>
        <v>849390.96</v>
      </c>
      <c r="AJ21" s="331">
        <f>'03. TH_ XK-B2B'!AJ84+'03. TH_ XK-B2B'!AJ100</f>
        <v>275163.72448979592</v>
      </c>
      <c r="AK21" s="331">
        <f>'03. TH_ XK-B2B'!AK84+'03. TH_ XK-B2B'!AK100</f>
        <v>150359.18367346938</v>
      </c>
      <c r="AL21" s="331">
        <f>'03. TH_ XK-B2B'!AL84+'03. TH_ XK-B2B'!AL100</f>
        <v>233653.43084677422</v>
      </c>
      <c r="AM21" s="331">
        <f>'03. TH_ XK-B2B'!AM84+'03. TH_ XK-B2B'!AM100</f>
        <v>259161.51919354839</v>
      </c>
      <c r="AN21" s="331">
        <f>'03. TH_ XK-B2B'!AN84+'03. TH_ XK-B2B'!AN100</f>
        <v>209099.54200000002</v>
      </c>
      <c r="AO21" s="331">
        <f>'03. TH_ XK-B2B'!AO84+'03. TH_ XK-B2B'!AO100</f>
        <v>159043.80688563513</v>
      </c>
      <c r="AP21" s="331">
        <f>'03. TH_ XK-B2B'!AP84+'03. TH_ XK-B2B'!AP100</f>
        <v>150719.73516527281</v>
      </c>
      <c r="AQ21" s="331">
        <f>'03. TH_ XK-B2B'!AQ84+'03. TH_ XK-B2B'!AQ100</f>
        <v>167566.03601780656</v>
      </c>
      <c r="AR21" s="331">
        <f>'03. TH_ XK-B2B'!AR84+'03. TH_ XK-B2B'!AR100</f>
        <v>188739.65496932514</v>
      </c>
      <c r="AS21" s="331">
        <f>'03. TH_ XK-B2B'!AS84+'03. TH_ XK-B2B'!AS100</f>
        <v>227732.84235668788</v>
      </c>
      <c r="AT21" s="331">
        <f>'03. TH_ XK-B2B'!AT84+'03. TH_ XK-B2B'!AT100</f>
        <v>159619.15480922099</v>
      </c>
      <c r="AU21" s="331">
        <f>'03. TH_ XK-B2B'!AU84+'03. TH_ XK-B2B'!AU100</f>
        <v>278962.32858837489</v>
      </c>
      <c r="AV21" s="336">
        <f t="shared" ref="AV21:AW28" si="36">SUM(AJ21:AU21)</f>
        <v>2459820.9589959113</v>
      </c>
      <c r="AW21" s="331">
        <f t="shared" si="33"/>
        <v>204985.07991632595</v>
      </c>
    </row>
    <row r="22" spans="2:49" x14ac:dyDescent="0.35">
      <c r="B22" s="322">
        <v>3</v>
      </c>
      <c r="C22" s="323" t="s">
        <v>266</v>
      </c>
      <c r="D22" s="346">
        <f>SUMIFS('01. KE30'!$X:$X,'01. KE30'!$E:$E,'04. BC - Nhóm hàng'!$C22,'01. KE30'!$A:$A,'04. BC - Nhóm hàng'!D$19)</f>
        <v>12885.47932557206</v>
      </c>
      <c r="E22" s="346">
        <f>SUMIFS('01. KE30'!$X:$X,'01. KE30'!$E:$E,'04. BC - Nhóm hàng'!$C22,'01. KE30'!$A:$A,'04. BC - Nhóm hàng'!E$19)</f>
        <v>85591.956754627812</v>
      </c>
      <c r="F22" s="346">
        <f>SUMIFS('01. KE30'!$X:$X,'01. KE30'!$E:$E,'04. BC - Nhóm hàng'!$C22,'01. KE30'!$A:$A,'04. BC - Nhóm hàng'!F$19)</f>
        <v>76614.599912510952</v>
      </c>
      <c r="G22" s="346">
        <f>SUMIFS('01. KE30'!$X:$X,'01. KE30'!$E:$E,'04. BC - Nhóm hàng'!$C22,'01. KE30'!$A:$A,'04. BC - Nhóm hàng'!G$19)</f>
        <v>76699.986458467742</v>
      </c>
      <c r="H22" s="346">
        <f>SUMIFS('01. KE30'!$X:$X,'01. KE30'!$E:$E,'04. BC - Nhóm hàng'!$C22,'01. KE30'!$A:$A,'04. BC - Nhóm hàng'!H$19)</f>
        <v>104111.13252126836</v>
      </c>
      <c r="I22" s="346">
        <f>SUMIFS('01. KE30'!$X:$X,'01. KE30'!$E:$E,'04. BC - Nhóm hàng'!$C22,'01. KE30'!$A:$A,'04. BC - Nhóm hàng'!I$19)</f>
        <v>87365.683487654329</v>
      </c>
      <c r="J22" s="346">
        <f>SUMIFS('01. KE30'!$X:$X,'01. KE30'!$E:$E,'04. BC - Nhóm hàng'!$C22,'01. KE30'!$A:$A,'04. BC - Nhóm hàng'!J$19)</f>
        <v>41763.883557433728</v>
      </c>
      <c r="K22" s="346">
        <f>SUMIFS('01. KE30'!$X:$X,'01. KE30'!$E:$E,'04. BC - Nhóm hàng'!$C22,'01. KE30'!$A:$A,'04. BC - Nhóm hàng'!K$19)</f>
        <v>99405.320855614962</v>
      </c>
      <c r="L22" s="346">
        <f>SUMIFS('01. KE30'!$X:$X,'01. KE30'!$E:$E,'04. BC - Nhóm hàng'!$C22,'01. KE30'!$A:$A,'04. BC - Nhóm hàng'!L$19)</f>
        <v>212794.03165714286</v>
      </c>
      <c r="M22" s="346">
        <f>SUMIFS('01. KE30'!$X:$X,'01. KE30'!$E:$E,'04. BC - Nhóm hàng'!$C22,'01. KE30'!$A:$A,'04. BC - Nhóm hàng'!M$19)</f>
        <v>0</v>
      </c>
      <c r="N22" s="346">
        <f>SUMIFS('01. KE30'!$X:$X,'01. KE30'!$E:$E,'04. BC - Nhóm hàng'!$C22,'01. KE30'!$A:$A,'04. BC - Nhóm hàng'!N$19)</f>
        <v>0</v>
      </c>
      <c r="O22" s="346">
        <f>SUMIFS('01. KE30'!$X:$X,'01. KE30'!$E:$E,'04. BC - Nhóm hàng'!$C22,'01. KE30'!$A:$A,'04. BC - Nhóm hàng'!O$19)</f>
        <v>0</v>
      </c>
      <c r="P22" s="336">
        <f t="shared" si="34"/>
        <v>797232.07453029277</v>
      </c>
      <c r="Q22" s="400">
        <f t="shared" ref="Q22:Q27" si="37">P22/(12-COUNTIF($D$21:$O$21,0))</f>
        <v>88581.341614476973</v>
      </c>
      <c r="R22" s="343"/>
      <c r="S22" s="343"/>
      <c r="U22" s="331">
        <f>'03. TH_ XK-B2B'!U47+'03. TH_ XK-B2B'!U48+'03. TH_ XK-B2B'!U64+'03. TH_ XK-B2B'!U63</f>
        <v>17600</v>
      </c>
      <c r="V22" s="331">
        <f>'03. TH_ XK-B2B'!V47+'03. TH_ XK-B2B'!V48+'03. TH_ XK-B2B'!V64+'03. TH_ XK-B2B'!V63</f>
        <v>12600</v>
      </c>
      <c r="W22" s="331">
        <f>'03. TH_ XK-B2B'!W47+'03. TH_ XK-B2B'!W48+'03. TH_ XK-B2B'!W64+'03. TH_ XK-B2B'!W63</f>
        <v>50352.5</v>
      </c>
      <c r="X22" s="331">
        <f>'03. TH_ XK-B2B'!X47+'03. TH_ XK-B2B'!X48+'03. TH_ XK-B2B'!X64+'03. TH_ XK-B2B'!X63</f>
        <v>119937.5</v>
      </c>
      <c r="Y22" s="331">
        <f>'03. TH_ XK-B2B'!Y47+'03. TH_ XK-B2B'!Y48+'03. TH_ XK-B2B'!Y64+'03. TH_ XK-B2B'!Y63</f>
        <v>104437.5</v>
      </c>
      <c r="Z22" s="331">
        <f>'03. TH_ XK-B2B'!Z47+'03. TH_ XK-B2B'!Z48+'03. TH_ XK-B2B'!Z64+'03. TH_ XK-B2B'!Z63</f>
        <v>109687.5</v>
      </c>
      <c r="AA22" s="331">
        <f>'03. TH_ XK-B2B'!AA47+'03. TH_ XK-B2B'!AA48+'03. TH_ XK-B2B'!AA64+'03. TH_ XK-B2B'!AA63</f>
        <v>115062.5</v>
      </c>
      <c r="AB22" s="331">
        <f>'03. TH_ XK-B2B'!AB47+'03. TH_ XK-B2B'!AB48+'03. TH_ XK-B2B'!AB64+'03. TH_ XK-B2B'!AB63</f>
        <v>120312.5</v>
      </c>
      <c r="AC22" s="331">
        <f>'03. TH_ XK-B2B'!AC47+'03. TH_ XK-B2B'!AC48+'03. TH_ XK-B2B'!AC64+'03. TH_ XK-B2B'!AC63</f>
        <v>125312.5</v>
      </c>
      <c r="AD22" s="331">
        <f>'03. TH_ XK-B2B'!AD47+'03. TH_ XK-B2B'!AD48+'03. TH_ XK-B2B'!AD64+'03. TH_ XK-B2B'!AD63</f>
        <v>124412.5</v>
      </c>
      <c r="AE22" s="331">
        <f>'03. TH_ XK-B2B'!AE47+'03. TH_ XK-B2B'!AE48+'03. TH_ XK-B2B'!AE64+'03. TH_ XK-B2B'!AE63</f>
        <v>129822.5</v>
      </c>
      <c r="AF22" s="331">
        <f>'03. TH_ XK-B2B'!AF47+'03. TH_ XK-B2B'!AF48+'03. TH_ XK-B2B'!AF64+'03. TH_ XK-B2B'!AF63</f>
        <v>134662.5</v>
      </c>
      <c r="AG22" s="336">
        <f t="shared" si="35"/>
        <v>1164200</v>
      </c>
      <c r="AH22" s="331">
        <f t="shared" si="32"/>
        <v>97016.666666666672</v>
      </c>
      <c r="AJ22" s="331">
        <f>SUM('03. TH_ XK-B2B'!AJ85,'03. TH_ XK-B2B'!AJ86,'03. TH_ XK-B2B'!AJ101,'03. TH_ XK-B2B'!AJ102)</f>
        <v>28261.246448979593</v>
      </c>
      <c r="AK22" s="331">
        <f>SUM('03. TH_ XK-B2B'!AK85,'03. TH_ XK-B2B'!AK86,'03. TH_ XK-B2B'!AK101,'03. TH_ XK-B2B'!AK102)</f>
        <v>31428.077551020408</v>
      </c>
      <c r="AL22" s="331">
        <f>SUM('03. TH_ XK-B2B'!AL85,'03. TH_ XK-B2B'!AL86,'03. TH_ XK-B2B'!AL101,'03. TH_ XK-B2B'!AL102)</f>
        <v>10698.870967741936</v>
      </c>
      <c r="AM22" s="331">
        <f>SUM('03. TH_ XK-B2B'!AM85,'03. TH_ XK-B2B'!AM86,'03. TH_ XK-B2B'!AM101,'03. TH_ XK-B2B'!AM102)</f>
        <v>25757.62298387097</v>
      </c>
      <c r="AN22" s="331">
        <f>SUM('03. TH_ XK-B2B'!AN85,'03. TH_ XK-B2B'!AN86,'03. TH_ XK-B2B'!AN101,'03. TH_ XK-B2B'!AN102)</f>
        <v>42469.86</v>
      </c>
      <c r="AO22" s="331">
        <f>SUM('03. TH_ XK-B2B'!AO85,'03. TH_ XK-B2B'!AO86,'03. TH_ XK-B2B'!AO101,'03. TH_ XK-B2B'!AO102)</f>
        <v>9962.6830233478431</v>
      </c>
      <c r="AP22" s="331">
        <f>SUM('03. TH_ XK-B2B'!AP85,'03. TH_ XK-B2B'!AP86,'03. TH_ XK-B2B'!AP101,'03. TH_ XK-B2B'!AP102)</f>
        <v>2073.610115491836</v>
      </c>
      <c r="AQ22" s="331">
        <f>SUM('03. TH_ XK-B2B'!AQ85,'03. TH_ XK-B2B'!AQ86,'03. TH_ XK-B2B'!AQ101,'03. TH_ XK-B2B'!AQ102)</f>
        <v>20392.619789558885</v>
      </c>
      <c r="AR22" s="331">
        <f>SUM('03. TH_ XK-B2B'!AR85,'03. TH_ XK-B2B'!AR86,'03. TH_ XK-B2B'!AR101,'03. TH_ XK-B2B'!AR102)</f>
        <v>9002.4994274028631</v>
      </c>
      <c r="AS22" s="331">
        <f>SUM('03. TH_ XK-B2B'!AS85,'03. TH_ XK-B2B'!AS86,'03. TH_ XK-B2B'!AS101,'03. TH_ XK-B2B'!AS102)</f>
        <v>59752.035668789802</v>
      </c>
      <c r="AT22" s="331">
        <f>SUM('03. TH_ XK-B2B'!AT85,'03. TH_ XK-B2B'!AT86,'03. TH_ XK-B2B'!AT101,'03. TH_ XK-B2B'!AT102)</f>
        <v>37574.279213036563</v>
      </c>
      <c r="AU22" s="331">
        <f>SUM('03. TH_ XK-B2B'!AU85,'03. TH_ XK-B2B'!AU86,'03. TH_ XK-B2B'!AU101,'03. TH_ XK-B2B'!AU102)</f>
        <v>15264.041122973507</v>
      </c>
      <c r="AV22" s="336">
        <f t="shared" si="36"/>
        <v>292637.44631221425</v>
      </c>
      <c r="AW22" s="331">
        <f t="shared" si="33"/>
        <v>24386.453859351186</v>
      </c>
    </row>
    <row r="23" spans="2:49" x14ac:dyDescent="0.35">
      <c r="B23" s="322">
        <v>4</v>
      </c>
      <c r="C23" s="323" t="s">
        <v>23</v>
      </c>
      <c r="D23" s="346">
        <f>SUMIFS('01. KE30'!$X:$X,'01. KE30'!$E:$E,'04. BC - Nhóm hàng'!$C23,'01. KE30'!$A:$A,'04. BC - Nhóm hàng'!D$19)</f>
        <v>0</v>
      </c>
      <c r="E23" s="346">
        <f>SUMIFS('01. KE30'!$X:$X,'01. KE30'!$E:$E,'04. BC - Nhóm hàng'!$C23,'01. KE30'!$A:$A,'04. BC - Nhóm hàng'!E$19)</f>
        <v>725.23158723907079</v>
      </c>
      <c r="F23" s="346">
        <f>SUMIFS('01. KE30'!$X:$X,'01. KE30'!$E:$E,'04. BC - Nhóm hàng'!$C23,'01. KE30'!$A:$A,'04. BC - Nhóm hàng'!F$19)</f>
        <v>47179.22224409449</v>
      </c>
      <c r="G23" s="346">
        <f>SUMIFS('01. KE30'!$X:$X,'01. KE30'!$E:$E,'04. BC - Nhóm hàng'!$C23,'01. KE30'!$A:$A,'04. BC - Nhóm hàng'!G$19)</f>
        <v>5029.3802942315142</v>
      </c>
      <c r="H23" s="346">
        <f>SUMIFS('01. KE30'!$X:$X,'01. KE30'!$E:$E,'04. BC - Nhóm hàng'!$C23,'01. KE30'!$A:$A,'04. BC - Nhóm hàng'!H$19)</f>
        <v>14138.631090487239</v>
      </c>
      <c r="I23" s="346">
        <f>SUMIFS('01. KE30'!$X:$X,'01. KE30'!$E:$E,'04. BC - Nhóm hàng'!$C23,'01. KE30'!$A:$A,'04. BC - Nhóm hàng'!I$19)</f>
        <v>25268.531790123452</v>
      </c>
      <c r="J23" s="346">
        <f>SUMIFS('01. KE30'!$X:$X,'01. KE30'!$E:$E,'04. BC - Nhóm hàng'!$C23,'01. KE30'!$A:$A,'04. BC - Nhóm hàng'!J$19)</f>
        <v>43800.726469458314</v>
      </c>
      <c r="K23" s="346">
        <f>SUMIFS('01. KE30'!$X:$X,'01. KE30'!$E:$E,'04. BC - Nhóm hàng'!$C23,'01. KE30'!$A:$A,'04. BC - Nhóm hàng'!K$19)</f>
        <v>12322.587165775401</v>
      </c>
      <c r="L23" s="346">
        <f>SUMIFS('01. KE30'!$X:$X,'01. KE30'!$E:$E,'04. BC - Nhóm hàng'!$C23,'01. KE30'!$A:$A,'04. BC - Nhóm hàng'!L$19)</f>
        <v>44986.606285714282</v>
      </c>
      <c r="M23" s="346">
        <f>SUMIFS('01. KE30'!$X:$X,'01. KE30'!$E:$E,'04. BC - Nhóm hàng'!$C23,'01. KE30'!$A:$A,'04. BC - Nhóm hàng'!M$19)</f>
        <v>0</v>
      </c>
      <c r="N23" s="346">
        <f>SUMIFS('01. KE30'!$X:$X,'01. KE30'!$E:$E,'04. BC - Nhóm hàng'!$C23,'01. KE30'!$A:$A,'04. BC - Nhóm hàng'!N$19)</f>
        <v>0</v>
      </c>
      <c r="O23" s="346">
        <f>SUMIFS('01. KE30'!$X:$X,'01. KE30'!$E:$E,'04. BC - Nhóm hàng'!$C23,'01. KE30'!$A:$A,'04. BC - Nhóm hàng'!O$19)</f>
        <v>0</v>
      </c>
      <c r="P23" s="336">
        <f t="shared" si="34"/>
        <v>193450.91692712373</v>
      </c>
      <c r="Q23" s="400">
        <f t="shared" si="37"/>
        <v>21494.54632523597</v>
      </c>
      <c r="R23" s="343"/>
      <c r="S23" s="343"/>
      <c r="U23" s="331">
        <f>'03. TH_ XK-B2B'!U49+'03. TH_ XK-B2B'!U50+'03. TH_ XK-B2B'!U65+'03. TH_ XK-B2B'!U66</f>
        <v>47538.8</v>
      </c>
      <c r="V23" s="331">
        <f>'03. TH_ XK-B2B'!V49+'03. TH_ XK-B2B'!V50+'03. TH_ XK-B2B'!V65+'03. TH_ XK-B2B'!V66</f>
        <v>56038.8</v>
      </c>
      <c r="W23" s="331">
        <f>'03. TH_ XK-B2B'!W49+'03. TH_ XK-B2B'!W50+'03. TH_ XK-B2B'!W65+'03. TH_ XK-B2B'!W66</f>
        <v>77713.8</v>
      </c>
      <c r="X23" s="331">
        <f>'03. TH_ XK-B2B'!X49+'03. TH_ XK-B2B'!X50+'03. TH_ XK-B2B'!X65+'03. TH_ XK-B2B'!X66</f>
        <v>65176.3</v>
      </c>
      <c r="Y23" s="331">
        <f>'03. TH_ XK-B2B'!Y49+'03. TH_ XK-B2B'!Y50+'03. TH_ XK-B2B'!Y65+'03. TH_ XK-B2B'!Y66</f>
        <v>82176.3</v>
      </c>
      <c r="Z23" s="331">
        <f>'03. TH_ XK-B2B'!Z49+'03. TH_ XK-B2B'!Z50+'03. TH_ XK-B2B'!Z65+'03. TH_ XK-B2B'!Z66</f>
        <v>64963.8</v>
      </c>
      <c r="AA23" s="331">
        <f>'03. TH_ XK-B2B'!AA49+'03. TH_ XK-B2B'!AA50+'03. TH_ XK-B2B'!AA65+'03. TH_ XK-B2B'!AA66</f>
        <v>90463.8</v>
      </c>
      <c r="AB23" s="331">
        <f>'03. TH_ XK-B2B'!AB49+'03. TH_ XK-B2B'!AB50+'03. TH_ XK-B2B'!AB65+'03. TH_ XK-B2B'!AB66</f>
        <v>73463.8</v>
      </c>
      <c r="AC23" s="331">
        <f>'03. TH_ XK-B2B'!AC49+'03. TH_ XK-B2B'!AC50+'03. TH_ XK-B2B'!AC65+'03. TH_ XK-B2B'!AC66</f>
        <v>90463.8</v>
      </c>
      <c r="AD23" s="331">
        <f>'03. TH_ XK-B2B'!AD49+'03. TH_ XK-B2B'!AD50+'03. TH_ XK-B2B'!AD65+'03. TH_ XK-B2B'!AD66</f>
        <v>78563.8</v>
      </c>
      <c r="AE23" s="331">
        <f>'03. TH_ XK-B2B'!AE49+'03. TH_ XK-B2B'!AE50+'03. TH_ XK-B2B'!AE65+'03. TH_ XK-B2B'!AE66</f>
        <v>95563.8</v>
      </c>
      <c r="AF23" s="331">
        <f>'03. TH_ XK-B2B'!AF49+'03. TH_ XK-B2B'!AF50+'03. TH_ XK-B2B'!AF65+'03. TH_ XK-B2B'!AF66</f>
        <v>78563.8</v>
      </c>
      <c r="AG23" s="336">
        <f t="shared" si="35"/>
        <v>900690.60000000021</v>
      </c>
      <c r="AH23" s="331">
        <f t="shared" si="32"/>
        <v>75057.550000000017</v>
      </c>
      <c r="AJ23" s="331">
        <f>SUM('03. TH_ XK-B2B'!AJ87,'03. TH_ XK-B2B'!AJ88,'03. TH_ XK-B2B'!AJ103,'03. TH_ XK-B2B'!AJ104)</f>
        <v>12187.959183673469</v>
      </c>
      <c r="AK23" s="331">
        <f>SUM('03. TH_ XK-B2B'!AK87,'03. TH_ XK-B2B'!AK88,'03. TH_ XK-B2B'!AK103,'03. TH_ XK-B2B'!AK104)</f>
        <v>12187.959183673469</v>
      </c>
      <c r="AL23" s="331">
        <f>SUM('03. TH_ XK-B2B'!AL87,'03. TH_ XK-B2B'!AL88,'03. TH_ XK-B2B'!AL103,'03. TH_ XK-B2B'!AL104)</f>
        <v>50680.24197580645</v>
      </c>
      <c r="AM23" s="331">
        <f>SUM('03. TH_ XK-B2B'!AM87,'03. TH_ XK-B2B'!AM88,'03. TH_ XK-B2B'!AM103,'03. TH_ XK-B2B'!AM104)</f>
        <v>27192.96370967742</v>
      </c>
      <c r="AN23" s="331">
        <f>SUM('03. TH_ XK-B2B'!AN87,'03. TH_ XK-B2B'!AN88,'03. TH_ XK-B2B'!AN103,'03. TH_ XK-B2B'!AN104)</f>
        <v>31176.51</v>
      </c>
      <c r="AO23" s="331">
        <f>SUM('03. TH_ XK-B2B'!AO87,'03. TH_ XK-B2B'!AO88,'03. TH_ XK-B2B'!AO103,'03. TH_ XK-B2B'!AO104)</f>
        <v>4593.6980609418279</v>
      </c>
      <c r="AP23" s="331">
        <f>SUM('03. TH_ XK-B2B'!AP87,'03. TH_ XK-B2B'!AP88,'03. TH_ XK-B2B'!AP103,'03. TH_ XK-B2B'!AP104)</f>
        <v>291.42134607726007</v>
      </c>
      <c r="AQ23" s="331">
        <f>SUM('03. TH_ XK-B2B'!AQ87,'03. TH_ XK-B2B'!AQ88,'03. TH_ XK-B2B'!AQ103,'03. TH_ XK-B2B'!AQ104)</f>
        <v>43174.186847430188</v>
      </c>
      <c r="AR23" s="331">
        <f>SUM('03. TH_ XK-B2B'!AR87,'03. TH_ XK-B2B'!AR88,'03. TH_ XK-B2B'!AR103,'03. TH_ XK-B2B'!AR104)</f>
        <v>25.286298568507156</v>
      </c>
      <c r="AS23" s="331">
        <f>SUM('03. TH_ XK-B2B'!AS87,'03. TH_ XK-B2B'!AS88,'03. TH_ XK-B2B'!AS103,'03. TH_ XK-B2B'!AS104)</f>
        <v>16020.355732484077</v>
      </c>
      <c r="AT23" s="331">
        <f>SUM('03. TH_ XK-B2B'!AT87,'03. TH_ XK-B2B'!AT88,'03. TH_ XK-B2B'!AT103,'03. TH_ XK-B2B'!AT104)</f>
        <v>19344.330286168522</v>
      </c>
      <c r="AU23" s="331">
        <f>SUM('03. TH_ XK-B2B'!AU87,'03. TH_ XK-B2B'!AU88,'03. TH_ XK-B2B'!AU103,'03. TH_ XK-B2B'!AU104)</f>
        <v>25762.749308026891</v>
      </c>
      <c r="AV23" s="336">
        <f t="shared" si="36"/>
        <v>242637.66193252808</v>
      </c>
      <c r="AW23" s="331">
        <f t="shared" si="33"/>
        <v>20219.805161044005</v>
      </c>
    </row>
    <row r="24" spans="2:49" x14ac:dyDescent="0.35">
      <c r="B24" s="322">
        <v>5</v>
      </c>
      <c r="C24" s="323" t="s">
        <v>95</v>
      </c>
      <c r="D24" s="346">
        <f>SUMIFS('01. KE30'!$X:$X,'01. KE30'!$E:$E,'04. BC - Nhóm hàng'!$C24,'01. KE30'!$A:$A,'04. BC - Nhóm hàng'!D$19)</f>
        <v>8390.2047370533928</v>
      </c>
      <c r="E24" s="346">
        <f>SUMIFS('01. KE30'!$X:$X,'01. KE30'!$E:$E,'04. BC - Nhóm hàng'!$C24,'01. KE30'!$A:$A,'04. BC - Nhóm hàng'!E$19)</f>
        <v>12369.042930287516</v>
      </c>
      <c r="F24" s="346">
        <f>SUMIFS('01. KE30'!$X:$X,'01. KE30'!$E:$E,'04. BC - Nhóm hàng'!$C24,'01. KE30'!$A:$A,'04. BC - Nhóm hàng'!F$19)</f>
        <v>24685.039370078739</v>
      </c>
      <c r="G24" s="346">
        <f>SUMIFS('01. KE30'!$X:$X,'01. KE30'!$E:$E,'04. BC - Nhóm hàng'!$C24,'01. KE30'!$A:$A,'04. BC - Nhóm hàng'!G$19)</f>
        <v>1044.8277197057685</v>
      </c>
      <c r="H24" s="346">
        <f>SUMIFS('01. KE30'!$X:$X,'01. KE30'!$E:$E,'04. BC - Nhóm hàng'!$C24,'01. KE30'!$A:$A,'04. BC - Nhóm hàng'!H$19)</f>
        <v>0</v>
      </c>
      <c r="I24" s="346">
        <f>SUMIFS('01. KE30'!$X:$X,'01. KE30'!$E:$E,'04. BC - Nhóm hàng'!$C24,'01. KE30'!$A:$A,'04. BC - Nhóm hàng'!I$19)</f>
        <v>93930.641280864191</v>
      </c>
      <c r="J24" s="346">
        <f>SUMIFS('01. KE30'!$X:$X,'01. KE30'!$E:$E,'04. BC - Nhóm hàng'!$C24,'01. KE30'!$A:$A,'04. BC - Nhóm hàng'!J$19)</f>
        <v>379655.39761813288</v>
      </c>
      <c r="K24" s="346">
        <f>SUMIFS('01. KE30'!$X:$X,'01. KE30'!$E:$E,'04. BC - Nhóm hàng'!$C24,'01. KE30'!$A:$A,'04. BC - Nhóm hàng'!K$19)</f>
        <v>216914.82047364401</v>
      </c>
      <c r="L24" s="346">
        <f>SUMIFS('01. KE30'!$X:$X,'01. KE30'!$E:$E,'04. BC - Nhóm hàng'!$C24,'01. KE30'!$A:$A,'04. BC - Nhóm hàng'!L$19)</f>
        <v>137416</v>
      </c>
      <c r="M24" s="346">
        <f>SUMIFS('01. KE30'!$X:$X,'01. KE30'!$E:$E,'04. BC - Nhóm hàng'!$C24,'01. KE30'!$A:$A,'04. BC - Nhóm hàng'!M$19)</f>
        <v>0</v>
      </c>
      <c r="N24" s="346">
        <f>SUMIFS('01. KE30'!$X:$X,'01. KE30'!$E:$E,'04. BC - Nhóm hàng'!$C24,'01. KE30'!$A:$A,'04. BC - Nhóm hàng'!N$19)</f>
        <v>0</v>
      </c>
      <c r="O24" s="346">
        <f>SUMIFS('01. KE30'!$X:$X,'01. KE30'!$E:$E,'04. BC - Nhóm hàng'!$C24,'01. KE30'!$A:$A,'04. BC - Nhóm hàng'!O$19)</f>
        <v>0</v>
      </c>
      <c r="P24" s="336">
        <f t="shared" si="34"/>
        <v>874405.97412976646</v>
      </c>
      <c r="Q24" s="400">
        <f t="shared" si="37"/>
        <v>97156.21934775183</v>
      </c>
      <c r="R24" s="343"/>
      <c r="S24" s="343"/>
      <c r="U24" s="331">
        <f>'03. TH_ XK-B2B'!U61+'03. TH_ XK-B2B'!U45</f>
        <v>22117.599999999999</v>
      </c>
      <c r="V24" s="331">
        <f>'03. TH_ XK-B2B'!V61+'03. TH_ XK-B2B'!V45</f>
        <v>0</v>
      </c>
      <c r="W24" s="331">
        <f>'03. TH_ XK-B2B'!W61+'03. TH_ XK-B2B'!W45</f>
        <v>55294</v>
      </c>
      <c r="X24" s="331">
        <f>'03. TH_ XK-B2B'!X61+'03. TH_ XK-B2B'!X45</f>
        <v>55294</v>
      </c>
      <c r="Y24" s="331">
        <f>'03. TH_ XK-B2B'!Y61+'03. TH_ XK-B2B'!Y45</f>
        <v>228508</v>
      </c>
      <c r="Z24" s="331">
        <f>'03. TH_ XK-B2B'!Z61+'03. TH_ XK-B2B'!Z45</f>
        <v>228508</v>
      </c>
      <c r="AA24" s="331">
        <f>'03. TH_ XK-B2B'!AA61+'03. TH_ XK-B2B'!AA45</f>
        <v>110588</v>
      </c>
      <c r="AB24" s="331">
        <f>'03. TH_ XK-B2B'!AB61+'03. TH_ XK-B2B'!AB45</f>
        <v>110588</v>
      </c>
      <c r="AC24" s="331">
        <f>'03. TH_ XK-B2B'!AC61+'03. TH_ XK-B2B'!AC45</f>
        <v>346428</v>
      </c>
      <c r="AD24" s="331">
        <f>'03. TH_ XK-B2B'!AD61+'03. TH_ XK-B2B'!AD45</f>
        <v>110588</v>
      </c>
      <c r="AE24" s="331">
        <f>'03. TH_ XK-B2B'!AE61+'03. TH_ XK-B2B'!AE45</f>
        <v>110588</v>
      </c>
      <c r="AF24" s="331">
        <f>'03. TH_ XK-B2B'!AF61+'03. TH_ XK-B2B'!AF45</f>
        <v>110588</v>
      </c>
      <c r="AG24" s="336">
        <f t="shared" si="35"/>
        <v>1489089.6</v>
      </c>
      <c r="AH24" s="331">
        <f t="shared" si="32"/>
        <v>124090.8</v>
      </c>
      <c r="AJ24" s="331">
        <f>'03. TH_ XK-B2B'!AJ83+'03. TH_ XK-B2B'!AJ99</f>
        <v>20539.083346938776</v>
      </c>
      <c r="AK24" s="331">
        <f>'03. TH_ XK-B2B'!AK83+'03. TH_ XK-B2B'!AK99</f>
        <v>-47569.146938775513</v>
      </c>
      <c r="AL24" s="331">
        <f>'03. TH_ XK-B2B'!AL83+'03. TH_ XK-B2B'!AL99</f>
        <v>87.98673387096774</v>
      </c>
      <c r="AM24" s="331">
        <f>'03. TH_ XK-B2B'!AM83+'03. TH_ XK-B2B'!AM99</f>
        <v>152308.74395161291</v>
      </c>
      <c r="AN24" s="331">
        <f>'03. TH_ XK-B2B'!AN83+'03. TH_ XK-B2B'!AN99</f>
        <v>65406.613999999994</v>
      </c>
      <c r="AO24" s="331">
        <f>'03. TH_ XK-B2B'!AO83+'03. TH_ XK-B2B'!AO99</f>
        <v>123568.52394143252</v>
      </c>
      <c r="AP24" s="331">
        <f>'03. TH_ XK-B2B'!AP83+'03. TH_ XK-B2B'!AP99</f>
        <v>108422.93906810036</v>
      </c>
      <c r="AQ24" s="331">
        <f>'03. TH_ XK-B2B'!AQ83+'03. TH_ XK-B2B'!AQ99</f>
        <v>0</v>
      </c>
      <c r="AR24" s="331">
        <f>'03. TH_ XK-B2B'!AR83+'03. TH_ XK-B2B'!AR99</f>
        <v>156990.96163599181</v>
      </c>
      <c r="AS24" s="331">
        <f>'03. TH_ XK-B2B'!AS83+'03. TH_ XK-B2B'!AS99</f>
        <v>167035.70501592357</v>
      </c>
      <c r="AT24" s="331">
        <f>'03. TH_ XK-B2B'!AT83+'03. TH_ XK-B2B'!AT99</f>
        <v>8306.836248012718</v>
      </c>
      <c r="AU24" s="331">
        <f>'03. TH_ XK-B2B'!AU83+'03. TH_ XK-B2B'!AU99</f>
        <v>179551.75523922499</v>
      </c>
      <c r="AV24" s="336">
        <f t="shared" si="36"/>
        <v>934650.00224233314</v>
      </c>
      <c r="AW24" s="331">
        <f t="shared" si="33"/>
        <v>77887.5001868611</v>
      </c>
    </row>
    <row r="25" spans="2:49" x14ac:dyDescent="0.35">
      <c r="B25" s="322">
        <v>6</v>
      </c>
      <c r="C25" s="323" t="s">
        <v>413</v>
      </c>
      <c r="D25" s="346">
        <f>SUMIFS('01. KE30'!$X:$X,'01. KE30'!$E:$E,'04. BC - Nhóm hàng'!$C25,'01. KE30'!$A:$A,'04. BC - Nhóm hàng'!D$19)</f>
        <v>1965.074267362505</v>
      </c>
      <c r="E25" s="346">
        <f>SUMIFS('01. KE30'!$X:$X,'01. KE30'!$E:$E,'04. BC - Nhóm hàng'!$C25,'01. KE30'!$A:$A,'04. BC - Nhóm hàng'!E$19)</f>
        <v>20728.239464356044</v>
      </c>
      <c r="F25" s="346">
        <f>SUMIFS('01. KE30'!$X:$X,'01. KE30'!$E:$E,'04. BC - Nhóm hàng'!$C25,'01. KE30'!$A:$A,'04. BC - Nhóm hàng'!F$19)</f>
        <v>34479.448818897639</v>
      </c>
      <c r="G25" s="346">
        <f>SUMIFS('01. KE30'!$X:$X,'01. KE30'!$E:$E,'04. BC - Nhóm hàng'!$C25,'01. KE30'!$A:$A,'04. BC - Nhóm hàng'!G$19)</f>
        <v>12483.62369337979</v>
      </c>
      <c r="H25" s="346">
        <f>SUMIFS('01. KE30'!$X:$X,'01. KE30'!$E:$E,'04. BC - Nhóm hàng'!$C25,'01. KE30'!$A:$A,'04. BC - Nhóm hàng'!H$19)</f>
        <v>21517.706883217325</v>
      </c>
      <c r="I25" s="346">
        <f>SUMIFS('01. KE30'!$X:$X,'01. KE30'!$E:$E,'04. BC - Nhóm hàng'!$C25,'01. KE30'!$A:$A,'04. BC - Nhóm hàng'!I$19)</f>
        <v>19588.427353395062</v>
      </c>
      <c r="J25" s="346">
        <f>SUMIFS('01. KE30'!$X:$X,'01. KE30'!$E:$E,'04. BC - Nhóm hàng'!$C25,'01. KE30'!$A:$A,'04. BC - Nhóm hàng'!J$19)</f>
        <v>8804.1767960046109</v>
      </c>
      <c r="K25" s="346">
        <f>SUMIFS('01. KE30'!$X:$X,'01. KE30'!$E:$E,'04. BC - Nhóm hàng'!$C25,'01. KE30'!$A:$A,'04. BC - Nhóm hàng'!K$19)</f>
        <v>119756.39805194805</v>
      </c>
      <c r="L25" s="346">
        <f>SUMIFS('01. KE30'!$X:$X,'01. KE30'!$E:$E,'04. BC - Nhóm hàng'!$C25,'01. KE30'!$A:$A,'04. BC - Nhóm hàng'!L$19)</f>
        <v>47296.759695238099</v>
      </c>
      <c r="M25" s="346">
        <f>SUMIFS('01. KE30'!$X:$X,'01. KE30'!$E:$E,'04. BC - Nhóm hàng'!$C25,'01. KE30'!$A:$A,'04. BC - Nhóm hàng'!M$19)</f>
        <v>0</v>
      </c>
      <c r="N25" s="346">
        <f>SUMIFS('01. KE30'!$X:$X,'01. KE30'!$E:$E,'04. BC - Nhóm hàng'!$C25,'01. KE30'!$A:$A,'04. BC - Nhóm hàng'!N$19)</f>
        <v>0</v>
      </c>
      <c r="O25" s="346">
        <f>SUMIFS('01. KE30'!$X:$X,'01. KE30'!$E:$E,'04. BC - Nhóm hàng'!$C25,'01. KE30'!$A:$A,'04. BC - Nhóm hàng'!O$19)</f>
        <v>0</v>
      </c>
      <c r="P25" s="336">
        <f t="shared" si="34"/>
        <v>286619.85502379911</v>
      </c>
      <c r="Q25" s="400">
        <f t="shared" si="37"/>
        <v>31846.650558199901</v>
      </c>
      <c r="R25" s="343"/>
      <c r="S25" s="343"/>
      <c r="U25" s="331"/>
      <c r="V25" s="331"/>
      <c r="W25" s="331"/>
      <c r="X25" s="331"/>
      <c r="Y25" s="331"/>
      <c r="Z25" s="331"/>
      <c r="AA25" s="331"/>
      <c r="AB25" s="331"/>
      <c r="AC25" s="331"/>
      <c r="AD25" s="331"/>
      <c r="AE25" s="331"/>
      <c r="AF25" s="331"/>
      <c r="AG25" s="336">
        <f t="shared" si="35"/>
        <v>0</v>
      </c>
      <c r="AH25" s="331">
        <f t="shared" si="32"/>
        <v>0</v>
      </c>
      <c r="AJ25" s="331"/>
      <c r="AK25" s="331"/>
      <c r="AL25" s="331"/>
      <c r="AM25" s="331"/>
      <c r="AN25" s="331"/>
      <c r="AO25" s="331"/>
      <c r="AP25" s="331"/>
      <c r="AQ25" s="331"/>
      <c r="AR25" s="331"/>
      <c r="AS25" s="331"/>
      <c r="AT25" s="331"/>
      <c r="AU25" s="331"/>
      <c r="AV25" s="336">
        <f t="shared" si="36"/>
        <v>0</v>
      </c>
      <c r="AW25" s="331"/>
    </row>
    <row r="26" spans="2:49" x14ac:dyDescent="0.35">
      <c r="B26" s="332">
        <v>7</v>
      </c>
      <c r="C26" s="333" t="s">
        <v>420</v>
      </c>
      <c r="D26" s="346">
        <f>SUMIFS('01. KE30'!$X:$X,'01. KE30'!$E:$E,'04. BC - Nhóm hàng'!$C26,'01. KE30'!$A:$A,'04. BC - Nhóm hàng'!D$19)</f>
        <v>0</v>
      </c>
      <c r="E26" s="346">
        <f>SUMIFS('01. KE30'!$X:$X,'01. KE30'!$E:$E,'04. BC - Nhóm hàng'!$C26,'01. KE30'!$A:$A,'04. BC - Nhóm hàng'!E$19)</f>
        <v>272231.19338322175</v>
      </c>
      <c r="F26" s="346">
        <f>SUMIFS('01. KE30'!$X:$X,'01. KE30'!$E:$E,'04. BC - Nhóm hàng'!$C26,'01. KE30'!$A:$A,'04. BC - Nhóm hàng'!F$19)</f>
        <v>100374.0157480315</v>
      </c>
      <c r="G26" s="346">
        <f>SUMIFS('01. KE30'!$X:$X,'01. KE30'!$E:$E,'04. BC - Nhóm hàng'!$C26,'01. KE30'!$A:$A,'04. BC - Nhóm hàng'!G$19)</f>
        <v>80458.768873403023</v>
      </c>
      <c r="H26" s="346">
        <f>SUMIFS('01. KE30'!$X:$X,'01. KE30'!$E:$E,'04. BC - Nhóm hàng'!$C26,'01. KE30'!$A:$A,'04. BC - Nhóm hàng'!H$19)</f>
        <v>48878.576952822892</v>
      </c>
      <c r="I26" s="346">
        <f>SUMIFS('01. KE30'!$X:$X,'01. KE30'!$E:$E,'04. BC - Nhóm hàng'!$C26,'01. KE30'!$A:$A,'04. BC - Nhóm hàng'!I$19)</f>
        <v>63734.567901234564</v>
      </c>
      <c r="J26" s="346">
        <f>SUMIFS('01. KE30'!$X:$X,'01. KE30'!$E:$E,'04. BC - Nhóm hàng'!$C26,'01. KE30'!$A:$A,'04. BC - Nhóm hàng'!J$19)</f>
        <v>12139.838647714176</v>
      </c>
      <c r="K26" s="346">
        <f>SUMIFS('01. KE30'!$X:$X,'01. KE30'!$E:$E,'04. BC - Nhóm hàng'!$C26,'01. KE30'!$A:$A,'04. BC - Nhóm hàng'!K$19)</f>
        <v>51581.359816653938</v>
      </c>
      <c r="L26" s="346">
        <f>SUMIFS('01. KE30'!$X:$X,'01. KE30'!$E:$E,'04. BC - Nhóm hàng'!$C26,'01. KE30'!$A:$A,'04. BC - Nhóm hàng'!L$19)</f>
        <v>143270.47619047618</v>
      </c>
      <c r="M26" s="346">
        <f>SUMIFS('01. KE30'!$X:$X,'01. KE30'!$E:$E,'04. BC - Nhóm hàng'!$C26,'01. KE30'!$A:$A,'04. BC - Nhóm hàng'!M$19)</f>
        <v>0</v>
      </c>
      <c r="N26" s="346">
        <f>SUMIFS('01. KE30'!$X:$X,'01. KE30'!$E:$E,'04. BC - Nhóm hàng'!$C26,'01. KE30'!$A:$A,'04. BC - Nhóm hàng'!N$19)</f>
        <v>0</v>
      </c>
      <c r="O26" s="346">
        <f>SUMIFS('01. KE30'!$X:$X,'01. KE30'!$E:$E,'04. BC - Nhóm hàng'!$C26,'01. KE30'!$A:$A,'04. BC - Nhóm hàng'!O$19)</f>
        <v>0</v>
      </c>
      <c r="P26" s="336">
        <f t="shared" si="34"/>
        <v>772668.79751355806</v>
      </c>
      <c r="Q26" s="400">
        <f t="shared" si="37"/>
        <v>85852.088612617561</v>
      </c>
      <c r="R26" s="343"/>
      <c r="S26" s="343"/>
      <c r="U26" s="334"/>
      <c r="V26" s="334"/>
      <c r="W26" s="334"/>
      <c r="X26" s="334"/>
      <c r="Y26" s="334"/>
      <c r="Z26" s="334"/>
      <c r="AA26" s="334"/>
      <c r="AB26" s="334"/>
      <c r="AC26" s="334"/>
      <c r="AD26" s="334"/>
      <c r="AE26" s="334"/>
      <c r="AF26" s="334"/>
      <c r="AG26" s="336">
        <f t="shared" si="35"/>
        <v>0</v>
      </c>
      <c r="AH26" s="331">
        <f t="shared" si="32"/>
        <v>0</v>
      </c>
      <c r="AJ26" s="334"/>
      <c r="AK26" s="334"/>
      <c r="AL26" s="334"/>
      <c r="AM26" s="334"/>
      <c r="AN26" s="334"/>
      <c r="AO26" s="334"/>
      <c r="AP26" s="334"/>
      <c r="AQ26" s="334"/>
      <c r="AR26" s="334"/>
      <c r="AS26" s="334"/>
      <c r="AT26" s="334"/>
      <c r="AU26" s="334"/>
      <c r="AV26" s="337"/>
      <c r="AW26" s="334"/>
    </row>
    <row r="27" spans="2:49" x14ac:dyDescent="0.35">
      <c r="B27" s="332">
        <v>8</v>
      </c>
      <c r="C27" s="333" t="s">
        <v>404</v>
      </c>
      <c r="D27" s="346">
        <f>SUMIFS('01. KE30'!$X:$X,'01. KE30'!$E:$E,'04. BC - Nhóm hàng'!$C27,'01. KE30'!$A:$A,'04. BC - Nhóm hàng'!D$19)</f>
        <v>20784.801284624649</v>
      </c>
      <c r="E27" s="346">
        <f>SUMIFS('01. KE30'!$X:$X,'01. KE30'!$E:$E,'04. BC - Nhóm hàng'!$C27,'01. KE30'!$A:$A,'04. BC - Nhóm hàng'!E$19)</f>
        <v>14330.287514769592</v>
      </c>
      <c r="F27" s="346">
        <f>SUMIFS('01. KE30'!$X:$X,'01. KE30'!$E:$E,'04. BC - Nhóm hàng'!$C27,'01. KE30'!$A:$A,'04. BC - Nhóm hàng'!F$19)</f>
        <v>35415.200787401576</v>
      </c>
      <c r="G27" s="346">
        <f>SUMIFS('01. KE30'!$X:$X,'01. KE30'!$E:$E,'04. BC - Nhóm hàng'!$C27,'01. KE30'!$A:$A,'04. BC - Nhóm hàng'!G$19)</f>
        <v>2703.6895083236545</v>
      </c>
      <c r="H27" s="346">
        <f>SUMIFS('01. KE30'!$X:$X,'01. KE30'!$E:$E,'04. BC - Nhóm hàng'!$C27,'01. KE30'!$A:$A,'04. BC - Nhóm hàng'!H$19)</f>
        <v>17790.262954369682</v>
      </c>
      <c r="I27" s="346">
        <f>SUMIFS('01. KE30'!$X:$X,'01. KE30'!$E:$E,'04. BC - Nhóm hàng'!$C27,'01. KE30'!$A:$A,'04. BC - Nhóm hàng'!I$19)</f>
        <v>9873.2781635802457</v>
      </c>
      <c r="J27" s="346">
        <f>SUMIFS('01. KE30'!$X:$X,'01. KE30'!$E:$E,'04. BC - Nhóm hàng'!$C27,'01. KE30'!$A:$A,'04. BC - Nhóm hàng'!J$19)</f>
        <v>18400.566000768344</v>
      </c>
      <c r="K27" s="346">
        <f>SUMIFS('01. KE30'!$X:$X,'01. KE30'!$E:$E,'04. BC - Nhóm hàng'!$C27,'01. KE30'!$A:$A,'04. BC - Nhóm hàng'!K$19)</f>
        <v>11911.238157575759</v>
      </c>
      <c r="L27" s="346">
        <f>SUMIFS('01. KE30'!$X:$X,'01. KE30'!$E:$E,'04. BC - Nhóm hàng'!$C27,'01. KE30'!$A:$A,'04. BC - Nhóm hàng'!L$19)</f>
        <v>34846.674285714289</v>
      </c>
      <c r="M27" s="346">
        <f>SUMIFS('01. KE30'!$X:$X,'01. KE30'!$E:$E,'04. BC - Nhóm hàng'!$C27,'01. KE30'!$A:$A,'04. BC - Nhóm hàng'!M$19)</f>
        <v>0</v>
      </c>
      <c r="N27" s="346">
        <f>SUMIFS('01. KE30'!$X:$X,'01. KE30'!$E:$E,'04. BC - Nhóm hàng'!$C27,'01. KE30'!$A:$A,'04. BC - Nhóm hàng'!N$19)</f>
        <v>0</v>
      </c>
      <c r="O27" s="346">
        <f>SUMIFS('01. KE30'!$X:$X,'01. KE30'!$E:$E,'04. BC - Nhóm hàng'!$C27,'01. KE30'!$A:$A,'04. BC - Nhóm hàng'!O$19)</f>
        <v>0</v>
      </c>
      <c r="P27" s="337">
        <f t="shared" si="34"/>
        <v>166055.99865712778</v>
      </c>
      <c r="Q27" s="400">
        <f t="shared" si="37"/>
        <v>18450.666517458641</v>
      </c>
      <c r="R27" s="343"/>
      <c r="S27" s="343"/>
      <c r="U27" s="334"/>
      <c r="V27" s="334"/>
      <c r="W27" s="334"/>
      <c r="X27" s="334"/>
      <c r="Y27" s="334"/>
      <c r="Z27" s="334"/>
      <c r="AA27" s="334"/>
      <c r="AB27" s="334"/>
      <c r="AC27" s="334"/>
      <c r="AD27" s="334"/>
      <c r="AE27" s="334"/>
      <c r="AF27" s="334"/>
      <c r="AG27" s="337">
        <f t="shared" si="35"/>
        <v>0</v>
      </c>
      <c r="AH27" s="331">
        <f t="shared" si="32"/>
        <v>0</v>
      </c>
      <c r="AJ27" s="334"/>
      <c r="AK27" s="334"/>
      <c r="AL27" s="334"/>
      <c r="AM27" s="334"/>
      <c r="AN27" s="334"/>
      <c r="AO27" s="334"/>
      <c r="AP27" s="334"/>
      <c r="AQ27" s="334"/>
      <c r="AR27" s="334"/>
      <c r="AS27" s="334"/>
      <c r="AT27" s="334"/>
      <c r="AU27" s="334"/>
      <c r="AV27" s="337">
        <f t="shared" si="36"/>
        <v>0</v>
      </c>
      <c r="AW27" s="334"/>
    </row>
    <row r="28" spans="2:49" x14ac:dyDescent="0.35">
      <c r="B28" s="338">
        <v>8</v>
      </c>
      <c r="C28" s="339" t="s">
        <v>259</v>
      </c>
      <c r="D28" s="340">
        <f>SUM(D20:D27)</f>
        <v>4367395.2936170204</v>
      </c>
      <c r="E28" s="340">
        <f t="shared" ref="E28" si="38">SUM(E20:E27)</f>
        <v>7191802.9779469902</v>
      </c>
      <c r="F28" s="340">
        <f t="shared" ref="F28" si="39">SUM(F20:F27)</f>
        <v>5789162.8768002978</v>
      </c>
      <c r="G28" s="340">
        <f t="shared" ref="G28" si="40">SUM(G20:G27)</f>
        <v>4752504.9508581758</v>
      </c>
      <c r="H28" s="340">
        <f t="shared" ref="H28" si="41">SUM(H20:H27)</f>
        <v>5710651.5938887447</v>
      </c>
      <c r="I28" s="340">
        <f t="shared" ref="I28" si="42">SUM(I20:I27)</f>
        <v>4445715.8656250006</v>
      </c>
      <c r="J28" s="340">
        <f t="shared" ref="J28" si="43">SUM(J20:J27)</f>
        <v>5206769.6508603385</v>
      </c>
      <c r="K28" s="340">
        <f t="shared" ref="K28" si="44">SUM(K20:K27)</f>
        <v>6287515.1643836461</v>
      </c>
      <c r="L28" s="340">
        <f t="shared" ref="L28" si="45">SUM(L20:L27)</f>
        <v>3098221.143318689</v>
      </c>
      <c r="M28" s="340">
        <f t="shared" ref="M28" si="46">SUM(M20:M27)</f>
        <v>0</v>
      </c>
      <c r="N28" s="340">
        <f t="shared" ref="N28" si="47">SUM(N20:N27)</f>
        <v>0</v>
      </c>
      <c r="O28" s="340">
        <f t="shared" ref="O28" si="48">SUM(O20:O27)</f>
        <v>0</v>
      </c>
      <c r="P28" s="340">
        <f t="shared" si="34"/>
        <v>46849739.5172989</v>
      </c>
      <c r="Q28" s="340">
        <f t="shared" si="34"/>
        <v>89332083.740980789</v>
      </c>
      <c r="R28" s="344"/>
      <c r="S28" s="344"/>
      <c r="U28" s="340">
        <f>SUM(U20:U27)</f>
        <v>3919094.4599999995</v>
      </c>
      <c r="V28" s="340">
        <f t="shared" ref="V28" si="49">SUM(V20:V27)</f>
        <v>4790541.3959999997</v>
      </c>
      <c r="W28" s="340">
        <f t="shared" ref="W28" si="50">SUM(W20:W27)</f>
        <v>4666487.5359999994</v>
      </c>
      <c r="X28" s="340">
        <f t="shared" ref="X28" si="51">SUM(X20:X27)</f>
        <v>4939980.0159999998</v>
      </c>
      <c r="Y28" s="340">
        <f t="shared" ref="Y28" si="52">SUM(Y20:Y27)</f>
        <v>6704536.9759999998</v>
      </c>
      <c r="Z28" s="340">
        <f t="shared" ref="Z28" si="53">SUM(Z20:Z27)</f>
        <v>6400737.6359999999</v>
      </c>
      <c r="AA28" s="340">
        <f t="shared" ref="AA28" si="54">SUM(AA20:AA27)</f>
        <v>7379601.716</v>
      </c>
      <c r="AB28" s="340">
        <f t="shared" ref="AB28" si="55">SUM(AB20:AB27)</f>
        <v>7341856.2759999996</v>
      </c>
      <c r="AC28" s="340">
        <f t="shared" ref="AC28" si="56">SUM(AC20:AC27)</f>
        <v>8731608.756000001</v>
      </c>
      <c r="AD28" s="340">
        <f t="shared" ref="AD28" si="57">SUM(AD20:AD27)</f>
        <v>8882973.3159999996</v>
      </c>
      <c r="AE28" s="340">
        <f t="shared" ref="AE28" si="58">SUM(AE20:AE27)</f>
        <v>8120136.0999999996</v>
      </c>
      <c r="AF28" s="340">
        <f t="shared" ref="AF28" si="59">SUM(AF20:AF27)</f>
        <v>8069608.1959999995</v>
      </c>
      <c r="AG28" s="340">
        <f t="shared" si="35"/>
        <v>79947162.37999998</v>
      </c>
      <c r="AH28" s="340">
        <f t="shared" si="35"/>
        <v>155975230.29999995</v>
      </c>
      <c r="AJ28" s="340">
        <f>SUM(AJ20:AJ27)</f>
        <v>2677788.6951428573</v>
      </c>
      <c r="AK28" s="340">
        <f t="shared" ref="AK28" si="60">SUM(AK20:AK27)</f>
        <v>2574136.140408163</v>
      </c>
      <c r="AL28" s="340">
        <f t="shared" ref="AL28" si="61">SUM(AL20:AL27)</f>
        <v>3563762.3179705651</v>
      </c>
      <c r="AM28" s="340">
        <f t="shared" ref="AM28" si="62">SUM(AM20:AM27)</f>
        <v>3780053.0456935489</v>
      </c>
      <c r="AN28" s="340">
        <f t="shared" ref="AN28" si="63">SUM(AN20:AN27)</f>
        <v>3858885.4003599999</v>
      </c>
      <c r="AO28" s="340">
        <f t="shared" ref="AO28" si="64">SUM(AO20:AO27)</f>
        <v>2241533.9024740215</v>
      </c>
      <c r="AP28" s="340">
        <f t="shared" ref="AP28" si="65">SUM(AP20:AP27)</f>
        <v>2066732.1243727598</v>
      </c>
      <c r="AQ28" s="340">
        <f t="shared" ref="AQ28" si="66">SUM(AQ20:AQ27)</f>
        <v>5616896.5948770177</v>
      </c>
      <c r="AR28" s="340">
        <f t="shared" ref="AR28" si="67">SUM(AR20:AR27)</f>
        <v>5625690.6753980154</v>
      </c>
      <c r="AS28" s="340">
        <f t="shared" ref="AS28" si="68">SUM(AS20:AS27)</f>
        <v>4225164.6464378396</v>
      </c>
      <c r="AT28" s="340">
        <f t="shared" ref="AT28" si="69">SUM(AT20:AT27)</f>
        <v>2585311.8849113821</v>
      </c>
      <c r="AU28" s="340">
        <f t="shared" ref="AU28" si="70">SUM(AU20:AU27)</f>
        <v>3701242.5102412025</v>
      </c>
      <c r="AV28" s="340">
        <f t="shared" si="36"/>
        <v>42517197.93828737</v>
      </c>
      <c r="AW28" s="340">
        <f t="shared" si="36"/>
        <v>82356607.18143189</v>
      </c>
    </row>
    <row r="29" spans="2:49" x14ac:dyDescent="0.35">
      <c r="B29" s="173"/>
      <c r="C29" s="319"/>
    </row>
    <row r="30" spans="2:49" ht="18.5" x14ac:dyDescent="0.45">
      <c r="B30" s="178" t="s">
        <v>407</v>
      </c>
      <c r="C30" s="98" t="s">
        <v>291</v>
      </c>
    </row>
    <row r="31" spans="2:49" x14ac:dyDescent="0.35">
      <c r="B31" s="276" t="s">
        <v>174</v>
      </c>
      <c r="C31" s="276"/>
      <c r="D31" s="276">
        <v>1</v>
      </c>
      <c r="E31" s="276">
        <v>2</v>
      </c>
      <c r="F31" s="276">
        <v>3</v>
      </c>
      <c r="G31" s="276">
        <v>4</v>
      </c>
      <c r="H31" s="276">
        <v>5</v>
      </c>
      <c r="I31" s="276">
        <v>6</v>
      </c>
      <c r="J31" s="276">
        <v>7</v>
      </c>
      <c r="K31" s="276">
        <v>8</v>
      </c>
      <c r="L31" s="276">
        <v>9</v>
      </c>
      <c r="M31" s="276">
        <v>10</v>
      </c>
      <c r="N31" s="276">
        <v>11</v>
      </c>
      <c r="O31" s="276">
        <v>12</v>
      </c>
      <c r="P31" s="276" t="s">
        <v>386</v>
      </c>
      <c r="Q31" s="276" t="s">
        <v>387</v>
      </c>
      <c r="R31" s="342"/>
      <c r="S31" s="342"/>
      <c r="T31" s="282"/>
      <c r="U31" s="325">
        <v>1</v>
      </c>
      <c r="V31" s="325">
        <v>2</v>
      </c>
      <c r="W31" s="325">
        <v>3</v>
      </c>
      <c r="X31" s="325">
        <v>4</v>
      </c>
      <c r="Y31" s="325">
        <v>5</v>
      </c>
      <c r="Z31" s="325">
        <v>6</v>
      </c>
      <c r="AA31" s="325">
        <v>7</v>
      </c>
      <c r="AB31" s="325">
        <v>8</v>
      </c>
      <c r="AC31" s="325">
        <v>9</v>
      </c>
      <c r="AD31" s="325">
        <v>10</v>
      </c>
      <c r="AE31" s="325">
        <v>11</v>
      </c>
      <c r="AF31" s="325">
        <v>12</v>
      </c>
      <c r="AG31" s="325" t="s">
        <v>389</v>
      </c>
      <c r="AH31" s="325" t="s">
        <v>388</v>
      </c>
      <c r="AI31" s="282"/>
      <c r="AJ31" s="326">
        <v>1</v>
      </c>
      <c r="AK31" s="326">
        <v>2</v>
      </c>
      <c r="AL31" s="326">
        <v>3</v>
      </c>
      <c r="AM31" s="326">
        <v>4</v>
      </c>
      <c r="AN31" s="326">
        <v>5</v>
      </c>
      <c r="AO31" s="326">
        <v>6</v>
      </c>
      <c r="AP31" s="326">
        <v>7</v>
      </c>
      <c r="AQ31" s="326">
        <v>8</v>
      </c>
      <c r="AR31" s="326">
        <v>9</v>
      </c>
      <c r="AS31" s="326">
        <v>10</v>
      </c>
      <c r="AT31" s="326">
        <v>11</v>
      </c>
      <c r="AU31" s="326">
        <v>12</v>
      </c>
      <c r="AV31" s="326" t="s">
        <v>384</v>
      </c>
      <c r="AW31" s="326" t="s">
        <v>383</v>
      </c>
    </row>
    <row r="32" spans="2:49" x14ac:dyDescent="0.35">
      <c r="B32" s="320">
        <v>1</v>
      </c>
      <c r="C32" s="321" t="s">
        <v>283</v>
      </c>
      <c r="D32" s="330">
        <f>SUMIFS('01. KE30'!$Z:$Z,'01. KE30'!$A:$A,'04. BC - Nhóm hàng'!D$31,'01. KE30'!$E:$E,'04. BC - Nhóm hàng'!$C32)</f>
        <v>687307.65222802083</v>
      </c>
      <c r="E32" s="330">
        <f>SUMIFS('01. KE30'!$Z:$Z,'01. KE30'!$A:$A,'04. BC - Nhóm hàng'!E$31,'01. KE30'!$E:$E,'04. BC - Nhóm hàng'!$C32)</f>
        <v>1377125.4019123891</v>
      </c>
      <c r="F32" s="330">
        <f>SUMIFS('01. KE30'!$Z:$Z,'01. KE30'!$A:$A,'04. BC - Nhóm hàng'!F$31,'01. KE30'!$E:$E,'04. BC - Nhóm hàng'!$C32)</f>
        <v>889029.42501552193</v>
      </c>
      <c r="G32" s="330">
        <f>SUMIFS('01. KE30'!$Z:$Z,'01. KE30'!$A:$A,'04. BC - Nhóm hàng'!G$31,'01. KE30'!$E:$E,'04. BC - Nhóm hàng'!$C32)</f>
        <v>761785.04045253154</v>
      </c>
      <c r="H32" s="330">
        <f>SUMIFS('01. KE30'!$Z:$Z,'01. KE30'!$A:$A,'04. BC - Nhóm hàng'!H$31,'01. KE30'!$E:$E,'04. BC - Nhóm hàng'!$C32)</f>
        <v>919114.73156741424</v>
      </c>
      <c r="I32" s="330">
        <f>SUMIFS('01. KE30'!$Z:$Z,'01. KE30'!$A:$A,'04. BC - Nhóm hàng'!I$31,'01. KE30'!$E:$E,'04. BC - Nhóm hàng'!$C32)</f>
        <v>549737.9400920209</v>
      </c>
      <c r="J32" s="330">
        <f>SUMIFS('01. KE30'!$Z:$Z,'01. KE30'!$A:$A,'04. BC - Nhóm hàng'!J$31,'01. KE30'!$E:$E,'04. BC - Nhóm hàng'!$C32)</f>
        <v>538727.4095205745</v>
      </c>
      <c r="K32" s="330">
        <f>SUMIFS('01. KE30'!$Z:$Z,'01. KE30'!$A:$A,'04. BC - Nhóm hàng'!K$31,'01. KE30'!$E:$E,'04. BC - Nhóm hàng'!$C32)</f>
        <v>728120.32659302279</v>
      </c>
      <c r="L32" s="330">
        <f>SUMIFS('01. KE30'!$Z:$Z,'01. KE30'!$A:$A,'04. BC - Nhóm hàng'!L$31,'01. KE30'!$E:$E,'04. BC - Nhóm hàng'!$C32)</f>
        <v>292209.52831328346</v>
      </c>
      <c r="M32" s="330">
        <f>SUMIFS('01. KE30'!$Z:$Z,'01. KE30'!$A:$A,'04. BC - Nhóm hàng'!M$31,'01. KE30'!$E:$E,'04. BC - Nhóm hàng'!$C32)</f>
        <v>0</v>
      </c>
      <c r="N32" s="330">
        <f>SUMIFS('01. KE30'!$Z:$Z,'01. KE30'!$A:$A,'04. BC - Nhóm hàng'!N$31,'01. KE30'!$E:$E,'04. BC - Nhóm hàng'!$C32)</f>
        <v>0</v>
      </c>
      <c r="O32" s="330">
        <f>SUMIFS('01. KE30'!$Z:$Z,'01. KE30'!$A:$A,'04. BC - Nhóm hàng'!O$31,'01. KE30'!$E:$E,'04. BC - Nhóm hàng'!$C32)</f>
        <v>0</v>
      </c>
      <c r="P32" s="335">
        <f>SUM(D32:O32)</f>
        <v>6743157.4556947798</v>
      </c>
      <c r="Q32" s="401">
        <f>P32/(12-COUNTIF($D$21:$O$21,0))</f>
        <v>749239.71729941992</v>
      </c>
      <c r="R32" s="343"/>
      <c r="S32" s="343"/>
      <c r="U32" s="330">
        <f>'03. TH_ XK-B2B'!U119+'03. TH_ XK-B2B'!U129</f>
        <v>0</v>
      </c>
      <c r="V32" s="330">
        <f>'03. TH_ XK-B2B'!V119+'03. TH_ XK-B2B'!V129</f>
        <v>0</v>
      </c>
      <c r="W32" s="330">
        <f>'03. TH_ XK-B2B'!W119+'03. TH_ XK-B2B'!W129</f>
        <v>0</v>
      </c>
      <c r="X32" s="330">
        <f>'03. TH_ XK-B2B'!X119+'03. TH_ XK-B2B'!X129</f>
        <v>0</v>
      </c>
      <c r="Y32" s="330">
        <f>'03. TH_ XK-B2B'!Y119+'03. TH_ XK-B2B'!Y129</f>
        <v>0</v>
      </c>
      <c r="Z32" s="330">
        <f>'03. TH_ XK-B2B'!Z119+'03. TH_ XK-B2B'!Z129</f>
        <v>0</v>
      </c>
      <c r="AA32" s="330">
        <f>'03. TH_ XK-B2B'!AA119+'03. TH_ XK-B2B'!AA129</f>
        <v>0</v>
      </c>
      <c r="AB32" s="330">
        <f>'03. TH_ XK-B2B'!AB119+'03. TH_ XK-B2B'!AB129</f>
        <v>0</v>
      </c>
      <c r="AC32" s="330">
        <f>'03. TH_ XK-B2B'!AC119+'03. TH_ XK-B2B'!AC129</f>
        <v>0</v>
      </c>
      <c r="AD32" s="330">
        <f>'03. TH_ XK-B2B'!AD119+'03. TH_ XK-B2B'!AD129</f>
        <v>0</v>
      </c>
      <c r="AE32" s="330">
        <f>'03. TH_ XK-B2B'!AE119+'03. TH_ XK-B2B'!AE129</f>
        <v>0</v>
      </c>
      <c r="AF32" s="330">
        <f>'03. TH_ XK-B2B'!AF119+'03. TH_ XK-B2B'!AF129</f>
        <v>0</v>
      </c>
      <c r="AG32" s="335">
        <f>SUM(U32:AF32)</f>
        <v>0</v>
      </c>
      <c r="AH32" s="330">
        <f t="shared" ref="AH32:AH36" si="71">IFERROR(AVERAGE(U32:AF32),0)</f>
        <v>0</v>
      </c>
      <c r="AJ32" s="330">
        <f>'03. TH_ XK-B2B'!AJ119+'03. TH_ XK-B2B'!AJ129</f>
        <v>635321.74848979595</v>
      </c>
      <c r="AK32" s="330">
        <f>'03. TH_ XK-B2B'!AK119+'03. TH_ XK-B2B'!AK129</f>
        <v>535779.92759183643</v>
      </c>
      <c r="AL32" s="330">
        <f>'03. TH_ XK-B2B'!AL119+'03. TH_ XK-B2B'!AL129</f>
        <v>545748.9588173388</v>
      </c>
      <c r="AM32" s="330">
        <f>'03. TH_ XK-B2B'!AM119+'03. TH_ XK-B2B'!AM129</f>
        <v>741351.33883870987</v>
      </c>
      <c r="AN32" s="330">
        <f>'03. TH_ XK-B2B'!AN119+'03. TH_ XK-B2B'!AN129</f>
        <v>494103.15748000005</v>
      </c>
      <c r="AO32" s="330">
        <f>'03. TH_ XK-B2B'!AO119+'03. TH_ XK-B2B'!AO129</f>
        <v>373539.21798648639</v>
      </c>
      <c r="AP32" s="330">
        <f>'03. TH_ XK-B2B'!AP119+'03. TH_ XK-B2B'!AP129</f>
        <v>239866.83604141808</v>
      </c>
      <c r="AQ32" s="330">
        <f>'03. TH_ XK-B2B'!AQ119+'03. TH_ XK-B2B'!AQ129</f>
        <v>494830.40373982559</v>
      </c>
      <c r="AR32" s="330">
        <f>'03. TH_ XK-B2B'!AR119+'03. TH_ XK-B2B'!AR129</f>
        <v>666919.38550026412</v>
      </c>
      <c r="AS32" s="330">
        <f>'03. TH_ XK-B2B'!AS119+'03. TH_ XK-B2B'!AS129</f>
        <v>594718.55451904959</v>
      </c>
      <c r="AT32" s="330">
        <f>'03. TH_ XK-B2B'!AT119+'03. TH_ XK-B2B'!AT129</f>
        <v>569642.00291615154</v>
      </c>
      <c r="AU32" s="330">
        <f>'03. TH_ XK-B2B'!AU119+'03. TH_ XK-B2B'!AU129</f>
        <v>731953.73420324293</v>
      </c>
      <c r="AV32" s="335">
        <f>SUM(AJ32:AU32)</f>
        <v>6623775.2661241191</v>
      </c>
      <c r="AW32" s="335">
        <f t="shared" ref="AW32:AW36" si="72">IFERROR(AVERAGE(AJ32:AU32),0)</f>
        <v>551981.27217700996</v>
      </c>
    </row>
    <row r="33" spans="2:49" x14ac:dyDescent="0.35">
      <c r="B33" s="322">
        <v>2</v>
      </c>
      <c r="C33" s="323" t="s">
        <v>265</v>
      </c>
      <c r="D33" s="331">
        <f>SUMIFS('01. KE30'!$Z:$Z,'01. KE30'!$A:$A,'04. BC - Nhóm hàng'!D$31,'01. KE30'!$E:$E,'04. BC - Nhóm hàng'!$C33)</f>
        <v>44673.20469690887</v>
      </c>
      <c r="E33" s="331">
        <f>SUMIFS('01. KE30'!$Z:$Z,'01. KE30'!$A:$A,'04. BC - Nhóm hàng'!E$31,'01. KE30'!$E:$E,'04. BC - Nhóm hàng'!$C33)</f>
        <v>35498.57016614882</v>
      </c>
      <c r="F33" s="331">
        <f>SUMIFS('01. KE30'!$Z:$Z,'01. KE30'!$A:$A,'04. BC - Nhóm hàng'!F$31,'01. KE30'!$E:$E,'04. BC - Nhóm hàng'!$C33)</f>
        <v>76480.952974628177</v>
      </c>
      <c r="G33" s="331">
        <f>SUMIFS('01. KE30'!$Z:$Z,'01. KE30'!$A:$A,'04. BC - Nhóm hàng'!G$31,'01. KE30'!$E:$E,'04. BC - Nhóm hàng'!$C33)</f>
        <v>6381.3444659525985</v>
      </c>
      <c r="H33" s="331">
        <f>SUMIFS('01. KE30'!$Z:$Z,'01. KE30'!$A:$A,'04. BC - Nhóm hàng'!H$31,'01. KE30'!$E:$E,'04. BC - Nhóm hàng'!$C33)</f>
        <v>37181.139158145001</v>
      </c>
      <c r="I33" s="331">
        <f>SUMIFS('01. KE30'!$Z:$Z,'01. KE30'!$A:$A,'04. BC - Nhóm hàng'!I$31,'01. KE30'!$E:$E,'04. BC - Nhóm hàng'!$C33)</f>
        <v>42886.930548411066</v>
      </c>
      <c r="J33" s="331">
        <f>SUMIFS('01. KE30'!$Z:$Z,'01. KE30'!$A:$A,'04. BC - Nhóm hàng'!J$31,'01. KE30'!$E:$E,'04. BC - Nhóm hàng'!$C33)</f>
        <v>42620.560279449644</v>
      </c>
      <c r="K33" s="331">
        <f>SUMIFS('01. KE30'!$Z:$Z,'01. KE30'!$A:$A,'04. BC - Nhóm hàng'!K$31,'01. KE30'!$E:$E,'04. BC - Nhóm hàng'!$C33)</f>
        <v>72161.173103584879</v>
      </c>
      <c r="L33" s="331">
        <f>SUMIFS('01. KE30'!$Z:$Z,'01. KE30'!$A:$A,'04. BC - Nhóm hàng'!L$31,'01. KE30'!$E:$E,'04. BC - Nhóm hàng'!$C33)</f>
        <v>43419.450738738204</v>
      </c>
      <c r="M33" s="331">
        <f>SUMIFS('01. KE30'!$Z:$Z,'01. KE30'!$A:$A,'04. BC - Nhóm hàng'!M$31,'01. KE30'!$E:$E,'04. BC - Nhóm hàng'!$C33)</f>
        <v>0</v>
      </c>
      <c r="N33" s="331">
        <f>SUMIFS('01. KE30'!$Z:$Z,'01. KE30'!$A:$A,'04. BC - Nhóm hàng'!N$31,'01. KE30'!$E:$E,'04. BC - Nhóm hàng'!$C33)</f>
        <v>0</v>
      </c>
      <c r="O33" s="331">
        <f>SUMIFS('01. KE30'!$Z:$Z,'01. KE30'!$A:$A,'04. BC - Nhóm hàng'!O$31,'01. KE30'!$E:$E,'04. BC - Nhóm hàng'!$C33)</f>
        <v>0</v>
      </c>
      <c r="P33" s="336">
        <f t="shared" ref="P33:Q40" si="73">SUM(D33:O33)</f>
        <v>401303.32613196725</v>
      </c>
      <c r="Q33" s="402">
        <f t="shared" ref="Q33:Q39" si="74">P33/(12-COUNTIF($D$21:$O$21,0))</f>
        <v>44589.25845910747</v>
      </c>
      <c r="R33" s="343"/>
      <c r="S33" s="343"/>
      <c r="U33" s="331">
        <f>'03. TH_ XK-B2B'!U121+'03. TH_ XK-B2B'!U131</f>
        <v>0</v>
      </c>
      <c r="V33" s="331">
        <f>'03. TH_ XK-B2B'!V121+'03. TH_ XK-B2B'!V131</f>
        <v>0</v>
      </c>
      <c r="W33" s="331">
        <f>'03. TH_ XK-B2B'!W121+'03. TH_ XK-B2B'!W131</f>
        <v>0</v>
      </c>
      <c r="X33" s="331">
        <f>'03. TH_ XK-B2B'!X121+'03. TH_ XK-B2B'!X131</f>
        <v>0</v>
      </c>
      <c r="Y33" s="331">
        <f>'03. TH_ XK-B2B'!Y121+'03. TH_ XK-B2B'!Y131</f>
        <v>0</v>
      </c>
      <c r="Z33" s="331">
        <f>'03. TH_ XK-B2B'!Z121+'03. TH_ XK-B2B'!Z131</f>
        <v>0</v>
      </c>
      <c r="AA33" s="331">
        <f>'03. TH_ XK-B2B'!AA121+'03. TH_ XK-B2B'!AA131</f>
        <v>0</v>
      </c>
      <c r="AB33" s="331">
        <f>'03. TH_ XK-B2B'!AB121+'03. TH_ XK-B2B'!AB131</f>
        <v>0</v>
      </c>
      <c r="AC33" s="331">
        <f>'03. TH_ XK-B2B'!AC121+'03. TH_ XK-B2B'!AC131</f>
        <v>0</v>
      </c>
      <c r="AD33" s="331">
        <f>'03. TH_ XK-B2B'!AD121+'03. TH_ XK-B2B'!AD131</f>
        <v>0</v>
      </c>
      <c r="AE33" s="331">
        <f>'03. TH_ XK-B2B'!AE121+'03. TH_ XK-B2B'!AE131</f>
        <v>0</v>
      </c>
      <c r="AF33" s="331">
        <f>'03. TH_ XK-B2B'!AF121+'03. TH_ XK-B2B'!AF131</f>
        <v>0</v>
      </c>
      <c r="AG33" s="336">
        <f t="shared" ref="AG33:AH40" si="75">SUM(U33:AF33)</f>
        <v>0</v>
      </c>
      <c r="AH33" s="331">
        <f t="shared" si="71"/>
        <v>0</v>
      </c>
      <c r="AJ33" s="331">
        <f>'03. TH_ XK-B2B'!AJ121+'03. TH_ XK-B2B'!AJ131</f>
        <v>69944.516448979586</v>
      </c>
      <c r="AK33" s="331">
        <f>'03. TH_ XK-B2B'!AK121+'03. TH_ XK-B2B'!AK131</f>
        <v>39447.709428571427</v>
      </c>
      <c r="AL33" s="331">
        <f>'03. TH_ XK-B2B'!AL121+'03. TH_ XK-B2B'!AL131</f>
        <v>42614.515524193543</v>
      </c>
      <c r="AM33" s="331">
        <f>'03. TH_ XK-B2B'!AM121+'03. TH_ XK-B2B'!AM131</f>
        <v>50109.08774193548</v>
      </c>
      <c r="AN33" s="331">
        <f>'03. TH_ XK-B2B'!AN121+'03. TH_ XK-B2B'!AN131</f>
        <v>52196.291760000022</v>
      </c>
      <c r="AO33" s="331">
        <f>'03. TH_ XK-B2B'!AO121+'03. TH_ XK-B2B'!AO131</f>
        <v>39836.009616145617</v>
      </c>
      <c r="AP33" s="331">
        <f>'03. TH_ XK-B2B'!AP121+'03. TH_ XK-B2B'!AP131</f>
        <v>35487.512664277194</v>
      </c>
      <c r="AQ33" s="331">
        <f>'03. TH_ XK-B2B'!AQ121+'03. TH_ XK-B2B'!AQ131</f>
        <v>38751.190813435853</v>
      </c>
      <c r="AR33" s="331">
        <f>'03. TH_ XK-B2B'!AR121+'03. TH_ XK-B2B'!AR131</f>
        <v>44067.368425357883</v>
      </c>
      <c r="AS33" s="331">
        <f>'03. TH_ XK-B2B'!AS121+'03. TH_ XK-B2B'!AS131</f>
        <v>52027.992754777049</v>
      </c>
      <c r="AT33" s="331">
        <f>'03. TH_ XK-B2B'!AT121+'03. TH_ XK-B2B'!AT131</f>
        <v>34927.520071542123</v>
      </c>
      <c r="AU33" s="331">
        <f>'03. TH_ XK-B2B'!AU121+'03. TH_ XK-B2B'!AU131</f>
        <v>48563.470225385594</v>
      </c>
      <c r="AV33" s="336">
        <f t="shared" ref="AV33:AW40" si="76">SUM(AJ33:AU33)</f>
        <v>547973.18547460134</v>
      </c>
      <c r="AW33" s="336">
        <f t="shared" si="72"/>
        <v>45664.432122883445</v>
      </c>
    </row>
    <row r="34" spans="2:49" x14ac:dyDescent="0.35">
      <c r="B34" s="322">
        <v>3</v>
      </c>
      <c r="C34" s="323" t="s">
        <v>266</v>
      </c>
      <c r="D34" s="331">
        <f>SUMIFS('01. KE30'!$Z:$Z,'01. KE30'!$A:$A,'04. BC - Nhóm hàng'!D$31,'01. KE30'!$E:$E,'04. BC - Nhóm hàng'!$C34)</f>
        <v>-3192.6278602970697</v>
      </c>
      <c r="E34" s="331">
        <f>SUMIFS('01. KE30'!$Z:$Z,'01. KE30'!$A:$A,'04. BC - Nhóm hàng'!E$31,'01. KE30'!$E:$E,'04. BC - Nhóm hàng'!$C34)</f>
        <v>-7356.6133123276868</v>
      </c>
      <c r="F34" s="331">
        <f>SUMIFS('01. KE30'!$Z:$Z,'01. KE30'!$A:$A,'04. BC - Nhóm hàng'!F$31,'01. KE30'!$E:$E,'04. BC - Nhóm hàng'!$C34)</f>
        <v>-41910.625126859144</v>
      </c>
      <c r="G34" s="331">
        <f>SUMIFS('01. KE30'!$Z:$Z,'01. KE30'!$A:$A,'04. BC - Nhóm hàng'!G$31,'01. KE30'!$E:$E,'04. BC - Nhóm hàng'!$C34)</f>
        <v>-36062.543196971659</v>
      </c>
      <c r="H34" s="331">
        <f>SUMIFS('01. KE30'!$Z:$Z,'01. KE30'!$A:$A,'04. BC - Nhóm hàng'!H$31,'01. KE30'!$E:$E,'04. BC - Nhóm hàng'!$C34)</f>
        <v>-56035.78750966744</v>
      </c>
      <c r="I34" s="331">
        <f>SUMIFS('01. KE30'!$Z:$Z,'01. KE30'!$A:$A,'04. BC - Nhóm hàng'!I$31,'01. KE30'!$E:$E,'04. BC - Nhóm hàng'!$C34)</f>
        <v>-49201.156751543211</v>
      </c>
      <c r="J34" s="331">
        <f>SUMIFS('01. KE30'!$Z:$Z,'01. KE30'!$A:$A,'04. BC - Nhóm hàng'!J$31,'01. KE30'!$E:$E,'04. BC - Nhóm hàng'!$C34)</f>
        <v>-16219.942527852478</v>
      </c>
      <c r="K34" s="331">
        <f>SUMIFS('01. KE30'!$Z:$Z,'01. KE30'!$A:$A,'04. BC - Nhóm hàng'!K$31,'01. KE30'!$E:$E,'04. BC - Nhóm hàng'!$C34)</f>
        <v>-58040.205423987776</v>
      </c>
      <c r="L34" s="331">
        <f>SUMIFS('01. KE30'!$Z:$Z,'01. KE30'!$A:$A,'04. BC - Nhóm hàng'!L$31,'01. KE30'!$E:$E,'04. BC - Nhóm hàng'!$C34)</f>
        <v>-139194.32925714285</v>
      </c>
      <c r="M34" s="331">
        <f>SUMIFS('01. KE30'!$Z:$Z,'01. KE30'!$A:$A,'04. BC - Nhóm hàng'!M$31,'01. KE30'!$E:$E,'04. BC - Nhóm hàng'!$C34)</f>
        <v>0</v>
      </c>
      <c r="N34" s="331">
        <f>SUMIFS('01. KE30'!$Z:$Z,'01. KE30'!$A:$A,'04. BC - Nhóm hàng'!N$31,'01. KE30'!$E:$E,'04. BC - Nhóm hàng'!$C34)</f>
        <v>0</v>
      </c>
      <c r="O34" s="331">
        <f>SUMIFS('01. KE30'!$Z:$Z,'01. KE30'!$A:$A,'04. BC - Nhóm hàng'!O$31,'01. KE30'!$E:$E,'04. BC - Nhóm hàng'!$C34)</f>
        <v>0</v>
      </c>
      <c r="P34" s="336">
        <f t="shared" si="73"/>
        <v>-407213.83096664929</v>
      </c>
      <c r="Q34" s="402">
        <f t="shared" si="74"/>
        <v>-45245.981218516587</v>
      </c>
      <c r="R34" s="343"/>
      <c r="S34" s="343"/>
      <c r="U34" s="331">
        <f>'03. TH_ XK-B2B'!U122+'03. TH_ XK-B2B'!U123+'03. TH_ XK-B2B'!U132+'03. TH_ XK-B2B'!U133</f>
        <v>0</v>
      </c>
      <c r="V34" s="331">
        <f>'03. TH_ XK-B2B'!V122+'03. TH_ XK-B2B'!V123+'03. TH_ XK-B2B'!V132+'03. TH_ XK-B2B'!V133</f>
        <v>0</v>
      </c>
      <c r="W34" s="331">
        <f>'03. TH_ XK-B2B'!W122+'03. TH_ XK-B2B'!W123+'03. TH_ XK-B2B'!W132+'03. TH_ XK-B2B'!W133</f>
        <v>0</v>
      </c>
      <c r="X34" s="331">
        <f>'03. TH_ XK-B2B'!X122+'03. TH_ XK-B2B'!X123+'03. TH_ XK-B2B'!X132+'03. TH_ XK-B2B'!X133</f>
        <v>0</v>
      </c>
      <c r="Y34" s="331">
        <f>'03. TH_ XK-B2B'!Y122+'03. TH_ XK-B2B'!Y123+'03. TH_ XK-B2B'!Y132+'03. TH_ XK-B2B'!Y133</f>
        <v>0</v>
      </c>
      <c r="Z34" s="331">
        <f>'03. TH_ XK-B2B'!Z122+'03. TH_ XK-B2B'!Z123+'03. TH_ XK-B2B'!Z132+'03. TH_ XK-B2B'!Z133</f>
        <v>0</v>
      </c>
      <c r="AA34" s="331">
        <f>'03. TH_ XK-B2B'!AA122+'03. TH_ XK-B2B'!AA123+'03. TH_ XK-B2B'!AA132+'03. TH_ XK-B2B'!AA133</f>
        <v>0</v>
      </c>
      <c r="AB34" s="331">
        <f>'03. TH_ XK-B2B'!AB122+'03. TH_ XK-B2B'!AB123+'03. TH_ XK-B2B'!AB132+'03. TH_ XK-B2B'!AB133</f>
        <v>0</v>
      </c>
      <c r="AC34" s="331">
        <f>'03. TH_ XK-B2B'!AC122+'03. TH_ XK-B2B'!AC123+'03. TH_ XK-B2B'!AC132+'03. TH_ XK-B2B'!AC133</f>
        <v>0</v>
      </c>
      <c r="AD34" s="331">
        <f>'03. TH_ XK-B2B'!AD122+'03. TH_ XK-B2B'!AD123+'03. TH_ XK-B2B'!AD132+'03. TH_ XK-B2B'!AD133</f>
        <v>0</v>
      </c>
      <c r="AE34" s="331">
        <f>'03. TH_ XK-B2B'!AE122+'03. TH_ XK-B2B'!AE123+'03. TH_ XK-B2B'!AE132+'03. TH_ XK-B2B'!AE133</f>
        <v>0</v>
      </c>
      <c r="AF34" s="331">
        <f>'03. TH_ XK-B2B'!AF122+'03. TH_ XK-B2B'!AF123+'03. TH_ XK-B2B'!AF132+'03. TH_ XK-B2B'!AF133</f>
        <v>0</v>
      </c>
      <c r="AG34" s="336">
        <f t="shared" si="75"/>
        <v>0</v>
      </c>
      <c r="AH34" s="331">
        <f t="shared" si="71"/>
        <v>0</v>
      </c>
      <c r="AJ34" s="331">
        <f>'03. TH_ XK-B2B'!AJ122+'03. TH_ XK-B2B'!AJ123+'03. TH_ XK-B2B'!AJ132+'03. TH_ XK-B2B'!AJ133</f>
        <v>-4816.8940816326522</v>
      </c>
      <c r="AK34" s="331">
        <f>'03. TH_ XK-B2B'!AK122+'03. TH_ XK-B2B'!AK123+'03. TH_ XK-B2B'!AK132+'03. TH_ XK-B2B'!AK133</f>
        <v>-3237.6057959183699</v>
      </c>
      <c r="AL34" s="331">
        <f>'03. TH_ XK-B2B'!AL122+'03. TH_ XK-B2B'!AL123+'03. TH_ XK-B2B'!AL132+'03. TH_ XK-B2B'!AL133</f>
        <v>-3139.354838709678</v>
      </c>
      <c r="AM34" s="331">
        <f>'03. TH_ XK-B2B'!AM122+'03. TH_ XK-B2B'!AM123+'03. TH_ XK-B2B'!AM132+'03. TH_ XK-B2B'!AM133</f>
        <v>-10571.427137096773</v>
      </c>
      <c r="AN34" s="331">
        <f>'03. TH_ XK-B2B'!AN122+'03. TH_ XK-B2B'!AN123+'03. TH_ XK-B2B'!AN132+'03. TH_ XK-B2B'!AN133</f>
        <v>-8773.752959999998</v>
      </c>
      <c r="AO34" s="331">
        <f>'03. TH_ XK-B2B'!AO122+'03. TH_ XK-B2B'!AO123+'03. TH_ XK-B2B'!AO132+'03. TH_ XK-B2B'!AO133</f>
        <v>-1527.3482390186</v>
      </c>
      <c r="AP34" s="331">
        <f>'03. TH_ XK-B2B'!AP122+'03. TH_ XK-B2B'!AP123+'03. TH_ XK-B2B'!AP132+'03. TH_ XK-B2B'!AP133</f>
        <v>38.9037833532458</v>
      </c>
      <c r="AQ34" s="331">
        <f>'03. TH_ XK-B2B'!AQ122+'03. TH_ XK-B2B'!AQ123+'03. TH_ XK-B2B'!AQ132+'03. TH_ XK-B2B'!AQ133</f>
        <v>3541.2729664103645</v>
      </c>
      <c r="AR34" s="331">
        <f>'03. TH_ XK-B2B'!AR122+'03. TH_ XK-B2B'!AR123+'03. TH_ XK-B2B'!AR132+'03. TH_ XK-B2B'!AR133</f>
        <v>731.03059304703493</v>
      </c>
      <c r="AS34" s="331">
        <f>'03. TH_ XK-B2B'!AS122+'03. TH_ XK-B2B'!AS123+'03. TH_ XK-B2B'!AS132+'03. TH_ XK-B2B'!AS133</f>
        <v>-9289.1091162420453</v>
      </c>
      <c r="AT34" s="331">
        <f>'03. TH_ XK-B2B'!AT122+'03. TH_ XK-B2B'!AT123+'03. TH_ XK-B2B'!AT132+'03. TH_ XK-B2B'!AT133</f>
        <v>-6982.5459459459453</v>
      </c>
      <c r="AU34" s="331">
        <f>'03. TH_ XK-B2B'!AU122+'03. TH_ XK-B2B'!AU123+'03. TH_ XK-B2B'!AU132+'03. TH_ XK-B2B'!AU133</f>
        <v>-8335.1839462238058</v>
      </c>
      <c r="AV34" s="336">
        <f t="shared" si="76"/>
        <v>-52362.014717977218</v>
      </c>
      <c r="AW34" s="336">
        <f t="shared" si="72"/>
        <v>-4363.5012264981015</v>
      </c>
    </row>
    <row r="35" spans="2:49" x14ac:dyDescent="0.35">
      <c r="B35" s="322">
        <v>4</v>
      </c>
      <c r="C35" s="323" t="s">
        <v>23</v>
      </c>
      <c r="D35" s="331">
        <f>SUMIFS('01. KE30'!$Z:$Z,'01. KE30'!$A:$A,'04. BC - Nhóm hàng'!D$31,'01. KE30'!$E:$E,'04. BC - Nhóm hàng'!$C35)</f>
        <v>0</v>
      </c>
      <c r="E35" s="331">
        <f>SUMIFS('01. KE30'!$Z:$Z,'01. KE30'!$A:$A,'04. BC - Nhóm hàng'!E$31,'01. KE30'!$E:$E,'04. BC - Nhóm hàng'!$C35)</f>
        <v>123.19499803072075</v>
      </c>
      <c r="F35" s="331">
        <f>SUMIFS('01. KE30'!$Z:$Z,'01. KE30'!$A:$A,'04. BC - Nhóm hàng'!F$31,'01. KE30'!$E:$E,'04. BC - Nhóm hàng'!$C35)</f>
        <v>-6743.9722440944879</v>
      </c>
      <c r="G35" s="331">
        <f>SUMIFS('01. KE30'!$Z:$Z,'01. KE30'!$A:$A,'04. BC - Nhóm hàng'!G$31,'01. KE30'!$E:$E,'04. BC - Nhóm hàng'!$C35)</f>
        <v>-1550.825358110724</v>
      </c>
      <c r="H35" s="331">
        <f>SUMIFS('01. KE30'!$Z:$Z,'01. KE30'!$A:$A,'04. BC - Nhóm hàng'!H$31,'01. KE30'!$E:$E,'04. BC - Nhóm hàng'!$C35)</f>
        <v>-1822.7394431554524</v>
      </c>
      <c r="I35" s="331">
        <f>SUMIFS('01. KE30'!$Z:$Z,'01. KE30'!$A:$A,'04. BC - Nhóm hàng'!I$31,'01. KE30'!$E:$E,'04. BC - Nhóm hàng'!$C35)</f>
        <v>-575.54131944444612</v>
      </c>
      <c r="J35" s="331">
        <f>SUMIFS('01. KE30'!$Z:$Z,'01. KE30'!$A:$A,'04. BC - Nhóm hàng'!J$31,'01. KE30'!$E:$E,'04. BC - Nhóm hàng'!$C35)</f>
        <v>-5256.8799846331149</v>
      </c>
      <c r="K35" s="331">
        <f>SUMIFS('01. KE30'!$Z:$Z,'01. KE30'!$A:$A,'04. BC - Nhóm hàng'!K$31,'01. KE30'!$E:$E,'04. BC - Nhóm hàng'!$C35)</f>
        <v>-5549.7667685255919</v>
      </c>
      <c r="L35" s="331">
        <f>SUMIFS('01. KE30'!$Z:$Z,'01. KE30'!$A:$A,'04. BC - Nhóm hàng'!L$31,'01. KE30'!$E:$E,'04. BC - Nhóm hàng'!$C35)</f>
        <v>-10017.332876190476</v>
      </c>
      <c r="M35" s="331">
        <f>SUMIFS('01. KE30'!$Z:$Z,'01. KE30'!$A:$A,'04. BC - Nhóm hàng'!M$31,'01. KE30'!$E:$E,'04. BC - Nhóm hàng'!$C35)</f>
        <v>0</v>
      </c>
      <c r="N35" s="331">
        <f>SUMIFS('01. KE30'!$Z:$Z,'01. KE30'!$A:$A,'04. BC - Nhóm hàng'!N$31,'01. KE30'!$E:$E,'04. BC - Nhóm hàng'!$C35)</f>
        <v>0</v>
      </c>
      <c r="O35" s="331">
        <f>SUMIFS('01. KE30'!$Z:$Z,'01. KE30'!$A:$A,'04. BC - Nhóm hàng'!O$31,'01. KE30'!$E:$E,'04. BC - Nhóm hàng'!$C35)</f>
        <v>0</v>
      </c>
      <c r="P35" s="336">
        <f t="shared" si="73"/>
        <v>-31393.862996123571</v>
      </c>
      <c r="Q35" s="402">
        <f t="shared" si="74"/>
        <v>-3488.2069995692855</v>
      </c>
      <c r="R35" s="343"/>
      <c r="S35" s="343"/>
      <c r="U35" s="331">
        <f>'03. TH_ XK-B2B'!U124+'03. TH_ XK-B2B'!U125+'03. TH_ XK-B2B'!U134+'03. TH_ XK-B2B'!U135</f>
        <v>0</v>
      </c>
      <c r="V35" s="331">
        <f>'03. TH_ XK-B2B'!V124+'03. TH_ XK-B2B'!V125+'03. TH_ XK-B2B'!V134+'03. TH_ XK-B2B'!V135</f>
        <v>0</v>
      </c>
      <c r="W35" s="331">
        <f>'03. TH_ XK-B2B'!W124+'03. TH_ XK-B2B'!W125+'03. TH_ XK-B2B'!W134+'03. TH_ XK-B2B'!W135</f>
        <v>0</v>
      </c>
      <c r="X35" s="331">
        <f>'03. TH_ XK-B2B'!X124+'03. TH_ XK-B2B'!X125+'03. TH_ XK-B2B'!X134+'03. TH_ XK-B2B'!X135</f>
        <v>0</v>
      </c>
      <c r="Y35" s="331">
        <f>'03. TH_ XK-B2B'!Y124+'03. TH_ XK-B2B'!Y125+'03. TH_ XK-B2B'!Y134+'03. TH_ XK-B2B'!Y135</f>
        <v>0</v>
      </c>
      <c r="Z35" s="331">
        <f>'03. TH_ XK-B2B'!Z124+'03. TH_ XK-B2B'!Z125+'03. TH_ XK-B2B'!Z134+'03. TH_ XK-B2B'!Z135</f>
        <v>0</v>
      </c>
      <c r="AA35" s="331">
        <f>'03. TH_ XK-B2B'!AA124+'03. TH_ XK-B2B'!AA125+'03. TH_ XK-B2B'!AA134+'03. TH_ XK-B2B'!AA135</f>
        <v>0</v>
      </c>
      <c r="AB35" s="331">
        <f>'03. TH_ XK-B2B'!AB124+'03. TH_ XK-B2B'!AB125+'03. TH_ XK-B2B'!AB134+'03. TH_ XK-B2B'!AB135</f>
        <v>0</v>
      </c>
      <c r="AC35" s="331">
        <f>'03. TH_ XK-B2B'!AC124+'03. TH_ XK-B2B'!AC125+'03. TH_ XK-B2B'!AC134+'03. TH_ XK-B2B'!AC135</f>
        <v>0</v>
      </c>
      <c r="AD35" s="331">
        <f>'03. TH_ XK-B2B'!AD124+'03. TH_ XK-B2B'!AD125+'03. TH_ XK-B2B'!AD134+'03. TH_ XK-B2B'!AD135</f>
        <v>0</v>
      </c>
      <c r="AE35" s="331">
        <f>'03. TH_ XK-B2B'!AE124+'03. TH_ XK-B2B'!AE125+'03. TH_ XK-B2B'!AE134+'03. TH_ XK-B2B'!AE135</f>
        <v>0</v>
      </c>
      <c r="AF35" s="331">
        <f>'03. TH_ XK-B2B'!AF124+'03. TH_ XK-B2B'!AF125+'03. TH_ XK-B2B'!AF134+'03. TH_ XK-B2B'!AF135</f>
        <v>0</v>
      </c>
      <c r="AG35" s="336">
        <f t="shared" si="75"/>
        <v>0</v>
      </c>
      <c r="AH35" s="331">
        <f t="shared" si="71"/>
        <v>0</v>
      </c>
      <c r="AJ35" s="331">
        <f>'03. TH_ XK-B2B'!AJ124+'03. TH_ XK-B2B'!AJ125+'03. TH_ XK-B2B'!AJ134+'03. TH_ XK-B2B'!AJ135</f>
        <v>-1405.96130612245</v>
      </c>
      <c r="AK35" s="331">
        <f>'03. TH_ XK-B2B'!AK124+'03. TH_ XK-B2B'!AK125+'03. TH_ XK-B2B'!AK134+'03. TH_ XK-B2B'!AK135</f>
        <v>-398.934530612245</v>
      </c>
      <c r="AL35" s="331">
        <f>'03. TH_ XK-B2B'!AL124+'03. TH_ XK-B2B'!AL125+'03. TH_ XK-B2B'!AL134+'03. TH_ XK-B2B'!AL135</f>
        <v>9996.9355241935446</v>
      </c>
      <c r="AM35" s="331">
        <f>'03. TH_ XK-B2B'!AM124+'03. TH_ XK-B2B'!AM125+'03. TH_ XK-B2B'!AM134+'03. TH_ XK-B2B'!AM135</f>
        <v>2177.3662500000028</v>
      </c>
      <c r="AN35" s="331">
        <f>'03. TH_ XK-B2B'!AN124+'03. TH_ XK-B2B'!AN125+'03. TH_ XK-B2B'!AN134+'03. TH_ XK-B2B'!AN135</f>
        <v>-477.09192000000257</v>
      </c>
      <c r="AO35" s="331">
        <f>'03. TH_ XK-B2B'!AO124+'03. TH_ XK-B2B'!AO125+'03. TH_ XK-B2B'!AO134+'03. TH_ XK-B2B'!AO135</f>
        <v>74.054333201424015</v>
      </c>
      <c r="AP35" s="331">
        <f>'03. TH_ XK-B2B'!AP124+'03. TH_ XK-B2B'!AP125+'03. TH_ XK-B2B'!AP134+'03. TH_ XK-B2B'!AP135</f>
        <v>216.42118677817604</v>
      </c>
      <c r="AQ35" s="331">
        <f>'03. TH_ XK-B2B'!AQ124+'03. TH_ XK-B2B'!AQ125+'03. TH_ XK-B2B'!AQ134+'03. TH_ XK-B2B'!AQ135</f>
        <v>15512.142897612302</v>
      </c>
      <c r="AR35" s="331">
        <f>'03. TH_ XK-B2B'!AR124+'03. TH_ XK-B2B'!AR125+'03. TH_ XK-B2B'!AR134+'03. TH_ XK-B2B'!AR135</f>
        <v>9.9713292433537823</v>
      </c>
      <c r="AS35" s="331">
        <f>'03. TH_ XK-B2B'!AS124+'03. TH_ XK-B2B'!AS125+'03. TH_ XK-B2B'!AS134+'03. TH_ XK-B2B'!AS135</f>
        <v>-11207.962380573244</v>
      </c>
      <c r="AT35" s="331">
        <f>'03. TH_ XK-B2B'!AT124+'03. TH_ XK-B2B'!AT125+'03. TH_ XK-B2B'!AT134+'03. TH_ XK-B2B'!AT135</f>
        <v>-14893.296104928457</v>
      </c>
      <c r="AU35" s="331">
        <f>'03. TH_ XK-B2B'!AU124+'03. TH_ XK-B2B'!AU125+'03. TH_ XK-B2B'!AU134+'03. TH_ XK-B2B'!AU135</f>
        <v>-6612.3792803479646</v>
      </c>
      <c r="AV35" s="336">
        <f t="shared" si="76"/>
        <v>-7008.7340015555583</v>
      </c>
      <c r="AW35" s="336">
        <f t="shared" si="72"/>
        <v>-584.06116679629656</v>
      </c>
    </row>
    <row r="36" spans="2:49" x14ac:dyDescent="0.35">
      <c r="B36" s="322">
        <v>5</v>
      </c>
      <c r="C36" s="323" t="s">
        <v>95</v>
      </c>
      <c r="D36" s="331">
        <f>SUMIFS('01. KE30'!$Z:$Z,'01. KE30'!$A:$A,'04. BC - Nhóm hàng'!D$31,'01. KE30'!$E:$E,'04. BC - Nhóm hàng'!$C36)</f>
        <v>-2454.1705740666398</v>
      </c>
      <c r="E36" s="331">
        <f>SUMIFS('01. KE30'!$Z:$Z,'01. KE30'!$A:$A,'04. BC - Nhóm hàng'!E$31,'01. KE30'!$E:$E,'04. BC - Nhóm hàng'!$C36)</f>
        <v>-1373.9405277668372</v>
      </c>
      <c r="F36" s="331">
        <f>SUMIFS('01. KE30'!$Z:$Z,'01. KE30'!$A:$A,'04. BC - Nhóm hàng'!F$31,'01. KE30'!$E:$E,'04. BC - Nhóm hàng'!$C36)</f>
        <v>-1691.5599212598424</v>
      </c>
      <c r="G36" s="331">
        <f>SUMIFS('01. KE30'!$Z:$Z,'01. KE30'!$A:$A,'04. BC - Nhóm hàng'!G$31,'01. KE30'!$E:$E,'04. BC - Nhóm hàng'!$C36)</f>
        <v>100.07680991095626</v>
      </c>
      <c r="H36" s="331">
        <f>SUMIFS('01. KE30'!$Z:$Z,'01. KE30'!$A:$A,'04. BC - Nhóm hàng'!H$31,'01. KE30'!$E:$E,'04. BC - Nhóm hàng'!$C36)</f>
        <v>0</v>
      </c>
      <c r="I36" s="331">
        <f>SUMIFS('01. KE30'!$Z:$Z,'01. KE30'!$A:$A,'04. BC - Nhóm hàng'!I$31,'01. KE30'!$E:$E,'04. BC - Nhóm hàng'!$C36)</f>
        <v>-46477.68310185185</v>
      </c>
      <c r="J36" s="331">
        <f>SUMIFS('01. KE30'!$Z:$Z,'01. KE30'!$A:$A,'04. BC - Nhóm hàng'!J$31,'01. KE30'!$E:$E,'04. BC - Nhóm hàng'!$C36)</f>
        <v>-186328.38993469073</v>
      </c>
      <c r="K36" s="331">
        <f>SUMIFS('01. KE30'!$Z:$Z,'01. KE30'!$A:$A,'04. BC - Nhóm hàng'!K$31,'01. KE30'!$E:$E,'04. BC - Nhóm hàng'!$C36)</f>
        <v>-128485.92192513369</v>
      </c>
      <c r="L36" s="331">
        <f>SUMIFS('01. KE30'!$Z:$Z,'01. KE30'!$A:$A,'04. BC - Nhóm hàng'!L$31,'01. KE30'!$E:$E,'04. BC - Nhóm hàng'!$C36)</f>
        <v>-70389.145714285711</v>
      </c>
      <c r="M36" s="331">
        <f>SUMIFS('01. KE30'!$Z:$Z,'01. KE30'!$A:$A,'04. BC - Nhóm hàng'!M$31,'01. KE30'!$E:$E,'04. BC - Nhóm hàng'!$C36)</f>
        <v>0</v>
      </c>
      <c r="N36" s="331">
        <f>SUMIFS('01. KE30'!$Z:$Z,'01. KE30'!$A:$A,'04. BC - Nhóm hàng'!N$31,'01. KE30'!$E:$E,'04. BC - Nhóm hàng'!$C36)</f>
        <v>0</v>
      </c>
      <c r="O36" s="331">
        <f>SUMIFS('01. KE30'!$Z:$Z,'01. KE30'!$A:$A,'04. BC - Nhóm hàng'!O$31,'01. KE30'!$E:$E,'04. BC - Nhóm hàng'!$C36)</f>
        <v>0</v>
      </c>
      <c r="P36" s="336">
        <f t="shared" si="73"/>
        <v>-437100.73488914437</v>
      </c>
      <c r="Q36" s="402">
        <f t="shared" si="74"/>
        <v>-48566.748321016043</v>
      </c>
      <c r="R36" s="343"/>
      <c r="S36" s="343"/>
      <c r="U36" s="331">
        <f>'03. TH_ XK-B2B'!U120+'03. TH_ XK-B2B'!U130</f>
        <v>0</v>
      </c>
      <c r="V36" s="331">
        <f>'03. TH_ XK-B2B'!V120+'03. TH_ XK-B2B'!V130</f>
        <v>0</v>
      </c>
      <c r="W36" s="331">
        <f>'03. TH_ XK-B2B'!W120+'03. TH_ XK-B2B'!W130</f>
        <v>0</v>
      </c>
      <c r="X36" s="331">
        <f>'03. TH_ XK-B2B'!X120+'03. TH_ XK-B2B'!X130</f>
        <v>0</v>
      </c>
      <c r="Y36" s="331">
        <f>'03. TH_ XK-B2B'!Y120+'03. TH_ XK-B2B'!Y130</f>
        <v>0</v>
      </c>
      <c r="Z36" s="331">
        <f>'03. TH_ XK-B2B'!Z120+'03. TH_ XK-B2B'!Z130</f>
        <v>0</v>
      </c>
      <c r="AA36" s="331">
        <f>'03. TH_ XK-B2B'!AA120+'03. TH_ XK-B2B'!AA130</f>
        <v>0</v>
      </c>
      <c r="AB36" s="331">
        <f>'03. TH_ XK-B2B'!AB120+'03. TH_ XK-B2B'!AB130</f>
        <v>0</v>
      </c>
      <c r="AC36" s="331">
        <f>'03. TH_ XK-B2B'!AC120+'03. TH_ XK-B2B'!AC130</f>
        <v>0</v>
      </c>
      <c r="AD36" s="331">
        <f>'03. TH_ XK-B2B'!AD120+'03. TH_ XK-B2B'!AD130</f>
        <v>0</v>
      </c>
      <c r="AE36" s="331">
        <f>'03. TH_ XK-B2B'!AE120+'03. TH_ XK-B2B'!AE130</f>
        <v>0</v>
      </c>
      <c r="AF36" s="331">
        <f>'03. TH_ XK-B2B'!AF120+'03. TH_ XK-B2B'!AF130</f>
        <v>0</v>
      </c>
      <c r="AG36" s="336">
        <f t="shared" si="75"/>
        <v>0</v>
      </c>
      <c r="AH36" s="331">
        <f t="shared" si="71"/>
        <v>0</v>
      </c>
      <c r="AJ36" s="331">
        <f>'03. TH_ XK-B2B'!AJ120+'03. TH_ XK-B2B'!AJ130</f>
        <v>5981.2030204081639</v>
      </c>
      <c r="AK36" s="331">
        <f>'03. TH_ XK-B2B'!AK120+'03. TH_ XK-B2B'!AK130</f>
        <v>-14489.341877551029</v>
      </c>
      <c r="AL36" s="331">
        <f>'03. TH_ XK-B2B'!AL120+'03. TH_ XK-B2B'!AL130</f>
        <v>-5.0495564516129008</v>
      </c>
      <c r="AM36" s="331">
        <f>'03. TH_ XK-B2B'!AM120+'03. TH_ XK-B2B'!AM130</f>
        <v>-52977.741491935485</v>
      </c>
      <c r="AN36" s="331">
        <f>'03. TH_ XK-B2B'!AN120+'03. TH_ XK-B2B'!AN130</f>
        <v>8699.7173199999888</v>
      </c>
      <c r="AO36" s="331">
        <f>'03. TH_ XK-B2B'!AO120+'03. TH_ XK-B2B'!AO130</f>
        <v>-30397.426197071632</v>
      </c>
      <c r="AP36" s="331">
        <f>'03. TH_ XK-B2B'!AP120+'03. TH_ XK-B2B'!AP130</f>
        <v>-47410.461808044609</v>
      </c>
      <c r="AQ36" s="331">
        <f>'03. TH_ XK-B2B'!AQ120+'03. TH_ XK-B2B'!AQ130</f>
        <v>0</v>
      </c>
      <c r="AR36" s="331">
        <f>'03. TH_ XK-B2B'!AR120+'03. TH_ XK-B2B'!AR130</f>
        <v>-54324.299713701446</v>
      </c>
      <c r="AS36" s="331">
        <f>'03. TH_ XK-B2B'!AS120+'03. TH_ XK-B2B'!AS130</f>
        <v>-50877.429816878983</v>
      </c>
      <c r="AT36" s="331">
        <f>'03. TH_ XK-B2B'!AT120+'03. TH_ XK-B2B'!AT130</f>
        <v>-3180.2125596184433</v>
      </c>
      <c r="AU36" s="331">
        <f>'03. TH_ XK-B2B'!AU120+'03. TH_ XK-B2B'!AU130</f>
        <v>-42611.496322657185</v>
      </c>
      <c r="AV36" s="336">
        <f t="shared" si="76"/>
        <v>-281592.53900350223</v>
      </c>
      <c r="AW36" s="336">
        <f t="shared" si="72"/>
        <v>-23466.044916958519</v>
      </c>
    </row>
    <row r="37" spans="2:49" x14ac:dyDescent="0.35">
      <c r="B37" s="322">
        <v>6</v>
      </c>
      <c r="C37" s="323" t="s">
        <v>413</v>
      </c>
      <c r="D37" s="331">
        <f>SUMIFS('01. KE30'!$Z:$Z,'01. KE30'!$A:$A,'04. BC - Nhóm hàng'!D$31,'01. KE30'!$E:$E,'04. BC - Nhóm hàng'!$C37)</f>
        <v>-2973.3934564431956</v>
      </c>
      <c r="E37" s="331">
        <f>SUMIFS('01. KE30'!$Z:$Z,'01. KE30'!$A:$A,'04. BC - Nhóm hàng'!E$31,'01. KE30'!$E:$E,'04. BC - Nhóm hàng'!$C37)</f>
        <v>-31394.697636864905</v>
      </c>
      <c r="F37" s="331">
        <f>SUMIFS('01. KE30'!$Z:$Z,'01. KE30'!$A:$A,'04. BC - Nhóm hàng'!F$31,'01. KE30'!$E:$E,'04. BC - Nhóm hàng'!$C37)</f>
        <v>-37641.548346456693</v>
      </c>
      <c r="G37" s="331">
        <f>SUMIFS('01. KE30'!$Z:$Z,'01. KE30'!$A:$A,'04. BC - Nhóm hàng'!G$31,'01. KE30'!$E:$E,'04. BC - Nhóm hàng'!$C37)</f>
        <v>-28123.240147115757</v>
      </c>
      <c r="H37" s="331">
        <f>SUMIFS('01. KE30'!$Z:$Z,'01. KE30'!$A:$A,'04. BC - Nhóm hàng'!H$31,'01. KE30'!$E:$E,'04. BC - Nhóm hàng'!$C37)</f>
        <v>-27434.109551430785</v>
      </c>
      <c r="I37" s="331">
        <f>SUMIFS('01. KE30'!$Z:$Z,'01. KE30'!$A:$A,'04. BC - Nhóm hàng'!I$31,'01. KE30'!$E:$E,'04. BC - Nhóm hàng'!$C37)</f>
        <v>-35885.783101851848</v>
      </c>
      <c r="J37" s="331">
        <f>SUMIFS('01. KE30'!$Z:$Z,'01. KE30'!$A:$A,'04. BC - Nhóm hàng'!J$31,'01. KE30'!$E:$E,'04. BC - Nhóm hàng'!$C37)</f>
        <v>-19077.632885132542</v>
      </c>
      <c r="K37" s="331">
        <f>SUMIFS('01. KE30'!$Z:$Z,'01. KE30'!$A:$A,'04. BC - Nhóm hàng'!K$31,'01. KE30'!$E:$E,'04. BC - Nhóm hàng'!$C37)</f>
        <v>-22188.666310160428</v>
      </c>
      <c r="L37" s="331">
        <f>SUMIFS('01. KE30'!$Z:$Z,'01. KE30'!$A:$A,'04. BC - Nhóm hàng'!L$31,'01. KE30'!$E:$E,'04. BC - Nhóm hàng'!$C37)</f>
        <v>-15861.41782857143</v>
      </c>
      <c r="M37" s="331">
        <f>SUMIFS('01. KE30'!$Z:$Z,'01. KE30'!$A:$A,'04. BC - Nhóm hàng'!M$31,'01. KE30'!$E:$E,'04. BC - Nhóm hàng'!$C37)</f>
        <v>0</v>
      </c>
      <c r="N37" s="331">
        <f>SUMIFS('01. KE30'!$Z:$Z,'01. KE30'!$A:$A,'04. BC - Nhóm hàng'!N$31,'01. KE30'!$E:$E,'04. BC - Nhóm hàng'!$C37)</f>
        <v>0</v>
      </c>
      <c r="O37" s="331">
        <f>SUMIFS('01. KE30'!$Z:$Z,'01. KE30'!$A:$A,'04. BC - Nhóm hàng'!O$31,'01. KE30'!$E:$E,'04. BC - Nhóm hàng'!$C37)</f>
        <v>0</v>
      </c>
      <c r="P37" s="336">
        <f t="shared" si="73"/>
        <v>-220580.48926402756</v>
      </c>
      <c r="Q37" s="402">
        <f t="shared" si="74"/>
        <v>-24508.94325155862</v>
      </c>
      <c r="R37" s="343"/>
      <c r="S37" s="343"/>
      <c r="U37" s="331"/>
      <c r="V37" s="331"/>
      <c r="W37" s="331"/>
      <c r="X37" s="331"/>
      <c r="Y37" s="331"/>
      <c r="Z37" s="331"/>
      <c r="AA37" s="331"/>
      <c r="AB37" s="331"/>
      <c r="AC37" s="331"/>
      <c r="AD37" s="331"/>
      <c r="AE37" s="331"/>
      <c r="AF37" s="331"/>
      <c r="AG37" s="336">
        <f t="shared" si="75"/>
        <v>0</v>
      </c>
      <c r="AH37" s="331"/>
      <c r="AJ37" s="331"/>
      <c r="AK37" s="331"/>
      <c r="AL37" s="331"/>
      <c r="AM37" s="331"/>
      <c r="AN37" s="331"/>
      <c r="AO37" s="331"/>
      <c r="AP37" s="331"/>
      <c r="AQ37" s="331"/>
      <c r="AR37" s="331"/>
      <c r="AS37" s="331"/>
      <c r="AT37" s="331"/>
      <c r="AU37" s="331"/>
      <c r="AV37" s="336">
        <f t="shared" si="76"/>
        <v>0</v>
      </c>
      <c r="AW37" s="336"/>
    </row>
    <row r="38" spans="2:49" x14ac:dyDescent="0.35">
      <c r="B38" s="332">
        <v>7</v>
      </c>
      <c r="C38" s="333" t="s">
        <v>420</v>
      </c>
      <c r="D38" s="334">
        <f>SUMIFS('01. KE30'!$Z:$Z,'01. KE30'!$A:$A,'04. BC - Nhóm hàng'!D$31,'01. KE30'!$E:$E,'04. BC - Nhóm hàng'!$C38)</f>
        <v>0</v>
      </c>
      <c r="E38" s="334">
        <f>SUMIFS('01. KE30'!$Z:$Z,'01. KE30'!$A:$A,'04. BC - Nhóm hàng'!E$31,'01. KE30'!$E:$E,'04. BC - Nhóm hàng'!$C38)</f>
        <v>-24580.785191020088</v>
      </c>
      <c r="F38" s="334">
        <f>SUMIFS('01. KE30'!$Z:$Z,'01. KE30'!$A:$A,'04. BC - Nhóm hàng'!F$31,'01. KE30'!$E:$E,'04. BC - Nhóm hàng'!$C38)</f>
        <v>-2839.2085433070865</v>
      </c>
      <c r="G38" s="334">
        <f>SUMIFS('01. KE30'!$Z:$Z,'01. KE30'!$A:$A,'04. BC - Nhóm hàng'!G$31,'01. KE30'!$E:$E,'04. BC - Nhóm hàng'!$C38)</f>
        <v>-12618.576848625629</v>
      </c>
      <c r="H38" s="334">
        <f>SUMIFS('01. KE30'!$Z:$Z,'01. KE30'!$A:$A,'04. BC - Nhóm hàng'!H$31,'01. KE30'!$E:$E,'04. BC - Nhóm hàng'!$C38)</f>
        <v>-23161.052397525134</v>
      </c>
      <c r="I38" s="334">
        <f>SUMIFS('01. KE30'!$Z:$Z,'01. KE30'!$A:$A,'04. BC - Nhóm hàng'!I$31,'01. KE30'!$E:$E,'04. BC - Nhóm hàng'!$C38)</f>
        <v>-27928.496296296296</v>
      </c>
      <c r="J38" s="334">
        <f>SUMIFS('01. KE30'!$Z:$Z,'01. KE30'!$A:$A,'04. BC - Nhóm hàng'!J$31,'01. KE30'!$E:$E,'04. BC - Nhóm hàng'!$C38)</f>
        <v>-6095.6561275451404</v>
      </c>
      <c r="K38" s="334">
        <f>SUMIFS('01. KE30'!$Z:$Z,'01. KE30'!$A:$A,'04. BC - Nhóm hàng'!K$31,'01. KE30'!$E:$E,'04. BC - Nhóm hàng'!$C38)</f>
        <v>-17200.441864018336</v>
      </c>
      <c r="L38" s="334">
        <f>SUMIFS('01. KE30'!$Z:$Z,'01. KE30'!$A:$A,'04. BC - Nhóm hàng'!L$31,'01. KE30'!$E:$E,'04. BC - Nhóm hàng'!$C38)</f>
        <v>-48691.939466666663</v>
      </c>
      <c r="M38" s="334">
        <f>SUMIFS('01. KE30'!$Z:$Z,'01. KE30'!$A:$A,'04. BC - Nhóm hàng'!M$31,'01. KE30'!$E:$E,'04. BC - Nhóm hàng'!$C38)</f>
        <v>0</v>
      </c>
      <c r="N38" s="334">
        <f>SUMIFS('01. KE30'!$Z:$Z,'01. KE30'!$A:$A,'04. BC - Nhóm hàng'!N$31,'01. KE30'!$E:$E,'04. BC - Nhóm hàng'!$C38)</f>
        <v>0</v>
      </c>
      <c r="O38" s="334">
        <f>SUMIFS('01. KE30'!$Z:$Z,'01. KE30'!$A:$A,'04. BC - Nhóm hàng'!O$31,'01. KE30'!$E:$E,'04. BC - Nhóm hàng'!$C38)</f>
        <v>0</v>
      </c>
      <c r="P38" s="336">
        <f t="shared" si="73"/>
        <v>-163116.15673500436</v>
      </c>
      <c r="Q38" s="402">
        <f t="shared" si="74"/>
        <v>-18124.017415000486</v>
      </c>
      <c r="R38" s="343"/>
      <c r="S38" s="343"/>
      <c r="U38" s="334"/>
      <c r="V38" s="334"/>
      <c r="W38" s="334"/>
      <c r="X38" s="334"/>
      <c r="Y38" s="334"/>
      <c r="Z38" s="334"/>
      <c r="AA38" s="334"/>
      <c r="AB38" s="334"/>
      <c r="AC38" s="334"/>
      <c r="AD38" s="334"/>
      <c r="AE38" s="334"/>
      <c r="AF38" s="334"/>
      <c r="AG38" s="337"/>
      <c r="AH38" s="334"/>
      <c r="AJ38" s="334"/>
      <c r="AK38" s="334"/>
      <c r="AL38" s="334"/>
      <c r="AM38" s="334"/>
      <c r="AN38" s="334"/>
      <c r="AO38" s="334"/>
      <c r="AP38" s="334"/>
      <c r="AQ38" s="334"/>
      <c r="AR38" s="334"/>
      <c r="AS38" s="334"/>
      <c r="AT38" s="334"/>
      <c r="AU38" s="334"/>
      <c r="AV38" s="336"/>
      <c r="AW38" s="336"/>
    </row>
    <row r="39" spans="2:49" x14ac:dyDescent="0.35">
      <c r="B39" s="332">
        <v>8</v>
      </c>
      <c r="C39" s="333" t="s">
        <v>404</v>
      </c>
      <c r="D39" s="334">
        <f>SUMIFS('01. KE30'!$Z:$Z,'01. KE30'!$A:$A,'04. BC - Nhóm hàng'!D$31,'01. KE30'!$E:$E,'04. BC - Nhóm hàng'!$C39)</f>
        <v>-384.22320353271778</v>
      </c>
      <c r="E39" s="334">
        <f>SUMIFS('01. KE30'!$Z:$Z,'01. KE30'!$A:$A,'04. BC - Nhóm hàng'!E$31,'01. KE30'!$E:$E,'04. BC - Nhóm hàng'!$C39)</f>
        <v>-252.54037022449785</v>
      </c>
      <c r="F39" s="334">
        <f>SUMIFS('01. KE30'!$Z:$Z,'01. KE30'!$A:$A,'04. BC - Nhóm hàng'!F$31,'01. KE30'!$E:$E,'04. BC - Nhóm hàng'!$C39)</f>
        <v>-701.05039370078748</v>
      </c>
      <c r="G39" s="334">
        <f>SUMIFS('01. KE30'!$Z:$Z,'01. KE30'!$A:$A,'04. BC - Nhóm hàng'!G$31,'01. KE30'!$E:$E,'04. BC - Nhóm hàng'!$C39)</f>
        <v>-112.47317073170731</v>
      </c>
      <c r="H39" s="334">
        <f>SUMIFS('01. KE30'!$Z:$Z,'01. KE30'!$A:$A,'04. BC - Nhóm hàng'!H$31,'01. KE30'!$E:$E,'04. BC - Nhóm hàng'!$C39)</f>
        <v>-741.77575406032474</v>
      </c>
      <c r="I39" s="334">
        <f>SUMIFS('01. KE30'!$Z:$Z,'01. KE30'!$A:$A,'04. BC - Nhóm hàng'!I$31,'01. KE30'!$E:$E,'04. BC - Nhóm hàng'!$C39)</f>
        <v>3232.1983410493826</v>
      </c>
      <c r="J39" s="334">
        <f>SUMIFS('01. KE30'!$Z:$Z,'01. KE30'!$A:$A,'04. BC - Nhóm hàng'!J$31,'01. KE30'!$E:$E,'04. BC - Nhóm hàng'!$C39)</f>
        <v>5140.6782558586247</v>
      </c>
      <c r="K39" s="334">
        <f>SUMIFS('01. KE30'!$Z:$Z,'01. KE30'!$A:$A,'04. BC - Nhóm hàng'!K$31,'01. KE30'!$E:$E,'04. BC - Nhóm hàng'!$C39)</f>
        <v>-354504.66996373818</v>
      </c>
      <c r="L39" s="334">
        <f>SUMIFS('01. KE30'!$Z:$Z,'01. KE30'!$A:$A,'04. BC - Nhóm hàng'!L$31,'01. KE30'!$E:$E,'04. BC - Nhóm hàng'!$C39)</f>
        <v>-1383.6685714285713</v>
      </c>
      <c r="M39" s="334">
        <f>SUMIFS('01. KE30'!$Z:$Z,'01. KE30'!$A:$A,'04. BC - Nhóm hàng'!M$31,'01. KE30'!$E:$E,'04. BC - Nhóm hàng'!$C39)</f>
        <v>0</v>
      </c>
      <c r="N39" s="334">
        <f>SUMIFS('01. KE30'!$Z:$Z,'01. KE30'!$A:$A,'04. BC - Nhóm hàng'!N$31,'01. KE30'!$E:$E,'04. BC - Nhóm hàng'!$C39)</f>
        <v>0</v>
      </c>
      <c r="O39" s="334">
        <f>SUMIFS('01. KE30'!$Z:$Z,'01. KE30'!$A:$A,'04. BC - Nhóm hàng'!O$31,'01. KE30'!$E:$E,'04. BC - Nhóm hàng'!$C39)</f>
        <v>0</v>
      </c>
      <c r="P39" s="336">
        <f t="shared" si="73"/>
        <v>-349707.5248305088</v>
      </c>
      <c r="Q39" s="402">
        <f t="shared" si="74"/>
        <v>-38856.391647834309</v>
      </c>
      <c r="R39" s="343"/>
      <c r="S39" s="343"/>
      <c r="U39" s="334"/>
      <c r="V39" s="334"/>
      <c r="W39" s="334"/>
      <c r="X39" s="334"/>
      <c r="Y39" s="334"/>
      <c r="Z39" s="334"/>
      <c r="AA39" s="334"/>
      <c r="AB39" s="334"/>
      <c r="AC39" s="334"/>
      <c r="AD39" s="334"/>
      <c r="AE39" s="334"/>
      <c r="AF39" s="334"/>
      <c r="AG39" s="337">
        <f t="shared" si="75"/>
        <v>0</v>
      </c>
      <c r="AH39" s="334"/>
      <c r="AJ39" s="334"/>
      <c r="AK39" s="334"/>
      <c r="AL39" s="334"/>
      <c r="AM39" s="334"/>
      <c r="AN39" s="334"/>
      <c r="AO39" s="334"/>
      <c r="AP39" s="334"/>
      <c r="AQ39" s="334"/>
      <c r="AR39" s="334"/>
      <c r="AS39" s="334"/>
      <c r="AT39" s="334"/>
      <c r="AU39" s="334"/>
      <c r="AV39" s="336">
        <f t="shared" si="76"/>
        <v>0</v>
      </c>
      <c r="AW39" s="336"/>
    </row>
    <row r="40" spans="2:49" x14ac:dyDescent="0.35">
      <c r="B40" s="338">
        <v>8</v>
      </c>
      <c r="C40" s="339" t="s">
        <v>259</v>
      </c>
      <c r="D40" s="340">
        <f>SUM(D32:D39)</f>
        <v>722976.4418305899</v>
      </c>
      <c r="E40" s="340">
        <f t="shared" ref="E40" si="77">SUM(E32:E39)</f>
        <v>1347788.5900383645</v>
      </c>
      <c r="F40" s="340">
        <f t="shared" ref="F40" si="78">SUM(F32:F39)</f>
        <v>873982.41341447202</v>
      </c>
      <c r="G40" s="340">
        <f t="shared" ref="G40" si="79">SUM(G32:G39)</f>
        <v>689798.80300683959</v>
      </c>
      <c r="H40" s="340">
        <f t="shared" ref="H40" si="80">SUM(H32:H39)</f>
        <v>847100.40606972005</v>
      </c>
      <c r="I40" s="340">
        <f t="shared" ref="I40" si="81">SUM(I32:I39)</f>
        <v>435788.40841049381</v>
      </c>
      <c r="J40" s="340">
        <f t="shared" ref="J40" si="82">SUM(J32:J39)</f>
        <v>353510.14659602876</v>
      </c>
      <c r="K40" s="340">
        <f t="shared" ref="K40" si="83">SUM(K32:K39)</f>
        <v>214311.82744104369</v>
      </c>
      <c r="L40" s="340">
        <f t="shared" ref="L40" si="84">SUM(L32:L39)</f>
        <v>50091.145337735928</v>
      </c>
      <c r="M40" s="340">
        <f t="shared" ref="M40" si="85">SUM(M32:M39)</f>
        <v>0</v>
      </c>
      <c r="N40" s="340">
        <f t="shared" ref="N40" si="86">SUM(N32:N39)</f>
        <v>0</v>
      </c>
      <c r="O40" s="340">
        <f t="shared" ref="O40" si="87">SUM(O32:O39)</f>
        <v>0</v>
      </c>
      <c r="P40" s="340">
        <f t="shared" si="73"/>
        <v>5535348.1821452882</v>
      </c>
      <c r="Q40" s="403">
        <f t="shared" si="73"/>
        <v>10347719.922459986</v>
      </c>
      <c r="R40" s="344"/>
      <c r="S40" s="344"/>
      <c r="U40" s="340">
        <f>SUM(U32:U39)</f>
        <v>0</v>
      </c>
      <c r="V40" s="340">
        <f t="shared" ref="V40" si="88">SUM(V32:V39)</f>
        <v>0</v>
      </c>
      <c r="W40" s="340">
        <f t="shared" ref="W40" si="89">SUM(W32:W39)</f>
        <v>0</v>
      </c>
      <c r="X40" s="340">
        <f t="shared" ref="X40" si="90">SUM(X32:X39)</f>
        <v>0</v>
      </c>
      <c r="Y40" s="340">
        <f t="shared" ref="Y40" si="91">SUM(Y32:Y39)</f>
        <v>0</v>
      </c>
      <c r="Z40" s="340">
        <f t="shared" ref="Z40" si="92">SUM(Z32:Z39)</f>
        <v>0</v>
      </c>
      <c r="AA40" s="340">
        <f t="shared" ref="AA40" si="93">SUM(AA32:AA39)</f>
        <v>0</v>
      </c>
      <c r="AB40" s="340">
        <f t="shared" ref="AB40" si="94">SUM(AB32:AB39)</f>
        <v>0</v>
      </c>
      <c r="AC40" s="340">
        <f t="shared" ref="AC40" si="95">SUM(AC32:AC39)</f>
        <v>0</v>
      </c>
      <c r="AD40" s="340">
        <f t="shared" ref="AD40" si="96">SUM(AD32:AD39)</f>
        <v>0</v>
      </c>
      <c r="AE40" s="340">
        <f t="shared" ref="AE40" si="97">SUM(AE32:AE39)</f>
        <v>0</v>
      </c>
      <c r="AF40" s="340">
        <f t="shared" ref="AF40" si="98">SUM(AF32:AF39)</f>
        <v>0</v>
      </c>
      <c r="AG40" s="340">
        <f t="shared" si="75"/>
        <v>0</v>
      </c>
      <c r="AH40" s="340">
        <f t="shared" si="75"/>
        <v>0</v>
      </c>
      <c r="AJ40" s="340">
        <f>SUM(AJ32:AJ39)</f>
        <v>705024.61257142865</v>
      </c>
      <c r="AK40" s="340">
        <f t="shared" ref="AK40" si="99">SUM(AK32:AK39)</f>
        <v>557101.7548163262</v>
      </c>
      <c r="AL40" s="340">
        <f t="shared" ref="AL40" si="100">SUM(AL32:AL39)</f>
        <v>595216.00547056459</v>
      </c>
      <c r="AM40" s="340">
        <f t="shared" ref="AM40" si="101">SUM(AM32:AM39)</f>
        <v>730088.62420161313</v>
      </c>
      <c r="AN40" s="340">
        <f t="shared" ref="AN40" si="102">SUM(AN32:AN39)</f>
        <v>545748.32168000005</v>
      </c>
      <c r="AO40" s="340">
        <f t="shared" ref="AO40" si="103">SUM(AO32:AO39)</f>
        <v>381524.50749974325</v>
      </c>
      <c r="AP40" s="340">
        <f t="shared" ref="AP40" si="104">SUM(AP32:AP39)</f>
        <v>228199.21186778203</v>
      </c>
      <c r="AQ40" s="340">
        <f t="shared" ref="AQ40" si="105">SUM(AQ32:AQ39)</f>
        <v>552635.01041728409</v>
      </c>
      <c r="AR40" s="340">
        <f t="shared" ref="AR40" si="106">SUM(AR32:AR39)</f>
        <v>657403.45613421092</v>
      </c>
      <c r="AS40" s="340">
        <f t="shared" ref="AS40" si="107">SUM(AS32:AS39)</f>
        <v>575372.04596013238</v>
      </c>
      <c r="AT40" s="340">
        <f t="shared" ref="AT40" si="108">SUM(AT32:AT39)</f>
        <v>579513.46837720089</v>
      </c>
      <c r="AU40" s="340">
        <f t="shared" ref="AU40" si="109">SUM(AU32:AU39)</f>
        <v>722958.14487939957</v>
      </c>
      <c r="AV40" s="340">
        <f t="shared" si="76"/>
        <v>6830785.163875686</v>
      </c>
      <c r="AW40" s="340">
        <f t="shared" si="76"/>
        <v>12956545.715179943</v>
      </c>
    </row>
    <row r="41" spans="2:49" x14ac:dyDescent="0.35">
      <c r="B41" s="173"/>
      <c r="C41" s="319"/>
    </row>
    <row r="42" spans="2:49" ht="18.5" x14ac:dyDescent="0.45">
      <c r="B42" s="178" t="s">
        <v>415</v>
      </c>
      <c r="C42" s="98" t="s">
        <v>414</v>
      </c>
    </row>
    <row r="43" spans="2:49" x14ac:dyDescent="0.35">
      <c r="B43" s="276" t="s">
        <v>174</v>
      </c>
      <c r="C43" s="276"/>
      <c r="D43" s="276">
        <v>1</v>
      </c>
      <c r="E43" s="276">
        <v>2</v>
      </c>
      <c r="F43" s="276">
        <v>3</v>
      </c>
      <c r="G43" s="276">
        <v>4</v>
      </c>
      <c r="H43" s="276">
        <v>5</v>
      </c>
      <c r="I43" s="276">
        <v>6</v>
      </c>
      <c r="J43" s="276">
        <v>7</v>
      </c>
      <c r="K43" s="276">
        <v>8</v>
      </c>
      <c r="L43" s="276">
        <v>9</v>
      </c>
      <c r="M43" s="276">
        <v>10</v>
      </c>
      <c r="N43" s="276">
        <v>11</v>
      </c>
      <c r="O43" s="276">
        <v>12</v>
      </c>
      <c r="P43" s="276" t="s">
        <v>387</v>
      </c>
      <c r="Q43" s="342"/>
      <c r="R43" s="342"/>
      <c r="S43" s="342"/>
      <c r="T43" s="282"/>
      <c r="U43" s="325">
        <v>1</v>
      </c>
      <c r="V43" s="325">
        <v>2</v>
      </c>
      <c r="W43" s="325">
        <v>3</v>
      </c>
      <c r="X43" s="325">
        <v>4</v>
      </c>
      <c r="Y43" s="325">
        <v>5</v>
      </c>
      <c r="Z43" s="325">
        <v>6</v>
      </c>
      <c r="AA43" s="325">
        <v>7</v>
      </c>
      <c r="AB43" s="325">
        <v>8</v>
      </c>
      <c r="AC43" s="325">
        <v>9</v>
      </c>
      <c r="AD43" s="325">
        <v>10</v>
      </c>
      <c r="AE43" s="325">
        <v>11</v>
      </c>
      <c r="AF43" s="325">
        <v>12</v>
      </c>
      <c r="AG43" s="325" t="s">
        <v>389</v>
      </c>
      <c r="AH43" s="325" t="s">
        <v>388</v>
      </c>
      <c r="AI43" s="282"/>
      <c r="AJ43" s="326">
        <v>1</v>
      </c>
      <c r="AK43" s="326">
        <v>2</v>
      </c>
      <c r="AL43" s="326">
        <v>3</v>
      </c>
      <c r="AM43" s="326">
        <v>4</v>
      </c>
      <c r="AN43" s="326">
        <v>5</v>
      </c>
      <c r="AO43" s="326">
        <v>6</v>
      </c>
      <c r="AP43" s="326">
        <v>7</v>
      </c>
      <c r="AQ43" s="326">
        <v>8</v>
      </c>
      <c r="AR43" s="326">
        <v>9</v>
      </c>
      <c r="AS43" s="326">
        <v>10</v>
      </c>
      <c r="AT43" s="326">
        <v>11</v>
      </c>
      <c r="AU43" s="326">
        <v>12</v>
      </c>
      <c r="AV43" s="326" t="s">
        <v>486</v>
      </c>
      <c r="AW43" s="326"/>
    </row>
    <row r="44" spans="2:49" x14ac:dyDescent="0.35">
      <c r="B44" s="320">
        <v>1</v>
      </c>
      <c r="C44" s="321" t="s">
        <v>283</v>
      </c>
      <c r="D44" s="353">
        <f>IFERROR(D32/D20,"-")</f>
        <v>0.16794124277611802</v>
      </c>
      <c r="E44" s="353">
        <f t="shared" ref="E44:O44" si="110">IFERROR(E32/E20,"-")</f>
        <v>0.2118107179781597</v>
      </c>
      <c r="F44" s="353">
        <f t="shared" si="110"/>
        <v>0.17849855158352101</v>
      </c>
      <c r="G44" s="353">
        <f t="shared" si="110"/>
        <v>0.17348473118444988</v>
      </c>
      <c r="H44" s="353">
        <f t="shared" si="110"/>
        <v>0.17509481899572768</v>
      </c>
      <c r="I44" s="353">
        <f t="shared" si="110"/>
        <v>0.14381628388809015</v>
      </c>
      <c r="J44" s="353">
        <f t="shared" si="110"/>
        <v>0.1214338281299932</v>
      </c>
      <c r="K44" s="353">
        <f t="shared" si="110"/>
        <v>0.13666499922617831</v>
      </c>
      <c r="L44" s="353">
        <f t="shared" si="110"/>
        <v>0.13441396251988641</v>
      </c>
      <c r="M44" s="353" t="str">
        <f t="shared" si="110"/>
        <v>-</v>
      </c>
      <c r="N44" s="353" t="str">
        <f t="shared" si="110"/>
        <v>-</v>
      </c>
      <c r="O44" s="353" t="str">
        <f t="shared" si="110"/>
        <v>-</v>
      </c>
      <c r="P44" s="353">
        <f t="shared" ref="P44:P52" si="111">IFERROR(Q32/Q20,"-")</f>
        <v>0.16456455504265027</v>
      </c>
      <c r="U44" s="353">
        <f t="shared" ref="U44:AH44" si="112">IFERROR(U32/U20,"-")</f>
        <v>0</v>
      </c>
      <c r="V44" s="353">
        <f t="shared" si="112"/>
        <v>0</v>
      </c>
      <c r="W44" s="353">
        <f t="shared" si="112"/>
        <v>0</v>
      </c>
      <c r="X44" s="353">
        <f t="shared" si="112"/>
        <v>0</v>
      </c>
      <c r="Y44" s="353">
        <f t="shared" si="112"/>
        <v>0</v>
      </c>
      <c r="Z44" s="353">
        <f t="shared" si="112"/>
        <v>0</v>
      </c>
      <c r="AA44" s="353">
        <f t="shared" si="112"/>
        <v>0</v>
      </c>
      <c r="AB44" s="353">
        <f t="shared" si="112"/>
        <v>0</v>
      </c>
      <c r="AC44" s="353">
        <f t="shared" si="112"/>
        <v>0</v>
      </c>
      <c r="AD44" s="353">
        <f t="shared" si="112"/>
        <v>0</v>
      </c>
      <c r="AE44" s="353">
        <f t="shared" si="112"/>
        <v>0</v>
      </c>
      <c r="AF44" s="353">
        <f t="shared" si="112"/>
        <v>0</v>
      </c>
      <c r="AG44" s="353">
        <f t="shared" si="112"/>
        <v>0</v>
      </c>
      <c r="AH44" s="353">
        <f t="shared" si="112"/>
        <v>0</v>
      </c>
      <c r="AJ44" s="353">
        <f t="shared" ref="AJ44:AV44" si="113">IFERROR(AJ32/AJ20,"-")</f>
        <v>0.27131525290070113</v>
      </c>
      <c r="AK44" s="353">
        <f t="shared" si="113"/>
        <v>0.22069172141012502</v>
      </c>
      <c r="AL44" s="353">
        <f t="shared" si="113"/>
        <v>0.16696505591813582</v>
      </c>
      <c r="AM44" s="353">
        <f t="shared" si="113"/>
        <v>0.22359275548281196</v>
      </c>
      <c r="AN44" s="353">
        <f t="shared" si="113"/>
        <v>0.14074074421571425</v>
      </c>
      <c r="AO44" s="353">
        <f t="shared" si="113"/>
        <v>0.19211371392551568</v>
      </c>
      <c r="AP44" s="353">
        <f t="shared" si="113"/>
        <v>0.13287369346416295</v>
      </c>
      <c r="AQ44" s="353">
        <f t="shared" si="113"/>
        <v>9.1877480428964861E-2</v>
      </c>
      <c r="AR44" s="353">
        <f t="shared" si="113"/>
        <v>0.12652778501975287</v>
      </c>
      <c r="AS44" s="353">
        <f t="shared" si="113"/>
        <v>0.15839631367188875</v>
      </c>
      <c r="AT44" s="353">
        <f t="shared" si="113"/>
        <v>0.24132594706637522</v>
      </c>
      <c r="AU44" s="353">
        <f t="shared" si="113"/>
        <v>0.22861397388723459</v>
      </c>
      <c r="AV44" s="353">
        <f t="shared" si="113"/>
        <v>0.17165619768427987</v>
      </c>
      <c r="AW44" s="353"/>
    </row>
    <row r="45" spans="2:49" x14ac:dyDescent="0.35">
      <c r="B45" s="322">
        <v>2</v>
      </c>
      <c r="C45" s="323" t="s">
        <v>265</v>
      </c>
      <c r="D45" s="354">
        <f t="shared" ref="D45:O52" si="114">IFERROR(D33/D21,"-")</f>
        <v>0.19354012852663777</v>
      </c>
      <c r="E45" s="354">
        <f t="shared" si="114"/>
        <v>0.12493006717175262</v>
      </c>
      <c r="F45" s="354">
        <f t="shared" si="114"/>
        <v>0.15614159443211492</v>
      </c>
      <c r="G45" s="354">
        <f t="shared" si="114"/>
        <v>3.4869522361602637E-2</v>
      </c>
      <c r="H45" s="354">
        <f t="shared" si="114"/>
        <v>0.14582253581453875</v>
      </c>
      <c r="I45" s="354">
        <f t="shared" si="114"/>
        <v>0.13259076320865748</v>
      </c>
      <c r="J45" s="354">
        <f t="shared" si="114"/>
        <v>0.16033710424713332</v>
      </c>
      <c r="K45" s="354">
        <f t="shared" si="114"/>
        <v>0.16112845311551796</v>
      </c>
      <c r="L45" s="354">
        <f t="shared" si="114"/>
        <v>0.14298781172938352</v>
      </c>
      <c r="M45" s="354" t="str">
        <f t="shared" si="114"/>
        <v>-</v>
      </c>
      <c r="N45" s="354" t="str">
        <f t="shared" si="114"/>
        <v>-</v>
      </c>
      <c r="O45" s="354" t="str">
        <f t="shared" si="114"/>
        <v>-</v>
      </c>
      <c r="P45" s="354">
        <f t="shared" si="111"/>
        <v>0.14416974463185089</v>
      </c>
      <c r="U45" s="354">
        <f t="shared" ref="U45:AH45" si="115">IFERROR(U33/U21,"-")</f>
        <v>0</v>
      </c>
      <c r="V45" s="354">
        <f t="shared" si="115"/>
        <v>0</v>
      </c>
      <c r="W45" s="354">
        <f t="shared" si="115"/>
        <v>0</v>
      </c>
      <c r="X45" s="354">
        <f t="shared" si="115"/>
        <v>0</v>
      </c>
      <c r="Y45" s="354">
        <f t="shared" si="115"/>
        <v>0</v>
      </c>
      <c r="Z45" s="354">
        <f t="shared" si="115"/>
        <v>0</v>
      </c>
      <c r="AA45" s="354">
        <f t="shared" si="115"/>
        <v>0</v>
      </c>
      <c r="AB45" s="354">
        <f t="shared" si="115"/>
        <v>0</v>
      </c>
      <c r="AC45" s="354">
        <f t="shared" si="115"/>
        <v>0</v>
      </c>
      <c r="AD45" s="354">
        <f t="shared" si="115"/>
        <v>0</v>
      </c>
      <c r="AE45" s="354">
        <f t="shared" si="115"/>
        <v>0</v>
      </c>
      <c r="AF45" s="354">
        <f t="shared" si="115"/>
        <v>0</v>
      </c>
      <c r="AG45" s="354">
        <f t="shared" si="115"/>
        <v>0</v>
      </c>
      <c r="AH45" s="354">
        <f t="shared" si="115"/>
        <v>0</v>
      </c>
      <c r="AJ45" s="354">
        <f t="shared" ref="AJ45:AV45" si="116">IFERROR(AJ33/AJ21,"-")</f>
        <v>0.25419235976206372</v>
      </c>
      <c r="AK45" s="354">
        <f t="shared" si="116"/>
        <v>0.26235650171019059</v>
      </c>
      <c r="AL45" s="354">
        <f t="shared" si="116"/>
        <v>0.18238343588517383</v>
      </c>
      <c r="AM45" s="354">
        <f t="shared" si="116"/>
        <v>0.19335080261091056</v>
      </c>
      <c r="AN45" s="354">
        <f t="shared" si="116"/>
        <v>0.24962413241440776</v>
      </c>
      <c r="AO45" s="408">
        <f t="shared" si="116"/>
        <v>0.25047193220664549</v>
      </c>
      <c r="AP45" s="408">
        <f t="shared" si="116"/>
        <v>0.23545365592212</v>
      </c>
      <c r="AQ45" s="408">
        <f t="shared" si="116"/>
        <v>0.23125922015197592</v>
      </c>
      <c r="AR45" s="408">
        <f t="shared" si="116"/>
        <v>0.2334822983146807</v>
      </c>
      <c r="AS45" s="408">
        <f t="shared" si="116"/>
        <v>0.22846064808381</v>
      </c>
      <c r="AT45" s="354">
        <f t="shared" si="116"/>
        <v>0.21881784873054852</v>
      </c>
      <c r="AU45" s="354">
        <f t="shared" si="116"/>
        <v>0.17408612292251049</v>
      </c>
      <c r="AV45" s="354">
        <f t="shared" si="116"/>
        <v>0.22276954079547387</v>
      </c>
      <c r="AW45" s="354"/>
    </row>
    <row r="46" spans="2:49" x14ac:dyDescent="0.35">
      <c r="B46" s="322">
        <v>3</v>
      </c>
      <c r="C46" s="323" t="s">
        <v>266</v>
      </c>
      <c r="D46" s="354">
        <f t="shared" si="114"/>
        <v>-0.24776942941975741</v>
      </c>
      <c r="E46" s="354">
        <f t="shared" si="114"/>
        <v>-8.5949820418493084E-2</v>
      </c>
      <c r="F46" s="354">
        <f t="shared" si="114"/>
        <v>-0.54703183433338343</v>
      </c>
      <c r="G46" s="354">
        <f t="shared" si="114"/>
        <v>-0.47017665663473301</v>
      </c>
      <c r="H46" s="354">
        <f t="shared" si="114"/>
        <v>-0.53823050573597553</v>
      </c>
      <c r="I46" s="354">
        <f t="shared" si="114"/>
        <v>-0.56316341597093833</v>
      </c>
      <c r="J46" s="354">
        <f t="shared" si="114"/>
        <v>-0.38837246793744168</v>
      </c>
      <c r="K46" s="354">
        <f t="shared" si="114"/>
        <v>-0.5838742325301729</v>
      </c>
      <c r="L46" s="354">
        <f t="shared" si="114"/>
        <v>-0.65412703623856794</v>
      </c>
      <c r="M46" s="354" t="str">
        <f t="shared" si="114"/>
        <v>-</v>
      </c>
      <c r="N46" s="354" t="str">
        <f t="shared" si="114"/>
        <v>-</v>
      </c>
      <c r="O46" s="354" t="str">
        <f t="shared" si="114"/>
        <v>-</v>
      </c>
      <c r="P46" s="354">
        <f t="shared" si="111"/>
        <v>-0.51078455568482806</v>
      </c>
      <c r="U46" s="354">
        <f t="shared" ref="U46:AH46" si="117">IFERROR(U34/U22,"-")</f>
        <v>0</v>
      </c>
      <c r="V46" s="354">
        <f t="shared" si="117"/>
        <v>0</v>
      </c>
      <c r="W46" s="354">
        <f t="shared" si="117"/>
        <v>0</v>
      </c>
      <c r="X46" s="354">
        <f t="shared" si="117"/>
        <v>0</v>
      </c>
      <c r="Y46" s="354">
        <f t="shared" si="117"/>
        <v>0</v>
      </c>
      <c r="Z46" s="354">
        <f t="shared" si="117"/>
        <v>0</v>
      </c>
      <c r="AA46" s="354">
        <f t="shared" si="117"/>
        <v>0</v>
      </c>
      <c r="AB46" s="354">
        <f t="shared" si="117"/>
        <v>0</v>
      </c>
      <c r="AC46" s="354">
        <f t="shared" si="117"/>
        <v>0</v>
      </c>
      <c r="AD46" s="354">
        <f t="shared" si="117"/>
        <v>0</v>
      </c>
      <c r="AE46" s="354">
        <f t="shared" si="117"/>
        <v>0</v>
      </c>
      <c r="AF46" s="354">
        <f t="shared" si="117"/>
        <v>0</v>
      </c>
      <c r="AG46" s="354">
        <f t="shared" si="117"/>
        <v>0</v>
      </c>
      <c r="AH46" s="354">
        <f t="shared" si="117"/>
        <v>0</v>
      </c>
      <c r="AJ46" s="354">
        <f t="shared" ref="AJ46:AV46" si="118">IFERROR(AJ34/AJ22,"-")</f>
        <v>-0.17044167143613626</v>
      </c>
      <c r="AK46" s="354">
        <f t="shared" si="118"/>
        <v>-0.10301634869846664</v>
      </c>
      <c r="AL46" s="354">
        <f t="shared" si="118"/>
        <v>-0.29342861019402111</v>
      </c>
      <c r="AM46" s="354">
        <f t="shared" si="118"/>
        <v>-0.41041935988101225</v>
      </c>
      <c r="AN46" s="354">
        <f t="shared" si="118"/>
        <v>-0.20658775329139295</v>
      </c>
      <c r="AO46" s="408">
        <f t="shared" si="118"/>
        <v>-0.15330691897345466</v>
      </c>
      <c r="AP46" s="408">
        <f t="shared" si="118"/>
        <v>1.8761378073244149E-2</v>
      </c>
      <c r="AQ46" s="408">
        <f t="shared" si="118"/>
        <v>0.17365463598862921</v>
      </c>
      <c r="AR46" s="408">
        <f t="shared" si="118"/>
        <v>8.1203070207573502E-2</v>
      </c>
      <c r="AS46" s="408">
        <f t="shared" si="118"/>
        <v>-0.15546096484029936</v>
      </c>
      <c r="AT46" s="354">
        <f t="shared" si="118"/>
        <v>-0.18583313085945558</v>
      </c>
      <c r="AU46" s="354">
        <f t="shared" si="118"/>
        <v>-0.54606665948237909</v>
      </c>
      <c r="AV46" s="354">
        <f t="shared" si="118"/>
        <v>-0.17893135474573646</v>
      </c>
      <c r="AW46" s="354"/>
    </row>
    <row r="47" spans="2:49" x14ac:dyDescent="0.35">
      <c r="B47" s="322">
        <v>4</v>
      </c>
      <c r="C47" s="323" t="s">
        <v>23</v>
      </c>
      <c r="D47" s="354" t="str">
        <f t="shared" si="114"/>
        <v>-</v>
      </c>
      <c r="E47" s="354">
        <f t="shared" si="114"/>
        <v>0.169869873566483</v>
      </c>
      <c r="F47" s="354">
        <f t="shared" si="114"/>
        <v>-0.14294369265357365</v>
      </c>
      <c r="G47" s="354">
        <f t="shared" si="114"/>
        <v>-0.3083531702483216</v>
      </c>
      <c r="H47" s="354">
        <f t="shared" si="114"/>
        <v>-0.12891908923076922</v>
      </c>
      <c r="I47" s="354">
        <f t="shared" si="114"/>
        <v>-2.2776998846818802E-2</v>
      </c>
      <c r="J47" s="354">
        <f t="shared" si="114"/>
        <v>-0.1200181003458623</v>
      </c>
      <c r="K47" s="354">
        <f t="shared" si="114"/>
        <v>-0.45037350467598591</v>
      </c>
      <c r="L47" s="354">
        <f t="shared" si="114"/>
        <v>-0.22267367341669267</v>
      </c>
      <c r="M47" s="354" t="str">
        <f t="shared" si="114"/>
        <v>-</v>
      </c>
      <c r="N47" s="354" t="str">
        <f t="shared" si="114"/>
        <v>-</v>
      </c>
      <c r="O47" s="354" t="str">
        <f t="shared" si="114"/>
        <v>-</v>
      </c>
      <c r="P47" s="354">
        <f t="shared" si="111"/>
        <v>-0.16228335070621647</v>
      </c>
      <c r="U47" s="354">
        <f t="shared" ref="U47:AH47" si="119">IFERROR(U35/U23,"-")</f>
        <v>0</v>
      </c>
      <c r="V47" s="354">
        <f t="shared" si="119"/>
        <v>0</v>
      </c>
      <c r="W47" s="354">
        <f t="shared" si="119"/>
        <v>0</v>
      </c>
      <c r="X47" s="354">
        <f t="shared" si="119"/>
        <v>0</v>
      </c>
      <c r="Y47" s="354">
        <f t="shared" si="119"/>
        <v>0</v>
      </c>
      <c r="Z47" s="354">
        <f t="shared" si="119"/>
        <v>0</v>
      </c>
      <c r="AA47" s="354">
        <f t="shared" si="119"/>
        <v>0</v>
      </c>
      <c r="AB47" s="354">
        <f t="shared" si="119"/>
        <v>0</v>
      </c>
      <c r="AC47" s="354">
        <f t="shared" si="119"/>
        <v>0</v>
      </c>
      <c r="AD47" s="354">
        <f t="shared" si="119"/>
        <v>0</v>
      </c>
      <c r="AE47" s="354">
        <f t="shared" si="119"/>
        <v>0</v>
      </c>
      <c r="AF47" s="354">
        <f t="shared" si="119"/>
        <v>0</v>
      </c>
      <c r="AG47" s="354">
        <f t="shared" si="119"/>
        <v>0</v>
      </c>
      <c r="AH47" s="354">
        <f t="shared" si="119"/>
        <v>0</v>
      </c>
      <c r="AJ47" s="354">
        <f t="shared" ref="AJ47:AV47" si="120">IFERROR(AJ35/AJ23,"-")</f>
        <v>-0.11535658143701553</v>
      </c>
      <c r="AK47" s="354">
        <f t="shared" si="120"/>
        <v>-3.2731856465899774E-2</v>
      </c>
      <c r="AL47" s="354">
        <f t="shared" si="120"/>
        <v>0.19725508668577085</v>
      </c>
      <c r="AM47" s="354">
        <f t="shared" si="120"/>
        <v>8.0070943103017586E-2</v>
      </c>
      <c r="AN47" s="354">
        <f t="shared" si="120"/>
        <v>-1.5302929032146402E-2</v>
      </c>
      <c r="AO47" s="354">
        <f t="shared" si="120"/>
        <v>1.6120853442910209E-2</v>
      </c>
      <c r="AP47" s="354">
        <f t="shared" si="120"/>
        <v>0.74264013151871044</v>
      </c>
      <c r="AQ47" s="354">
        <f t="shared" si="120"/>
        <v>0.35929206848595496</v>
      </c>
      <c r="AR47" s="354">
        <f t="shared" si="120"/>
        <v>0.39433724221593203</v>
      </c>
      <c r="AS47" s="354">
        <f t="shared" si="120"/>
        <v>-0.69960758473341123</v>
      </c>
      <c r="AT47" s="354">
        <f t="shared" si="120"/>
        <v>-0.76990497394357349</v>
      </c>
      <c r="AU47" s="354">
        <f t="shared" si="120"/>
        <v>-0.25666434902922991</v>
      </c>
      <c r="AV47" s="354">
        <f t="shared" si="120"/>
        <v>-2.888559816202204E-2</v>
      </c>
      <c r="AW47" s="354"/>
    </row>
    <row r="48" spans="2:49" x14ac:dyDescent="0.35">
      <c r="B48" s="322">
        <v>5</v>
      </c>
      <c r="C48" s="323" t="s">
        <v>95</v>
      </c>
      <c r="D48" s="354">
        <f t="shared" si="114"/>
        <v>-0.29250425358851673</v>
      </c>
      <c r="E48" s="354">
        <f t="shared" si="114"/>
        <v>-0.11107896831714693</v>
      </c>
      <c r="F48" s="354">
        <f t="shared" si="114"/>
        <v>-6.8525712918660289E-2</v>
      </c>
      <c r="G48" s="354">
        <f t="shared" si="114"/>
        <v>9.5783073155006504E-2</v>
      </c>
      <c r="H48" s="354" t="str">
        <f t="shared" si="114"/>
        <v>-</v>
      </c>
      <c r="I48" s="354">
        <f t="shared" si="114"/>
        <v>-0.49480853604392894</v>
      </c>
      <c r="J48" s="354">
        <f t="shared" si="114"/>
        <v>-0.49078293395450312</v>
      </c>
      <c r="K48" s="354">
        <f t="shared" si="114"/>
        <v>-0.59233353278756362</v>
      </c>
      <c r="L48" s="354">
        <f t="shared" si="114"/>
        <v>-0.5122339881402872</v>
      </c>
      <c r="M48" s="354" t="str">
        <f t="shared" si="114"/>
        <v>-</v>
      </c>
      <c r="N48" s="354" t="str">
        <f t="shared" si="114"/>
        <v>-</v>
      </c>
      <c r="O48" s="354" t="str">
        <f t="shared" si="114"/>
        <v>-</v>
      </c>
      <c r="P48" s="354">
        <f t="shared" si="111"/>
        <v>-0.49988306098223928</v>
      </c>
      <c r="U48" s="354">
        <f t="shared" ref="U48:AH48" si="121">IFERROR(U36/U24,"-")</f>
        <v>0</v>
      </c>
      <c r="V48" s="354" t="str">
        <f t="shared" si="121"/>
        <v>-</v>
      </c>
      <c r="W48" s="354">
        <f t="shared" si="121"/>
        <v>0</v>
      </c>
      <c r="X48" s="354">
        <f t="shared" si="121"/>
        <v>0</v>
      </c>
      <c r="Y48" s="354">
        <f t="shared" si="121"/>
        <v>0</v>
      </c>
      <c r="Z48" s="354">
        <f t="shared" si="121"/>
        <v>0</v>
      </c>
      <c r="AA48" s="354">
        <f t="shared" si="121"/>
        <v>0</v>
      </c>
      <c r="AB48" s="354">
        <f t="shared" si="121"/>
        <v>0</v>
      </c>
      <c r="AC48" s="354">
        <f t="shared" si="121"/>
        <v>0</v>
      </c>
      <c r="AD48" s="354">
        <f t="shared" si="121"/>
        <v>0</v>
      </c>
      <c r="AE48" s="354">
        <f t="shared" si="121"/>
        <v>0</v>
      </c>
      <c r="AF48" s="354">
        <f t="shared" si="121"/>
        <v>0</v>
      </c>
      <c r="AG48" s="354">
        <f t="shared" si="121"/>
        <v>0</v>
      </c>
      <c r="AH48" s="354">
        <f t="shared" si="121"/>
        <v>0</v>
      </c>
      <c r="AJ48" s="354">
        <f t="shared" ref="AJ48:AV48" si="122">IFERROR(AJ36/AJ24,"-")</f>
        <v>0.29121080621641399</v>
      </c>
      <c r="AK48" s="354">
        <f t="shared" si="122"/>
        <v>0.30459536926738928</v>
      </c>
      <c r="AL48" s="354">
        <f t="shared" si="122"/>
        <v>-5.7389974936654188E-2</v>
      </c>
      <c r="AM48" s="354">
        <f t="shared" si="122"/>
        <v>-0.34783125457830594</v>
      </c>
      <c r="AN48" s="354">
        <f t="shared" si="122"/>
        <v>0.13300974913637922</v>
      </c>
      <c r="AO48" s="354">
        <f t="shared" si="122"/>
        <v>-0.2459965145450716</v>
      </c>
      <c r="AP48" s="354">
        <f t="shared" si="122"/>
        <v>-0.43727335022956848</v>
      </c>
      <c r="AQ48" s="354" t="str">
        <f t="shared" si="122"/>
        <v>-</v>
      </c>
      <c r="AR48" s="354">
        <f t="shared" si="122"/>
        <v>-0.34603456879040501</v>
      </c>
      <c r="AS48" s="354">
        <f t="shared" si="122"/>
        <v>-0.30459014623268016</v>
      </c>
      <c r="AT48" s="354">
        <f t="shared" si="122"/>
        <v>-0.38284281339712939</v>
      </c>
      <c r="AU48" s="354">
        <f t="shared" si="122"/>
        <v>-0.23732152473744378</v>
      </c>
      <c r="AV48" s="354">
        <f t="shared" si="122"/>
        <v>-0.30128126927505405</v>
      </c>
      <c r="AW48" s="354"/>
    </row>
    <row r="49" spans="2:49" x14ac:dyDescent="0.35">
      <c r="B49" s="322">
        <v>6</v>
      </c>
      <c r="C49" s="323" t="s">
        <v>413</v>
      </c>
      <c r="D49" s="354">
        <f t="shared" si="114"/>
        <v>-1.5131201430030645</v>
      </c>
      <c r="E49" s="354">
        <f t="shared" si="114"/>
        <v>-1.5145858234053469</v>
      </c>
      <c r="F49" s="354">
        <f t="shared" si="114"/>
        <v>-1.0917096889851081</v>
      </c>
      <c r="G49" s="354">
        <f t="shared" si="114"/>
        <v>-2.2528106291789167</v>
      </c>
      <c r="H49" s="354">
        <f t="shared" si="114"/>
        <v>-1.2749550730625456</v>
      </c>
      <c r="I49" s="354">
        <f t="shared" si="114"/>
        <v>-1.8319889828027534</v>
      </c>
      <c r="J49" s="354">
        <f t="shared" si="114"/>
        <v>-2.166884346733029</v>
      </c>
      <c r="K49" s="354">
        <f t="shared" si="114"/>
        <v>-0.18528167739760681</v>
      </c>
      <c r="L49" s="354">
        <f t="shared" si="114"/>
        <v>-0.3353595030775095</v>
      </c>
      <c r="M49" s="354" t="str">
        <f t="shared" si="114"/>
        <v>-</v>
      </c>
      <c r="N49" s="354" t="str">
        <f t="shared" si="114"/>
        <v>-</v>
      </c>
      <c r="O49" s="354" t="str">
        <f t="shared" si="114"/>
        <v>-</v>
      </c>
      <c r="P49" s="354">
        <f t="shared" si="111"/>
        <v>-0.76959249471992075</v>
      </c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10"/>
      <c r="AJ49" s="310"/>
      <c r="AK49" s="310"/>
      <c r="AL49" s="310"/>
      <c r="AM49" s="310"/>
      <c r="AN49" s="310"/>
      <c r="AO49" s="310"/>
      <c r="AP49" s="310"/>
      <c r="AQ49" s="310"/>
      <c r="AR49" s="310"/>
      <c r="AS49" s="310"/>
      <c r="AT49" s="310"/>
      <c r="AU49" s="310"/>
      <c r="AV49" s="310"/>
      <c r="AW49" s="310"/>
    </row>
    <row r="50" spans="2:49" x14ac:dyDescent="0.35">
      <c r="B50" s="332">
        <v>7</v>
      </c>
      <c r="C50" s="333" t="s">
        <v>420</v>
      </c>
      <c r="D50" s="354" t="str">
        <f t="shared" si="114"/>
        <v>-</v>
      </c>
      <c r="E50" s="354">
        <f t="shared" si="114"/>
        <v>-9.0293786268708542E-2</v>
      </c>
      <c r="F50" s="354">
        <f t="shared" si="114"/>
        <v>-2.8286290252990783E-2</v>
      </c>
      <c r="G50" s="354">
        <f t="shared" si="114"/>
        <v>-0.15683283531817635</v>
      </c>
      <c r="H50" s="354">
        <f t="shared" si="114"/>
        <v>-0.47384874604430377</v>
      </c>
      <c r="I50" s="354">
        <f t="shared" si="114"/>
        <v>-0.43820013559322035</v>
      </c>
      <c r="J50" s="354">
        <f t="shared" si="114"/>
        <v>-0.50212002848101267</v>
      </c>
      <c r="K50" s="354">
        <f t="shared" si="114"/>
        <v>-0.33346235781990519</v>
      </c>
      <c r="L50" s="354">
        <f t="shared" si="114"/>
        <v>-0.33986024728452346</v>
      </c>
      <c r="M50" s="354" t="str">
        <f t="shared" si="114"/>
        <v>-</v>
      </c>
      <c r="N50" s="354" t="str">
        <f t="shared" si="114"/>
        <v>-</v>
      </c>
      <c r="O50" s="354" t="str">
        <f t="shared" si="114"/>
        <v>-</v>
      </c>
      <c r="P50" s="354">
        <f t="shared" si="111"/>
        <v>-0.21110747225707943</v>
      </c>
      <c r="U50" s="310"/>
      <c r="V50" s="310"/>
      <c r="W50" s="310"/>
      <c r="X50" s="310"/>
      <c r="Y50" s="310"/>
      <c r="Z50" s="310"/>
      <c r="AA50" s="310"/>
      <c r="AB50" s="310"/>
      <c r="AC50" s="310"/>
      <c r="AD50" s="310"/>
      <c r="AE50" s="310"/>
      <c r="AF50" s="310"/>
      <c r="AG50" s="310"/>
      <c r="AH50" s="310"/>
      <c r="AJ50" s="310"/>
      <c r="AK50" s="310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0"/>
      <c r="AW50" s="310"/>
    </row>
    <row r="51" spans="2:49" x14ac:dyDescent="0.35">
      <c r="B51" s="332">
        <v>8</v>
      </c>
      <c r="C51" s="333" t="s">
        <v>404</v>
      </c>
      <c r="D51" s="354">
        <f t="shared" si="114"/>
        <v>-1.8485777096023673E-2</v>
      </c>
      <c r="E51" s="354">
        <f t="shared" si="114"/>
        <v>-1.7622840432490672E-2</v>
      </c>
      <c r="F51" s="354">
        <f t="shared" si="114"/>
        <v>-1.979518337081335E-2</v>
      </c>
      <c r="G51" s="354">
        <f t="shared" si="114"/>
        <v>-4.1599884300857863E-2</v>
      </c>
      <c r="H51" s="354">
        <f t="shared" si="114"/>
        <v>-4.1695603711024869E-2</v>
      </c>
      <c r="I51" s="354">
        <f t="shared" si="114"/>
        <v>0.32736830538939499</v>
      </c>
      <c r="J51" s="354">
        <f t="shared" si="114"/>
        <v>0.27937609395515156</v>
      </c>
      <c r="K51" s="354">
        <f t="shared" si="114"/>
        <v>-29.762201483501268</v>
      </c>
      <c r="L51" s="354">
        <f t="shared" si="114"/>
        <v>-3.9707335055380558E-2</v>
      </c>
      <c r="M51" s="354" t="str">
        <f t="shared" si="114"/>
        <v>-</v>
      </c>
      <c r="N51" s="354" t="str">
        <f t="shared" si="114"/>
        <v>-</v>
      </c>
      <c r="O51" s="354" t="str">
        <f t="shared" si="114"/>
        <v>-</v>
      </c>
      <c r="P51" s="354">
        <f t="shared" si="111"/>
        <v>-2.1059614085522105</v>
      </c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10"/>
      <c r="AJ51" s="310"/>
      <c r="AK51" s="310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0"/>
      <c r="AW51" s="310"/>
    </row>
    <row r="52" spans="2:49" x14ac:dyDescent="0.35">
      <c r="B52" s="338">
        <v>8</v>
      </c>
      <c r="C52" s="339" t="s">
        <v>259</v>
      </c>
      <c r="D52" s="348">
        <f t="shared" si="114"/>
        <v>0.16553950197437478</v>
      </c>
      <c r="E52" s="348">
        <f t="shared" si="114"/>
        <v>0.18740621707397098</v>
      </c>
      <c r="F52" s="348">
        <f t="shared" si="114"/>
        <v>0.15096870342289054</v>
      </c>
      <c r="G52" s="348">
        <f t="shared" si="114"/>
        <v>0.14514425763665545</v>
      </c>
      <c r="H52" s="348">
        <f t="shared" si="114"/>
        <v>0.14833690904488811</v>
      </c>
      <c r="I52" s="348">
        <f t="shared" si="114"/>
        <v>9.8024350089505441E-2</v>
      </c>
      <c r="J52" s="348">
        <f t="shared" si="114"/>
        <v>6.7894331860372706E-2</v>
      </c>
      <c r="K52" s="348">
        <f t="shared" si="114"/>
        <v>3.4085297901949842E-2</v>
      </c>
      <c r="L52" s="348">
        <f t="shared" si="114"/>
        <v>1.6167711412646394E-2</v>
      </c>
      <c r="M52" s="348" t="str">
        <f t="shared" si="114"/>
        <v>-</v>
      </c>
      <c r="N52" s="348" t="str">
        <f t="shared" si="114"/>
        <v>-</v>
      </c>
      <c r="O52" s="348" t="str">
        <f t="shared" si="114"/>
        <v>-</v>
      </c>
      <c r="P52" s="348">
        <f t="shared" si="111"/>
        <v>0.11583430598645048</v>
      </c>
      <c r="Q52" s="344"/>
      <c r="R52" s="344"/>
      <c r="S52" s="344"/>
      <c r="U52" s="348">
        <f>SUM(U44:U51)</f>
        <v>0</v>
      </c>
      <c r="V52" s="348">
        <f t="shared" ref="V52:AF52" si="123">SUM(V44:V51)</f>
        <v>0</v>
      </c>
      <c r="W52" s="348">
        <f t="shared" si="123"/>
        <v>0</v>
      </c>
      <c r="X52" s="348">
        <f t="shared" si="123"/>
        <v>0</v>
      </c>
      <c r="Y52" s="348">
        <f t="shared" si="123"/>
        <v>0</v>
      </c>
      <c r="Z52" s="348">
        <f t="shared" si="123"/>
        <v>0</v>
      </c>
      <c r="AA52" s="348">
        <f t="shared" si="123"/>
        <v>0</v>
      </c>
      <c r="AB52" s="348">
        <f t="shared" si="123"/>
        <v>0</v>
      </c>
      <c r="AC52" s="348">
        <f t="shared" si="123"/>
        <v>0</v>
      </c>
      <c r="AD52" s="348">
        <f t="shared" si="123"/>
        <v>0</v>
      </c>
      <c r="AE52" s="348">
        <f t="shared" si="123"/>
        <v>0</v>
      </c>
      <c r="AF52" s="348">
        <f t="shared" si="123"/>
        <v>0</v>
      </c>
      <c r="AG52" s="348">
        <f t="shared" ref="AG52:AH52" si="124">SUM(U52:AF52)</f>
        <v>0</v>
      </c>
      <c r="AH52" s="348">
        <f t="shared" si="124"/>
        <v>0</v>
      </c>
      <c r="AJ52" s="348">
        <f t="shared" ref="AJ52:AV52" si="125">AJ40/AJ28</f>
        <v>0.26328612629153558</v>
      </c>
      <c r="AK52" s="348">
        <f t="shared" si="125"/>
        <v>0.21642280144825224</v>
      </c>
      <c r="AL52" s="348">
        <f t="shared" si="125"/>
        <v>0.16701899632002359</v>
      </c>
      <c r="AM52" s="348">
        <f t="shared" si="125"/>
        <v>0.19314242826125722</v>
      </c>
      <c r="AN52" s="348">
        <f t="shared" si="125"/>
        <v>0.1414264133444042</v>
      </c>
      <c r="AO52" s="348">
        <f t="shared" si="125"/>
        <v>0.17020688693516869</v>
      </c>
      <c r="AP52" s="348">
        <f t="shared" si="125"/>
        <v>0.11041547628580024</v>
      </c>
      <c r="AQ52" s="348">
        <f t="shared" si="125"/>
        <v>9.8387962299559498E-2</v>
      </c>
      <c r="AR52" s="348">
        <f t="shared" si="125"/>
        <v>0.1168573769989051</v>
      </c>
      <c r="AS52" s="348">
        <f t="shared" si="125"/>
        <v>0.13617742599574628</v>
      </c>
      <c r="AT52" s="348">
        <f t="shared" si="125"/>
        <v>0.22415611507431921</v>
      </c>
      <c r="AU52" s="348">
        <f t="shared" si="125"/>
        <v>0.19532849924829321</v>
      </c>
      <c r="AV52" s="348">
        <f t="shared" si="125"/>
        <v>0.1606593448089029</v>
      </c>
      <c r="AW52" s="348"/>
    </row>
  </sheetData>
  <conditionalFormatting sqref="D44:P51">
    <cfRule type="cellIs" dxfId="69" priority="4" operator="lessThan">
      <formula>0</formula>
    </cfRule>
  </conditionalFormatting>
  <conditionalFormatting sqref="D32:Q39">
    <cfRule type="cellIs" dxfId="68" priority="5" operator="lessThan">
      <formula>0</formula>
    </cfRule>
  </conditionalFormatting>
  <conditionalFormatting sqref="AJ32:AW39">
    <cfRule type="cellIs" dxfId="67" priority="1" operator="lessThan">
      <formula>0</formula>
    </cfRule>
  </conditionalFormatting>
  <conditionalFormatting sqref="AJ44:AW51">
    <cfRule type="cellIs" dxfId="66" priority="3" operator="lessThan">
      <formula>0</formula>
    </cfRule>
  </conditionalFormatting>
  <hyperlinks>
    <hyperlink ref="A1" location="'00. DM'!A1" display="00. DM" xr:uid="{7CC4E4F7-CB90-42A5-AFE1-C3708F1DDC23}"/>
  </hyperlink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FE34-9302-4C47-A597-56A1D8126224}">
  <sheetPr>
    <tabColor rgb="FF00B0F0"/>
  </sheetPr>
  <dimension ref="A1:P78"/>
  <sheetViews>
    <sheetView zoomScaleNormal="100" workbookViewId="0">
      <pane ySplit="2" topLeftCell="A41" activePane="bottomLeft" state="frozen"/>
      <selection pane="bottomLeft" activeCell="D17" sqref="D17"/>
    </sheetView>
  </sheetViews>
  <sheetFormatPr defaultRowHeight="14.5" outlineLevelRow="1" x14ac:dyDescent="0.35"/>
  <cols>
    <col min="1" max="1" width="4.81640625" customWidth="1"/>
    <col min="2" max="2" width="10.81640625" customWidth="1"/>
    <col min="3" max="3" width="13.1796875" customWidth="1"/>
    <col min="4" max="4" width="10.90625" customWidth="1"/>
    <col min="7" max="7" width="9.36328125" customWidth="1"/>
    <col min="13" max="15" width="10.81640625" customWidth="1"/>
  </cols>
  <sheetData>
    <row r="1" spans="1:16" ht="20" x14ac:dyDescent="0.35">
      <c r="A1" s="528" t="s">
        <v>587</v>
      </c>
      <c r="B1" s="550" t="s">
        <v>607</v>
      </c>
    </row>
    <row r="2" spans="1:16" ht="20" x14ac:dyDescent="0.35">
      <c r="B2" s="550"/>
    </row>
    <row r="3" spans="1:16" ht="17.5" x14ac:dyDescent="0.35">
      <c r="A3" s="556">
        <v>1</v>
      </c>
      <c r="B3" s="551" t="s">
        <v>608</v>
      </c>
    </row>
    <row r="5" spans="1:16" hidden="1" outlineLevel="1" x14ac:dyDescent="0.35">
      <c r="B5" s="329" t="s">
        <v>411</v>
      </c>
      <c r="C5" s="329" t="s">
        <v>380</v>
      </c>
      <c r="D5" s="404">
        <v>1</v>
      </c>
      <c r="E5" s="404">
        <v>2</v>
      </c>
      <c r="F5" s="404">
        <v>3</v>
      </c>
      <c r="G5" s="404">
        <v>4</v>
      </c>
      <c r="H5" s="404">
        <v>5</v>
      </c>
      <c r="I5" s="404">
        <v>6</v>
      </c>
      <c r="J5" s="404">
        <v>7</v>
      </c>
      <c r="K5" s="404">
        <v>8</v>
      </c>
      <c r="L5" s="404">
        <v>9</v>
      </c>
      <c r="M5" s="404">
        <v>10</v>
      </c>
      <c r="N5" s="404">
        <v>11</v>
      </c>
      <c r="O5" s="404">
        <v>12</v>
      </c>
      <c r="P5" s="558" t="s">
        <v>382</v>
      </c>
    </row>
    <row r="6" spans="1:16" hidden="1" outlineLevel="1" x14ac:dyDescent="0.35">
      <c r="B6" s="321" t="s">
        <v>283</v>
      </c>
      <c r="C6" s="353">
        <v>0.17199999999999999</v>
      </c>
      <c r="D6" s="353">
        <f>'04. BC - Nhóm hàng'!D44</f>
        <v>0.16794124277611802</v>
      </c>
      <c r="E6" s="353">
        <f>'04. BC - Nhóm hàng'!E44</f>
        <v>0.2118107179781597</v>
      </c>
      <c r="F6" s="353">
        <f>'04. BC - Nhóm hàng'!F44</f>
        <v>0.17849855158352101</v>
      </c>
      <c r="G6" s="353">
        <f>'04. BC - Nhóm hàng'!G44</f>
        <v>0.17348473118444988</v>
      </c>
      <c r="H6" s="353">
        <f>'04. BC - Nhóm hàng'!H44</f>
        <v>0.17509481899572768</v>
      </c>
      <c r="I6" s="353">
        <f>'04. BC - Nhóm hàng'!I44</f>
        <v>0.14381628388809015</v>
      </c>
      <c r="J6" s="353">
        <f>'04. BC - Nhóm hàng'!J44</f>
        <v>0.1214338281299932</v>
      </c>
      <c r="K6" s="353">
        <f>'04. BC - Nhóm hàng'!K44</f>
        <v>0.13666499922617831</v>
      </c>
      <c r="L6" s="353">
        <f>'04. BC - Nhóm hàng'!L44</f>
        <v>0.13441396251988641</v>
      </c>
      <c r="M6" s="353" t="str">
        <f>'04. BC - Nhóm hàng'!M44</f>
        <v>-</v>
      </c>
      <c r="N6" s="353" t="str">
        <f>'04. BC - Nhóm hàng'!N44</f>
        <v>-</v>
      </c>
      <c r="O6" s="353" t="str">
        <f>'04. BC - Nhóm hàng'!O44</f>
        <v>-</v>
      </c>
      <c r="P6" s="353">
        <f>'04. BC - Nhóm hàng'!P44</f>
        <v>0.16456455504265027</v>
      </c>
    </row>
    <row r="7" spans="1:16" hidden="1" outlineLevel="1" x14ac:dyDescent="0.35">
      <c r="B7" s="323" t="s">
        <v>265</v>
      </c>
      <c r="C7" s="354">
        <v>0.223</v>
      </c>
      <c r="D7" s="354">
        <f>'04. BC - Nhóm hàng'!D45</f>
        <v>0.19354012852663777</v>
      </c>
      <c r="E7" s="354">
        <f>'04. BC - Nhóm hàng'!E45</f>
        <v>0.12493006717175262</v>
      </c>
      <c r="F7" s="354">
        <f>'04. BC - Nhóm hàng'!F45</f>
        <v>0.15614159443211492</v>
      </c>
      <c r="G7" s="354">
        <f>'04. BC - Nhóm hàng'!G45</f>
        <v>3.4869522361602637E-2</v>
      </c>
      <c r="H7" s="354">
        <f>'04. BC - Nhóm hàng'!H45</f>
        <v>0.14582253581453875</v>
      </c>
      <c r="I7" s="354">
        <f>'04. BC - Nhóm hàng'!I45</f>
        <v>0.13259076320865748</v>
      </c>
      <c r="J7" s="354">
        <f>'04. BC - Nhóm hàng'!J45</f>
        <v>0.16033710424713332</v>
      </c>
      <c r="K7" s="354">
        <f>'04. BC - Nhóm hàng'!K45</f>
        <v>0.16112845311551796</v>
      </c>
      <c r="L7" s="354">
        <f>'04. BC - Nhóm hàng'!L45</f>
        <v>0.14298781172938352</v>
      </c>
      <c r="M7" s="354" t="str">
        <f>'04. BC - Nhóm hàng'!M45</f>
        <v>-</v>
      </c>
      <c r="N7" s="354" t="str">
        <f>'04. BC - Nhóm hàng'!N45</f>
        <v>-</v>
      </c>
      <c r="O7" s="354" t="str">
        <f>'04. BC - Nhóm hàng'!O45</f>
        <v>-</v>
      </c>
      <c r="P7" s="354">
        <f>'04. BC - Nhóm hàng'!P45</f>
        <v>0.14416974463185089</v>
      </c>
    </row>
    <row r="8" spans="1:16" hidden="1" outlineLevel="1" x14ac:dyDescent="0.35">
      <c r="B8" s="323" t="s">
        <v>266</v>
      </c>
      <c r="C8" s="354">
        <v>-0.17899999999999999</v>
      </c>
      <c r="D8" s="354">
        <f>'04. BC - Nhóm hàng'!D46</f>
        <v>-0.24776942941975741</v>
      </c>
      <c r="E8" s="354">
        <f>'04. BC - Nhóm hàng'!E46</f>
        <v>-8.5949820418493084E-2</v>
      </c>
      <c r="F8" s="354">
        <f>'04. BC - Nhóm hàng'!F46</f>
        <v>-0.54703183433338343</v>
      </c>
      <c r="G8" s="354">
        <f>'04. BC - Nhóm hàng'!G46</f>
        <v>-0.47017665663473301</v>
      </c>
      <c r="H8" s="354">
        <f>'04. BC - Nhóm hàng'!H46</f>
        <v>-0.53823050573597553</v>
      </c>
      <c r="I8" s="354">
        <f>'04. BC - Nhóm hàng'!I46</f>
        <v>-0.56316341597093833</v>
      </c>
      <c r="J8" s="354">
        <f>'04. BC - Nhóm hàng'!J46</f>
        <v>-0.38837246793744168</v>
      </c>
      <c r="K8" s="354">
        <f>'04. BC - Nhóm hàng'!K46</f>
        <v>-0.5838742325301729</v>
      </c>
      <c r="L8" s="354">
        <f>'04. BC - Nhóm hàng'!L46</f>
        <v>-0.65412703623856794</v>
      </c>
      <c r="M8" s="354" t="str">
        <f>'04. BC - Nhóm hàng'!M46</f>
        <v>-</v>
      </c>
      <c r="N8" s="354" t="str">
        <f>'04. BC - Nhóm hàng'!N46</f>
        <v>-</v>
      </c>
      <c r="O8" s="354" t="str">
        <f>'04. BC - Nhóm hàng'!O46</f>
        <v>-</v>
      </c>
      <c r="P8" s="354">
        <f>'04. BC - Nhóm hàng'!P46</f>
        <v>-0.51078455568482806</v>
      </c>
    </row>
    <row r="9" spans="1:16" hidden="1" outlineLevel="1" x14ac:dyDescent="0.35">
      <c r="B9" s="323" t="s">
        <v>23</v>
      </c>
      <c r="C9" s="354">
        <v>-2.9000000000000001E-2</v>
      </c>
      <c r="D9" s="354" t="str">
        <f>'04. BC - Nhóm hàng'!D47</f>
        <v>-</v>
      </c>
      <c r="E9" s="354">
        <f>'04. BC - Nhóm hàng'!E47</f>
        <v>0.169869873566483</v>
      </c>
      <c r="F9" s="354">
        <f>'04. BC - Nhóm hàng'!F47</f>
        <v>-0.14294369265357365</v>
      </c>
      <c r="G9" s="354">
        <f>'04. BC - Nhóm hàng'!G47</f>
        <v>-0.3083531702483216</v>
      </c>
      <c r="H9" s="354">
        <f>'04. BC - Nhóm hàng'!H47</f>
        <v>-0.12891908923076922</v>
      </c>
      <c r="I9" s="354">
        <f>'04. BC - Nhóm hàng'!I47</f>
        <v>-2.2776998846818802E-2</v>
      </c>
      <c r="J9" s="354">
        <f>'04. BC - Nhóm hàng'!J47</f>
        <v>-0.1200181003458623</v>
      </c>
      <c r="K9" s="354">
        <f>'04. BC - Nhóm hàng'!K47</f>
        <v>-0.45037350467598591</v>
      </c>
      <c r="L9" s="354">
        <f>'04. BC - Nhóm hàng'!L47</f>
        <v>-0.22267367341669267</v>
      </c>
      <c r="M9" s="354" t="str">
        <f>'04. BC - Nhóm hàng'!M47</f>
        <v>-</v>
      </c>
      <c r="N9" s="354" t="str">
        <f>'04. BC - Nhóm hàng'!N47</f>
        <v>-</v>
      </c>
      <c r="O9" s="354" t="str">
        <f>'04. BC - Nhóm hàng'!O47</f>
        <v>-</v>
      </c>
      <c r="P9" s="354">
        <f>'04. BC - Nhóm hàng'!P47</f>
        <v>-0.16228335070621647</v>
      </c>
    </row>
    <row r="10" spans="1:16" hidden="1" outlineLevel="1" x14ac:dyDescent="0.35">
      <c r="B10" s="323" t="s">
        <v>95</v>
      </c>
      <c r="C10" s="354">
        <v>-0.30099999999999999</v>
      </c>
      <c r="D10" s="354">
        <f>'04. BC - Nhóm hàng'!D48</f>
        <v>-0.29250425358851673</v>
      </c>
      <c r="E10" s="354">
        <f>'04. BC - Nhóm hàng'!E48</f>
        <v>-0.11107896831714693</v>
      </c>
      <c r="F10" s="354">
        <f>'04. BC - Nhóm hàng'!F48</f>
        <v>-6.8525712918660289E-2</v>
      </c>
      <c r="G10" s="354">
        <f>'04. BC - Nhóm hàng'!G48</f>
        <v>9.5783073155006504E-2</v>
      </c>
      <c r="H10" s="354" t="str">
        <f>'04. BC - Nhóm hàng'!H48</f>
        <v>-</v>
      </c>
      <c r="I10" s="354">
        <f>'04. BC - Nhóm hàng'!I48</f>
        <v>-0.49480853604392894</v>
      </c>
      <c r="J10" s="354">
        <f>'04. BC - Nhóm hàng'!J48</f>
        <v>-0.49078293395450312</v>
      </c>
      <c r="K10" s="354">
        <f>'04. BC - Nhóm hàng'!K48</f>
        <v>-0.59233353278756362</v>
      </c>
      <c r="L10" s="354">
        <f>'04. BC - Nhóm hàng'!L48</f>
        <v>-0.5122339881402872</v>
      </c>
      <c r="M10" s="354" t="str">
        <f>'04. BC - Nhóm hàng'!M48</f>
        <v>-</v>
      </c>
      <c r="N10" s="354" t="str">
        <f>'04. BC - Nhóm hàng'!N48</f>
        <v>-</v>
      </c>
      <c r="O10" s="354" t="str">
        <f>'04. BC - Nhóm hàng'!O48</f>
        <v>-</v>
      </c>
      <c r="P10" s="354">
        <f>'04. BC - Nhóm hàng'!P48</f>
        <v>-0.49988306098223928</v>
      </c>
    </row>
    <row r="11" spans="1:16" hidden="1" outlineLevel="1" x14ac:dyDescent="0.35">
      <c r="B11" s="323" t="s">
        <v>413</v>
      </c>
      <c r="C11" s="354">
        <v>0</v>
      </c>
      <c r="D11" s="354">
        <f>'04. BC - Nhóm hàng'!D49</f>
        <v>-1.5131201430030645</v>
      </c>
      <c r="E11" s="354">
        <f>'04. BC - Nhóm hàng'!E49</f>
        <v>-1.5145858234053469</v>
      </c>
      <c r="F11" s="354">
        <f>'04. BC - Nhóm hàng'!F49</f>
        <v>-1.0917096889851081</v>
      </c>
      <c r="G11" s="354">
        <f>'04. BC - Nhóm hàng'!G49</f>
        <v>-2.2528106291789167</v>
      </c>
      <c r="H11" s="354">
        <f>'04. BC - Nhóm hàng'!H49</f>
        <v>-1.2749550730625456</v>
      </c>
      <c r="I11" s="354">
        <f>'04. BC - Nhóm hàng'!I49</f>
        <v>-1.8319889828027534</v>
      </c>
      <c r="J11" s="354">
        <f>'04. BC - Nhóm hàng'!J49</f>
        <v>-2.166884346733029</v>
      </c>
      <c r="K11" s="354">
        <f>'04. BC - Nhóm hàng'!K49</f>
        <v>-0.18528167739760681</v>
      </c>
      <c r="L11" s="354">
        <f>'04. BC - Nhóm hàng'!L49</f>
        <v>-0.3353595030775095</v>
      </c>
      <c r="M11" s="354" t="str">
        <f>'04. BC - Nhóm hàng'!M49</f>
        <v>-</v>
      </c>
      <c r="N11" s="354" t="str">
        <f>'04. BC - Nhóm hàng'!N49</f>
        <v>-</v>
      </c>
      <c r="O11" s="354" t="str">
        <f>'04. BC - Nhóm hàng'!O49</f>
        <v>-</v>
      </c>
      <c r="P11" s="354">
        <f>'04. BC - Nhóm hàng'!P49</f>
        <v>-0.76959249471992075</v>
      </c>
    </row>
    <row r="12" spans="1:16" hidden="1" outlineLevel="1" x14ac:dyDescent="0.35">
      <c r="B12" s="333" t="s">
        <v>420</v>
      </c>
      <c r="C12" s="354">
        <v>0</v>
      </c>
      <c r="D12" s="354" t="str">
        <f>'04. BC - Nhóm hàng'!D50</f>
        <v>-</v>
      </c>
      <c r="E12" s="354">
        <f>'04. BC - Nhóm hàng'!E50</f>
        <v>-9.0293786268708542E-2</v>
      </c>
      <c r="F12" s="354">
        <f>'04. BC - Nhóm hàng'!F50</f>
        <v>-2.8286290252990783E-2</v>
      </c>
      <c r="G12" s="354">
        <f>'04. BC - Nhóm hàng'!G50</f>
        <v>-0.15683283531817635</v>
      </c>
      <c r="H12" s="354">
        <f>'04. BC - Nhóm hàng'!H50</f>
        <v>-0.47384874604430377</v>
      </c>
      <c r="I12" s="354">
        <f>'04. BC - Nhóm hàng'!I50</f>
        <v>-0.43820013559322035</v>
      </c>
      <c r="J12" s="354">
        <f>'04. BC - Nhóm hàng'!J50</f>
        <v>-0.50212002848101267</v>
      </c>
      <c r="K12" s="354">
        <f>'04. BC - Nhóm hàng'!K50</f>
        <v>-0.33346235781990519</v>
      </c>
      <c r="L12" s="354">
        <f>'04. BC - Nhóm hàng'!L50</f>
        <v>-0.33986024728452346</v>
      </c>
      <c r="M12" s="354" t="str">
        <f>'04. BC - Nhóm hàng'!M50</f>
        <v>-</v>
      </c>
      <c r="N12" s="354" t="str">
        <f>'04. BC - Nhóm hàng'!N50</f>
        <v>-</v>
      </c>
      <c r="O12" s="354" t="str">
        <f>'04. BC - Nhóm hàng'!O50</f>
        <v>-</v>
      </c>
      <c r="P12" s="354">
        <f>'04. BC - Nhóm hàng'!P50</f>
        <v>-0.21110747225707943</v>
      </c>
    </row>
    <row r="13" spans="1:16" hidden="1" outlineLevel="1" x14ac:dyDescent="0.35">
      <c r="B13" s="324" t="s">
        <v>404</v>
      </c>
      <c r="C13" s="355">
        <v>0</v>
      </c>
      <c r="D13" s="355">
        <f>'04. BC - Nhóm hàng'!D51</f>
        <v>-1.8485777096023673E-2</v>
      </c>
      <c r="E13" s="355">
        <f>'04. BC - Nhóm hàng'!E51</f>
        <v>-1.7622840432490672E-2</v>
      </c>
      <c r="F13" s="355">
        <f>'04. BC - Nhóm hàng'!F51</f>
        <v>-1.979518337081335E-2</v>
      </c>
      <c r="G13" s="355">
        <f>'04. BC - Nhóm hàng'!G51</f>
        <v>-4.1599884300857863E-2</v>
      </c>
      <c r="H13" s="355">
        <f>'04. BC - Nhóm hàng'!H51</f>
        <v>-4.1695603711024869E-2</v>
      </c>
      <c r="I13" s="355">
        <f>'04. BC - Nhóm hàng'!I51</f>
        <v>0.32736830538939499</v>
      </c>
      <c r="J13" s="355">
        <f>'04. BC - Nhóm hàng'!J51</f>
        <v>0.27937609395515156</v>
      </c>
      <c r="K13" s="355">
        <f>'04. BC - Nhóm hàng'!K51</f>
        <v>-29.762201483501268</v>
      </c>
      <c r="L13" s="355">
        <f>'04. BC - Nhóm hàng'!L51</f>
        <v>-3.9707335055380558E-2</v>
      </c>
      <c r="M13" s="355" t="str">
        <f>'04. BC - Nhóm hàng'!M51</f>
        <v>-</v>
      </c>
      <c r="N13" s="355" t="str">
        <f>'04. BC - Nhóm hàng'!N51</f>
        <v>-</v>
      </c>
      <c r="O13" s="355" t="str">
        <f>'04. BC - Nhóm hàng'!O51</f>
        <v>-</v>
      </c>
      <c r="P13" s="355">
        <f>'04. BC - Nhóm hàng'!P51</f>
        <v>-2.1059614085522105</v>
      </c>
    </row>
    <row r="14" spans="1:16" collapsed="1" x14ac:dyDescent="0.35"/>
    <row r="15" spans="1:16" x14ac:dyDescent="0.35">
      <c r="B15" s="732" t="str">
        <f>"% LỢI NHUẬN GỘP / DOANH THU EXW"&amp;" T"&amp;D16&amp;".25"</f>
        <v>% LỢI NHUẬN GỘP / DOANH THU EXW T9.25</v>
      </c>
    </row>
    <row r="16" spans="1:16" ht="18.5" x14ac:dyDescent="0.45">
      <c r="D16" s="379">
        <v>9</v>
      </c>
    </row>
    <row r="17" spans="2:5" x14ac:dyDescent="0.35">
      <c r="B17" s="329" t="s">
        <v>411</v>
      </c>
      <c r="C17" s="329" t="s">
        <v>380</v>
      </c>
      <c r="D17" s="329" t="str">
        <f>"TT T"&amp;D16&amp;"/25"</f>
        <v>TT T9/25</v>
      </c>
      <c r="E17" s="404" t="s">
        <v>382</v>
      </c>
    </row>
    <row r="18" spans="2:5" x14ac:dyDescent="0.35">
      <c r="B18" s="456" t="s">
        <v>283</v>
      </c>
      <c r="C18" s="595">
        <v>0.17199999999999999</v>
      </c>
      <c r="D18" s="595">
        <f t="shared" ref="D18:D25" si="0">INDEX($D$6:$O$13,MATCH(B18,$B$6:$B$13,0),MATCH($D$16,$D$5:$O$5,0))</f>
        <v>0.13441396251988641</v>
      </c>
      <c r="E18" s="1018">
        <f t="shared" ref="E18:E19" si="1">P6</f>
        <v>0.16456455504265027</v>
      </c>
    </row>
    <row r="19" spans="2:5" x14ac:dyDescent="0.35">
      <c r="B19" s="457" t="s">
        <v>265</v>
      </c>
      <c r="C19" s="540">
        <v>0.223</v>
      </c>
      <c r="D19" s="540">
        <f t="shared" si="0"/>
        <v>0.14298781172938352</v>
      </c>
      <c r="E19" s="1019">
        <f t="shared" si="1"/>
        <v>0.14416974463185089</v>
      </c>
    </row>
    <row r="20" spans="2:5" x14ac:dyDescent="0.35">
      <c r="B20" s="457" t="s">
        <v>95</v>
      </c>
      <c r="C20" s="540">
        <v>-0.30099999999999999</v>
      </c>
      <c r="D20" s="540">
        <f>INDEX($D$6:$O$13,MATCH(B20,$B$6:$B$13,0),MATCH($D$16,$D$5:$O$5,0))</f>
        <v>-0.5122339881402872</v>
      </c>
      <c r="E20" s="1019">
        <f>P10</f>
        <v>-0.49988306098223928</v>
      </c>
    </row>
    <row r="21" spans="2:5" x14ac:dyDescent="0.35">
      <c r="B21" s="457" t="s">
        <v>23</v>
      </c>
      <c r="C21" s="540">
        <v>-2.9000000000000001E-2</v>
      </c>
      <c r="D21" s="540">
        <f>INDEX($D$6:$O$13,MATCH(B21,$B$6:$B$13,0),MATCH($D$16,$D$5:$O$5,0))</f>
        <v>-0.22267367341669267</v>
      </c>
      <c r="E21" s="1019">
        <f>P9</f>
        <v>-0.16228335070621647</v>
      </c>
    </row>
    <row r="22" spans="2:5" x14ac:dyDescent="0.35">
      <c r="B22" s="457" t="s">
        <v>266</v>
      </c>
      <c r="C22" s="540">
        <v>-0.17899999999999999</v>
      </c>
      <c r="D22" s="540">
        <f>INDEX($D$6:$O$13,MATCH(B22,$B$6:$B$13,0),MATCH($D$16,$D$5:$O$5,0))</f>
        <v>-0.65412703623856794</v>
      </c>
      <c r="E22" s="1019">
        <f>P8</f>
        <v>-0.51078455568482806</v>
      </c>
    </row>
    <row r="23" spans="2:5" x14ac:dyDescent="0.35">
      <c r="B23" s="323" t="s">
        <v>413</v>
      </c>
      <c r="C23" s="354">
        <v>0</v>
      </c>
      <c r="D23" s="354">
        <f t="shared" si="0"/>
        <v>-0.3353595030775095</v>
      </c>
      <c r="E23" s="557">
        <f>P11</f>
        <v>-0.76959249471992075</v>
      </c>
    </row>
    <row r="24" spans="2:5" x14ac:dyDescent="0.35">
      <c r="B24" s="323" t="s">
        <v>420</v>
      </c>
      <c r="C24" s="354">
        <v>0</v>
      </c>
      <c r="D24" s="354">
        <f t="shared" si="0"/>
        <v>-0.33986024728452346</v>
      </c>
      <c r="E24" s="557">
        <f>P12</f>
        <v>-0.21110747225707943</v>
      </c>
    </row>
    <row r="25" spans="2:5" x14ac:dyDescent="0.35">
      <c r="B25" s="324" t="s">
        <v>404</v>
      </c>
      <c r="C25" s="355">
        <v>0</v>
      </c>
      <c r="D25" s="355">
        <f t="shared" si="0"/>
        <v>-3.9707335055380558E-2</v>
      </c>
      <c r="E25" s="563">
        <f>P13</f>
        <v>-2.1059614085522105</v>
      </c>
    </row>
    <row r="33" spans="1:16" ht="17.5" x14ac:dyDescent="0.35">
      <c r="A33" s="556" t="s">
        <v>288</v>
      </c>
      <c r="B33" s="551" t="s">
        <v>416</v>
      </c>
    </row>
    <row r="35" spans="1:16" ht="18.5" outlineLevel="1" x14ac:dyDescent="0.45">
      <c r="B35" s="327"/>
      <c r="C35" s="379">
        <f>D16</f>
        <v>9</v>
      </c>
    </row>
    <row r="36" spans="1:16" outlineLevel="1" x14ac:dyDescent="0.35">
      <c r="B36" s="329" t="s">
        <v>411</v>
      </c>
      <c r="C36" s="329" t="str">
        <f>"TT T"&amp;C35</f>
        <v>TT T9</v>
      </c>
      <c r="D36" s="329" t="s">
        <v>417</v>
      </c>
      <c r="F36" s="329" t="s">
        <v>174</v>
      </c>
      <c r="G36" s="329" t="s">
        <v>411</v>
      </c>
      <c r="H36" s="329" t="str">
        <f>"TT T"&amp;C35&amp;".24"</f>
        <v>TT T9.24</v>
      </c>
      <c r="I36" s="329" t="str">
        <f>"KH T"&amp;C35&amp;".25"</f>
        <v>KH T9.25</v>
      </c>
      <c r="J36" s="404" t="str">
        <f>C36&amp;".25"</f>
        <v>TT T9.25</v>
      </c>
      <c r="K36" s="329" t="s">
        <v>418</v>
      </c>
      <c r="L36" s="329" t="s">
        <v>419</v>
      </c>
      <c r="N36" s="380" t="s">
        <v>477</v>
      </c>
      <c r="O36" s="380" t="s">
        <v>419</v>
      </c>
    </row>
    <row r="37" spans="1:16" outlineLevel="1" x14ac:dyDescent="0.35">
      <c r="B37" s="456" t="s">
        <v>283</v>
      </c>
      <c r="C37" s="1016">
        <f>INDEX('04. BC - Nhóm hàng'!$D$8:$O$15,MATCH('04.1. Chart Nhóm hàng'!B37,'04. BC - Nhóm hàng'!$C$8:$C$15,0),MATCH('04.1. Chart Nhóm hàng'!C35,'04. BC - Nhóm hàng'!$D$7:$O$7,0))</f>
        <v>1787</v>
      </c>
      <c r="D37" s="594">
        <f>RANK(C37,$C$37:$C$41)</f>
        <v>1</v>
      </c>
      <c r="F37" s="539">
        <v>1</v>
      </c>
      <c r="G37" s="594" t="str">
        <f>_xlfn.XLOOKUP(F37,D37:D44,B37:B44,0)</f>
        <v>rPET</v>
      </c>
      <c r="H37" s="1016">
        <f>IFERROR(INDEX('04. BC - Nhóm hàng'!$AJ$8:$AU$15,MATCH('04.1. Chart Nhóm hàng'!G37,'04. BC - Nhóm hàng'!$C$8:$C$15,0),MATCH('04.1. Chart Nhóm hàng'!C35,'04. BC - Nhóm hàng'!$AJ$7:$AU$7,0)),0)</f>
        <v>4320.3</v>
      </c>
      <c r="I37" s="1016">
        <f>IFERROR(INDEX('04. BC - Nhóm hàng'!$U$8:$AF$15,MATCH('04.1. Chart Nhóm hàng'!G37,'04. BC - Nhóm hàng'!$C$8:$C$15,0),MATCH('04.1. Chart Nhóm hàng'!C35,'04. BC - Nhóm hàng'!$U$7:$AF$7,0)),0)</f>
        <v>5075.54</v>
      </c>
      <c r="J37" s="600">
        <f>_xlfn.XLOOKUP(F37,D37:D44,C37:C44,0)</f>
        <v>1787</v>
      </c>
      <c r="K37" s="1013">
        <f>IFERROR(J37/I37,1)</f>
        <v>0.35208076382020437</v>
      </c>
      <c r="L37" s="1013">
        <f>J37/J45</f>
        <v>0.67451143215724751</v>
      </c>
      <c r="N37" s="1016">
        <f>'04. BC - Nhóm hàng'!P8</f>
        <v>33149.884699999995</v>
      </c>
      <c r="O37" s="1013">
        <f>N37/N45</f>
        <v>0.87129095440168502</v>
      </c>
      <c r="P37" s="343">
        <f>N37-'04. BC - Nhóm hàng'!P8</f>
        <v>0</v>
      </c>
    </row>
    <row r="38" spans="1:16" outlineLevel="1" x14ac:dyDescent="0.35">
      <c r="B38" s="457" t="s">
        <v>265</v>
      </c>
      <c r="C38" s="1017">
        <f>INDEX('04. BC - Nhóm hàng'!$D$8:$O$15,MATCH('04.1. Chart Nhóm hàng'!B38,'04. BC - Nhóm hàng'!$C$8:$C$15,0),MATCH('04.1. Chart Nhóm hàng'!C35,'04. BC - Nhóm hàng'!$D$7:$O$7,0))</f>
        <v>254.375</v>
      </c>
      <c r="D38" s="599">
        <f t="shared" ref="D38:D41" si="2">RANK(C38,$C$37:$C$41)</f>
        <v>3</v>
      </c>
      <c r="F38" s="598">
        <v>2</v>
      </c>
      <c r="G38" s="599" t="str">
        <f>_xlfn.XLOOKUP(F38,D37:D41,B37:B41,0)</f>
        <v>rHDPE ép</v>
      </c>
      <c r="H38" s="1017">
        <f>IFERROR(INDEX('04. BC - Nhóm hàng'!$AJ$8:$AU$15,MATCH('04.1. Chart Nhóm hàng'!G38,'04. BC - Nhóm hàng'!$C$8:$C$15,0),MATCH('04.1. Chart Nhóm hàng'!C35,'04. BC - Nhóm hàng'!$AJ$7:$AU$7,0)),0)</f>
        <v>10.25</v>
      </c>
      <c r="I38" s="1017">
        <f>IFERROR(INDEX('04. BC - Nhóm hàng'!$U$8:$AF$15,MATCH('04.1. Chart Nhóm hàng'!G38,'04. BC - Nhóm hàng'!$C$8:$C$15,0),MATCH('04.1. Chart Nhóm hàng'!C35,'04. BC - Nhóm hàng'!$U$7:$AF$7,0)),0)</f>
        <v>150.25</v>
      </c>
      <c r="J38" s="600">
        <f>_xlfn.XLOOKUP(F38,D37:D44,C37:C44,0)</f>
        <v>353.75</v>
      </c>
      <c r="K38" s="540">
        <f>IFERROR(J38/I38,1)</f>
        <v>2.3544093178036607</v>
      </c>
      <c r="L38" s="1014">
        <f>J38/J45</f>
        <v>0.1335245770149</v>
      </c>
      <c r="N38" s="1017">
        <f>'04. BC - Nhóm hàng'!P9</f>
        <v>2171.8249999999998</v>
      </c>
      <c r="O38" s="1014">
        <f>N38/N45</f>
        <v>5.7082897698387459E-2</v>
      </c>
      <c r="P38" s="343">
        <f>N38-'04. BC - Nhóm hàng'!P9</f>
        <v>0</v>
      </c>
    </row>
    <row r="39" spans="1:16" outlineLevel="1" x14ac:dyDescent="0.35">
      <c r="B39" s="457" t="s">
        <v>266</v>
      </c>
      <c r="C39" s="1017">
        <f>INDEX('04. BC - Nhóm hàng'!$D$8:$O$15,MATCH('04.1. Chart Nhóm hàng'!B39,'04. BC - Nhóm hàng'!$C$8:$C$15,0),MATCH('04.1. Chart Nhóm hàng'!C35,'04. BC - Nhóm hàng'!$D$7:$O$7,0))</f>
        <v>353.75</v>
      </c>
      <c r="D39" s="599">
        <f t="shared" si="2"/>
        <v>2</v>
      </c>
      <c r="F39" s="598">
        <v>3</v>
      </c>
      <c r="G39" s="599" t="str">
        <f>_xlfn.XLOOKUP(F39,D37:D44,B37:B44,0)</f>
        <v>rHDPE thổi</v>
      </c>
      <c r="H39" s="1017">
        <f>IFERROR(INDEX('04. BC - Nhóm hàng'!$AJ$8:$AU$15,MATCH('04.1. Chart Nhóm hàng'!G39,'04. BC - Nhóm hàng'!$C$8:$C$15,0),MATCH('04.1. Chart Nhóm hàng'!C35,'04. BC - Nhóm hàng'!$AJ$7:$AU$7,0)),0)</f>
        <v>133.02500000000001</v>
      </c>
      <c r="I39" s="1017">
        <f>IFERROR(INDEX('04. BC - Nhóm hàng'!$U$8:$AF$15,MATCH('04.1. Chart Nhóm hàng'!G39,'04. BC - Nhóm hàng'!$C$8:$C$15,0),MATCH('04.1. Chart Nhóm hàng'!C35,'04. BC - Nhóm hàng'!$U$7:$AF$7,0)),0)</f>
        <v>803.5</v>
      </c>
      <c r="J39" s="600">
        <f>_xlfn.XLOOKUP(F39,D37:D44,C37:C44,0)</f>
        <v>254.375</v>
      </c>
      <c r="K39" s="540">
        <f t="shared" ref="K39:K45" si="3">IFERROR(J39/I39,1)</f>
        <v>0.31658369632856254</v>
      </c>
      <c r="L39" s="1014">
        <f>J39/J45</f>
        <v>9.6015022694459898E-2</v>
      </c>
      <c r="N39" s="1017">
        <f>'04. BC - Nhóm hàng'!P10</f>
        <v>1201.4749999999999</v>
      </c>
      <c r="O39" s="1014">
        <f>N39/N45</f>
        <v>3.1578821733873622E-2</v>
      </c>
      <c r="P39" s="343">
        <f>N39-'04. BC - Nhóm hàng'!P10</f>
        <v>0</v>
      </c>
    </row>
    <row r="40" spans="1:16" outlineLevel="1" x14ac:dyDescent="0.35">
      <c r="B40" s="457" t="s">
        <v>23</v>
      </c>
      <c r="C40" s="1017">
        <f>INDEX('04. BC - Nhóm hàng'!$D$8:$O$15,MATCH('04.1. Chart Nhóm hàng'!B40,'04. BC - Nhóm hàng'!$C$8:$C$15,0),MATCH('04.1. Chart Nhóm hàng'!C35,'04. BC - Nhóm hàng'!$D$7:$O$7,0))</f>
        <v>51.55</v>
      </c>
      <c r="D40" s="599">
        <f t="shared" si="2"/>
        <v>5</v>
      </c>
      <c r="F40" s="598">
        <v>4</v>
      </c>
      <c r="G40" s="599" t="str">
        <f>_xlfn.XLOOKUP(F40,D37:D44,B37:B44,0)</f>
        <v>Xơ sợi</v>
      </c>
      <c r="H40" s="1017">
        <f>IFERROR(INDEX('04. BC - Nhóm hàng'!$AJ$8:$AU$15,MATCH('04.1. Chart Nhóm hàng'!G40,'04. BC - Nhóm hàng'!$C$8:$C$15,0),MATCH('04.1. Chart Nhóm hàng'!C35,'04. BC - Nhóm hàng'!$AJ$7:$AU$7,0)),0)</f>
        <v>220</v>
      </c>
      <c r="I40" s="1017">
        <f>IFERROR(INDEX('04. BC - Nhóm hàng'!$U$8:$AF$15,MATCH('04.1. Chart Nhóm hàng'!G40,'04. BC - Nhóm hàng'!$C$8:$C$15,0),MATCH('04.1. Chart Nhóm hàng'!C35,'04. BC - Nhóm hàng'!$U$7:$AF$7,0)),0)</f>
        <v>320</v>
      </c>
      <c r="J40" s="600">
        <f>_xlfn.XLOOKUP(F40,D37:D44,C37:C44,0)</f>
        <v>202.65</v>
      </c>
      <c r="K40" s="540">
        <f t="shared" si="3"/>
        <v>0.63328125000000002</v>
      </c>
      <c r="L40" s="1014">
        <f>J40/J45</f>
        <v>7.6491181716097492E-2</v>
      </c>
      <c r="N40" s="1017">
        <f>'04. BC - Nhóm hàng'!P11</f>
        <v>223.47500000000002</v>
      </c>
      <c r="O40" s="1014">
        <f>N40/N45</f>
        <v>5.873677926696276E-3</v>
      </c>
      <c r="P40" s="343">
        <f>N40-'04. BC - Nhóm hàng'!P11</f>
        <v>0</v>
      </c>
    </row>
    <row r="41" spans="1:16" outlineLevel="1" x14ac:dyDescent="0.35">
      <c r="B41" s="457" t="s">
        <v>95</v>
      </c>
      <c r="C41" s="1017">
        <f>INDEX('04. BC - Nhóm hàng'!$D$8:$O$15,MATCH('04.1. Chart Nhóm hàng'!B41,'04. BC - Nhóm hàng'!$C$8:$C$15,0),MATCH('04.1. Chart Nhóm hàng'!C35,'04. BC - Nhóm hàng'!$D$7:$O$7,0))</f>
        <v>202.65</v>
      </c>
      <c r="D41" s="599">
        <f t="shared" si="2"/>
        <v>4</v>
      </c>
      <c r="F41" s="598">
        <v>5</v>
      </c>
      <c r="G41" s="599" t="str">
        <f>_xlfn.XLOOKUP(F41,D37:D44,B37:B44,0)</f>
        <v>rPP</v>
      </c>
      <c r="H41" s="1017">
        <f>IFERROR(INDEX('04. BC - Nhóm hàng'!$AJ$8:$AU$15,MATCH('04.1. Chart Nhóm hàng'!G41,'04. BC - Nhóm hàng'!$C$8:$C$15,0),MATCH('04.1. Chart Nhóm hàng'!C35,'04. BC - Nhóm hàng'!$AJ$7:$AU$7,0)),0)</f>
        <v>2.5000000000000001E-2</v>
      </c>
      <c r="I41" s="1017">
        <f>IFERROR(INDEX('04. BC - Nhóm hàng'!$U$8:$AF$15,MATCH('04.1. Chart Nhóm hàng'!G41,'04. BC - Nhóm hàng'!$C$8:$C$15,0),MATCH('04.1. Chart Nhóm hàng'!C35,'04. BC - Nhóm hàng'!$U$7:$AF$7,0)),0)</f>
        <v>101.44</v>
      </c>
      <c r="J41" s="600">
        <f>_xlfn.XLOOKUP(F41,D37:D44,C37:C44,0)</f>
        <v>51.55</v>
      </c>
      <c r="K41" s="540">
        <f t="shared" si="3"/>
        <v>0.5081821766561514</v>
      </c>
      <c r="L41" s="1014">
        <f>J41/J45</f>
        <v>1.9457786417294967E-2</v>
      </c>
      <c r="N41" s="1017">
        <f>'04. BC - Nhóm hàng'!P12</f>
        <v>1300.2</v>
      </c>
      <c r="O41" s="1014">
        <f>N41/N45</f>
        <v>3.4173648239357861E-2</v>
      </c>
      <c r="P41" s="343">
        <f>N41-'04. BC - Nhóm hàng'!P12</f>
        <v>0</v>
      </c>
    </row>
    <row r="42" spans="1:16" outlineLevel="1" x14ac:dyDescent="0.35">
      <c r="B42" s="323" t="s">
        <v>413</v>
      </c>
      <c r="C42" s="331">
        <f>INDEX('04. BC - Nhóm hàng'!$D$8:$O$15,MATCH('04.1. Chart Nhóm hàng'!B42,'04. BC - Nhóm hàng'!$C$8:$C$15,0),MATCH('04.1. Chart Nhóm hàng'!C35,'04. BC - Nhóm hàng'!$D$7:$O$7,0))</f>
        <v>158.22800000000001</v>
      </c>
      <c r="D42" s="310"/>
      <c r="F42" s="322">
        <v>6</v>
      </c>
      <c r="G42" s="310">
        <f>_xlfn.XLOOKUP(F42,D37:D44,B37:B44,0)</f>
        <v>0</v>
      </c>
      <c r="H42" s="331">
        <f>IFERROR(INDEX('04. BC - Nhóm hàng'!$AJ$8:$AU$15,MATCH('04.1. Chart Nhóm hàng'!G42,'04. BC - Nhóm hàng'!$C$8:$C$15,0),MATCH('04.1. Chart Nhóm hàng'!C35,'04. BC - Nhóm hàng'!$AJ$7:$AU$7,0)),0)</f>
        <v>0</v>
      </c>
      <c r="I42" s="331">
        <f>IFERROR(INDEX('04. BC - Nhóm hàng'!$U$8:$AF$15,MATCH('04.1. Chart Nhóm hàng'!G42,'04. BC - Nhóm hàng'!$C$8:$C$15,0),MATCH('04.1. Chart Nhóm hàng'!C35,'04. BC - Nhóm hàng'!$U$7:$AF$7,0)),0)</f>
        <v>0</v>
      </c>
      <c r="J42" s="378">
        <f>_xlfn.XLOOKUP(F42,D37:D44,C37:C44,0)</f>
        <v>0</v>
      </c>
      <c r="K42" s="354">
        <f t="shared" si="3"/>
        <v>1</v>
      </c>
      <c r="L42" s="405">
        <f>J42/J45</f>
        <v>0</v>
      </c>
      <c r="N42" s="331">
        <f>'04. BC - Nhóm hàng'!P13</f>
        <v>1130.17</v>
      </c>
      <c r="O42" s="405">
        <f>N42/N45</f>
        <v>2.9704685456602885E-2</v>
      </c>
      <c r="P42" s="343">
        <f>N42-'04. BC - Nhóm hàng'!P13</f>
        <v>0</v>
      </c>
    </row>
    <row r="43" spans="1:16" outlineLevel="1" x14ac:dyDescent="0.35">
      <c r="B43" s="333" t="s">
        <v>420</v>
      </c>
      <c r="C43" s="331">
        <f>INDEX('04. BC - Nhóm hàng'!$D$8:$O$15,MATCH('04.1. Chart Nhóm hàng'!B43,'04. BC - Nhóm hàng'!$C$8:$C$15,0),MATCH('04.1. Chart Nhóm hàng'!C35,'04. BC - Nhóm hàng'!$D$7:$O$7,0))</f>
        <v>220</v>
      </c>
      <c r="D43" s="310"/>
      <c r="F43" s="322">
        <v>7</v>
      </c>
      <c r="G43" s="310">
        <f>_xlfn.XLOOKUP(F43,D37:D44,B37:B44,0)</f>
        <v>0</v>
      </c>
      <c r="H43" s="331">
        <f>IFERROR(INDEX('04. BC - Nhóm hàng'!$AJ$8:$AU$15,MATCH('04.1. Chart Nhóm hàng'!G43,'04. BC - Nhóm hàng'!$C$8:$C$15,0),MATCH('04.1. Chart Nhóm hàng'!C35,'04. BC - Nhóm hàng'!$AJ$7:$AU$7,0)),0)</f>
        <v>0</v>
      </c>
      <c r="I43" s="331">
        <f>IFERROR(INDEX('04. BC - Nhóm hàng'!$U$8:$AF$15,MATCH('04.1. Chart Nhóm hàng'!G43,'04. BC - Nhóm hàng'!$C$8:$C$15,0),MATCH('04.1. Chart Nhóm hàng'!C35,'04. BC - Nhóm hàng'!$U$7:$AF$7,0)),0)</f>
        <v>0</v>
      </c>
      <c r="J43" s="378">
        <f>_xlfn.XLOOKUP(F43,D37:D44,C37:C44,0)</f>
        <v>0</v>
      </c>
      <c r="K43" s="354">
        <f t="shared" si="3"/>
        <v>1</v>
      </c>
      <c r="L43" s="405">
        <f>J43/J45</f>
        <v>0</v>
      </c>
      <c r="N43" s="331">
        <f>'04. BC - Nhóm hàng'!P14</f>
        <v>1146</v>
      </c>
      <c r="O43" s="405">
        <f>N43/N45</f>
        <v>3.0120751332336645E-2</v>
      </c>
      <c r="P43" s="343">
        <f>N43-'04. BC - Nhóm hàng'!P14</f>
        <v>0</v>
      </c>
    </row>
    <row r="44" spans="1:16" outlineLevel="1" x14ac:dyDescent="0.35">
      <c r="B44" s="324" t="s">
        <v>404</v>
      </c>
      <c r="C44" s="487">
        <f>INDEX('04. BC - Nhóm hàng'!$D$8:$O$15,MATCH('04.1. Chart Nhóm hàng'!B44,'04. BC - Nhóm hàng'!$C$8:$C$15,0),MATCH('04.1. Chart Nhóm hàng'!C35,'04. BC - Nhóm hàng'!$D$7:$O$7,0))</f>
        <v>46.52</v>
      </c>
      <c r="D44" s="311"/>
      <c r="F44" s="352">
        <v>8</v>
      </c>
      <c r="G44" s="311">
        <f>_xlfn.XLOOKUP(F44,D37:D44,B37:B44,0)</f>
        <v>0</v>
      </c>
      <c r="H44" s="487">
        <f>IFERROR(INDEX('04. BC - Nhóm hàng'!$AJ$8:$AU$15,MATCH('04.1. Chart Nhóm hàng'!G44,'04. BC - Nhóm hàng'!$C$8:$C$15,0),MATCH('04.1. Chart Nhóm hàng'!C35,'04. BC - Nhóm hàng'!$AJ$7:$AU$7,0)),0)</f>
        <v>0</v>
      </c>
      <c r="I44" s="487">
        <f>IFERROR(INDEX('04. BC - Nhóm hàng'!$U$8:$AF$15,MATCH('04.1. Chart Nhóm hàng'!G44,'04. BC - Nhóm hàng'!$C$8:$C$15,0),MATCH('04.1. Chart Nhóm hàng'!C35,'04. BC - Nhóm hàng'!$U$7:$AF$7,0)),0)</f>
        <v>0</v>
      </c>
      <c r="J44" s="378">
        <f>_xlfn.XLOOKUP(F44,D37:D44,C37:C44,0)</f>
        <v>0</v>
      </c>
      <c r="K44" s="355">
        <f t="shared" si="3"/>
        <v>1</v>
      </c>
      <c r="L44" s="560">
        <f>J44/J45</f>
        <v>0</v>
      </c>
      <c r="N44" s="487">
        <f>'04. BC - Nhóm hàng'!P15</f>
        <v>200.57</v>
      </c>
      <c r="O44" s="560">
        <f>N44/N45</f>
        <v>5.2716571507214318E-3</v>
      </c>
      <c r="P44" s="343">
        <f>N44-'04. BC - Nhóm hàng'!P15</f>
        <v>0</v>
      </c>
    </row>
    <row r="45" spans="1:16" outlineLevel="1" x14ac:dyDescent="0.35">
      <c r="B45" s="339" t="s">
        <v>259</v>
      </c>
      <c r="C45" s="340">
        <f>SUM(C37:C44)</f>
        <v>3074.0730000000003</v>
      </c>
      <c r="D45" s="341"/>
      <c r="F45" s="338">
        <v>8</v>
      </c>
      <c r="G45" s="339" t="s">
        <v>259</v>
      </c>
      <c r="H45" s="347">
        <f t="shared" ref="H45:I45" si="4">SUM(H37:H41)</f>
        <v>4683.5999999999995</v>
      </c>
      <c r="I45" s="347">
        <f t="shared" si="4"/>
        <v>6450.73</v>
      </c>
      <c r="J45" s="347">
        <f>SUM(J37:J41)</f>
        <v>2649.3250000000003</v>
      </c>
      <c r="K45" s="348">
        <f t="shared" si="3"/>
        <v>0.41070157951115616</v>
      </c>
      <c r="L45" s="348"/>
      <c r="N45" s="347">
        <f>SUM(N37:N41)</f>
        <v>38046.859699999986</v>
      </c>
      <c r="O45" s="348">
        <f>SUM(O37:O41)</f>
        <v>1.0000000000000002</v>
      </c>
    </row>
    <row r="47" spans="1:16" ht="15.5" x14ac:dyDescent="0.35">
      <c r="B47" s="734" t="str">
        <f>"SẢN LƯỢNG BÁN THEO NHÓM HÀNG
 T"&amp;C35&amp;".25"</f>
        <v>SẢN LƯỢNG BÁN THEO NHÓM HÀNG
 T9.25</v>
      </c>
      <c r="I47" s="734"/>
      <c r="J47" s="734" t="str">
        <f>"CƠ CẤU SẢN LƯỢNG BÁN T"&amp;C35&amp;".25"</f>
        <v>CƠ CẤU SẢN LƯỢNG BÁN T9.25</v>
      </c>
    </row>
    <row r="48" spans="1:16" ht="18.5" x14ac:dyDescent="0.35">
      <c r="J48" s="733"/>
    </row>
    <row r="66" spans="1:4" ht="17.5" x14ac:dyDescent="0.35">
      <c r="A66" s="556" t="s">
        <v>289</v>
      </c>
      <c r="B66" s="551" t="s">
        <v>802</v>
      </c>
    </row>
    <row r="68" spans="1:4" ht="29" x14ac:dyDescent="0.35">
      <c r="B68" s="901" t="s">
        <v>411</v>
      </c>
      <c r="C68" s="902" t="s">
        <v>803</v>
      </c>
      <c r="D68" s="901" t="s">
        <v>419</v>
      </c>
    </row>
    <row r="69" spans="1:4" x14ac:dyDescent="0.35">
      <c r="B69" s="865" t="s">
        <v>283</v>
      </c>
      <c r="C69" s="897">
        <f>'04. BC - Nhóm hàng'!P20/10^6</f>
        <v>40.975758442923215</v>
      </c>
      <c r="D69" s="866">
        <f>C69/C77</f>
        <v>0.89811072701733963</v>
      </c>
    </row>
    <row r="70" spans="1:4" x14ac:dyDescent="0.35">
      <c r="B70" s="801" t="s">
        <v>265</v>
      </c>
      <c r="C70" s="898">
        <f>'04. BC - Nhóm hàng'!P21/10^6</f>
        <v>2.7835474575940164</v>
      </c>
      <c r="D70" s="869">
        <f>C70/C77</f>
        <v>6.1010068533796341E-2</v>
      </c>
    </row>
    <row r="71" spans="1:4" x14ac:dyDescent="0.35">
      <c r="B71" s="801" t="s">
        <v>266</v>
      </c>
      <c r="C71" s="898">
        <f>'04. BC - Nhóm hàng'!P22/10^6</f>
        <v>0.79723207453029277</v>
      </c>
      <c r="D71" s="869">
        <f>C71/C77</f>
        <v>1.7473811474540298E-2</v>
      </c>
    </row>
    <row r="72" spans="1:4" x14ac:dyDescent="0.35">
      <c r="B72" s="801" t="s">
        <v>23</v>
      </c>
      <c r="C72" s="898">
        <f>'04. BC - Nhóm hàng'!P23/10^6</f>
        <v>0.19345091692712374</v>
      </c>
      <c r="D72" s="869">
        <f>C72/C77</f>
        <v>4.240076334050046E-3</v>
      </c>
    </row>
    <row r="73" spans="1:4" x14ac:dyDescent="0.35">
      <c r="B73" s="801" t="s">
        <v>95</v>
      </c>
      <c r="C73" s="898">
        <f>'04. BC - Nhóm hàng'!P24/10^6</f>
        <v>0.87440597412976651</v>
      </c>
      <c r="D73" s="869">
        <f>C73/C77</f>
        <v>1.9165316640273645E-2</v>
      </c>
    </row>
    <row r="74" spans="1:4" x14ac:dyDescent="0.35">
      <c r="B74" s="323" t="s">
        <v>413</v>
      </c>
      <c r="C74" s="899">
        <f>'04. BC - Nhóm hàng'!P25/10^6</f>
        <v>0.28661985502379911</v>
      </c>
      <c r="D74" s="405">
        <f>C74/C77</f>
        <v>6.2821623358502157E-3</v>
      </c>
    </row>
    <row r="75" spans="1:4" x14ac:dyDescent="0.35">
      <c r="B75" s="333" t="s">
        <v>420</v>
      </c>
      <c r="C75" s="899">
        <f>'04. BC - Nhóm hàng'!P26/10^6</f>
        <v>0.7726687975135581</v>
      </c>
      <c r="D75" s="405">
        <f>C75/C77</f>
        <v>1.6935431139002227E-2</v>
      </c>
    </row>
    <row r="76" spans="1:4" x14ac:dyDescent="0.35">
      <c r="B76" s="324" t="s">
        <v>404</v>
      </c>
      <c r="C76" s="900">
        <f>'04. BC - Nhóm hàng'!P27/10^6</f>
        <v>0.16605599865712778</v>
      </c>
      <c r="D76" s="560">
        <f>C76/C77</f>
        <v>3.6396318054071381E-3</v>
      </c>
    </row>
    <row r="77" spans="1:4" x14ac:dyDescent="0.35">
      <c r="B77" s="339" t="s">
        <v>259</v>
      </c>
      <c r="C77" s="347">
        <f>SUM(C69:C73)</f>
        <v>45.624394866104417</v>
      </c>
      <c r="D77" s="348">
        <f>SUM(D69:D73)</f>
        <v>0.99999999999999989</v>
      </c>
    </row>
    <row r="78" spans="1:4" x14ac:dyDescent="0.35">
      <c r="C78" s="343">
        <f>SUM(C69:C76)</f>
        <v>46.849739517298907</v>
      </c>
    </row>
  </sheetData>
  <conditionalFormatting sqref="C18:C25">
    <cfRule type="cellIs" dxfId="65" priority="2" operator="lessThan">
      <formula>0</formula>
    </cfRule>
  </conditionalFormatting>
  <conditionalFormatting sqref="C6:P13">
    <cfRule type="cellIs" dxfId="64" priority="3" operator="lessThan">
      <formula>0</formula>
    </cfRule>
  </conditionalFormatting>
  <hyperlinks>
    <hyperlink ref="A1" location="'00. DM'!A1" display="00. DM" xr:uid="{DCCF1A12-FC3A-47A7-A0C1-51CC55AD8233}"/>
  </hyperlinks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4A924-9D56-484A-8F40-1427AEB3DB3E}">
  <sheetPr>
    <tabColor rgb="FF00B0F0"/>
  </sheetPr>
  <dimension ref="A1:T20"/>
  <sheetViews>
    <sheetView showGridLines="0" topLeftCell="L1" zoomScale="70" zoomScaleNormal="70" workbookViewId="0">
      <selection activeCell="Y26" sqref="Y26"/>
    </sheetView>
  </sheetViews>
  <sheetFormatPr defaultRowHeight="14.5" outlineLevelRow="1" x14ac:dyDescent="0.35"/>
  <cols>
    <col min="1" max="1" width="3.81640625" bestFit="1" customWidth="1"/>
    <col min="2" max="2" width="14" bestFit="1" customWidth="1"/>
    <col min="3" max="3" width="11.81640625" bestFit="1" customWidth="1"/>
    <col min="4" max="5" width="13.81640625" customWidth="1"/>
    <col min="6" max="6" width="15.08984375" customWidth="1"/>
    <col min="7" max="7" width="14.81640625" customWidth="1"/>
    <col min="8" max="8" width="12.453125" customWidth="1"/>
    <col min="9" max="10" width="3.453125" customWidth="1"/>
    <col min="11" max="11" width="7.1796875" customWidth="1"/>
    <col min="12" max="15" width="13.453125" customWidth="1"/>
    <col min="16" max="16" width="16.1796875" customWidth="1"/>
    <col min="17" max="17" width="12.90625" customWidth="1"/>
    <col min="18" max="18" width="4.1796875" customWidth="1"/>
    <col min="19" max="19" width="3.90625" customWidth="1"/>
    <col min="21" max="21" width="17.81640625" customWidth="1"/>
  </cols>
  <sheetData>
    <row r="1" spans="1:20" x14ac:dyDescent="0.35">
      <c r="B1" s="528" t="s">
        <v>587</v>
      </c>
    </row>
    <row r="2" spans="1:20" ht="21" x14ac:dyDescent="0.5">
      <c r="B2" s="297" t="s">
        <v>765</v>
      </c>
    </row>
    <row r="3" spans="1:20" ht="21" x14ac:dyDescent="0.5">
      <c r="B3" s="785" t="s">
        <v>437</v>
      </c>
      <c r="C3" s="644">
        <f>'04.1. Chart Nhóm hàng'!$D$16</f>
        <v>9</v>
      </c>
      <c r="K3" s="643" t="str">
        <f>"LŨY KẾ ĐẾN T"&amp;C3&amp;"/25"</f>
        <v>LŨY KẾ ĐẾN T9/25</v>
      </c>
    </row>
    <row r="4" spans="1:20" x14ac:dyDescent="0.35">
      <c r="N4" s="1023">
        <f>SUM(N6:N10)</f>
        <v>38046</v>
      </c>
    </row>
    <row r="5" spans="1:20" s="430" customFormat="1" ht="43.5" outlineLevel="1" x14ac:dyDescent="0.35">
      <c r="A5" s="774" t="s">
        <v>174</v>
      </c>
      <c r="B5" s="774"/>
      <c r="C5" s="804" t="s">
        <v>411</v>
      </c>
      <c r="D5" s="774" t="s">
        <v>758</v>
      </c>
      <c r="E5" s="774" t="s">
        <v>757</v>
      </c>
      <c r="F5" s="773" t="s">
        <v>764</v>
      </c>
      <c r="G5" s="774" t="s">
        <v>756</v>
      </c>
      <c r="H5" s="774" t="s">
        <v>684</v>
      </c>
      <c r="K5" s="774" t="s">
        <v>174</v>
      </c>
      <c r="L5" s="774"/>
      <c r="M5" s="804" t="s">
        <v>411</v>
      </c>
      <c r="N5" s="774" t="s">
        <v>758</v>
      </c>
      <c r="O5" s="774" t="s">
        <v>757</v>
      </c>
      <c r="P5" s="773" t="s">
        <v>764</v>
      </c>
      <c r="Q5" s="774" t="s">
        <v>756</v>
      </c>
      <c r="R5" s="774" t="s">
        <v>684</v>
      </c>
      <c r="T5" s="856" t="s">
        <v>784</v>
      </c>
    </row>
    <row r="6" spans="1:20" outlineLevel="1" x14ac:dyDescent="0.35">
      <c r="A6" s="542">
        <v>1</v>
      </c>
      <c r="B6" s="807" t="str">
        <f>IF(E6&lt;&gt;0,I6&amp;". "&amp;C6,"-")</f>
        <v>1. rPET</v>
      </c>
      <c r="C6" s="786" t="s">
        <v>283</v>
      </c>
      <c r="D6" s="787">
        <f>ROUND(INDEX('04. BC - Nhóm hàng'!$D$8:$O$15,MATCH('04.2 Bubble_Nhóm hàng'!C6,'04. BC - Nhóm hàng'!$C$8:$C$15,0),MATCH('04.2 Bubble_Nhóm hàng'!$C$3,'04. BC - Nhóm hàng'!$D$7:$O$7,0)),0)</f>
        <v>1787</v>
      </c>
      <c r="E6" s="663">
        <f>INDEX('04. BC - Nhóm hàng'!$D$20:$O$27,MATCH('04.2 Bubble_Nhóm hàng'!C6,'04. BC - Nhóm hàng'!$C$20:$C$27,0),MATCH('04.2 Bubble_Nhóm hàng'!$C$3,'04. BC - Nhóm hàng'!$D$19:$O$19,0))/10^3</f>
        <v>2173.9521909418554</v>
      </c>
      <c r="F6" s="788">
        <f>INDEX('04. BC - Nhóm hàng'!$D$32:$O$39,MATCH('04.2 Bubble_Nhóm hàng'!C6,'04. BC - Nhóm hàng'!$C$32:$C$39,0),MATCH('04.2 Bubble_Nhóm hàng'!$C$3,'04. BC - Nhóm hàng'!$D$31:$O$31,0))/10^3</f>
        <v>292.20952831328344</v>
      </c>
      <c r="G6" s="789">
        <f>IFERROR(F6/E6,0)</f>
        <v>0.13441396251988638</v>
      </c>
      <c r="H6" s="803">
        <f>IF(F6&lt;&gt;0,RANK(G6,$G$6:$G$11),"-")</f>
        <v>2</v>
      </c>
      <c r="I6" s="1020">
        <v>1</v>
      </c>
      <c r="J6" s="253"/>
      <c r="K6" s="542">
        <v>1</v>
      </c>
      <c r="L6" s="786" t="str">
        <f>IF(O6&lt;&gt;0,S6&amp;". "&amp;M6,"-")</f>
        <v>1. rPET</v>
      </c>
      <c r="M6" s="786" t="str">
        <f>C6</f>
        <v>rPET</v>
      </c>
      <c r="N6" s="787">
        <f>ROUND(_xlfn.XLOOKUP(M6,'04. BC - Nhóm hàng'!$C$8:$C$15,'04. BC - Nhóm hàng'!$P$8:$P$15,0),0)</f>
        <v>33150</v>
      </c>
      <c r="O6" s="663">
        <f>ROUND(_xlfn.XLOOKUP(M6,'04. BC - Nhóm hàng'!$C$20:$C$27,'04. BC - Nhóm hàng'!$P$20:$P$27,0)/10^3,0)</f>
        <v>40976</v>
      </c>
      <c r="P6" s="810">
        <f>ROUND(_xlfn.XLOOKUP(M6,'04. BC - Nhóm hàng'!$C$32:$C$39,'04. BC - Nhóm hàng'!$P$32:$P$39,0)/10^3,0)</f>
        <v>6743</v>
      </c>
      <c r="Q6" s="811">
        <f>P6/O6</f>
        <v>0.16455974228816869</v>
      </c>
      <c r="R6" s="803">
        <f>RANK(Q6,$Q$6:$Q$11)</f>
        <v>1</v>
      </c>
      <c r="S6" s="1020">
        <f>R6</f>
        <v>1</v>
      </c>
      <c r="T6" s="903">
        <f>N6/$N$4</f>
        <v>0.87131367292225204</v>
      </c>
    </row>
    <row r="7" spans="1:20" outlineLevel="1" x14ac:dyDescent="0.35">
      <c r="A7" s="747">
        <v>2</v>
      </c>
      <c r="B7" s="808" t="str">
        <f t="shared" ref="B7:B14" si="0">IF(E7&lt;&gt;0,I7&amp;". "&amp;C7,"-")</f>
        <v>2. rHDPE thổi</v>
      </c>
      <c r="C7" s="790" t="s">
        <v>265</v>
      </c>
      <c r="D7" s="800">
        <f>ROUND(INDEX('04. BC - Nhóm hàng'!$D$8:$O$15,MATCH('04.2 Bubble_Nhóm hàng'!C7,'04. BC - Nhóm hàng'!$C$8:$C$15,0),MATCH('04.2 Bubble_Nhóm hàng'!$C$3,'04. BC - Nhóm hàng'!$D$7:$O$7,0)),0)</f>
        <v>254</v>
      </c>
      <c r="E7" s="667">
        <f>INDEX('04. BC - Nhóm hàng'!$D$20:$O$27,MATCH('04.2 Bubble_Nhóm hàng'!C7,'04. BC - Nhóm hàng'!$C$20:$C$27,0),MATCH('04.2 Bubble_Nhóm hàng'!$C$3,'04. BC - Nhóm hàng'!$D$19:$O$19,0))/10^3</f>
        <v>303.65840426254772</v>
      </c>
      <c r="F7" s="788">
        <f>INDEX('04. BC - Nhóm hàng'!$D$32:$O$39,MATCH('04.2 Bubble_Nhóm hàng'!C7,'04. BC - Nhóm hàng'!$C$32:$C$39,0),MATCH('04.2 Bubble_Nhóm hàng'!$C$3,'04. BC - Nhóm hàng'!$D$31:$O$31,0))/10^3</f>
        <v>43.419450738738206</v>
      </c>
      <c r="G7" s="791">
        <f t="shared" ref="G7:G13" si="1">IFERROR(F7/E7,0)</f>
        <v>0.14298781172938352</v>
      </c>
      <c r="H7" s="803">
        <f>IF(F7&lt;&gt;0,RANK(G7,$G$6:$G$11),"-")</f>
        <v>1</v>
      </c>
      <c r="I7" s="1021">
        <v>2</v>
      </c>
      <c r="K7" s="747">
        <v>2</v>
      </c>
      <c r="L7" s="790" t="str">
        <f t="shared" ref="L7:L11" si="2">IF(O7&lt;&gt;0,S7&amp;". "&amp;M7,"-")</f>
        <v>2. rHDPE thổi</v>
      </c>
      <c r="M7" s="790" t="str">
        <f t="shared" ref="M7:M13" si="3">C7</f>
        <v>rHDPE thổi</v>
      </c>
      <c r="N7" s="800">
        <f>ROUND(_xlfn.XLOOKUP(M7,'04. BC - Nhóm hàng'!$C$8:$C$15,'04. BC - Nhóm hàng'!$P$8:$P$15,0),0)</f>
        <v>2172</v>
      </c>
      <c r="O7" s="667">
        <f>ROUND(_xlfn.XLOOKUP(M7,'04. BC - Nhóm hàng'!$C$20:$C$27,'04. BC - Nhóm hàng'!$P$20:$P$27,0)/10^3,0)</f>
        <v>2784</v>
      </c>
      <c r="P7" s="810">
        <f>ROUND(_xlfn.XLOOKUP(M7,'04. BC - Nhóm hàng'!$C$32:$C$39,'04. BC - Nhóm hàng'!$P$32:$P$39,0)/10^3,0)</f>
        <v>401</v>
      </c>
      <c r="Q7" s="813">
        <f t="shared" ref="Q7:Q13" si="4">P7/O7</f>
        <v>0.14403735632183909</v>
      </c>
      <c r="R7" s="803">
        <f t="shared" ref="R7:R10" si="5">RANK(Q7,$Q$6:$Q$11)</f>
        <v>2</v>
      </c>
      <c r="S7" s="1020">
        <f t="shared" ref="S7" si="6">R7</f>
        <v>2</v>
      </c>
      <c r="T7" s="903">
        <f t="shared" ref="T7:T10" si="7">N7/$N$4</f>
        <v>5.708878725753036E-2</v>
      </c>
    </row>
    <row r="8" spans="1:20" outlineLevel="1" x14ac:dyDescent="0.35">
      <c r="A8" s="747">
        <v>3</v>
      </c>
      <c r="B8" s="808" t="str">
        <f t="shared" si="0"/>
        <v>5. rHDPE ép</v>
      </c>
      <c r="C8" s="790" t="s">
        <v>266</v>
      </c>
      <c r="D8" s="800">
        <f>ROUND(INDEX('04. BC - Nhóm hàng'!$D$8:$O$15,MATCH('04.2 Bubble_Nhóm hàng'!C8,'04. BC - Nhóm hàng'!$C$8:$C$15,0),MATCH('04.2 Bubble_Nhóm hàng'!$C$3,'04. BC - Nhóm hàng'!$D$7:$O$7,0)),0)</f>
        <v>354</v>
      </c>
      <c r="E8" s="667">
        <f>INDEX('04. BC - Nhóm hàng'!$D$20:$O$27,MATCH('04.2 Bubble_Nhóm hàng'!C8,'04. BC - Nhóm hàng'!$C$20:$C$27,0),MATCH('04.2 Bubble_Nhóm hàng'!$C$3,'04. BC - Nhóm hàng'!$D$19:$O$19,0))/10^3</f>
        <v>212.79403165714285</v>
      </c>
      <c r="F8" s="788">
        <f>INDEX('04. BC - Nhóm hàng'!$D$32:$O$39,MATCH('04.2 Bubble_Nhóm hàng'!C8,'04. BC - Nhóm hàng'!$C$32:$C$39,0),MATCH('04.2 Bubble_Nhóm hàng'!$C$3,'04. BC - Nhóm hàng'!$D$31:$O$31,0))/10^3</f>
        <v>-139.19432925714284</v>
      </c>
      <c r="G8" s="791">
        <f t="shared" si="1"/>
        <v>-0.65412703623856783</v>
      </c>
      <c r="H8" s="803">
        <f t="shared" ref="H8:H10" si="8">IF(F8&lt;&gt;0,RANK(G8,$G$6:$G$11),"-")</f>
        <v>6</v>
      </c>
      <c r="I8" s="1021">
        <v>5</v>
      </c>
      <c r="K8" s="747">
        <v>3</v>
      </c>
      <c r="L8" s="790" t="str">
        <f t="shared" si="2"/>
        <v>5. rHDPE ép</v>
      </c>
      <c r="M8" s="790" t="str">
        <f t="shared" si="3"/>
        <v>rHDPE ép</v>
      </c>
      <c r="N8" s="800">
        <f>ROUND(_xlfn.XLOOKUP(M8,'04. BC - Nhóm hàng'!$C$8:$C$15,'04. BC - Nhóm hàng'!$P$8:$P$15,0),0)</f>
        <v>1201</v>
      </c>
      <c r="O8" s="667">
        <f>ROUND(_xlfn.XLOOKUP(M8,'04. BC - Nhóm hàng'!$C$20:$C$27,'04. BC - Nhóm hàng'!$P$20:$P$27,0)/10^3,0)</f>
        <v>797</v>
      </c>
      <c r="P8" s="810">
        <f>ROUND(_xlfn.XLOOKUP(M8,'04. BC - Nhóm hàng'!$C$32:$C$39,'04. BC - Nhóm hàng'!$P$32:$P$39,0)/10^3,0)</f>
        <v>-407</v>
      </c>
      <c r="Q8" s="813">
        <f t="shared" si="4"/>
        <v>-0.51066499372647423</v>
      </c>
      <c r="R8" s="803">
        <f t="shared" si="5"/>
        <v>6</v>
      </c>
      <c r="S8" s="1020">
        <v>5</v>
      </c>
      <c r="T8" s="903">
        <f t="shared" si="7"/>
        <v>3.1567050412658358E-2</v>
      </c>
    </row>
    <row r="9" spans="1:20" outlineLevel="1" x14ac:dyDescent="0.35">
      <c r="A9" s="747">
        <v>4</v>
      </c>
      <c r="B9" s="808" t="str">
        <f t="shared" si="0"/>
        <v>3. rPP</v>
      </c>
      <c r="C9" s="790" t="s">
        <v>23</v>
      </c>
      <c r="D9" s="800">
        <f>ROUND(INDEX('04. BC - Nhóm hàng'!$D$8:$O$15,MATCH('04.2 Bubble_Nhóm hàng'!C9,'04. BC - Nhóm hàng'!$C$8:$C$15,0),MATCH('04.2 Bubble_Nhóm hàng'!$C$3,'04. BC - Nhóm hàng'!$D$7:$O$7,0)),0)</f>
        <v>52</v>
      </c>
      <c r="E9" s="667">
        <f>INDEX('04. BC - Nhóm hàng'!$D$20:$O$27,MATCH('04.2 Bubble_Nhóm hàng'!C9,'04. BC - Nhóm hàng'!$C$20:$C$27,0),MATCH('04.2 Bubble_Nhóm hàng'!$C$3,'04. BC - Nhóm hàng'!$D$19:$O$19,0))/10^3</f>
        <v>44.986606285714281</v>
      </c>
      <c r="F9" s="788">
        <f>INDEX('04. BC - Nhóm hàng'!$D$32:$O$39,MATCH('04.2 Bubble_Nhóm hàng'!C9,'04. BC - Nhóm hàng'!$C$32:$C$39,0),MATCH('04.2 Bubble_Nhóm hàng'!$C$3,'04. BC - Nhóm hàng'!$D$31:$O$31,0))/10^3</f>
        <v>-10.017332876190476</v>
      </c>
      <c r="G9" s="791">
        <f t="shared" si="1"/>
        <v>-0.2226736734166927</v>
      </c>
      <c r="H9" s="803">
        <f t="shared" si="8"/>
        <v>3</v>
      </c>
      <c r="I9" s="1021">
        <v>3</v>
      </c>
      <c r="K9" s="747">
        <v>4</v>
      </c>
      <c r="L9" s="790" t="str">
        <f t="shared" si="2"/>
        <v>3. rPP</v>
      </c>
      <c r="M9" s="790" t="str">
        <f t="shared" si="3"/>
        <v>rPP</v>
      </c>
      <c r="N9" s="800">
        <f>ROUND(_xlfn.XLOOKUP(M9,'04. BC - Nhóm hàng'!$C$8:$C$15,'04. BC - Nhóm hàng'!$P$8:$P$15,0),0)</f>
        <v>223</v>
      </c>
      <c r="O9" s="667">
        <f>ROUND(_xlfn.XLOOKUP(M9,'04. BC - Nhóm hàng'!$C$20:$C$27,'04. BC - Nhóm hàng'!$P$20:$P$27,0)/10^3,0)</f>
        <v>193</v>
      </c>
      <c r="P9" s="810">
        <f>ROUND(_xlfn.XLOOKUP(M9,'04. BC - Nhóm hàng'!$C$32:$C$39,'04. BC - Nhóm hàng'!$P$32:$P$39,0)/10^3,0)</f>
        <v>-31</v>
      </c>
      <c r="Q9" s="813">
        <f t="shared" si="4"/>
        <v>-0.16062176165803108</v>
      </c>
      <c r="R9" s="803">
        <f t="shared" si="5"/>
        <v>3</v>
      </c>
      <c r="S9" s="1020">
        <v>3</v>
      </c>
      <c r="T9" s="903">
        <f t="shared" si="7"/>
        <v>5.8613257635493875E-3</v>
      </c>
    </row>
    <row r="10" spans="1:20" outlineLevel="1" x14ac:dyDescent="0.35">
      <c r="A10" s="747">
        <v>5</v>
      </c>
      <c r="B10" s="808" t="str">
        <f t="shared" si="0"/>
        <v>4. Xơ sợi</v>
      </c>
      <c r="C10" s="790" t="s">
        <v>95</v>
      </c>
      <c r="D10" s="800">
        <f>ROUND(INDEX('04. BC - Nhóm hàng'!$D$8:$O$15,MATCH('04.2 Bubble_Nhóm hàng'!C10,'04. BC - Nhóm hàng'!$C$8:$C$15,0),MATCH('04.2 Bubble_Nhóm hàng'!$C$3,'04. BC - Nhóm hàng'!$D$7:$O$7,0)),0)</f>
        <v>203</v>
      </c>
      <c r="E10" s="667">
        <f>INDEX('04. BC - Nhóm hàng'!$D$20:$O$27,MATCH('04.2 Bubble_Nhóm hàng'!C10,'04. BC - Nhóm hàng'!$C$20:$C$27,0),MATCH('04.2 Bubble_Nhóm hàng'!$C$3,'04. BC - Nhóm hàng'!$D$19:$O$19,0))/10^3</f>
        <v>137.416</v>
      </c>
      <c r="F10" s="806">
        <f>INDEX('04. BC - Nhóm hàng'!$D$32:$O$39,MATCH('04.2 Bubble_Nhóm hàng'!C10,'04. BC - Nhóm hàng'!$C$32:$C$39,0),MATCH('04.2 Bubble_Nhóm hàng'!$C$3,'04. BC - Nhóm hàng'!$D$31:$O$31,0))/10^3</f>
        <v>-70.389145714285718</v>
      </c>
      <c r="G10" s="791">
        <f t="shared" si="1"/>
        <v>-0.51223398814028731</v>
      </c>
      <c r="H10" s="803">
        <f t="shared" si="8"/>
        <v>5</v>
      </c>
      <c r="I10" s="1021">
        <v>4</v>
      </c>
      <c r="K10" s="747">
        <v>5</v>
      </c>
      <c r="L10" s="790" t="str">
        <f t="shared" si="2"/>
        <v>4. Xơ sợi</v>
      </c>
      <c r="M10" s="790" t="str">
        <f t="shared" si="3"/>
        <v>Xơ sợi</v>
      </c>
      <c r="N10" s="800">
        <f>ROUND(_xlfn.XLOOKUP(M10,'04. BC - Nhóm hàng'!$C$8:$C$15,'04. BC - Nhóm hàng'!$P$8:$P$15,0),0)</f>
        <v>1300</v>
      </c>
      <c r="O10" s="667">
        <f>ROUND(_xlfn.XLOOKUP(M10,'04. BC - Nhóm hàng'!$C$20:$C$27,'04. BC - Nhóm hàng'!$P$20:$P$27,0)/10^3,0)</f>
        <v>874</v>
      </c>
      <c r="P10" s="810">
        <f>ROUND(_xlfn.XLOOKUP(M10,'04. BC - Nhóm hàng'!$C$32:$C$39,'04. BC - Nhóm hàng'!$P$32:$P$39,0)/10^3,0)</f>
        <v>-437</v>
      </c>
      <c r="Q10" s="813">
        <f t="shared" si="4"/>
        <v>-0.5</v>
      </c>
      <c r="R10" s="803">
        <f t="shared" si="5"/>
        <v>5</v>
      </c>
      <c r="S10" s="1020">
        <v>4</v>
      </c>
      <c r="T10" s="903">
        <f t="shared" si="7"/>
        <v>3.4169163644009883E-2</v>
      </c>
    </row>
    <row r="11" spans="1:20" outlineLevel="1" x14ac:dyDescent="0.35">
      <c r="A11" s="792">
        <v>6</v>
      </c>
      <c r="B11" s="809" t="str">
        <f t="shared" si="0"/>
        <v>. Dây đai</v>
      </c>
      <c r="C11" s="801" t="s">
        <v>420</v>
      </c>
      <c r="D11" s="802">
        <f>ROUND(INDEX('04. BC - Nhóm hàng'!$D$8:$O$15,MATCH('04.2 Bubble_Nhóm hàng'!C11,'04. BC - Nhóm hàng'!$C$8:$C$15,0),MATCH('04.2 Bubble_Nhóm hàng'!$C$3,'04. BC - Nhóm hàng'!$D$7:$O$7,0)),0)</f>
        <v>220</v>
      </c>
      <c r="E11" s="378">
        <f>INDEX('04. BC - Nhóm hàng'!$D$20:$O$27,MATCH('04.2 Bubble_Nhóm hàng'!C11,'04. BC - Nhóm hàng'!$C$20:$C$27,0),MATCH('04.2 Bubble_Nhóm hàng'!$C$3,'04. BC - Nhóm hàng'!$D$19:$O$19,0))/10^3</f>
        <v>143.27047619047619</v>
      </c>
      <c r="F11" s="793">
        <f>INDEX('04. BC - Nhóm hàng'!$D$32:$O$39,MATCH('04.2 Bubble_Nhóm hàng'!C11,'04. BC - Nhóm hàng'!$C$32:$C$39,0),MATCH('04.2 Bubble_Nhóm hàng'!$C$3,'04. BC - Nhóm hàng'!$D$31:$O$31,0))/10^3</f>
        <v>-48.691939466666661</v>
      </c>
      <c r="G11" s="794">
        <f>IFERROR(F11/E11,0)</f>
        <v>-0.33986024728452341</v>
      </c>
      <c r="H11" s="803"/>
      <c r="I11" s="1021"/>
      <c r="K11" s="792">
        <v>6</v>
      </c>
      <c r="L11" s="801" t="str">
        <f t="shared" si="2"/>
        <v>. Dây đai</v>
      </c>
      <c r="M11" s="801" t="str">
        <f t="shared" si="3"/>
        <v>Dây đai</v>
      </c>
      <c r="N11" s="802">
        <f>ROUND(_xlfn.XLOOKUP(M11,'04. BC - Nhóm hàng'!$C$8:$C$15,'04. BC - Nhóm hàng'!$P$8:$P$15,0),0)</f>
        <v>1146</v>
      </c>
      <c r="O11" s="378">
        <f>ROUND(_xlfn.XLOOKUP(M11,'04. BC - Nhóm hàng'!$C$20:$C$27,'04. BC - Nhóm hàng'!$P$20:$P$27,0)/10^3,0)</f>
        <v>773</v>
      </c>
      <c r="P11" s="812">
        <f>ROUND(_xlfn.XLOOKUP(M11,'04. BC - Nhóm hàng'!$C$32:$C$39,'04. BC - Nhóm hàng'!$P$32:$P$39,0)/10^3,0)</f>
        <v>-163</v>
      </c>
      <c r="Q11" s="814">
        <f t="shared" si="4"/>
        <v>-0.21086675291073739</v>
      </c>
      <c r="R11" s="803"/>
      <c r="S11" s="1020"/>
      <c r="T11" s="259"/>
    </row>
    <row r="12" spans="1:20" outlineLevel="1" x14ac:dyDescent="0.35">
      <c r="A12" s="792">
        <v>7</v>
      </c>
      <c r="B12" s="809" t="str">
        <f t="shared" si="0"/>
        <v>. Phó sản</v>
      </c>
      <c r="C12" s="801" t="s">
        <v>413</v>
      </c>
      <c r="D12" s="802">
        <f>ROUND(INDEX('04. BC - Nhóm hàng'!$D$8:$O$15,MATCH('04.2 Bubble_Nhóm hàng'!C12,'04. BC - Nhóm hàng'!$C$8:$C$15,0),MATCH('04.2 Bubble_Nhóm hàng'!$C$3,'04. BC - Nhóm hàng'!$D$7:$O$7,0)),0)</f>
        <v>158</v>
      </c>
      <c r="E12" s="378">
        <f>INDEX('04. BC - Nhóm hàng'!$D$20:$O$27,MATCH('04.2 Bubble_Nhóm hàng'!C12,'04. BC - Nhóm hàng'!$C$20:$C$27,0),MATCH('04.2 Bubble_Nhóm hàng'!$C$3,'04. BC - Nhóm hàng'!$D$19:$O$19,0))/10^3</f>
        <v>47.296759695238102</v>
      </c>
      <c r="F12" s="793">
        <f>INDEX('04. BC - Nhóm hàng'!$D$32:$O$39,MATCH('04.2 Bubble_Nhóm hàng'!C12,'04. BC - Nhóm hàng'!$C$32:$C$39,0),MATCH('04.2 Bubble_Nhóm hàng'!$C$3,'04. BC - Nhóm hàng'!$D$31:$O$31,0))/10^3</f>
        <v>-15.86141782857143</v>
      </c>
      <c r="G12" s="794">
        <f t="shared" si="1"/>
        <v>-0.3353595030775095</v>
      </c>
      <c r="H12" s="803"/>
      <c r="I12" s="1021"/>
      <c r="K12" s="792">
        <v>7</v>
      </c>
      <c r="L12" s="801"/>
      <c r="M12" s="801" t="str">
        <f t="shared" si="3"/>
        <v>Phó sản</v>
      </c>
      <c r="N12" s="802">
        <f>ROUND(_xlfn.XLOOKUP(M12,'04. BC - Nhóm hàng'!$C$8:$C$15,'04. BC - Nhóm hàng'!$P$8:$P$15,0),0)</f>
        <v>1130</v>
      </c>
      <c r="O12" s="378">
        <f>ROUND(_xlfn.XLOOKUP(M12,'04. BC - Nhóm hàng'!$C$20:$C$27,'04. BC - Nhóm hàng'!$P$20:$P$27,0)/10^3,0)</f>
        <v>287</v>
      </c>
      <c r="P12" s="812">
        <f>ROUND(_xlfn.XLOOKUP(M12,'04. BC - Nhóm hàng'!$C$32:$C$39,'04. BC - Nhóm hàng'!$P$32:$P$39,0)/10^3,0)</f>
        <v>-221</v>
      </c>
      <c r="Q12" s="814">
        <f t="shared" si="4"/>
        <v>-0.77003484320557491</v>
      </c>
      <c r="S12" s="1021"/>
    </row>
    <row r="13" spans="1:20" outlineLevel="1" x14ac:dyDescent="0.35">
      <c r="A13" s="792">
        <v>8</v>
      </c>
      <c r="B13" s="809" t="str">
        <f t="shared" si="0"/>
        <v>. Khác</v>
      </c>
      <c r="C13" s="801" t="s">
        <v>404</v>
      </c>
      <c r="D13" s="802">
        <f>ROUND(INDEX('04. BC - Nhóm hàng'!$D$8:$O$15,MATCH('04.2 Bubble_Nhóm hàng'!C13,'04. BC - Nhóm hàng'!$C$8:$C$15,0),MATCH('04.2 Bubble_Nhóm hàng'!$C$3,'04. BC - Nhóm hàng'!$D$7:$O$7,0)),0)</f>
        <v>47</v>
      </c>
      <c r="E13" s="378">
        <f>INDEX('04. BC - Nhóm hàng'!$D$20:$O$27,MATCH('04.2 Bubble_Nhóm hàng'!C13,'04. BC - Nhóm hàng'!$C$20:$C$27,0),MATCH('04.2 Bubble_Nhóm hàng'!$C$3,'04. BC - Nhóm hàng'!$D$19:$O$19,0))/10^3</f>
        <v>34.846674285714286</v>
      </c>
      <c r="F13" s="793">
        <f>INDEX('04. BC - Nhóm hàng'!$D$32:$O$39,MATCH('04.2 Bubble_Nhóm hàng'!C13,'04. BC - Nhóm hàng'!$C$32:$C$39,0),MATCH('04.2 Bubble_Nhóm hàng'!$C$3,'04. BC - Nhóm hàng'!$D$31:$O$31,0))/10^3</f>
        <v>-1.3836685714285712</v>
      </c>
      <c r="G13" s="794">
        <f t="shared" si="1"/>
        <v>-3.9707335055380558E-2</v>
      </c>
      <c r="H13" s="803"/>
      <c r="I13" s="1021"/>
      <c r="K13" s="792">
        <v>8</v>
      </c>
      <c r="L13" s="801"/>
      <c r="M13" s="801" t="str">
        <f t="shared" si="3"/>
        <v>Khác</v>
      </c>
      <c r="N13" s="802">
        <f>ROUND(_xlfn.XLOOKUP(M13,'04. BC - Nhóm hàng'!$C$8:$C$15,'04. BC - Nhóm hàng'!$P$8:$P$15,0),0)</f>
        <v>201</v>
      </c>
      <c r="O13" s="378">
        <f>ROUND(_xlfn.XLOOKUP(M13,'04. BC - Nhóm hàng'!$C$20:$C$27,'04. BC - Nhóm hàng'!$P$20:$P$27,0)/10^3,0)</f>
        <v>166</v>
      </c>
      <c r="P13" s="812">
        <f>ROUND(_xlfn.XLOOKUP(M13,'04. BC - Nhóm hàng'!$C$32:$C$39,'04. BC - Nhóm hàng'!$P$32:$P$39,0)/10^3,0)</f>
        <v>-350</v>
      </c>
      <c r="Q13" s="814">
        <f t="shared" si="4"/>
        <v>-2.1084337349397591</v>
      </c>
      <c r="S13" s="1021"/>
    </row>
    <row r="14" spans="1:20" ht="15.5" outlineLevel="1" x14ac:dyDescent="0.35">
      <c r="A14" s="795"/>
      <c r="B14" s="796" t="str">
        <f t="shared" si="0"/>
        <v>-</v>
      </c>
      <c r="C14" s="796"/>
      <c r="D14" s="1026"/>
      <c r="E14" s="797"/>
      <c r="F14" s="798"/>
      <c r="G14" s="799"/>
      <c r="H14" s="173"/>
      <c r="I14" s="1021"/>
      <c r="K14" s="795"/>
      <c r="L14" s="796"/>
      <c r="M14" s="796"/>
      <c r="N14" s="797"/>
      <c r="O14" s="797"/>
      <c r="P14" s="798"/>
      <c r="Q14" s="799"/>
      <c r="S14" s="1021"/>
    </row>
    <row r="16" spans="1:20" ht="29" x14ac:dyDescent="0.35">
      <c r="L16" s="856" t="s">
        <v>411</v>
      </c>
      <c r="M16" s="856" t="s">
        <v>784</v>
      </c>
      <c r="N16" s="856" t="s">
        <v>758</v>
      </c>
      <c r="O16" s="856" t="s">
        <v>757</v>
      </c>
      <c r="P16" s="856" t="s">
        <v>950</v>
      </c>
      <c r="Q16" s="856" t="s">
        <v>951</v>
      </c>
    </row>
    <row r="17" spans="2:17" ht="16.5" customHeight="1" x14ac:dyDescent="0.35">
      <c r="L17" s="321" t="s">
        <v>283</v>
      </c>
      <c r="M17" s="857">
        <f>_xlfn.XLOOKUP(L17,$M$6:$M$14,$T$6:$T$14,0)</f>
        <v>0.87131367292225204</v>
      </c>
      <c r="N17" s="858">
        <f>_xlfn.XLOOKUP($L17,$M$6:$M$14,$N$6:$N$14,0)</f>
        <v>33150</v>
      </c>
      <c r="O17" s="858">
        <f>_xlfn.XLOOKUP($L17,$M$6:$M$14,$O$6:$O$14,0)</f>
        <v>40976</v>
      </c>
      <c r="P17" s="858">
        <f>_xlfn.XLOOKUP($L17,$M$6:$M$14,$P$6:$P$14,0)</f>
        <v>6743</v>
      </c>
      <c r="Q17" s="857">
        <f>_xlfn.XLOOKUP($L17,$M$6:$M$14,$Q$6:$Q$14,0)</f>
        <v>0.16455974228816869</v>
      </c>
    </row>
    <row r="18" spans="2:17" ht="16.5" customHeight="1" x14ac:dyDescent="0.35">
      <c r="L18" s="324" t="s">
        <v>265</v>
      </c>
      <c r="M18" s="859">
        <f>_xlfn.XLOOKUP(L18,$M$6:$M$14,$T$6:$T$14,0)</f>
        <v>5.708878725753036E-2</v>
      </c>
      <c r="N18" s="860">
        <f>_xlfn.XLOOKUP($L18,$M$6:$M$14,$N$6:$N$14,0)</f>
        <v>2172</v>
      </c>
      <c r="O18" s="860">
        <f>_xlfn.XLOOKUP($L18,$M$6:$M$14,$O$6:$O$14,0)</f>
        <v>2784</v>
      </c>
      <c r="P18" s="860">
        <f>_xlfn.XLOOKUP($L18,$M$6:$M$14,$P$6:$P$14,0)</f>
        <v>401</v>
      </c>
      <c r="Q18" s="859">
        <f>_xlfn.XLOOKUP($L18,$M$6:$M$14,$Q$6:$Q$14,0)</f>
        <v>0.14403735632183909</v>
      </c>
    </row>
    <row r="19" spans="2:17" ht="21" x14ac:dyDescent="0.35">
      <c r="L19" s="861" t="s">
        <v>259</v>
      </c>
      <c r="M19" s="862">
        <f>SUM(M17:M18)</f>
        <v>0.92840246017978245</v>
      </c>
      <c r="N19" s="863">
        <f t="shared" ref="N19:P19" si="9">SUM(N17:N18)</f>
        <v>35322</v>
      </c>
      <c r="O19" s="863">
        <f t="shared" si="9"/>
        <v>43760</v>
      </c>
      <c r="P19" s="863">
        <f t="shared" si="9"/>
        <v>7144</v>
      </c>
      <c r="Q19" s="862"/>
    </row>
    <row r="20" spans="2:17" ht="21" x14ac:dyDescent="0.5">
      <c r="B20" s="805" t="str">
        <f>"SẢN LƯỢNG - LỢI NHUẬN THEO NHÓM HÀNG T"&amp;C3&amp;"/25"</f>
        <v>SẢN LƯỢNG - LỢI NHUẬN THEO NHÓM HÀNG T9/25</v>
      </c>
    </row>
  </sheetData>
  <conditionalFormatting sqref="F6:F13">
    <cfRule type="cellIs" dxfId="63" priority="3" operator="lessThan">
      <formula>0</formula>
    </cfRule>
  </conditionalFormatting>
  <conditionalFormatting sqref="G6:G14">
    <cfRule type="cellIs" dxfId="62" priority="6" operator="lessThan">
      <formula>0</formula>
    </cfRule>
  </conditionalFormatting>
  <conditionalFormatting sqref="P6:P13">
    <cfRule type="cellIs" dxfId="61" priority="1" operator="lessThan">
      <formula>0</formula>
    </cfRule>
  </conditionalFormatting>
  <conditionalFormatting sqref="Q6:Q14">
    <cfRule type="cellIs" dxfId="60" priority="2" operator="lessThan">
      <formula>0</formula>
    </cfRule>
  </conditionalFormatting>
  <hyperlinks>
    <hyperlink ref="B1" location="'00. DM'!A1" display="00. DM" xr:uid="{FA65A0F7-5237-400A-B5D0-87DCED056680}"/>
  </hyperlink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8BA5A-2160-4369-9F1B-CBC4F308E2B1}">
  <sheetPr>
    <tabColor theme="9" tint="0.59999389629810485"/>
  </sheetPr>
  <dimension ref="B1:C131"/>
  <sheetViews>
    <sheetView zoomScale="85" zoomScaleNormal="85" workbookViewId="0">
      <pane ySplit="2" topLeftCell="A5" activePane="bottomLeft" state="frozen"/>
      <selection pane="bottomLeft" activeCell="B1" sqref="B1"/>
    </sheetView>
  </sheetViews>
  <sheetFormatPr defaultRowHeight="14.5" x14ac:dyDescent="0.35"/>
  <cols>
    <col min="1" max="1" width="1.6328125" customWidth="1"/>
  </cols>
  <sheetData>
    <row r="1" spans="2:3" x14ac:dyDescent="0.35">
      <c r="B1" s="528" t="s">
        <v>587</v>
      </c>
    </row>
    <row r="2" spans="2:3" ht="18.5" x14ac:dyDescent="0.45">
      <c r="C2" s="536" t="s">
        <v>582</v>
      </c>
    </row>
    <row r="4" spans="2:3" ht="17.5" x14ac:dyDescent="0.35">
      <c r="B4" s="556"/>
      <c r="C4" s="561" t="s">
        <v>609</v>
      </c>
    </row>
    <row r="24" spans="3:3" ht="17.5" x14ac:dyDescent="0.35">
      <c r="C24" s="561" t="s">
        <v>611</v>
      </c>
    </row>
    <row r="42" spans="3:3" ht="17.5" x14ac:dyDescent="0.35">
      <c r="C42" s="561" t="s">
        <v>682</v>
      </c>
    </row>
    <row r="60" spans="3:3" ht="17.5" x14ac:dyDescent="0.35">
      <c r="C60" s="561" t="s">
        <v>683</v>
      </c>
    </row>
    <row r="80" spans="3:3" ht="17.5" x14ac:dyDescent="0.35">
      <c r="C80" s="561" t="s">
        <v>781</v>
      </c>
    </row>
    <row r="96" spans="3:3" ht="17.5" x14ac:dyDescent="0.35">
      <c r="C96" s="561" t="s">
        <v>934</v>
      </c>
    </row>
    <row r="113" spans="3:3" ht="17.5" x14ac:dyDescent="0.35">
      <c r="C113" s="561" t="s">
        <v>984</v>
      </c>
    </row>
    <row r="131" spans="3:3" ht="17.5" x14ac:dyDescent="0.35">
      <c r="C131" s="561" t="s">
        <v>1046</v>
      </c>
    </row>
  </sheetData>
  <hyperlinks>
    <hyperlink ref="B1" location="'00. DM'!A1" display="00. DM" xr:uid="{7841D2AE-5732-4A8E-8F69-620EB1819EF1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5DC93-99C9-467F-83E6-260B9358B54D}">
  <sheetPr>
    <tabColor rgb="FF00B050"/>
  </sheetPr>
  <dimension ref="A1:EN72"/>
  <sheetViews>
    <sheetView showGridLines="0" tabSelected="1" zoomScale="90" zoomScaleNormal="90" workbookViewId="0">
      <pane xSplit="5" ySplit="5" topLeftCell="F35" activePane="bottomRight" state="frozen"/>
      <selection pane="topRight"/>
      <selection pane="bottomLeft"/>
      <selection pane="bottomRight" activeCell="G6" sqref="G6"/>
    </sheetView>
  </sheetViews>
  <sheetFormatPr defaultColWidth="8.81640625" defaultRowHeight="14" outlineLevelRow="1" outlineLevelCol="1" x14ac:dyDescent="0.3"/>
  <cols>
    <col min="1" max="1" width="5.1796875" style="3" customWidth="1"/>
    <col min="2" max="2" width="15.36328125" style="3" customWidth="1"/>
    <col min="3" max="3" width="12" style="3" customWidth="1"/>
    <col min="4" max="4" width="12.81640625" style="2" customWidth="1"/>
    <col min="5" max="5" width="29.81640625" style="1" customWidth="1"/>
    <col min="6" max="6" width="9.81640625" style="2" customWidth="1"/>
    <col min="7" max="18" width="8.81640625" style="1" customWidth="1" outlineLevel="1"/>
    <col min="19" max="19" width="1.453125" style="1" customWidth="1"/>
    <col min="20" max="20" width="11.08984375" style="1" customWidth="1"/>
    <col min="21" max="32" width="8.81640625" style="1" customWidth="1" outlineLevel="1"/>
    <col min="33" max="33" width="1.1796875" style="1" customWidth="1"/>
    <col min="34" max="34" width="11.81640625" style="1" customWidth="1"/>
    <col min="35" max="45" width="7.1796875" style="1" customWidth="1" outlineLevel="1"/>
    <col min="46" max="46" width="8.453125" style="1" customWidth="1" outlineLevel="1"/>
    <col min="47" max="47" width="1.1796875" style="1" customWidth="1"/>
    <col min="48" max="48" width="12.6328125" style="1" customWidth="1"/>
    <col min="49" max="49" width="8.1796875" style="1" customWidth="1" outlineLevel="1"/>
    <col min="50" max="50" width="10.36328125" style="1" customWidth="1" outlineLevel="1"/>
    <col min="51" max="60" width="8.1796875" style="1" customWidth="1" outlineLevel="1"/>
    <col min="61" max="61" width="2.36328125" style="1" customWidth="1"/>
    <col min="62" max="62" width="10.90625" style="1" customWidth="1"/>
    <col min="63" max="74" width="7.54296875" style="1" customWidth="1" outlineLevel="1"/>
    <col min="75" max="75" width="2.36328125" style="1" customWidth="1"/>
    <col min="76" max="76" width="15.36328125" style="1" customWidth="1"/>
    <col min="77" max="87" width="12.81640625" style="1" customWidth="1" outlineLevel="1"/>
    <col min="88" max="88" width="14.54296875" style="1" customWidth="1" outlineLevel="1"/>
    <col min="89" max="89" width="1.90625" style="1" customWidth="1"/>
    <col min="90" max="90" width="11" style="1" customWidth="1"/>
    <col min="91" max="102" width="8.81640625" style="1" customWidth="1" outlineLevel="1"/>
    <col min="103" max="103" width="1.54296875" style="1" customWidth="1"/>
    <col min="104" max="104" width="15.08984375" style="1" customWidth="1"/>
    <col min="105" max="105" width="14.90625" style="1" customWidth="1" outlineLevel="1"/>
    <col min="106" max="114" width="13.08984375" style="1" customWidth="1" outlineLevel="1"/>
    <col min="115" max="115" width="14.08984375" style="1" customWidth="1" outlineLevel="1"/>
    <col min="116" max="116" width="12.90625" style="1" customWidth="1" outlineLevel="1"/>
    <col min="117" max="117" width="2.1796875" style="1" customWidth="1"/>
    <col min="118" max="118" width="15" style="1" customWidth="1"/>
    <col min="119" max="119" width="12" style="1" customWidth="1" outlineLevel="1"/>
    <col min="120" max="120" width="13.08984375" style="1" bestFit="1" customWidth="1" outlineLevel="1"/>
    <col min="121" max="130" width="12" style="1" customWidth="1" outlineLevel="1"/>
    <col min="131" max="131" width="2.81640625" style="1" customWidth="1"/>
    <col min="132" max="132" width="15" style="1" customWidth="1"/>
    <col min="133" max="133" width="12" style="1" customWidth="1" outlineLevel="1"/>
    <col min="134" max="134" width="12.81640625" style="1" customWidth="1" outlineLevel="1"/>
    <col min="135" max="144" width="12" style="1" customWidth="1" outlineLevel="1"/>
    <col min="145" max="16384" width="8.81640625" style="1"/>
  </cols>
  <sheetData>
    <row r="1" spans="1:144" ht="20" x14ac:dyDescent="0.4">
      <c r="A1" s="528" t="s">
        <v>587</v>
      </c>
      <c r="D1" s="51" t="s">
        <v>472</v>
      </c>
      <c r="E1" s="50"/>
      <c r="U1" s="913">
        <f>(U30*CM30+U31*CM31)/(CM30+CM31)</f>
        <v>1409.5393396287318</v>
      </c>
      <c r="V1" s="913">
        <f t="shared" ref="V1:W1" si="0">(V30*CN30+V31*CN31)/(CN30+CN31)</f>
        <v>1401.0382832539294</v>
      </c>
      <c r="W1" s="913">
        <f t="shared" si="0"/>
        <v>1400.604732823123</v>
      </c>
      <c r="X1" s="913">
        <f>(X30*CP30+X31*CP31)/(CP30+CP31)</f>
        <v>1353.9005697704886</v>
      </c>
      <c r="Y1" s="913">
        <f>(Y30*CQ30+Y31*CQ31)/(CQ30+CQ31)</f>
        <v>1340.3430782487042</v>
      </c>
      <c r="Z1" s="913">
        <f>(Z30*CR30+Z31*CR31)/(CR30+CR31)</f>
        <v>1336.5529812842299</v>
      </c>
      <c r="AA1" s="913">
        <f>(AA30*CS30)/(CS30)</f>
        <v>1358.9430161071671</v>
      </c>
      <c r="AB1" s="913">
        <f>(AB30*CT30)/(CT30)</f>
        <v>1370.3887723582975</v>
      </c>
      <c r="BY1" s="126">
        <f>IFERROR(((BY30*CM30)+(BY31*CM31))/(CM30+CM31),0)</f>
        <v>1117.8026260815486</v>
      </c>
      <c r="BZ1" s="126">
        <f t="shared" ref="BZ1:CB1" si="1">IFERROR(((BZ30*CN30)+(BZ31*CN31))/(CN30+CN31),0)</f>
        <v>1102.3009607324186</v>
      </c>
      <c r="CA1" s="126">
        <f t="shared" si="1"/>
        <v>1103.8509389068665</v>
      </c>
      <c r="CB1" s="126">
        <f t="shared" si="1"/>
        <v>1083.7308955759686</v>
      </c>
      <c r="CC1" s="126">
        <f>IFERROR(((CC30*CQ30)+(CC31*CQ31))/(CQ30+CQ31),0)</f>
        <v>1065.108757950057</v>
      </c>
      <c r="CD1" s="126">
        <f>IFERROR(((CD30*CR30)+(CD31*CR31))/(CR30+CR31),0)</f>
        <v>1063.0888354191814</v>
      </c>
      <c r="CE1" s="126">
        <f>IFERROR(((CE30*CS30))/(CS30),0)</f>
        <v>1049.2220846932005</v>
      </c>
      <c r="CF1" s="126">
        <f>IFERROR(((CF30*CT30))/(CT30),0)</f>
        <v>1035.5712826956224</v>
      </c>
      <c r="CL1" s="391">
        <f>COLUMNS($D$1:CL1)</f>
        <v>87</v>
      </c>
      <c r="CS1" s="1238"/>
      <c r="CZ1" s="391">
        <f>COLUMNS($D$1:CZ1)</f>
        <v>101</v>
      </c>
      <c r="DN1" s="391">
        <f>COLUMNS($D$1:DN1)</f>
        <v>115</v>
      </c>
      <c r="EB1" s="391">
        <f>COLUMNS($D$1:EB1)</f>
        <v>129</v>
      </c>
    </row>
    <row r="2" spans="1:144" s="14" customFormat="1" ht="17.5" x14ac:dyDescent="0.35">
      <c r="A2" s="180"/>
      <c r="B2" s="180"/>
      <c r="C2" s="700" t="s">
        <v>687</v>
      </c>
      <c r="D2" s="181"/>
      <c r="E2" s="182"/>
      <c r="F2" s="125" t="s">
        <v>274</v>
      </c>
      <c r="G2" s="183"/>
      <c r="H2" s="183"/>
      <c r="I2" s="183"/>
      <c r="J2" s="183"/>
      <c r="K2" s="183"/>
      <c r="L2" s="183"/>
      <c r="M2" s="183"/>
      <c r="N2" s="183"/>
      <c r="O2" s="183"/>
      <c r="P2" s="183"/>
      <c r="T2" s="123" t="s">
        <v>275</v>
      </c>
      <c r="U2" s="183"/>
      <c r="V2" s="183"/>
      <c r="W2" s="183"/>
      <c r="X2" s="183"/>
      <c r="Y2" s="183"/>
      <c r="Z2" s="183"/>
      <c r="AA2" s="183">
        <f>AA3-Z3</f>
        <v>-13.868270535212332</v>
      </c>
      <c r="AB2" s="183"/>
      <c r="AC2" s="183"/>
      <c r="AD2" s="183"/>
      <c r="AH2" s="124" t="s">
        <v>276</v>
      </c>
      <c r="AV2" s="138" t="s">
        <v>277</v>
      </c>
      <c r="BJ2" s="141" t="s">
        <v>278</v>
      </c>
      <c r="BK2" s="123"/>
      <c r="BL2" s="130"/>
      <c r="BM2" s="130"/>
      <c r="BN2" s="130"/>
      <c r="BO2" s="130"/>
      <c r="BP2" s="130"/>
      <c r="BQ2" s="130"/>
      <c r="BR2" s="130"/>
      <c r="BS2" s="130"/>
      <c r="BT2" s="130"/>
      <c r="BU2" s="130"/>
      <c r="BV2" s="130"/>
      <c r="BW2" s="130"/>
      <c r="BX2" s="122" t="s">
        <v>692</v>
      </c>
      <c r="CL2" s="184" t="s">
        <v>478</v>
      </c>
      <c r="CR2" s="182"/>
      <c r="CS2" s="182"/>
      <c r="CW2" s="182"/>
      <c r="CX2" s="182"/>
      <c r="CZ2" s="184" t="s">
        <v>282</v>
      </c>
      <c r="DN2" s="184" t="s">
        <v>560</v>
      </c>
      <c r="EB2" s="184" t="s">
        <v>613</v>
      </c>
    </row>
    <row r="3" spans="1:144" s="130" customFormat="1" ht="17.5" x14ac:dyDescent="0.35">
      <c r="A3" s="127"/>
      <c r="B3" s="127"/>
      <c r="C3" s="127"/>
      <c r="D3" s="128"/>
      <c r="E3" s="129"/>
      <c r="F3" s="125"/>
      <c r="T3" s="124" t="s">
        <v>691</v>
      </c>
      <c r="U3" s="705">
        <f>(U6*CM6+U7*CM7)/(CM6+CM7)</f>
        <v>1217.7426379515525</v>
      </c>
      <c r="V3" s="705">
        <f t="shared" ref="V3" si="2">(V6*CN6+V7*CN7)/(CN6+CN7)</f>
        <v>1246.5423672871261</v>
      </c>
      <c r="W3" s="705">
        <f t="shared" ref="W3:AB3" si="3">(W6*CO6+W7*CO7)/(CO6+CO7)</f>
        <v>1232.9222104431294</v>
      </c>
      <c r="X3" s="705">
        <f t="shared" si="3"/>
        <v>1212.972168688879</v>
      </c>
      <c r="Y3" s="705">
        <f t="shared" si="3"/>
        <v>1230.6457259853928</v>
      </c>
      <c r="Z3" s="705">
        <f t="shared" si="3"/>
        <v>1223.9091694725478</v>
      </c>
      <c r="AA3" s="705">
        <f t="shared" si="3"/>
        <v>1210.0408989373354</v>
      </c>
      <c r="AB3" s="705">
        <f t="shared" si="3"/>
        <v>1202.2070034738963</v>
      </c>
      <c r="AC3" s="124"/>
      <c r="AD3" s="124"/>
      <c r="AE3" s="124"/>
      <c r="AF3" s="124"/>
      <c r="AH3" s="124"/>
      <c r="AI3" s="123"/>
      <c r="AW3" s="123"/>
      <c r="BX3" s="126">
        <f>((BX6*CL6)+(BX7*CL7))/(CL6+CL7)</f>
        <v>1029.1001123374863</v>
      </c>
      <c r="BY3" s="126">
        <f>IFERROR(((BY6*CM6)+(BY7*CM7))/(CM6+CM7),0)</f>
        <v>1027.5093936241992</v>
      </c>
      <c r="BZ3" s="126">
        <f t="shared" ref="BZ3:CJ3" si="4">IFERROR(((BZ6*CN6)+(BZ7*CN7))/(CN6+CN7),0)</f>
        <v>988.41781204277675</v>
      </c>
      <c r="CA3" s="126">
        <f t="shared" si="4"/>
        <v>1014.252687606064</v>
      </c>
      <c r="CB3" s="126">
        <f t="shared" si="4"/>
        <v>1012.8193253848657</v>
      </c>
      <c r="CC3" s="126">
        <f t="shared" si="4"/>
        <v>1022.6796938908026</v>
      </c>
      <c r="CD3" s="126">
        <f>IFERROR(((CD6*CR6)+(CD7*CR7))/(CR6+CR7),0)</f>
        <v>1060.1742265510063</v>
      </c>
      <c r="CE3" s="126">
        <f t="shared" si="4"/>
        <v>1070.6887956617127</v>
      </c>
      <c r="CF3" s="126">
        <f t="shared" si="4"/>
        <v>1038.0523056681004</v>
      </c>
      <c r="CG3" s="126">
        <f t="shared" si="4"/>
        <v>1021.0839688473521</v>
      </c>
      <c r="CH3" s="126">
        <f t="shared" si="4"/>
        <v>0</v>
      </c>
      <c r="CI3" s="126">
        <f t="shared" si="4"/>
        <v>0</v>
      </c>
      <c r="CJ3" s="126">
        <f t="shared" si="4"/>
        <v>0</v>
      </c>
      <c r="CL3" s="126">
        <f t="shared" ref="CL3:CX3" si="5">SUM(CL5,CL22,CL29,CL59,CL41,CL51,CL68)</f>
        <v>38046.759699999988</v>
      </c>
      <c r="CM3" s="126">
        <f t="shared" si="5"/>
        <v>3487.9992999999995</v>
      </c>
      <c r="CN3" s="126">
        <f t="shared" si="5"/>
        <v>5476.6750000000002</v>
      </c>
      <c r="CO3" s="126">
        <f t="shared" si="5"/>
        <v>4580.05</v>
      </c>
      <c r="CP3" s="126">
        <f t="shared" si="5"/>
        <v>3850.8249999999994</v>
      </c>
      <c r="CQ3" s="126">
        <f t="shared" si="5"/>
        <v>4578.8853000000008</v>
      </c>
      <c r="CR3" s="126">
        <f t="shared" si="5"/>
        <v>3673.2079999999996</v>
      </c>
      <c r="CS3" s="126">
        <f t="shared" si="5"/>
        <v>4560.4241000000002</v>
      </c>
      <c r="CT3" s="126">
        <f t="shared" si="5"/>
        <v>5189.3680000000013</v>
      </c>
      <c r="CU3" s="126">
        <f t="shared" si="5"/>
        <v>2649.3249999999998</v>
      </c>
      <c r="CV3" s="126">
        <f t="shared" si="5"/>
        <v>0</v>
      </c>
      <c r="CW3" s="126">
        <f t="shared" si="5"/>
        <v>0</v>
      </c>
      <c r="CX3" s="126">
        <f t="shared" si="5"/>
        <v>0</v>
      </c>
      <c r="CZ3" s="126">
        <f t="shared" ref="CZ3:DL3" si="6">SUM(CZ5,CZ22,CZ29,CZ59,CZ41,CZ51,CZ68)</f>
        <v>46654463.624188222</v>
      </c>
      <c r="DA3" s="126">
        <f t="shared" si="6"/>
        <v>4454931.6018065037</v>
      </c>
      <c r="DB3" s="126">
        <f t="shared" si="6"/>
        <v>7079418.0528554535</v>
      </c>
      <c r="DC3" s="126">
        <f t="shared" si="6"/>
        <v>5726074.791968504</v>
      </c>
      <c r="DD3" s="126">
        <f t="shared" si="6"/>
        <v>4750233.6895083245</v>
      </c>
      <c r="DE3" s="126">
        <f t="shared" si="6"/>
        <v>5760213.3934261408</v>
      </c>
      <c r="DF3" s="126">
        <f t="shared" si="6"/>
        <v>4439262.682214506</v>
      </c>
      <c r="DG3" s="126">
        <f t="shared" si="6"/>
        <v>5260978.3881290825</v>
      </c>
      <c r="DH3" s="126">
        <f t="shared" si="6"/>
        <v>6251352.0763178011</v>
      </c>
      <c r="DI3" s="126">
        <f t="shared" si="6"/>
        <v>2931998.947961905</v>
      </c>
      <c r="DJ3" s="126">
        <f t="shared" si="6"/>
        <v>0</v>
      </c>
      <c r="DK3" s="126">
        <f t="shared" si="6"/>
        <v>0</v>
      </c>
      <c r="DL3" s="126">
        <f t="shared" si="6"/>
        <v>0</v>
      </c>
      <c r="DN3" s="126">
        <f t="shared" ref="DN3:DZ3" si="7">SUM(DN5,DN22,DN29,DN59,DN41,DN51,DN68)</f>
        <v>6291216.5561017347</v>
      </c>
      <c r="DO3" s="126">
        <f t="shared" si="7"/>
        <v>726334.05849056633</v>
      </c>
      <c r="DP3" s="126">
        <f t="shared" si="7"/>
        <v>1404016.6132364739</v>
      </c>
      <c r="DQ3" s="126">
        <f t="shared" si="7"/>
        <v>915164.22069793707</v>
      </c>
      <c r="DR3" s="126">
        <f t="shared" si="7"/>
        <v>730650.0076526003</v>
      </c>
      <c r="DS3" s="126">
        <f t="shared" si="7"/>
        <v>898437.34377273615</v>
      </c>
      <c r="DT3" s="126">
        <f t="shared" si="7"/>
        <v>496370.48946759297</v>
      </c>
      <c r="DU3" s="126">
        <f t="shared" si="7"/>
        <v>373542.75735284761</v>
      </c>
      <c r="DV3" s="126">
        <f t="shared" si="7"/>
        <v>630672.89422657911</v>
      </c>
      <c r="DW3" s="126">
        <f t="shared" si="7"/>
        <v>116028.17120440265</v>
      </c>
      <c r="DX3" s="126">
        <f t="shared" si="7"/>
        <v>0</v>
      </c>
      <c r="DY3" s="126">
        <f t="shared" si="7"/>
        <v>0</v>
      </c>
      <c r="DZ3" s="126">
        <f t="shared" si="7"/>
        <v>0</v>
      </c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</row>
    <row r="4" spans="1:144" s="43" customFormat="1" ht="45" x14ac:dyDescent="0.35">
      <c r="A4" s="131" t="s">
        <v>174</v>
      </c>
      <c r="B4" s="131" t="s">
        <v>411</v>
      </c>
      <c r="C4" s="131" t="s">
        <v>345</v>
      </c>
      <c r="D4" s="133" t="s">
        <v>171</v>
      </c>
      <c r="E4" s="132" t="s">
        <v>170</v>
      </c>
      <c r="F4" s="49" t="s">
        <v>544</v>
      </c>
      <c r="G4" s="48">
        <v>1</v>
      </c>
      <c r="H4" s="48">
        <v>2</v>
      </c>
      <c r="I4" s="48">
        <v>3</v>
      </c>
      <c r="J4" s="48">
        <v>4</v>
      </c>
      <c r="K4" s="48">
        <v>5</v>
      </c>
      <c r="L4" s="48">
        <v>6</v>
      </c>
      <c r="M4" s="48">
        <v>7</v>
      </c>
      <c r="N4" s="48">
        <v>8</v>
      </c>
      <c r="O4" s="48">
        <v>9</v>
      </c>
      <c r="P4" s="48">
        <v>10</v>
      </c>
      <c r="Q4" s="48">
        <v>11</v>
      </c>
      <c r="R4" s="48">
        <v>12</v>
      </c>
      <c r="T4" s="47" t="s">
        <v>545</v>
      </c>
      <c r="U4" s="46">
        <v>1</v>
      </c>
      <c r="V4" s="46">
        <v>2</v>
      </c>
      <c r="W4" s="46">
        <v>3</v>
      </c>
      <c r="X4" s="46">
        <v>4</v>
      </c>
      <c r="Y4" s="46">
        <v>5</v>
      </c>
      <c r="Z4" s="46">
        <v>6</v>
      </c>
      <c r="AA4" s="46">
        <v>7</v>
      </c>
      <c r="AB4" s="46">
        <v>8</v>
      </c>
      <c r="AC4" s="46">
        <v>9</v>
      </c>
      <c r="AD4" s="46">
        <v>10</v>
      </c>
      <c r="AE4" s="46">
        <v>11</v>
      </c>
      <c r="AF4" s="46">
        <v>12</v>
      </c>
      <c r="AH4" s="136" t="s">
        <v>546</v>
      </c>
      <c r="AI4" s="137">
        <v>1</v>
      </c>
      <c r="AJ4" s="137">
        <v>2</v>
      </c>
      <c r="AK4" s="137">
        <v>3</v>
      </c>
      <c r="AL4" s="137">
        <v>4</v>
      </c>
      <c r="AM4" s="137">
        <v>5</v>
      </c>
      <c r="AN4" s="137">
        <v>6</v>
      </c>
      <c r="AO4" s="137">
        <v>7</v>
      </c>
      <c r="AP4" s="137">
        <v>8</v>
      </c>
      <c r="AQ4" s="137">
        <v>9</v>
      </c>
      <c r="AR4" s="137">
        <v>10</v>
      </c>
      <c r="AS4" s="137">
        <v>11</v>
      </c>
      <c r="AT4" s="137">
        <v>12</v>
      </c>
      <c r="AV4" s="52" t="s">
        <v>547</v>
      </c>
      <c r="AW4" s="53">
        <v>1</v>
      </c>
      <c r="AX4" s="53">
        <v>2</v>
      </c>
      <c r="AY4" s="53">
        <v>3</v>
      </c>
      <c r="AZ4" s="53">
        <v>4</v>
      </c>
      <c r="BA4" s="53">
        <v>5</v>
      </c>
      <c r="BB4" s="53">
        <v>6</v>
      </c>
      <c r="BC4" s="53">
        <v>7</v>
      </c>
      <c r="BD4" s="53">
        <v>8</v>
      </c>
      <c r="BE4" s="53">
        <v>9</v>
      </c>
      <c r="BF4" s="53">
        <v>10</v>
      </c>
      <c r="BG4" s="53">
        <v>11</v>
      </c>
      <c r="BH4" s="53">
        <v>12</v>
      </c>
      <c r="BJ4" s="139" t="s">
        <v>548</v>
      </c>
      <c r="BK4" s="140">
        <v>1</v>
      </c>
      <c r="BL4" s="140">
        <v>2</v>
      </c>
      <c r="BM4" s="140">
        <v>3</v>
      </c>
      <c r="BN4" s="140">
        <v>4</v>
      </c>
      <c r="BO4" s="140">
        <v>5</v>
      </c>
      <c r="BP4" s="140">
        <v>6</v>
      </c>
      <c r="BQ4" s="140">
        <v>7</v>
      </c>
      <c r="BR4" s="140">
        <v>8</v>
      </c>
      <c r="BS4" s="140">
        <v>9</v>
      </c>
      <c r="BT4" s="140">
        <v>10</v>
      </c>
      <c r="BU4" s="140">
        <v>11</v>
      </c>
      <c r="BV4" s="140">
        <v>12</v>
      </c>
      <c r="BX4" s="156" t="s">
        <v>549</v>
      </c>
      <c r="BY4" s="151">
        <v>1</v>
      </c>
      <c r="BZ4" s="151">
        <v>2</v>
      </c>
      <c r="CA4" s="151">
        <v>3</v>
      </c>
      <c r="CB4" s="151">
        <v>4</v>
      </c>
      <c r="CC4" s="151">
        <v>5</v>
      </c>
      <c r="CD4" s="151">
        <v>6</v>
      </c>
      <c r="CE4" s="151">
        <v>7</v>
      </c>
      <c r="CF4" s="151">
        <v>8</v>
      </c>
      <c r="CG4" s="151">
        <v>9</v>
      </c>
      <c r="CH4" s="151">
        <v>10</v>
      </c>
      <c r="CI4" s="151">
        <v>11</v>
      </c>
      <c r="CJ4" s="151">
        <v>12</v>
      </c>
      <c r="CL4" s="45" t="s">
        <v>550</v>
      </c>
      <c r="CM4" s="44">
        <v>1</v>
      </c>
      <c r="CN4" s="44">
        <v>2</v>
      </c>
      <c r="CO4" s="44">
        <v>3</v>
      </c>
      <c r="CP4" s="44">
        <v>4</v>
      </c>
      <c r="CQ4" s="44">
        <v>5</v>
      </c>
      <c r="CR4" s="44">
        <v>6</v>
      </c>
      <c r="CS4" s="44">
        <v>7</v>
      </c>
      <c r="CT4" s="44">
        <v>8</v>
      </c>
      <c r="CU4" s="44">
        <v>9</v>
      </c>
      <c r="CV4" s="44">
        <v>10</v>
      </c>
      <c r="CW4" s="44">
        <v>11</v>
      </c>
      <c r="CX4" s="44">
        <v>12</v>
      </c>
      <c r="CZ4" s="1027" t="s">
        <v>551</v>
      </c>
      <c r="DA4" s="1028">
        <v>1</v>
      </c>
      <c r="DB4" s="1028">
        <v>2</v>
      </c>
      <c r="DC4" s="1028">
        <v>3</v>
      </c>
      <c r="DD4" s="1028">
        <v>4</v>
      </c>
      <c r="DE4" s="1028">
        <v>5</v>
      </c>
      <c r="DF4" s="1028">
        <v>6</v>
      </c>
      <c r="DG4" s="1028">
        <v>7</v>
      </c>
      <c r="DH4" s="1028">
        <v>8</v>
      </c>
      <c r="DI4" s="1028">
        <v>9</v>
      </c>
      <c r="DJ4" s="1028">
        <v>10</v>
      </c>
      <c r="DK4" s="1028">
        <v>11</v>
      </c>
      <c r="DL4" s="1028">
        <v>12</v>
      </c>
      <c r="DN4" s="159" t="s">
        <v>552</v>
      </c>
      <c r="DO4" s="160">
        <v>1</v>
      </c>
      <c r="DP4" s="160">
        <v>2</v>
      </c>
      <c r="DQ4" s="160">
        <v>3</v>
      </c>
      <c r="DR4" s="160">
        <v>4</v>
      </c>
      <c r="DS4" s="160">
        <v>5</v>
      </c>
      <c r="DT4" s="160">
        <v>6</v>
      </c>
      <c r="DU4" s="160">
        <v>7</v>
      </c>
      <c r="DV4" s="160">
        <v>8</v>
      </c>
      <c r="DW4" s="160">
        <v>9</v>
      </c>
      <c r="DX4" s="160">
        <v>10</v>
      </c>
      <c r="DY4" s="160">
        <v>11</v>
      </c>
      <c r="DZ4" s="160">
        <v>12</v>
      </c>
      <c r="EB4" s="568" t="s">
        <v>382</v>
      </c>
      <c r="EC4" s="569">
        <v>1</v>
      </c>
      <c r="ED4" s="569">
        <v>2</v>
      </c>
      <c r="EE4" s="569">
        <v>3</v>
      </c>
      <c r="EF4" s="569">
        <v>4</v>
      </c>
      <c r="EG4" s="569">
        <v>5</v>
      </c>
      <c r="EH4" s="569">
        <v>6</v>
      </c>
      <c r="EI4" s="569">
        <v>7</v>
      </c>
      <c r="EJ4" s="569">
        <v>8</v>
      </c>
      <c r="EK4" s="569">
        <v>9</v>
      </c>
      <c r="EL4" s="569">
        <v>10</v>
      </c>
      <c r="EM4" s="569">
        <v>11</v>
      </c>
      <c r="EN4" s="569">
        <v>12</v>
      </c>
    </row>
    <row r="5" spans="1:144" s="14" customFormat="1" ht="15" x14ac:dyDescent="0.3">
      <c r="A5" s="19" t="s">
        <v>167</v>
      </c>
      <c r="B5" s="19"/>
      <c r="C5" s="19"/>
      <c r="D5" s="458" t="s">
        <v>166</v>
      </c>
      <c r="E5" s="17"/>
      <c r="F5" s="145">
        <f>IFERROR(AVERAGE(F6:F21),"-")</f>
        <v>1228.2204111249087</v>
      </c>
      <c r="G5" s="144">
        <f t="shared" ref="G5:R5" si="8">IFERROR(AVERAGE(G6:G21),"-")</f>
        <v>1337.2217833079831</v>
      </c>
      <c r="H5" s="144">
        <f t="shared" si="8"/>
        <v>1272.06312788982</v>
      </c>
      <c r="I5" s="144">
        <f t="shared" si="8"/>
        <v>1240.6948351707174</v>
      </c>
      <c r="J5" s="144">
        <f t="shared" si="8"/>
        <v>1248.8268418662349</v>
      </c>
      <c r="K5" s="144">
        <f t="shared" si="8"/>
        <v>1295.7533557543491</v>
      </c>
      <c r="L5" s="144">
        <f t="shared" si="8"/>
        <v>1252.0176345581835</v>
      </c>
      <c r="M5" s="144">
        <f t="shared" si="8"/>
        <v>1250.8239650466828</v>
      </c>
      <c r="N5" s="144">
        <f t="shared" si="8"/>
        <v>1263.0209442502078</v>
      </c>
      <c r="O5" s="144">
        <f t="shared" si="8"/>
        <v>1191.7526701096945</v>
      </c>
      <c r="P5" s="144" t="str">
        <f t="shared" si="8"/>
        <v>-</v>
      </c>
      <c r="Q5" s="144" t="str">
        <f t="shared" si="8"/>
        <v>-</v>
      </c>
      <c r="R5" s="144" t="str">
        <f t="shared" si="8"/>
        <v>-</v>
      </c>
      <c r="S5" s="144" t="str">
        <f t="shared" ref="S5" si="9">IFERROR(AVERAGE(S6:S18),"-")</f>
        <v>-</v>
      </c>
      <c r="T5" s="698">
        <f>IFERROR(SUMPRODUCT(T6:T21,CL6:CL21)/CL5,0)</f>
        <v>1236.2449319043906</v>
      </c>
      <c r="U5" s="698">
        <f>IFERROR(SUMPRODUCT(U6:U21,CM6:CM21)/CM5,0)</f>
        <v>1241.6149739997238</v>
      </c>
      <c r="V5" s="698">
        <f t="shared" ref="V5:AF5" si="10">IFERROR(SUMPRODUCT(V6:V21,CN6:CN21)/CN5,0)</f>
        <v>1262.9525048677733</v>
      </c>
      <c r="W5" s="698">
        <f t="shared" si="10"/>
        <v>1239.1703573603256</v>
      </c>
      <c r="X5" s="698">
        <f t="shared" si="10"/>
        <v>1228.4798319547613</v>
      </c>
      <c r="Y5" s="698">
        <f t="shared" si="10"/>
        <v>1247.7364322798712</v>
      </c>
      <c r="Z5" s="698">
        <f t="shared" si="10"/>
        <v>1231.839868739695</v>
      </c>
      <c r="AA5" s="698">
        <f t="shared" si="10"/>
        <v>1208.7097146491808</v>
      </c>
      <c r="AB5" s="698">
        <f t="shared" si="10"/>
        <v>1227.5932913563236</v>
      </c>
      <c r="AC5" s="698">
        <f t="shared" si="10"/>
        <v>1216.5373200569977</v>
      </c>
      <c r="AD5" s="698">
        <f t="shared" si="10"/>
        <v>0</v>
      </c>
      <c r="AE5" s="698">
        <f t="shared" si="10"/>
        <v>0</v>
      </c>
      <c r="AF5" s="698">
        <f t="shared" si="10"/>
        <v>0</v>
      </c>
      <c r="AH5" s="71">
        <f>IFERROR(AVERAGE(AH6:AH21),0)</f>
        <v>1215.4923115079364</v>
      </c>
      <c r="AI5" s="71">
        <f t="shared" ref="AI5:AT5" si="11">IFERROR(AVERAGE(AI6:AI21),0)</f>
        <v>1264.4444444444443</v>
      </c>
      <c r="AJ5" s="71">
        <f t="shared" si="11"/>
        <v>1255.5555555555557</v>
      </c>
      <c r="AK5" s="71">
        <f t="shared" si="11"/>
        <v>1261</v>
      </c>
      <c r="AL5" s="71">
        <f t="shared" si="11"/>
        <v>1277</v>
      </c>
      <c r="AM5" s="71">
        <f t="shared" si="11"/>
        <v>1277</v>
      </c>
      <c r="AN5" s="71">
        <f t="shared" si="11"/>
        <v>1249.8181818181818</v>
      </c>
      <c r="AO5" s="71">
        <f t="shared" si="11"/>
        <v>1275</v>
      </c>
      <c r="AP5" s="71">
        <f t="shared" si="11"/>
        <v>1262.3076923076924</v>
      </c>
      <c r="AQ5" s="71">
        <f t="shared" si="11"/>
        <v>1215.1428571428571</v>
      </c>
      <c r="AR5" s="71">
        <f t="shared" si="11"/>
        <v>0</v>
      </c>
      <c r="AS5" s="71">
        <f t="shared" si="11"/>
        <v>0</v>
      </c>
      <c r="AT5" s="71">
        <f t="shared" si="11"/>
        <v>0</v>
      </c>
      <c r="AV5" s="96">
        <f>IF(F5&lt;&gt;"-",T5-AH5,"-")</f>
        <v>20.752620396454176</v>
      </c>
      <c r="AW5" s="96">
        <f>IF(G5&lt;&gt;"-",U5-AI5,"-")</f>
        <v>-22.829470444720528</v>
      </c>
      <c r="AX5" s="96">
        <f t="shared" ref="AX5:BH11" si="12">IF(H5&lt;&gt;"-",V5-AJ5,"-")</f>
        <v>7.3969493122176573</v>
      </c>
      <c r="AY5" s="96">
        <f t="shared" si="12"/>
        <v>-21.829642639674375</v>
      </c>
      <c r="AZ5" s="96">
        <f t="shared" si="12"/>
        <v>-48.520168045238734</v>
      </c>
      <c r="BA5" s="96">
        <f t="shared" si="12"/>
        <v>-29.263567720128776</v>
      </c>
      <c r="BB5" s="96">
        <f t="shared" si="12"/>
        <v>-17.978313078486735</v>
      </c>
      <c r="BC5" s="96">
        <f t="shared" si="12"/>
        <v>-66.290285350819204</v>
      </c>
      <c r="BD5" s="96">
        <f t="shared" si="12"/>
        <v>-34.714400951368816</v>
      </c>
      <c r="BE5" s="96">
        <f t="shared" si="12"/>
        <v>1.394462914140604</v>
      </c>
      <c r="BF5" s="96" t="str">
        <f t="shared" si="12"/>
        <v>-</v>
      </c>
      <c r="BG5" s="96" t="str">
        <f t="shared" si="12"/>
        <v>-</v>
      </c>
      <c r="BH5" s="96" t="str">
        <f t="shared" si="12"/>
        <v>-</v>
      </c>
      <c r="BJ5" s="142">
        <f t="shared" ref="BJ5:BV11" si="13">IFERROR(IF(AV5&lt;&gt;"-",AV5/AH5,"-"),"-")</f>
        <v>1.707342794353716E-2</v>
      </c>
      <c r="BK5" s="142">
        <f t="shared" si="13"/>
        <v>-1.805494147649251E-2</v>
      </c>
      <c r="BL5" s="142">
        <f t="shared" si="13"/>
        <v>5.8913755584034432E-3</v>
      </c>
      <c r="BM5" s="142">
        <f t="shared" si="13"/>
        <v>-1.7311374020360329E-2</v>
      </c>
      <c r="BN5" s="142">
        <f t="shared" si="13"/>
        <v>-3.7995433081627825E-2</v>
      </c>
      <c r="BO5" s="142">
        <f t="shared" si="13"/>
        <v>-2.291587135483851E-2</v>
      </c>
      <c r="BP5" s="142">
        <f t="shared" si="13"/>
        <v>-1.4384742789013246E-2</v>
      </c>
      <c r="BQ5" s="142">
        <f t="shared" si="13"/>
        <v>-5.1992380667309178E-2</v>
      </c>
      <c r="BR5" s="142">
        <f t="shared" si="13"/>
        <v>-2.7500744202790649E-2</v>
      </c>
      <c r="BS5" s="142">
        <f t="shared" si="13"/>
        <v>1.1475711731700246E-3</v>
      </c>
      <c r="BT5" s="142" t="str">
        <f t="shared" si="13"/>
        <v>-</v>
      </c>
      <c r="BU5" s="142" t="str">
        <f t="shared" si="13"/>
        <v>-</v>
      </c>
      <c r="BV5" s="142" t="str">
        <f t="shared" si="13"/>
        <v>-</v>
      </c>
      <c r="BX5" s="113">
        <f>IFERROR(AVERAGE(BX6:BX21),0)</f>
        <v>1101.2402857954598</v>
      </c>
      <c r="BY5" s="113">
        <f t="shared" ref="BY5:CJ5" si="14">IFERROR(AVERAGE(BY6:BY21),0)</f>
        <v>1196.9780448840936</v>
      </c>
      <c r="BZ5" s="113">
        <f t="shared" si="14"/>
        <v>1012.9832583875288</v>
      </c>
      <c r="CA5" s="113">
        <f t="shared" si="14"/>
        <v>1020.7815486833506</v>
      </c>
      <c r="CB5" s="113">
        <f t="shared" si="14"/>
        <v>1014.7910815862638</v>
      </c>
      <c r="CC5" s="113">
        <f t="shared" si="14"/>
        <v>1108.3666244754313</v>
      </c>
      <c r="CD5" s="113">
        <f t="shared" si="14"/>
        <v>1035.8762500267831</v>
      </c>
      <c r="CE5" s="113">
        <f t="shared" si="14"/>
        <v>1057.2102229473055</v>
      </c>
      <c r="CF5" s="113">
        <f t="shared" si="14"/>
        <v>1074.0944313557045</v>
      </c>
      <c r="CG5" s="113">
        <f t="shared" si="14"/>
        <v>1078.7911952388001</v>
      </c>
      <c r="CH5" s="113">
        <f t="shared" si="14"/>
        <v>0</v>
      </c>
      <c r="CI5" s="113">
        <f t="shared" si="14"/>
        <v>0</v>
      </c>
      <c r="CJ5" s="113">
        <f t="shared" si="14"/>
        <v>0</v>
      </c>
      <c r="CL5" s="113">
        <f>SUM(CL6:CL21)</f>
        <v>33149.884699999988</v>
      </c>
      <c r="CM5" s="113">
        <f t="shared" ref="CM5:CX5" si="15">SUM(CM6:CM21)</f>
        <v>3296.1492999999996</v>
      </c>
      <c r="CN5" s="113">
        <f t="shared" si="15"/>
        <v>5148</v>
      </c>
      <c r="CO5" s="113">
        <f t="shared" si="15"/>
        <v>4019.3</v>
      </c>
      <c r="CP5" s="113">
        <f t="shared" si="15"/>
        <v>3574.3999999999996</v>
      </c>
      <c r="CQ5" s="113">
        <f t="shared" si="15"/>
        <v>4207.0103000000008</v>
      </c>
      <c r="CR5" s="113">
        <f t="shared" si="15"/>
        <v>3103.0829999999996</v>
      </c>
      <c r="CS5" s="113">
        <f t="shared" si="15"/>
        <v>3670.3490999999999</v>
      </c>
      <c r="CT5" s="113">
        <f t="shared" si="15"/>
        <v>4344.5930000000008</v>
      </c>
      <c r="CU5" s="113">
        <f t="shared" si="15"/>
        <v>1786.9999999999995</v>
      </c>
      <c r="CV5" s="113">
        <f t="shared" si="15"/>
        <v>0</v>
      </c>
      <c r="CW5" s="113">
        <f t="shared" si="15"/>
        <v>0</v>
      </c>
      <c r="CX5" s="113">
        <f t="shared" si="15"/>
        <v>0</v>
      </c>
      <c r="CZ5" s="113">
        <f>SUM(CZ6:CZ21)</f>
        <v>41945908.429800391</v>
      </c>
      <c r="DA5" s="113">
        <f t="shared" ref="DA5:DL5" si="16">SUM(DA6:DA21)</f>
        <v>4201310.5062625455</v>
      </c>
      <c r="DB5" s="113">
        <f t="shared" si="16"/>
        <v>6690324.8224891685</v>
      </c>
      <c r="DC5" s="113">
        <f t="shared" si="16"/>
        <v>5076011.9903543303</v>
      </c>
      <c r="DD5" s="113">
        <f t="shared" si="16"/>
        <v>4482289.947309331</v>
      </c>
      <c r="DE5" s="113">
        <f t="shared" si="16"/>
        <v>5382981.3937354991</v>
      </c>
      <c r="DF5" s="113">
        <f t="shared" si="16"/>
        <v>3901285.2548611118</v>
      </c>
      <c r="DG5" s="113">
        <f t="shared" si="16"/>
        <v>4528082.2754514022</v>
      </c>
      <c r="DH5" s="113">
        <f t="shared" si="16"/>
        <v>5455204.8656608108</v>
      </c>
      <c r="DI5" s="113">
        <f t="shared" si="16"/>
        <v>2228417.3736761906</v>
      </c>
      <c r="DJ5" s="113">
        <f t="shared" si="16"/>
        <v>0</v>
      </c>
      <c r="DK5" s="113">
        <f t="shared" si="16"/>
        <v>0</v>
      </c>
      <c r="DL5" s="113">
        <f t="shared" si="16"/>
        <v>0</v>
      </c>
      <c r="DN5" s="113">
        <f>SUM(DN6:DN21)</f>
        <v>6765624.744342397</v>
      </c>
      <c r="DO5" s="113">
        <f t="shared" ref="DO5:DZ5" si="17">SUM(DO6:DO21)</f>
        <v>687307.65222802118</v>
      </c>
      <c r="DP5" s="113">
        <f t="shared" si="17"/>
        <v>1377125.4019123886</v>
      </c>
      <c r="DQ5" s="113">
        <f t="shared" si="17"/>
        <v>889029.4250155224</v>
      </c>
      <c r="DR5" s="113">
        <f t="shared" si="17"/>
        <v>761785.04045253142</v>
      </c>
      <c r="DS5" s="113">
        <f t="shared" si="17"/>
        <v>919114.73156741401</v>
      </c>
      <c r="DT5" s="113">
        <f t="shared" si="17"/>
        <v>549737.94009202137</v>
      </c>
      <c r="DU5" s="113">
        <f t="shared" si="17"/>
        <v>538727.40952057426</v>
      </c>
      <c r="DV5" s="113">
        <f t="shared" si="17"/>
        <v>750587.61524064129</v>
      </c>
      <c r="DW5" s="113">
        <f t="shared" si="17"/>
        <v>292209.52831328346</v>
      </c>
      <c r="DX5" s="113">
        <f t="shared" si="17"/>
        <v>0</v>
      </c>
      <c r="DY5" s="113">
        <f t="shared" si="17"/>
        <v>0</v>
      </c>
      <c r="DZ5" s="113">
        <f t="shared" si="17"/>
        <v>0</v>
      </c>
      <c r="EB5" s="570">
        <f t="shared" ref="EB5:EC18" si="18">IFERROR(DN5/CZ5,0)</f>
        <v>0.16129403313949381</v>
      </c>
      <c r="EC5" s="570">
        <f t="shared" si="18"/>
        <v>0.16359363374916197</v>
      </c>
      <c r="ED5" s="570">
        <f t="shared" ref="ED5:ED71" si="19">IFERROR(DP5/DB5,0)</f>
        <v>0.20583834693395683</v>
      </c>
      <c r="EE5" s="570">
        <f t="shared" ref="EE5:EE71" si="20">IFERROR(DQ5/DC5,0)</f>
        <v>0.17514328703417106</v>
      </c>
      <c r="EF5" s="570">
        <f t="shared" ref="EF5:EF71" si="21">IFERROR(DR5/DD5,0)</f>
        <v>0.16995443164265234</v>
      </c>
      <c r="EG5" s="570">
        <f t="shared" ref="EG5:EG71" si="22">IFERROR(DS5/DE5,0)</f>
        <v>0.17074454922639029</v>
      </c>
      <c r="EH5" s="570">
        <f t="shared" ref="EH5:EH71" si="23">IFERROR(DT5/DF5,0)</f>
        <v>0.14091200826882175</v>
      </c>
      <c r="EI5" s="570">
        <f t="shared" ref="EI5:EI71" si="24">IFERROR(DU5/DG5,0)</f>
        <v>0.1189747395804262</v>
      </c>
      <c r="EJ5" s="570">
        <f t="shared" ref="EJ5:EJ71" si="25">IFERROR(DV5/DH5,0)</f>
        <v>0.1375910957928286</v>
      </c>
      <c r="EK5" s="570">
        <f t="shared" ref="EK5:EK71" si="26">IFERROR(DW5/DI5,0)</f>
        <v>0.13112872470170581</v>
      </c>
      <c r="EL5" s="570">
        <f t="shared" ref="EL5:EL71" si="27">IFERROR(DX5/DJ5,0)</f>
        <v>0</v>
      </c>
      <c r="EM5" s="570">
        <f t="shared" ref="EM5:EM71" si="28">IFERROR(DY5/DK5,0)</f>
        <v>0</v>
      </c>
      <c r="EN5" s="570">
        <f t="shared" ref="EN5:EN71" si="29">IFERROR(DZ5/DL5,0)</f>
        <v>0</v>
      </c>
    </row>
    <row r="6" spans="1:144" s="24" customFormat="1" ht="15.5" outlineLevel="1" x14ac:dyDescent="0.3">
      <c r="A6" s="42">
        <v>1</v>
      </c>
      <c r="B6" s="42" t="s">
        <v>166</v>
      </c>
      <c r="C6" s="584" t="s">
        <v>312</v>
      </c>
      <c r="D6" s="701" t="s">
        <v>110</v>
      </c>
      <c r="E6" s="702" t="s">
        <v>369</v>
      </c>
      <c r="F6" s="109">
        <f t="shared" ref="F6:F14" si="30">IFERROR(AVERAGE(G6:R6),"-")</f>
        <v>1233.8435183391664</v>
      </c>
      <c r="G6" s="106">
        <f>IFERROR(SUMIFS('01. KE30'!$K:$K,'01. KE30'!$F:$F,'05. BC BH THEO SKU-USD'!$D6,'01. KE30'!$A:$A,'05. BC BH THEO SKU-USD'!G$4)/'05. BC BH THEO SKU-USD'!CM6/'02. Tỷ giá'!B$5,"-")</f>
        <v>1240.228208492656</v>
      </c>
      <c r="H6" s="106">
        <f>IFERROR(SUMIFS('01. KE30'!$K:$K,'01. KE30'!$F:$F,'05. BC BH THEO SKU-USD'!$D6,'01. KE30'!$A:$A,'05. BC BH THEO SKU-USD'!H$4)/'05. BC BH THEO SKU-USD'!CN6/'02. Tỷ giá'!C$5,"-")</f>
        <v>1272.7359857251049</v>
      </c>
      <c r="I6" s="106">
        <f>IFERROR(SUMIFS('01. KE30'!$K:$K,'01. KE30'!$F:$F,'05. BC BH THEO SKU-USD'!$D6,'01. KE30'!$A:$A,'05. BC BH THEO SKU-USD'!I$4)/'05. BC BH THEO SKU-USD'!CO6/'02. Tỷ giá'!D$5,"-")</f>
        <v>1258.0534428221604</v>
      </c>
      <c r="J6" s="106">
        <f>IFERROR(SUMIFS('01. KE30'!$K:$K,'01. KE30'!$F:$F,'05. BC BH THEO SKU-USD'!$D6,'01. KE30'!$A:$A,'05. BC BH THEO SKU-USD'!J$4)/'05. BC BH THEO SKU-USD'!CP6/'02. Tỷ giá'!E$5,"-")</f>
        <v>1220.9661666334648</v>
      </c>
      <c r="K6" s="106">
        <f>IFERROR(SUMIFS('01. KE30'!$K:$K,'01. KE30'!$F:$F,'05. BC BH THEO SKU-USD'!$D6,'01. KE30'!$A:$A,'05. BC BH THEO SKU-USD'!K$4)/'05. BC BH THEO SKU-USD'!CQ6/'02. Tỷ giá'!F$5,"-")</f>
        <v>1226.2005573011422</v>
      </c>
      <c r="L6" s="106">
        <f>IFERROR(SUMIFS('01. KE30'!$K:$K,'01. KE30'!$F:$F,'05. BC BH THEO SKU-USD'!$D6,'01. KE30'!$A:$A,'05. BC BH THEO SKU-USD'!L$4)/'05. BC BH THEO SKU-USD'!CR6/'02. Tỷ giá'!G$5,"-")</f>
        <v>1232.657194154712</v>
      </c>
      <c r="M6" s="106">
        <f>IFERROR(SUMIFS('01. KE30'!$K:$K,'01. KE30'!$F:$F,'05. BC BH THEO SKU-USD'!$D6,'01. KE30'!$A:$A,'05. BC BH THEO SKU-USD'!M$4)/'05. BC BH THEO SKU-USD'!CS6/'02. Tỷ giá'!H$5,"-")</f>
        <v>1227.2078633788865</v>
      </c>
      <c r="N6" s="106">
        <f>IFERROR(SUMIFS('01. KE30'!$K:$K,'01. KE30'!$F:$F,'05. BC BH THEO SKU-USD'!$D6,'01. KE30'!$A:$A,'05. BC BH THEO SKU-USD'!N$4)/'05. BC BH THEO SKU-USD'!CT6/'02. Tỷ giá'!I$5,"-")</f>
        <v>1195.9103639443902</v>
      </c>
      <c r="O6" s="106">
        <f>IFERROR(SUMIFS('01. KE30'!$K:$K,'01. KE30'!$F:$F,'05. BC BH THEO SKU-USD'!$D6,'01. KE30'!$A:$A,'05. BC BH THEO SKU-USD'!O$4)/'05. BC BH THEO SKU-USD'!CU6/'02. Tỷ giá'!J$5,"-")</f>
        <v>1230.6318825999817</v>
      </c>
      <c r="P6" s="106" t="str">
        <f>IFERROR(SUMIFS('01. KE30'!$K:$K,'01. KE30'!$F:$F,'05. BC BH THEO SKU-USD'!$D6,'01. KE30'!$A:$A,'05. BC BH THEO SKU-USD'!P$4)/'05. BC BH THEO SKU-USD'!CV6/'02. Tỷ giá'!K$5,"-")</f>
        <v>-</v>
      </c>
      <c r="Q6" s="106" t="str">
        <f>IFERROR(SUMIFS('01. KE30'!$K:$K,'01. KE30'!$F:$F,'05. BC BH THEO SKU-USD'!$D6,'01. KE30'!$A:$A,'05. BC BH THEO SKU-USD'!Q$4)/'05. BC BH THEO SKU-USD'!CW6/'02. Tỷ giá'!L$5,"-")</f>
        <v>-</v>
      </c>
      <c r="R6" s="106" t="str">
        <f>IFERROR(SUMIFS('01. KE30'!$K:$K,'01. KE30'!$F:$F,'05. BC BH THEO SKU-USD'!$D6,'01. KE30'!$A:$A,'05. BC BH THEO SKU-USD'!R$4)/'05. BC BH THEO SKU-USD'!CX6/'02. Tỷ giá'!M$5,"-")</f>
        <v>-</v>
      </c>
      <c r="T6" s="92">
        <f>IFERROR(SUMPRODUCT(U6:AF6,CM6:CX6)/CL6,0)</f>
        <v>1208.672881891247</v>
      </c>
      <c r="U6" s="147">
        <f>IFERROR(SUMIFS('01. KE30'!$O:$O,'01. KE30'!$F:$F,'05. BC BH THEO SKU-USD'!$D6,'01. KE30'!$A:$A,'05. BC BH THEO SKU-USD'!G$4)/'05. BC BH THEO SKU-USD'!CM6/'02. Tỷ giá'!B$5,"-")</f>
        <v>1213.9814607064466</v>
      </c>
      <c r="V6" s="147">
        <f>IFERROR(SUMIFS('01. KE30'!$O:$O,'01. KE30'!$F:$F,'05. BC BH THEO SKU-USD'!$D6,'01. KE30'!$A:$A,'05. BC BH THEO SKU-USD'!H$4)/'05. BC BH THEO SKU-USD'!CN6/'02. Tỷ giá'!C$5,"-")</f>
        <v>1245.5340927152079</v>
      </c>
      <c r="W6" s="147">
        <f>IFERROR(SUMIFS('01. KE30'!$O:$O,'01. KE30'!$F:$F,'05. BC BH THEO SKU-USD'!$D6,'01. KE30'!$A:$A,'05. BC BH THEO SKU-USD'!I$4)/'05. BC BH THEO SKU-USD'!CO6/'02. Tỷ giá'!D$5,"-")</f>
        <v>1231.7094837950942</v>
      </c>
      <c r="X6" s="147">
        <f>IFERROR(SUMIFS('01. KE30'!$O:$O,'01. KE30'!$F:$F,'05. BC BH THEO SKU-USD'!$D6,'01. KE30'!$A:$A,'05. BC BH THEO SKU-USD'!J$4)/'05. BC BH THEO SKU-USD'!CP6/'02. Tỷ giá'!E$5,"-")</f>
        <v>1192.7136094661078</v>
      </c>
      <c r="Y6" s="147">
        <f>IFERROR(SUMIFS('01. KE30'!$O:$O,'01. KE30'!$F:$F,'05. BC BH THEO SKU-USD'!$D6,'01. KE30'!$A:$A,'05. BC BH THEO SKU-USD'!K$4)/'05. BC BH THEO SKU-USD'!CQ6/'02. Tỷ giá'!F$5,"-")</f>
        <v>1199.7628172613076</v>
      </c>
      <c r="Z6" s="147">
        <f>IFERROR(SUMIFS('01. KE30'!$O:$O,'01. KE30'!$F:$F,'05. BC BH THEO SKU-USD'!$D6,'01. KE30'!$A:$A,'05. BC BH THEO SKU-USD'!L$4)/'05. BC BH THEO SKU-USD'!CR6/'02. Tỷ giá'!G$5,"-")</f>
        <v>1210.0385448108937</v>
      </c>
      <c r="AA6" s="147">
        <f>IFERROR(SUMIFS('01. KE30'!$O:$O,'01. KE30'!$F:$F,'05. BC BH THEO SKU-USD'!$D6,'01. KE30'!$A:$A,'05. BC BH THEO SKU-USD'!M$4)/'05. BC BH THEO SKU-USD'!CS6/'02. Tỷ giá'!H$5,"-")</f>
        <v>1198.6458034955947</v>
      </c>
      <c r="AB6" s="147">
        <f>IFERROR(SUMIFS('01. KE30'!$O:$O,'01. KE30'!$F:$F,'05. BC BH THEO SKU-USD'!$D6,'01. KE30'!$A:$A,'05. BC BH THEO SKU-USD'!N$4)/'05. BC BH THEO SKU-USD'!CT6/'02. Tỷ giá'!I$5,"-")</f>
        <v>1170.8319376466734</v>
      </c>
      <c r="AC6" s="147">
        <f>IFERROR(SUMIFS('01. KE30'!$O:$O,'01. KE30'!$F:$F,'05. BC BH THEO SKU-USD'!$D6,'01. KE30'!$A:$A,'05. BC BH THEO SKU-USD'!O$4)/'05. BC BH THEO SKU-USD'!CU6/'02. Tỷ giá'!J$5,"-")</f>
        <v>1206.9922364520946</v>
      </c>
      <c r="AD6" s="147" t="str">
        <f>IFERROR(SUMIFS('01. KE30'!$O:$O,'01. KE30'!$F:$F,'05. BC BH THEO SKU-USD'!$D6,'01. KE30'!$A:$A,'05. BC BH THEO SKU-USD'!P$4)/'05. BC BH THEO SKU-USD'!CV6/'02. Tỷ giá'!K$5,"-")</f>
        <v>-</v>
      </c>
      <c r="AE6" s="147" t="str">
        <f>IFERROR(SUMIFS('01. KE30'!$O:$O,'01. KE30'!$F:$F,'05. BC BH THEO SKU-USD'!$D6,'01. KE30'!$A:$A,'05. BC BH THEO SKU-USD'!Q$4)/'05. BC BH THEO SKU-USD'!CW6/'02. Tỷ giá'!L$5,"-")</f>
        <v>-</v>
      </c>
      <c r="AF6" s="147" t="str">
        <f>IFERROR(SUMIFS('01. KE30'!$O:$O,'01. KE30'!$F:$F,'05. BC BH THEO SKU-USD'!$D6,'01. KE30'!$A:$A,'05. BC BH THEO SKU-USD'!R$4)/'05. BC BH THEO SKU-USD'!CX6/'02. Tỷ giá'!M$5,"-")</f>
        <v>-</v>
      </c>
      <c r="AH6" s="92">
        <f>IFERROR(AVERAGE(AI6:AT6),"-")</f>
        <v>1236.6666666666667</v>
      </c>
      <c r="AI6" s="25">
        <v>1230</v>
      </c>
      <c r="AJ6" s="25">
        <v>1230</v>
      </c>
      <c r="AK6" s="25">
        <v>1230</v>
      </c>
      <c r="AL6" s="25">
        <f>AK6+20</f>
        <v>1250</v>
      </c>
      <c r="AM6" s="25">
        <v>1250</v>
      </c>
      <c r="AN6" s="25">
        <v>1250</v>
      </c>
      <c r="AO6" s="25">
        <v>1250</v>
      </c>
      <c r="AP6" s="25">
        <v>1220</v>
      </c>
      <c r="AQ6" s="25">
        <v>1220</v>
      </c>
      <c r="AR6" s="25"/>
      <c r="AS6" s="25"/>
      <c r="AT6" s="25"/>
      <c r="AV6" s="95">
        <f>IF(F6&lt;&gt;"-",T6-AH6,"-")</f>
        <v>-27.993784775419726</v>
      </c>
      <c r="AW6" s="95">
        <f>IF(G6&lt;&gt;"-",U6-AI6,"-")</f>
        <v>-16.018539293553431</v>
      </c>
      <c r="AX6" s="95">
        <f t="shared" si="12"/>
        <v>15.534092715207862</v>
      </c>
      <c r="AY6" s="95">
        <f t="shared" si="12"/>
        <v>1.7094837950942292</v>
      </c>
      <c r="AZ6" s="95">
        <f t="shared" si="12"/>
        <v>-57.286390533892245</v>
      </c>
      <c r="BA6" s="95">
        <f t="shared" si="12"/>
        <v>-50.237182738692354</v>
      </c>
      <c r="BB6" s="95">
        <f t="shared" si="12"/>
        <v>-39.961455189106346</v>
      </c>
      <c r="BC6" s="95">
        <f t="shared" si="12"/>
        <v>-51.354196504405309</v>
      </c>
      <c r="BD6" s="95">
        <f t="shared" si="12"/>
        <v>-49.168062353326604</v>
      </c>
      <c r="BE6" s="95">
        <f t="shared" si="12"/>
        <v>-13.00776354790537</v>
      </c>
      <c r="BF6" s="95" t="str">
        <f t="shared" si="12"/>
        <v>-</v>
      </c>
      <c r="BG6" s="95" t="str">
        <f t="shared" si="12"/>
        <v>-</v>
      </c>
      <c r="BH6" s="95" t="str">
        <f t="shared" si="12"/>
        <v>-</v>
      </c>
      <c r="BJ6" s="143">
        <f>IFERROR(IF(AV6&lt;&gt;"-",AV6/AH6,"-"),"-")</f>
        <v>-2.263648364589196E-2</v>
      </c>
      <c r="BK6" s="143">
        <f t="shared" si="13"/>
        <v>-1.3023202677685716E-2</v>
      </c>
      <c r="BL6" s="143">
        <f t="shared" si="13"/>
        <v>1.2629343670900701E-2</v>
      </c>
      <c r="BM6" s="143">
        <f t="shared" si="13"/>
        <v>1.3898242236538448E-3</v>
      </c>
      <c r="BN6" s="143">
        <f t="shared" si="13"/>
        <v>-4.5829112427113794E-2</v>
      </c>
      <c r="BO6" s="143">
        <f t="shared" si="13"/>
        <v>-4.0189746190953883E-2</v>
      </c>
      <c r="BP6" s="143">
        <f t="shared" si="13"/>
        <v>-3.1969164151285076E-2</v>
      </c>
      <c r="BQ6" s="143">
        <f t="shared" si="13"/>
        <v>-4.1083357203524247E-2</v>
      </c>
      <c r="BR6" s="143">
        <f t="shared" si="13"/>
        <v>-4.0301690453546396E-2</v>
      </c>
      <c r="BS6" s="143">
        <f t="shared" si="13"/>
        <v>-1.0662101268774893E-2</v>
      </c>
      <c r="BT6" s="143" t="str">
        <f t="shared" si="13"/>
        <v>-</v>
      </c>
      <c r="BU6" s="143" t="str">
        <f t="shared" si="13"/>
        <v>-</v>
      </c>
      <c r="BV6" s="143" t="str">
        <f t="shared" si="13"/>
        <v>-</v>
      </c>
      <c r="BX6" s="112">
        <f t="shared" ref="BX6:BX18" si="31">IFERROR(AVERAGE(BY6:CJ6),"-")</f>
        <v>1043.6474839471325</v>
      </c>
      <c r="BY6" s="95">
        <f>IFERROR(SUMIFS('01. KE30'!$R:$R,'01. KE30'!$F:$F,'05. BC BH THEO SKU-USD'!$D6,'01. KE30'!$A:$A,'05. BC BH THEO SKU-USD'!BY$4)/CM6/'02. Tỷ giá'!B$5," -")</f>
        <v>1026.9498248876423</v>
      </c>
      <c r="BZ6" s="95">
        <f>IFERROR(SUMIFS('01. KE30'!$R:$R,'01. KE30'!$F:$F,'05. BC BH THEO SKU-USD'!$D6,'01. KE30'!$A:$A,'05. BC BH THEO SKU-USD'!BZ$4)/CN6/'02. Tỷ giá'!C$5," -")</f>
        <v>987.02003653930785</v>
      </c>
      <c r="CA6" s="95">
        <f>IFERROR(SUMIFS('01. KE30'!$R:$R,'01. KE30'!$F:$F,'05. BC BH THEO SKU-USD'!$D6,'01. KE30'!$A:$A,'05. BC BH THEO SKU-USD'!CA$4)/CO6/'02. Tỷ giá'!D$5," -")</f>
        <v>1032.9728990884421</v>
      </c>
      <c r="CB6" s="95">
        <f>IFERROR(SUMIFS('01. KE30'!$R:$R,'01. KE30'!$F:$F,'05. BC BH THEO SKU-USD'!$D6,'01. KE30'!$A:$A,'05. BC BH THEO SKU-USD'!CB$4)/CP6/'02. Tỷ giá'!E$5," -")</f>
        <v>1040.2917045014606</v>
      </c>
      <c r="CC6" s="95">
        <f>IFERROR(SUMIFS('01. KE30'!$R:$R,'01. KE30'!$F:$F,'05. BC BH THEO SKU-USD'!$D6,'01. KE30'!$A:$A,'05. BC BH THEO SKU-USD'!CC$4)/CQ6/'02. Tỷ giá'!F$5," -")</f>
        <v>1049.5963931659987</v>
      </c>
      <c r="CD6" s="95">
        <f>IFERROR(SUMIFS('01. KE30'!$R:$R,'01. KE30'!$F:$F,'05. BC BH THEO SKU-USD'!$D6,'01. KE30'!$A:$A,'05. BC BH THEO SKU-USD'!CD$4)/CR6/'02. Tỷ giá'!G$5," -")</f>
        <v>1078.8699265258829</v>
      </c>
      <c r="CE6" s="95">
        <f>IFERROR(SUMIFS('01. KE30'!$R:$R,'01. KE30'!$F:$F,'05. BC BH THEO SKU-USD'!$D6,'01. KE30'!$A:$A,'05. BC BH THEO SKU-USD'!CE$4)/CS6/'02. Tỷ giá'!H$5," -")</f>
        <v>1095.1091940485276</v>
      </c>
      <c r="CF6" s="95">
        <f>IFERROR(SUMIFS('01. KE30'!$R:$R,'01. KE30'!$F:$F,'05. BC BH THEO SKU-USD'!$D6,'01. KE30'!$A:$A,'05. BC BH THEO SKU-USD'!CF$4)/CT6/'02. Tỷ giá'!I$5," -")</f>
        <v>1060.8793162579466</v>
      </c>
      <c r="CG6" s="95">
        <f>IFERROR(SUMIFS('01. KE30'!$R:$R,'01. KE30'!$F:$F,'05. BC BH THEO SKU-USD'!$D6,'01. KE30'!$A:$A,'05. BC BH THEO SKU-USD'!CG$4)/CU6/'02. Tỷ giá'!J$5," -")</f>
        <v>1021.1380605089832</v>
      </c>
      <c r="CH6" s="95" t="str">
        <f>IFERROR(SUMIFS('01. KE30'!$R:$R,'01. KE30'!$F:$F,'05. BC BH THEO SKU-USD'!$D6,'01. KE30'!$A:$A,'05. BC BH THEO SKU-USD'!CH$4)/CV6/'02. Tỷ giá'!K$5," -")</f>
        <v xml:space="preserve"> -</v>
      </c>
      <c r="CI6" s="95" t="str">
        <f>IFERROR(SUMIFS('01. KE30'!$R:$R,'01. KE30'!$F:$F,'05. BC BH THEO SKU-USD'!$D6,'01. KE30'!$A:$A,'05. BC BH THEO SKU-USD'!CI$4)/CW6/'02. Tỷ giá'!L$5," -")</f>
        <v xml:space="preserve"> -</v>
      </c>
      <c r="CJ6" s="95" t="str">
        <f>IFERROR(SUMIFS('01. KE30'!$R:$R,'01. KE30'!$F:$F,'05. BC BH THEO SKU-USD'!$D6,'01. KE30'!$A:$A,'05. BC BH THEO SKU-USD'!CJ$4)/CX6/'02. Tỷ giá'!M$5," -")</f>
        <v xml:space="preserve"> -</v>
      </c>
      <c r="CL6" s="112">
        <f t="shared" ref="CL6:CL11" si="32">SUM(CM6:CX6)</f>
        <v>16286.224999999999</v>
      </c>
      <c r="CM6" s="54">
        <f>SUMIFS('01. KE30'!$I:$I,'01. KE30'!$F:$F,'05. BC BH THEO SKU-USD'!$D6,'01. KE30'!$A:$A,'05. BC BH THEO SKU-USD'!CM$4)/1000</f>
        <v>2740.1</v>
      </c>
      <c r="CN6" s="54">
        <f>SUMIFS('01. KE30'!$I:$I,'01. KE30'!$F:$F,'05. BC BH THEO SKU-USD'!$D6,'01. KE30'!$A:$A,'05. BC BH THEO SKU-USD'!CN$4)/1000</f>
        <v>2172.5</v>
      </c>
      <c r="CO6" s="54">
        <f>SUMIFS('01. KE30'!$I:$I,'01. KE30'!$F:$F,'05. BC BH THEO SKU-USD'!$D6,'01. KE30'!$A:$A,'05. BC BH THEO SKU-USD'!CO$4)/1000</f>
        <v>1581.7</v>
      </c>
      <c r="CP6" s="54">
        <f>SUMIFS('01. KE30'!$I:$I,'01. KE30'!$F:$F,'05. BC BH THEO SKU-USD'!$D6,'01. KE30'!$A:$A,'05. BC BH THEO SKU-USD'!CP$4)/1000</f>
        <v>1699.5</v>
      </c>
      <c r="CQ6" s="54">
        <f>SUMIFS('01. KE30'!$I:$I,'01. KE30'!$F:$F,'05. BC BH THEO SKU-USD'!$D6,'01. KE30'!$A:$A,'05. BC BH THEO SKU-USD'!CQ$4)/1000</f>
        <v>1785.3</v>
      </c>
      <c r="CR6" s="54">
        <f>SUMIFS('01. KE30'!$I:$I,'01. KE30'!$F:$F,'05. BC BH THEO SKU-USD'!$D6,'01. KE30'!$A:$A,'05. BC BH THEO SKU-USD'!CR$4)/1000</f>
        <v>1272.7249999999999</v>
      </c>
      <c r="CS6" s="54">
        <f>SUMIFS('01. KE30'!$I:$I,'01. KE30'!$F:$F,'05. BC BH THEO SKU-USD'!$D6,'01. KE30'!$A:$A,'05. BC BH THEO SKU-USD'!CS$4)/1000</f>
        <v>2068</v>
      </c>
      <c r="CT6" s="54">
        <f>SUMIFS('01. KE30'!$I:$I,'01. KE30'!$F:$F,'05. BC BH THEO SKU-USD'!$D6,'01. KE30'!$A:$A,'05. BC BH THEO SKU-USD'!CT$4)/1000</f>
        <v>1771.3</v>
      </c>
      <c r="CU6" s="54">
        <f>SUMIFS('01. KE30'!$I:$I,'01. KE30'!$F:$F,'05. BC BH THEO SKU-USD'!$D6,'01. KE30'!$A:$A,'05. BC BH THEO SKU-USD'!CU$4)/1000</f>
        <v>1195.0999999999999</v>
      </c>
      <c r="CV6" s="54">
        <f>SUMIFS('01. KE30'!$I:$I,'01. KE30'!$F:$F,'05. BC BH THEO SKU-USD'!$D6,'01. KE30'!$A:$A,'05. BC BH THEO SKU-USD'!CV$4)/1000</f>
        <v>0</v>
      </c>
      <c r="CW6" s="54">
        <f>SUMIFS('01. KE30'!$I:$I,'01. KE30'!$F:$F,'05. BC BH THEO SKU-USD'!$D6,'01. KE30'!$A:$A,'05. BC BH THEO SKU-USD'!CW$4)/1000</f>
        <v>0</v>
      </c>
      <c r="CX6" s="54">
        <f>SUMIFS('01. KE30'!$I:$I,'01. KE30'!$F:$F,'05. BC BH THEO SKU-USD'!$D6,'01. KE30'!$A:$A,'05. BC BH THEO SKU-USD'!CX$4)/1000</f>
        <v>0</v>
      </c>
      <c r="CZ6" s="112">
        <f t="shared" ref="CZ6:CZ11" si="33">SUM(DA6:DL6)</f>
        <v>20113142.90818166</v>
      </c>
      <c r="DA6" s="54">
        <f>IFERROR(G6*CM6," -")</f>
        <v>3398349.3140907264</v>
      </c>
      <c r="DB6" s="54">
        <f t="shared" ref="DB6:DL6" si="34">IFERROR(H6*CN6," -")</f>
        <v>2765018.9289877904</v>
      </c>
      <c r="DC6" s="54">
        <f t="shared" si="34"/>
        <v>1989863.1305118112</v>
      </c>
      <c r="DD6" s="54">
        <f t="shared" si="34"/>
        <v>2075032.0001935735</v>
      </c>
      <c r="DE6" s="54">
        <f t="shared" si="34"/>
        <v>2189135.8549497291</v>
      </c>
      <c r="DF6" s="54">
        <f t="shared" si="34"/>
        <v>1568833.6274305556</v>
      </c>
      <c r="DG6" s="54">
        <f t="shared" si="34"/>
        <v>2537865.8614675375</v>
      </c>
      <c r="DH6" s="54">
        <f t="shared" si="34"/>
        <v>2118316.0276546981</v>
      </c>
      <c r="DI6" s="54">
        <f t="shared" si="34"/>
        <v>1470728.162895238</v>
      </c>
      <c r="DJ6" s="54" t="str">
        <f t="shared" si="34"/>
        <v xml:space="preserve"> -</v>
      </c>
      <c r="DK6" s="54" t="str">
        <f t="shared" si="34"/>
        <v xml:space="preserve"> -</v>
      </c>
      <c r="DL6" s="54" t="str">
        <f t="shared" si="34"/>
        <v xml:space="preserve"> -</v>
      </c>
      <c r="DN6" s="112">
        <f>SUM(DO6:DZ6)</f>
        <v>2713510.6647833213</v>
      </c>
      <c r="DO6" s="114">
        <f>IFERROR(SUMIFS('01. KE30'!$X:$X,'01. KE30'!$F:$F,'05. BC BH THEO SKU-USD'!$D6,'01. KE30'!$A:$A,'05. BC BH THEO SKU-USD'!DO$4)-SUMIFS('01. KE30'!$AA:$AA,'01. KE30'!$F:$F,'05. BC BH THEO SKU-USD'!$D6,'01. KE30'!$A:$A,'05. BC BH THEO SKU-USD'!DO$4),"-")</f>
        <v>512485.38530710572</v>
      </c>
      <c r="DP6" s="114">
        <f>IFERROR(SUMIFS('01. KE30'!$X:$X,'01. KE30'!$F:$F,'05. BC BH THEO SKU-USD'!$D6,'01. KE30'!$A:$A,'05. BC BH THEO SKU-USD'!DP$4)-SUMIFS('01. KE30'!$AA:$AA,'01. KE30'!$F:$F,'05. BC BH THEO SKU-USD'!$D6,'01. KE30'!$A:$A,'05. BC BH THEO SKU-USD'!DP$4),"-")</f>
        <v>561621.78704214236</v>
      </c>
      <c r="DQ6" s="114">
        <f>IFERROR(SUMIFS('01. KE30'!$X:$X,'01. KE30'!$F:$F,'05. BC BH THEO SKU-USD'!$D6,'01. KE30'!$A:$A,'05. BC BH THEO SKU-USD'!DQ$4)-SUMIFS('01. KE30'!$AA:$AA,'01. KE30'!$F:$F,'05. BC BH THEO SKU-USD'!$D6,'01. KE30'!$A:$A,'05. BC BH THEO SKU-USD'!DQ$4),"-")</f>
        <v>314341.65603051195</v>
      </c>
      <c r="DR6" s="114">
        <f>IFERROR(SUMIFS('01. KE30'!$X:$X,'01. KE30'!$F:$F,'05. BC BH THEO SKU-USD'!$D6,'01. KE30'!$A:$A,'05. BC BH THEO SKU-USD'!DR$4)-SUMIFS('01. KE30'!$AA:$AA,'01. KE30'!$F:$F,'05. BC BH THEO SKU-USD'!$D6,'01. KE30'!$A:$A,'05. BC BH THEO SKU-USD'!DR$4),"-")</f>
        <v>259041.02748741768</v>
      </c>
      <c r="DS6" s="114">
        <f>IFERROR(SUMIFS('01. KE30'!$X:$X,'01. KE30'!$F:$F,'05. BC BH THEO SKU-USD'!$D6,'01. KE30'!$A:$A,'05. BC BH THEO SKU-USD'!DS$4)-SUMIFS('01. KE30'!$AA:$AA,'01. KE30'!$F:$F,'05. BC BH THEO SKU-USD'!$D6,'01. KE30'!$A:$A,'05. BC BH THEO SKU-USD'!DS$4),"-")</f>
        <v>268092.11693735491</v>
      </c>
      <c r="DT6" s="114">
        <f>IFERROR(SUMIFS('01. KE30'!$X:$X,'01. KE30'!$F:$F,'05. BC BH THEO SKU-USD'!$D6,'01. KE30'!$A:$A,'05. BC BH THEO SKU-USD'!DT$4)-SUMIFS('01. KE30'!$AA:$AA,'01. KE30'!$F:$F,'05. BC BH THEO SKU-USD'!$D6,'01. KE30'!$A:$A,'05. BC BH THEO SKU-USD'!DT$4),"-")</f>
        <v>166941.57970679016</v>
      </c>
      <c r="DU6" s="114">
        <f>IFERROR(SUMIFS('01. KE30'!$X:$X,'01. KE30'!$F:$F,'05. BC BH THEO SKU-USD'!$D6,'01. KE30'!$A:$A,'05. BC BH THEO SKU-USD'!DU$4)-SUMIFS('01. KE30'!$AA:$AA,'01. KE30'!$F:$F,'05. BC BH THEO SKU-USD'!$D6,'01. KE30'!$A:$A,'05. BC BH THEO SKU-USD'!DU$4),"-")</f>
        <v>214113.70833653444</v>
      </c>
      <c r="DV6" s="114">
        <f>IFERROR(SUMIFS('01. KE30'!$X:$X,'01. KE30'!$F:$F,'05. BC BH THEO SKU-USD'!$D6,'01. KE30'!$A:$A,'05. BC BH THEO SKU-USD'!DV$4)-SUMIFS('01. KE30'!$AA:$AA,'01. KE30'!$F:$F,'05. BC BH THEO SKU-USD'!$D6,'01. KE30'!$A:$A,'05. BC BH THEO SKU-USD'!DV$4),"-")</f>
        <v>194759.0782658516</v>
      </c>
      <c r="DW6" s="114">
        <f>IFERROR(SUMIFS('01. KE30'!$X:$X,'01. KE30'!$F:$F,'05. BC BH THEO SKU-USD'!$D6,'01. KE30'!$A:$A,'05. BC BH THEO SKU-USD'!DW$4)-SUMIFS('01. KE30'!$AA:$AA,'01. KE30'!$F:$F,'05. BC BH THEO SKU-USD'!$D6,'01. KE30'!$A:$A,'05. BC BH THEO SKU-USD'!DW$4),"-")</f>
        <v>222114.32566961274</v>
      </c>
      <c r="DX6" s="114">
        <f>IFERROR(SUMIFS('01. KE30'!$X:$X,'01. KE30'!$F:$F,'05. BC BH THEO SKU-USD'!$D6,'01. KE30'!$A:$A,'05. BC BH THEO SKU-USD'!DX$4)-SUMIFS('01. KE30'!$AA:$AA,'01. KE30'!$F:$F,'05. BC BH THEO SKU-USD'!$D6,'01. KE30'!$A:$A,'05. BC BH THEO SKU-USD'!DX$4),"-")</f>
        <v>0</v>
      </c>
      <c r="DY6" s="114">
        <f>IFERROR(SUMIFS('01. KE30'!$X:$X,'01. KE30'!$F:$F,'05. BC BH THEO SKU-USD'!$D6,'01. KE30'!$A:$A,'05. BC BH THEO SKU-USD'!DY$4)-SUMIFS('01. KE30'!$AA:$AA,'01. KE30'!$F:$F,'05. BC BH THEO SKU-USD'!$D6,'01. KE30'!$A:$A,'05. BC BH THEO SKU-USD'!DY$4),"-")</f>
        <v>0</v>
      </c>
      <c r="DZ6" s="114">
        <f>IFERROR(SUMIFS('01. KE30'!$X:$X,'01. KE30'!$F:$F,'05. BC BH THEO SKU-USD'!$D6,'01. KE30'!$A:$A,'05. BC BH THEO SKU-USD'!DZ$4)-SUMIFS('01. KE30'!$AA:$AA,'01. KE30'!$F:$F,'05. BC BH THEO SKU-USD'!$D6,'01. KE30'!$A:$A,'05. BC BH THEO SKU-USD'!DZ$4),"-")</f>
        <v>0</v>
      </c>
      <c r="EB6" s="571">
        <f>IFERROR(DN6/CZ6,0)</f>
        <v>0.13491231465767164</v>
      </c>
      <c r="EC6" s="572">
        <f>IFERROR(DO6/DA6,0)</f>
        <v>0.15080421049777457</v>
      </c>
      <c r="ED6" s="572">
        <f t="shared" si="19"/>
        <v>0.20311679647261552</v>
      </c>
      <c r="EE6" s="572">
        <f t="shared" si="20"/>
        <v>0.15797149623535181</v>
      </c>
      <c r="EF6" s="572">
        <f t="shared" si="21"/>
        <v>0.12483712418085723</v>
      </c>
      <c r="EG6" s="572">
        <f t="shared" si="22"/>
        <v>0.12246481474924786</v>
      </c>
      <c r="EH6" s="572">
        <f t="shared" si="23"/>
        <v>0.10641127063308045</v>
      </c>
      <c r="EI6" s="572">
        <f t="shared" si="24"/>
        <v>8.4367622255938218E-2</v>
      </c>
      <c r="EJ6" s="572">
        <f t="shared" si="25"/>
        <v>9.1940520547106414E-2</v>
      </c>
      <c r="EK6" s="572">
        <f t="shared" si="26"/>
        <v>0.1510233714654407</v>
      </c>
      <c r="EL6" s="572">
        <f t="shared" si="27"/>
        <v>0</v>
      </c>
      <c r="EM6" s="572">
        <f t="shared" si="28"/>
        <v>0</v>
      </c>
      <c r="EN6" s="572">
        <f t="shared" si="29"/>
        <v>0</v>
      </c>
    </row>
    <row r="7" spans="1:144" ht="15.5" outlineLevel="1" x14ac:dyDescent="0.35">
      <c r="A7" s="27">
        <f>A6+1</f>
        <v>2</v>
      </c>
      <c r="B7" s="27" t="s">
        <v>166</v>
      </c>
      <c r="C7" s="497" t="s">
        <v>313</v>
      </c>
      <c r="D7" s="703" t="s">
        <v>100</v>
      </c>
      <c r="E7" s="704" t="s">
        <v>368</v>
      </c>
      <c r="F7" s="92">
        <f t="shared" si="30"/>
        <v>1288.3147362362836</v>
      </c>
      <c r="G7" s="106">
        <f>IFERROR(SUMIFS('01. KE30'!$K:$K,'01. KE30'!$F:$F,'05. BC BH THEO SKU-USD'!$D7,'01. KE30'!$A:$A,'05. BC BH THEO SKU-USD'!G$4)/'05. BC BH THEO SKU-USD'!CM7/'02. Tỷ giá'!B$5,"-")</f>
        <v>1434.8306827656486</v>
      </c>
      <c r="H7" s="106">
        <f>IFERROR(SUMIFS('01. KE30'!$K:$K,'01. KE30'!$F:$F,'05. BC BH THEO SKU-USD'!$D7,'01. KE30'!$A:$A,'05. BC BH THEO SKU-USD'!H$4)/'05. BC BH THEO SKU-USD'!CN7/'02. Tỷ giá'!C$5,"-")</f>
        <v>1293.4239102558231</v>
      </c>
      <c r="I7" s="106">
        <f>IFERROR(SUMIFS('01. KE30'!$K:$K,'01. KE30'!$F:$F,'05. BC BH THEO SKU-USD'!$D7,'01. KE30'!$A:$A,'05. BC BH THEO SKU-USD'!I$4)/'05. BC BH THEO SKU-USD'!CO7/'02. Tỷ giá'!D$5,"-")</f>
        <v>1258.1385157674256</v>
      </c>
      <c r="J7" s="106">
        <f>IFERROR(SUMIFS('01. KE30'!$K:$K,'01. KE30'!$F:$F,'05. BC BH THEO SKU-USD'!$D7,'01. KE30'!$A:$A,'05. BC BH THEO SKU-USD'!J$4)/'05. BC BH THEO SKU-USD'!CP7/'02. Tỷ giá'!E$5,"-")</f>
        <v>1265.182748226272</v>
      </c>
      <c r="K7" s="106">
        <f>IFERROR(SUMIFS('01. KE30'!$K:$K,'01. KE30'!$F:$F,'05. BC BH THEO SKU-USD'!$D7,'01. KE30'!$A:$A,'05. BC BH THEO SKU-USD'!K$4)/'05. BC BH THEO SKU-USD'!CQ7/'02. Tỷ giá'!F$5,"-")</f>
        <v>1292.615686407016</v>
      </c>
      <c r="L7" s="106">
        <f>IFERROR(SUMIFS('01. KE30'!$K:$K,'01. KE30'!$F:$F,'05. BC BH THEO SKU-USD'!$D7,'01. KE30'!$A:$A,'05. BC BH THEO SKU-USD'!L$4)/'05. BC BH THEO SKU-USD'!CR7/'02. Tỷ giá'!G$5,"-")</f>
        <v>1256.2347554149135</v>
      </c>
      <c r="M7" s="106">
        <f>IFERROR(SUMIFS('01. KE30'!$K:$K,'01. KE30'!$F:$F,'05. BC BH THEO SKU-USD'!$D7,'01. KE30'!$A:$A,'05. BC BH THEO SKU-USD'!M$4)/'05. BC BH THEO SKU-USD'!CS7/'02. Tỷ giá'!H$5,"-")</f>
        <v>1255.1832103541008</v>
      </c>
      <c r="N7" s="106">
        <f>IFERROR(SUMIFS('01. KE30'!$K:$K,'01. KE30'!$F:$F,'05. BC BH THEO SKU-USD'!$D7,'01. KE30'!$A:$A,'05. BC BH THEO SKU-USD'!N$4)/'05. BC BH THEO SKU-USD'!CT7/'02. Tỷ giá'!I$5,"-")</f>
        <v>1262.0765541647895</v>
      </c>
      <c r="O7" s="106">
        <f>IFERROR(SUMIFS('01. KE30'!$K:$K,'01. KE30'!$F:$F,'05. BC BH THEO SKU-USD'!$D7,'01. KE30'!$A:$A,'05. BC BH THEO SKU-USD'!O$4)/'05. BC BH THEO SKU-USD'!CU7/'02. Tỷ giá'!J$5,"-")</f>
        <v>1277.1465627705627</v>
      </c>
      <c r="P7" s="106" t="str">
        <f>IFERROR(SUMIFS('01. KE30'!$K:$K,'01. KE30'!$F:$F,'05. BC BH THEO SKU-USD'!$D7,'01. KE30'!$A:$A,'05. BC BH THEO SKU-USD'!P$4)/'05. BC BH THEO SKU-USD'!CV7/'02. Tỷ giá'!K$5,"-")</f>
        <v>-</v>
      </c>
      <c r="Q7" s="106" t="str">
        <f>IFERROR(SUMIFS('01. KE30'!$K:$K,'01. KE30'!$F:$F,'05. BC BH THEO SKU-USD'!$D7,'01. KE30'!$A:$A,'05. BC BH THEO SKU-USD'!Q$4)/'05. BC BH THEO SKU-USD'!CW7/'02. Tỷ giá'!L$5,"-")</f>
        <v>-</v>
      </c>
      <c r="R7" s="106" t="str">
        <f>IFERROR(SUMIFS('01. KE30'!$K:$K,'01. KE30'!$F:$F,'05. BC BH THEO SKU-USD'!$D7,'01. KE30'!$A:$A,'05. BC BH THEO SKU-USD'!R$4)/'05. BC BH THEO SKU-USD'!CX7/'02. Tỷ giá'!M$5,"-")</f>
        <v>-</v>
      </c>
      <c r="T7" s="92">
        <f t="shared" ref="T7:T39" si="35">IFERROR(SUMPRODUCT(U7:AF7,CM7:CX7)/CL7,0)</f>
        <v>1245.2781230967571</v>
      </c>
      <c r="U7" s="147">
        <f>IFERROR(SUMIFS('01. KE30'!$O:$O,'01. KE30'!$F:$F,'05. BC BH THEO SKU-USD'!$D7,'01. KE30'!$A:$A,'05. BC BH THEO SKU-USD'!G$4)/'05. BC BH THEO SKU-USD'!CM7/'02. Tỷ giá'!B$5,"-")</f>
        <v>1289.8125803943146</v>
      </c>
      <c r="V7" s="147">
        <f>IFERROR(SUMIFS('01. KE30'!$O:$O,'01. KE30'!$F:$F,'05. BC BH THEO SKU-USD'!$D7,'01. KE30'!$A:$A,'05. BC BH THEO SKU-USD'!H$4)/'05. BC BH THEO SKU-USD'!CN7/'02. Tỷ giá'!C$5,"-")</f>
        <v>1247.5071649031818</v>
      </c>
      <c r="W7" s="147">
        <f>IFERROR(SUMIFS('01. KE30'!$O:$O,'01. KE30'!$F:$F,'05. BC BH THEO SKU-USD'!$D7,'01. KE30'!$A:$A,'05. BC BH THEO SKU-USD'!I$4)/'05. BC BH THEO SKU-USD'!CO7/'02. Tỷ giá'!D$5,"-")</f>
        <v>1233.9959731721917</v>
      </c>
      <c r="X7" s="147">
        <f>IFERROR(SUMIFS('01. KE30'!$O:$O,'01. KE30'!$F:$F,'05. BC BH THEO SKU-USD'!$D7,'01. KE30'!$A:$A,'05. BC BH THEO SKU-USD'!J$4)/'05. BC BH THEO SKU-USD'!CP7/'02. Tỷ giá'!E$5,"-")</f>
        <v>1241.9141839873826</v>
      </c>
      <c r="Y7" s="147">
        <f>IFERROR(SUMIFS('01. KE30'!$O:$O,'01. KE30'!$F:$F,'05. BC BH THEO SKU-USD'!$D7,'01. KE30'!$A:$A,'05. BC BH THEO SKU-USD'!K$4)/'05. BC BH THEO SKU-USD'!CQ7/'02. Tỷ giá'!F$5,"-")</f>
        <v>1260.3842680269836</v>
      </c>
      <c r="Z7" s="147">
        <f>IFERROR(SUMIFS('01. KE30'!$O:$O,'01. KE30'!$F:$F,'05. BC BH THEO SKU-USD'!$D7,'01. KE30'!$A:$A,'05. BC BH THEO SKU-USD'!L$4)/'05. BC BH THEO SKU-USD'!CR7/'02. Tỷ giá'!G$5,"-")</f>
        <v>1240.2938958502157</v>
      </c>
      <c r="AA7" s="147">
        <f>IFERROR(SUMIFS('01. KE30'!$O:$O,'01. KE30'!$F:$F,'05. BC BH THEO SKU-USD'!$D7,'01. KE30'!$A:$A,'05. BC BH THEO SKU-USD'!M$4)/'05. BC BH THEO SKU-USD'!CS7/'02. Tỷ giá'!H$5,"-")</f>
        <v>1234.6647833401778</v>
      </c>
      <c r="AB7" s="147">
        <f>IFERROR(SUMIFS('01. KE30'!$O:$O,'01. KE30'!$F:$F,'05. BC BH THEO SKU-USD'!$D7,'01. KE30'!$A:$A,'05. BC BH THEO SKU-USD'!N$4)/'05. BC BH THEO SKU-USD'!CT7/'02. Tỷ giá'!I$5,"-")</f>
        <v>1245.3885528909593</v>
      </c>
      <c r="AC7" s="147">
        <f>IFERROR(SUMIFS('01. KE30'!$O:$O,'01. KE30'!$F:$F,'05. BC BH THEO SKU-USD'!$D7,'01. KE30'!$A:$A,'05. BC BH THEO SKU-USD'!O$4)/'05. BC BH THEO SKU-USD'!CU7/'02. Tỷ giá'!J$5,"-")</f>
        <v>1277.1465627705627</v>
      </c>
      <c r="AD7" s="147" t="str">
        <f>IFERROR(SUMIFS('01. KE30'!$O:$O,'01. KE30'!$F:$F,'05. BC BH THEO SKU-USD'!$D7,'01. KE30'!$A:$A,'05. BC BH THEO SKU-USD'!P$4)/'05. BC BH THEO SKU-USD'!CV7/'02. Tỷ giá'!K$5,"-")</f>
        <v>-</v>
      </c>
      <c r="AE7" s="147" t="str">
        <f>IFERROR(SUMIFS('01. KE30'!$O:$O,'01. KE30'!$F:$F,'05. BC BH THEO SKU-USD'!$D7,'01. KE30'!$A:$A,'05. BC BH THEO SKU-USD'!Q$4)/'05. BC BH THEO SKU-USD'!CW7/'02. Tỷ giá'!L$5,"-")</f>
        <v>-</v>
      </c>
      <c r="AF7" s="147" t="str">
        <f>IFERROR(SUMIFS('01. KE30'!$O:$O,'01. KE30'!$F:$F,'05. BC BH THEO SKU-USD'!$D7,'01. KE30'!$A:$A,'05. BC BH THEO SKU-USD'!R$4)/'05. BC BH THEO SKU-USD'!CX7/'02. Tỷ giá'!M$5,"-")</f>
        <v>-</v>
      </c>
      <c r="AH7" s="92">
        <f t="shared" ref="AH7:AH11" si="36">IFERROR(AVERAGE(AI7:AT7),"-")</f>
        <v>1266.6666666666667</v>
      </c>
      <c r="AI7" s="25">
        <v>1260</v>
      </c>
      <c r="AJ7" s="25">
        <v>1260</v>
      </c>
      <c r="AK7" s="4">
        <v>1260</v>
      </c>
      <c r="AL7" s="4">
        <f t="shared" ref="AL7:AL18" si="37">AK7+20</f>
        <v>1280</v>
      </c>
      <c r="AM7" s="4">
        <v>1280</v>
      </c>
      <c r="AN7" s="4">
        <v>1280</v>
      </c>
      <c r="AO7" s="4">
        <v>1280</v>
      </c>
      <c r="AP7" s="4">
        <v>1250</v>
      </c>
      <c r="AQ7" s="25">
        <v>1250</v>
      </c>
      <c r="AR7" s="25"/>
      <c r="AS7" s="4"/>
      <c r="AT7" s="4"/>
      <c r="AV7" s="95">
        <f t="shared" ref="AV7:AW11" si="38">IF(F7&lt;&gt;"-",T7-AH7,"-")</f>
        <v>-21.388543569909643</v>
      </c>
      <c r="AW7" s="95">
        <f t="shared" si="38"/>
        <v>29.812580394314637</v>
      </c>
      <c r="AX7" s="95">
        <f t="shared" si="12"/>
        <v>-12.492835096818226</v>
      </c>
      <c r="AY7" s="95">
        <f t="shared" si="12"/>
        <v>-26.004026827808275</v>
      </c>
      <c r="AZ7" s="95">
        <f t="shared" si="12"/>
        <v>-38.085816012617443</v>
      </c>
      <c r="BA7" s="95">
        <f t="shared" si="12"/>
        <v>-19.615731973016409</v>
      </c>
      <c r="BB7" s="95">
        <f t="shared" si="12"/>
        <v>-39.706104149784323</v>
      </c>
      <c r="BC7" s="95">
        <f t="shared" si="12"/>
        <v>-45.335216659822208</v>
      </c>
      <c r="BD7" s="95">
        <f t="shared" si="12"/>
        <v>-4.6114471090406823</v>
      </c>
      <c r="BE7" s="95">
        <f t="shared" si="12"/>
        <v>27.146562770562696</v>
      </c>
      <c r="BF7" s="95" t="str">
        <f t="shared" si="12"/>
        <v>-</v>
      </c>
      <c r="BG7" s="95" t="str">
        <f t="shared" si="12"/>
        <v>-</v>
      </c>
      <c r="BH7" s="95" t="str">
        <f t="shared" si="12"/>
        <v>-</v>
      </c>
      <c r="BJ7" s="143">
        <f t="shared" ref="BJ7:BJ11" si="39">IFERROR(IF(AV7&lt;&gt;"-",AV7/AH7,"-"),"-")</f>
        <v>-1.6885692292033929E-2</v>
      </c>
      <c r="BK7" s="143">
        <f t="shared" si="13"/>
        <v>2.3660778090725903E-2</v>
      </c>
      <c r="BL7" s="143">
        <f t="shared" si="13"/>
        <v>-9.9149484895382743E-3</v>
      </c>
      <c r="BM7" s="143">
        <f t="shared" si="13"/>
        <v>-2.0638116530006568E-2</v>
      </c>
      <c r="BN7" s="143">
        <f t="shared" si="13"/>
        <v>-2.9754543759857376E-2</v>
      </c>
      <c r="BO7" s="143">
        <f t="shared" si="13"/>
        <v>-1.5324790603919069E-2</v>
      </c>
      <c r="BP7" s="143">
        <f t="shared" si="13"/>
        <v>-3.1020393867019002E-2</v>
      </c>
      <c r="BQ7" s="143">
        <f t="shared" si="13"/>
        <v>-3.54181380154861E-2</v>
      </c>
      <c r="BR7" s="143">
        <f t="shared" si="13"/>
        <v>-3.6891576872325458E-3</v>
      </c>
      <c r="BS7" s="143">
        <f t="shared" si="13"/>
        <v>2.1717250216450157E-2</v>
      </c>
      <c r="BT7" s="143" t="str">
        <f t="shared" si="13"/>
        <v>-</v>
      </c>
      <c r="BU7" s="143" t="str">
        <f t="shared" si="13"/>
        <v>-</v>
      </c>
      <c r="BV7" s="143" t="str">
        <f t="shared" si="13"/>
        <v>-</v>
      </c>
      <c r="BX7" s="112">
        <f t="shared" si="31"/>
        <v>1006.6816109407389</v>
      </c>
      <c r="BY7" s="95">
        <f>IFERROR(SUMIFS('01. KE30'!$R:$R,'01. KE30'!$F:$F,'05. BC BH THEO SKU-USD'!$D7,'01. KE30'!$A:$A,'05. BC BH THEO SKU-USD'!BY$4)/CM7/'02. Tỷ giá'!B$5," -")</f>
        <v>1038.2315914916076</v>
      </c>
      <c r="BZ7" s="95">
        <f>IFERROR(SUMIFS('01. KE30'!$R:$R,'01. KE30'!$F:$F,'05. BC BH THEO SKU-USD'!$D7,'01. KE30'!$A:$A,'05. BC BH THEO SKU-USD'!BZ$4)/CN7/'02. Tỷ giá'!C$5," -")</f>
        <v>989.75531524982637</v>
      </c>
      <c r="CA7" s="95">
        <f>IFERROR(SUMIFS('01. KE30'!$R:$R,'01. KE30'!$F:$F,'05. BC BH THEO SKU-USD'!$D7,'01. KE30'!$A:$A,'05. BC BH THEO SKU-USD'!CA$4)/CO7/'02. Tỷ giá'!D$5," -")</f>
        <v>997.67758768349495</v>
      </c>
      <c r="CB7" s="95">
        <f>IFERROR(SUMIFS('01. KE30'!$R:$R,'01. KE30'!$F:$F,'05. BC BH THEO SKU-USD'!$D7,'01. KE30'!$A:$A,'05. BC BH THEO SKU-USD'!CB$4)/CP7/'02. Tỷ giá'!E$5," -")</f>
        <v>973.57141994719507</v>
      </c>
      <c r="CC7" s="95">
        <f>IFERROR(SUMIFS('01. KE30'!$R:$R,'01. KE30'!$F:$F,'05. BC BH THEO SKU-USD'!$D7,'01. KE30'!$A:$A,'05. BC BH THEO SKU-USD'!CC$4)/CQ7/'02. Tỷ giá'!F$5," -")</f>
        <v>996.76039334279426</v>
      </c>
      <c r="CD7" s="95">
        <f>IFERROR(SUMIFS('01. KE30'!$R:$R,'01. KE30'!$F:$F,'05. BC BH THEO SKU-USD'!$D7,'01. KE30'!$A:$A,'05. BC BH THEO SKU-USD'!CD$4)/CR7/'02. Tỷ giá'!G$5," -")</f>
        <v>1038.0898622199481</v>
      </c>
      <c r="CE7" s="95">
        <f>IFERROR(SUMIFS('01. KE30'!$R:$R,'01. KE30'!$F:$F,'05. BC BH THEO SKU-USD'!$D7,'01. KE30'!$A:$A,'05. BC BH THEO SKU-USD'!CE$4)/CS7/'02. Tỷ giá'!H$5," -")</f>
        <v>1017.9182796074459</v>
      </c>
      <c r="CF7" s="95">
        <f>IFERROR(SUMIFS('01. KE30'!$R:$R,'01. KE30'!$F:$F,'05. BC BH THEO SKU-USD'!$D7,'01. KE30'!$A:$A,'05. BC BH THEO SKU-USD'!CF$4)/CT7/'02. Tỷ giá'!I$5," -")</f>
        <v>1006.6354572937461</v>
      </c>
      <c r="CG7" s="95">
        <f>IFERROR(SUMIFS('01. KE30'!$R:$R,'01. KE30'!$F:$F,'05. BC BH THEO SKU-USD'!$D7,'01. KE30'!$A:$A,'05. BC BH THEO SKU-USD'!CG$4)/CU7/'02. Tỷ giá'!J$5," -")</f>
        <v>1001.4945916305917</v>
      </c>
      <c r="CH7" s="95" t="str">
        <f>IFERROR(SUMIFS('01. KE30'!$R:$R,'01. KE30'!$F:$F,'05. BC BH THEO SKU-USD'!$D7,'01. KE30'!$A:$A,'05. BC BH THEO SKU-USD'!CH$4)/CV7/'02. Tỷ giá'!K$5," -")</f>
        <v xml:space="preserve"> -</v>
      </c>
      <c r="CI7" s="95" t="str">
        <f>IFERROR(SUMIFS('01. KE30'!$R:$R,'01. KE30'!$F:$F,'05. BC BH THEO SKU-USD'!$D7,'01. KE30'!$A:$A,'05. BC BH THEO SKU-USD'!CI$4)/CW7/'02. Tỷ giá'!L$5," -")</f>
        <v xml:space="preserve"> -</v>
      </c>
      <c r="CJ7" s="95" t="str">
        <f>IFERROR(SUMIFS('01. KE30'!$R:$R,'01. KE30'!$F:$F,'05. BC BH THEO SKU-USD'!$D7,'01. KE30'!$A:$A,'05. BC BH THEO SKU-USD'!CJ$4)/CX7/'02. Tỷ giá'!M$5," -")</f>
        <v xml:space="preserve"> -</v>
      </c>
      <c r="CL7" s="112">
        <f t="shared" si="32"/>
        <v>10568.135799999998</v>
      </c>
      <c r="CM7" s="114">
        <f>SUMIFS('01. KE30'!$I:$I,'01. KE30'!$F:$F,'05. BC BH THEO SKU-USD'!$D7,'01. KE30'!$A:$A,'05. BC BH THEO SKU-USD'!CM$4)/1000</f>
        <v>143</v>
      </c>
      <c r="CN7" s="114">
        <f>SUMIFS('01. KE30'!$I:$I,'01. KE30'!$F:$F,'05. BC BH THEO SKU-USD'!$D7,'01. KE30'!$A:$A,'05. BC BH THEO SKU-USD'!CN$4)/1000</f>
        <v>2270.4</v>
      </c>
      <c r="CO7" s="114">
        <f>SUMIFS('01. KE30'!$I:$I,'01. KE30'!$F:$F,'05. BC BH THEO SKU-USD'!$D7,'01. KE30'!$A:$A,'05. BC BH THEO SKU-USD'!CO$4)/1000</f>
        <v>1786.4</v>
      </c>
      <c r="CP7" s="114">
        <f>SUMIFS('01. KE30'!$I:$I,'01. KE30'!$F:$F,'05. BC BH THEO SKU-USD'!$D7,'01. KE30'!$A:$A,'05. BC BH THEO SKU-USD'!CP$4)/1000</f>
        <v>1189.5999999999999</v>
      </c>
      <c r="CQ7" s="114">
        <f>SUMIFS('01. KE30'!$I:$I,'01. KE30'!$F:$F,'05. BC BH THEO SKU-USD'!$D7,'01. KE30'!$A:$A,'05. BC BH THEO SKU-USD'!CQ$4)/1000</f>
        <v>1854</v>
      </c>
      <c r="CR7" s="114">
        <f>SUMIFS('01. KE30'!$I:$I,'01. KE30'!$F:$F,'05. BC BH THEO SKU-USD'!$D7,'01. KE30'!$A:$A,'05. BC BH THEO SKU-USD'!CR$4)/1000</f>
        <v>1077.4358</v>
      </c>
      <c r="CS7" s="114">
        <f>SUMIFS('01. KE30'!$I:$I,'01. KE30'!$F:$F,'05. BC BH THEO SKU-USD'!$D7,'01. KE30'!$A:$A,'05. BC BH THEO SKU-USD'!CS$4)/1000</f>
        <v>957</v>
      </c>
      <c r="CT7" s="114">
        <f>SUMIFS('01. KE30'!$I:$I,'01. KE30'!$F:$F,'05. BC BH THEO SKU-USD'!$D7,'01. KE30'!$A:$A,'05. BC BH THEO SKU-USD'!CT$4)/1000</f>
        <v>1287</v>
      </c>
      <c r="CU7" s="114">
        <f>SUMIFS('01. KE30'!$I:$I,'01. KE30'!$F:$F,'05. BC BH THEO SKU-USD'!$D7,'01. KE30'!$A:$A,'05. BC BH THEO SKU-USD'!CU$4)/1000</f>
        <v>3.3</v>
      </c>
      <c r="CV7" s="114">
        <f>SUMIFS('01. KE30'!$I:$I,'01. KE30'!$F:$F,'05. BC BH THEO SKU-USD'!$D7,'01. KE30'!$A:$A,'05. BC BH THEO SKU-USD'!CV$4)/1000</f>
        <v>0</v>
      </c>
      <c r="CW7" s="114">
        <f>SUMIFS('01. KE30'!$I:$I,'01. KE30'!$F:$F,'05. BC BH THEO SKU-USD'!$D7,'01. KE30'!$A:$A,'05. BC BH THEO SKU-USD'!CW$4)/1000</f>
        <v>0</v>
      </c>
      <c r="CX7" s="114">
        <f>SUMIFS('01. KE30'!$I:$I,'01. KE30'!$F:$F,'05. BC BH THEO SKU-USD'!$D7,'01. KE30'!$A:$A,'05. BC BH THEO SKU-USD'!CX$4)/1000</f>
        <v>0</v>
      </c>
      <c r="CZ7" s="112">
        <f t="shared" si="33"/>
        <v>13474109.697800193</v>
      </c>
      <c r="DA7" s="54">
        <f t="shared" ref="DA7:DA18" si="40">IFERROR(G7*CM7," -")</f>
        <v>205180.78763548774</v>
      </c>
      <c r="DB7" s="54">
        <f t="shared" ref="DB7:DB18" si="41">IFERROR(H7*CN7," -")</f>
        <v>2936589.6458448209</v>
      </c>
      <c r="DC7" s="54">
        <f t="shared" ref="DC7:DC18" si="42">IFERROR(I7*CO7," -")</f>
        <v>2247538.644566929</v>
      </c>
      <c r="DD7" s="54">
        <f t="shared" ref="DD7:DD18" si="43">IFERROR(J7*CP7," -")</f>
        <v>1505061.397289973</v>
      </c>
      <c r="DE7" s="54">
        <f t="shared" ref="DE7:DE18" si="44">IFERROR(K7*CQ7," -")</f>
        <v>2396509.4825986079</v>
      </c>
      <c r="DF7" s="54">
        <f t="shared" ref="DF7:DF18" si="45">IFERROR(L7*CR7," -")</f>
        <v>1353512.2986882715</v>
      </c>
      <c r="DG7" s="54">
        <f t="shared" ref="DG7:DH18" si="46">IFERROR(M7*CS7," -")</f>
        <v>1201210.3323088745</v>
      </c>
      <c r="DH7" s="54">
        <f t="shared" ref="DH7:DH18" si="47">IFERROR(N7*CT7," -")</f>
        <v>1624292.5252100842</v>
      </c>
      <c r="DI7" s="54">
        <f t="shared" ref="DI7:DI18" si="48">IFERROR(O7*CU7," -")</f>
        <v>4214.5836571428563</v>
      </c>
      <c r="DJ7" s="54" t="str">
        <f t="shared" ref="DJ7:DJ18" si="49">IFERROR(P7*CV7," -")</f>
        <v xml:space="preserve"> -</v>
      </c>
      <c r="DK7" s="54" t="str">
        <f t="shared" ref="DK7:DK18" si="50">IFERROR(Q7*CW7," -")</f>
        <v xml:space="preserve"> -</v>
      </c>
      <c r="DL7" s="54" t="str">
        <f t="shared" ref="DL7:DL18" si="51">IFERROR(R7*CX7," -")</f>
        <v xml:space="preserve"> -</v>
      </c>
      <c r="DN7" s="112">
        <f t="shared" ref="DN7:DN11" si="52">SUM(DO7:DZ7)</f>
        <v>2584787.414818021</v>
      </c>
      <c r="DO7" s="114">
        <f>IFERROR(SUMIFS('01. KE30'!$X:$X,'01. KE30'!$F:$F,'05. BC BH THEO SKU-USD'!$D7,'01. KE30'!$A:$A,'05. BC BH THEO SKU-USD'!DO$4)-SUMIFS('01. KE30'!$AA:$AA,'01. KE30'!$F:$F,'05. BC BH THEO SKU-USD'!$D7,'01. KE30'!$A:$A,'05. BC BH THEO SKU-USD'!DO$4),"-")</f>
        <v>35976.081413087144</v>
      </c>
      <c r="DP7" s="114">
        <f>IFERROR(SUMIFS('01. KE30'!$X:$X,'01. KE30'!$F:$F,'05. BC BH THEO SKU-USD'!$D7,'01. KE30'!$A:$A,'05. BC BH THEO SKU-USD'!DP$4)-SUMIFS('01. KE30'!$AA:$AA,'01. KE30'!$F:$F,'05. BC BH THEO SKU-USD'!$D7,'01. KE30'!$A:$A,'05. BC BH THEO SKU-USD'!DP$4),"-")</f>
        <v>585199.79945297772</v>
      </c>
      <c r="DQ7" s="114">
        <f>IFERROR(SUMIFS('01. KE30'!$X:$X,'01. KE30'!$F:$F,'05. BC BH THEO SKU-USD'!$D7,'01. KE30'!$A:$A,'05. BC BH THEO SKU-USD'!DQ$4)-SUMIFS('01. KE30'!$AA:$AA,'01. KE30'!$F:$F,'05. BC BH THEO SKU-USD'!$D7,'01. KE30'!$A:$A,'05. BC BH THEO SKU-USD'!DQ$4),"-")</f>
        <v>422159.16383700818</v>
      </c>
      <c r="DR7" s="114">
        <f>IFERROR(SUMIFS('01. KE30'!$X:$X,'01. KE30'!$F:$F,'05. BC BH THEO SKU-USD'!$D7,'01. KE30'!$A:$A,'05. BC BH THEO SKU-USD'!DR$4)-SUMIFS('01. KE30'!$AA:$AA,'01. KE30'!$F:$F,'05. BC BH THEO SKU-USD'!$D7,'01. KE30'!$A:$A,'05. BC BH THEO SKU-USD'!DR$4),"-")</f>
        <v>319220.55210220674</v>
      </c>
      <c r="DS7" s="114">
        <f>IFERROR(SUMIFS('01. KE30'!$X:$X,'01. KE30'!$F:$F,'05. BC BH THEO SKU-USD'!$D7,'01. KE30'!$A:$A,'05. BC BH THEO SKU-USD'!DS$4)-SUMIFS('01. KE30'!$AA:$AA,'01. KE30'!$F:$F,'05. BC BH THEO SKU-USD'!$D7,'01. KE30'!$A:$A,'05. BC BH THEO SKU-USD'!DS$4),"-")</f>
        <v>488758.66366448696</v>
      </c>
      <c r="DT7" s="114">
        <f>IFERROR(SUMIFS('01. KE30'!$X:$X,'01. KE30'!$F:$F,'05. BC BH THEO SKU-USD'!$D7,'01. KE30'!$A:$A,'05. BC BH THEO SKU-USD'!DT$4)-SUMIFS('01. KE30'!$AA:$AA,'01. KE30'!$F:$F,'05. BC BH THEO SKU-USD'!$D7,'01. KE30'!$A:$A,'05. BC BH THEO SKU-USD'!DT$4),"-")</f>
        <v>217861.86473765457</v>
      </c>
      <c r="DU7" s="114">
        <f>IFERROR(SUMIFS('01. KE30'!$X:$X,'01. KE30'!$F:$F,'05. BC BH THEO SKU-USD'!$D7,'01. KE30'!$A:$A,'05. BC BH THEO SKU-USD'!DU$4)-SUMIFS('01. KE30'!$AA:$AA,'01. KE30'!$F:$F,'05. BC BH THEO SKU-USD'!$D7,'01. KE30'!$A:$A,'05. BC BH THEO SKU-USD'!DU$4),"-")</f>
        <v>207426.4040722244</v>
      </c>
      <c r="DV7" s="114">
        <f>IFERROR(SUMIFS('01. KE30'!$X:$X,'01. KE30'!$F:$F,'05. BC BH THEO SKU-USD'!$D7,'01. KE30'!$A:$A,'05. BC BH THEO SKU-USD'!DV$4)-SUMIFS('01. KE30'!$AA:$AA,'01. KE30'!$F:$F,'05. BC BH THEO SKU-USD'!$D7,'01. KE30'!$A:$A,'05. BC BH THEO SKU-USD'!DV$4),"-")</f>
        <v>307275.23403361323</v>
      </c>
      <c r="DW7" s="114">
        <f>IFERROR(SUMIFS('01. KE30'!$X:$X,'01. KE30'!$F:$F,'05. BC BH THEO SKU-USD'!$D7,'01. KE30'!$A:$A,'05. BC BH THEO SKU-USD'!DW$4)-SUMIFS('01. KE30'!$AA:$AA,'01. KE30'!$F:$F,'05. BC BH THEO SKU-USD'!$D7,'01. KE30'!$A:$A,'05. BC BH THEO SKU-USD'!DW$4),"-")</f>
        <v>909.65150476190502</v>
      </c>
      <c r="DX7" s="114">
        <f>IFERROR(SUMIFS('01. KE30'!$X:$X,'01. KE30'!$F:$F,'05. BC BH THEO SKU-USD'!$D7,'01. KE30'!$A:$A,'05. BC BH THEO SKU-USD'!DX$4)-SUMIFS('01. KE30'!$AA:$AA,'01. KE30'!$F:$F,'05. BC BH THEO SKU-USD'!$D7,'01. KE30'!$A:$A,'05. BC BH THEO SKU-USD'!DX$4),"-")</f>
        <v>0</v>
      </c>
      <c r="DY7" s="114">
        <f>IFERROR(SUMIFS('01. KE30'!$X:$X,'01. KE30'!$F:$F,'05. BC BH THEO SKU-USD'!$D7,'01. KE30'!$A:$A,'05. BC BH THEO SKU-USD'!DY$4)-SUMIFS('01. KE30'!$AA:$AA,'01. KE30'!$F:$F,'05. BC BH THEO SKU-USD'!$D7,'01. KE30'!$A:$A,'05. BC BH THEO SKU-USD'!DY$4),"-")</f>
        <v>0</v>
      </c>
      <c r="DZ7" s="114">
        <f>IFERROR(SUMIFS('01. KE30'!$X:$X,'01. KE30'!$F:$F,'05. BC BH THEO SKU-USD'!$D7,'01. KE30'!$A:$A,'05. BC BH THEO SKU-USD'!DZ$4)-SUMIFS('01. KE30'!$AA:$AA,'01. KE30'!$F:$F,'05. BC BH THEO SKU-USD'!$D7,'01. KE30'!$A:$A,'05. BC BH THEO SKU-USD'!DZ$4),"-")</f>
        <v>0</v>
      </c>
      <c r="EB7" s="571">
        <f t="shared" si="18"/>
        <v>0.19183363300359785</v>
      </c>
      <c r="EC7" s="572">
        <f t="shared" si="18"/>
        <v>0.17533845067892107</v>
      </c>
      <c r="ED7" s="572">
        <f t="shared" si="19"/>
        <v>0.19927871103169503</v>
      </c>
      <c r="EE7" s="572">
        <f t="shared" si="20"/>
        <v>0.18783177092750397</v>
      </c>
      <c r="EF7" s="572">
        <f t="shared" si="21"/>
        <v>0.21209802648383522</v>
      </c>
      <c r="EG7" s="1051">
        <f t="shared" si="22"/>
        <v>0.20394605872141641</v>
      </c>
      <c r="EH7" s="572">
        <f t="shared" si="23"/>
        <v>0.16096038798375964</v>
      </c>
      <c r="EI7" s="572">
        <f t="shared" si="24"/>
        <v>0.17268116872881475</v>
      </c>
      <c r="EJ7" s="572">
        <f t="shared" si="25"/>
        <v>0.18917481258117014</v>
      </c>
      <c r="EK7" s="572">
        <f t="shared" si="26"/>
        <v>0.21583425048883109</v>
      </c>
      <c r="EL7" s="572">
        <f t="shared" si="27"/>
        <v>0</v>
      </c>
      <c r="EM7" s="572">
        <f t="shared" si="28"/>
        <v>0</v>
      </c>
      <c r="EN7" s="572">
        <f t="shared" si="29"/>
        <v>0</v>
      </c>
    </row>
    <row r="8" spans="1:144" ht="15.5" outlineLevel="1" x14ac:dyDescent="0.3">
      <c r="A8" s="27">
        <f t="shared" ref="A8:A14" si="53">A7+1</f>
        <v>3</v>
      </c>
      <c r="B8" s="27" t="s">
        <v>166</v>
      </c>
      <c r="C8" s="247" t="s">
        <v>329</v>
      </c>
      <c r="D8" s="460" t="s">
        <v>126</v>
      </c>
      <c r="E8" s="31" t="s">
        <v>125</v>
      </c>
      <c r="F8" s="92" t="str">
        <f t="shared" si="30"/>
        <v>-</v>
      </c>
      <c r="G8" s="106" t="str">
        <f>IFERROR(SUMIFS('01. KE30'!$K:$K,'01. KE30'!$F:$F,'05. BC BH THEO SKU-USD'!$D8,'01. KE30'!$A:$A,'05. BC BH THEO SKU-USD'!G$4)/'05. BC BH THEO SKU-USD'!CM8/'02. Tỷ giá'!B$5,"-")</f>
        <v>-</v>
      </c>
      <c r="H8" s="106" t="str">
        <f>IFERROR(SUMIFS('01. KE30'!$K:$K,'01. KE30'!$F:$F,'05. BC BH THEO SKU-USD'!$D8,'01. KE30'!$A:$A,'05. BC BH THEO SKU-USD'!H$4)/'05. BC BH THEO SKU-USD'!CN8/'02. Tỷ giá'!C$5,"-")</f>
        <v>-</v>
      </c>
      <c r="I8" s="106" t="str">
        <f>IFERROR(SUMIFS('01. KE30'!$K:$K,'01. KE30'!$F:$F,'05. BC BH THEO SKU-USD'!$D8,'01. KE30'!$A:$A,'05. BC BH THEO SKU-USD'!I$4)/'05. BC BH THEO SKU-USD'!CO8/'02. Tỷ giá'!D$5,"-")</f>
        <v>-</v>
      </c>
      <c r="J8" s="106" t="str">
        <f>IFERROR(SUMIFS('01. KE30'!$K:$K,'01. KE30'!$F:$F,'05. BC BH THEO SKU-USD'!$D8,'01. KE30'!$A:$A,'05. BC BH THEO SKU-USD'!J$4)/'05. BC BH THEO SKU-USD'!CP8/'02. Tỷ giá'!E$5,"-")</f>
        <v>-</v>
      </c>
      <c r="K8" s="106" t="str">
        <f>IFERROR(SUMIFS('01. KE30'!$K:$K,'01. KE30'!$F:$F,'05. BC BH THEO SKU-USD'!$D8,'01. KE30'!$A:$A,'05. BC BH THEO SKU-USD'!K$4)/'05. BC BH THEO SKU-USD'!CQ8/'02. Tỷ giá'!F$5,"-")</f>
        <v>-</v>
      </c>
      <c r="L8" s="106" t="str">
        <f>IFERROR(SUMIFS('01. KE30'!$K:$K,'01. KE30'!$F:$F,'05. BC BH THEO SKU-USD'!$D8,'01. KE30'!$A:$A,'05. BC BH THEO SKU-USD'!L$4)/'05. BC BH THEO SKU-USD'!CR8/'02. Tỷ giá'!G$5,"-")</f>
        <v>-</v>
      </c>
      <c r="M8" s="106" t="str">
        <f>IFERROR(SUMIFS('01. KE30'!$K:$K,'01. KE30'!$F:$F,'05. BC BH THEO SKU-USD'!$D8,'01. KE30'!$A:$A,'05. BC BH THEO SKU-USD'!M$4)/'05. BC BH THEO SKU-USD'!CS8/'02. Tỷ giá'!H$5,"-")</f>
        <v>-</v>
      </c>
      <c r="N8" s="106" t="str">
        <f>IFERROR(SUMIFS('01. KE30'!$K:$K,'01. KE30'!$F:$F,'05. BC BH THEO SKU-USD'!$D8,'01. KE30'!$A:$A,'05. BC BH THEO SKU-USD'!N$4)/'05. BC BH THEO SKU-USD'!CT8/'02. Tỷ giá'!I$5,"-")</f>
        <v>-</v>
      </c>
      <c r="O8" s="106" t="str">
        <f>IFERROR(SUMIFS('01. KE30'!$K:$K,'01. KE30'!$F:$F,'05. BC BH THEO SKU-USD'!$D8,'01. KE30'!$A:$A,'05. BC BH THEO SKU-USD'!O$4)/'05. BC BH THEO SKU-USD'!CU8/'02. Tỷ giá'!J$5,"-")</f>
        <v>-</v>
      </c>
      <c r="P8" s="106" t="str">
        <f>IFERROR(SUMIFS('01. KE30'!$K:$K,'01. KE30'!$F:$F,'05. BC BH THEO SKU-USD'!$D8,'01. KE30'!$A:$A,'05. BC BH THEO SKU-USD'!P$4)/'05. BC BH THEO SKU-USD'!CV8/'02. Tỷ giá'!K$5,"-")</f>
        <v>-</v>
      </c>
      <c r="Q8" s="106" t="str">
        <f>IFERROR(SUMIFS('01. KE30'!$K:$K,'01. KE30'!$F:$F,'05. BC BH THEO SKU-USD'!$D8,'01. KE30'!$A:$A,'05. BC BH THEO SKU-USD'!Q$4)/'05. BC BH THEO SKU-USD'!CW8/'02. Tỷ giá'!L$5,"-")</f>
        <v>-</v>
      </c>
      <c r="R8" s="106" t="str">
        <f>IFERROR(SUMIFS('01. KE30'!$K:$K,'01. KE30'!$F:$F,'05. BC BH THEO SKU-USD'!$D8,'01. KE30'!$A:$A,'05. BC BH THEO SKU-USD'!R$4)/'05. BC BH THEO SKU-USD'!CX8/'02. Tỷ giá'!M$5,"-")</f>
        <v>-</v>
      </c>
      <c r="T8" s="92">
        <f t="shared" si="35"/>
        <v>0</v>
      </c>
      <c r="U8" s="147" t="str">
        <f>IFERROR(SUMIFS('01. KE30'!$O:$O,'01. KE30'!$F:$F,'05. BC BH THEO SKU-USD'!$D8,'01. KE30'!$A:$A,'05. BC BH THEO SKU-USD'!G$4)/'05. BC BH THEO SKU-USD'!CM8/'02. Tỷ giá'!B$5,"-")</f>
        <v>-</v>
      </c>
      <c r="V8" s="147" t="str">
        <f>IFERROR(SUMIFS('01. KE30'!$O:$O,'01. KE30'!$F:$F,'05. BC BH THEO SKU-USD'!$D8,'01. KE30'!$A:$A,'05. BC BH THEO SKU-USD'!H$4)/'05. BC BH THEO SKU-USD'!CN8/'02. Tỷ giá'!C$5,"-")</f>
        <v>-</v>
      </c>
      <c r="W8" s="147" t="str">
        <f>IFERROR(SUMIFS('01. KE30'!$O:$O,'01. KE30'!$F:$F,'05. BC BH THEO SKU-USD'!$D8,'01. KE30'!$A:$A,'05. BC BH THEO SKU-USD'!I$4)/'05. BC BH THEO SKU-USD'!CO8/'02. Tỷ giá'!D$5,"-")</f>
        <v>-</v>
      </c>
      <c r="X8" s="147" t="str">
        <f>IFERROR(SUMIFS('01. KE30'!$O:$O,'01. KE30'!$F:$F,'05. BC BH THEO SKU-USD'!$D8,'01. KE30'!$A:$A,'05. BC BH THEO SKU-USD'!J$4)/'05. BC BH THEO SKU-USD'!CP8/'02. Tỷ giá'!E$5,"-")</f>
        <v>-</v>
      </c>
      <c r="Y8" s="147" t="str">
        <f>IFERROR(SUMIFS('01. KE30'!$O:$O,'01. KE30'!$F:$F,'05. BC BH THEO SKU-USD'!$D8,'01. KE30'!$A:$A,'05. BC BH THEO SKU-USD'!K$4)/'05. BC BH THEO SKU-USD'!CQ8/'02. Tỷ giá'!F$5,"-")</f>
        <v>-</v>
      </c>
      <c r="Z8" s="147" t="str">
        <f>IFERROR(SUMIFS('01. KE30'!$O:$O,'01. KE30'!$F:$F,'05. BC BH THEO SKU-USD'!$D8,'01. KE30'!$A:$A,'05. BC BH THEO SKU-USD'!L$4)/'05. BC BH THEO SKU-USD'!CR8/'02. Tỷ giá'!G$5,"-")</f>
        <v>-</v>
      </c>
      <c r="AA8" s="147" t="str">
        <f>IFERROR(SUMIFS('01. KE30'!$O:$O,'01. KE30'!$F:$F,'05. BC BH THEO SKU-USD'!$D8,'01. KE30'!$A:$A,'05. BC BH THEO SKU-USD'!M$4)/'05. BC BH THEO SKU-USD'!CS8/'02. Tỷ giá'!H$5,"-")</f>
        <v>-</v>
      </c>
      <c r="AB8" s="147" t="str">
        <f>IFERROR(SUMIFS('01. KE30'!$O:$O,'01. KE30'!$F:$F,'05. BC BH THEO SKU-USD'!$D8,'01. KE30'!$A:$A,'05. BC BH THEO SKU-USD'!N$4)/'05. BC BH THEO SKU-USD'!CT8/'02. Tỷ giá'!I$5,"-")</f>
        <v>-</v>
      </c>
      <c r="AC8" s="147" t="str">
        <f>IFERROR(SUMIFS('01. KE30'!$O:$O,'01. KE30'!$F:$F,'05. BC BH THEO SKU-USD'!$D8,'01. KE30'!$A:$A,'05. BC BH THEO SKU-USD'!O$4)/'05. BC BH THEO SKU-USD'!CU8/'02. Tỷ giá'!J$5,"-")</f>
        <v>-</v>
      </c>
      <c r="AD8" s="147" t="str">
        <f>IFERROR(SUMIFS('01. KE30'!$O:$O,'01. KE30'!$F:$F,'05. BC BH THEO SKU-USD'!$D8,'01. KE30'!$A:$A,'05. BC BH THEO SKU-USD'!P$4)/'05. BC BH THEO SKU-USD'!CV8/'02. Tỷ giá'!K$5,"-")</f>
        <v>-</v>
      </c>
      <c r="AE8" s="147" t="str">
        <f>IFERROR(SUMIFS('01. KE30'!$O:$O,'01. KE30'!$F:$F,'05. BC BH THEO SKU-USD'!$D8,'01. KE30'!$A:$A,'05. BC BH THEO SKU-USD'!Q$4)/'05. BC BH THEO SKU-USD'!CW8/'02. Tỷ giá'!L$5,"-")</f>
        <v>-</v>
      </c>
      <c r="AF8" s="147" t="str">
        <f>IFERROR(SUMIFS('01. KE30'!$O:$O,'01. KE30'!$F:$F,'05. BC BH THEO SKU-USD'!$D8,'01. KE30'!$A:$A,'05. BC BH THEO SKU-USD'!R$4)/'05. BC BH THEO SKU-USD'!CX8/'02. Tỷ giá'!M$5,"-")</f>
        <v>-</v>
      </c>
      <c r="AH8" s="92">
        <f t="shared" si="36"/>
        <v>1323.75</v>
      </c>
      <c r="AI8" s="25">
        <v>1320</v>
      </c>
      <c r="AJ8" s="25">
        <v>1280</v>
      </c>
      <c r="AK8" s="25">
        <v>1320</v>
      </c>
      <c r="AL8" s="25">
        <f t="shared" si="37"/>
        <v>1340</v>
      </c>
      <c r="AM8" s="25">
        <v>1340</v>
      </c>
      <c r="AN8" s="25">
        <v>1340</v>
      </c>
      <c r="AO8" s="25">
        <v>1340</v>
      </c>
      <c r="AP8" s="25">
        <f>+AP6+90</f>
        <v>1310</v>
      </c>
      <c r="AQ8" s="25"/>
      <c r="AR8" s="25"/>
      <c r="AS8" s="25"/>
      <c r="AT8" s="4"/>
      <c r="AV8" s="95" t="str">
        <f t="shared" si="38"/>
        <v>-</v>
      </c>
      <c r="AW8" s="95" t="str">
        <f t="shared" si="38"/>
        <v>-</v>
      </c>
      <c r="AX8" s="95" t="str">
        <f t="shared" si="12"/>
        <v>-</v>
      </c>
      <c r="AY8" s="95" t="str">
        <f t="shared" si="12"/>
        <v>-</v>
      </c>
      <c r="AZ8" s="95" t="str">
        <f t="shared" si="12"/>
        <v>-</v>
      </c>
      <c r="BA8" s="95" t="str">
        <f t="shared" si="12"/>
        <v>-</v>
      </c>
      <c r="BB8" s="95" t="str">
        <f t="shared" si="12"/>
        <v>-</v>
      </c>
      <c r="BC8" s="95" t="str">
        <f t="shared" si="12"/>
        <v>-</v>
      </c>
      <c r="BD8" s="95" t="str">
        <f t="shared" si="12"/>
        <v>-</v>
      </c>
      <c r="BE8" s="95" t="str">
        <f t="shared" si="12"/>
        <v>-</v>
      </c>
      <c r="BF8" s="95" t="str">
        <f t="shared" si="12"/>
        <v>-</v>
      </c>
      <c r="BG8" s="95" t="str">
        <f t="shared" si="12"/>
        <v>-</v>
      </c>
      <c r="BH8" s="95" t="str">
        <f t="shared" si="12"/>
        <v>-</v>
      </c>
      <c r="BJ8" s="143" t="str">
        <f t="shared" si="39"/>
        <v>-</v>
      </c>
      <c r="BK8" s="143" t="str">
        <f t="shared" si="13"/>
        <v>-</v>
      </c>
      <c r="BL8" s="143" t="str">
        <f t="shared" si="13"/>
        <v>-</v>
      </c>
      <c r="BM8" s="143" t="str">
        <f t="shared" si="13"/>
        <v>-</v>
      </c>
      <c r="BN8" s="143" t="str">
        <f t="shared" si="13"/>
        <v>-</v>
      </c>
      <c r="BO8" s="143" t="str">
        <f t="shared" si="13"/>
        <v>-</v>
      </c>
      <c r="BP8" s="143" t="str">
        <f t="shared" si="13"/>
        <v>-</v>
      </c>
      <c r="BQ8" s="143" t="str">
        <f t="shared" si="13"/>
        <v>-</v>
      </c>
      <c r="BR8" s="143" t="str">
        <f t="shared" si="13"/>
        <v>-</v>
      </c>
      <c r="BS8" s="143" t="str">
        <f t="shared" si="13"/>
        <v>-</v>
      </c>
      <c r="BT8" s="143" t="str">
        <f t="shared" si="13"/>
        <v>-</v>
      </c>
      <c r="BU8" s="143" t="str">
        <f t="shared" si="13"/>
        <v>-</v>
      </c>
      <c r="BV8" s="143" t="str">
        <f t="shared" si="13"/>
        <v>-</v>
      </c>
      <c r="BX8" s="112" t="str">
        <f t="shared" si="31"/>
        <v>-</v>
      </c>
      <c r="BY8" s="95" t="str">
        <f>IFERROR(SUMIFS('01. KE30'!$R:$R,'01. KE30'!$F:$F,'05. BC BH THEO SKU-USD'!$D8,'01. KE30'!$A:$A,'05. BC BH THEO SKU-USD'!BY$4)/CM8/'02. Tỷ giá'!B$5," -")</f>
        <v xml:space="preserve"> -</v>
      </c>
      <c r="BZ8" s="95" t="str">
        <f>IFERROR(SUMIFS('01. KE30'!$R:$R,'01. KE30'!$F:$F,'05. BC BH THEO SKU-USD'!$D8,'01. KE30'!$A:$A,'05. BC BH THEO SKU-USD'!BZ$4)/CN8/'02. Tỷ giá'!C$5," -")</f>
        <v xml:space="preserve"> -</v>
      </c>
      <c r="CA8" s="95" t="str">
        <f>IFERROR(SUMIFS('01. KE30'!$R:$R,'01. KE30'!$F:$F,'05. BC BH THEO SKU-USD'!$D8,'01. KE30'!$A:$A,'05. BC BH THEO SKU-USD'!CA$4)/CO8/'02. Tỷ giá'!D$5," -")</f>
        <v xml:space="preserve"> -</v>
      </c>
      <c r="CB8" s="95" t="str">
        <f>IFERROR(SUMIFS('01. KE30'!$R:$R,'01. KE30'!$F:$F,'05. BC BH THEO SKU-USD'!$D8,'01. KE30'!$A:$A,'05. BC BH THEO SKU-USD'!CB$4)/CP8/'02. Tỷ giá'!E$5," -")</f>
        <v xml:space="preserve"> -</v>
      </c>
      <c r="CC8" s="95" t="str">
        <f>IFERROR(SUMIFS('01. KE30'!$R:$R,'01. KE30'!$F:$F,'05. BC BH THEO SKU-USD'!$D8,'01. KE30'!$A:$A,'05. BC BH THEO SKU-USD'!CC$4)/CQ8/'02. Tỷ giá'!F$5," -")</f>
        <v xml:space="preserve"> -</v>
      </c>
      <c r="CD8" s="95" t="str">
        <f>IFERROR(SUMIFS('01. KE30'!$R:$R,'01. KE30'!$F:$F,'05. BC BH THEO SKU-USD'!$D8,'01. KE30'!$A:$A,'05. BC BH THEO SKU-USD'!CD$4)/CR8/'02. Tỷ giá'!G$5," -")</f>
        <v xml:space="preserve"> -</v>
      </c>
      <c r="CE8" s="95" t="str">
        <f>IFERROR(SUMIFS('01. KE30'!$R:$R,'01. KE30'!$F:$F,'05. BC BH THEO SKU-USD'!$D8,'01. KE30'!$A:$A,'05. BC BH THEO SKU-USD'!CE$4)/CS8/'02. Tỷ giá'!H$5," -")</f>
        <v xml:space="preserve"> -</v>
      </c>
      <c r="CF8" s="95" t="str">
        <f>IFERROR(SUMIFS('01. KE30'!$R:$R,'01. KE30'!$F:$F,'05. BC BH THEO SKU-USD'!$D8,'01. KE30'!$A:$A,'05. BC BH THEO SKU-USD'!CF$4)/CT8/'02. Tỷ giá'!I$5," -")</f>
        <v xml:space="preserve"> -</v>
      </c>
      <c r="CG8" s="95" t="str">
        <f>IFERROR(SUMIFS('01. KE30'!$R:$R,'01. KE30'!$F:$F,'05. BC BH THEO SKU-USD'!$D8,'01. KE30'!$A:$A,'05. BC BH THEO SKU-USD'!CG$4)/CU8/'02. Tỷ giá'!J$5," -")</f>
        <v xml:space="preserve"> -</v>
      </c>
      <c r="CH8" s="95" t="str">
        <f>IFERROR(SUMIFS('01. KE30'!$R:$R,'01. KE30'!$F:$F,'05. BC BH THEO SKU-USD'!$D8,'01. KE30'!$A:$A,'05. BC BH THEO SKU-USD'!CH$4)/CV8/'02. Tỷ giá'!K$5," -")</f>
        <v xml:space="preserve"> -</v>
      </c>
      <c r="CI8" s="95" t="str">
        <f>IFERROR(SUMIFS('01. KE30'!$R:$R,'01. KE30'!$F:$F,'05. BC BH THEO SKU-USD'!$D8,'01. KE30'!$A:$A,'05. BC BH THEO SKU-USD'!CI$4)/CW8/'02. Tỷ giá'!L$5," -")</f>
        <v xml:space="preserve"> -</v>
      </c>
      <c r="CJ8" s="95" t="str">
        <f>IFERROR(SUMIFS('01. KE30'!$R:$R,'01. KE30'!$F:$F,'05. BC BH THEO SKU-USD'!$D8,'01. KE30'!$A:$A,'05. BC BH THEO SKU-USD'!CJ$4)/CX8/'02. Tỷ giá'!M$5," -")</f>
        <v xml:space="preserve"> -</v>
      </c>
      <c r="CL8" s="112">
        <f t="shared" si="32"/>
        <v>0</v>
      </c>
      <c r="CM8" s="114">
        <f>SUMIFS('01. KE30'!$I:$I,'01. KE30'!$F:$F,'05. BC BH THEO SKU-USD'!$D8,'01. KE30'!$A:$A,'05. BC BH THEO SKU-USD'!CM$4)/1000</f>
        <v>0</v>
      </c>
      <c r="CN8" s="114">
        <f>SUMIFS('01. KE30'!$I:$I,'01. KE30'!$F:$F,'05. BC BH THEO SKU-USD'!$D8,'01. KE30'!$A:$A,'05. BC BH THEO SKU-USD'!CN$4)/1000</f>
        <v>0</v>
      </c>
      <c r="CO8" s="114">
        <f>SUMIFS('01. KE30'!$I:$I,'01. KE30'!$F:$F,'05. BC BH THEO SKU-USD'!$D8,'01. KE30'!$A:$A,'05. BC BH THEO SKU-USD'!CO$4)/1000</f>
        <v>0</v>
      </c>
      <c r="CP8" s="114">
        <f>SUMIFS('01. KE30'!$I:$I,'01. KE30'!$F:$F,'05. BC BH THEO SKU-USD'!$D8,'01. KE30'!$A:$A,'05. BC BH THEO SKU-USD'!CP$4)/1000</f>
        <v>0</v>
      </c>
      <c r="CQ8" s="114">
        <f>SUMIFS('01. KE30'!$I:$I,'01. KE30'!$F:$F,'05. BC BH THEO SKU-USD'!$D8,'01. KE30'!$A:$A,'05. BC BH THEO SKU-USD'!CQ$4)/1000</f>
        <v>0</v>
      </c>
      <c r="CR8" s="114">
        <f>SUMIFS('01. KE30'!$I:$I,'01. KE30'!$F:$F,'05. BC BH THEO SKU-USD'!$D8,'01. KE30'!$A:$A,'05. BC BH THEO SKU-USD'!CR$4)/1000</f>
        <v>0</v>
      </c>
      <c r="CS8" s="114">
        <f>SUMIFS('01. KE30'!$I:$I,'01. KE30'!$F:$F,'05. BC BH THEO SKU-USD'!$D8,'01. KE30'!$A:$A,'05. BC BH THEO SKU-USD'!CS$4)/1000</f>
        <v>0</v>
      </c>
      <c r="CT8" s="114">
        <f>SUMIFS('01. KE30'!$I:$I,'01. KE30'!$F:$F,'05. BC BH THEO SKU-USD'!$D8,'01. KE30'!$A:$A,'05. BC BH THEO SKU-USD'!CT$4)/1000</f>
        <v>0</v>
      </c>
      <c r="CU8" s="114">
        <f>SUMIFS('01. KE30'!$I:$I,'01. KE30'!$F:$F,'05. BC BH THEO SKU-USD'!$D8,'01. KE30'!$A:$A,'05. BC BH THEO SKU-USD'!CU$4)/1000</f>
        <v>0</v>
      </c>
      <c r="CV8" s="114">
        <f>SUMIFS('01. KE30'!$I:$I,'01. KE30'!$F:$F,'05. BC BH THEO SKU-USD'!$D8,'01. KE30'!$A:$A,'05. BC BH THEO SKU-USD'!CV$4)/1000</f>
        <v>0</v>
      </c>
      <c r="CW8" s="114">
        <f>SUMIFS('01. KE30'!$I:$I,'01. KE30'!$F:$F,'05. BC BH THEO SKU-USD'!$D8,'01. KE30'!$A:$A,'05. BC BH THEO SKU-USD'!CW$4)/1000</f>
        <v>0</v>
      </c>
      <c r="CX8" s="114">
        <f>SUMIFS('01. KE30'!$I:$I,'01. KE30'!$F:$F,'05. BC BH THEO SKU-USD'!$D8,'01. KE30'!$A:$A,'05. BC BH THEO SKU-USD'!CX$4)/1000</f>
        <v>0</v>
      </c>
      <c r="CZ8" s="112">
        <f t="shared" si="33"/>
        <v>0</v>
      </c>
      <c r="DA8" s="54" t="str">
        <f t="shared" si="40"/>
        <v xml:space="preserve"> -</v>
      </c>
      <c r="DB8" s="54" t="str">
        <f t="shared" si="41"/>
        <v xml:space="preserve"> -</v>
      </c>
      <c r="DC8" s="54" t="str">
        <f t="shared" si="42"/>
        <v xml:space="preserve"> -</v>
      </c>
      <c r="DD8" s="54" t="str">
        <f t="shared" si="43"/>
        <v xml:space="preserve"> -</v>
      </c>
      <c r="DE8" s="54" t="str">
        <f t="shared" si="44"/>
        <v xml:space="preserve"> -</v>
      </c>
      <c r="DF8" s="54" t="str">
        <f t="shared" si="45"/>
        <v xml:space="preserve"> -</v>
      </c>
      <c r="DG8" s="54" t="str">
        <f t="shared" si="46"/>
        <v xml:space="preserve"> -</v>
      </c>
      <c r="DH8" s="54" t="str">
        <f t="shared" si="46"/>
        <v xml:space="preserve"> -</v>
      </c>
      <c r="DI8" s="54" t="str">
        <f t="shared" si="48"/>
        <v xml:space="preserve"> -</v>
      </c>
      <c r="DJ8" s="54" t="str">
        <f t="shared" si="49"/>
        <v xml:space="preserve"> -</v>
      </c>
      <c r="DK8" s="54" t="str">
        <f t="shared" si="50"/>
        <v xml:space="preserve"> -</v>
      </c>
      <c r="DL8" s="54" t="str">
        <f t="shared" si="51"/>
        <v xml:space="preserve"> -</v>
      </c>
      <c r="DN8" s="112">
        <f t="shared" si="52"/>
        <v>0</v>
      </c>
      <c r="DO8" s="114">
        <f>IFERROR(SUMIFS('01. KE30'!$X:$X,'01. KE30'!$F:$F,'05. BC BH THEO SKU-USD'!$D8,'01. KE30'!$A:$A,'05. BC BH THEO SKU-USD'!DO$4)-SUMIFS('01. KE30'!$AA:$AA,'01. KE30'!$F:$F,'05. BC BH THEO SKU-USD'!$D8,'01. KE30'!$A:$A,'05. BC BH THEO SKU-USD'!DO$4),"-")</f>
        <v>0</v>
      </c>
      <c r="DP8" s="114">
        <f>IFERROR(SUMIFS('01. KE30'!$X:$X,'01. KE30'!$F:$F,'05. BC BH THEO SKU-USD'!$D8,'01. KE30'!$A:$A,'05. BC BH THEO SKU-USD'!DP$4)-SUMIFS('01. KE30'!$AA:$AA,'01. KE30'!$F:$F,'05. BC BH THEO SKU-USD'!$D8,'01. KE30'!$A:$A,'05. BC BH THEO SKU-USD'!DP$4),"-")</f>
        <v>0</v>
      </c>
      <c r="DQ8" s="114">
        <f>IFERROR(SUMIFS('01. KE30'!$X:$X,'01. KE30'!$F:$F,'05. BC BH THEO SKU-USD'!$D8,'01. KE30'!$A:$A,'05. BC BH THEO SKU-USD'!DQ$4)-SUMIFS('01. KE30'!$AA:$AA,'01. KE30'!$F:$F,'05. BC BH THEO SKU-USD'!$D8,'01. KE30'!$A:$A,'05. BC BH THEO SKU-USD'!DQ$4),"-")</f>
        <v>0</v>
      </c>
      <c r="DR8" s="114">
        <f>IFERROR(SUMIFS('01. KE30'!$X:$X,'01. KE30'!$F:$F,'05. BC BH THEO SKU-USD'!$D8,'01. KE30'!$A:$A,'05. BC BH THEO SKU-USD'!DR$4)-SUMIFS('01. KE30'!$AA:$AA,'01. KE30'!$F:$F,'05. BC BH THEO SKU-USD'!$D8,'01. KE30'!$A:$A,'05. BC BH THEO SKU-USD'!DR$4),"-")</f>
        <v>0</v>
      </c>
      <c r="DS8" s="114">
        <f>IFERROR(SUMIFS('01. KE30'!$X:$X,'01. KE30'!$F:$F,'05. BC BH THEO SKU-USD'!$D8,'01. KE30'!$A:$A,'05. BC BH THEO SKU-USD'!DS$4)-SUMIFS('01. KE30'!$AA:$AA,'01. KE30'!$F:$F,'05. BC BH THEO SKU-USD'!$D8,'01. KE30'!$A:$A,'05. BC BH THEO SKU-USD'!DS$4),"-")</f>
        <v>0</v>
      </c>
      <c r="DT8" s="114">
        <f>IFERROR(SUMIFS('01. KE30'!$X:$X,'01. KE30'!$F:$F,'05. BC BH THEO SKU-USD'!$D8,'01. KE30'!$A:$A,'05. BC BH THEO SKU-USD'!DT$4)-SUMIFS('01. KE30'!$AA:$AA,'01. KE30'!$F:$F,'05. BC BH THEO SKU-USD'!$D8,'01. KE30'!$A:$A,'05. BC BH THEO SKU-USD'!DT$4),"-")</f>
        <v>0</v>
      </c>
      <c r="DU8" s="114">
        <f>IFERROR(SUMIFS('01. KE30'!$X:$X,'01. KE30'!$F:$F,'05. BC BH THEO SKU-USD'!$D8,'01. KE30'!$A:$A,'05. BC BH THEO SKU-USD'!DU$4)-SUMIFS('01. KE30'!$AA:$AA,'01. KE30'!$F:$F,'05. BC BH THEO SKU-USD'!$D8,'01. KE30'!$A:$A,'05. BC BH THEO SKU-USD'!DU$4),"-")</f>
        <v>0</v>
      </c>
      <c r="DV8" s="114">
        <f>IFERROR(SUMIFS('01. KE30'!$X:$X,'01. KE30'!$F:$F,'05. BC BH THEO SKU-USD'!$D8,'01. KE30'!$A:$A,'05. BC BH THEO SKU-USD'!DV$4)-SUMIFS('01. KE30'!$AA:$AA,'01. KE30'!$F:$F,'05. BC BH THEO SKU-USD'!$D8,'01. KE30'!$A:$A,'05. BC BH THEO SKU-USD'!DV$4),"-")</f>
        <v>0</v>
      </c>
      <c r="DW8" s="114">
        <f>IFERROR(SUMIFS('01. KE30'!$X:$X,'01. KE30'!$F:$F,'05. BC BH THEO SKU-USD'!$D8,'01. KE30'!$A:$A,'05. BC BH THEO SKU-USD'!DW$4)-SUMIFS('01. KE30'!$AA:$AA,'01. KE30'!$F:$F,'05. BC BH THEO SKU-USD'!$D8,'01. KE30'!$A:$A,'05. BC BH THEO SKU-USD'!DW$4),"-")</f>
        <v>0</v>
      </c>
      <c r="DX8" s="114">
        <f>IFERROR(SUMIFS('01. KE30'!$X:$X,'01. KE30'!$F:$F,'05. BC BH THEO SKU-USD'!$D8,'01. KE30'!$A:$A,'05. BC BH THEO SKU-USD'!DX$4)-SUMIFS('01. KE30'!$AA:$AA,'01. KE30'!$F:$F,'05. BC BH THEO SKU-USD'!$D8,'01. KE30'!$A:$A,'05. BC BH THEO SKU-USD'!DX$4),"-")</f>
        <v>0</v>
      </c>
      <c r="DY8" s="114">
        <f>IFERROR(SUMIFS('01. KE30'!$X:$X,'01. KE30'!$F:$F,'05. BC BH THEO SKU-USD'!$D8,'01. KE30'!$A:$A,'05. BC BH THEO SKU-USD'!DY$4)-SUMIFS('01. KE30'!$AA:$AA,'01. KE30'!$F:$F,'05. BC BH THEO SKU-USD'!$D8,'01. KE30'!$A:$A,'05. BC BH THEO SKU-USD'!DY$4),"-")</f>
        <v>0</v>
      </c>
      <c r="DZ8" s="114">
        <f>IFERROR(SUMIFS('01. KE30'!$X:$X,'01. KE30'!$F:$F,'05. BC BH THEO SKU-USD'!$D8,'01. KE30'!$A:$A,'05. BC BH THEO SKU-USD'!DZ$4)-SUMIFS('01. KE30'!$AA:$AA,'01. KE30'!$F:$F,'05. BC BH THEO SKU-USD'!$D8,'01. KE30'!$A:$A,'05. BC BH THEO SKU-USD'!DZ$4),"-")</f>
        <v>0</v>
      </c>
      <c r="EB8" s="576">
        <f t="shared" si="18"/>
        <v>0</v>
      </c>
      <c r="EC8" s="573">
        <f t="shared" si="18"/>
        <v>0</v>
      </c>
      <c r="ED8" s="573">
        <f t="shared" si="19"/>
        <v>0</v>
      </c>
      <c r="EE8" s="572">
        <f t="shared" si="20"/>
        <v>0</v>
      </c>
      <c r="EF8" s="572">
        <f t="shared" si="21"/>
        <v>0</v>
      </c>
      <c r="EG8" s="572">
        <f t="shared" si="22"/>
        <v>0</v>
      </c>
      <c r="EH8" s="572">
        <f t="shared" si="23"/>
        <v>0</v>
      </c>
      <c r="EI8" s="572">
        <f t="shared" si="24"/>
        <v>0</v>
      </c>
      <c r="EJ8" s="572">
        <f t="shared" si="25"/>
        <v>0</v>
      </c>
      <c r="EK8" s="572">
        <f t="shared" si="26"/>
        <v>0</v>
      </c>
      <c r="EL8" s="572">
        <f t="shared" si="27"/>
        <v>0</v>
      </c>
      <c r="EM8" s="572">
        <f t="shared" si="28"/>
        <v>0</v>
      </c>
      <c r="EN8" s="572">
        <f t="shared" si="29"/>
        <v>0</v>
      </c>
    </row>
    <row r="9" spans="1:144" ht="15.5" outlineLevel="1" x14ac:dyDescent="0.35">
      <c r="A9" s="27">
        <f>A8+1</f>
        <v>4</v>
      </c>
      <c r="B9" s="27" t="s">
        <v>166</v>
      </c>
      <c r="C9" s="1249" t="s">
        <v>328</v>
      </c>
      <c r="D9" s="459" t="s">
        <v>127</v>
      </c>
      <c r="E9" s="7" t="s">
        <v>114</v>
      </c>
      <c r="F9" s="92">
        <f t="shared" si="30"/>
        <v>1398.0551843323274</v>
      </c>
      <c r="G9" s="106">
        <f>IFERROR(SUMIFS('01. KE30'!$K:$K,'01. KE30'!$F:$F,'05. BC BH THEO SKU-USD'!$D9,'01. KE30'!$A:$A,'05. BC BH THEO SKU-USD'!G$4)/'05. BC BH THEO SKU-USD'!CM9/'02. Tỷ giá'!B$5,"-")</f>
        <v>1456.0967535032087</v>
      </c>
      <c r="H9" s="106">
        <f>IFERROR(SUMIFS('01. KE30'!$K:$K,'01. KE30'!$F:$F,'05. BC BH THEO SKU-USD'!$D9,'01. KE30'!$A:$A,'05. BC BH THEO SKU-USD'!H$4)/'05. BC BH THEO SKU-USD'!CN9/'02. Tỷ giá'!C$5,"-")</f>
        <v>1422.9466103333452</v>
      </c>
      <c r="I9" s="106">
        <f>IFERROR(SUMIFS('01. KE30'!$K:$K,'01. KE30'!$F:$F,'05. BC BH THEO SKU-USD'!$D9,'01. KE30'!$A:$A,'05. BC BH THEO SKU-USD'!I$4)/'05. BC BH THEO SKU-USD'!CO9/'02. Tỷ giá'!D$5,"-")</f>
        <v>1375.7089139269187</v>
      </c>
      <c r="J9" s="106">
        <f>IFERROR(SUMIFS('01. KE30'!$K:$K,'01. KE30'!$F:$F,'05. BC BH THEO SKU-USD'!$D9,'01. KE30'!$A:$A,'05. BC BH THEO SKU-USD'!J$4)/'05. BC BH THEO SKU-USD'!CP9/'02. Tỷ giá'!E$5,"-")</f>
        <v>1367.045184533747</v>
      </c>
      <c r="K9" s="106">
        <f>IFERROR(SUMIFS('01. KE30'!$K:$K,'01. KE30'!$F:$F,'05. BC BH THEO SKU-USD'!$D9,'01. KE30'!$A:$A,'05. BC BH THEO SKU-USD'!K$4)/'05. BC BH THEO SKU-USD'!CQ9/'02. Tỷ giá'!F$5,"-")</f>
        <v>1408.6666990233707</v>
      </c>
      <c r="L9" s="106">
        <f>IFERROR(SUMIFS('01. KE30'!$K:$K,'01. KE30'!$F:$F,'05. BC BH THEO SKU-USD'!$D9,'01. KE30'!$A:$A,'05. BC BH THEO SKU-USD'!L$4)/'05. BC BH THEO SKU-USD'!CR9/'02. Tỷ giá'!G$5,"-")</f>
        <v>1421.9652723885283</v>
      </c>
      <c r="M9" s="106">
        <f>IFERROR(SUMIFS('01. KE30'!$K:$K,'01. KE30'!$F:$F,'05. BC BH THEO SKU-USD'!$D9,'01. KE30'!$A:$A,'05. BC BH THEO SKU-USD'!M$4)/'05. BC BH THEO SKU-USD'!CS9/'02. Tỷ giá'!H$5,"-")</f>
        <v>1409.1196439967937</v>
      </c>
      <c r="N9" s="106">
        <f>IFERROR(SUMIFS('01. KE30'!$K:$K,'01. KE30'!$F:$F,'05. BC BH THEO SKU-USD'!$D9,'01. KE30'!$A:$A,'05. BC BH THEO SKU-USD'!N$4)/'05. BC BH THEO SKU-USD'!CT9/'02. Tỷ giá'!I$5,"-")</f>
        <v>1412.5577695463846</v>
      </c>
      <c r="O9" s="106">
        <f>IFERROR(SUMIFS('01. KE30'!$K:$K,'01. KE30'!$F:$F,'05. BC BH THEO SKU-USD'!$D9,'01. KE30'!$A:$A,'05. BC BH THEO SKU-USD'!O$4)/'05. BC BH THEO SKU-USD'!CU9/'02. Tỷ giá'!J$5,"-")</f>
        <v>1308.3898117386489</v>
      </c>
      <c r="P9" s="106" t="str">
        <f>IFERROR(SUMIFS('01. KE30'!$K:$K,'01. KE30'!$F:$F,'05. BC BH THEO SKU-USD'!$D9,'01. KE30'!$A:$A,'05. BC BH THEO SKU-USD'!P$4)/'05. BC BH THEO SKU-USD'!CV9/'02. Tỷ giá'!K$5,"-")</f>
        <v>-</v>
      </c>
      <c r="Q9" s="106" t="str">
        <f>IFERROR(SUMIFS('01. KE30'!$K:$K,'01. KE30'!$F:$F,'05. BC BH THEO SKU-USD'!$D9,'01. KE30'!$A:$A,'05. BC BH THEO SKU-USD'!Q$4)/'05. BC BH THEO SKU-USD'!CW9/'02. Tỷ giá'!L$5,"-")</f>
        <v>-</v>
      </c>
      <c r="R9" s="106" t="str">
        <f>IFERROR(SUMIFS('01. KE30'!$K:$K,'01. KE30'!$F:$F,'05. BC BH THEO SKU-USD'!$D9,'01. KE30'!$A:$A,'05. BC BH THEO SKU-USD'!R$4)/'05. BC BH THEO SKU-USD'!CX9/'02. Tỷ giá'!M$5,"-")</f>
        <v>-</v>
      </c>
      <c r="T9" s="92">
        <f t="shared" si="35"/>
        <v>1357.885361396379</v>
      </c>
      <c r="U9" s="147">
        <f>IFERROR(SUMIFS('01. KE30'!$O:$O,'01. KE30'!$F:$F,'05. BC BH THEO SKU-USD'!$D9,'01. KE30'!$A:$A,'05. BC BH THEO SKU-USD'!G$4)/'05. BC BH THEO SKU-USD'!CM9/'02. Tỷ giá'!B$5,"-")</f>
        <v>1415.1420025122302</v>
      </c>
      <c r="V9" s="147">
        <f>IFERROR(SUMIFS('01. KE30'!$O:$O,'01. KE30'!$F:$F,'05. BC BH THEO SKU-USD'!$D9,'01. KE30'!$A:$A,'05. BC BH THEO SKU-USD'!H$4)/'05. BC BH THEO SKU-USD'!CN9/'02. Tỷ giá'!C$5,"-")</f>
        <v>1386.4512728970155</v>
      </c>
      <c r="W9" s="147">
        <f>IFERROR(SUMIFS('01. KE30'!$O:$O,'01. KE30'!$F:$F,'05. BC BH THEO SKU-USD'!$D9,'01. KE30'!$A:$A,'05. BC BH THEO SKU-USD'!I$4)/'05. BC BH THEO SKU-USD'!CO9/'02. Tỷ giá'!D$5,"-")</f>
        <v>1359.4870741727455</v>
      </c>
      <c r="X9" s="147">
        <f>IFERROR(SUMIFS('01. KE30'!$O:$O,'01. KE30'!$F:$F,'05. BC BH THEO SKU-USD'!$D9,'01. KE30'!$A:$A,'05. BC BH THEO SKU-USD'!J$4)/'05. BC BH THEO SKU-USD'!CP9/'02. Tỷ giá'!E$5,"-")</f>
        <v>1343.1144449660974</v>
      </c>
      <c r="Y9" s="147">
        <f>IFERROR(SUMIFS('01. KE30'!$O:$O,'01. KE30'!$F:$F,'05. BC BH THEO SKU-USD'!$D9,'01. KE30'!$A:$A,'05. BC BH THEO SKU-USD'!K$4)/'05. BC BH THEO SKU-USD'!CQ9/'02. Tỷ giá'!F$5,"-")</f>
        <v>1360.5060797214715</v>
      </c>
      <c r="Z9" s="147">
        <f>IFERROR(SUMIFS('01. KE30'!$O:$O,'01. KE30'!$F:$F,'05. BC BH THEO SKU-USD'!$D9,'01. KE30'!$A:$A,'05. BC BH THEO SKU-USD'!L$4)/'05. BC BH THEO SKU-USD'!CR9/'02. Tỷ giá'!G$5,"-")</f>
        <v>1364.2881426533966</v>
      </c>
      <c r="AA9" s="147">
        <f>IFERROR(SUMIFS('01. KE30'!$O:$O,'01. KE30'!$F:$F,'05. BC BH THEO SKU-USD'!$D9,'01. KE30'!$A:$A,'05. BC BH THEO SKU-USD'!M$4)/'05. BC BH THEO SKU-USD'!CS9/'02. Tỷ giá'!H$5,"-")</f>
        <v>1373.4939748404074</v>
      </c>
      <c r="AB9" s="147">
        <f>IFERROR(SUMIFS('01. KE30'!$O:$O,'01. KE30'!$F:$F,'05. BC BH THEO SKU-USD'!$D9,'01. KE30'!$A:$A,'05. BC BH THEO SKU-USD'!N$4)/'05. BC BH THEO SKU-USD'!CT9/'02. Tỷ giá'!I$5,"-")</f>
        <v>1350.817191051354</v>
      </c>
      <c r="AC9" s="147">
        <f>IFERROR(SUMIFS('01. KE30'!$O:$O,'01. KE30'!$F:$F,'05. BC BH THEO SKU-USD'!$D9,'01. KE30'!$A:$A,'05. BC BH THEO SKU-USD'!O$4)/'05. BC BH THEO SKU-USD'!CU9/'02. Tỷ giá'!J$5,"-")</f>
        <v>1203.5713656319244</v>
      </c>
      <c r="AD9" s="147" t="str">
        <f>IFERROR(SUMIFS('01. KE30'!$O:$O,'01. KE30'!$F:$F,'05. BC BH THEO SKU-USD'!$D9,'01. KE30'!$A:$A,'05. BC BH THEO SKU-USD'!P$4)/'05. BC BH THEO SKU-USD'!CV9/'02. Tỷ giá'!K$5,"-")</f>
        <v>-</v>
      </c>
      <c r="AE9" s="147" t="str">
        <f>IFERROR(SUMIFS('01. KE30'!$O:$O,'01. KE30'!$F:$F,'05. BC BH THEO SKU-USD'!$D9,'01. KE30'!$A:$A,'05. BC BH THEO SKU-USD'!Q$4)/'05. BC BH THEO SKU-USD'!CW9/'02. Tỷ giá'!L$5,"-")</f>
        <v>-</v>
      </c>
      <c r="AF9" s="147" t="str">
        <f>IFERROR(SUMIFS('01. KE30'!$O:$O,'01. KE30'!$F:$F,'05. BC BH THEO SKU-USD'!$D9,'01. KE30'!$A:$A,'05. BC BH THEO SKU-USD'!R$4)/'05. BC BH THEO SKU-USD'!CX9/'02. Tỷ giá'!M$5,"-")</f>
        <v>-</v>
      </c>
      <c r="AH9" s="92">
        <f>IFERROR(AVERAGE(AI9:AT9),"-")</f>
        <v>1322.2222222222222</v>
      </c>
      <c r="AI9" s="25">
        <v>1320</v>
      </c>
      <c r="AJ9" s="25">
        <v>1280</v>
      </c>
      <c r="AK9" s="4">
        <v>1320</v>
      </c>
      <c r="AL9" s="4">
        <v>1340</v>
      </c>
      <c r="AM9" s="4">
        <v>1340</v>
      </c>
      <c r="AN9" s="4">
        <v>1340</v>
      </c>
      <c r="AO9" s="4">
        <v>1340</v>
      </c>
      <c r="AP9" s="25">
        <v>1310</v>
      </c>
      <c r="AQ9" s="25">
        <v>1310</v>
      </c>
      <c r="AR9" s="25"/>
      <c r="AS9" s="4"/>
      <c r="AT9" s="4"/>
      <c r="AV9" s="95">
        <f t="shared" ref="AV9:BH9" si="54">IF(F9&lt;&gt;"-",T9-AH9,"-")</f>
        <v>35.663139174156868</v>
      </c>
      <c r="AW9" s="95">
        <f t="shared" si="54"/>
        <v>95.142002512230192</v>
      </c>
      <c r="AX9" s="95">
        <f t="shared" si="54"/>
        <v>106.45127289701554</v>
      </c>
      <c r="AY9" s="95">
        <f t="shared" si="54"/>
        <v>39.487074172745452</v>
      </c>
      <c r="AZ9" s="95">
        <f t="shared" si="54"/>
        <v>3.1144449660973805</v>
      </c>
      <c r="BA9" s="95">
        <f t="shared" si="54"/>
        <v>20.506079721471451</v>
      </c>
      <c r="BB9" s="95">
        <f t="shared" si="54"/>
        <v>24.288142653396562</v>
      </c>
      <c r="BC9" s="95">
        <f t="shared" si="54"/>
        <v>33.493974840407418</v>
      </c>
      <c r="BD9" s="95">
        <f t="shared" si="54"/>
        <v>40.81719105135403</v>
      </c>
      <c r="BE9" s="95">
        <f t="shared" si="54"/>
        <v>-106.42863436807556</v>
      </c>
      <c r="BF9" s="95" t="str">
        <f t="shared" si="54"/>
        <v>-</v>
      </c>
      <c r="BG9" s="95" t="str">
        <f t="shared" si="54"/>
        <v>-</v>
      </c>
      <c r="BH9" s="95" t="str">
        <f t="shared" si="54"/>
        <v>-</v>
      </c>
      <c r="BJ9" s="143">
        <f t="shared" ref="BJ9:BV9" si="55">IFERROR(IF(AV9&lt;&gt;"-",AV9/AH9,"-"),"-")</f>
        <v>2.6972122064488388E-2</v>
      </c>
      <c r="BK9" s="143">
        <f t="shared" si="55"/>
        <v>7.2077274630477417E-2</v>
      </c>
      <c r="BL9" s="143">
        <f t="shared" si="55"/>
        <v>8.316505695079339E-2</v>
      </c>
      <c r="BM9" s="143">
        <f t="shared" si="55"/>
        <v>2.9914450130867767E-2</v>
      </c>
      <c r="BN9" s="143">
        <f t="shared" si="55"/>
        <v>2.324212661266702E-3</v>
      </c>
      <c r="BO9" s="143">
        <f t="shared" si="55"/>
        <v>1.5303044568262278E-2</v>
      </c>
      <c r="BP9" s="143">
        <f t="shared" si="55"/>
        <v>1.8125479592086987E-2</v>
      </c>
      <c r="BQ9" s="143">
        <f t="shared" si="55"/>
        <v>2.4995503612244341E-2</v>
      </c>
      <c r="BR9" s="143">
        <f t="shared" si="55"/>
        <v>3.1158161107903839E-2</v>
      </c>
      <c r="BS9" s="143">
        <f t="shared" si="55"/>
        <v>-8.1243232342042421E-2</v>
      </c>
      <c r="BT9" s="143" t="str">
        <f t="shared" si="55"/>
        <v>-</v>
      </c>
      <c r="BU9" s="143" t="str">
        <f t="shared" si="55"/>
        <v>-</v>
      </c>
      <c r="BV9" s="143" t="str">
        <f t="shared" si="55"/>
        <v>-</v>
      </c>
      <c r="BX9" s="112">
        <f t="shared" si="31"/>
        <v>1074.0075637473776</v>
      </c>
      <c r="BY9" s="95">
        <f>IFERROR(SUMIFS('01. KE30'!$R:$R,'01. KE30'!$F:$F,'05. BC BH THEO SKU-USD'!$D9,'01. KE30'!$A:$A,'05. BC BH THEO SKU-USD'!BY$4)/CM9/'02. Tỷ giá'!B$5," -")</f>
        <v>1064.5535399853079</v>
      </c>
      <c r="BZ9" s="95">
        <f>IFERROR(SUMIFS('01. KE30'!$R:$R,'01. KE30'!$F:$F,'05. BC BH THEO SKU-USD'!$D9,'01. KE30'!$A:$A,'05. BC BH THEO SKU-USD'!BZ$4)/CN9/'02. Tỷ giá'!C$5," -")</f>
        <v>1040.043884492821</v>
      </c>
      <c r="CA9" s="95">
        <f>IFERROR(SUMIFS('01. KE30'!$R:$R,'01. KE30'!$F:$F,'05. BC BH THEO SKU-USD'!$D9,'01. KE30'!$A:$A,'05. BC BH THEO SKU-USD'!CA$4)/CO9/'02. Tỷ giá'!D$5," -")</f>
        <v>1038.5799481265628</v>
      </c>
      <c r="CB9" s="95">
        <f>IFERROR(SUMIFS('01. KE30'!$R:$R,'01. KE30'!$F:$F,'05. BC BH THEO SKU-USD'!$D9,'01. KE30'!$A:$A,'05. BC BH THEO SKU-USD'!CB$4)/CP9/'02. Tỷ giá'!E$5," -")</f>
        <v>1028.8379878746491</v>
      </c>
      <c r="CC9" s="95">
        <f>IFERROR(SUMIFS('01. KE30'!$R:$R,'01. KE30'!$F:$F,'05. BC BH THEO SKU-USD'!$D9,'01. KE30'!$A:$A,'05. BC BH THEO SKU-USD'!CC$4)/CQ9/'02. Tỷ giá'!F$5," -")</f>
        <v>1072.913592424645</v>
      </c>
      <c r="CD9" s="95">
        <f>IFERROR(SUMIFS('01. KE30'!$R:$R,'01. KE30'!$F:$F,'05. BC BH THEO SKU-USD'!$D9,'01. KE30'!$A:$A,'05. BC BH THEO SKU-USD'!CD$4)/CR9/'02. Tỷ giá'!G$5," -")</f>
        <v>1079.8145692291212</v>
      </c>
      <c r="CE9" s="95">
        <f>IFERROR(SUMIFS('01. KE30'!$R:$R,'01. KE30'!$F:$F,'05. BC BH THEO SKU-USD'!$D9,'01. KE30'!$A:$A,'05. BC BH THEO SKU-USD'!CE$4)/CS9/'02. Tỷ giá'!H$5," -")</f>
        <v>1100.0783956040375</v>
      </c>
      <c r="CF9" s="95">
        <f>IFERROR(SUMIFS('01. KE30'!$R:$R,'01. KE30'!$F:$F,'05. BC BH THEO SKU-USD'!$D9,'01. KE30'!$A:$A,'05. BC BH THEO SKU-USD'!CF$4)/CT9/'02. Tỷ giá'!I$5," -")</f>
        <v>1119.1702097091793</v>
      </c>
      <c r="CG9" s="95">
        <f>IFERROR(SUMIFS('01. KE30'!$R:$R,'01. KE30'!$F:$F,'05. BC BH THEO SKU-USD'!$D9,'01. KE30'!$A:$A,'05. BC BH THEO SKU-USD'!CG$4)/CU9/'02. Tỷ giá'!J$5," -")</f>
        <v>1122.0759462800766</v>
      </c>
      <c r="CH9" s="95" t="str">
        <f>IFERROR(SUMIFS('01. KE30'!$R:$R,'01. KE30'!$F:$F,'05. BC BH THEO SKU-USD'!$D9,'01. KE30'!$A:$A,'05. BC BH THEO SKU-USD'!CH$4)/CV9/'02. Tỷ giá'!K$5," -")</f>
        <v xml:space="preserve"> -</v>
      </c>
      <c r="CI9" s="95" t="str">
        <f>IFERROR(SUMIFS('01. KE30'!$R:$R,'01. KE30'!$F:$F,'05. BC BH THEO SKU-USD'!$D9,'01. KE30'!$A:$A,'05. BC BH THEO SKU-USD'!CI$4)/CW9/'02. Tỷ giá'!L$5," -")</f>
        <v xml:space="preserve"> -</v>
      </c>
      <c r="CJ9" s="95" t="str">
        <f>IFERROR(SUMIFS('01. KE30'!$R:$R,'01. KE30'!$F:$F,'05. BC BH THEO SKU-USD'!$D9,'01. KE30'!$A:$A,'05. BC BH THEO SKU-USD'!CJ$4)/CX9/'02. Tỷ giá'!M$5," -")</f>
        <v xml:space="preserve"> -</v>
      </c>
      <c r="CL9" s="112">
        <f>SUM(CM9:CX9)</f>
        <v>4362.5938999999998</v>
      </c>
      <c r="CM9" s="114">
        <f>SUMIFS('01. KE30'!$I:$I,'01. KE30'!$F:$F,'05. BC BH THEO SKU-USD'!$D9,'01. KE30'!$A:$A,'05. BC BH THEO SKU-USD'!CM$4)/1000</f>
        <v>388.84929999999997</v>
      </c>
      <c r="CN9" s="114">
        <f>SUMIFS('01. KE30'!$I:$I,'01. KE30'!$F:$F,'05. BC BH THEO SKU-USD'!$D9,'01. KE30'!$A:$A,'05. BC BH THEO SKU-USD'!CN$4)/1000</f>
        <v>660</v>
      </c>
      <c r="CO9" s="114">
        <f>SUMIFS('01. KE30'!$I:$I,'01. KE30'!$F:$F,'05. BC BH THEO SKU-USD'!$D9,'01. KE30'!$A:$A,'05. BC BH THEO SKU-USD'!CO$4)/1000</f>
        <v>419.1</v>
      </c>
      <c r="CP9" s="114">
        <f>SUMIFS('01. KE30'!$I:$I,'01. KE30'!$F:$F,'05. BC BH THEO SKU-USD'!$D9,'01. KE30'!$A:$A,'05. BC BH THEO SKU-USD'!CP$4)/1000</f>
        <v>531.29999999999995</v>
      </c>
      <c r="CQ9" s="114">
        <f>SUMIFS('01. KE30'!$I:$I,'01. KE30'!$F:$F,'05. BC BH THEO SKU-USD'!$D9,'01. KE30'!$A:$A,'05. BC BH THEO SKU-USD'!CQ$4)/1000</f>
        <v>556.16030000000001</v>
      </c>
      <c r="CR9" s="114">
        <f>SUMIFS('01. KE30'!$I:$I,'01. KE30'!$F:$F,'05. BC BH THEO SKU-USD'!$D9,'01. KE30'!$A:$A,'05. BC BH THEO SKU-USD'!CR$4)/1000</f>
        <v>486.42220000000003</v>
      </c>
      <c r="CS9" s="114">
        <f>SUMIFS('01. KE30'!$I:$I,'01. KE30'!$F:$F,'05. BC BH THEO SKU-USD'!$D9,'01. KE30'!$A:$A,'05. BC BH THEO SKU-USD'!CS$4)/1000</f>
        <v>248.9691</v>
      </c>
      <c r="CT9" s="114">
        <f>SUMIFS('01. KE30'!$I:$I,'01. KE30'!$F:$F,'05. BC BH THEO SKU-USD'!$D9,'01. KE30'!$A:$A,'05. BC BH THEO SKU-USD'!CT$4)/1000</f>
        <v>835.29300000000001</v>
      </c>
      <c r="CU9" s="114">
        <f>SUMIFS('01. KE30'!$I:$I,'01. KE30'!$F:$F,'05. BC BH THEO SKU-USD'!$D9,'01. KE30'!$A:$A,'05. BC BH THEO SKU-USD'!CU$4)/1000</f>
        <v>236.5</v>
      </c>
      <c r="CV9" s="114">
        <f>SUMIFS('01. KE30'!$I:$I,'01. KE30'!$F:$F,'05. BC BH THEO SKU-USD'!$D9,'01. KE30'!$A:$A,'05. BC BH THEO SKU-USD'!CV$4)/1000</f>
        <v>0</v>
      </c>
      <c r="CW9" s="114">
        <f>SUMIFS('01. KE30'!$I:$I,'01. KE30'!$F:$F,'05. BC BH THEO SKU-USD'!$D9,'01. KE30'!$A:$A,'05. BC BH THEO SKU-USD'!CW$4)/1000</f>
        <v>0</v>
      </c>
      <c r="CX9" s="114">
        <f>SUMIFS('01. KE30'!$I:$I,'01. KE30'!$F:$F,'05. BC BH THEO SKU-USD'!$D9,'01. KE30'!$A:$A,'05. BC BH THEO SKU-USD'!CX$4)/1000</f>
        <v>0</v>
      </c>
      <c r="CZ9" s="112">
        <f>SUM(DA9:DL9)</f>
        <v>6123498.7056013299</v>
      </c>
      <c r="DA9" s="54">
        <f t="shared" ref="DA9:DL9" si="56">IFERROR(G9*CM9," -")</f>
        <v>566202.20333199517</v>
      </c>
      <c r="DB9" s="54">
        <f t="shared" si="56"/>
        <v>939144.76282000786</v>
      </c>
      <c r="DC9" s="54">
        <f t="shared" si="56"/>
        <v>576559.6058267717</v>
      </c>
      <c r="DD9" s="54">
        <f t="shared" si="56"/>
        <v>726311.10654277971</v>
      </c>
      <c r="DE9" s="54">
        <f t="shared" si="56"/>
        <v>783444.4939288476</v>
      </c>
      <c r="DF9" s="54">
        <f t="shared" si="56"/>
        <v>691675.47611882724</v>
      </c>
      <c r="DG9" s="54">
        <f t="shared" si="56"/>
        <v>350827.24955820211</v>
      </c>
      <c r="DH9" s="54">
        <f t="shared" si="56"/>
        <v>1179899.6169977083</v>
      </c>
      <c r="DI9" s="54">
        <f t="shared" si="56"/>
        <v>309434.19047619047</v>
      </c>
      <c r="DJ9" s="54" t="str">
        <f t="shared" si="56"/>
        <v xml:space="preserve"> -</v>
      </c>
      <c r="DK9" s="54" t="str">
        <f t="shared" si="56"/>
        <v xml:space="preserve"> -</v>
      </c>
      <c r="DL9" s="54" t="str">
        <f t="shared" si="56"/>
        <v xml:space="preserve"> -</v>
      </c>
      <c r="DN9" s="112">
        <f>SUM(DO9:DZ9)</f>
        <v>1245582.7975581454</v>
      </c>
      <c r="DO9" s="114">
        <f>IFERROR(SUMIFS('01. KE30'!$X:$X,'01. KE30'!$F:$F,'05. BC BH THEO SKU-USD'!$D9,'01. KE30'!$A:$A,'05. BC BH THEO SKU-USD'!DO$4)-SUMIFS('01. KE30'!$AA:$AA,'01. KE30'!$F:$F,'05. BC BH THEO SKU-USD'!$D9,'01. KE30'!$A:$A,'05. BC BH THEO SKU-USD'!DO$4),"-")</f>
        <v>136326.07824166998</v>
      </c>
      <c r="DP9" s="114">
        <f>IFERROR(SUMIFS('01. KE30'!$X:$X,'01. KE30'!$F:$F,'05. BC BH THEO SKU-USD'!$D9,'01. KE30'!$A:$A,'05. BC BH THEO SKU-USD'!DP$4)-SUMIFS('01. KE30'!$AA:$AA,'01. KE30'!$F:$F,'05. BC BH THEO SKU-USD'!$D9,'01. KE30'!$A:$A,'05. BC BH THEO SKU-USD'!DP$4),"-")</f>
        <v>228628.87634676835</v>
      </c>
      <c r="DQ9" s="114">
        <f>IFERROR(SUMIFS('01. KE30'!$X:$X,'01. KE30'!$F:$F,'05. BC BH THEO SKU-USD'!$D9,'01. KE30'!$A:$A,'05. BC BH THEO SKU-USD'!DQ$4)-SUMIFS('01. KE30'!$AA:$AA,'01. KE30'!$F:$F,'05. BC BH THEO SKU-USD'!$D9,'01. KE30'!$A:$A,'05. BC BH THEO SKU-USD'!DQ$4),"-")</f>
        <v>134492.17652595509</v>
      </c>
      <c r="DR9" s="114">
        <f>IFERROR(SUMIFS('01. KE30'!$X:$X,'01. KE30'!$F:$F,'05. BC BH THEO SKU-USD'!$D9,'01. KE30'!$A:$A,'05. BC BH THEO SKU-USD'!DR$4)-SUMIFS('01. KE30'!$AA:$AA,'01. KE30'!$F:$F,'05. BC BH THEO SKU-USD'!$D9,'01. KE30'!$A:$A,'05. BC BH THEO SKU-USD'!DR$4),"-")</f>
        <v>166975.08165268635</v>
      </c>
      <c r="DS9" s="114">
        <f>IFERROR(SUMIFS('01. KE30'!$X:$X,'01. KE30'!$F:$F,'05. BC BH THEO SKU-USD'!$D9,'01. KE30'!$A:$A,'05. BC BH THEO SKU-USD'!DS$4)-SUMIFS('01. KE30'!$AA:$AA,'01. KE30'!$F:$F,'05. BC BH THEO SKU-USD'!$D9,'01. KE30'!$A:$A,'05. BC BH THEO SKU-USD'!DS$4),"-")</f>
        <v>159947.5240127492</v>
      </c>
      <c r="DT9" s="114">
        <f>IFERROR(SUMIFS('01. KE30'!$X:$X,'01. KE30'!$F:$F,'05. BC BH THEO SKU-USD'!$D9,'01. KE30'!$A:$A,'05. BC BH THEO SKU-USD'!DT$4)-SUMIFS('01. KE30'!$AA:$AA,'01. KE30'!$F:$F,'05. BC BH THEO SKU-USD'!$D9,'01. KE30'!$A:$A,'05. BC BH THEO SKU-USD'!DT$4),"-")</f>
        <v>138374.2614268976</v>
      </c>
      <c r="DU9" s="114">
        <f>IFERROR(SUMIFS('01. KE30'!$X:$X,'01. KE30'!$F:$F,'05. BC BH THEO SKU-USD'!$D9,'01. KE30'!$A:$A,'05. BC BH THEO SKU-USD'!DU$4)-SUMIFS('01. KE30'!$AA:$AA,'01. KE30'!$F:$F,'05. BC BH THEO SKU-USD'!$D9,'01. KE30'!$A:$A,'05. BC BH THEO SKU-USD'!DU$4),"-")</f>
        <v>68072.030688457773</v>
      </c>
      <c r="DV9" s="114">
        <f>IFERROR(SUMIFS('01. KE30'!$X:$X,'01. KE30'!$F:$F,'05. BC BH THEO SKU-USD'!$D9,'01. KE30'!$A:$A,'05. BC BH THEO SKU-USD'!DV$4)-SUMIFS('01. KE30'!$AA:$AA,'01. KE30'!$F:$F,'05. BC BH THEO SKU-USD'!$D9,'01. KE30'!$A:$A,'05. BC BH THEO SKU-USD'!DV$4),"-")</f>
        <v>193493.10198624898</v>
      </c>
      <c r="DW9" s="114">
        <f>IFERROR(SUMIFS('01. KE30'!$X:$X,'01. KE30'!$F:$F,'05. BC BH THEO SKU-USD'!$D9,'01. KE30'!$A:$A,'05. BC BH THEO SKU-USD'!DW$4)-SUMIFS('01. KE30'!$AA:$AA,'01. KE30'!$F:$F,'05. BC BH THEO SKU-USD'!$D9,'01. KE30'!$A:$A,'05. BC BH THEO SKU-USD'!DW$4),"-")</f>
        <v>19273.66667671199</v>
      </c>
      <c r="DX9" s="114">
        <f>IFERROR(SUMIFS('01. KE30'!$X:$X,'01. KE30'!$F:$F,'05. BC BH THEO SKU-USD'!$D9,'01. KE30'!$A:$A,'05. BC BH THEO SKU-USD'!DX$4)-SUMIFS('01. KE30'!$AA:$AA,'01. KE30'!$F:$F,'05. BC BH THEO SKU-USD'!$D9,'01. KE30'!$A:$A,'05. BC BH THEO SKU-USD'!DX$4),"-")</f>
        <v>0</v>
      </c>
      <c r="DY9" s="114">
        <f>IFERROR(SUMIFS('01. KE30'!$X:$X,'01. KE30'!$F:$F,'05. BC BH THEO SKU-USD'!$D9,'01. KE30'!$A:$A,'05. BC BH THEO SKU-USD'!DY$4)-SUMIFS('01. KE30'!$AA:$AA,'01. KE30'!$F:$F,'05. BC BH THEO SKU-USD'!$D9,'01. KE30'!$A:$A,'05. BC BH THEO SKU-USD'!DY$4),"-")</f>
        <v>0</v>
      </c>
      <c r="DZ9" s="114">
        <f>IFERROR(SUMIFS('01. KE30'!$X:$X,'01. KE30'!$F:$F,'05. BC BH THEO SKU-USD'!$D9,'01. KE30'!$A:$A,'05. BC BH THEO SKU-USD'!DZ$4)-SUMIFS('01. KE30'!$AA:$AA,'01. KE30'!$F:$F,'05. BC BH THEO SKU-USD'!$D9,'01. KE30'!$A:$A,'05. BC BH THEO SKU-USD'!DZ$4),"-")</f>
        <v>0</v>
      </c>
      <c r="EB9" s="571">
        <f t="shared" si="18"/>
        <v>0.20341031450186756</v>
      </c>
      <c r="EC9" s="572">
        <f t="shared" si="18"/>
        <v>0.24077277947598269</v>
      </c>
      <c r="ED9" s="572">
        <f t="shared" si="19"/>
        <v>0.24344370047941832</v>
      </c>
      <c r="EE9" s="572">
        <f t="shared" si="20"/>
        <v>0.23326673455227021</v>
      </c>
      <c r="EF9" s="572">
        <f t="shared" si="21"/>
        <v>0.22989471061165925</v>
      </c>
      <c r="EG9" s="1051">
        <f t="shared" si="22"/>
        <v>0.20415935685582293</v>
      </c>
      <c r="EH9" s="572">
        <f t="shared" si="23"/>
        <v>0.2000566251146447</v>
      </c>
      <c r="EI9" s="572">
        <f t="shared" si="24"/>
        <v>0.19403290586515473</v>
      </c>
      <c r="EJ9" s="572">
        <f t="shared" si="25"/>
        <v>0.16399115585662979</v>
      </c>
      <c r="EK9" s="572">
        <f t="shared" si="26"/>
        <v>6.2286803688537479E-2</v>
      </c>
      <c r="EL9" s="572">
        <f t="shared" si="27"/>
        <v>0</v>
      </c>
      <c r="EM9" s="572">
        <f t="shared" si="28"/>
        <v>0</v>
      </c>
      <c r="EN9" s="572">
        <f t="shared" si="29"/>
        <v>0</v>
      </c>
    </row>
    <row r="10" spans="1:144" s="24" customFormat="1" ht="15.5" outlineLevel="1" x14ac:dyDescent="0.35">
      <c r="A10" s="27">
        <f>A9+1</f>
        <v>5</v>
      </c>
      <c r="B10" s="27" t="s">
        <v>166</v>
      </c>
      <c r="C10" s="247" t="s">
        <v>302</v>
      </c>
      <c r="D10" s="459" t="s">
        <v>122</v>
      </c>
      <c r="E10" s="28" t="s">
        <v>121</v>
      </c>
      <c r="F10" s="92">
        <f t="shared" si="30"/>
        <v>1310.9749498193496</v>
      </c>
      <c r="G10" s="106">
        <f>IFERROR(SUMIFS('01. KE30'!$K:$K,'01. KE30'!$F:$F,'05. BC BH THEO SKU-USD'!$D10,'01. KE30'!$A:$A,'05. BC BH THEO SKU-USD'!G$4)/'05. BC BH THEO SKU-USD'!CM10/'02. Tỷ giá'!B$5,"-")</f>
        <v>1310.9749498193496</v>
      </c>
      <c r="H10" s="106" t="str">
        <f>IFERROR(SUMIFS('01. KE30'!$K:$K,'01. KE30'!$F:$F,'05. BC BH THEO SKU-USD'!$D10,'01. KE30'!$A:$A,'05. BC BH THEO SKU-USD'!H$4)/'05. BC BH THEO SKU-USD'!CN10/'02. Tỷ giá'!C$5,"-")</f>
        <v>-</v>
      </c>
      <c r="I10" s="106" t="str">
        <f>IFERROR(SUMIFS('01. KE30'!$K:$K,'01. KE30'!$F:$F,'05. BC BH THEO SKU-USD'!$D10,'01. KE30'!$A:$A,'05. BC BH THEO SKU-USD'!I$4)/'05. BC BH THEO SKU-USD'!CO10/'02. Tỷ giá'!D$5,"-")</f>
        <v>-</v>
      </c>
      <c r="J10" s="106" t="str">
        <f>IFERROR(SUMIFS('01. KE30'!$K:$K,'01. KE30'!$F:$F,'05. BC BH THEO SKU-USD'!$D10,'01. KE30'!$A:$A,'05. BC BH THEO SKU-USD'!J$4)/'05. BC BH THEO SKU-USD'!CP10/'02. Tỷ giá'!E$5,"-")</f>
        <v>-</v>
      </c>
      <c r="K10" s="106" t="str">
        <f>IFERROR(SUMIFS('01. KE30'!$K:$K,'01. KE30'!$F:$F,'05. BC BH THEO SKU-USD'!$D10,'01. KE30'!$A:$A,'05. BC BH THEO SKU-USD'!K$4)/'05. BC BH THEO SKU-USD'!CQ10/'02. Tỷ giá'!F$5,"-")</f>
        <v>-</v>
      </c>
      <c r="L10" s="106" t="str">
        <f>IFERROR(SUMIFS('01. KE30'!$K:$K,'01. KE30'!$F:$F,'05. BC BH THEO SKU-USD'!$D10,'01. KE30'!$A:$A,'05. BC BH THEO SKU-USD'!L$4)/'05. BC BH THEO SKU-USD'!CR10/'02. Tỷ giá'!G$5,"-")</f>
        <v>-</v>
      </c>
      <c r="M10" s="106" t="str">
        <f>IFERROR(SUMIFS('01. KE30'!$K:$K,'01. KE30'!$F:$F,'05. BC BH THEO SKU-USD'!$D10,'01. KE30'!$A:$A,'05. BC BH THEO SKU-USD'!M$4)/'05. BC BH THEO SKU-USD'!CS10/'02. Tỷ giá'!H$5,"-")</f>
        <v>-</v>
      </c>
      <c r="N10" s="106" t="str">
        <f>IFERROR(SUMIFS('01. KE30'!$K:$K,'01. KE30'!$F:$F,'05. BC BH THEO SKU-USD'!$D10,'01. KE30'!$A:$A,'05. BC BH THEO SKU-USD'!N$4)/'05. BC BH THEO SKU-USD'!CT10/'02. Tỷ giá'!I$5,"-")</f>
        <v>-</v>
      </c>
      <c r="O10" s="106" t="str">
        <f>IFERROR(SUMIFS('01. KE30'!$K:$K,'01. KE30'!$F:$F,'05. BC BH THEO SKU-USD'!$D10,'01. KE30'!$A:$A,'05. BC BH THEO SKU-USD'!O$4)/'05. BC BH THEO SKU-USD'!CU10/'02. Tỷ giá'!J$5,"-")</f>
        <v>-</v>
      </c>
      <c r="P10" s="106" t="str">
        <f>IFERROR(SUMIFS('01. KE30'!$K:$K,'01. KE30'!$F:$F,'05. BC BH THEO SKU-USD'!$D10,'01. KE30'!$A:$A,'05. BC BH THEO SKU-USD'!P$4)/'05. BC BH THEO SKU-USD'!CV10/'02. Tỷ giá'!K$5,"-")</f>
        <v>-</v>
      </c>
      <c r="Q10" s="106" t="str">
        <f>IFERROR(SUMIFS('01. KE30'!$K:$K,'01. KE30'!$F:$F,'05. BC BH THEO SKU-USD'!$D10,'01. KE30'!$A:$A,'05. BC BH THEO SKU-USD'!Q$4)/'05. BC BH THEO SKU-USD'!CW10/'02. Tỷ giá'!L$5,"-")</f>
        <v>-</v>
      </c>
      <c r="R10" s="106" t="str">
        <f>IFERROR(SUMIFS('01. KE30'!$K:$K,'01. KE30'!$F:$F,'05. BC BH THEO SKU-USD'!$D10,'01. KE30'!$A:$A,'05. BC BH THEO SKU-USD'!R$4)/'05. BC BH THEO SKU-USD'!CX10/'02. Tỷ giá'!M$5,"-")</f>
        <v>-</v>
      </c>
      <c r="T10" s="92">
        <f t="shared" si="35"/>
        <v>1310.9749498193496</v>
      </c>
      <c r="U10" s="147">
        <f>IFERROR(SUMIFS('01. KE30'!$O:$O,'01. KE30'!$F:$F,'05. BC BH THEO SKU-USD'!$D10,'01. KE30'!$A:$A,'05. BC BH THEO SKU-USD'!G$4)/'05. BC BH THEO SKU-USD'!CM10/'02. Tỷ giá'!B$5,"-")</f>
        <v>1310.9749498193496</v>
      </c>
      <c r="V10" s="147" t="str">
        <f>IFERROR(SUMIFS('01. KE30'!$O:$O,'01. KE30'!$F:$F,'05. BC BH THEO SKU-USD'!$D10,'01. KE30'!$A:$A,'05. BC BH THEO SKU-USD'!H$4)/'05. BC BH THEO SKU-USD'!CN10/'02. Tỷ giá'!C$5,"-")</f>
        <v>-</v>
      </c>
      <c r="W10" s="147" t="str">
        <f>IFERROR(SUMIFS('01. KE30'!$O:$O,'01. KE30'!$F:$F,'05. BC BH THEO SKU-USD'!$D10,'01. KE30'!$A:$A,'05. BC BH THEO SKU-USD'!I$4)/'05. BC BH THEO SKU-USD'!CO10/'02. Tỷ giá'!D$5,"-")</f>
        <v>-</v>
      </c>
      <c r="X10" s="147" t="str">
        <f>IFERROR(SUMIFS('01. KE30'!$O:$O,'01. KE30'!$F:$F,'05. BC BH THEO SKU-USD'!$D10,'01. KE30'!$A:$A,'05. BC BH THEO SKU-USD'!J$4)/'05. BC BH THEO SKU-USD'!CP10/'02. Tỷ giá'!E$5,"-")</f>
        <v>-</v>
      </c>
      <c r="Y10" s="147" t="str">
        <f>IFERROR(SUMIFS('01. KE30'!$O:$O,'01. KE30'!$F:$F,'05. BC BH THEO SKU-USD'!$D10,'01. KE30'!$A:$A,'05. BC BH THEO SKU-USD'!K$4)/'05. BC BH THEO SKU-USD'!CQ10/'02. Tỷ giá'!F$5,"-")</f>
        <v>-</v>
      </c>
      <c r="Z10" s="147" t="str">
        <f>IFERROR(SUMIFS('01. KE30'!$O:$O,'01. KE30'!$F:$F,'05. BC BH THEO SKU-USD'!$D10,'01. KE30'!$A:$A,'05. BC BH THEO SKU-USD'!L$4)/'05. BC BH THEO SKU-USD'!CR10/'02. Tỷ giá'!G$5,"-")</f>
        <v>-</v>
      </c>
      <c r="AA10" s="147" t="str">
        <f>IFERROR(SUMIFS('01. KE30'!$O:$O,'01. KE30'!$F:$F,'05. BC BH THEO SKU-USD'!$D10,'01. KE30'!$A:$A,'05. BC BH THEO SKU-USD'!M$4)/'05. BC BH THEO SKU-USD'!CS10/'02. Tỷ giá'!H$5,"-")</f>
        <v>-</v>
      </c>
      <c r="AB10" s="147" t="str">
        <f>IFERROR(SUMIFS('01. KE30'!$O:$O,'01. KE30'!$F:$F,'05. BC BH THEO SKU-USD'!$D10,'01. KE30'!$A:$A,'05. BC BH THEO SKU-USD'!N$4)/'05. BC BH THEO SKU-USD'!CT10/'02. Tỷ giá'!I$5,"-")</f>
        <v>-</v>
      </c>
      <c r="AC10" s="147" t="str">
        <f>IFERROR(SUMIFS('01. KE30'!$O:$O,'01. KE30'!$F:$F,'05. BC BH THEO SKU-USD'!$D10,'01. KE30'!$A:$A,'05. BC BH THEO SKU-USD'!O$4)/'05. BC BH THEO SKU-USD'!CU10/'02. Tỷ giá'!J$5,"-")</f>
        <v>-</v>
      </c>
      <c r="AD10" s="147" t="str">
        <f>IFERROR(SUMIFS('01. KE30'!$O:$O,'01. KE30'!$F:$F,'05. BC BH THEO SKU-USD'!$D10,'01. KE30'!$A:$A,'05. BC BH THEO SKU-USD'!P$4)/'05. BC BH THEO SKU-USD'!CV10/'02. Tỷ giá'!K$5,"-")</f>
        <v>-</v>
      </c>
      <c r="AE10" s="147" t="str">
        <f>IFERROR(SUMIFS('01. KE30'!$O:$O,'01. KE30'!$F:$F,'05. BC BH THEO SKU-USD'!$D10,'01. KE30'!$A:$A,'05. BC BH THEO SKU-USD'!Q$4)/'05. BC BH THEO SKU-USD'!CW10/'02. Tỷ giá'!L$5,"-")</f>
        <v>-</v>
      </c>
      <c r="AF10" s="147" t="str">
        <f>IFERROR(SUMIFS('01. KE30'!$O:$O,'01. KE30'!$F:$F,'05. BC BH THEO SKU-USD'!$D10,'01. KE30'!$A:$A,'05. BC BH THEO SKU-USD'!R$4)/'05. BC BH THEO SKU-USD'!CX10/'02. Tỷ giá'!M$5,"-")</f>
        <v>-</v>
      </c>
      <c r="AH10" s="92">
        <f t="shared" si="36"/>
        <v>1320</v>
      </c>
      <c r="AI10" s="25">
        <v>1320</v>
      </c>
      <c r="AJ10" s="25">
        <v>1320</v>
      </c>
      <c r="AK10" s="25">
        <v>1320</v>
      </c>
      <c r="AL10" s="25">
        <v>1320</v>
      </c>
      <c r="AM10" s="25">
        <v>1320</v>
      </c>
      <c r="AN10" s="25">
        <v>1320</v>
      </c>
      <c r="AO10" s="25">
        <v>1320</v>
      </c>
      <c r="AP10" s="25">
        <v>1320</v>
      </c>
      <c r="AQ10" s="25">
        <v>1320</v>
      </c>
      <c r="AR10" s="25"/>
      <c r="AS10" s="25"/>
      <c r="AT10" s="25"/>
      <c r="AV10" s="95">
        <f t="shared" si="38"/>
        <v>-9.0250501806503962</v>
      </c>
      <c r="AW10" s="95">
        <f t="shared" si="38"/>
        <v>-9.0250501806503962</v>
      </c>
      <c r="AX10" s="95" t="str">
        <f t="shared" si="12"/>
        <v>-</v>
      </c>
      <c r="AY10" s="95" t="str">
        <f t="shared" si="12"/>
        <v>-</v>
      </c>
      <c r="AZ10" s="95" t="str">
        <f t="shared" si="12"/>
        <v>-</v>
      </c>
      <c r="BA10" s="95" t="str">
        <f t="shared" si="12"/>
        <v>-</v>
      </c>
      <c r="BB10" s="95" t="str">
        <f t="shared" si="12"/>
        <v>-</v>
      </c>
      <c r="BC10" s="95" t="str">
        <f t="shared" si="12"/>
        <v>-</v>
      </c>
      <c r="BD10" s="95" t="str">
        <f t="shared" si="12"/>
        <v>-</v>
      </c>
      <c r="BE10" s="95" t="str">
        <f t="shared" si="12"/>
        <v>-</v>
      </c>
      <c r="BF10" s="95" t="str">
        <f t="shared" si="12"/>
        <v>-</v>
      </c>
      <c r="BG10" s="95" t="str">
        <f t="shared" si="12"/>
        <v>-</v>
      </c>
      <c r="BH10" s="95" t="str">
        <f t="shared" si="12"/>
        <v>-</v>
      </c>
      <c r="BJ10" s="143">
        <f t="shared" si="39"/>
        <v>-6.8371592277654521E-3</v>
      </c>
      <c r="BK10" s="143">
        <f t="shared" si="13"/>
        <v>-6.8371592277654521E-3</v>
      </c>
      <c r="BL10" s="143" t="str">
        <f t="shared" si="13"/>
        <v>-</v>
      </c>
      <c r="BM10" s="143" t="str">
        <f t="shared" si="13"/>
        <v>-</v>
      </c>
      <c r="BN10" s="143" t="str">
        <f t="shared" si="13"/>
        <v>-</v>
      </c>
      <c r="BO10" s="143" t="str">
        <f t="shared" si="13"/>
        <v>-</v>
      </c>
      <c r="BP10" s="143" t="str">
        <f t="shared" si="13"/>
        <v>-</v>
      </c>
      <c r="BQ10" s="143" t="str">
        <f t="shared" si="13"/>
        <v>-</v>
      </c>
      <c r="BR10" s="143" t="str">
        <f t="shared" si="13"/>
        <v>-</v>
      </c>
      <c r="BS10" s="143" t="str">
        <f t="shared" si="13"/>
        <v>-</v>
      </c>
      <c r="BT10" s="143" t="str">
        <f t="shared" si="13"/>
        <v>-</v>
      </c>
      <c r="BU10" s="143" t="str">
        <f t="shared" si="13"/>
        <v>-</v>
      </c>
      <c r="BV10" s="143" t="str">
        <f t="shared" si="13"/>
        <v>-</v>
      </c>
      <c r="BX10" s="112">
        <f t="shared" si="31"/>
        <v>1141.217273092223</v>
      </c>
      <c r="BY10" s="95">
        <f>IFERROR(SUMIFS('01. KE30'!$R:$R,'01. KE30'!$F:$F,'05. BC BH THEO SKU-USD'!$D10,'01. KE30'!$A:$A,'05. BC BH THEO SKU-USD'!BY$4)/CM10/'02. Tỷ giá'!B$5," -")</f>
        <v>1141.217273092223</v>
      </c>
      <c r="BZ10" s="95" t="str">
        <f>IFERROR(SUMIFS('01. KE30'!$R:$R,'01. KE30'!$F:$F,'05. BC BH THEO SKU-USD'!$D10,'01. KE30'!$A:$A,'05. BC BH THEO SKU-USD'!BZ$4)/CN10/'02. Tỷ giá'!C$5," -")</f>
        <v xml:space="preserve"> -</v>
      </c>
      <c r="CA10" s="95" t="str">
        <f>IFERROR(SUMIFS('01. KE30'!$R:$R,'01. KE30'!$F:$F,'05. BC BH THEO SKU-USD'!$D10,'01. KE30'!$A:$A,'05. BC BH THEO SKU-USD'!CA$4)/CO10/'02. Tỷ giá'!D$5," -")</f>
        <v xml:space="preserve"> -</v>
      </c>
      <c r="CB10" s="95" t="str">
        <f>IFERROR(SUMIFS('01. KE30'!$R:$R,'01. KE30'!$F:$F,'05. BC BH THEO SKU-USD'!$D10,'01. KE30'!$A:$A,'05. BC BH THEO SKU-USD'!CB$4)/CP10/'02. Tỷ giá'!E$5," -")</f>
        <v xml:space="preserve"> -</v>
      </c>
      <c r="CC10" s="95" t="str">
        <f>IFERROR(SUMIFS('01. KE30'!$R:$R,'01. KE30'!$F:$F,'05. BC BH THEO SKU-USD'!$D10,'01. KE30'!$A:$A,'05. BC BH THEO SKU-USD'!CC$4)/CQ10/'02. Tỷ giá'!F$5," -")</f>
        <v xml:space="preserve"> -</v>
      </c>
      <c r="CD10" s="95" t="str">
        <f>IFERROR(SUMIFS('01. KE30'!$R:$R,'01. KE30'!$F:$F,'05. BC BH THEO SKU-USD'!$D10,'01. KE30'!$A:$A,'05. BC BH THEO SKU-USD'!CD$4)/CR10/'02. Tỷ giá'!G$5," -")</f>
        <v xml:space="preserve"> -</v>
      </c>
      <c r="CE10" s="95" t="str">
        <f>IFERROR(SUMIFS('01. KE30'!$R:$R,'01. KE30'!$F:$F,'05. BC BH THEO SKU-USD'!$D10,'01. KE30'!$A:$A,'05. BC BH THEO SKU-USD'!CE$4)/CS10/'02. Tỷ giá'!H$5," -")</f>
        <v xml:space="preserve"> -</v>
      </c>
      <c r="CF10" s="95" t="str">
        <f>IFERROR(SUMIFS('01. KE30'!$R:$R,'01. KE30'!$F:$F,'05. BC BH THEO SKU-USD'!$D10,'01. KE30'!$A:$A,'05. BC BH THEO SKU-USD'!CF$4)/CT10/'02. Tỷ giá'!I$5," -")</f>
        <v xml:space="preserve"> -</v>
      </c>
      <c r="CG10" s="95" t="str">
        <f>IFERROR(SUMIFS('01. KE30'!$R:$R,'01. KE30'!$F:$F,'05. BC BH THEO SKU-USD'!$D10,'01. KE30'!$A:$A,'05. BC BH THEO SKU-USD'!CG$4)/CU10/'02. Tỷ giá'!J$5," -")</f>
        <v xml:space="preserve"> -</v>
      </c>
      <c r="CH10" s="95" t="str">
        <f>IFERROR(SUMIFS('01. KE30'!$R:$R,'01. KE30'!$F:$F,'05. BC BH THEO SKU-USD'!$D10,'01. KE30'!$A:$A,'05. BC BH THEO SKU-USD'!CH$4)/CV10/'02. Tỷ giá'!K$5," -")</f>
        <v xml:space="preserve"> -</v>
      </c>
      <c r="CI10" s="95" t="str">
        <f>IFERROR(SUMIFS('01. KE30'!$R:$R,'01. KE30'!$F:$F,'05. BC BH THEO SKU-USD'!$D10,'01. KE30'!$A:$A,'05. BC BH THEO SKU-USD'!CI$4)/CW10/'02. Tỷ giá'!L$5," -")</f>
        <v xml:space="preserve"> -</v>
      </c>
      <c r="CJ10" s="95" t="str">
        <f>IFERROR(SUMIFS('01. KE30'!$R:$R,'01. KE30'!$F:$F,'05. BC BH THEO SKU-USD'!$D10,'01. KE30'!$A:$A,'05. BC BH THEO SKU-USD'!CJ$4)/CX10/'02. Tỷ giá'!M$5," -")</f>
        <v xml:space="preserve"> -</v>
      </c>
      <c r="CL10" s="112">
        <f t="shared" si="32"/>
        <v>22</v>
      </c>
      <c r="CM10" s="54">
        <f>SUMIFS('01. KE30'!$I:$I,'01. KE30'!$F:$F,'05. BC BH THEO SKU-USD'!$D10,'01. KE30'!$A:$A,'05. BC BH THEO SKU-USD'!CM$4)/1000</f>
        <v>22</v>
      </c>
      <c r="CN10" s="54">
        <f>SUMIFS('01. KE30'!$I:$I,'01. KE30'!$F:$F,'05. BC BH THEO SKU-USD'!$D10,'01. KE30'!$A:$A,'05. BC BH THEO SKU-USD'!CN$4)/1000</f>
        <v>0</v>
      </c>
      <c r="CO10" s="54">
        <f>SUMIFS('01. KE30'!$I:$I,'01. KE30'!$F:$F,'05. BC BH THEO SKU-USD'!$D10,'01. KE30'!$A:$A,'05. BC BH THEO SKU-USD'!CO$4)/1000</f>
        <v>0</v>
      </c>
      <c r="CP10" s="54">
        <f>SUMIFS('01. KE30'!$I:$I,'01. KE30'!$F:$F,'05. BC BH THEO SKU-USD'!$D10,'01. KE30'!$A:$A,'05. BC BH THEO SKU-USD'!CP$4)/1000</f>
        <v>0</v>
      </c>
      <c r="CQ10" s="54">
        <f>SUMIFS('01. KE30'!$I:$I,'01. KE30'!$F:$F,'05. BC BH THEO SKU-USD'!$D10,'01. KE30'!$A:$A,'05. BC BH THEO SKU-USD'!CQ$4)/1000</f>
        <v>0</v>
      </c>
      <c r="CR10" s="54">
        <f>SUMIFS('01. KE30'!$I:$I,'01. KE30'!$F:$F,'05. BC BH THEO SKU-USD'!$D10,'01. KE30'!$A:$A,'05. BC BH THEO SKU-USD'!CR$4)/1000</f>
        <v>0</v>
      </c>
      <c r="CS10" s="54">
        <f>SUMIFS('01. KE30'!$I:$I,'01. KE30'!$F:$F,'05. BC BH THEO SKU-USD'!$D10,'01. KE30'!$A:$A,'05. BC BH THEO SKU-USD'!CS$4)/1000</f>
        <v>0</v>
      </c>
      <c r="CT10" s="54">
        <f>SUMIFS('01. KE30'!$I:$I,'01. KE30'!$F:$F,'05. BC BH THEO SKU-USD'!$D10,'01. KE30'!$A:$A,'05. BC BH THEO SKU-USD'!CT$4)/1000</f>
        <v>0</v>
      </c>
      <c r="CU10" s="54">
        <f>SUMIFS('01. KE30'!$I:$I,'01. KE30'!$F:$F,'05. BC BH THEO SKU-USD'!$D10,'01. KE30'!$A:$A,'05. BC BH THEO SKU-USD'!CU$4)/1000</f>
        <v>0</v>
      </c>
      <c r="CV10" s="54">
        <f>SUMIFS('01. KE30'!$I:$I,'01. KE30'!$F:$F,'05. BC BH THEO SKU-USD'!$D10,'01. KE30'!$A:$A,'05. BC BH THEO SKU-USD'!CV$4)/1000</f>
        <v>0</v>
      </c>
      <c r="CW10" s="54">
        <f>SUMIFS('01. KE30'!$I:$I,'01. KE30'!$F:$F,'05. BC BH THEO SKU-USD'!$D10,'01. KE30'!$A:$A,'05. BC BH THEO SKU-USD'!CW$4)/1000</f>
        <v>0</v>
      </c>
      <c r="CX10" s="54">
        <f>SUMIFS('01. KE30'!$I:$I,'01. KE30'!$F:$F,'05. BC BH THEO SKU-USD'!$D10,'01. KE30'!$A:$A,'05. BC BH THEO SKU-USD'!CX$4)/1000</f>
        <v>0</v>
      </c>
      <c r="CZ10" s="112">
        <f t="shared" si="33"/>
        <v>28841.448896025693</v>
      </c>
      <c r="DA10" s="54">
        <f t="shared" si="40"/>
        <v>28841.448896025693</v>
      </c>
      <c r="DB10" s="54" t="str">
        <f t="shared" si="41"/>
        <v xml:space="preserve"> -</v>
      </c>
      <c r="DC10" s="54" t="str">
        <f t="shared" si="42"/>
        <v xml:space="preserve"> -</v>
      </c>
      <c r="DD10" s="54" t="str">
        <f t="shared" si="43"/>
        <v xml:space="preserve"> -</v>
      </c>
      <c r="DE10" s="54" t="str">
        <f t="shared" si="44"/>
        <v xml:space="preserve"> -</v>
      </c>
      <c r="DF10" s="54" t="str">
        <f t="shared" si="45"/>
        <v xml:space="preserve"> -</v>
      </c>
      <c r="DG10" s="54" t="str">
        <f t="shared" si="46"/>
        <v xml:space="preserve"> -</v>
      </c>
      <c r="DH10" s="54" t="str">
        <f t="shared" si="47"/>
        <v xml:space="preserve"> -</v>
      </c>
      <c r="DI10" s="54" t="str">
        <f t="shared" si="48"/>
        <v xml:space="preserve"> -</v>
      </c>
      <c r="DJ10" s="54" t="str">
        <f t="shared" si="49"/>
        <v xml:space="preserve"> -</v>
      </c>
      <c r="DK10" s="54" t="str">
        <f t="shared" si="50"/>
        <v xml:space="preserve"> -</v>
      </c>
      <c r="DL10" s="54" t="str">
        <f t="shared" si="51"/>
        <v xml:space="preserve"> -</v>
      </c>
      <c r="DN10" s="112">
        <f t="shared" si="52"/>
        <v>3734.6688879967878</v>
      </c>
      <c r="DO10" s="114">
        <f>IFERROR(SUMIFS('01. KE30'!$X:$X,'01. KE30'!$F:$F,'05. BC BH THEO SKU-USD'!$D10,'01. KE30'!$A:$A,'05. BC BH THEO SKU-USD'!DO$4)-SUMIFS('01. KE30'!$AA:$AA,'01. KE30'!$F:$F,'05. BC BH THEO SKU-USD'!$D10,'01. KE30'!$A:$A,'05. BC BH THEO SKU-USD'!DO$4),"-")</f>
        <v>3734.6688879967878</v>
      </c>
      <c r="DP10" s="114">
        <f>IFERROR(SUMIFS('01. KE30'!$X:$X,'01. KE30'!$F:$F,'05. BC BH THEO SKU-USD'!$D10,'01. KE30'!$A:$A,'05. BC BH THEO SKU-USD'!DP$4)-SUMIFS('01. KE30'!$AA:$AA,'01. KE30'!$F:$F,'05. BC BH THEO SKU-USD'!$D10,'01. KE30'!$A:$A,'05. BC BH THEO SKU-USD'!DP$4),"-")</f>
        <v>0</v>
      </c>
      <c r="DQ10" s="114">
        <f>IFERROR(SUMIFS('01. KE30'!$X:$X,'01. KE30'!$F:$F,'05. BC BH THEO SKU-USD'!$D10,'01. KE30'!$A:$A,'05. BC BH THEO SKU-USD'!DQ$4)-SUMIFS('01. KE30'!$AA:$AA,'01. KE30'!$F:$F,'05. BC BH THEO SKU-USD'!$D10,'01. KE30'!$A:$A,'05. BC BH THEO SKU-USD'!DQ$4),"-")</f>
        <v>0</v>
      </c>
      <c r="DR10" s="114">
        <f>IFERROR(SUMIFS('01. KE30'!$X:$X,'01. KE30'!$F:$F,'05. BC BH THEO SKU-USD'!$D10,'01. KE30'!$A:$A,'05. BC BH THEO SKU-USD'!DR$4)-SUMIFS('01. KE30'!$AA:$AA,'01. KE30'!$F:$F,'05. BC BH THEO SKU-USD'!$D10,'01. KE30'!$A:$A,'05. BC BH THEO SKU-USD'!DR$4),"-")</f>
        <v>0</v>
      </c>
      <c r="DS10" s="114">
        <f>IFERROR(SUMIFS('01. KE30'!$X:$X,'01. KE30'!$F:$F,'05. BC BH THEO SKU-USD'!$D10,'01. KE30'!$A:$A,'05. BC BH THEO SKU-USD'!DS$4)-SUMIFS('01. KE30'!$AA:$AA,'01. KE30'!$F:$F,'05. BC BH THEO SKU-USD'!$D10,'01. KE30'!$A:$A,'05. BC BH THEO SKU-USD'!DS$4),"-")</f>
        <v>0</v>
      </c>
      <c r="DT10" s="114">
        <f>IFERROR(SUMIFS('01. KE30'!$X:$X,'01. KE30'!$F:$F,'05. BC BH THEO SKU-USD'!$D10,'01. KE30'!$A:$A,'05. BC BH THEO SKU-USD'!DT$4)-SUMIFS('01. KE30'!$AA:$AA,'01. KE30'!$F:$F,'05. BC BH THEO SKU-USD'!$D10,'01. KE30'!$A:$A,'05. BC BH THEO SKU-USD'!DT$4),"-")</f>
        <v>0</v>
      </c>
      <c r="DU10" s="114">
        <f>IFERROR(SUMIFS('01. KE30'!$X:$X,'01. KE30'!$F:$F,'05. BC BH THEO SKU-USD'!$D10,'01. KE30'!$A:$A,'05. BC BH THEO SKU-USD'!DU$4)-SUMIFS('01. KE30'!$AA:$AA,'01. KE30'!$F:$F,'05. BC BH THEO SKU-USD'!$D10,'01. KE30'!$A:$A,'05. BC BH THEO SKU-USD'!DU$4),"-")</f>
        <v>0</v>
      </c>
      <c r="DV10" s="114">
        <f>IFERROR(SUMIFS('01. KE30'!$X:$X,'01. KE30'!$F:$F,'05. BC BH THEO SKU-USD'!$D10,'01. KE30'!$A:$A,'05. BC BH THEO SKU-USD'!DV$4)-SUMIFS('01. KE30'!$AA:$AA,'01. KE30'!$F:$F,'05. BC BH THEO SKU-USD'!$D10,'01. KE30'!$A:$A,'05. BC BH THEO SKU-USD'!DV$4),"-")</f>
        <v>0</v>
      </c>
      <c r="DW10" s="114">
        <f>IFERROR(SUMIFS('01. KE30'!$X:$X,'01. KE30'!$F:$F,'05. BC BH THEO SKU-USD'!$D10,'01. KE30'!$A:$A,'05. BC BH THEO SKU-USD'!DW$4)-SUMIFS('01. KE30'!$AA:$AA,'01. KE30'!$F:$F,'05. BC BH THEO SKU-USD'!$D10,'01. KE30'!$A:$A,'05. BC BH THEO SKU-USD'!DW$4),"-")</f>
        <v>0</v>
      </c>
      <c r="DX10" s="114">
        <f>IFERROR(SUMIFS('01. KE30'!$X:$X,'01. KE30'!$F:$F,'05. BC BH THEO SKU-USD'!$D10,'01. KE30'!$A:$A,'05. BC BH THEO SKU-USD'!DX$4)-SUMIFS('01. KE30'!$AA:$AA,'01. KE30'!$F:$F,'05. BC BH THEO SKU-USD'!$D10,'01. KE30'!$A:$A,'05. BC BH THEO SKU-USD'!DX$4),"-")</f>
        <v>0</v>
      </c>
      <c r="DY10" s="114">
        <f>IFERROR(SUMIFS('01. KE30'!$X:$X,'01. KE30'!$F:$F,'05. BC BH THEO SKU-USD'!$D10,'01. KE30'!$A:$A,'05. BC BH THEO SKU-USD'!DY$4)-SUMIFS('01. KE30'!$AA:$AA,'01. KE30'!$F:$F,'05. BC BH THEO SKU-USD'!$D10,'01. KE30'!$A:$A,'05. BC BH THEO SKU-USD'!DY$4),"-")</f>
        <v>0</v>
      </c>
      <c r="DZ10" s="114">
        <f>IFERROR(SUMIFS('01. KE30'!$X:$X,'01. KE30'!$F:$F,'05. BC BH THEO SKU-USD'!$D10,'01. KE30'!$A:$A,'05. BC BH THEO SKU-USD'!DZ$4)-SUMIFS('01. KE30'!$AA:$AA,'01. KE30'!$F:$F,'05. BC BH THEO SKU-USD'!$D10,'01. KE30'!$A:$A,'05. BC BH THEO SKU-USD'!DZ$4),"-")</f>
        <v>0</v>
      </c>
      <c r="EB10" s="571">
        <f t="shared" si="18"/>
        <v>0.12948964185053197</v>
      </c>
      <c r="EC10" s="572">
        <f t="shared" si="18"/>
        <v>0.12948964185053197</v>
      </c>
      <c r="ED10" s="573">
        <f t="shared" si="19"/>
        <v>0</v>
      </c>
      <c r="EE10" s="572">
        <f t="shared" si="20"/>
        <v>0</v>
      </c>
      <c r="EF10" s="572">
        <f t="shared" si="21"/>
        <v>0</v>
      </c>
      <c r="EG10" s="572">
        <f t="shared" si="22"/>
        <v>0</v>
      </c>
      <c r="EH10" s="572">
        <f t="shared" si="23"/>
        <v>0</v>
      </c>
      <c r="EI10" s="572">
        <f t="shared" si="24"/>
        <v>0</v>
      </c>
      <c r="EJ10" s="572">
        <f t="shared" si="25"/>
        <v>0</v>
      </c>
      <c r="EK10" s="572">
        <f t="shared" si="26"/>
        <v>0</v>
      </c>
      <c r="EL10" s="572">
        <f t="shared" si="27"/>
        <v>0</v>
      </c>
      <c r="EM10" s="572">
        <f t="shared" si="28"/>
        <v>0</v>
      </c>
      <c r="EN10" s="572">
        <f t="shared" si="29"/>
        <v>0</v>
      </c>
    </row>
    <row r="11" spans="1:144" ht="15.5" outlineLevel="1" x14ac:dyDescent="0.35">
      <c r="A11" s="27">
        <f t="shared" si="53"/>
        <v>6</v>
      </c>
      <c r="B11" s="27" t="s">
        <v>166</v>
      </c>
      <c r="C11" s="247" t="s">
        <v>315</v>
      </c>
      <c r="D11" s="459" t="s">
        <v>102</v>
      </c>
      <c r="E11" s="7" t="s">
        <v>101</v>
      </c>
      <c r="F11" s="92">
        <f t="shared" si="30"/>
        <v>1108.1500823234765</v>
      </c>
      <c r="G11" s="106" t="str">
        <f>IFERROR(SUMIFS('01. KE30'!$K:$K,'01. KE30'!$F:$F,'05. BC BH THEO SKU-USD'!$D11,'01. KE30'!$A:$A,'05. BC BH THEO SKU-USD'!G$4)/'05. BC BH THEO SKU-USD'!CM11/'02. Tỷ giá'!B$5,"-")</f>
        <v>-</v>
      </c>
      <c r="H11" s="106">
        <f>IFERROR(SUMIFS('01. KE30'!$K:$K,'01. KE30'!$F:$F,'05. BC BH THEO SKU-USD'!$D11,'01. KE30'!$A:$A,'05. BC BH THEO SKU-USD'!H$4)/'05. BC BH THEO SKU-USD'!CN11/'02. Tỷ giá'!C$5,"-")</f>
        <v>1099.146005245007</v>
      </c>
      <c r="I11" s="106">
        <f>IFERROR(SUMIFS('01. KE30'!$K:$K,'01. KE30'!$F:$F,'05. BC BH THEO SKU-USD'!$D11,'01. KE30'!$A:$A,'05. BC BH THEO SKU-USD'!I$4)/'05. BC BH THEO SKU-USD'!CO11/'02. Tỷ giá'!D$5,"-")</f>
        <v>1128.7859017622795</v>
      </c>
      <c r="J11" s="106">
        <f>IFERROR(SUMIFS('01. KE30'!$K:$K,'01. KE30'!$F:$F,'05. BC BH THEO SKU-USD'!$D11,'01. KE30'!$A:$A,'05. BC BH THEO SKU-USD'!J$4)/'05. BC BH THEO SKU-USD'!CP11/'02. Tỷ giá'!E$5,"-")</f>
        <v>1142.1132680714561</v>
      </c>
      <c r="K11" s="106">
        <f>IFERROR(SUMIFS('01. KE30'!$K:$K,'01. KE30'!$F:$F,'05. BC BH THEO SKU-USD'!$D11,'01. KE30'!$A:$A,'05. BC BH THEO SKU-USD'!K$4)/'05. BC BH THEO SKU-USD'!CQ11/'02. Tỷ giá'!F$5,"-")</f>
        <v>1195.0580046403713</v>
      </c>
      <c r="L11" s="106">
        <f>IFERROR(SUMIFS('01. KE30'!$K:$K,'01. KE30'!$F:$F,'05. BC BH THEO SKU-USD'!$D11,'01. KE30'!$A:$A,'05. BC BH THEO SKU-USD'!L$4)/'05. BC BH THEO SKU-USD'!CR11/'02. Tỷ giá'!G$5,"-")</f>
        <v>1076.1702674897119</v>
      </c>
      <c r="M11" s="106">
        <f>IFERROR(SUMIFS('01. KE30'!$K:$K,'01. KE30'!$F:$F,'05. BC BH THEO SKU-USD'!$D11,'01. KE30'!$A:$A,'05. BC BH THEO SKU-USD'!M$4)/'05. BC BH THEO SKU-USD'!CS11/'02. Tỷ giá'!H$5,"-")</f>
        <v>1099.572142853812</v>
      </c>
      <c r="N11" s="106">
        <f>IFERROR(SUMIFS('01. KE30'!$K:$K,'01. KE30'!$F:$F,'05. BC BH THEO SKU-USD'!$D11,'01. KE30'!$A:$A,'05. BC BH THEO SKU-USD'!N$4)/'05. BC BH THEO SKU-USD'!CT11/'02. Tỷ giá'!I$5,"-")</f>
        <v>1025.1413292589764</v>
      </c>
      <c r="O11" s="106">
        <f>IFERROR(SUMIFS('01. KE30'!$K:$K,'01. KE30'!$F:$F,'05. BC BH THEO SKU-USD'!$D11,'01. KE30'!$A:$A,'05. BC BH THEO SKU-USD'!O$4)/'05. BC BH THEO SKU-USD'!CU11/'02. Tỷ giá'!J$5,"-")</f>
        <v>1099.2137392661982</v>
      </c>
      <c r="P11" s="106" t="str">
        <f>IFERROR(SUMIFS('01. KE30'!$K:$K,'01. KE30'!$F:$F,'05. BC BH THEO SKU-USD'!$D11,'01. KE30'!$A:$A,'05. BC BH THEO SKU-USD'!P$4)/'05. BC BH THEO SKU-USD'!CV11/'02. Tỷ giá'!K$5,"-")</f>
        <v>-</v>
      </c>
      <c r="Q11" s="106" t="str">
        <f>IFERROR(SUMIFS('01. KE30'!$K:$K,'01. KE30'!$F:$F,'05. BC BH THEO SKU-USD'!$D11,'01. KE30'!$A:$A,'05. BC BH THEO SKU-USD'!Q$4)/'05. BC BH THEO SKU-USD'!CW11/'02. Tỷ giá'!L$5,"-")</f>
        <v>-</v>
      </c>
      <c r="R11" s="106" t="str">
        <f>IFERROR(SUMIFS('01. KE30'!$K:$K,'01. KE30'!$F:$F,'05. BC BH THEO SKU-USD'!$D11,'01. KE30'!$A:$A,'05. BC BH THEO SKU-USD'!R$4)/'05. BC BH THEO SKU-USD'!CX11/'02. Tỷ giá'!M$5,"-")</f>
        <v>-</v>
      </c>
      <c r="T11" s="92">
        <f t="shared" si="35"/>
        <v>1076.3960329741417</v>
      </c>
      <c r="U11" s="147" t="str">
        <f>IFERROR(SUMIFS('01. KE30'!$O:$O,'01. KE30'!$F:$F,'05. BC BH THEO SKU-USD'!$D11,'01. KE30'!$A:$A,'05. BC BH THEO SKU-USD'!G$4)/'05. BC BH THEO SKU-USD'!CM11/'02. Tỷ giá'!B$5,"-")</f>
        <v>-</v>
      </c>
      <c r="V11" s="147">
        <f>IFERROR(SUMIFS('01. KE30'!$O:$O,'01. KE30'!$F:$F,'05. BC BH THEO SKU-USD'!$D11,'01. KE30'!$A:$A,'05. BC BH THEO SKU-USD'!H$4)/'05. BC BH THEO SKU-USD'!CN11/'02. Tỷ giá'!C$5,"-")</f>
        <v>1072.2521358601821</v>
      </c>
      <c r="W11" s="147">
        <f>IFERROR(SUMIFS('01. KE30'!$O:$O,'01. KE30'!$F:$F,'05. BC BH THEO SKU-USD'!$D11,'01. KE30'!$A:$A,'05. BC BH THEO SKU-USD'!I$4)/'05. BC BH THEO SKU-USD'!CO11/'02. Tỷ giá'!D$5,"-")</f>
        <v>1113.2827030712069</v>
      </c>
      <c r="X11" s="147">
        <f>IFERROR(SUMIFS('01. KE30'!$O:$O,'01. KE30'!$F:$F,'05. BC BH THEO SKU-USD'!$D11,'01. KE30'!$A:$A,'05. BC BH THEO SKU-USD'!J$4)/'05. BC BH THEO SKU-USD'!CP11/'02. Tỷ giá'!E$5,"-")</f>
        <v>1123.9202218803264</v>
      </c>
      <c r="Y11" s="147">
        <f>IFERROR(SUMIFS('01. KE30'!$O:$O,'01. KE30'!$F:$F,'05. BC BH THEO SKU-USD'!$D11,'01. KE30'!$A:$A,'05. BC BH THEO SKU-USD'!K$4)/'05. BC BH THEO SKU-USD'!CQ11/'02. Tỷ giá'!F$5,"-")</f>
        <v>1195.0580046403713</v>
      </c>
      <c r="Z11" s="147">
        <f>IFERROR(SUMIFS('01. KE30'!$O:$O,'01. KE30'!$F:$F,'05. BC BH THEO SKU-USD'!$D11,'01. KE30'!$A:$A,'05. BC BH THEO SKU-USD'!L$4)/'05. BC BH THEO SKU-USD'!CR11/'02. Tỷ giá'!G$5,"-")</f>
        <v>1059.8846662516369</v>
      </c>
      <c r="AA11" s="147">
        <f>IFERROR(SUMIFS('01. KE30'!$O:$O,'01. KE30'!$F:$F,'05. BC BH THEO SKU-USD'!$D11,'01. KE30'!$A:$A,'05. BC BH THEO SKU-USD'!M$4)/'05. BC BH THEO SKU-USD'!CS11/'02. Tỷ giá'!H$5,"-")</f>
        <v>1089.7924633292937</v>
      </c>
      <c r="AB11" s="147">
        <f>IFERROR(SUMIFS('01. KE30'!$O:$O,'01. KE30'!$F:$F,'05. BC BH THEO SKU-USD'!$D11,'01. KE30'!$A:$A,'05. BC BH THEO SKU-USD'!N$4)/'05. BC BH THEO SKU-USD'!CT11/'02. Tỷ giá'!I$5,"-")</f>
        <v>1008.6970186008288</v>
      </c>
      <c r="AC11" s="147">
        <f>IFERROR(SUMIFS('01. KE30'!$O:$O,'01. KE30'!$F:$F,'05. BC BH THEO SKU-USD'!$D11,'01. KE30'!$A:$A,'05. BC BH THEO SKU-USD'!O$4)/'05. BC BH THEO SKU-USD'!CU11/'02. Tỷ giá'!J$5,"-")</f>
        <v>1080.1508895792585</v>
      </c>
      <c r="AD11" s="147" t="str">
        <f>IFERROR(SUMIFS('01. KE30'!$O:$O,'01. KE30'!$F:$F,'05. BC BH THEO SKU-USD'!$D11,'01. KE30'!$A:$A,'05. BC BH THEO SKU-USD'!P$4)/'05. BC BH THEO SKU-USD'!CV11/'02. Tỷ giá'!K$5,"-")</f>
        <v>-</v>
      </c>
      <c r="AE11" s="147" t="str">
        <f>IFERROR(SUMIFS('01. KE30'!$O:$O,'01. KE30'!$F:$F,'05. BC BH THEO SKU-USD'!$D11,'01. KE30'!$A:$A,'05. BC BH THEO SKU-USD'!Q$4)/'05. BC BH THEO SKU-USD'!CW11/'02. Tỷ giá'!L$5,"-")</f>
        <v>-</v>
      </c>
      <c r="AF11" s="147" t="str">
        <f>IFERROR(SUMIFS('01. KE30'!$O:$O,'01. KE30'!$F:$F,'05. BC BH THEO SKU-USD'!$D11,'01. KE30'!$A:$A,'05. BC BH THEO SKU-USD'!R$4)/'05. BC BH THEO SKU-USD'!CX11/'02. Tỷ giá'!M$5,"-")</f>
        <v>-</v>
      </c>
      <c r="AH11" s="92">
        <f t="shared" si="36"/>
        <v>1166.6666666666667</v>
      </c>
      <c r="AI11" s="25">
        <v>1160</v>
      </c>
      <c r="AJ11" s="25">
        <v>1160</v>
      </c>
      <c r="AK11" s="4">
        <v>1160</v>
      </c>
      <c r="AL11" s="4">
        <f t="shared" si="37"/>
        <v>1180</v>
      </c>
      <c r="AM11" s="4">
        <v>1180</v>
      </c>
      <c r="AN11" s="4">
        <v>1180</v>
      </c>
      <c r="AO11" s="4">
        <v>1180</v>
      </c>
      <c r="AP11" s="4">
        <v>1150</v>
      </c>
      <c r="AQ11" s="25">
        <v>1150</v>
      </c>
      <c r="AR11" s="25"/>
      <c r="AS11" s="4"/>
      <c r="AT11" s="4"/>
      <c r="AV11" s="95">
        <f t="shared" si="38"/>
        <v>-90.270633692525053</v>
      </c>
      <c r="AW11" s="95" t="str">
        <f t="shared" si="38"/>
        <v>-</v>
      </c>
      <c r="AX11" s="95">
        <f t="shared" si="12"/>
        <v>-87.747864139817921</v>
      </c>
      <c r="AY11" s="95">
        <f t="shared" si="12"/>
        <v>-46.717296928793075</v>
      </c>
      <c r="AZ11" s="95">
        <f t="shared" si="12"/>
        <v>-56.07977811967362</v>
      </c>
      <c r="BA11" s="95">
        <f t="shared" si="12"/>
        <v>15.058004640371337</v>
      </c>
      <c r="BB11" s="95">
        <f t="shared" si="12"/>
        <v>-120.11533374836313</v>
      </c>
      <c r="BC11" s="95">
        <f t="shared" si="12"/>
        <v>-90.207536670706304</v>
      </c>
      <c r="BD11" s="95">
        <f t="shared" si="12"/>
        <v>-141.30298139917124</v>
      </c>
      <c r="BE11" s="95">
        <f t="shared" si="12"/>
        <v>-69.849110420741454</v>
      </c>
      <c r="BF11" s="95" t="str">
        <f t="shared" si="12"/>
        <v>-</v>
      </c>
      <c r="BG11" s="95" t="str">
        <f t="shared" si="12"/>
        <v>-</v>
      </c>
      <c r="BH11" s="95" t="str">
        <f t="shared" si="12"/>
        <v>-</v>
      </c>
      <c r="BJ11" s="143">
        <f t="shared" si="39"/>
        <v>-7.7374828879307189E-2</v>
      </c>
      <c r="BK11" s="143" t="str">
        <f t="shared" si="13"/>
        <v>-</v>
      </c>
      <c r="BL11" s="143">
        <f t="shared" si="13"/>
        <v>-7.5644710465360282E-2</v>
      </c>
      <c r="BM11" s="143">
        <f t="shared" si="13"/>
        <v>-4.0273531835166444E-2</v>
      </c>
      <c r="BN11" s="143">
        <f t="shared" si="13"/>
        <v>-4.7525235694638658E-2</v>
      </c>
      <c r="BO11" s="143">
        <f t="shared" si="13"/>
        <v>1.2761020881670625E-2</v>
      </c>
      <c r="BP11" s="143">
        <f t="shared" si="13"/>
        <v>-0.1017926557189518</v>
      </c>
      <c r="BQ11" s="143">
        <f t="shared" si="13"/>
        <v>-7.6447064975174839E-2</v>
      </c>
      <c r="BR11" s="143">
        <f t="shared" si="13"/>
        <v>-0.12287215773840977</v>
      </c>
      <c r="BS11" s="143">
        <f t="shared" si="13"/>
        <v>-6.0738356887601264E-2</v>
      </c>
      <c r="BT11" s="143" t="str">
        <f t="shared" si="13"/>
        <v>-</v>
      </c>
      <c r="BU11" s="143" t="str">
        <f t="shared" si="13"/>
        <v>-</v>
      </c>
      <c r="BV11" s="143" t="str">
        <f t="shared" si="13"/>
        <v>-</v>
      </c>
      <c r="BX11" s="112">
        <f t="shared" si="31"/>
        <v>994.800859895955</v>
      </c>
      <c r="BY11" s="95" t="str">
        <f>IFERROR(SUMIFS('01. KE30'!$R:$R,'01. KE30'!$F:$F,'05. BC BH THEO SKU-USD'!$D11,'01. KE30'!$A:$A,'05. BC BH THEO SKU-USD'!BY$4)/CM11/'02. Tỷ giá'!B$5," -")</f>
        <v xml:space="preserve"> -</v>
      </c>
      <c r="BZ11" s="95">
        <f>IFERROR(SUMIFS('01. KE30'!$R:$R,'01. KE30'!$F:$F,'05. BC BH THEO SKU-USD'!$D11,'01. KE30'!$A:$A,'05. BC BH THEO SKU-USD'!BZ$4)/CN11/'02. Tỷ giá'!C$5," -")</f>
        <v>1035.1137972681599</v>
      </c>
      <c r="CA11" s="95">
        <f>IFERROR(SUMIFS('01. KE30'!$R:$R,'01. KE30'!$F:$F,'05. BC BH THEO SKU-USD'!$D11,'01. KE30'!$A:$A,'05. BC BH THEO SKU-USD'!CA$4)/CO11/'02. Tỷ giá'!D$5," -")</f>
        <v>1035.0435576234788</v>
      </c>
      <c r="CB11" s="95">
        <f>IFERROR(SUMIFS('01. KE30'!$R:$R,'01. KE30'!$F:$F,'05. BC BH THEO SKU-USD'!$D11,'01. KE30'!$A:$A,'05. BC BH THEO SKU-USD'!CB$4)/CP11/'02. Tỷ giá'!E$5," -")</f>
        <v>1016.4632140217506</v>
      </c>
      <c r="CC11" s="95">
        <f>IFERROR(SUMIFS('01. KE30'!$R:$R,'01. KE30'!$F:$F,'05. BC BH THEO SKU-USD'!$D11,'01. KE30'!$A:$A,'05. BC BH THEO SKU-USD'!CC$4)/CQ11/'02. Tỷ giá'!F$5," -")</f>
        <v>980.16514799971878</v>
      </c>
      <c r="CD11" s="95">
        <f>IFERROR(SUMIFS('01. KE30'!$R:$R,'01. KE30'!$F:$F,'05. BC BH THEO SKU-USD'!$D11,'01. KE30'!$A:$A,'05. BC BH THEO SKU-USD'!CD$4)/CR11/'02. Tỷ giá'!G$5," -")</f>
        <v>960.35891379068471</v>
      </c>
      <c r="CE11" s="95">
        <f>IFERROR(SUMIFS('01. KE30'!$R:$R,'01. KE30'!$F:$F,'05. BC BH THEO SKU-USD'!$D11,'01. KE30'!$A:$A,'05. BC BH THEO SKU-USD'!CE$4)/CS11/'02. Tỷ giá'!H$5," -")</f>
        <v>968.05080326406392</v>
      </c>
      <c r="CF11" s="95">
        <f>IFERROR(SUMIFS('01. KE30'!$R:$R,'01. KE30'!$F:$F,'05. BC BH THEO SKU-USD'!$D11,'01. KE30'!$A:$A,'05. BC BH THEO SKU-USD'!CF$4)/CT11/'02. Tỷ giá'!I$5," -")</f>
        <v>981.43744704493372</v>
      </c>
      <c r="CG11" s="95">
        <f>IFERROR(SUMIFS('01. KE30'!$R:$R,'01. KE30'!$F:$F,'05. BC BH THEO SKU-USD'!$D11,'01. KE30'!$A:$A,'05. BC BH THEO SKU-USD'!CG$4)/CU11/'02. Tỷ giá'!J$5," -")</f>
        <v>981.77399815485069</v>
      </c>
      <c r="CH11" s="95" t="str">
        <f>IFERROR(SUMIFS('01. KE30'!$R:$R,'01. KE30'!$F:$F,'05. BC BH THEO SKU-USD'!$D11,'01. KE30'!$A:$A,'05. BC BH THEO SKU-USD'!CH$4)/CV11/'02. Tỷ giá'!K$5," -")</f>
        <v xml:space="preserve"> -</v>
      </c>
      <c r="CI11" s="95" t="str">
        <f>IFERROR(SUMIFS('01. KE30'!$R:$R,'01. KE30'!$F:$F,'05. BC BH THEO SKU-USD'!$D11,'01. KE30'!$A:$A,'05. BC BH THEO SKU-USD'!CI$4)/CW11/'02. Tỷ giá'!L$5," -")</f>
        <v xml:space="preserve"> -</v>
      </c>
      <c r="CJ11" s="95" t="str">
        <f>IFERROR(SUMIFS('01. KE30'!$R:$R,'01. KE30'!$F:$F,'05. BC BH THEO SKU-USD'!$D11,'01. KE30'!$A:$A,'05. BC BH THEO SKU-USD'!CJ$4)/CX11/'02. Tỷ giá'!M$5," -")</f>
        <v xml:space="preserve"> -</v>
      </c>
      <c r="CL11" s="112">
        <f t="shared" si="32"/>
        <v>1411.05</v>
      </c>
      <c r="CM11" s="114">
        <f>SUMIFS('01. KE30'!$I:$I,'01. KE30'!$F:$F,'05. BC BH THEO SKU-USD'!$D11,'01. KE30'!$A:$A,'05. BC BH THEO SKU-USD'!CM$4)/1000</f>
        <v>0</v>
      </c>
      <c r="CN11" s="114">
        <f>SUMIFS('01. KE30'!$I:$I,'01. KE30'!$F:$F,'05. BC BH THEO SKU-USD'!$D11,'01. KE30'!$A:$A,'05. BC BH THEO SKU-USD'!CN$4)/1000</f>
        <v>45.1</v>
      </c>
      <c r="CO11" s="114">
        <f>SUMIFS('01. KE30'!$I:$I,'01. KE30'!$F:$F,'05. BC BH THEO SKU-USD'!$D11,'01. KE30'!$A:$A,'05. BC BH THEO SKU-USD'!CO$4)/1000</f>
        <v>231</v>
      </c>
      <c r="CP11" s="114">
        <f>SUMIFS('01. KE30'!$I:$I,'01. KE30'!$F:$F,'05. BC BH THEO SKU-USD'!$D11,'01. KE30'!$A:$A,'05. BC BH THEO SKU-USD'!CP$4)/1000</f>
        <v>154</v>
      </c>
      <c r="CQ11" s="114">
        <f>SUMIFS('01. KE30'!$I:$I,'01. KE30'!$F:$F,'05. BC BH THEO SKU-USD'!$D11,'01. KE30'!$A:$A,'05. BC BH THEO SKU-USD'!CQ$4)/1000</f>
        <v>11</v>
      </c>
      <c r="CR11" s="114">
        <f>SUMIFS('01. KE30'!$I:$I,'01. KE30'!$F:$F,'05. BC BH THEO SKU-USD'!$D11,'01. KE30'!$A:$A,'05. BC BH THEO SKU-USD'!CR$4)/1000</f>
        <v>264</v>
      </c>
      <c r="CS11" s="114">
        <f>SUMIFS('01. KE30'!$I:$I,'01. KE30'!$F:$F,'05. BC BH THEO SKU-USD'!$D11,'01. KE30'!$A:$A,'05. BC BH THEO SKU-USD'!CS$4)/1000</f>
        <v>374.85</v>
      </c>
      <c r="CT11" s="114">
        <f>SUMIFS('01. KE30'!$I:$I,'01. KE30'!$F:$F,'05. BC BH THEO SKU-USD'!$D11,'01. KE30'!$A:$A,'05. BC BH THEO SKU-USD'!CT$4)/1000</f>
        <v>264</v>
      </c>
      <c r="CU11" s="114">
        <f>SUMIFS('01. KE30'!$I:$I,'01. KE30'!$F:$F,'05. BC BH THEO SKU-USD'!$D11,'01. KE30'!$A:$A,'05. BC BH THEO SKU-USD'!CU$4)/1000</f>
        <v>67.099999999999994</v>
      </c>
      <c r="CV11" s="114">
        <f>SUMIFS('01. KE30'!$I:$I,'01. KE30'!$F:$F,'05. BC BH THEO SKU-USD'!$D11,'01. KE30'!$A:$A,'05. BC BH THEO SKU-USD'!CV$4)/1000</f>
        <v>0</v>
      </c>
      <c r="CW11" s="114">
        <f>SUMIFS('01. KE30'!$I:$I,'01. KE30'!$F:$F,'05. BC BH THEO SKU-USD'!$D11,'01. KE30'!$A:$A,'05. BC BH THEO SKU-USD'!CW$4)/1000</f>
        <v>0</v>
      </c>
      <c r="CX11" s="114">
        <f>SUMIFS('01. KE30'!$I:$I,'01. KE30'!$F:$F,'05. BC BH THEO SKU-USD'!$D11,'01. KE30'!$A:$A,'05. BC BH THEO SKU-USD'!CX$4)/1000</f>
        <v>0</v>
      </c>
      <c r="CZ11" s="112">
        <f t="shared" si="33"/>
        <v>1540030.2306728519</v>
      </c>
      <c r="DA11" s="54" t="str">
        <f t="shared" si="40"/>
        <v xml:space="preserve"> -</v>
      </c>
      <c r="DB11" s="54">
        <f t="shared" si="41"/>
        <v>49571.484836549818</v>
      </c>
      <c r="DC11" s="54">
        <f t="shared" si="42"/>
        <v>260749.54330708657</v>
      </c>
      <c r="DD11" s="54">
        <f t="shared" si="43"/>
        <v>175885.44328300425</v>
      </c>
      <c r="DE11" s="54">
        <f t="shared" si="44"/>
        <v>13145.638051044085</v>
      </c>
      <c r="DF11" s="54">
        <f t="shared" si="45"/>
        <v>284108.95061728393</v>
      </c>
      <c r="DG11" s="54">
        <f t="shared" si="46"/>
        <v>412174.61774875148</v>
      </c>
      <c r="DH11" s="54">
        <f t="shared" si="47"/>
        <v>270637.31092436978</v>
      </c>
      <c r="DI11" s="54">
        <f t="shared" si="48"/>
        <v>73757.24190476189</v>
      </c>
      <c r="DJ11" s="54" t="str">
        <f t="shared" si="49"/>
        <v xml:space="preserve"> -</v>
      </c>
      <c r="DK11" s="54" t="str">
        <f t="shared" si="50"/>
        <v xml:space="preserve"> -</v>
      </c>
      <c r="DL11" s="54" t="str">
        <f t="shared" si="51"/>
        <v xml:space="preserve"> -</v>
      </c>
      <c r="DN11" s="112">
        <f t="shared" si="52"/>
        <v>124367.65853267009</v>
      </c>
      <c r="DO11" s="114">
        <f>IFERROR(SUMIFS('01. KE30'!$X:$X,'01. KE30'!$F:$F,'05. BC BH THEO SKU-USD'!$D11,'01. KE30'!$A:$A,'05. BC BH THEO SKU-USD'!DO$4)-SUMIFS('01. KE30'!$AA:$AA,'01. KE30'!$F:$F,'05. BC BH THEO SKU-USD'!$D11,'01. KE30'!$A:$A,'05. BC BH THEO SKU-USD'!DO$4),"-")</f>
        <v>0</v>
      </c>
      <c r="DP11" s="114">
        <f>IFERROR(SUMIFS('01. KE30'!$X:$X,'01. KE30'!$F:$F,'05. BC BH THEO SKU-USD'!$D11,'01. KE30'!$A:$A,'05. BC BH THEO SKU-USD'!DP$4)-SUMIFS('01. KE30'!$AA:$AA,'01. KE30'!$F:$F,'05. BC BH THEO SKU-USD'!$D11,'01. KE30'!$A:$A,'05. BC BH THEO SKU-USD'!DP$4),"-")</f>
        <v>1674.9390705002006</v>
      </c>
      <c r="DQ11" s="114">
        <f>IFERROR(SUMIFS('01. KE30'!$X:$X,'01. KE30'!$F:$F,'05. BC BH THEO SKU-USD'!$D11,'01. KE30'!$A:$A,'05. BC BH THEO SKU-USD'!DQ$4)-SUMIFS('01. KE30'!$AA:$AA,'01. KE30'!$F:$F,'05. BC BH THEO SKU-USD'!$D11,'01. KE30'!$A:$A,'05. BC BH THEO SKU-USD'!DQ$4),"-")</f>
        <v>18073.242598425189</v>
      </c>
      <c r="DR11" s="114">
        <f>IFERROR(SUMIFS('01. KE30'!$X:$X,'01. KE30'!$F:$F,'05. BC BH THEO SKU-USD'!$D11,'01. KE30'!$A:$A,'05. BC BH THEO SKU-USD'!DR$4)-SUMIFS('01. KE30'!$AA:$AA,'01. KE30'!$F:$F,'05. BC BH THEO SKU-USD'!$D11,'01. KE30'!$A:$A,'05. BC BH THEO SKU-USD'!DR$4),"-")</f>
        <v>16548.379210220679</v>
      </c>
      <c r="DS11" s="114">
        <f>IFERROR(SUMIFS('01. KE30'!$X:$X,'01. KE30'!$F:$F,'05. BC BH THEO SKU-USD'!$D11,'01. KE30'!$A:$A,'05. BC BH THEO SKU-USD'!DS$4)-SUMIFS('01. KE30'!$AA:$AA,'01. KE30'!$F:$F,'05. BC BH THEO SKU-USD'!$D11,'01. KE30'!$A:$A,'05. BC BH THEO SKU-USD'!DS$4),"-")</f>
        <v>2363.8214230471767</v>
      </c>
      <c r="DT11" s="114">
        <f>IFERROR(SUMIFS('01. KE30'!$X:$X,'01. KE30'!$F:$F,'05. BC BH THEO SKU-USD'!$D11,'01. KE30'!$A:$A,'05. BC BH THEO SKU-USD'!DT$4)-SUMIFS('01. KE30'!$AA:$AA,'01. KE30'!$F:$F,'05. BC BH THEO SKU-USD'!$D11,'01. KE30'!$A:$A,'05. BC BH THEO SKU-USD'!DT$4),"-")</f>
        <v>26274.798649691395</v>
      </c>
      <c r="DU11" s="114">
        <f>IFERROR(SUMIFS('01. KE30'!$X:$X,'01. KE30'!$F:$F,'05. BC BH THEO SKU-USD'!$D11,'01. KE30'!$A:$A,'05. BC BH THEO SKU-USD'!DU$4)-SUMIFS('01. KE30'!$AA:$AA,'01. KE30'!$F:$F,'05. BC BH THEO SKU-USD'!$D11,'01. KE30'!$A:$A,'05. BC BH THEO SKU-USD'!DU$4),"-")</f>
        <v>45634.861275451374</v>
      </c>
      <c r="DV11" s="114">
        <f>IFERROR(SUMIFS('01. KE30'!$X:$X,'01. KE30'!$F:$F,'05. BC BH THEO SKU-USD'!$D11,'01. KE30'!$A:$A,'05. BC BH THEO SKU-USD'!DV$4)-SUMIFS('01. KE30'!$AA:$AA,'01. KE30'!$F:$F,'05. BC BH THEO SKU-USD'!$D11,'01. KE30'!$A:$A,'05. BC BH THEO SKU-USD'!DV$4),"-")</f>
        <v>7196.5268907563004</v>
      </c>
      <c r="DW11" s="114">
        <f>IFERROR(SUMIFS('01. KE30'!$X:$X,'01. KE30'!$F:$F,'05. BC BH THEO SKU-USD'!$D11,'01. KE30'!$A:$A,'05. BC BH THEO SKU-USD'!DW$4)-SUMIFS('01. KE30'!$AA:$AA,'01. KE30'!$F:$F,'05. BC BH THEO SKU-USD'!$D11,'01. KE30'!$A:$A,'05. BC BH THEO SKU-USD'!DW$4),"-")</f>
        <v>6601.0894145777711</v>
      </c>
      <c r="DX11" s="114">
        <f>IFERROR(SUMIFS('01. KE30'!$X:$X,'01. KE30'!$F:$F,'05. BC BH THEO SKU-USD'!$D11,'01. KE30'!$A:$A,'05. BC BH THEO SKU-USD'!DX$4)-SUMIFS('01. KE30'!$AA:$AA,'01. KE30'!$F:$F,'05. BC BH THEO SKU-USD'!$D11,'01. KE30'!$A:$A,'05. BC BH THEO SKU-USD'!DX$4),"-")</f>
        <v>0</v>
      </c>
      <c r="DY11" s="114">
        <f>IFERROR(SUMIFS('01. KE30'!$X:$X,'01. KE30'!$F:$F,'05. BC BH THEO SKU-USD'!$D11,'01. KE30'!$A:$A,'05. BC BH THEO SKU-USD'!DY$4)-SUMIFS('01. KE30'!$AA:$AA,'01. KE30'!$F:$F,'05. BC BH THEO SKU-USD'!$D11,'01. KE30'!$A:$A,'05. BC BH THEO SKU-USD'!DY$4),"-")</f>
        <v>0</v>
      </c>
      <c r="DZ11" s="114">
        <f>IFERROR(SUMIFS('01. KE30'!$X:$X,'01. KE30'!$F:$F,'05. BC BH THEO SKU-USD'!$D11,'01. KE30'!$A:$A,'05. BC BH THEO SKU-USD'!DZ$4)-SUMIFS('01. KE30'!$AA:$AA,'01. KE30'!$F:$F,'05. BC BH THEO SKU-USD'!$D11,'01. KE30'!$A:$A,'05. BC BH THEO SKU-USD'!DZ$4),"-")</f>
        <v>0</v>
      </c>
      <c r="EB11" s="571">
        <f t="shared" si="18"/>
        <v>8.0756634548876896E-2</v>
      </c>
      <c r="EC11" s="573">
        <f t="shared" si="18"/>
        <v>0</v>
      </c>
      <c r="ED11" s="572">
        <f t="shared" si="19"/>
        <v>3.3788357884031797E-2</v>
      </c>
      <c r="EE11" s="572">
        <f t="shared" si="20"/>
        <v>6.9312652935848887E-2</v>
      </c>
      <c r="EF11" s="572">
        <f t="shared" si="21"/>
        <v>9.4086121633124048E-2</v>
      </c>
      <c r="EG11" s="572">
        <f t="shared" si="22"/>
        <v>0.17981793001363153</v>
      </c>
      <c r="EH11" s="572">
        <f t="shared" si="23"/>
        <v>9.2481418105991031E-2</v>
      </c>
      <c r="EI11" s="572">
        <f t="shared" si="24"/>
        <v>0.11071730113975367</v>
      </c>
      <c r="EJ11" s="572">
        <f t="shared" si="25"/>
        <v>2.6591037526113265E-2</v>
      </c>
      <c r="EK11" s="572">
        <f t="shared" si="26"/>
        <v>8.9497508910397497E-2</v>
      </c>
      <c r="EL11" s="572">
        <f t="shared" si="27"/>
        <v>0</v>
      </c>
      <c r="EM11" s="572">
        <f t="shared" si="28"/>
        <v>0</v>
      </c>
      <c r="EN11" s="572">
        <f t="shared" si="29"/>
        <v>0</v>
      </c>
    </row>
    <row r="12" spans="1:144" ht="15.5" outlineLevel="1" x14ac:dyDescent="0.35">
      <c r="A12" s="27">
        <f t="shared" si="53"/>
        <v>7</v>
      </c>
      <c r="B12" s="27" t="s">
        <v>166</v>
      </c>
      <c r="C12" s="247" t="s">
        <v>325</v>
      </c>
      <c r="D12" s="459" t="s">
        <v>106</v>
      </c>
      <c r="E12" s="7" t="s">
        <v>105</v>
      </c>
      <c r="F12" s="92">
        <f t="shared" si="30"/>
        <v>1280.952380952381</v>
      </c>
      <c r="G12" s="106" t="str">
        <f>IFERROR(SUMIFS('01. KE30'!$K:$K,'01. KE30'!$F:$F,'05. BC BH THEO SKU-USD'!$D12,'01. KE30'!$A:$A,'05. BC BH THEO SKU-USD'!G$4)/'05. BC BH THEO SKU-USD'!CM12/'02. Tỷ giá'!B$5,"-")</f>
        <v>-</v>
      </c>
      <c r="H12" s="106" t="str">
        <f>IFERROR(SUMIFS('01. KE30'!$K:$K,'01. KE30'!$F:$F,'05. BC BH THEO SKU-USD'!$D12,'01. KE30'!$A:$A,'05. BC BH THEO SKU-USD'!H$4)/'05. BC BH THEO SKU-USD'!CN12/'02. Tỷ giá'!C$5,"-")</f>
        <v>-</v>
      </c>
      <c r="I12" s="106" t="str">
        <f>IFERROR(SUMIFS('01. KE30'!$K:$K,'01. KE30'!$F:$F,'05. BC BH THEO SKU-USD'!$D12,'01. KE30'!$A:$A,'05. BC BH THEO SKU-USD'!I$4)/'05. BC BH THEO SKU-USD'!CO12/'02. Tỷ giá'!D$5,"-")</f>
        <v>-</v>
      </c>
      <c r="J12" s="106" t="str">
        <f>IFERROR(SUMIFS('01. KE30'!$K:$K,'01. KE30'!$F:$F,'05. BC BH THEO SKU-USD'!$D12,'01. KE30'!$A:$A,'05. BC BH THEO SKU-USD'!J$4)/'05. BC BH THEO SKU-USD'!CP12/'02. Tỷ giá'!E$5,"-")</f>
        <v>-</v>
      </c>
      <c r="K12" s="106" t="str">
        <f>IFERROR(SUMIFS('01. KE30'!$K:$K,'01. KE30'!$F:$F,'05. BC BH THEO SKU-USD'!$D12,'01. KE30'!$A:$A,'05. BC BH THEO SKU-USD'!K$4)/'05. BC BH THEO SKU-USD'!CQ12/'02. Tỷ giá'!F$5,"-")</f>
        <v>-</v>
      </c>
      <c r="L12" s="106" t="str">
        <f>IFERROR(SUMIFS('01. KE30'!$K:$K,'01. KE30'!$F:$F,'05. BC BH THEO SKU-USD'!$D12,'01. KE30'!$A:$A,'05. BC BH THEO SKU-USD'!L$4)/'05. BC BH THEO SKU-USD'!CR12/'02. Tỷ giá'!G$5,"-")</f>
        <v>-</v>
      </c>
      <c r="M12" s="106" t="str">
        <f>IFERROR(SUMIFS('01. KE30'!$K:$K,'01. KE30'!$F:$F,'05. BC BH THEO SKU-USD'!$D12,'01. KE30'!$A:$A,'05. BC BH THEO SKU-USD'!M$4)/'05. BC BH THEO SKU-USD'!CS12/'02. Tỷ giá'!H$5,"-")</f>
        <v>-</v>
      </c>
      <c r="N12" s="106" t="str">
        <f>IFERROR(SUMIFS('01. KE30'!$K:$K,'01. KE30'!$F:$F,'05. BC BH THEO SKU-USD'!$D12,'01. KE30'!$A:$A,'05. BC BH THEO SKU-USD'!N$4)/'05. BC BH THEO SKU-USD'!CT12/'02. Tỷ giá'!I$5,"-")</f>
        <v>-</v>
      </c>
      <c r="O12" s="106">
        <f>IFERROR(SUMIFS('01. KE30'!$K:$K,'01. KE30'!$F:$F,'05. BC BH THEO SKU-USD'!$D12,'01. KE30'!$A:$A,'05. BC BH THEO SKU-USD'!O$4)/'05. BC BH THEO SKU-USD'!CU12/'02. Tỷ giá'!J$5,"-")</f>
        <v>1280.952380952381</v>
      </c>
      <c r="P12" s="106" t="str">
        <f>IFERROR(SUMIFS('01. KE30'!$K:$K,'01. KE30'!$F:$F,'05. BC BH THEO SKU-USD'!$D12,'01. KE30'!$A:$A,'05. BC BH THEO SKU-USD'!P$4)/'05. BC BH THEO SKU-USD'!CV12/'02. Tỷ giá'!K$5,"-")</f>
        <v>-</v>
      </c>
      <c r="Q12" s="106" t="str">
        <f>IFERROR(SUMIFS('01. KE30'!$K:$K,'01. KE30'!$F:$F,'05. BC BH THEO SKU-USD'!$D12,'01. KE30'!$A:$A,'05. BC BH THEO SKU-USD'!Q$4)/'05. BC BH THEO SKU-USD'!CW12/'02. Tỷ giá'!L$5,"-")</f>
        <v>-</v>
      </c>
      <c r="R12" s="106" t="str">
        <f>IFERROR(SUMIFS('01. KE30'!$K:$K,'01. KE30'!$F:$F,'05. BC BH THEO SKU-USD'!$D12,'01. KE30'!$A:$A,'05. BC BH THEO SKU-USD'!R$4)/'05. BC BH THEO SKU-USD'!CX12/'02. Tỷ giá'!M$5,"-")</f>
        <v>-</v>
      </c>
      <c r="T12" s="92">
        <f t="shared" si="35"/>
        <v>1280.952380952381</v>
      </c>
      <c r="U12" s="147" t="str">
        <f>IFERROR(SUMIFS('01. KE30'!$O:$O,'01. KE30'!$F:$F,'05. BC BH THEO SKU-USD'!$D12,'01. KE30'!$A:$A,'05. BC BH THEO SKU-USD'!G$4)/'05. BC BH THEO SKU-USD'!CM12/'02. Tỷ giá'!B$5,"-")</f>
        <v>-</v>
      </c>
      <c r="V12" s="147" t="str">
        <f>IFERROR(SUMIFS('01. KE30'!$O:$O,'01. KE30'!$F:$F,'05. BC BH THEO SKU-USD'!$D12,'01. KE30'!$A:$A,'05. BC BH THEO SKU-USD'!H$4)/'05. BC BH THEO SKU-USD'!CN12/'02. Tỷ giá'!C$5,"-")</f>
        <v>-</v>
      </c>
      <c r="W12" s="147" t="str">
        <f>IFERROR(SUMIFS('01. KE30'!$O:$O,'01. KE30'!$F:$F,'05. BC BH THEO SKU-USD'!$D12,'01. KE30'!$A:$A,'05. BC BH THEO SKU-USD'!I$4)/'05. BC BH THEO SKU-USD'!CO12/'02. Tỷ giá'!D$5,"-")</f>
        <v>-</v>
      </c>
      <c r="X12" s="147" t="str">
        <f>IFERROR(SUMIFS('01. KE30'!$O:$O,'01. KE30'!$F:$F,'05. BC BH THEO SKU-USD'!$D12,'01. KE30'!$A:$A,'05. BC BH THEO SKU-USD'!J$4)/'05. BC BH THEO SKU-USD'!CP12/'02. Tỷ giá'!E$5,"-")</f>
        <v>-</v>
      </c>
      <c r="Y12" s="147" t="str">
        <f>IFERROR(SUMIFS('01. KE30'!$O:$O,'01. KE30'!$F:$F,'05. BC BH THEO SKU-USD'!$D12,'01. KE30'!$A:$A,'05. BC BH THEO SKU-USD'!K$4)/'05. BC BH THEO SKU-USD'!CQ12/'02. Tỷ giá'!F$5,"-")</f>
        <v>-</v>
      </c>
      <c r="Z12" s="147" t="str">
        <f>IFERROR(SUMIFS('01. KE30'!$O:$O,'01. KE30'!$F:$F,'05. BC BH THEO SKU-USD'!$D12,'01. KE30'!$A:$A,'05. BC BH THEO SKU-USD'!L$4)/'05. BC BH THEO SKU-USD'!CR12/'02. Tỷ giá'!G$5,"-")</f>
        <v>-</v>
      </c>
      <c r="AA12" s="147" t="str">
        <f>IFERROR(SUMIFS('01. KE30'!$O:$O,'01. KE30'!$F:$F,'05. BC BH THEO SKU-USD'!$D12,'01. KE30'!$A:$A,'05. BC BH THEO SKU-USD'!M$4)/'05. BC BH THEO SKU-USD'!CS12/'02. Tỷ giá'!H$5,"-")</f>
        <v>-</v>
      </c>
      <c r="AB12" s="147" t="str">
        <f>IFERROR(SUMIFS('01. KE30'!$O:$O,'01. KE30'!$F:$F,'05. BC BH THEO SKU-USD'!$D12,'01. KE30'!$A:$A,'05. BC BH THEO SKU-USD'!N$4)/'05. BC BH THEO SKU-USD'!CT12/'02. Tỷ giá'!I$5,"-")</f>
        <v>-</v>
      </c>
      <c r="AC12" s="147">
        <f>IFERROR(SUMIFS('01. KE30'!$O:$O,'01. KE30'!$F:$F,'05. BC BH THEO SKU-USD'!$D12,'01. KE30'!$A:$A,'05. BC BH THEO SKU-USD'!O$4)/'05. BC BH THEO SKU-USD'!CU12/'02. Tỷ giá'!J$5,"-")</f>
        <v>1280.952380952381</v>
      </c>
      <c r="AD12" s="147" t="str">
        <f>IFERROR(SUMIFS('01. KE30'!$O:$O,'01. KE30'!$F:$F,'05. BC BH THEO SKU-USD'!$D12,'01. KE30'!$A:$A,'05. BC BH THEO SKU-USD'!P$4)/'05. BC BH THEO SKU-USD'!CV12/'02. Tỷ giá'!K$5,"-")</f>
        <v>-</v>
      </c>
      <c r="AE12" s="147" t="str">
        <f>IFERROR(SUMIFS('01. KE30'!$O:$O,'01. KE30'!$F:$F,'05. BC BH THEO SKU-USD'!$D12,'01. KE30'!$A:$A,'05. BC BH THEO SKU-USD'!Q$4)/'05. BC BH THEO SKU-USD'!CW12/'02. Tỷ giá'!L$5,"-")</f>
        <v>-</v>
      </c>
      <c r="AF12" s="147" t="str">
        <f>IFERROR(SUMIFS('01. KE30'!$O:$O,'01. KE30'!$F:$F,'05. BC BH THEO SKU-USD'!$D12,'01. KE30'!$A:$A,'05. BC BH THEO SKU-USD'!R$4)/'05. BC BH THEO SKU-USD'!CX12/'02. Tỷ giá'!M$5,"-")</f>
        <v>-</v>
      </c>
      <c r="AH12" s="92">
        <f t="shared" ref="AH12:AH18" si="57">IFERROR(AVERAGE(AI12:AT12),"-")</f>
        <v>1176.6666666666667</v>
      </c>
      <c r="AI12" s="25">
        <v>1170</v>
      </c>
      <c r="AJ12" s="25">
        <v>1170</v>
      </c>
      <c r="AK12" s="4">
        <v>1170</v>
      </c>
      <c r="AL12" s="4">
        <f t="shared" si="37"/>
        <v>1190</v>
      </c>
      <c r="AM12" s="4">
        <v>1190</v>
      </c>
      <c r="AN12" s="4">
        <v>1190</v>
      </c>
      <c r="AO12" s="4">
        <v>1190</v>
      </c>
      <c r="AP12" s="4">
        <v>1160</v>
      </c>
      <c r="AQ12" s="25">
        <v>1160</v>
      </c>
      <c r="AR12" s="25"/>
      <c r="AS12" s="4"/>
      <c r="AT12" s="4"/>
      <c r="AV12" s="95">
        <f t="shared" ref="AV12:BH34" si="58">IF(F12&lt;&gt;"-",T12-AH12,"-")</f>
        <v>104.28571428571422</v>
      </c>
      <c r="AW12" s="95" t="str">
        <f t="shared" si="58"/>
        <v>-</v>
      </c>
      <c r="AX12" s="95" t="str">
        <f t="shared" ref="AX12:BH24" si="59">IF(H12&lt;&gt;"-",V12-AJ12,"-")</f>
        <v>-</v>
      </c>
      <c r="AY12" s="95" t="str">
        <f t="shared" si="59"/>
        <v>-</v>
      </c>
      <c r="AZ12" s="95" t="str">
        <f t="shared" si="59"/>
        <v>-</v>
      </c>
      <c r="BA12" s="95" t="str">
        <f t="shared" si="59"/>
        <v>-</v>
      </c>
      <c r="BB12" s="95" t="str">
        <f t="shared" si="59"/>
        <v>-</v>
      </c>
      <c r="BC12" s="95" t="str">
        <f t="shared" si="59"/>
        <v>-</v>
      </c>
      <c r="BD12" s="95" t="str">
        <f t="shared" si="59"/>
        <v>-</v>
      </c>
      <c r="BE12" s="95">
        <f t="shared" si="59"/>
        <v>120.95238095238096</v>
      </c>
      <c r="BF12" s="95" t="str">
        <f t="shared" si="59"/>
        <v>-</v>
      </c>
      <c r="BG12" s="95" t="str">
        <f t="shared" si="59"/>
        <v>-</v>
      </c>
      <c r="BH12" s="95" t="str">
        <f t="shared" si="59"/>
        <v>-</v>
      </c>
      <c r="BJ12" s="143">
        <f t="shared" ref="BJ12:BP12" si="60">IFERROR(IF(AV12&lt;&gt;"-",AV12/AH12,"-"),"-")</f>
        <v>8.8628085795224548E-2</v>
      </c>
      <c r="BK12" s="143" t="str">
        <f t="shared" si="60"/>
        <v>-</v>
      </c>
      <c r="BL12" s="143" t="str">
        <f t="shared" si="60"/>
        <v>-</v>
      </c>
      <c r="BM12" s="143" t="str">
        <f t="shared" si="60"/>
        <v>-</v>
      </c>
      <c r="BN12" s="143" t="str">
        <f t="shared" si="60"/>
        <v>-</v>
      </c>
      <c r="BO12" s="143" t="str">
        <f t="shared" si="60"/>
        <v>-</v>
      </c>
      <c r="BP12" s="143" t="str">
        <f t="shared" si="60"/>
        <v>-</v>
      </c>
      <c r="BQ12" s="143" t="str">
        <f t="shared" ref="BQ12:BV15" si="61">IFERROR(IF(BC12&lt;&gt;"-",BC12/AO12,"-"),"-")</f>
        <v>-</v>
      </c>
      <c r="BR12" s="143" t="str">
        <f t="shared" si="61"/>
        <v>-</v>
      </c>
      <c r="BS12" s="143">
        <f t="shared" si="61"/>
        <v>0.10426929392446635</v>
      </c>
      <c r="BT12" s="143" t="str">
        <f t="shared" si="61"/>
        <v>-</v>
      </c>
      <c r="BU12" s="143" t="str">
        <f t="shared" si="61"/>
        <v>-</v>
      </c>
      <c r="BV12" s="143" t="str">
        <f t="shared" si="61"/>
        <v>-</v>
      </c>
      <c r="BX12" s="112">
        <f t="shared" si="31"/>
        <v>1187.4841904761904</v>
      </c>
      <c r="BY12" s="95" t="str">
        <f>IFERROR(SUMIFS('01. KE30'!$R:$R,'01. KE30'!$F:$F,'05. BC BH THEO SKU-USD'!$D12,'01. KE30'!$A:$A,'05. BC BH THEO SKU-USD'!BY$4)/CM12/'02. Tỷ giá'!B$5," -")</f>
        <v xml:space="preserve"> -</v>
      </c>
      <c r="BZ12" s="95" t="str">
        <f>IFERROR(SUMIFS('01. KE30'!$R:$R,'01. KE30'!$F:$F,'05. BC BH THEO SKU-USD'!$D12,'01. KE30'!$A:$A,'05. BC BH THEO SKU-USD'!BZ$4)/CN12/'02. Tỷ giá'!C$5," -")</f>
        <v xml:space="preserve"> -</v>
      </c>
      <c r="CA12" s="95" t="str">
        <f>IFERROR(SUMIFS('01. KE30'!$R:$R,'01. KE30'!$F:$F,'05. BC BH THEO SKU-USD'!$D12,'01. KE30'!$A:$A,'05. BC BH THEO SKU-USD'!CA$4)/CO12/'02. Tỷ giá'!D$5," -")</f>
        <v xml:space="preserve"> -</v>
      </c>
      <c r="CB12" s="95" t="str">
        <f>IFERROR(SUMIFS('01. KE30'!$R:$R,'01. KE30'!$F:$F,'05. BC BH THEO SKU-USD'!$D12,'01. KE30'!$A:$A,'05. BC BH THEO SKU-USD'!CB$4)/CP12/'02. Tỷ giá'!E$5," -")</f>
        <v xml:space="preserve"> -</v>
      </c>
      <c r="CC12" s="95" t="str">
        <f>IFERROR(SUMIFS('01. KE30'!$R:$R,'01. KE30'!$F:$F,'05. BC BH THEO SKU-USD'!$D12,'01. KE30'!$A:$A,'05. BC BH THEO SKU-USD'!CC$4)/CQ12/'02. Tỷ giá'!F$5," -")</f>
        <v xml:space="preserve"> -</v>
      </c>
      <c r="CD12" s="95" t="str">
        <f>IFERROR(SUMIFS('01. KE30'!$R:$R,'01. KE30'!$F:$F,'05. BC BH THEO SKU-USD'!$D12,'01. KE30'!$A:$A,'05. BC BH THEO SKU-USD'!CD$4)/CR12/'02. Tỷ giá'!G$5," -")</f>
        <v xml:space="preserve"> -</v>
      </c>
      <c r="CE12" s="95" t="str">
        <f>IFERROR(SUMIFS('01. KE30'!$R:$R,'01. KE30'!$F:$F,'05. BC BH THEO SKU-USD'!$D12,'01. KE30'!$A:$A,'05. BC BH THEO SKU-USD'!CE$4)/CS12/'02. Tỷ giá'!H$5," -")</f>
        <v xml:space="preserve"> -</v>
      </c>
      <c r="CF12" s="95" t="str">
        <f>IFERROR(SUMIFS('01. KE30'!$R:$R,'01. KE30'!$F:$F,'05. BC BH THEO SKU-USD'!$D12,'01. KE30'!$A:$A,'05. BC BH THEO SKU-USD'!CF$4)/CT12/'02. Tỷ giá'!I$5," -")</f>
        <v xml:space="preserve"> -</v>
      </c>
      <c r="CG12" s="95">
        <f>IFERROR(SUMIFS('01. KE30'!$R:$R,'01. KE30'!$F:$F,'05. BC BH THEO SKU-USD'!$D12,'01. KE30'!$A:$A,'05. BC BH THEO SKU-USD'!CG$4)/CU12/'02. Tỷ giá'!J$5," -")</f>
        <v>1187.4841904761904</v>
      </c>
      <c r="CH12" s="95" t="str">
        <f>IFERROR(SUMIFS('01. KE30'!$R:$R,'01. KE30'!$F:$F,'05. BC BH THEO SKU-USD'!$D12,'01. KE30'!$A:$A,'05. BC BH THEO SKU-USD'!CH$4)/CV12/'02. Tỷ giá'!K$5," -")</f>
        <v xml:space="preserve"> -</v>
      </c>
      <c r="CI12" s="95" t="str">
        <f>IFERROR(SUMIFS('01. KE30'!$R:$R,'01. KE30'!$F:$F,'05. BC BH THEO SKU-USD'!$D12,'01. KE30'!$A:$A,'05. BC BH THEO SKU-USD'!CI$4)/CW12/'02. Tỷ giá'!L$5," -")</f>
        <v xml:space="preserve"> -</v>
      </c>
      <c r="CJ12" s="95" t="str">
        <f>IFERROR(SUMIFS('01. KE30'!$R:$R,'01. KE30'!$F:$F,'05. BC BH THEO SKU-USD'!$D12,'01. KE30'!$A:$A,'05. BC BH THEO SKU-USD'!CJ$4)/CX12/'02. Tỷ giá'!M$5," -")</f>
        <v xml:space="preserve"> -</v>
      </c>
      <c r="CL12" s="112">
        <f t="shared" ref="CL12:CL14" si="62">SUM(CM12:CX12)</f>
        <v>0.1</v>
      </c>
      <c r="CM12" s="114">
        <f>SUMIFS('01. KE30'!$I:$I,'01. KE30'!$F:$F,'05. BC BH THEO SKU-USD'!$D12,'01. KE30'!$A:$A,'05. BC BH THEO SKU-USD'!CM$4)/1000</f>
        <v>0</v>
      </c>
      <c r="CN12" s="114">
        <f>SUMIFS('01. KE30'!$I:$I,'01. KE30'!$F:$F,'05. BC BH THEO SKU-USD'!$D12,'01. KE30'!$A:$A,'05. BC BH THEO SKU-USD'!CN$4)/1000</f>
        <v>0</v>
      </c>
      <c r="CO12" s="114">
        <f>SUMIFS('01. KE30'!$I:$I,'01. KE30'!$F:$F,'05. BC BH THEO SKU-USD'!$D12,'01. KE30'!$A:$A,'05. BC BH THEO SKU-USD'!CO$4)/1000</f>
        <v>0</v>
      </c>
      <c r="CP12" s="114">
        <f>SUMIFS('01. KE30'!$I:$I,'01. KE30'!$F:$F,'05. BC BH THEO SKU-USD'!$D12,'01. KE30'!$A:$A,'05. BC BH THEO SKU-USD'!CP$4)/1000</f>
        <v>0</v>
      </c>
      <c r="CQ12" s="114">
        <f>SUMIFS('01. KE30'!$I:$I,'01. KE30'!$F:$F,'05. BC BH THEO SKU-USD'!$D12,'01. KE30'!$A:$A,'05. BC BH THEO SKU-USD'!CQ$4)/1000</f>
        <v>0</v>
      </c>
      <c r="CR12" s="114">
        <f>SUMIFS('01. KE30'!$I:$I,'01. KE30'!$F:$F,'05. BC BH THEO SKU-USD'!$D12,'01. KE30'!$A:$A,'05. BC BH THEO SKU-USD'!CR$4)/1000</f>
        <v>0</v>
      </c>
      <c r="CS12" s="114">
        <f>SUMIFS('01. KE30'!$I:$I,'01. KE30'!$F:$F,'05. BC BH THEO SKU-USD'!$D12,'01. KE30'!$A:$A,'05. BC BH THEO SKU-USD'!CS$4)/1000</f>
        <v>0</v>
      </c>
      <c r="CT12" s="114">
        <f>SUMIFS('01. KE30'!$I:$I,'01. KE30'!$F:$F,'05. BC BH THEO SKU-USD'!$D12,'01. KE30'!$A:$A,'05. BC BH THEO SKU-USD'!CT$4)/1000</f>
        <v>0</v>
      </c>
      <c r="CU12" s="114">
        <f>SUMIFS('01. KE30'!$I:$I,'01. KE30'!$F:$F,'05. BC BH THEO SKU-USD'!$D12,'01. KE30'!$A:$A,'05. BC BH THEO SKU-USD'!CU$4)/1000</f>
        <v>0.1</v>
      </c>
      <c r="CV12" s="114">
        <f>SUMIFS('01. KE30'!$I:$I,'01. KE30'!$F:$F,'05. BC BH THEO SKU-USD'!$D12,'01. KE30'!$A:$A,'05. BC BH THEO SKU-USD'!CV$4)/1000</f>
        <v>0</v>
      </c>
      <c r="CW12" s="114">
        <f>SUMIFS('01. KE30'!$I:$I,'01. KE30'!$F:$F,'05. BC BH THEO SKU-USD'!$D12,'01. KE30'!$A:$A,'05. BC BH THEO SKU-USD'!CW$4)/1000</f>
        <v>0</v>
      </c>
      <c r="CX12" s="114">
        <f>SUMIFS('01. KE30'!$I:$I,'01. KE30'!$F:$F,'05. BC BH THEO SKU-USD'!$D12,'01. KE30'!$A:$A,'05. BC BH THEO SKU-USD'!CX$4)/1000</f>
        <v>0</v>
      </c>
      <c r="CZ12" s="112">
        <f t="shared" ref="CZ12:CZ15" si="63">SUM(DA12:DL12)</f>
        <v>128.0952380952381</v>
      </c>
      <c r="DA12" s="54" t="str">
        <f t="shared" si="40"/>
        <v xml:space="preserve"> -</v>
      </c>
      <c r="DB12" s="54" t="str">
        <f t="shared" si="41"/>
        <v xml:space="preserve"> -</v>
      </c>
      <c r="DC12" s="54" t="str">
        <f t="shared" si="42"/>
        <v xml:space="preserve"> -</v>
      </c>
      <c r="DD12" s="54" t="str">
        <f t="shared" si="43"/>
        <v xml:space="preserve"> -</v>
      </c>
      <c r="DE12" s="54" t="str">
        <f t="shared" si="44"/>
        <v xml:space="preserve"> -</v>
      </c>
      <c r="DF12" s="54" t="str">
        <f t="shared" si="45"/>
        <v xml:space="preserve"> -</v>
      </c>
      <c r="DG12" s="54" t="str">
        <f t="shared" si="46"/>
        <v xml:space="preserve"> -</v>
      </c>
      <c r="DH12" s="54" t="str">
        <f t="shared" si="47"/>
        <v xml:space="preserve"> -</v>
      </c>
      <c r="DI12" s="54">
        <f t="shared" si="48"/>
        <v>128.0952380952381</v>
      </c>
      <c r="DJ12" s="54" t="str">
        <f t="shared" si="49"/>
        <v xml:space="preserve"> -</v>
      </c>
      <c r="DK12" s="54" t="str">
        <f t="shared" si="50"/>
        <v xml:space="preserve"> -</v>
      </c>
      <c r="DL12" s="54" t="str">
        <f t="shared" si="51"/>
        <v xml:space="preserve"> -</v>
      </c>
      <c r="DN12" s="112">
        <f t="shared" ref="DN12:DN54" si="64">SUM(DO12:DZ12)</f>
        <v>9.34681904761905</v>
      </c>
      <c r="DO12" s="114">
        <f>IFERROR(SUMIFS('01. KE30'!$X:$X,'01. KE30'!$F:$F,'05. BC BH THEO SKU-USD'!$D12,'01. KE30'!$A:$A,'05. BC BH THEO SKU-USD'!DO$4)-SUMIFS('01. KE30'!$AA:$AA,'01. KE30'!$F:$F,'05. BC BH THEO SKU-USD'!$D12,'01. KE30'!$A:$A,'05. BC BH THEO SKU-USD'!DO$4),"-")</f>
        <v>0</v>
      </c>
      <c r="DP12" s="114">
        <f>IFERROR(SUMIFS('01. KE30'!$X:$X,'01. KE30'!$F:$F,'05. BC BH THEO SKU-USD'!$D12,'01. KE30'!$A:$A,'05. BC BH THEO SKU-USD'!DP$4)-SUMIFS('01. KE30'!$AA:$AA,'01. KE30'!$F:$F,'05. BC BH THEO SKU-USD'!$D12,'01. KE30'!$A:$A,'05. BC BH THEO SKU-USD'!DP$4),"-")</f>
        <v>0</v>
      </c>
      <c r="DQ12" s="114">
        <f>IFERROR(SUMIFS('01. KE30'!$X:$X,'01. KE30'!$F:$F,'05. BC BH THEO SKU-USD'!$D12,'01. KE30'!$A:$A,'05. BC BH THEO SKU-USD'!DQ$4)-SUMIFS('01. KE30'!$AA:$AA,'01. KE30'!$F:$F,'05. BC BH THEO SKU-USD'!$D12,'01. KE30'!$A:$A,'05. BC BH THEO SKU-USD'!DQ$4),"-")</f>
        <v>0</v>
      </c>
      <c r="DR12" s="114">
        <f>IFERROR(SUMIFS('01. KE30'!$X:$X,'01. KE30'!$F:$F,'05. BC BH THEO SKU-USD'!$D12,'01. KE30'!$A:$A,'05. BC BH THEO SKU-USD'!DR$4)-SUMIFS('01. KE30'!$AA:$AA,'01. KE30'!$F:$F,'05. BC BH THEO SKU-USD'!$D12,'01. KE30'!$A:$A,'05. BC BH THEO SKU-USD'!DR$4),"-")</f>
        <v>0</v>
      </c>
      <c r="DS12" s="114">
        <f>IFERROR(SUMIFS('01. KE30'!$X:$X,'01. KE30'!$F:$F,'05. BC BH THEO SKU-USD'!$D12,'01. KE30'!$A:$A,'05. BC BH THEO SKU-USD'!DS$4)-SUMIFS('01. KE30'!$AA:$AA,'01. KE30'!$F:$F,'05. BC BH THEO SKU-USD'!$D12,'01. KE30'!$A:$A,'05. BC BH THEO SKU-USD'!DS$4),"-")</f>
        <v>0</v>
      </c>
      <c r="DT12" s="114">
        <f>IFERROR(SUMIFS('01. KE30'!$X:$X,'01. KE30'!$F:$F,'05. BC BH THEO SKU-USD'!$D12,'01. KE30'!$A:$A,'05. BC BH THEO SKU-USD'!DT$4)-SUMIFS('01. KE30'!$AA:$AA,'01. KE30'!$F:$F,'05. BC BH THEO SKU-USD'!$D12,'01. KE30'!$A:$A,'05. BC BH THEO SKU-USD'!DT$4),"-")</f>
        <v>0</v>
      </c>
      <c r="DU12" s="114">
        <f>IFERROR(SUMIFS('01. KE30'!$X:$X,'01. KE30'!$F:$F,'05. BC BH THEO SKU-USD'!$D12,'01. KE30'!$A:$A,'05. BC BH THEO SKU-USD'!DU$4)-SUMIFS('01. KE30'!$AA:$AA,'01. KE30'!$F:$F,'05. BC BH THEO SKU-USD'!$D12,'01. KE30'!$A:$A,'05. BC BH THEO SKU-USD'!DU$4),"-")</f>
        <v>0</v>
      </c>
      <c r="DV12" s="114">
        <f>IFERROR(SUMIFS('01. KE30'!$X:$X,'01. KE30'!$F:$F,'05. BC BH THEO SKU-USD'!$D12,'01. KE30'!$A:$A,'05. BC BH THEO SKU-USD'!DV$4)-SUMIFS('01. KE30'!$AA:$AA,'01. KE30'!$F:$F,'05. BC BH THEO SKU-USD'!$D12,'01. KE30'!$A:$A,'05. BC BH THEO SKU-USD'!DV$4),"-")</f>
        <v>0</v>
      </c>
      <c r="DW12" s="114">
        <f>IFERROR(SUMIFS('01. KE30'!$X:$X,'01. KE30'!$F:$F,'05. BC BH THEO SKU-USD'!$D12,'01. KE30'!$A:$A,'05. BC BH THEO SKU-USD'!DW$4)-SUMIFS('01. KE30'!$AA:$AA,'01. KE30'!$F:$F,'05. BC BH THEO SKU-USD'!$D12,'01. KE30'!$A:$A,'05. BC BH THEO SKU-USD'!DW$4),"-")</f>
        <v>9.34681904761905</v>
      </c>
      <c r="DX12" s="114">
        <f>IFERROR(SUMIFS('01. KE30'!$X:$X,'01. KE30'!$F:$F,'05. BC BH THEO SKU-USD'!$D12,'01. KE30'!$A:$A,'05. BC BH THEO SKU-USD'!DX$4)-SUMIFS('01. KE30'!$AA:$AA,'01. KE30'!$F:$F,'05. BC BH THEO SKU-USD'!$D12,'01. KE30'!$A:$A,'05. BC BH THEO SKU-USD'!DX$4),"-")</f>
        <v>0</v>
      </c>
      <c r="DY12" s="114">
        <f>IFERROR(SUMIFS('01. KE30'!$X:$X,'01. KE30'!$F:$F,'05. BC BH THEO SKU-USD'!$D12,'01. KE30'!$A:$A,'05. BC BH THEO SKU-USD'!DY$4)-SUMIFS('01. KE30'!$AA:$AA,'01. KE30'!$F:$F,'05. BC BH THEO SKU-USD'!$D12,'01. KE30'!$A:$A,'05. BC BH THEO SKU-USD'!DY$4),"-")</f>
        <v>0</v>
      </c>
      <c r="DZ12" s="114">
        <f>IFERROR(SUMIFS('01. KE30'!$X:$X,'01. KE30'!$F:$F,'05. BC BH THEO SKU-USD'!$D12,'01. KE30'!$A:$A,'05. BC BH THEO SKU-USD'!DZ$4)-SUMIFS('01. KE30'!$AA:$AA,'01. KE30'!$F:$F,'05. BC BH THEO SKU-USD'!$D12,'01. KE30'!$A:$A,'05. BC BH THEO SKU-USD'!DZ$4),"-")</f>
        <v>0</v>
      </c>
      <c r="EB12" s="576">
        <f t="shared" si="18"/>
        <v>7.2967732342007444E-2</v>
      </c>
      <c r="EC12" s="573">
        <f t="shared" si="18"/>
        <v>0</v>
      </c>
      <c r="ED12" s="573">
        <f t="shared" si="19"/>
        <v>0</v>
      </c>
      <c r="EE12" s="572">
        <f t="shared" si="20"/>
        <v>0</v>
      </c>
      <c r="EF12" s="572">
        <f t="shared" si="21"/>
        <v>0</v>
      </c>
      <c r="EG12" s="572">
        <f t="shared" si="22"/>
        <v>0</v>
      </c>
      <c r="EH12" s="572">
        <f t="shared" si="23"/>
        <v>0</v>
      </c>
      <c r="EI12" s="572">
        <f t="shared" si="24"/>
        <v>0</v>
      </c>
      <c r="EJ12" s="572">
        <f t="shared" si="25"/>
        <v>0</v>
      </c>
      <c r="EK12" s="572">
        <f t="shared" si="26"/>
        <v>7.2967732342007444E-2</v>
      </c>
      <c r="EL12" s="572">
        <f t="shared" si="27"/>
        <v>0</v>
      </c>
      <c r="EM12" s="572">
        <f t="shared" si="28"/>
        <v>0</v>
      </c>
      <c r="EN12" s="572">
        <f t="shared" si="29"/>
        <v>0</v>
      </c>
    </row>
    <row r="13" spans="1:144" ht="15.5" outlineLevel="1" x14ac:dyDescent="0.35">
      <c r="A13" s="27">
        <f t="shared" si="53"/>
        <v>8</v>
      </c>
      <c r="B13" s="27" t="s">
        <v>166</v>
      </c>
      <c r="C13" s="247" t="s">
        <v>314</v>
      </c>
      <c r="D13" s="459" t="s">
        <v>98</v>
      </c>
      <c r="E13" s="28" t="s">
        <v>97</v>
      </c>
      <c r="F13" s="92">
        <f t="shared" si="30"/>
        <v>1168.7497142857144</v>
      </c>
      <c r="G13" s="106" t="str">
        <f>IFERROR(SUMIFS('01. KE30'!$K:$K,'01. KE30'!$F:$F,'05. BC BH THEO SKU-USD'!$D13,'01. KE30'!$A:$A,'05. BC BH THEO SKU-USD'!G$4)/'05. BC BH THEO SKU-USD'!CM13/'02. Tỷ giá'!B$5,"-")</f>
        <v>-</v>
      </c>
      <c r="H13" s="106" t="str">
        <f>IFERROR(SUMIFS('01. KE30'!$K:$K,'01. KE30'!$F:$F,'05. BC BH THEO SKU-USD'!$D13,'01. KE30'!$A:$A,'05. BC BH THEO SKU-USD'!H$4)/'05. BC BH THEO SKU-USD'!CN13/'02. Tỷ giá'!C$5,"-")</f>
        <v>-</v>
      </c>
      <c r="I13" s="106" t="str">
        <f>IFERROR(SUMIFS('01. KE30'!$K:$K,'01. KE30'!$F:$F,'05. BC BH THEO SKU-USD'!$D13,'01. KE30'!$A:$A,'05. BC BH THEO SKU-USD'!I$4)/'05. BC BH THEO SKU-USD'!CO13/'02. Tỷ giá'!D$5,"-")</f>
        <v>-</v>
      </c>
      <c r="J13" s="106" t="str">
        <f>IFERROR(SUMIFS('01. KE30'!$K:$K,'01. KE30'!$F:$F,'05. BC BH THEO SKU-USD'!$D13,'01. KE30'!$A:$A,'05. BC BH THEO SKU-USD'!J$4)/'05. BC BH THEO SKU-USD'!CP13/'02. Tỷ giá'!E$5,"-")</f>
        <v>-</v>
      </c>
      <c r="K13" s="106" t="str">
        <f>IFERROR(SUMIFS('01. KE30'!$K:$K,'01. KE30'!$F:$F,'05. BC BH THEO SKU-USD'!$D13,'01. KE30'!$A:$A,'05. BC BH THEO SKU-USD'!K$4)/'05. BC BH THEO SKU-USD'!CQ13/'02. Tỷ giá'!F$5,"-")</f>
        <v>-</v>
      </c>
      <c r="L13" s="106" t="str">
        <f>IFERROR(SUMIFS('01. KE30'!$K:$K,'01. KE30'!$F:$F,'05. BC BH THEO SKU-USD'!$D13,'01. KE30'!$A:$A,'05. BC BH THEO SKU-USD'!L$4)/'05. BC BH THEO SKU-USD'!CR13/'02. Tỷ giá'!G$5,"-")</f>
        <v>-</v>
      </c>
      <c r="M13" s="106" t="str">
        <f>IFERROR(SUMIFS('01. KE30'!$K:$K,'01. KE30'!$F:$F,'05. BC BH THEO SKU-USD'!$D13,'01. KE30'!$A:$A,'05. BC BH THEO SKU-USD'!M$4)/'05. BC BH THEO SKU-USD'!CS13/'02. Tỷ giá'!H$5,"-")</f>
        <v>-</v>
      </c>
      <c r="N13" s="106" t="str">
        <f>IFERROR(SUMIFS('01. KE30'!$K:$K,'01. KE30'!$F:$F,'05. BC BH THEO SKU-USD'!$D13,'01. KE30'!$A:$A,'05. BC BH THEO SKU-USD'!N$4)/'05. BC BH THEO SKU-USD'!CT13/'02. Tỷ giá'!I$5,"-")</f>
        <v>-</v>
      </c>
      <c r="O13" s="106">
        <f>IFERROR(SUMIFS('01. KE30'!$K:$K,'01. KE30'!$F:$F,'05. BC BH THEO SKU-USD'!$D13,'01. KE30'!$A:$A,'05. BC BH THEO SKU-USD'!O$4)/'05. BC BH THEO SKU-USD'!CU13/'02. Tỷ giá'!J$5,"-")</f>
        <v>1168.7497142857144</v>
      </c>
      <c r="P13" s="106" t="str">
        <f>IFERROR(SUMIFS('01. KE30'!$K:$K,'01. KE30'!$F:$F,'05. BC BH THEO SKU-USD'!$D13,'01. KE30'!$A:$A,'05. BC BH THEO SKU-USD'!P$4)/'05. BC BH THEO SKU-USD'!CV13/'02. Tỷ giá'!K$5,"-")</f>
        <v>-</v>
      </c>
      <c r="Q13" s="106" t="str">
        <f>IFERROR(SUMIFS('01. KE30'!$K:$K,'01. KE30'!$F:$F,'05. BC BH THEO SKU-USD'!$D13,'01. KE30'!$A:$A,'05. BC BH THEO SKU-USD'!Q$4)/'05. BC BH THEO SKU-USD'!CW13/'02. Tỷ giá'!L$5,"-")</f>
        <v>-</v>
      </c>
      <c r="R13" s="106" t="str">
        <f>IFERROR(SUMIFS('01. KE30'!$K:$K,'01. KE30'!$F:$F,'05. BC BH THEO SKU-USD'!$D13,'01. KE30'!$A:$A,'05. BC BH THEO SKU-USD'!R$4)/'05. BC BH THEO SKU-USD'!CX13/'02. Tỷ giá'!M$5,"-")</f>
        <v>-</v>
      </c>
      <c r="T13" s="92">
        <f t="shared" si="35"/>
        <v>1168.7497142857144</v>
      </c>
      <c r="U13" s="147" t="str">
        <f>IFERROR(SUMIFS('01. KE30'!$O:$O,'01. KE30'!$F:$F,'05. BC BH THEO SKU-USD'!$D13,'01. KE30'!$A:$A,'05. BC BH THEO SKU-USD'!G$4)/'05. BC BH THEO SKU-USD'!CM13/'02. Tỷ giá'!B$5,"-")</f>
        <v>-</v>
      </c>
      <c r="V13" s="147" t="str">
        <f>IFERROR(SUMIFS('01. KE30'!$O:$O,'01. KE30'!$F:$F,'05. BC BH THEO SKU-USD'!$D13,'01. KE30'!$A:$A,'05. BC BH THEO SKU-USD'!H$4)/'05. BC BH THEO SKU-USD'!CN13/'02. Tỷ giá'!C$5,"-")</f>
        <v>-</v>
      </c>
      <c r="W13" s="147" t="str">
        <f>IFERROR(SUMIFS('01. KE30'!$O:$O,'01. KE30'!$F:$F,'05. BC BH THEO SKU-USD'!$D13,'01. KE30'!$A:$A,'05. BC BH THEO SKU-USD'!I$4)/'05. BC BH THEO SKU-USD'!CO13/'02. Tỷ giá'!D$5,"-")</f>
        <v>-</v>
      </c>
      <c r="X13" s="147" t="str">
        <f>IFERROR(SUMIFS('01. KE30'!$O:$O,'01. KE30'!$F:$F,'05. BC BH THEO SKU-USD'!$D13,'01. KE30'!$A:$A,'05. BC BH THEO SKU-USD'!J$4)/'05. BC BH THEO SKU-USD'!CP13/'02. Tỷ giá'!E$5,"-")</f>
        <v>-</v>
      </c>
      <c r="Y13" s="147" t="str">
        <f>IFERROR(SUMIFS('01. KE30'!$O:$O,'01. KE30'!$F:$F,'05. BC BH THEO SKU-USD'!$D13,'01. KE30'!$A:$A,'05. BC BH THEO SKU-USD'!K$4)/'05. BC BH THEO SKU-USD'!CQ13/'02. Tỷ giá'!F$5,"-")</f>
        <v>-</v>
      </c>
      <c r="Z13" s="147" t="str">
        <f>IFERROR(SUMIFS('01. KE30'!$O:$O,'01. KE30'!$F:$F,'05. BC BH THEO SKU-USD'!$D13,'01. KE30'!$A:$A,'05. BC BH THEO SKU-USD'!L$4)/'05. BC BH THEO SKU-USD'!CR13/'02. Tỷ giá'!G$5,"-")</f>
        <v>-</v>
      </c>
      <c r="AA13" s="147" t="str">
        <f>IFERROR(SUMIFS('01. KE30'!$O:$O,'01. KE30'!$F:$F,'05. BC BH THEO SKU-USD'!$D13,'01. KE30'!$A:$A,'05. BC BH THEO SKU-USD'!M$4)/'05. BC BH THEO SKU-USD'!CS13/'02. Tỷ giá'!H$5,"-")</f>
        <v>-</v>
      </c>
      <c r="AB13" s="147" t="str">
        <f>IFERROR(SUMIFS('01. KE30'!$O:$O,'01. KE30'!$F:$F,'05. BC BH THEO SKU-USD'!$D13,'01. KE30'!$A:$A,'05. BC BH THEO SKU-USD'!N$4)/'05. BC BH THEO SKU-USD'!CT13/'02. Tỷ giá'!I$5,"-")</f>
        <v>-</v>
      </c>
      <c r="AC13" s="147">
        <f>IFERROR(SUMIFS('01. KE30'!$O:$O,'01. KE30'!$F:$F,'05. BC BH THEO SKU-USD'!$D13,'01. KE30'!$A:$A,'05. BC BH THEO SKU-USD'!O$4)/'05. BC BH THEO SKU-USD'!CU13/'02. Tỷ giá'!J$5,"-")</f>
        <v>1168.7497142857144</v>
      </c>
      <c r="AD13" s="147" t="str">
        <f>IFERROR(SUMIFS('01. KE30'!$O:$O,'01. KE30'!$F:$F,'05. BC BH THEO SKU-USD'!$D13,'01. KE30'!$A:$A,'05. BC BH THEO SKU-USD'!P$4)/'05. BC BH THEO SKU-USD'!CV13/'02. Tỷ giá'!K$5,"-")</f>
        <v>-</v>
      </c>
      <c r="AE13" s="147" t="str">
        <f>IFERROR(SUMIFS('01. KE30'!$O:$O,'01. KE30'!$F:$F,'05. BC BH THEO SKU-USD'!$D13,'01. KE30'!$A:$A,'05. BC BH THEO SKU-USD'!Q$4)/'05. BC BH THEO SKU-USD'!CW13/'02. Tỷ giá'!L$5,"-")</f>
        <v>-</v>
      </c>
      <c r="AF13" s="147" t="str">
        <f>IFERROR(SUMIFS('01. KE30'!$O:$O,'01. KE30'!$F:$F,'05. BC BH THEO SKU-USD'!$D13,'01. KE30'!$A:$A,'05. BC BH THEO SKU-USD'!R$4)/'05. BC BH THEO SKU-USD'!CX13/'02. Tỷ giá'!M$5,"-")</f>
        <v>-</v>
      </c>
      <c r="AH13" s="92">
        <f t="shared" si="57"/>
        <v>1190</v>
      </c>
      <c r="AI13" s="25"/>
      <c r="AJ13" s="25"/>
      <c r="AK13" s="4"/>
      <c r="AL13" s="4"/>
      <c r="AM13" s="4"/>
      <c r="AN13" s="4"/>
      <c r="AO13" s="4"/>
      <c r="AP13" s="4"/>
      <c r="AQ13" s="25">
        <v>1190</v>
      </c>
      <c r="AR13" s="25"/>
      <c r="AS13" s="4"/>
      <c r="AT13" s="4"/>
      <c r="AV13" s="95">
        <f t="shared" si="58"/>
        <v>-21.25028571428561</v>
      </c>
      <c r="AW13" s="95" t="str">
        <f t="shared" si="58"/>
        <v>-</v>
      </c>
      <c r="AX13" s="95" t="str">
        <f t="shared" si="59"/>
        <v>-</v>
      </c>
      <c r="AY13" s="95" t="str">
        <f t="shared" si="59"/>
        <v>-</v>
      </c>
      <c r="AZ13" s="95" t="str">
        <f t="shared" si="59"/>
        <v>-</v>
      </c>
      <c r="BA13" s="95" t="str">
        <f t="shared" si="59"/>
        <v>-</v>
      </c>
      <c r="BB13" s="95" t="str">
        <f t="shared" si="59"/>
        <v>-</v>
      </c>
      <c r="BC13" s="95" t="str">
        <f t="shared" si="59"/>
        <v>-</v>
      </c>
      <c r="BD13" s="95" t="str">
        <f t="shared" si="59"/>
        <v>-</v>
      </c>
      <c r="BE13" s="95">
        <f t="shared" si="59"/>
        <v>-21.25028571428561</v>
      </c>
      <c r="BF13" s="95" t="str">
        <f t="shared" si="59"/>
        <v>-</v>
      </c>
      <c r="BG13" s="95" t="str">
        <f t="shared" si="59"/>
        <v>-</v>
      </c>
      <c r="BH13" s="95" t="str">
        <f t="shared" si="59"/>
        <v>-</v>
      </c>
      <c r="BJ13" s="143">
        <f t="shared" ref="BJ13:BS51" si="65">IFERROR(IF(AV13&lt;&gt;"-",AV13/AH13,"-"),"-")</f>
        <v>-1.7857382953181185E-2</v>
      </c>
      <c r="BK13" s="143" t="str">
        <f t="shared" si="65"/>
        <v>-</v>
      </c>
      <c r="BL13" s="143" t="str">
        <f t="shared" si="65"/>
        <v>-</v>
      </c>
      <c r="BM13" s="143" t="str">
        <f t="shared" ref="BM13:BS38" si="66">IFERROR(IF(AY13&lt;&gt;"-",AY13/AK13,"-"),"-")</f>
        <v>-</v>
      </c>
      <c r="BN13" s="143" t="str">
        <f t="shared" si="66"/>
        <v>-</v>
      </c>
      <c r="BO13" s="143" t="str">
        <f t="shared" si="66"/>
        <v>-</v>
      </c>
      <c r="BP13" s="143" t="str">
        <f t="shared" si="66"/>
        <v>-</v>
      </c>
      <c r="BQ13" s="143" t="str">
        <f t="shared" si="61"/>
        <v>-</v>
      </c>
      <c r="BR13" s="143" t="str">
        <f t="shared" si="61"/>
        <v>-</v>
      </c>
      <c r="BS13" s="143">
        <f t="shared" si="61"/>
        <v>-1.7857382953181185E-2</v>
      </c>
      <c r="BT13" s="143" t="str">
        <f t="shared" si="61"/>
        <v>-</v>
      </c>
      <c r="BU13" s="143" t="str">
        <f t="shared" si="61"/>
        <v>-</v>
      </c>
      <c r="BV13" s="143" t="str">
        <f t="shared" si="61"/>
        <v>-</v>
      </c>
      <c r="BX13" s="112">
        <f t="shared" si="31"/>
        <v>1027.5714862914863</v>
      </c>
      <c r="BY13" s="95" t="str">
        <f>IFERROR(SUMIFS('01. KE30'!$R:$R,'01. KE30'!$F:$F,'05. BC BH THEO SKU-USD'!$D13,'01. KE30'!$A:$A,'05. BC BH THEO SKU-USD'!BY$4)/CM13/'02. Tỷ giá'!B$5," -")</f>
        <v xml:space="preserve"> -</v>
      </c>
      <c r="BZ13" s="95" t="str">
        <f>IFERROR(SUMIFS('01. KE30'!$R:$R,'01. KE30'!$F:$F,'05. BC BH THEO SKU-USD'!$D13,'01. KE30'!$A:$A,'05. BC BH THEO SKU-USD'!BZ$4)/CN13/'02. Tỷ giá'!C$5," -")</f>
        <v xml:space="preserve"> -</v>
      </c>
      <c r="CA13" s="95" t="str">
        <f>IFERROR(SUMIFS('01. KE30'!$R:$R,'01. KE30'!$F:$F,'05. BC BH THEO SKU-USD'!$D13,'01. KE30'!$A:$A,'05. BC BH THEO SKU-USD'!CA$4)/CO13/'02. Tỷ giá'!D$5," -")</f>
        <v xml:space="preserve"> -</v>
      </c>
      <c r="CB13" s="95" t="str">
        <f>IFERROR(SUMIFS('01. KE30'!$R:$R,'01. KE30'!$F:$F,'05. BC BH THEO SKU-USD'!$D13,'01. KE30'!$A:$A,'05. BC BH THEO SKU-USD'!CB$4)/CP13/'02. Tỷ giá'!E$5," -")</f>
        <v xml:space="preserve"> -</v>
      </c>
      <c r="CC13" s="95" t="str">
        <f>IFERROR(SUMIFS('01. KE30'!$R:$R,'01. KE30'!$F:$F,'05. BC BH THEO SKU-USD'!$D13,'01. KE30'!$A:$A,'05. BC BH THEO SKU-USD'!CC$4)/CQ13/'02. Tỷ giá'!F$5," -")</f>
        <v xml:space="preserve"> -</v>
      </c>
      <c r="CD13" s="95" t="str">
        <f>IFERROR(SUMIFS('01. KE30'!$R:$R,'01. KE30'!$F:$F,'05. BC BH THEO SKU-USD'!$D13,'01. KE30'!$A:$A,'05. BC BH THEO SKU-USD'!CD$4)/CR13/'02. Tỷ giá'!G$5," -")</f>
        <v xml:space="preserve"> -</v>
      </c>
      <c r="CE13" s="95" t="str">
        <f>IFERROR(SUMIFS('01. KE30'!$R:$R,'01. KE30'!$F:$F,'05. BC BH THEO SKU-USD'!$D13,'01. KE30'!$A:$A,'05. BC BH THEO SKU-USD'!CE$4)/CS13/'02. Tỷ giá'!H$5," -")</f>
        <v xml:space="preserve"> -</v>
      </c>
      <c r="CF13" s="95" t="str">
        <f>IFERROR(SUMIFS('01. KE30'!$R:$R,'01. KE30'!$F:$F,'05. BC BH THEO SKU-USD'!$D13,'01. KE30'!$A:$A,'05. BC BH THEO SKU-USD'!CF$4)/CT13/'02. Tỷ giá'!I$5," -")</f>
        <v xml:space="preserve"> -</v>
      </c>
      <c r="CG13" s="95">
        <f>IFERROR(SUMIFS('01. KE30'!$R:$R,'01. KE30'!$F:$F,'05. BC BH THEO SKU-USD'!$D13,'01. KE30'!$A:$A,'05. BC BH THEO SKU-USD'!CG$4)/CU13/'02. Tỷ giá'!J$5," -")</f>
        <v>1027.5714862914863</v>
      </c>
      <c r="CH13" s="95" t="str">
        <f>IFERROR(SUMIFS('01. KE30'!$R:$R,'01. KE30'!$F:$F,'05. BC BH THEO SKU-USD'!$D13,'01. KE30'!$A:$A,'05. BC BH THEO SKU-USD'!CH$4)/CV13/'02. Tỷ giá'!K$5," -")</f>
        <v xml:space="preserve"> -</v>
      </c>
      <c r="CI13" s="95" t="str">
        <f>IFERROR(SUMIFS('01. KE30'!$R:$R,'01. KE30'!$F:$F,'05. BC BH THEO SKU-USD'!$D13,'01. KE30'!$A:$A,'05. BC BH THEO SKU-USD'!CI$4)/CW13/'02. Tỷ giá'!L$5," -")</f>
        <v xml:space="preserve"> -</v>
      </c>
      <c r="CJ13" s="95" t="str">
        <f>IFERROR(SUMIFS('01. KE30'!$R:$R,'01. KE30'!$F:$F,'05. BC BH THEO SKU-USD'!$D13,'01. KE30'!$A:$A,'05. BC BH THEO SKU-USD'!CJ$4)/CX13/'02. Tỷ giá'!M$5," -")</f>
        <v xml:space="preserve"> -</v>
      </c>
      <c r="CL13" s="112">
        <f t="shared" si="62"/>
        <v>3.3</v>
      </c>
      <c r="CM13" s="114">
        <f>SUMIFS('01. KE30'!$I:$I,'01. KE30'!$F:$F,'05. BC BH THEO SKU-USD'!$D13,'01. KE30'!$A:$A,'05. BC BH THEO SKU-USD'!CM$4)/1000</f>
        <v>0</v>
      </c>
      <c r="CN13" s="114">
        <f>SUMIFS('01. KE30'!$I:$I,'01. KE30'!$F:$F,'05. BC BH THEO SKU-USD'!$D13,'01. KE30'!$A:$A,'05. BC BH THEO SKU-USD'!CN$4)/1000</f>
        <v>0</v>
      </c>
      <c r="CO13" s="114">
        <f>SUMIFS('01. KE30'!$I:$I,'01. KE30'!$F:$F,'05. BC BH THEO SKU-USD'!$D13,'01. KE30'!$A:$A,'05. BC BH THEO SKU-USD'!CO$4)/1000</f>
        <v>0</v>
      </c>
      <c r="CP13" s="114">
        <f>SUMIFS('01. KE30'!$I:$I,'01. KE30'!$F:$F,'05. BC BH THEO SKU-USD'!$D13,'01. KE30'!$A:$A,'05. BC BH THEO SKU-USD'!CP$4)/1000</f>
        <v>0</v>
      </c>
      <c r="CQ13" s="114">
        <f>SUMIFS('01. KE30'!$I:$I,'01. KE30'!$F:$F,'05. BC BH THEO SKU-USD'!$D13,'01. KE30'!$A:$A,'05. BC BH THEO SKU-USD'!CQ$4)/1000</f>
        <v>0</v>
      </c>
      <c r="CR13" s="114">
        <f>SUMIFS('01. KE30'!$I:$I,'01. KE30'!$F:$F,'05. BC BH THEO SKU-USD'!$D13,'01. KE30'!$A:$A,'05. BC BH THEO SKU-USD'!CR$4)/1000</f>
        <v>0</v>
      </c>
      <c r="CS13" s="114">
        <f>SUMIFS('01. KE30'!$I:$I,'01. KE30'!$F:$F,'05. BC BH THEO SKU-USD'!$D13,'01. KE30'!$A:$A,'05. BC BH THEO SKU-USD'!CS$4)/1000</f>
        <v>0</v>
      </c>
      <c r="CT13" s="114">
        <f>SUMIFS('01. KE30'!$I:$I,'01. KE30'!$F:$F,'05. BC BH THEO SKU-USD'!$D13,'01. KE30'!$A:$A,'05. BC BH THEO SKU-USD'!CT$4)/1000</f>
        <v>0</v>
      </c>
      <c r="CU13" s="114">
        <f>SUMIFS('01. KE30'!$I:$I,'01. KE30'!$F:$F,'05. BC BH THEO SKU-USD'!$D13,'01. KE30'!$A:$A,'05. BC BH THEO SKU-USD'!CU$4)/1000</f>
        <v>3.3</v>
      </c>
      <c r="CV13" s="114">
        <f>SUMIFS('01. KE30'!$I:$I,'01. KE30'!$F:$F,'05. BC BH THEO SKU-USD'!$D13,'01. KE30'!$A:$A,'05. BC BH THEO SKU-USD'!CV$4)/1000</f>
        <v>0</v>
      </c>
      <c r="CW13" s="114">
        <f>SUMIFS('01. KE30'!$I:$I,'01. KE30'!$F:$F,'05. BC BH THEO SKU-USD'!$D13,'01. KE30'!$A:$A,'05. BC BH THEO SKU-USD'!CW$4)/1000</f>
        <v>0</v>
      </c>
      <c r="CX13" s="114">
        <f>SUMIFS('01. KE30'!$I:$I,'01. KE30'!$F:$F,'05. BC BH THEO SKU-USD'!$D13,'01. KE30'!$A:$A,'05. BC BH THEO SKU-USD'!CX$4)/1000</f>
        <v>0</v>
      </c>
      <c r="CZ13" s="112">
        <f t="shared" si="63"/>
        <v>3856.8740571428571</v>
      </c>
      <c r="DA13" s="54" t="str">
        <f t="shared" si="40"/>
        <v xml:space="preserve"> -</v>
      </c>
      <c r="DB13" s="54" t="str">
        <f t="shared" si="41"/>
        <v xml:space="preserve"> -</v>
      </c>
      <c r="DC13" s="54" t="str">
        <f t="shared" si="42"/>
        <v xml:space="preserve"> -</v>
      </c>
      <c r="DD13" s="54" t="str">
        <f t="shared" si="43"/>
        <v xml:space="preserve"> -</v>
      </c>
      <c r="DE13" s="54" t="str">
        <f t="shared" si="44"/>
        <v xml:space="preserve"> -</v>
      </c>
      <c r="DF13" s="54" t="str">
        <f t="shared" si="45"/>
        <v xml:space="preserve"> -</v>
      </c>
      <c r="DG13" s="54" t="str">
        <f t="shared" si="46"/>
        <v xml:space="preserve"> -</v>
      </c>
      <c r="DH13" s="54" t="str">
        <f t="shared" si="47"/>
        <v xml:space="preserve"> -</v>
      </c>
      <c r="DI13" s="54">
        <f t="shared" si="48"/>
        <v>3856.8740571428571</v>
      </c>
      <c r="DJ13" s="54" t="str">
        <f t="shared" si="49"/>
        <v xml:space="preserve"> -</v>
      </c>
      <c r="DK13" s="54" t="str">
        <f t="shared" si="50"/>
        <v xml:space="preserve"> -</v>
      </c>
      <c r="DL13" s="54" t="str">
        <f t="shared" si="51"/>
        <v xml:space="preserve"> -</v>
      </c>
      <c r="DN13" s="112">
        <f t="shared" si="64"/>
        <v>465.88815238095231</v>
      </c>
      <c r="DO13" s="114">
        <f>IFERROR(SUMIFS('01. KE30'!$X:$X,'01. KE30'!$F:$F,'05. BC BH THEO SKU-USD'!$D13,'01. KE30'!$A:$A,'05. BC BH THEO SKU-USD'!DO$4)-SUMIFS('01. KE30'!$AA:$AA,'01. KE30'!$F:$F,'05. BC BH THEO SKU-USD'!$D13,'01. KE30'!$A:$A,'05. BC BH THEO SKU-USD'!DO$4),"-")</f>
        <v>0</v>
      </c>
      <c r="DP13" s="114">
        <f>IFERROR(SUMIFS('01. KE30'!$X:$X,'01. KE30'!$F:$F,'05. BC BH THEO SKU-USD'!$D13,'01. KE30'!$A:$A,'05. BC BH THEO SKU-USD'!DP$4)-SUMIFS('01. KE30'!$AA:$AA,'01. KE30'!$F:$F,'05. BC BH THEO SKU-USD'!$D13,'01. KE30'!$A:$A,'05. BC BH THEO SKU-USD'!DP$4),"-")</f>
        <v>0</v>
      </c>
      <c r="DQ13" s="114">
        <f>IFERROR(SUMIFS('01. KE30'!$X:$X,'01. KE30'!$F:$F,'05. BC BH THEO SKU-USD'!$D13,'01. KE30'!$A:$A,'05. BC BH THEO SKU-USD'!DQ$4)-SUMIFS('01. KE30'!$AA:$AA,'01. KE30'!$F:$F,'05. BC BH THEO SKU-USD'!$D13,'01. KE30'!$A:$A,'05. BC BH THEO SKU-USD'!DQ$4),"-")</f>
        <v>0</v>
      </c>
      <c r="DR13" s="114">
        <f>IFERROR(SUMIFS('01. KE30'!$X:$X,'01. KE30'!$F:$F,'05. BC BH THEO SKU-USD'!$D13,'01. KE30'!$A:$A,'05. BC BH THEO SKU-USD'!DR$4)-SUMIFS('01. KE30'!$AA:$AA,'01. KE30'!$F:$F,'05. BC BH THEO SKU-USD'!$D13,'01. KE30'!$A:$A,'05. BC BH THEO SKU-USD'!DR$4),"-")</f>
        <v>0</v>
      </c>
      <c r="DS13" s="114">
        <f>IFERROR(SUMIFS('01. KE30'!$X:$X,'01. KE30'!$F:$F,'05. BC BH THEO SKU-USD'!$D13,'01. KE30'!$A:$A,'05. BC BH THEO SKU-USD'!DS$4)-SUMIFS('01. KE30'!$AA:$AA,'01. KE30'!$F:$F,'05. BC BH THEO SKU-USD'!$D13,'01. KE30'!$A:$A,'05. BC BH THEO SKU-USD'!DS$4),"-")</f>
        <v>0</v>
      </c>
      <c r="DT13" s="114">
        <f>IFERROR(SUMIFS('01. KE30'!$X:$X,'01. KE30'!$F:$F,'05. BC BH THEO SKU-USD'!$D13,'01. KE30'!$A:$A,'05. BC BH THEO SKU-USD'!DT$4)-SUMIFS('01. KE30'!$AA:$AA,'01. KE30'!$F:$F,'05. BC BH THEO SKU-USD'!$D13,'01. KE30'!$A:$A,'05. BC BH THEO SKU-USD'!DT$4),"-")</f>
        <v>0</v>
      </c>
      <c r="DU13" s="114">
        <f>IFERROR(SUMIFS('01. KE30'!$X:$X,'01. KE30'!$F:$F,'05. BC BH THEO SKU-USD'!$D13,'01. KE30'!$A:$A,'05. BC BH THEO SKU-USD'!DU$4)-SUMIFS('01. KE30'!$AA:$AA,'01. KE30'!$F:$F,'05. BC BH THEO SKU-USD'!$D13,'01. KE30'!$A:$A,'05. BC BH THEO SKU-USD'!DU$4),"-")</f>
        <v>0</v>
      </c>
      <c r="DV13" s="114">
        <f>IFERROR(SUMIFS('01. KE30'!$X:$X,'01. KE30'!$F:$F,'05. BC BH THEO SKU-USD'!$D13,'01. KE30'!$A:$A,'05. BC BH THEO SKU-USD'!DV$4)-SUMIFS('01. KE30'!$AA:$AA,'01. KE30'!$F:$F,'05. BC BH THEO SKU-USD'!$D13,'01. KE30'!$A:$A,'05. BC BH THEO SKU-USD'!DV$4),"-")</f>
        <v>0</v>
      </c>
      <c r="DW13" s="114">
        <f>IFERROR(SUMIFS('01. KE30'!$X:$X,'01. KE30'!$F:$F,'05. BC BH THEO SKU-USD'!$D13,'01. KE30'!$A:$A,'05. BC BH THEO SKU-USD'!DW$4)-SUMIFS('01. KE30'!$AA:$AA,'01. KE30'!$F:$F,'05. BC BH THEO SKU-USD'!$D13,'01. KE30'!$A:$A,'05. BC BH THEO SKU-USD'!DW$4),"-")</f>
        <v>465.88815238095231</v>
      </c>
      <c r="DX13" s="114">
        <f>IFERROR(SUMIFS('01. KE30'!$X:$X,'01. KE30'!$F:$F,'05. BC BH THEO SKU-USD'!$D13,'01. KE30'!$A:$A,'05. BC BH THEO SKU-USD'!DX$4)-SUMIFS('01. KE30'!$AA:$AA,'01. KE30'!$F:$F,'05. BC BH THEO SKU-USD'!$D13,'01. KE30'!$A:$A,'05. BC BH THEO SKU-USD'!DX$4),"-")</f>
        <v>0</v>
      </c>
      <c r="DY13" s="114">
        <f>IFERROR(SUMIFS('01. KE30'!$X:$X,'01. KE30'!$F:$F,'05. BC BH THEO SKU-USD'!$D13,'01. KE30'!$A:$A,'05. BC BH THEO SKU-USD'!DY$4)-SUMIFS('01. KE30'!$AA:$AA,'01. KE30'!$F:$F,'05. BC BH THEO SKU-USD'!$D13,'01. KE30'!$A:$A,'05. BC BH THEO SKU-USD'!DY$4),"-")</f>
        <v>0</v>
      </c>
      <c r="DZ13" s="114">
        <f>IFERROR(SUMIFS('01. KE30'!$X:$X,'01. KE30'!$F:$F,'05. BC BH THEO SKU-USD'!$D13,'01. KE30'!$A:$A,'05. BC BH THEO SKU-USD'!DZ$4)-SUMIFS('01. KE30'!$AA:$AA,'01. KE30'!$F:$F,'05. BC BH THEO SKU-USD'!$D13,'01. KE30'!$A:$A,'05. BC BH THEO SKU-USD'!DZ$4),"-")</f>
        <v>0</v>
      </c>
      <c r="EB13" s="576">
        <f t="shared" si="18"/>
        <v>0.12079423529999284</v>
      </c>
      <c r="EC13" s="573">
        <f t="shared" si="18"/>
        <v>0</v>
      </c>
      <c r="ED13" s="573">
        <f t="shared" si="19"/>
        <v>0</v>
      </c>
      <c r="EE13" s="572">
        <f t="shared" si="20"/>
        <v>0</v>
      </c>
      <c r="EF13" s="572">
        <f t="shared" si="21"/>
        <v>0</v>
      </c>
      <c r="EG13" s="572">
        <f t="shared" si="22"/>
        <v>0</v>
      </c>
      <c r="EH13" s="572">
        <f t="shared" si="23"/>
        <v>0</v>
      </c>
      <c r="EI13" s="572">
        <f t="shared" si="24"/>
        <v>0</v>
      </c>
      <c r="EJ13" s="572">
        <f t="shared" si="25"/>
        <v>0</v>
      </c>
      <c r="EK13" s="572">
        <f t="shared" si="26"/>
        <v>0.12079423529999284</v>
      </c>
      <c r="EL13" s="572">
        <f t="shared" si="27"/>
        <v>0</v>
      </c>
      <c r="EM13" s="572">
        <f t="shared" si="28"/>
        <v>0</v>
      </c>
      <c r="EN13" s="572">
        <f t="shared" si="29"/>
        <v>0</v>
      </c>
    </row>
    <row r="14" spans="1:144" ht="15.5" outlineLevel="1" x14ac:dyDescent="0.35">
      <c r="A14" s="27">
        <f t="shared" si="53"/>
        <v>9</v>
      </c>
      <c r="B14" s="27" t="s">
        <v>166</v>
      </c>
      <c r="C14" s="247" t="s">
        <v>304</v>
      </c>
      <c r="D14" s="459" t="s">
        <v>183</v>
      </c>
      <c r="E14" s="28" t="s">
        <v>184</v>
      </c>
      <c r="F14" s="92" t="str">
        <f t="shared" si="30"/>
        <v>-</v>
      </c>
      <c r="G14" s="106" t="str">
        <f>IFERROR(SUMIFS('01. KE30'!$K:$K,'01. KE30'!$F:$F,'05. BC BH THEO SKU-USD'!$D14,'01. KE30'!$A:$A,'05. BC BH THEO SKU-USD'!G$4)/'05. BC BH THEO SKU-USD'!CM14/'02. Tỷ giá'!B$5,"-")</f>
        <v>-</v>
      </c>
      <c r="H14" s="106" t="str">
        <f>IFERROR(SUMIFS('01. KE30'!$K:$K,'01. KE30'!$F:$F,'05. BC BH THEO SKU-USD'!$D14,'01. KE30'!$A:$A,'05. BC BH THEO SKU-USD'!H$4)/'05. BC BH THEO SKU-USD'!CN14/'02. Tỷ giá'!C$5,"-")</f>
        <v>-</v>
      </c>
      <c r="I14" s="106" t="str">
        <f>IFERROR(SUMIFS('01. KE30'!$K:$K,'01. KE30'!$F:$F,'05. BC BH THEO SKU-USD'!$D14,'01. KE30'!$A:$A,'05. BC BH THEO SKU-USD'!I$4)/'05. BC BH THEO SKU-USD'!CO14/'02. Tỷ giá'!D$5,"-")</f>
        <v>-</v>
      </c>
      <c r="J14" s="106" t="str">
        <f>IFERROR(SUMIFS('01. KE30'!$K:$K,'01. KE30'!$F:$F,'05. BC BH THEO SKU-USD'!$D14,'01. KE30'!$A:$A,'05. BC BH THEO SKU-USD'!J$4)/'05. BC BH THEO SKU-USD'!CP14/'02. Tỷ giá'!E$5,"-")</f>
        <v>-</v>
      </c>
      <c r="K14" s="106" t="str">
        <f>IFERROR(SUMIFS('01. KE30'!$K:$K,'01. KE30'!$F:$F,'05. BC BH THEO SKU-USD'!$D14,'01. KE30'!$A:$A,'05. BC BH THEO SKU-USD'!K$4)/'05. BC BH THEO SKU-USD'!CQ14/'02. Tỷ giá'!F$5,"-")</f>
        <v>-</v>
      </c>
      <c r="L14" s="106" t="str">
        <f>IFERROR(SUMIFS('01. KE30'!$K:$K,'01. KE30'!$F:$F,'05. BC BH THEO SKU-USD'!$D14,'01. KE30'!$A:$A,'05. BC BH THEO SKU-USD'!L$4)/'05. BC BH THEO SKU-USD'!CR14/'02. Tỷ giá'!G$5,"-")</f>
        <v>-</v>
      </c>
      <c r="M14" s="106" t="str">
        <f>IFERROR(SUMIFS('01. KE30'!$K:$K,'01. KE30'!$F:$F,'05. BC BH THEO SKU-USD'!$D14,'01. KE30'!$A:$A,'05. BC BH THEO SKU-USD'!M$4)/'05. BC BH THEO SKU-USD'!CS14/'02. Tỷ giá'!H$5,"-")</f>
        <v>-</v>
      </c>
      <c r="N14" s="106" t="str">
        <f>IFERROR(SUMIFS('01. KE30'!$K:$K,'01. KE30'!$F:$F,'05. BC BH THEO SKU-USD'!$D14,'01. KE30'!$A:$A,'05. BC BH THEO SKU-USD'!N$4)/'05. BC BH THEO SKU-USD'!CT14/'02. Tỷ giá'!I$5,"-")</f>
        <v>-</v>
      </c>
      <c r="O14" s="106" t="str">
        <f>IFERROR(SUMIFS('01. KE30'!$K:$K,'01. KE30'!$F:$F,'05. BC BH THEO SKU-USD'!$D14,'01. KE30'!$A:$A,'05. BC BH THEO SKU-USD'!O$4)/'05. BC BH THEO SKU-USD'!CU14/'02. Tỷ giá'!J$5,"-")</f>
        <v>-</v>
      </c>
      <c r="P14" s="106" t="str">
        <f>IFERROR(SUMIFS('01. KE30'!$K:$K,'01. KE30'!$F:$F,'05. BC BH THEO SKU-USD'!$D14,'01. KE30'!$A:$A,'05. BC BH THEO SKU-USD'!P$4)/'05. BC BH THEO SKU-USD'!CV14/'02. Tỷ giá'!K$5,"-")</f>
        <v>-</v>
      </c>
      <c r="Q14" s="106" t="str">
        <f>IFERROR(SUMIFS('01. KE30'!$K:$K,'01. KE30'!$F:$F,'05. BC BH THEO SKU-USD'!$D14,'01. KE30'!$A:$A,'05. BC BH THEO SKU-USD'!Q$4)/'05. BC BH THEO SKU-USD'!CW14/'02. Tỷ giá'!L$5,"-")</f>
        <v>-</v>
      </c>
      <c r="R14" s="106" t="str">
        <f>IFERROR(SUMIFS('01. KE30'!$K:$K,'01. KE30'!$F:$F,'05. BC BH THEO SKU-USD'!$D14,'01. KE30'!$A:$A,'05. BC BH THEO SKU-USD'!R$4)/'05. BC BH THEO SKU-USD'!CX14/'02. Tỷ giá'!M$5,"-")</f>
        <v>-</v>
      </c>
      <c r="T14" s="92">
        <f t="shared" si="35"/>
        <v>0</v>
      </c>
      <c r="U14" s="147" t="str">
        <f>IFERROR(SUMIFS('01. KE30'!$O:$O,'01. KE30'!$F:$F,'05. BC BH THEO SKU-USD'!$D14,'01. KE30'!$A:$A,'05. BC BH THEO SKU-USD'!G$4)/'05. BC BH THEO SKU-USD'!CM14/'02. Tỷ giá'!B$5,"-")</f>
        <v>-</v>
      </c>
      <c r="V14" s="147" t="str">
        <f>IFERROR(SUMIFS('01. KE30'!$O:$O,'01. KE30'!$F:$F,'05. BC BH THEO SKU-USD'!$D14,'01. KE30'!$A:$A,'05. BC BH THEO SKU-USD'!H$4)/'05. BC BH THEO SKU-USD'!CN14/'02. Tỷ giá'!C$5,"-")</f>
        <v>-</v>
      </c>
      <c r="W14" s="147" t="str">
        <f>IFERROR(SUMIFS('01. KE30'!$O:$O,'01. KE30'!$F:$F,'05. BC BH THEO SKU-USD'!$D14,'01. KE30'!$A:$A,'05. BC BH THEO SKU-USD'!I$4)/'05. BC BH THEO SKU-USD'!CO14/'02. Tỷ giá'!D$5,"-")</f>
        <v>-</v>
      </c>
      <c r="X14" s="147" t="str">
        <f>IFERROR(SUMIFS('01. KE30'!$O:$O,'01. KE30'!$F:$F,'05. BC BH THEO SKU-USD'!$D14,'01. KE30'!$A:$A,'05. BC BH THEO SKU-USD'!J$4)/'05. BC BH THEO SKU-USD'!CP14/'02. Tỷ giá'!E$5,"-")</f>
        <v>-</v>
      </c>
      <c r="Y14" s="147" t="str">
        <f>IFERROR(SUMIFS('01. KE30'!$O:$O,'01. KE30'!$F:$F,'05. BC BH THEO SKU-USD'!$D14,'01. KE30'!$A:$A,'05. BC BH THEO SKU-USD'!K$4)/'05. BC BH THEO SKU-USD'!CQ14/'02. Tỷ giá'!F$5,"-")</f>
        <v>-</v>
      </c>
      <c r="Z14" s="147" t="str">
        <f>IFERROR(SUMIFS('01. KE30'!$O:$O,'01. KE30'!$F:$F,'05. BC BH THEO SKU-USD'!$D14,'01. KE30'!$A:$A,'05. BC BH THEO SKU-USD'!L$4)/'05. BC BH THEO SKU-USD'!CR14/'02. Tỷ giá'!G$5,"-")</f>
        <v>-</v>
      </c>
      <c r="AA14" s="147" t="str">
        <f>IFERROR(SUMIFS('01. KE30'!$O:$O,'01. KE30'!$F:$F,'05. BC BH THEO SKU-USD'!$D14,'01. KE30'!$A:$A,'05. BC BH THEO SKU-USD'!M$4)/'05. BC BH THEO SKU-USD'!CS14/'02. Tỷ giá'!H$5,"-")</f>
        <v>-</v>
      </c>
      <c r="AB14" s="147" t="str">
        <f>IFERROR(SUMIFS('01. KE30'!$O:$O,'01. KE30'!$F:$F,'05. BC BH THEO SKU-USD'!$D14,'01. KE30'!$A:$A,'05. BC BH THEO SKU-USD'!N$4)/'05. BC BH THEO SKU-USD'!CT14/'02. Tỷ giá'!I$5,"-")</f>
        <v>-</v>
      </c>
      <c r="AC14" s="147" t="str">
        <f>IFERROR(SUMIFS('01. KE30'!$O:$O,'01. KE30'!$F:$F,'05. BC BH THEO SKU-USD'!$D14,'01. KE30'!$A:$A,'05. BC BH THEO SKU-USD'!O$4)/'05. BC BH THEO SKU-USD'!CU14/'02. Tỷ giá'!J$5,"-")</f>
        <v>-</v>
      </c>
      <c r="AD14" s="147" t="str">
        <f>IFERROR(SUMIFS('01. KE30'!$O:$O,'01. KE30'!$F:$F,'05. BC BH THEO SKU-USD'!$D14,'01. KE30'!$A:$A,'05. BC BH THEO SKU-USD'!P$4)/'05. BC BH THEO SKU-USD'!CV14/'02. Tỷ giá'!K$5,"-")</f>
        <v>-</v>
      </c>
      <c r="AE14" s="147" t="str">
        <f>IFERROR(SUMIFS('01. KE30'!$O:$O,'01. KE30'!$F:$F,'05. BC BH THEO SKU-USD'!$D14,'01. KE30'!$A:$A,'05. BC BH THEO SKU-USD'!Q$4)/'05. BC BH THEO SKU-USD'!CW14/'02. Tỷ giá'!L$5,"-")</f>
        <v>-</v>
      </c>
      <c r="AF14" s="147" t="str">
        <f>IFERROR(SUMIFS('01. KE30'!$O:$O,'01. KE30'!$F:$F,'05. BC BH THEO SKU-USD'!$D14,'01. KE30'!$A:$A,'05. BC BH THEO SKU-USD'!R$4)/'05. BC BH THEO SKU-USD'!CX14/'02. Tỷ giá'!M$5,"-")</f>
        <v>-</v>
      </c>
      <c r="AH14" s="92">
        <f t="shared" si="57"/>
        <v>1166.6666666666667</v>
      </c>
      <c r="AI14" s="25">
        <v>1160</v>
      </c>
      <c r="AJ14" s="25">
        <v>1160</v>
      </c>
      <c r="AK14" s="4">
        <v>1160</v>
      </c>
      <c r="AL14" s="4">
        <f t="shared" si="37"/>
        <v>1180</v>
      </c>
      <c r="AM14" s="4">
        <v>1180</v>
      </c>
      <c r="AN14" s="4">
        <v>1180</v>
      </c>
      <c r="AO14" s="4">
        <v>1180</v>
      </c>
      <c r="AP14" s="4">
        <f>+AP6-70</f>
        <v>1150</v>
      </c>
      <c r="AQ14" s="25">
        <v>1150</v>
      </c>
      <c r="AR14" s="25"/>
      <c r="AS14" s="4"/>
      <c r="AT14" s="4"/>
      <c r="AV14" s="95" t="str">
        <f t="shared" si="58"/>
        <v>-</v>
      </c>
      <c r="AW14" s="95" t="str">
        <f t="shared" si="58"/>
        <v>-</v>
      </c>
      <c r="AX14" s="95" t="str">
        <f t="shared" si="59"/>
        <v>-</v>
      </c>
      <c r="AY14" s="95" t="str">
        <f t="shared" si="59"/>
        <v>-</v>
      </c>
      <c r="AZ14" s="95" t="str">
        <f t="shared" si="59"/>
        <v>-</v>
      </c>
      <c r="BA14" s="95" t="str">
        <f t="shared" si="59"/>
        <v>-</v>
      </c>
      <c r="BB14" s="95" t="str">
        <f t="shared" si="59"/>
        <v>-</v>
      </c>
      <c r="BC14" s="95" t="str">
        <f t="shared" si="59"/>
        <v>-</v>
      </c>
      <c r="BD14" s="95" t="str">
        <f t="shared" si="59"/>
        <v>-</v>
      </c>
      <c r="BE14" s="95" t="str">
        <f t="shared" si="59"/>
        <v>-</v>
      </c>
      <c r="BF14" s="95" t="str">
        <f t="shared" si="59"/>
        <v>-</v>
      </c>
      <c r="BG14" s="95" t="str">
        <f t="shared" si="59"/>
        <v>-</v>
      </c>
      <c r="BH14" s="95" t="str">
        <f t="shared" si="59"/>
        <v>-</v>
      </c>
      <c r="BJ14" s="143" t="str">
        <f t="shared" si="65"/>
        <v>-</v>
      </c>
      <c r="BK14" s="143" t="str">
        <f t="shared" si="65"/>
        <v>-</v>
      </c>
      <c r="BL14" s="143" t="str">
        <f t="shared" si="65"/>
        <v>-</v>
      </c>
      <c r="BM14" s="143" t="str">
        <f t="shared" si="66"/>
        <v>-</v>
      </c>
      <c r="BN14" s="143" t="str">
        <f t="shared" si="66"/>
        <v>-</v>
      </c>
      <c r="BO14" s="143" t="str">
        <f t="shared" si="66"/>
        <v>-</v>
      </c>
      <c r="BP14" s="143" t="str">
        <f t="shared" si="66"/>
        <v>-</v>
      </c>
      <c r="BQ14" s="143" t="str">
        <f t="shared" si="61"/>
        <v>-</v>
      </c>
      <c r="BR14" s="143" t="str">
        <f t="shared" si="61"/>
        <v>-</v>
      </c>
      <c r="BS14" s="143" t="str">
        <f t="shared" si="61"/>
        <v>-</v>
      </c>
      <c r="BT14" s="143" t="str">
        <f t="shared" si="61"/>
        <v>-</v>
      </c>
      <c r="BU14" s="143" t="str">
        <f t="shared" si="61"/>
        <v>-</v>
      </c>
      <c r="BV14" s="143" t="str">
        <f t="shared" si="61"/>
        <v>-</v>
      </c>
      <c r="BX14" s="112" t="str">
        <f t="shared" si="31"/>
        <v>-</v>
      </c>
      <c r="BY14" s="95" t="str">
        <f>IFERROR(SUMIFS('01. KE30'!$R:$R,'01. KE30'!$F:$F,'05. BC BH THEO SKU-USD'!$D14,'01. KE30'!$A:$A,'05. BC BH THEO SKU-USD'!BY$4)/CM14/'02. Tỷ giá'!B$5," -")</f>
        <v xml:space="preserve"> -</v>
      </c>
      <c r="BZ14" s="95" t="str">
        <f>IFERROR(SUMIFS('01. KE30'!$R:$R,'01. KE30'!$F:$F,'05. BC BH THEO SKU-USD'!$D14,'01. KE30'!$A:$A,'05. BC BH THEO SKU-USD'!BZ$4)/CN14/'02. Tỷ giá'!C$5," -")</f>
        <v xml:space="preserve"> -</v>
      </c>
      <c r="CA14" s="95" t="str">
        <f>IFERROR(SUMIFS('01. KE30'!$R:$R,'01. KE30'!$F:$F,'05. BC BH THEO SKU-USD'!$D14,'01. KE30'!$A:$A,'05. BC BH THEO SKU-USD'!CA$4)/CO14/'02. Tỷ giá'!D$5," -")</f>
        <v xml:space="preserve"> -</v>
      </c>
      <c r="CB14" s="95" t="str">
        <f>IFERROR(SUMIFS('01. KE30'!$R:$R,'01. KE30'!$F:$F,'05. BC BH THEO SKU-USD'!$D14,'01. KE30'!$A:$A,'05. BC BH THEO SKU-USD'!CB$4)/CP14/'02. Tỷ giá'!E$5," -")</f>
        <v xml:space="preserve"> -</v>
      </c>
      <c r="CC14" s="95" t="str">
        <f>IFERROR(SUMIFS('01. KE30'!$R:$R,'01. KE30'!$F:$F,'05. BC BH THEO SKU-USD'!$D14,'01. KE30'!$A:$A,'05. BC BH THEO SKU-USD'!CC$4)/CQ14/'02. Tỷ giá'!F$5," -")</f>
        <v xml:space="preserve"> -</v>
      </c>
      <c r="CD14" s="95" t="str">
        <f>IFERROR(SUMIFS('01. KE30'!$R:$R,'01. KE30'!$F:$F,'05. BC BH THEO SKU-USD'!$D14,'01. KE30'!$A:$A,'05. BC BH THEO SKU-USD'!CD$4)/CR14/'02. Tỷ giá'!G$5," -")</f>
        <v xml:space="preserve"> -</v>
      </c>
      <c r="CE14" s="95" t="str">
        <f>IFERROR(SUMIFS('01. KE30'!$R:$R,'01. KE30'!$F:$F,'05. BC BH THEO SKU-USD'!$D14,'01. KE30'!$A:$A,'05. BC BH THEO SKU-USD'!CE$4)/CS14/'02. Tỷ giá'!H$5," -")</f>
        <v xml:space="preserve"> -</v>
      </c>
      <c r="CF14" s="95" t="str">
        <f>IFERROR(SUMIFS('01. KE30'!$R:$R,'01. KE30'!$F:$F,'05. BC BH THEO SKU-USD'!$D14,'01. KE30'!$A:$A,'05. BC BH THEO SKU-USD'!CF$4)/CT14/'02. Tỷ giá'!I$5," -")</f>
        <v xml:space="preserve"> -</v>
      </c>
      <c r="CG14" s="95" t="str">
        <f>IFERROR(SUMIFS('01. KE30'!$R:$R,'01. KE30'!$F:$F,'05. BC BH THEO SKU-USD'!$D14,'01. KE30'!$A:$A,'05. BC BH THEO SKU-USD'!CG$4)/CU14/'02. Tỷ giá'!J$5," -")</f>
        <v xml:space="preserve"> -</v>
      </c>
      <c r="CH14" s="95" t="str">
        <f>IFERROR(SUMIFS('01. KE30'!$R:$R,'01. KE30'!$F:$F,'05. BC BH THEO SKU-USD'!$D14,'01. KE30'!$A:$A,'05. BC BH THEO SKU-USD'!CH$4)/CV14/'02. Tỷ giá'!K$5," -")</f>
        <v xml:space="preserve"> -</v>
      </c>
      <c r="CI14" s="95" t="str">
        <f>IFERROR(SUMIFS('01. KE30'!$R:$R,'01. KE30'!$F:$F,'05. BC BH THEO SKU-USD'!$D14,'01. KE30'!$A:$A,'05. BC BH THEO SKU-USD'!CI$4)/CW14/'02. Tỷ giá'!L$5," -")</f>
        <v xml:space="preserve"> -</v>
      </c>
      <c r="CJ14" s="95" t="str">
        <f>IFERROR(SUMIFS('01. KE30'!$R:$R,'01. KE30'!$F:$F,'05. BC BH THEO SKU-USD'!$D14,'01. KE30'!$A:$A,'05. BC BH THEO SKU-USD'!CJ$4)/CX14/'02. Tỷ giá'!M$5," -")</f>
        <v xml:space="preserve"> -</v>
      </c>
      <c r="CL14" s="120">
        <f t="shared" si="62"/>
        <v>0</v>
      </c>
      <c r="CM14" s="114">
        <f>SUMIFS('01. KE30'!$I:$I,'01. KE30'!$F:$F,'05. BC BH THEO SKU-USD'!$D14,'01. KE30'!$A:$A,'05. BC BH THEO SKU-USD'!CM$4)/1000</f>
        <v>0</v>
      </c>
      <c r="CN14" s="114">
        <f>SUMIFS('01. KE30'!$I:$I,'01. KE30'!$F:$F,'05. BC BH THEO SKU-USD'!$D14,'01. KE30'!$A:$A,'05. BC BH THEO SKU-USD'!CN$4)/1000</f>
        <v>0</v>
      </c>
      <c r="CO14" s="114">
        <f>SUMIFS('01. KE30'!$I:$I,'01. KE30'!$F:$F,'05. BC BH THEO SKU-USD'!$D14,'01. KE30'!$A:$A,'05. BC BH THEO SKU-USD'!CO$4)/1000</f>
        <v>0</v>
      </c>
      <c r="CP14" s="114">
        <f>SUMIFS('01. KE30'!$I:$I,'01. KE30'!$F:$F,'05. BC BH THEO SKU-USD'!$D14,'01. KE30'!$A:$A,'05. BC BH THEO SKU-USD'!CP$4)/1000</f>
        <v>0</v>
      </c>
      <c r="CQ14" s="114">
        <f>SUMIFS('01. KE30'!$I:$I,'01. KE30'!$F:$F,'05. BC BH THEO SKU-USD'!$D14,'01. KE30'!$A:$A,'05. BC BH THEO SKU-USD'!CQ$4)/1000</f>
        <v>0</v>
      </c>
      <c r="CR14" s="114">
        <f>SUMIFS('01. KE30'!$I:$I,'01. KE30'!$F:$F,'05. BC BH THEO SKU-USD'!$D14,'01. KE30'!$A:$A,'05. BC BH THEO SKU-USD'!CR$4)/1000</f>
        <v>0</v>
      </c>
      <c r="CS14" s="114">
        <f>SUMIFS('01. KE30'!$I:$I,'01. KE30'!$F:$F,'05. BC BH THEO SKU-USD'!$D14,'01. KE30'!$A:$A,'05. BC BH THEO SKU-USD'!CS$4)/1000</f>
        <v>0</v>
      </c>
      <c r="CT14" s="114">
        <f>SUMIFS('01. KE30'!$I:$I,'01. KE30'!$F:$F,'05. BC BH THEO SKU-USD'!$D14,'01. KE30'!$A:$A,'05. BC BH THEO SKU-USD'!CT$4)/1000</f>
        <v>0</v>
      </c>
      <c r="CU14" s="114">
        <f>SUMIFS('01. KE30'!$I:$I,'01. KE30'!$F:$F,'05. BC BH THEO SKU-USD'!$D14,'01. KE30'!$A:$A,'05. BC BH THEO SKU-USD'!CU$4)/1000</f>
        <v>0</v>
      </c>
      <c r="CV14" s="114">
        <f>SUMIFS('01. KE30'!$I:$I,'01. KE30'!$F:$F,'05. BC BH THEO SKU-USD'!$D14,'01. KE30'!$A:$A,'05. BC BH THEO SKU-USD'!CV$4)/1000</f>
        <v>0</v>
      </c>
      <c r="CW14" s="114">
        <f>SUMIFS('01. KE30'!$I:$I,'01. KE30'!$F:$F,'05. BC BH THEO SKU-USD'!$D14,'01. KE30'!$A:$A,'05. BC BH THEO SKU-USD'!CW$4)/1000</f>
        <v>0</v>
      </c>
      <c r="CX14" s="114">
        <f>SUMIFS('01. KE30'!$I:$I,'01. KE30'!$F:$F,'05. BC BH THEO SKU-USD'!$D14,'01. KE30'!$A:$A,'05. BC BH THEO SKU-USD'!CX$4)/1000</f>
        <v>0</v>
      </c>
      <c r="CZ14" s="120">
        <f t="shared" si="63"/>
        <v>0</v>
      </c>
      <c r="DA14" s="54" t="str">
        <f t="shared" si="40"/>
        <v xml:space="preserve"> -</v>
      </c>
      <c r="DB14" s="54" t="str">
        <f t="shared" si="41"/>
        <v xml:space="preserve"> -</v>
      </c>
      <c r="DC14" s="54" t="str">
        <f t="shared" si="42"/>
        <v xml:space="preserve"> -</v>
      </c>
      <c r="DD14" s="54" t="str">
        <f t="shared" si="43"/>
        <v xml:space="preserve"> -</v>
      </c>
      <c r="DE14" s="54" t="str">
        <f t="shared" si="44"/>
        <v xml:space="preserve"> -</v>
      </c>
      <c r="DF14" s="54" t="str">
        <f t="shared" si="45"/>
        <v xml:space="preserve"> -</v>
      </c>
      <c r="DG14" s="54" t="str">
        <f t="shared" si="46"/>
        <v xml:space="preserve"> -</v>
      </c>
      <c r="DH14" s="54" t="str">
        <f t="shared" si="47"/>
        <v xml:space="preserve"> -</v>
      </c>
      <c r="DI14" s="54" t="str">
        <f t="shared" si="48"/>
        <v xml:space="preserve"> -</v>
      </c>
      <c r="DJ14" s="54" t="str">
        <f t="shared" si="49"/>
        <v xml:space="preserve"> -</v>
      </c>
      <c r="DK14" s="54" t="str">
        <f t="shared" si="50"/>
        <v xml:space="preserve"> -</v>
      </c>
      <c r="DL14" s="54" t="str">
        <f t="shared" si="51"/>
        <v xml:space="preserve"> -</v>
      </c>
      <c r="DN14" s="112">
        <f t="shared" si="64"/>
        <v>0</v>
      </c>
      <c r="DO14" s="114">
        <f>IFERROR(SUMIFS('01. KE30'!$X:$X,'01. KE30'!$F:$F,'05. BC BH THEO SKU-USD'!$D14,'01. KE30'!$A:$A,'05. BC BH THEO SKU-USD'!DO$4)-SUMIFS('01. KE30'!$AA:$AA,'01. KE30'!$F:$F,'05. BC BH THEO SKU-USD'!$D14,'01. KE30'!$A:$A,'05. BC BH THEO SKU-USD'!DO$4),"-")</f>
        <v>0</v>
      </c>
      <c r="DP14" s="114">
        <f>IFERROR(SUMIFS('01. KE30'!$X:$X,'01. KE30'!$F:$F,'05. BC BH THEO SKU-USD'!$D14,'01. KE30'!$A:$A,'05. BC BH THEO SKU-USD'!DP$4)-SUMIFS('01. KE30'!$AA:$AA,'01. KE30'!$F:$F,'05. BC BH THEO SKU-USD'!$D14,'01. KE30'!$A:$A,'05. BC BH THEO SKU-USD'!DP$4),"-")</f>
        <v>0</v>
      </c>
      <c r="DQ14" s="114">
        <f>IFERROR(SUMIFS('01. KE30'!$X:$X,'01. KE30'!$F:$F,'05. BC BH THEO SKU-USD'!$D14,'01. KE30'!$A:$A,'05. BC BH THEO SKU-USD'!DQ$4)-SUMIFS('01. KE30'!$AA:$AA,'01. KE30'!$F:$F,'05. BC BH THEO SKU-USD'!$D14,'01. KE30'!$A:$A,'05. BC BH THEO SKU-USD'!DQ$4),"-")</f>
        <v>0</v>
      </c>
      <c r="DR14" s="114">
        <f>IFERROR(SUMIFS('01. KE30'!$X:$X,'01. KE30'!$F:$F,'05. BC BH THEO SKU-USD'!$D14,'01. KE30'!$A:$A,'05. BC BH THEO SKU-USD'!DR$4)-SUMIFS('01. KE30'!$AA:$AA,'01. KE30'!$F:$F,'05. BC BH THEO SKU-USD'!$D14,'01. KE30'!$A:$A,'05. BC BH THEO SKU-USD'!DR$4),"-")</f>
        <v>0</v>
      </c>
      <c r="DS14" s="114">
        <f>IFERROR(SUMIFS('01. KE30'!$X:$X,'01. KE30'!$F:$F,'05. BC BH THEO SKU-USD'!$D14,'01. KE30'!$A:$A,'05. BC BH THEO SKU-USD'!DS$4)-SUMIFS('01. KE30'!$AA:$AA,'01. KE30'!$F:$F,'05. BC BH THEO SKU-USD'!$D14,'01. KE30'!$A:$A,'05. BC BH THEO SKU-USD'!DS$4),"-")</f>
        <v>0</v>
      </c>
      <c r="DT14" s="114">
        <f>IFERROR(SUMIFS('01. KE30'!$X:$X,'01. KE30'!$F:$F,'05. BC BH THEO SKU-USD'!$D14,'01. KE30'!$A:$A,'05. BC BH THEO SKU-USD'!DT$4)-SUMIFS('01. KE30'!$AA:$AA,'01. KE30'!$F:$F,'05. BC BH THEO SKU-USD'!$D14,'01. KE30'!$A:$A,'05. BC BH THEO SKU-USD'!DT$4),"-")</f>
        <v>0</v>
      </c>
      <c r="DU14" s="114">
        <f>IFERROR(SUMIFS('01. KE30'!$X:$X,'01. KE30'!$F:$F,'05. BC BH THEO SKU-USD'!$D14,'01. KE30'!$A:$A,'05. BC BH THEO SKU-USD'!DU$4)-SUMIFS('01. KE30'!$AA:$AA,'01. KE30'!$F:$F,'05. BC BH THEO SKU-USD'!$D14,'01. KE30'!$A:$A,'05. BC BH THEO SKU-USD'!DU$4),"-")</f>
        <v>0</v>
      </c>
      <c r="DV14" s="114">
        <f>IFERROR(SUMIFS('01. KE30'!$X:$X,'01. KE30'!$F:$F,'05. BC BH THEO SKU-USD'!$D14,'01. KE30'!$A:$A,'05. BC BH THEO SKU-USD'!DV$4)-SUMIFS('01. KE30'!$AA:$AA,'01. KE30'!$F:$F,'05. BC BH THEO SKU-USD'!$D14,'01. KE30'!$A:$A,'05. BC BH THEO SKU-USD'!DV$4),"-")</f>
        <v>0</v>
      </c>
      <c r="DW14" s="114">
        <f>IFERROR(SUMIFS('01. KE30'!$X:$X,'01. KE30'!$F:$F,'05. BC BH THEO SKU-USD'!$D14,'01. KE30'!$A:$A,'05. BC BH THEO SKU-USD'!DW$4)-SUMIFS('01. KE30'!$AA:$AA,'01. KE30'!$F:$F,'05. BC BH THEO SKU-USD'!$D14,'01. KE30'!$A:$A,'05. BC BH THEO SKU-USD'!DW$4),"-")</f>
        <v>0</v>
      </c>
      <c r="DX14" s="114">
        <f>IFERROR(SUMIFS('01. KE30'!$X:$X,'01. KE30'!$F:$F,'05. BC BH THEO SKU-USD'!$D14,'01. KE30'!$A:$A,'05. BC BH THEO SKU-USD'!DX$4)-SUMIFS('01. KE30'!$AA:$AA,'01. KE30'!$F:$F,'05. BC BH THEO SKU-USD'!$D14,'01. KE30'!$A:$A,'05. BC BH THEO SKU-USD'!DX$4),"-")</f>
        <v>0</v>
      </c>
      <c r="DY14" s="114">
        <f>IFERROR(SUMIFS('01. KE30'!$X:$X,'01. KE30'!$F:$F,'05. BC BH THEO SKU-USD'!$D14,'01. KE30'!$A:$A,'05. BC BH THEO SKU-USD'!DY$4)-SUMIFS('01. KE30'!$AA:$AA,'01. KE30'!$F:$F,'05. BC BH THEO SKU-USD'!$D14,'01. KE30'!$A:$A,'05. BC BH THEO SKU-USD'!DY$4),"-")</f>
        <v>0</v>
      </c>
      <c r="DZ14" s="114">
        <f>IFERROR(SUMIFS('01. KE30'!$X:$X,'01. KE30'!$F:$F,'05. BC BH THEO SKU-USD'!$D14,'01. KE30'!$A:$A,'05. BC BH THEO SKU-USD'!DZ$4)-SUMIFS('01. KE30'!$AA:$AA,'01. KE30'!$F:$F,'05. BC BH THEO SKU-USD'!$D14,'01. KE30'!$A:$A,'05. BC BH THEO SKU-USD'!DZ$4),"-")</f>
        <v>0</v>
      </c>
      <c r="EB14" s="576">
        <f t="shared" si="18"/>
        <v>0</v>
      </c>
      <c r="EC14" s="573">
        <f t="shared" si="18"/>
        <v>0</v>
      </c>
      <c r="ED14" s="573">
        <f t="shared" si="19"/>
        <v>0</v>
      </c>
      <c r="EE14" s="572">
        <f t="shared" si="20"/>
        <v>0</v>
      </c>
      <c r="EF14" s="572">
        <f t="shared" si="21"/>
        <v>0</v>
      </c>
      <c r="EG14" s="572">
        <f t="shared" si="22"/>
        <v>0</v>
      </c>
      <c r="EH14" s="572">
        <f t="shared" si="23"/>
        <v>0</v>
      </c>
      <c r="EI14" s="572">
        <f t="shared" si="24"/>
        <v>0</v>
      </c>
      <c r="EJ14" s="572">
        <f t="shared" si="25"/>
        <v>0</v>
      </c>
      <c r="EK14" s="572">
        <f t="shared" si="26"/>
        <v>0</v>
      </c>
      <c r="EL14" s="572">
        <f t="shared" si="27"/>
        <v>0</v>
      </c>
      <c r="EM14" s="572">
        <f t="shared" si="28"/>
        <v>0</v>
      </c>
      <c r="EN14" s="572">
        <f t="shared" si="29"/>
        <v>0</v>
      </c>
    </row>
    <row r="15" spans="1:144" ht="15.5" outlineLevel="1" x14ac:dyDescent="0.35">
      <c r="A15" s="27">
        <v>10</v>
      </c>
      <c r="B15" s="27" t="s">
        <v>166</v>
      </c>
      <c r="C15" s="36" t="s">
        <v>469</v>
      </c>
      <c r="D15" s="459" t="s">
        <v>462</v>
      </c>
      <c r="E15" s="28" t="s">
        <v>468</v>
      </c>
      <c r="F15" s="92">
        <f t="shared" ref="F15:F21" si="67">IFERROR(AVERAGE(G15:R15),"-")</f>
        <v>1300.1020766794488</v>
      </c>
      <c r="G15" s="106">
        <f>IFERROR(SUMIFS('01. KE30'!$K:$K,'01. KE30'!$F:$F,'05. BC BH THEO SKU-USD'!$D15,'01. KE30'!$A:$A,'05. BC BH THEO SKU-USD'!G$4)/'05. BC BH THEO SKU-USD'!CM15/'02. Tỷ giá'!B$5,"-")</f>
        <v>1243.9783219590524</v>
      </c>
      <c r="H15" s="106" t="str">
        <f>IFERROR(SUMIFS('01. KE30'!$K:$K,'01. KE30'!$F:$F,'05. BC BH THEO SKU-USD'!$D15,'01. KE30'!$A:$A,'05. BC BH THEO SKU-USD'!H$4)/'05. BC BH THEO SKU-USD'!CN15/'02. Tỷ giá'!C$5,"-")</f>
        <v>-</v>
      </c>
      <c r="I15" s="106" t="str">
        <f>IFERROR(SUMIFS('01. KE30'!$K:$K,'01. KE30'!$F:$F,'05. BC BH THEO SKU-USD'!$D15,'01. KE30'!$A:$A,'05. BC BH THEO SKU-USD'!I$4)/'05. BC BH THEO SKU-USD'!CO15/'02. Tỷ giá'!D$5,"-")</f>
        <v>-</v>
      </c>
      <c r="J15" s="106" t="str">
        <f>IFERROR(SUMIFS('01. KE30'!$K:$K,'01. KE30'!$F:$F,'05. BC BH THEO SKU-USD'!$D15,'01. KE30'!$A:$A,'05. BC BH THEO SKU-USD'!J$4)/'05. BC BH THEO SKU-USD'!CP15/'02. Tỷ giá'!E$5,"-")</f>
        <v>-</v>
      </c>
      <c r="K15" s="106">
        <f>IFERROR(SUMIFS('01. KE30'!$K:$K,'01. KE30'!$F:$F,'05. BC BH THEO SKU-USD'!$D15,'01. KE30'!$A:$A,'05. BC BH THEO SKU-USD'!K$4)/'05. BC BH THEO SKU-USD'!CQ15/'02. Tỷ giá'!F$5,"-")</f>
        <v>1356.2258313998452</v>
      </c>
      <c r="L15" s="106" t="str">
        <f>IFERROR(SUMIFS('01. KE30'!$K:$K,'01. KE30'!$F:$F,'05. BC BH THEO SKU-USD'!$D15,'01. KE30'!$A:$A,'05. BC BH THEO SKU-USD'!L$4)/'05. BC BH THEO SKU-USD'!CR15/'02. Tỷ giá'!G$5,"-")</f>
        <v>-</v>
      </c>
      <c r="M15" s="106" t="str">
        <f>IFERROR(SUMIFS('01. KE30'!$K:$K,'01. KE30'!$F:$F,'05. BC BH THEO SKU-USD'!$D15,'01. KE30'!$A:$A,'05. BC BH THEO SKU-USD'!M$4)/'05. BC BH THEO SKU-USD'!CS15/'02. Tỷ giá'!H$5,"-")</f>
        <v>-</v>
      </c>
      <c r="N15" s="106" t="str">
        <f>IFERROR(SUMIFS('01. KE30'!$K:$K,'01. KE30'!$F:$F,'05. BC BH THEO SKU-USD'!$D15,'01. KE30'!$A:$A,'05. BC BH THEO SKU-USD'!N$4)/'05. BC BH THEO SKU-USD'!CT15/'02. Tỷ giá'!I$5,"-")</f>
        <v>-</v>
      </c>
      <c r="O15" s="106" t="str">
        <f>IFERROR(SUMIFS('01. KE30'!$K:$K,'01. KE30'!$F:$F,'05. BC BH THEO SKU-USD'!$D15,'01. KE30'!$A:$A,'05. BC BH THEO SKU-USD'!O$4)/'05. BC BH THEO SKU-USD'!CU15/'02. Tỷ giá'!J$5,"-")</f>
        <v>-</v>
      </c>
      <c r="P15" s="106" t="str">
        <f>IFERROR(SUMIFS('01. KE30'!$K:$K,'01. KE30'!$F:$F,'05. BC BH THEO SKU-USD'!$D15,'01. KE30'!$A:$A,'05. BC BH THEO SKU-USD'!P$4)/'05. BC BH THEO SKU-USD'!CV15/'02. Tỷ giá'!K$5,"-")</f>
        <v>-</v>
      </c>
      <c r="Q15" s="106" t="str">
        <f>IFERROR(SUMIFS('01. KE30'!$K:$K,'01. KE30'!$F:$F,'05. BC BH THEO SKU-USD'!$D15,'01. KE30'!$A:$A,'05. BC BH THEO SKU-USD'!Q$4)/'05. BC BH THEO SKU-USD'!CW15/'02. Tỷ giá'!L$5,"-")</f>
        <v>-</v>
      </c>
      <c r="R15" s="106" t="str">
        <f>IFERROR(SUMIFS('01. KE30'!$K:$K,'01. KE30'!$F:$F,'05. BC BH THEO SKU-USD'!$D15,'01. KE30'!$A:$A,'05. BC BH THEO SKU-USD'!R$4)/'05. BC BH THEO SKU-USD'!CX15/'02. Tỷ giá'!M$5,"-")</f>
        <v>-</v>
      </c>
      <c r="T15" s="92">
        <f t="shared" si="35"/>
        <v>1200.7367906732395</v>
      </c>
      <c r="U15" s="147">
        <f>IFERROR(SUMIFS('01. KE30'!$O:$O,'01. KE30'!$F:$F,'05. BC BH THEO SKU-USD'!$D15,'01. KE30'!$A:$A,'05. BC BH THEO SKU-USD'!G$4)/'05. BC BH THEO SKU-USD'!CM15/'02. Tỷ giá'!B$5,"-")</f>
        <v>1161.8645304915879</v>
      </c>
      <c r="V15" s="147" t="str">
        <f>IFERROR(SUMIFS('01. KE30'!$O:$O,'01. KE30'!$F:$F,'05. BC BH THEO SKU-USD'!$D15,'01. KE30'!$A:$A,'05. BC BH THEO SKU-USD'!H$4)/'05. BC BH THEO SKU-USD'!CN15/'02. Tỷ giá'!C$5,"-")</f>
        <v>-</v>
      </c>
      <c r="W15" s="147" t="str">
        <f>IFERROR(SUMIFS('01. KE30'!$O:$O,'01. KE30'!$F:$F,'05. BC BH THEO SKU-USD'!$D15,'01. KE30'!$A:$A,'05. BC BH THEO SKU-USD'!I$4)/'05. BC BH THEO SKU-USD'!CO15/'02. Tỷ giá'!D$5,"-")</f>
        <v>-</v>
      </c>
      <c r="X15" s="147" t="str">
        <f>IFERROR(SUMIFS('01. KE30'!$O:$O,'01. KE30'!$F:$F,'05. BC BH THEO SKU-USD'!$D15,'01. KE30'!$A:$A,'05. BC BH THEO SKU-USD'!J$4)/'05. BC BH THEO SKU-USD'!CP15/'02. Tỷ giá'!E$5,"-")</f>
        <v>-</v>
      </c>
      <c r="Y15" s="147">
        <f>IFERROR(SUMIFS('01. KE30'!$O:$O,'01. KE30'!$F:$F,'05. BC BH THEO SKU-USD'!$D15,'01. KE30'!$A:$A,'05. BC BH THEO SKU-USD'!K$4)/'05. BC BH THEO SKU-USD'!CQ15/'02. Tỷ giá'!F$5,"-")</f>
        <v>1356.2258313998452</v>
      </c>
      <c r="Z15" s="147" t="str">
        <f>IFERROR(SUMIFS('01. KE30'!$O:$O,'01. KE30'!$F:$F,'05. BC BH THEO SKU-USD'!$D15,'01. KE30'!$A:$A,'05. BC BH THEO SKU-USD'!L$4)/'05. BC BH THEO SKU-USD'!CR15/'02. Tỷ giá'!G$5,"-")</f>
        <v>-</v>
      </c>
      <c r="AA15" s="147" t="str">
        <f>IFERROR(SUMIFS('01. KE30'!$O:$O,'01. KE30'!$F:$F,'05. BC BH THEO SKU-USD'!$D15,'01. KE30'!$A:$A,'05. BC BH THEO SKU-USD'!M$4)/'05. BC BH THEO SKU-USD'!CS15/'02. Tỷ giá'!H$5,"-")</f>
        <v>-</v>
      </c>
      <c r="AB15" s="147" t="str">
        <f>IFERROR(SUMIFS('01. KE30'!$O:$O,'01. KE30'!$F:$F,'05. BC BH THEO SKU-USD'!$D15,'01. KE30'!$A:$A,'05. BC BH THEO SKU-USD'!N$4)/'05. BC BH THEO SKU-USD'!CT15/'02. Tỷ giá'!I$5,"-")</f>
        <v>-</v>
      </c>
      <c r="AC15" s="147" t="str">
        <f>IFERROR(SUMIFS('01. KE30'!$O:$O,'01. KE30'!$F:$F,'05. BC BH THEO SKU-USD'!$D15,'01. KE30'!$A:$A,'05. BC BH THEO SKU-USD'!O$4)/'05. BC BH THEO SKU-USD'!CU15/'02. Tỷ giá'!J$5,"-")</f>
        <v>-</v>
      </c>
      <c r="AD15" s="147" t="str">
        <f>IFERROR(SUMIFS('01. KE30'!$O:$O,'01. KE30'!$F:$F,'05. BC BH THEO SKU-USD'!$D15,'01. KE30'!$A:$A,'05. BC BH THEO SKU-USD'!P$4)/'05. BC BH THEO SKU-USD'!CV15/'02. Tỷ giá'!K$5,"-")</f>
        <v>-</v>
      </c>
      <c r="AE15" s="147" t="str">
        <f>IFERROR(SUMIFS('01. KE30'!$O:$O,'01. KE30'!$F:$F,'05. BC BH THEO SKU-USD'!$D15,'01. KE30'!$A:$A,'05. BC BH THEO SKU-USD'!Q$4)/'05. BC BH THEO SKU-USD'!CW15/'02. Tỷ giá'!L$5,"-")</f>
        <v>-</v>
      </c>
      <c r="AF15" s="147" t="str">
        <f>IFERROR(SUMIFS('01. KE30'!$O:$O,'01. KE30'!$F:$F,'05. BC BH THEO SKU-USD'!$D15,'01. KE30'!$A:$A,'05. BC BH THEO SKU-USD'!R$4)/'05. BC BH THEO SKU-USD'!CX15/'02. Tỷ giá'!M$5,"-")</f>
        <v>-</v>
      </c>
      <c r="AH15" s="92">
        <f t="shared" si="57"/>
        <v>1440</v>
      </c>
      <c r="AI15" s="25">
        <v>1440</v>
      </c>
      <c r="AJ15" s="25">
        <v>1440</v>
      </c>
      <c r="AK15" s="4">
        <v>1440</v>
      </c>
      <c r="AL15" s="4">
        <v>1440</v>
      </c>
      <c r="AM15" s="4">
        <v>1440</v>
      </c>
      <c r="AN15" s="4">
        <v>1440</v>
      </c>
      <c r="AO15" s="4">
        <v>1440</v>
      </c>
      <c r="AP15" s="4">
        <v>1440</v>
      </c>
      <c r="AQ15" s="25">
        <v>1440</v>
      </c>
      <c r="AR15" s="25"/>
      <c r="AS15" s="4"/>
      <c r="AT15" s="4"/>
      <c r="AV15" s="95">
        <f t="shared" si="58"/>
        <v>-239.26320932676049</v>
      </c>
      <c r="AW15" s="95">
        <f t="shared" si="58"/>
        <v>-278.13546950841214</v>
      </c>
      <c r="AX15" s="95" t="str">
        <f t="shared" si="59"/>
        <v>-</v>
      </c>
      <c r="AY15" s="95" t="str">
        <f t="shared" si="59"/>
        <v>-</v>
      </c>
      <c r="AZ15" s="95" t="str">
        <f t="shared" si="59"/>
        <v>-</v>
      </c>
      <c r="BA15" s="95">
        <f t="shared" si="59"/>
        <v>-83.774168600154781</v>
      </c>
      <c r="BB15" s="95" t="str">
        <f t="shared" si="59"/>
        <v>-</v>
      </c>
      <c r="BC15" s="95" t="str">
        <f t="shared" si="59"/>
        <v>-</v>
      </c>
      <c r="BD15" s="95" t="str">
        <f t="shared" si="59"/>
        <v>-</v>
      </c>
      <c r="BE15" s="95" t="str">
        <f t="shared" si="59"/>
        <v>-</v>
      </c>
      <c r="BF15" s="95" t="str">
        <f t="shared" si="59"/>
        <v>-</v>
      </c>
      <c r="BG15" s="95" t="str">
        <f t="shared" si="59"/>
        <v>-</v>
      </c>
      <c r="BH15" s="95" t="str">
        <f t="shared" si="59"/>
        <v>-</v>
      </c>
      <c r="BJ15" s="143">
        <f t="shared" si="65"/>
        <v>-0.166155006476917</v>
      </c>
      <c r="BK15" s="143">
        <f t="shared" si="65"/>
        <v>-0.19314963160306398</v>
      </c>
      <c r="BL15" s="143" t="str">
        <f t="shared" si="65"/>
        <v>-</v>
      </c>
      <c r="BM15" s="143" t="str">
        <f t="shared" si="66"/>
        <v>-</v>
      </c>
      <c r="BN15" s="143" t="str">
        <f t="shared" si="66"/>
        <v>-</v>
      </c>
      <c r="BO15" s="143">
        <f t="shared" si="66"/>
        <v>-5.8176505972329706E-2</v>
      </c>
      <c r="BP15" s="143" t="str">
        <f t="shared" si="66"/>
        <v>-</v>
      </c>
      <c r="BQ15" s="143" t="str">
        <f t="shared" si="61"/>
        <v>-</v>
      </c>
      <c r="BR15" s="143" t="str">
        <f t="shared" si="61"/>
        <v>-</v>
      </c>
      <c r="BS15" s="143" t="str">
        <f t="shared" si="61"/>
        <v>-</v>
      </c>
      <c r="BT15" s="143" t="str">
        <f t="shared" ref="BT15:BV62" si="68">IFERROR(IF(BF15&lt;&gt;"-",BF15/AR15,"-"),"-")</f>
        <v>-</v>
      </c>
      <c r="BU15" s="143" t="str">
        <f t="shared" si="68"/>
        <v>-</v>
      </c>
      <c r="BV15" s="143" t="str">
        <f t="shared" si="68"/>
        <v>-</v>
      </c>
      <c r="BX15" s="112">
        <f t="shared" si="31"/>
        <v>1578.1677952038431</v>
      </c>
      <c r="BY15" s="95">
        <f>IFERROR(SUMIFS('01. KE30'!$R:$R,'01. KE30'!$F:$F,'05. BC BH THEO SKU-USD'!$D15,'01. KE30'!$A:$A,'05. BC BH THEO SKU-USD'!BY$4)/CM15/'02. Tỷ giá'!B$5," -")</f>
        <v>1713.9379949636875</v>
      </c>
      <c r="BZ15" s="95" t="str">
        <f>IFERROR(SUMIFS('01. KE30'!$R:$R,'01. KE30'!$F:$F,'05. BC BH THEO SKU-USD'!$D15,'01. KE30'!$A:$A,'05. BC BH THEO SKU-USD'!BZ$4)/CN15/'02. Tỷ giá'!C$5," -")</f>
        <v xml:space="preserve"> -</v>
      </c>
      <c r="CA15" s="95" t="str">
        <f>IFERROR(SUMIFS('01. KE30'!$R:$R,'01. KE30'!$F:$F,'05. BC BH THEO SKU-USD'!$D15,'01. KE30'!$A:$A,'05. BC BH THEO SKU-USD'!CA$4)/CO15/'02. Tỷ giá'!D$5," -")</f>
        <v xml:space="preserve"> -</v>
      </c>
      <c r="CB15" s="95" t="str">
        <f>IFERROR(SUMIFS('01. KE30'!$R:$R,'01. KE30'!$F:$F,'05. BC BH THEO SKU-USD'!$D15,'01. KE30'!$A:$A,'05. BC BH THEO SKU-USD'!CB$4)/CP15/'02. Tỷ giá'!E$5," -")</f>
        <v xml:space="preserve"> -</v>
      </c>
      <c r="CC15" s="95">
        <f>IFERROR(SUMIFS('01. KE30'!$R:$R,'01. KE30'!$F:$F,'05. BC BH THEO SKU-USD'!$D15,'01. KE30'!$A:$A,'05. BC BH THEO SKU-USD'!CC$4)/CQ15/'02. Tỷ giá'!F$5," -")</f>
        <v>1442.3975954439989</v>
      </c>
      <c r="CD15" s="95" t="str">
        <f>IFERROR(SUMIFS('01. KE30'!$R:$R,'01. KE30'!$F:$F,'05. BC BH THEO SKU-USD'!$D15,'01. KE30'!$A:$A,'05. BC BH THEO SKU-USD'!CD$4)/CR15/'02. Tỷ giá'!G$5," -")</f>
        <v xml:space="preserve"> -</v>
      </c>
      <c r="CE15" s="95" t="str">
        <f>IFERROR(SUMIFS('01. KE30'!$R:$R,'01. KE30'!$F:$F,'05. BC BH THEO SKU-USD'!$D15,'01. KE30'!$A:$A,'05. BC BH THEO SKU-USD'!CE$4)/CS15/'02. Tỷ giá'!H$5," -")</f>
        <v xml:space="preserve"> -</v>
      </c>
      <c r="CF15" s="95" t="str">
        <f>IFERROR(SUMIFS('01. KE30'!$R:$R,'01. KE30'!$F:$F,'05. BC BH THEO SKU-USD'!$D15,'01. KE30'!$A:$A,'05. BC BH THEO SKU-USD'!CF$4)/CT15/'02. Tỷ giá'!I$5," -")</f>
        <v xml:space="preserve"> -</v>
      </c>
      <c r="CG15" s="95" t="str">
        <f>IFERROR(SUMIFS('01. KE30'!$R:$R,'01. KE30'!$F:$F,'05. BC BH THEO SKU-USD'!$D15,'01. KE30'!$A:$A,'05. BC BH THEO SKU-USD'!CG$4)/CU15/'02. Tỷ giá'!J$5," -")</f>
        <v xml:space="preserve"> -</v>
      </c>
      <c r="CH15" s="95" t="str">
        <f>IFERROR(SUMIFS('01. KE30'!$R:$R,'01. KE30'!$F:$F,'05. BC BH THEO SKU-USD'!$D15,'01. KE30'!$A:$A,'05. BC BH THEO SKU-USD'!CH$4)/CV15/'02. Tỷ giá'!K$5," -")</f>
        <v xml:space="preserve"> -</v>
      </c>
      <c r="CI15" s="95" t="str">
        <f>IFERROR(SUMIFS('01. KE30'!$R:$R,'01. KE30'!$F:$F,'05. BC BH THEO SKU-USD'!$D15,'01. KE30'!$A:$A,'05. BC BH THEO SKU-USD'!CI$4)/CW15/'02. Tỷ giá'!L$5," -")</f>
        <v xml:space="preserve"> -</v>
      </c>
      <c r="CJ15" s="95" t="str">
        <f>IFERROR(SUMIFS('01. KE30'!$R:$R,'01. KE30'!$F:$F,'05. BC BH THEO SKU-USD'!$D15,'01. KE30'!$A:$A,'05. BC BH THEO SKU-USD'!CJ$4)/CX15/'02. Tỷ giá'!M$5," -")</f>
        <v xml:space="preserve"> -</v>
      </c>
      <c r="CL15" s="120">
        <f t="shared" ref="CL15" si="69">SUM(CM15:CX15)</f>
        <v>2.75</v>
      </c>
      <c r="CM15" s="114">
        <f>SUMIFS('01. KE30'!$I:$I,'01. KE30'!$F:$F,'05. BC BH THEO SKU-USD'!$D15,'01. KE30'!$A:$A,'05. BC BH THEO SKU-USD'!CM$4)/1000</f>
        <v>2.2000000000000002</v>
      </c>
      <c r="CN15" s="114">
        <f>SUMIFS('01. KE30'!$I:$I,'01. KE30'!$F:$F,'05. BC BH THEO SKU-USD'!$D15,'01. KE30'!$A:$A,'05. BC BH THEO SKU-USD'!CN$4)/1000</f>
        <v>0</v>
      </c>
      <c r="CO15" s="114">
        <f>SUMIFS('01. KE30'!$I:$I,'01. KE30'!$F:$F,'05. BC BH THEO SKU-USD'!$D15,'01. KE30'!$A:$A,'05. BC BH THEO SKU-USD'!CO$4)/1000</f>
        <v>0</v>
      </c>
      <c r="CP15" s="114">
        <f>SUMIFS('01. KE30'!$I:$I,'01. KE30'!$F:$F,'05. BC BH THEO SKU-USD'!$D15,'01. KE30'!$A:$A,'05. BC BH THEO SKU-USD'!CP$4)/1000</f>
        <v>0</v>
      </c>
      <c r="CQ15" s="114">
        <f>SUMIFS('01. KE30'!$I:$I,'01. KE30'!$F:$F,'05. BC BH THEO SKU-USD'!$D15,'01. KE30'!$A:$A,'05. BC BH THEO SKU-USD'!CQ$4)/1000</f>
        <v>0.55000000000000004</v>
      </c>
      <c r="CR15" s="114">
        <f>SUMIFS('01. KE30'!$I:$I,'01. KE30'!$F:$F,'05. BC BH THEO SKU-USD'!$D15,'01. KE30'!$A:$A,'05. BC BH THEO SKU-USD'!CR$4)/1000</f>
        <v>0</v>
      </c>
      <c r="CS15" s="114">
        <f>SUMIFS('01. KE30'!$I:$I,'01. KE30'!$F:$F,'05. BC BH THEO SKU-USD'!$D15,'01. KE30'!$A:$A,'05. BC BH THEO SKU-USD'!CS$4)/1000</f>
        <v>0</v>
      </c>
      <c r="CT15" s="114">
        <f>SUMIFS('01. KE30'!$I:$I,'01. KE30'!$F:$F,'05. BC BH THEO SKU-USD'!$D15,'01. KE30'!$A:$A,'05. BC BH THEO SKU-USD'!CT$4)/1000</f>
        <v>0</v>
      </c>
      <c r="CU15" s="114">
        <f>SUMIFS('01. KE30'!$I:$I,'01. KE30'!$F:$F,'05. BC BH THEO SKU-USD'!$D15,'01. KE30'!$A:$A,'05. BC BH THEO SKU-USD'!CU$4)/1000</f>
        <v>0</v>
      </c>
      <c r="CV15" s="114">
        <f>SUMIFS('01. KE30'!$I:$I,'01. KE30'!$F:$F,'05. BC BH THEO SKU-USD'!$D15,'01. KE30'!$A:$A,'05. BC BH THEO SKU-USD'!CV$4)/1000</f>
        <v>0</v>
      </c>
      <c r="CW15" s="114">
        <f>SUMIFS('01. KE30'!$I:$I,'01. KE30'!$F:$F,'05. BC BH THEO SKU-USD'!$D15,'01. KE30'!$A:$A,'05. BC BH THEO SKU-USD'!CW$4)/1000</f>
        <v>0</v>
      </c>
      <c r="CX15" s="114">
        <f>SUMIFS('01. KE30'!$I:$I,'01. KE30'!$F:$F,'05. BC BH THEO SKU-USD'!$D15,'01. KE30'!$A:$A,'05. BC BH THEO SKU-USD'!CX$4)/1000</f>
        <v>0</v>
      </c>
      <c r="CZ15" s="120">
        <f t="shared" si="63"/>
        <v>3482.6765155798303</v>
      </c>
      <c r="DA15" s="54">
        <f t="shared" si="40"/>
        <v>2736.7523083099154</v>
      </c>
      <c r="DB15" s="54" t="str">
        <f t="shared" si="41"/>
        <v xml:space="preserve"> -</v>
      </c>
      <c r="DC15" s="54" t="str">
        <f t="shared" si="42"/>
        <v xml:space="preserve"> -</v>
      </c>
      <c r="DD15" s="54" t="str">
        <f t="shared" si="43"/>
        <v xml:space="preserve"> -</v>
      </c>
      <c r="DE15" s="54">
        <f t="shared" si="44"/>
        <v>745.92420726991497</v>
      </c>
      <c r="DF15" s="54" t="str">
        <f t="shared" si="45"/>
        <v xml:space="preserve"> -</v>
      </c>
      <c r="DG15" s="54" t="str">
        <f t="shared" si="46"/>
        <v xml:space="preserve"> -</v>
      </c>
      <c r="DH15" s="54" t="str">
        <f t="shared" si="47"/>
        <v xml:space="preserve"> -</v>
      </c>
      <c r="DI15" s="54" t="str">
        <f t="shared" si="48"/>
        <v xml:space="preserve"> -</v>
      </c>
      <c r="DJ15" s="54" t="str">
        <f t="shared" si="49"/>
        <v xml:space="preserve"> -</v>
      </c>
      <c r="DK15" s="54" t="str">
        <f t="shared" si="50"/>
        <v xml:space="preserve"> -</v>
      </c>
      <c r="DL15" s="54" t="str">
        <f t="shared" si="51"/>
        <v xml:space="preserve"> -</v>
      </c>
      <c r="DN15" s="112">
        <f t="shared" si="64"/>
        <v>-1261.9560920629035</v>
      </c>
      <c r="DO15" s="114">
        <f>IFERROR(SUMIFS('01. KE30'!$X:$X,'01. KE30'!$F:$F,'05. BC BH THEO SKU-USD'!$D15,'01. KE30'!$A:$A,'05. BC BH THEO SKU-USD'!DO$4)-SUMIFS('01. KE30'!$AA:$AA,'01. KE30'!$F:$F,'05. BC BH THEO SKU-USD'!$D15,'01. KE30'!$A:$A,'05. BC BH THEO SKU-USD'!DO$4),"-")</f>
        <v>-1214.561621838619</v>
      </c>
      <c r="DP15" s="114">
        <f>IFERROR(SUMIFS('01. KE30'!$X:$X,'01. KE30'!$F:$F,'05. BC BH THEO SKU-USD'!$D15,'01. KE30'!$A:$A,'05. BC BH THEO SKU-USD'!DP$4)-SUMIFS('01. KE30'!$AA:$AA,'01. KE30'!$F:$F,'05. BC BH THEO SKU-USD'!$D15,'01. KE30'!$A:$A,'05. BC BH THEO SKU-USD'!DP$4),"-")</f>
        <v>0</v>
      </c>
      <c r="DQ15" s="114">
        <f>IFERROR(SUMIFS('01. KE30'!$X:$X,'01. KE30'!$F:$F,'05. BC BH THEO SKU-USD'!$D15,'01. KE30'!$A:$A,'05. BC BH THEO SKU-USD'!DQ$4)-SUMIFS('01. KE30'!$AA:$AA,'01. KE30'!$F:$F,'05. BC BH THEO SKU-USD'!$D15,'01. KE30'!$A:$A,'05. BC BH THEO SKU-USD'!DQ$4),"-")</f>
        <v>0</v>
      </c>
      <c r="DR15" s="114">
        <f>IFERROR(SUMIFS('01. KE30'!$X:$X,'01. KE30'!$F:$F,'05. BC BH THEO SKU-USD'!$D15,'01. KE30'!$A:$A,'05. BC BH THEO SKU-USD'!DR$4)-SUMIFS('01. KE30'!$AA:$AA,'01. KE30'!$F:$F,'05. BC BH THEO SKU-USD'!$D15,'01. KE30'!$A:$A,'05. BC BH THEO SKU-USD'!DR$4),"-")</f>
        <v>0</v>
      </c>
      <c r="DS15" s="114">
        <f>IFERROR(SUMIFS('01. KE30'!$X:$X,'01. KE30'!$F:$F,'05. BC BH THEO SKU-USD'!$D15,'01. KE30'!$A:$A,'05. BC BH THEO SKU-USD'!DS$4)-SUMIFS('01. KE30'!$AA:$AA,'01. KE30'!$F:$F,'05. BC BH THEO SKU-USD'!$D15,'01. KE30'!$A:$A,'05. BC BH THEO SKU-USD'!DS$4),"-")</f>
        <v>-47.394470224284532</v>
      </c>
      <c r="DT15" s="114">
        <f>IFERROR(SUMIFS('01. KE30'!$X:$X,'01. KE30'!$F:$F,'05. BC BH THEO SKU-USD'!$D15,'01. KE30'!$A:$A,'05. BC BH THEO SKU-USD'!DT$4)-SUMIFS('01. KE30'!$AA:$AA,'01. KE30'!$F:$F,'05. BC BH THEO SKU-USD'!$D15,'01. KE30'!$A:$A,'05. BC BH THEO SKU-USD'!DT$4),"-")</f>
        <v>0</v>
      </c>
      <c r="DU15" s="114">
        <f>IFERROR(SUMIFS('01. KE30'!$X:$X,'01. KE30'!$F:$F,'05. BC BH THEO SKU-USD'!$D15,'01. KE30'!$A:$A,'05. BC BH THEO SKU-USD'!DU$4)-SUMIFS('01. KE30'!$AA:$AA,'01. KE30'!$F:$F,'05. BC BH THEO SKU-USD'!$D15,'01. KE30'!$A:$A,'05. BC BH THEO SKU-USD'!DU$4),"-")</f>
        <v>0</v>
      </c>
      <c r="DV15" s="114">
        <f>IFERROR(SUMIFS('01. KE30'!$X:$X,'01. KE30'!$F:$F,'05. BC BH THEO SKU-USD'!$D15,'01. KE30'!$A:$A,'05. BC BH THEO SKU-USD'!DV$4)-SUMIFS('01. KE30'!$AA:$AA,'01. KE30'!$F:$F,'05. BC BH THEO SKU-USD'!$D15,'01. KE30'!$A:$A,'05. BC BH THEO SKU-USD'!DV$4),"-")</f>
        <v>0</v>
      </c>
      <c r="DW15" s="114">
        <f>IFERROR(SUMIFS('01. KE30'!$X:$X,'01. KE30'!$F:$F,'05. BC BH THEO SKU-USD'!$D15,'01. KE30'!$A:$A,'05. BC BH THEO SKU-USD'!DW$4)-SUMIFS('01. KE30'!$AA:$AA,'01. KE30'!$F:$F,'05. BC BH THEO SKU-USD'!$D15,'01. KE30'!$A:$A,'05. BC BH THEO SKU-USD'!DW$4),"-")</f>
        <v>0</v>
      </c>
      <c r="DX15" s="114">
        <f>IFERROR(SUMIFS('01. KE30'!$X:$X,'01. KE30'!$F:$F,'05. BC BH THEO SKU-USD'!$D15,'01. KE30'!$A:$A,'05. BC BH THEO SKU-USD'!DX$4)-SUMIFS('01. KE30'!$AA:$AA,'01. KE30'!$F:$F,'05. BC BH THEO SKU-USD'!$D15,'01. KE30'!$A:$A,'05. BC BH THEO SKU-USD'!DX$4),"-")</f>
        <v>0</v>
      </c>
      <c r="DY15" s="114">
        <f>IFERROR(SUMIFS('01. KE30'!$X:$X,'01. KE30'!$F:$F,'05. BC BH THEO SKU-USD'!$D15,'01. KE30'!$A:$A,'05. BC BH THEO SKU-USD'!DY$4)-SUMIFS('01. KE30'!$AA:$AA,'01. KE30'!$F:$F,'05. BC BH THEO SKU-USD'!$D15,'01. KE30'!$A:$A,'05. BC BH THEO SKU-USD'!DY$4),"-")</f>
        <v>0</v>
      </c>
      <c r="DZ15" s="114">
        <f>IFERROR(SUMIFS('01. KE30'!$X:$X,'01. KE30'!$F:$F,'05. BC BH THEO SKU-USD'!$D15,'01. KE30'!$A:$A,'05. BC BH THEO SKU-USD'!DZ$4)-SUMIFS('01. KE30'!$AA:$AA,'01. KE30'!$F:$F,'05. BC BH THEO SKU-USD'!$D15,'01. KE30'!$A:$A,'05. BC BH THEO SKU-USD'!DZ$4),"-")</f>
        <v>0</v>
      </c>
      <c r="EB15" s="571">
        <f t="shared" si="18"/>
        <v>-0.36235237077503901</v>
      </c>
      <c r="EC15" s="572">
        <f t="shared" si="18"/>
        <v>-0.44379669221460272</v>
      </c>
      <c r="ED15" s="573">
        <f t="shared" si="19"/>
        <v>0</v>
      </c>
      <c r="EE15" s="572">
        <f t="shared" si="20"/>
        <v>0</v>
      </c>
      <c r="EF15" s="572">
        <f t="shared" si="21"/>
        <v>0</v>
      </c>
      <c r="EG15" s="572">
        <f t="shared" si="22"/>
        <v>-6.3537916804910305E-2</v>
      </c>
      <c r="EH15" s="572">
        <f t="shared" si="23"/>
        <v>0</v>
      </c>
      <c r="EI15" s="572">
        <f t="shared" si="24"/>
        <v>0</v>
      </c>
      <c r="EJ15" s="572">
        <f t="shared" si="25"/>
        <v>0</v>
      </c>
      <c r="EK15" s="572">
        <f t="shared" si="26"/>
        <v>0</v>
      </c>
      <c r="EL15" s="572">
        <f t="shared" si="27"/>
        <v>0</v>
      </c>
      <c r="EM15" s="572">
        <f t="shared" si="28"/>
        <v>0</v>
      </c>
      <c r="EN15" s="572">
        <f t="shared" si="29"/>
        <v>0</v>
      </c>
    </row>
    <row r="16" spans="1:144" ht="15.5" outlineLevel="1" x14ac:dyDescent="0.35">
      <c r="A16" s="27">
        <v>11</v>
      </c>
      <c r="B16" s="27" t="s">
        <v>166</v>
      </c>
      <c r="C16" s="36" t="s">
        <v>922</v>
      </c>
      <c r="D16" s="459" t="s">
        <v>918</v>
      </c>
      <c r="E16" s="28" t="s">
        <v>921</v>
      </c>
      <c r="F16" s="92">
        <f t="shared" si="67"/>
        <v>1283.0970025224422</v>
      </c>
      <c r="G16" s="106" t="str">
        <f>IFERROR(SUMIFS('01. KE30'!$K:$K,'01. KE30'!$F:$F,'05. BC BH THEO SKU-USD'!$D16,'01. KE30'!$A:$A,'05. BC BH THEO SKU-USD'!G$4)/'05. BC BH THEO SKU-USD'!CM16/'02. Tỷ giá'!B$5,"-")</f>
        <v>-</v>
      </c>
      <c r="H16" s="106" t="str">
        <f>IFERROR(SUMIFS('01. KE30'!$K:$K,'01. KE30'!$F:$F,'05. BC BH THEO SKU-USD'!$D16,'01. KE30'!$A:$A,'05. BC BH THEO SKU-USD'!H$4)/'05. BC BH THEO SKU-USD'!CN16/'02. Tỷ giá'!C$5,"-")</f>
        <v>-</v>
      </c>
      <c r="I16" s="106" t="str">
        <f>IFERROR(SUMIFS('01. KE30'!$K:$K,'01. KE30'!$F:$F,'05. BC BH THEO SKU-USD'!$D16,'01. KE30'!$A:$A,'05. BC BH THEO SKU-USD'!I$4)/'05. BC BH THEO SKU-USD'!CO16/'02. Tỷ giá'!D$5,"-")</f>
        <v>-</v>
      </c>
      <c r="J16" s="106" t="str">
        <f>IFERROR(SUMIFS('01. KE30'!$K:$K,'01. KE30'!$F:$F,'05. BC BH THEO SKU-USD'!$D16,'01. KE30'!$A:$A,'05. BC BH THEO SKU-USD'!J$4)/'05. BC BH THEO SKU-USD'!CP16/'02. Tỷ giá'!E$5,"-")</f>
        <v>-</v>
      </c>
      <c r="K16" s="106" t="str">
        <f>IFERROR(SUMIFS('01. KE30'!$K:$K,'01. KE30'!$F:$F,'05. BC BH THEO SKU-USD'!$D16,'01. KE30'!$A:$A,'05. BC BH THEO SKU-USD'!K$4)/'05. BC BH THEO SKU-USD'!CQ16/'02. Tỷ giá'!F$5,"-")</f>
        <v>-</v>
      </c>
      <c r="L16" s="106">
        <f>IFERROR(SUMIFS('01. KE30'!$K:$K,'01. KE30'!$F:$F,'05. BC BH THEO SKU-USD'!$D16,'01. KE30'!$A:$A,'05. BC BH THEO SKU-USD'!L$4)/'05. BC BH THEO SKU-USD'!CR16/'02. Tỷ giá'!G$5,"-")</f>
        <v>1263.5030864197531</v>
      </c>
      <c r="M16" s="106">
        <f>IFERROR(SUMIFS('01. KE30'!$K:$K,'01. KE30'!$F:$F,'05. BC BH THEO SKU-USD'!$D16,'01. KE30'!$A:$A,'05. BC BH THEO SKU-USD'!M$4)/'05. BC BH THEO SKU-USD'!CS16/'02. Tỷ giá'!H$5,"-")</f>
        <v>1306.1851709565885</v>
      </c>
      <c r="N16" s="106">
        <f>IFERROR(SUMIFS('01. KE30'!$K:$K,'01. KE30'!$F:$F,'05. BC BH THEO SKU-USD'!$D16,'01. KE30'!$A:$A,'05. BC BH THEO SKU-USD'!N$4)/'05. BC BH THEO SKU-USD'!CT16/'02. Tỷ giá'!I$5,"-")</f>
        <v>1279.6027501909853</v>
      </c>
      <c r="O16" s="106" t="str">
        <f>IFERROR(SUMIFS('01. KE30'!$K:$K,'01. KE30'!$F:$F,'05. BC BH THEO SKU-USD'!$D16,'01. KE30'!$A:$A,'05. BC BH THEO SKU-USD'!O$4)/'05. BC BH THEO SKU-USD'!CU16/'02. Tỷ giá'!J$5,"-")</f>
        <v>-</v>
      </c>
      <c r="P16" s="106" t="str">
        <f>IFERROR(SUMIFS('01. KE30'!$K:$K,'01. KE30'!$F:$F,'05. BC BH THEO SKU-USD'!$D16,'01. KE30'!$A:$A,'05. BC BH THEO SKU-USD'!P$4)/'05. BC BH THEO SKU-USD'!CV16/'02. Tỷ giá'!K$5,"-")</f>
        <v>-</v>
      </c>
      <c r="Q16" s="106" t="str">
        <f>IFERROR(SUMIFS('01. KE30'!$K:$K,'01. KE30'!$F:$F,'05. BC BH THEO SKU-USD'!$D16,'01. KE30'!$A:$A,'05. BC BH THEO SKU-USD'!Q$4)/'05. BC BH THEO SKU-USD'!CW16/'02. Tỷ giá'!L$5,"-")</f>
        <v>-</v>
      </c>
      <c r="R16" s="106" t="str">
        <f>IFERROR(SUMIFS('01. KE30'!$K:$K,'01. KE30'!$F:$F,'05. BC BH THEO SKU-USD'!$D16,'01. KE30'!$A:$A,'05. BC BH THEO SKU-USD'!R$4)/'05. BC BH THEO SKU-USD'!CX16/'02. Tỷ giá'!M$5,"-")</f>
        <v>-</v>
      </c>
      <c r="T16" s="92">
        <f t="shared" si="35"/>
        <v>1276.9462083365354</v>
      </c>
      <c r="U16" s="147" t="str">
        <f>IFERROR(SUMIFS('01. KE30'!$O:$O,'01. KE30'!$F:$F,'05. BC BH THEO SKU-USD'!$D16,'01. KE30'!$A:$A,'05. BC BH THEO SKU-USD'!G$4)/'05. BC BH THEO SKU-USD'!CM16/'02. Tỷ giá'!B$5,"-")</f>
        <v>-</v>
      </c>
      <c r="V16" s="147" t="str">
        <f>IFERROR(SUMIFS('01. KE30'!$O:$O,'01. KE30'!$F:$F,'05. BC BH THEO SKU-USD'!$D16,'01. KE30'!$A:$A,'05. BC BH THEO SKU-USD'!H$4)/'05. BC BH THEO SKU-USD'!CN16/'02. Tỷ giá'!C$5,"-")</f>
        <v>-</v>
      </c>
      <c r="W16" s="147" t="str">
        <f>IFERROR(SUMIFS('01. KE30'!$O:$O,'01. KE30'!$F:$F,'05. BC BH THEO SKU-USD'!$D16,'01. KE30'!$A:$A,'05. BC BH THEO SKU-USD'!I$4)/'05. BC BH THEO SKU-USD'!CO16/'02. Tỷ giá'!D$5,"-")</f>
        <v>-</v>
      </c>
      <c r="X16" s="147" t="str">
        <f>IFERROR(SUMIFS('01. KE30'!$O:$O,'01. KE30'!$F:$F,'05. BC BH THEO SKU-USD'!$D16,'01. KE30'!$A:$A,'05. BC BH THEO SKU-USD'!J$4)/'05. BC BH THEO SKU-USD'!CP16/'02. Tỷ giá'!E$5,"-")</f>
        <v>-</v>
      </c>
      <c r="Y16" s="147" t="str">
        <f>IFERROR(SUMIFS('01. KE30'!$O:$O,'01. KE30'!$F:$F,'05. BC BH THEO SKU-USD'!$D16,'01. KE30'!$A:$A,'05. BC BH THEO SKU-USD'!K$4)/'05. BC BH THEO SKU-USD'!CQ16/'02. Tỷ giá'!F$5,"-")</f>
        <v>-</v>
      </c>
      <c r="Z16" s="147">
        <f>IFERROR(SUMIFS('01. KE30'!$O:$O,'01. KE30'!$F:$F,'05. BC BH THEO SKU-USD'!$D16,'01. KE30'!$A:$A,'05. BC BH THEO SKU-USD'!L$4)/'05. BC BH THEO SKU-USD'!CR16/'02. Tỷ giá'!G$5,"-")</f>
        <v>1263.5030864197531</v>
      </c>
      <c r="AA16" s="147">
        <f>IFERROR(SUMIFS('01. KE30'!$O:$O,'01. KE30'!$F:$F,'05. BC BH THEO SKU-USD'!$D16,'01. KE30'!$A:$A,'05. BC BH THEO SKU-USD'!M$4)/'05. BC BH THEO SKU-USD'!CS16/'02. Tỷ giá'!H$5,"-")</f>
        <v>1306.1851709565885</v>
      </c>
      <c r="AB16" s="147">
        <f>IFERROR(SUMIFS('01. KE30'!$O:$O,'01. KE30'!$F:$F,'05. BC BH THEO SKU-USD'!$D16,'01. KE30'!$A:$A,'05. BC BH THEO SKU-USD'!N$4)/'05. BC BH THEO SKU-USD'!CT16/'02. Tỷ giá'!I$5,"-")</f>
        <v>1279.6027501909853</v>
      </c>
      <c r="AC16" s="147" t="str">
        <f>IFERROR(SUMIFS('01. KE30'!$O:$O,'01. KE30'!$F:$F,'05. BC BH THEO SKU-USD'!$D16,'01. KE30'!$A:$A,'05. BC BH THEO SKU-USD'!O$4)/'05. BC BH THEO SKU-USD'!CU16/'02. Tỷ giá'!J$5,"-")</f>
        <v>-</v>
      </c>
      <c r="AD16" s="147" t="str">
        <f>IFERROR(SUMIFS('01. KE30'!$O:$O,'01. KE30'!$F:$F,'05. BC BH THEO SKU-USD'!$D16,'01. KE30'!$A:$A,'05. BC BH THEO SKU-USD'!P$4)/'05. BC BH THEO SKU-USD'!CV16/'02. Tỷ giá'!K$5,"-")</f>
        <v>-</v>
      </c>
      <c r="AE16" s="147" t="str">
        <f>IFERROR(SUMIFS('01. KE30'!$O:$O,'01. KE30'!$F:$F,'05. BC BH THEO SKU-USD'!$D16,'01. KE30'!$A:$A,'05. BC BH THEO SKU-USD'!Q$4)/'05. BC BH THEO SKU-USD'!CW16/'02. Tỷ giá'!L$5,"-")</f>
        <v>-</v>
      </c>
      <c r="AF16" s="147" t="str">
        <f>IFERROR(SUMIFS('01. KE30'!$O:$O,'01. KE30'!$F:$F,'05. BC BH THEO SKU-USD'!$D16,'01. KE30'!$A:$A,'05. BC BH THEO SKU-USD'!R$4)/'05. BC BH THEO SKU-USD'!CX16/'02. Tỷ giá'!M$5,"-")</f>
        <v>-</v>
      </c>
      <c r="AH16" s="92">
        <f t="shared" ref="AH16:AH17" si="70">IFERROR(AVERAGE(AI16:AT16),"-")</f>
        <v>1260</v>
      </c>
      <c r="AI16" s="25"/>
      <c r="AJ16" s="25"/>
      <c r="AK16" s="4"/>
      <c r="AL16" s="4"/>
      <c r="AM16" s="4"/>
      <c r="AN16" s="4"/>
      <c r="AO16" s="4">
        <v>1280</v>
      </c>
      <c r="AP16" s="4">
        <v>1250</v>
      </c>
      <c r="AQ16" s="25">
        <v>1250</v>
      </c>
      <c r="AR16" s="25"/>
      <c r="AS16" s="4"/>
      <c r="AT16" s="4"/>
      <c r="AV16" s="95">
        <f t="shared" ref="AV16:AV17" si="71">IF(F16&lt;&gt;"-",T16-AH16,"-")</f>
        <v>16.946208336535392</v>
      </c>
      <c r="AW16" s="95" t="str">
        <f t="shared" ref="AW16:AW17" si="72">IF(G16&lt;&gt;"-",U16-AI16,"-")</f>
        <v>-</v>
      </c>
      <c r="AX16" s="95" t="str">
        <f t="shared" ref="AX16:AX17" si="73">IF(H16&lt;&gt;"-",V16-AJ16,"-")</f>
        <v>-</v>
      </c>
      <c r="AY16" s="95" t="str">
        <f t="shared" ref="AY16:AY17" si="74">IF(I16&lt;&gt;"-",W16-AK16,"-")</f>
        <v>-</v>
      </c>
      <c r="AZ16" s="95" t="str">
        <f t="shared" ref="AZ16:AZ17" si="75">IF(J16&lt;&gt;"-",X16-AL16,"-")</f>
        <v>-</v>
      </c>
      <c r="BA16" s="95" t="str">
        <f t="shared" ref="BA16:BA17" si="76">IF(K16&lt;&gt;"-",Y16-AM16,"-")</f>
        <v>-</v>
      </c>
      <c r="BB16" s="95">
        <f t="shared" ref="BB16:BB17" si="77">IF(L16&lt;&gt;"-",Z16-AN16,"-")</f>
        <v>1263.5030864197531</v>
      </c>
      <c r="BC16" s="95">
        <f t="shared" ref="BC16:BC17" si="78">IF(M16&lt;&gt;"-",AA16-AO16,"-")</f>
        <v>26.185170956588536</v>
      </c>
      <c r="BD16" s="95">
        <f t="shared" ref="BD16:BD17" si="79">IF(N16&lt;&gt;"-",AB16-AP16,"-")</f>
        <v>29.602750190985262</v>
      </c>
      <c r="BE16" s="95" t="str">
        <f t="shared" ref="BE16:BE17" si="80">IF(O16&lt;&gt;"-",AC16-AQ16,"-")</f>
        <v>-</v>
      </c>
      <c r="BF16" s="95" t="str">
        <f t="shared" ref="BF16:BF17" si="81">IF(P16&lt;&gt;"-",AD16-AR16,"-")</f>
        <v>-</v>
      </c>
      <c r="BG16" s="95" t="str">
        <f t="shared" ref="BG16:BG17" si="82">IF(Q16&lt;&gt;"-",AE16-AS16,"-")</f>
        <v>-</v>
      </c>
      <c r="BH16" s="95" t="str">
        <f t="shared" ref="BH16:BH17" si="83">IF(R16&lt;&gt;"-",AF16-AT16,"-")</f>
        <v>-</v>
      </c>
      <c r="BJ16" s="143">
        <f t="shared" ref="BJ16:BJ17" si="84">IFERROR(IF(AV16&lt;&gt;"-",AV16/AH16,"-"),"-")</f>
        <v>1.344937169566301E-2</v>
      </c>
      <c r="BK16" s="143" t="str">
        <f t="shared" ref="BK16:BK17" si="85">IFERROR(IF(AW16&lt;&gt;"-",AW16/AI16,"-"),"-")</f>
        <v>-</v>
      </c>
      <c r="BL16" s="143" t="str">
        <f t="shared" ref="BL16:BL17" si="86">IFERROR(IF(AX16&lt;&gt;"-",AX16/AJ16,"-"),"-")</f>
        <v>-</v>
      </c>
      <c r="BM16" s="143" t="str">
        <f t="shared" ref="BM16:BM17" si="87">IFERROR(IF(AY16&lt;&gt;"-",AY16/AK16,"-"),"-")</f>
        <v>-</v>
      </c>
      <c r="BN16" s="143" t="str">
        <f t="shared" ref="BN16:BN17" si="88">IFERROR(IF(AZ16&lt;&gt;"-",AZ16/AL16,"-"),"-")</f>
        <v>-</v>
      </c>
      <c r="BO16" s="143" t="str">
        <f t="shared" ref="BO16:BO17" si="89">IFERROR(IF(BA16&lt;&gt;"-",BA16/AM16,"-"),"-")</f>
        <v>-</v>
      </c>
      <c r="BP16" s="143" t="str">
        <f t="shared" ref="BP16:BP17" si="90">IFERROR(IF(BB16&lt;&gt;"-",BB16/AN16,"-"),"-")</f>
        <v>-</v>
      </c>
      <c r="BQ16" s="143">
        <f t="shared" ref="BQ16:BQ17" si="91">IFERROR(IF(BC16&lt;&gt;"-",BC16/AO16,"-"),"-")</f>
        <v>2.0457164809834793E-2</v>
      </c>
      <c r="BR16" s="143">
        <f t="shared" ref="BR16:BR17" si="92">IFERROR(IF(BD16&lt;&gt;"-",BD16/AP16,"-"),"-")</f>
        <v>2.368220015278821E-2</v>
      </c>
      <c r="BS16" s="143" t="str">
        <f t="shared" ref="BS16:BS17" si="93">IFERROR(IF(BE16&lt;&gt;"-",BE16/AQ16,"-"),"-")</f>
        <v>-</v>
      </c>
      <c r="BT16" s="143" t="str">
        <f t="shared" ref="BT16:BT17" si="94">IFERROR(IF(BF16&lt;&gt;"-",BF16/AR16,"-"),"-")</f>
        <v>-</v>
      </c>
      <c r="BU16" s="143" t="str">
        <f t="shared" ref="BU16:BU17" si="95">IFERROR(IF(BG16&lt;&gt;"-",BG16/AS16,"-"),"-")</f>
        <v>-</v>
      </c>
      <c r="BV16" s="143" t="str">
        <f t="shared" ref="BV16:BV17" si="96">IFERROR(IF(BH16&lt;&gt;"-",BH16/AT16,"-"),"-")</f>
        <v>-</v>
      </c>
      <c r="BX16" s="112">
        <f t="shared" ref="BX16:BX17" si="97">IFERROR(AVERAGE(BY16:CJ16),"-")</f>
        <v>1136.7921798979944</v>
      </c>
      <c r="BY16" s="95" t="str">
        <f>IFERROR(SUMIFS('01. KE30'!$R:$R,'01. KE30'!$F:$F,'05. BC BH THEO SKU-USD'!$D16,'01. KE30'!$A:$A,'05. BC BH THEO SKU-USD'!BY$4)/CM16/'02. Tỷ giá'!B$5," -")</f>
        <v xml:space="preserve"> -</v>
      </c>
      <c r="BZ16" s="95" t="str">
        <f>IFERROR(SUMIFS('01. KE30'!$R:$R,'01. KE30'!$F:$F,'05. BC BH THEO SKU-USD'!$D16,'01. KE30'!$A:$A,'05. BC BH THEO SKU-USD'!BZ$4)/CN16/'02. Tỷ giá'!C$5," -")</f>
        <v xml:space="preserve"> -</v>
      </c>
      <c r="CA16" s="95" t="str">
        <f>IFERROR(SUMIFS('01. KE30'!$R:$R,'01. KE30'!$F:$F,'05. BC BH THEO SKU-USD'!$D16,'01. KE30'!$A:$A,'05. BC BH THEO SKU-USD'!CA$4)/CO16/'02. Tỷ giá'!D$5," -")</f>
        <v xml:space="preserve"> -</v>
      </c>
      <c r="CB16" s="95" t="str">
        <f>IFERROR(SUMIFS('01. KE30'!$R:$R,'01. KE30'!$F:$F,'05. BC BH THEO SKU-USD'!$D16,'01. KE30'!$A:$A,'05. BC BH THEO SKU-USD'!CB$4)/CP16/'02. Tỷ giá'!E$5," -")</f>
        <v xml:space="preserve"> -</v>
      </c>
      <c r="CC16" s="95" t="str">
        <f>IFERROR(SUMIFS('01. KE30'!$R:$R,'01. KE30'!$F:$F,'05. BC BH THEO SKU-USD'!$D16,'01. KE30'!$A:$A,'05. BC BH THEO SKU-USD'!CC$4)/CQ16/'02. Tỷ giá'!F$5," -")</f>
        <v xml:space="preserve"> -</v>
      </c>
      <c r="CD16" s="95">
        <f>IFERROR(SUMIFS('01. KE30'!$R:$R,'01. KE30'!$F:$F,'05. BC BH THEO SKU-USD'!$D16,'01. KE30'!$A:$A,'05. BC BH THEO SKU-USD'!CD$4)/CR16/'02. Tỷ giá'!G$5," -")</f>
        <v>1142.1820987654321</v>
      </c>
      <c r="CE16" s="95">
        <f>IFERROR(SUMIFS('01. KE30'!$R:$R,'01. KE30'!$F:$F,'05. BC BH THEO SKU-USD'!$D16,'01. KE30'!$A:$A,'05. BC BH THEO SKU-USD'!CE$4)/CS16/'02. Tỷ giá'!H$5," -")</f>
        <v>1137.3556153156615</v>
      </c>
      <c r="CF16" s="95">
        <f>IFERROR(SUMIFS('01. KE30'!$R:$R,'01. KE30'!$F:$F,'05. BC BH THEO SKU-USD'!$D16,'01. KE30'!$A:$A,'05. BC BH THEO SKU-USD'!CF$4)/CT16/'02. Tỷ giá'!I$5," -")</f>
        <v>1130.8388256128897</v>
      </c>
      <c r="CG16" s="95" t="str">
        <f>IFERROR(SUMIFS('01. KE30'!$R:$R,'01. KE30'!$F:$F,'05. BC BH THEO SKU-USD'!$D16,'01. KE30'!$A:$A,'05. BC BH THEO SKU-USD'!CG$4)/CU16/'02. Tỷ giá'!J$5," -")</f>
        <v xml:space="preserve"> -</v>
      </c>
      <c r="CH16" s="95" t="str">
        <f>IFERROR(SUMIFS('01. KE30'!$R:$R,'01. KE30'!$F:$F,'05. BC BH THEO SKU-USD'!$D16,'01. KE30'!$A:$A,'05. BC BH THEO SKU-USD'!CH$4)/CV16/'02. Tỷ giá'!K$5," -")</f>
        <v xml:space="preserve"> -</v>
      </c>
      <c r="CI16" s="95" t="str">
        <f>IFERROR(SUMIFS('01. KE30'!$R:$R,'01. KE30'!$F:$F,'05. BC BH THEO SKU-USD'!$D16,'01. KE30'!$A:$A,'05. BC BH THEO SKU-USD'!CI$4)/CW16/'02. Tỷ giá'!L$5," -")</f>
        <v xml:space="preserve"> -</v>
      </c>
      <c r="CJ16" s="95" t="str">
        <f>IFERROR(SUMIFS('01. KE30'!$R:$R,'01. KE30'!$F:$F,'05. BC BH THEO SKU-USD'!$D16,'01. KE30'!$A:$A,'05. BC BH THEO SKU-USD'!CJ$4)/CX16/'02. Tỷ giá'!M$5," -")</f>
        <v xml:space="preserve"> -</v>
      </c>
      <c r="CL16" s="120">
        <f t="shared" ref="CL16:CL17" si="98">SUM(CM16:CX16)</f>
        <v>2.7300000000000004</v>
      </c>
      <c r="CM16" s="114">
        <f>SUMIFS('01. KE30'!$I:$I,'01. KE30'!$F:$F,'05. BC BH THEO SKU-USD'!$D16,'01. KE30'!$A:$A,'05. BC BH THEO SKU-USD'!CM$4)/1000</f>
        <v>0</v>
      </c>
      <c r="CN16" s="114">
        <f>SUMIFS('01. KE30'!$I:$I,'01. KE30'!$F:$F,'05. BC BH THEO SKU-USD'!$D16,'01. KE30'!$A:$A,'05. BC BH THEO SKU-USD'!CN$4)/1000</f>
        <v>0</v>
      </c>
      <c r="CO16" s="114">
        <f>SUMIFS('01. KE30'!$I:$I,'01. KE30'!$F:$F,'05. BC BH THEO SKU-USD'!$D16,'01. KE30'!$A:$A,'05. BC BH THEO SKU-USD'!CO$4)/1000</f>
        <v>0</v>
      </c>
      <c r="CP16" s="114">
        <f>SUMIFS('01. KE30'!$I:$I,'01. KE30'!$F:$F,'05. BC BH THEO SKU-USD'!$D16,'01. KE30'!$A:$A,'05. BC BH THEO SKU-USD'!CP$4)/1000</f>
        <v>0</v>
      </c>
      <c r="CQ16" s="114">
        <f>SUMIFS('01. KE30'!$I:$I,'01. KE30'!$F:$F,'05. BC BH THEO SKU-USD'!$D16,'01. KE30'!$A:$A,'05. BC BH THEO SKU-USD'!CQ$4)/1000</f>
        <v>0</v>
      </c>
      <c r="CR16" s="114">
        <f>SUMIFS('01. KE30'!$I:$I,'01. KE30'!$F:$F,'05. BC BH THEO SKU-USD'!$D16,'01. KE30'!$A:$A,'05. BC BH THEO SKU-USD'!CR$4)/1000</f>
        <v>0.5</v>
      </c>
      <c r="CS16" s="114">
        <f>SUMIFS('01. KE30'!$I:$I,'01. KE30'!$F:$F,'05. BC BH THEO SKU-USD'!$D16,'01. KE30'!$A:$A,'05. BC BH THEO SKU-USD'!CS$4)/1000</f>
        <v>0.03</v>
      </c>
      <c r="CT16" s="114">
        <f>SUMIFS('01. KE30'!$I:$I,'01. KE30'!$F:$F,'05. BC BH THEO SKU-USD'!$D16,'01. KE30'!$A:$A,'05. BC BH THEO SKU-USD'!CT$4)/1000</f>
        <v>2.2000000000000002</v>
      </c>
      <c r="CU16" s="114">
        <f>SUMIFS('01. KE30'!$I:$I,'01. KE30'!$F:$F,'05. BC BH THEO SKU-USD'!$D16,'01. KE30'!$A:$A,'05. BC BH THEO SKU-USD'!CU$4)/1000</f>
        <v>0</v>
      </c>
      <c r="CV16" s="114">
        <f>SUMIFS('01. KE30'!$I:$I,'01. KE30'!$F:$F,'05. BC BH THEO SKU-USD'!$D16,'01. KE30'!$A:$A,'05. BC BH THEO SKU-USD'!CV$4)/1000</f>
        <v>0</v>
      </c>
      <c r="CW16" s="114">
        <f>SUMIFS('01. KE30'!$I:$I,'01. KE30'!$F:$F,'05. BC BH THEO SKU-USD'!$D16,'01. KE30'!$A:$A,'05. BC BH THEO SKU-USD'!CW$4)/1000</f>
        <v>0</v>
      </c>
      <c r="CX16" s="114">
        <f>SUMIFS('01. KE30'!$I:$I,'01. KE30'!$F:$F,'05. BC BH THEO SKU-USD'!$D16,'01. KE30'!$A:$A,'05. BC BH THEO SKU-USD'!CX$4)/1000</f>
        <v>0</v>
      </c>
      <c r="CZ16" s="120">
        <f t="shared" ref="CZ16:CZ17" si="99">SUM(DA16:DL16)</f>
        <v>3486.063148758742</v>
      </c>
      <c r="DA16" s="54" t="str">
        <f t="shared" ref="DA16:DA17" si="100">IFERROR(G16*CM16," -")</f>
        <v xml:space="preserve"> -</v>
      </c>
      <c r="DB16" s="54" t="str">
        <f t="shared" ref="DB16:DB17" si="101">IFERROR(H16*CN16," -")</f>
        <v xml:space="preserve"> -</v>
      </c>
      <c r="DC16" s="54" t="str">
        <f t="shared" ref="DC16:DC17" si="102">IFERROR(I16*CO16," -")</f>
        <v xml:space="preserve"> -</v>
      </c>
      <c r="DD16" s="54" t="str">
        <f t="shared" ref="DD16:DD17" si="103">IFERROR(J16*CP16," -")</f>
        <v xml:space="preserve"> -</v>
      </c>
      <c r="DE16" s="54" t="str">
        <f t="shared" ref="DE16:DE17" si="104">IFERROR(K16*CQ16," -")</f>
        <v xml:space="preserve"> -</v>
      </c>
      <c r="DF16" s="54">
        <f t="shared" ref="DF16:DF17" si="105">IFERROR(L16*CR16," -")</f>
        <v>631.75154320987656</v>
      </c>
      <c r="DG16" s="54">
        <f t="shared" ref="DG16:DG17" si="106">IFERROR(M16*CS16," -")</f>
        <v>39.185555128697658</v>
      </c>
      <c r="DH16" s="54">
        <f t="shared" ref="DH16:DH17" si="107">IFERROR(N16*CT16," -")</f>
        <v>2815.1260504201678</v>
      </c>
      <c r="DI16" s="54" t="str">
        <f t="shared" ref="DI16:DI17" si="108">IFERROR(O16*CU16," -")</f>
        <v xml:space="preserve"> -</v>
      </c>
      <c r="DJ16" s="54" t="str">
        <f t="shared" ref="DJ16:DJ17" si="109">IFERROR(P16*CV16," -")</f>
        <v xml:space="preserve"> -</v>
      </c>
      <c r="DK16" s="54" t="str">
        <f t="shared" ref="DK16:DK17" si="110">IFERROR(Q16*CW16," -")</f>
        <v xml:space="preserve"> -</v>
      </c>
      <c r="DL16" s="54" t="str">
        <f t="shared" ref="DL16:DL17" si="111">IFERROR(R16*CX16," -")</f>
        <v xml:space="preserve"> -</v>
      </c>
      <c r="DN16" s="112">
        <f t="shared" ref="DN16:DN17" si="112">SUM(DO16:DZ16)</f>
        <v>393.00601456819902</v>
      </c>
      <c r="DO16" s="114">
        <f>IFERROR(SUMIFS('01. KE30'!$X:$X,'01. KE30'!$F:$F,'05. BC BH THEO SKU-USD'!$D16,'01. KE30'!$A:$A,'05. BC BH THEO SKU-USD'!DO$4)-SUMIFS('01. KE30'!$AA:$AA,'01. KE30'!$F:$F,'05. BC BH THEO SKU-USD'!$D16,'01. KE30'!$A:$A,'05. BC BH THEO SKU-USD'!DO$4),"-")</f>
        <v>0</v>
      </c>
      <c r="DP16" s="114">
        <f>IFERROR(SUMIFS('01. KE30'!$X:$X,'01. KE30'!$F:$F,'05. BC BH THEO SKU-USD'!$D16,'01. KE30'!$A:$A,'05. BC BH THEO SKU-USD'!DP$4)-SUMIFS('01. KE30'!$AA:$AA,'01. KE30'!$F:$F,'05. BC BH THEO SKU-USD'!$D16,'01. KE30'!$A:$A,'05. BC BH THEO SKU-USD'!DP$4),"-")</f>
        <v>0</v>
      </c>
      <c r="DQ16" s="114">
        <f>IFERROR(SUMIFS('01. KE30'!$X:$X,'01. KE30'!$F:$F,'05. BC BH THEO SKU-USD'!$D16,'01. KE30'!$A:$A,'05. BC BH THEO SKU-USD'!DQ$4)-SUMIFS('01. KE30'!$AA:$AA,'01. KE30'!$F:$F,'05. BC BH THEO SKU-USD'!$D16,'01. KE30'!$A:$A,'05. BC BH THEO SKU-USD'!DQ$4),"-")</f>
        <v>0</v>
      </c>
      <c r="DR16" s="114">
        <f>IFERROR(SUMIFS('01. KE30'!$X:$X,'01. KE30'!$F:$F,'05. BC BH THEO SKU-USD'!$D16,'01. KE30'!$A:$A,'05. BC BH THEO SKU-USD'!DR$4)-SUMIFS('01. KE30'!$AA:$AA,'01. KE30'!$F:$F,'05. BC BH THEO SKU-USD'!$D16,'01. KE30'!$A:$A,'05. BC BH THEO SKU-USD'!DR$4),"-")</f>
        <v>0</v>
      </c>
      <c r="DS16" s="114">
        <f>IFERROR(SUMIFS('01. KE30'!$X:$X,'01. KE30'!$F:$F,'05. BC BH THEO SKU-USD'!$D16,'01. KE30'!$A:$A,'05. BC BH THEO SKU-USD'!DS$4)-SUMIFS('01. KE30'!$AA:$AA,'01. KE30'!$F:$F,'05. BC BH THEO SKU-USD'!$D16,'01. KE30'!$A:$A,'05. BC BH THEO SKU-USD'!DS$4),"-")</f>
        <v>0</v>
      </c>
      <c r="DT16" s="114">
        <f>IFERROR(SUMIFS('01. KE30'!$X:$X,'01. KE30'!$F:$F,'05. BC BH THEO SKU-USD'!$D16,'01. KE30'!$A:$A,'05. BC BH THEO SKU-USD'!DT$4)-SUMIFS('01. KE30'!$AA:$AA,'01. KE30'!$F:$F,'05. BC BH THEO SKU-USD'!$D16,'01. KE30'!$A:$A,'05. BC BH THEO SKU-USD'!DT$4),"-")</f>
        <v>60.660493827160508</v>
      </c>
      <c r="DU16" s="114">
        <f>IFERROR(SUMIFS('01. KE30'!$X:$X,'01. KE30'!$F:$F,'05. BC BH THEO SKU-USD'!$D16,'01. KE30'!$A:$A,'05. BC BH THEO SKU-USD'!DU$4)-SUMIFS('01. KE30'!$AA:$AA,'01. KE30'!$F:$F,'05. BC BH THEO SKU-USD'!$D16,'01. KE30'!$A:$A,'05. BC BH THEO SKU-USD'!DU$4),"-")</f>
        <v>5.0648866692278176</v>
      </c>
      <c r="DV16" s="114">
        <f>IFERROR(SUMIFS('01. KE30'!$X:$X,'01. KE30'!$F:$F,'05. BC BH THEO SKU-USD'!$D16,'01. KE30'!$A:$A,'05. BC BH THEO SKU-USD'!DV$4)-SUMIFS('01. KE30'!$AA:$AA,'01. KE30'!$F:$F,'05. BC BH THEO SKU-USD'!$D16,'01. KE30'!$A:$A,'05. BC BH THEO SKU-USD'!DV$4),"-")</f>
        <v>327.28063407181071</v>
      </c>
      <c r="DW16" s="114">
        <f>IFERROR(SUMIFS('01. KE30'!$X:$X,'01. KE30'!$F:$F,'05. BC BH THEO SKU-USD'!$D16,'01. KE30'!$A:$A,'05. BC BH THEO SKU-USD'!DW$4)-SUMIFS('01. KE30'!$AA:$AA,'01. KE30'!$F:$F,'05. BC BH THEO SKU-USD'!$D16,'01. KE30'!$A:$A,'05. BC BH THEO SKU-USD'!DW$4),"-")</f>
        <v>0</v>
      </c>
      <c r="DX16" s="114">
        <f>IFERROR(SUMIFS('01. KE30'!$X:$X,'01. KE30'!$F:$F,'05. BC BH THEO SKU-USD'!$D16,'01. KE30'!$A:$A,'05. BC BH THEO SKU-USD'!DX$4)-SUMIFS('01. KE30'!$AA:$AA,'01. KE30'!$F:$F,'05. BC BH THEO SKU-USD'!$D16,'01. KE30'!$A:$A,'05. BC BH THEO SKU-USD'!DX$4),"-")</f>
        <v>0</v>
      </c>
      <c r="DY16" s="114">
        <f>IFERROR(SUMIFS('01. KE30'!$X:$X,'01. KE30'!$F:$F,'05. BC BH THEO SKU-USD'!$D16,'01. KE30'!$A:$A,'05. BC BH THEO SKU-USD'!DY$4)-SUMIFS('01. KE30'!$AA:$AA,'01. KE30'!$F:$F,'05. BC BH THEO SKU-USD'!$D16,'01. KE30'!$A:$A,'05. BC BH THEO SKU-USD'!DY$4),"-")</f>
        <v>0</v>
      </c>
      <c r="DZ16" s="114">
        <f>IFERROR(SUMIFS('01. KE30'!$X:$X,'01. KE30'!$F:$F,'05. BC BH THEO SKU-USD'!$D16,'01. KE30'!$A:$A,'05. BC BH THEO SKU-USD'!DZ$4)-SUMIFS('01. KE30'!$AA:$AA,'01. KE30'!$F:$F,'05. BC BH THEO SKU-USD'!$D16,'01. KE30'!$A:$A,'05. BC BH THEO SKU-USD'!DZ$4),"-")</f>
        <v>0</v>
      </c>
      <c r="EB16" s="571">
        <f t="shared" ref="EB16:EB17" si="113">IFERROR(DN16/CZ16,0)</f>
        <v>0.11273634406425882</v>
      </c>
      <c r="EC16" s="572">
        <f t="shared" ref="EC16:EC17" si="114">IFERROR(DO16/DA16,0)</f>
        <v>0</v>
      </c>
      <c r="ED16" s="573">
        <f t="shared" ref="ED16:ED17" si="115">IFERROR(DP16/DB16,0)</f>
        <v>0</v>
      </c>
      <c r="EE16" s="572">
        <f t="shared" ref="EE16:EE17" si="116">IFERROR(DQ16/DC16,0)</f>
        <v>0</v>
      </c>
      <c r="EF16" s="572">
        <f t="shared" ref="EF16:EF17" si="117">IFERROR(DR16/DD16,0)</f>
        <v>0</v>
      </c>
      <c r="EG16" s="572">
        <f t="shared" ref="EG16:EG17" si="118">IFERROR(DS16/DE16,0)</f>
        <v>0</v>
      </c>
      <c r="EH16" s="572">
        <f t="shared" ref="EH16:EH17" si="119">IFERROR(DT16/DF16,0)</f>
        <v>9.6019541984732851E-2</v>
      </c>
      <c r="EI16" s="572">
        <f t="shared" ref="EI16:EI17" si="120">IFERROR(DU16/DG16,0)</f>
        <v>0.12925392156862753</v>
      </c>
      <c r="EJ16" s="572">
        <f t="shared" ref="EJ16:EJ17" si="121">IFERROR(DV16/DH16,0)</f>
        <v>0.11625789687924024</v>
      </c>
      <c r="EK16" s="572">
        <f t="shared" ref="EK16:EK17" si="122">IFERROR(DW16/DI16,0)</f>
        <v>0</v>
      </c>
      <c r="EL16" s="572">
        <f t="shared" ref="EL16:EL17" si="123">IFERROR(DX16/DJ16,0)</f>
        <v>0</v>
      </c>
      <c r="EM16" s="572">
        <f t="shared" ref="EM16:EM17" si="124">IFERROR(DY16/DK16,0)</f>
        <v>0</v>
      </c>
      <c r="EN16" s="572">
        <f t="shared" ref="EN16:EN17" si="125">IFERROR(DZ16/DL16,0)</f>
        <v>0</v>
      </c>
    </row>
    <row r="17" spans="1:144" ht="15.5" outlineLevel="1" x14ac:dyDescent="0.35">
      <c r="A17" s="27">
        <v>12</v>
      </c>
      <c r="B17" s="27" t="s">
        <v>166</v>
      </c>
      <c r="C17" s="36" t="s">
        <v>920</v>
      </c>
      <c r="D17" s="459" t="s">
        <v>919</v>
      </c>
      <c r="E17" s="28" t="s">
        <v>920</v>
      </c>
      <c r="F17" s="92">
        <f t="shared" si="67"/>
        <v>1261.5752314814815</v>
      </c>
      <c r="G17" s="106" t="str">
        <f>IFERROR(SUMIFS('01. KE30'!$K:$K,'01. KE30'!$F:$F,'05. BC BH THEO SKU-USD'!$D17,'01. KE30'!$A:$A,'05. BC BH THEO SKU-USD'!G$4)/'05. BC BH THEO SKU-USD'!CM17/'02. Tỷ giá'!B$5,"-")</f>
        <v>-</v>
      </c>
      <c r="H17" s="106" t="str">
        <f>IFERROR(SUMIFS('01. KE30'!$K:$K,'01. KE30'!$F:$F,'05. BC BH THEO SKU-USD'!$D17,'01. KE30'!$A:$A,'05. BC BH THEO SKU-USD'!H$4)/'05. BC BH THEO SKU-USD'!CN17/'02. Tỷ giá'!C$5,"-")</f>
        <v>-</v>
      </c>
      <c r="I17" s="106" t="str">
        <f>IFERROR(SUMIFS('01. KE30'!$K:$K,'01. KE30'!$F:$F,'05. BC BH THEO SKU-USD'!$D17,'01. KE30'!$A:$A,'05. BC BH THEO SKU-USD'!I$4)/'05. BC BH THEO SKU-USD'!CO17/'02. Tỷ giá'!D$5,"-")</f>
        <v>-</v>
      </c>
      <c r="J17" s="106" t="str">
        <f>IFERROR(SUMIFS('01. KE30'!$K:$K,'01. KE30'!$F:$F,'05. BC BH THEO SKU-USD'!$D17,'01. KE30'!$A:$A,'05. BC BH THEO SKU-USD'!J$4)/'05. BC BH THEO SKU-USD'!CP17/'02. Tỷ giá'!E$5,"-")</f>
        <v>-</v>
      </c>
      <c r="K17" s="106" t="str">
        <f>IFERROR(SUMIFS('01. KE30'!$K:$K,'01. KE30'!$F:$F,'05. BC BH THEO SKU-USD'!$D17,'01. KE30'!$A:$A,'05. BC BH THEO SKU-USD'!K$4)/'05. BC BH THEO SKU-USD'!CQ17/'02. Tỷ giá'!F$5,"-")</f>
        <v>-</v>
      </c>
      <c r="L17" s="106">
        <f>IFERROR(SUMIFS('01. KE30'!$K:$K,'01. KE30'!$F:$F,'05. BC BH THEO SKU-USD'!$D17,'01. KE30'!$A:$A,'05. BC BH THEO SKU-USD'!L$4)/'05. BC BH THEO SKU-USD'!CR17/'02. Tỷ giá'!G$5,"-")</f>
        <v>1261.5752314814815</v>
      </c>
      <c r="M17" s="106" t="str">
        <f>IFERROR(SUMIFS('01. KE30'!$K:$K,'01. KE30'!$F:$F,'05. BC BH THEO SKU-USD'!$D17,'01. KE30'!$A:$A,'05. BC BH THEO SKU-USD'!M$4)/'05. BC BH THEO SKU-USD'!CS17/'02. Tỷ giá'!H$5,"-")</f>
        <v>-</v>
      </c>
      <c r="N17" s="106" t="str">
        <f>IFERROR(SUMIFS('01. KE30'!$K:$K,'01. KE30'!$F:$F,'05. BC BH THEO SKU-USD'!$D17,'01. KE30'!$A:$A,'05. BC BH THEO SKU-USD'!N$4)/'05. BC BH THEO SKU-USD'!CT17/'02. Tỷ giá'!I$5,"-")</f>
        <v>-</v>
      </c>
      <c r="O17" s="106" t="str">
        <f>IFERROR(SUMIFS('01. KE30'!$K:$K,'01. KE30'!$F:$F,'05. BC BH THEO SKU-USD'!$D17,'01. KE30'!$A:$A,'05. BC BH THEO SKU-USD'!O$4)/'05. BC BH THEO SKU-USD'!CU17/'02. Tỷ giá'!J$5,"-")</f>
        <v>-</v>
      </c>
      <c r="P17" s="106" t="str">
        <f>IFERROR(SUMIFS('01. KE30'!$K:$K,'01. KE30'!$F:$F,'05. BC BH THEO SKU-USD'!$D17,'01. KE30'!$A:$A,'05. BC BH THEO SKU-USD'!P$4)/'05. BC BH THEO SKU-USD'!CV17/'02. Tỷ giá'!K$5,"-")</f>
        <v>-</v>
      </c>
      <c r="Q17" s="106" t="str">
        <f>IFERROR(SUMIFS('01. KE30'!$K:$K,'01. KE30'!$F:$F,'05. BC BH THEO SKU-USD'!$D17,'01. KE30'!$A:$A,'05. BC BH THEO SKU-USD'!Q$4)/'05. BC BH THEO SKU-USD'!CW17/'02. Tỷ giá'!L$5,"-")</f>
        <v>-</v>
      </c>
      <c r="R17" s="106" t="str">
        <f>IFERROR(SUMIFS('01. KE30'!$K:$K,'01. KE30'!$F:$F,'05. BC BH THEO SKU-USD'!$D17,'01. KE30'!$A:$A,'05. BC BH THEO SKU-USD'!R$4)/'05. BC BH THEO SKU-USD'!CX17/'02. Tỷ giá'!M$5,"-")</f>
        <v>-</v>
      </c>
      <c r="T17" s="92">
        <f t="shared" si="35"/>
        <v>1028.3296682098764</v>
      </c>
      <c r="U17" s="147" t="str">
        <f>IFERROR(SUMIFS('01. KE30'!$O:$O,'01. KE30'!$F:$F,'05. BC BH THEO SKU-USD'!$D17,'01. KE30'!$A:$A,'05. BC BH THEO SKU-USD'!G$4)/'05. BC BH THEO SKU-USD'!CM17/'02. Tỷ giá'!B$5,"-")</f>
        <v>-</v>
      </c>
      <c r="V17" s="147" t="str">
        <f>IFERROR(SUMIFS('01. KE30'!$O:$O,'01. KE30'!$F:$F,'05. BC BH THEO SKU-USD'!$D17,'01. KE30'!$A:$A,'05. BC BH THEO SKU-USD'!H$4)/'05. BC BH THEO SKU-USD'!CN17/'02. Tỷ giá'!C$5,"-")</f>
        <v>-</v>
      </c>
      <c r="W17" s="147" t="str">
        <f>IFERROR(SUMIFS('01. KE30'!$O:$O,'01. KE30'!$F:$F,'05. BC BH THEO SKU-USD'!$D17,'01. KE30'!$A:$A,'05. BC BH THEO SKU-USD'!I$4)/'05. BC BH THEO SKU-USD'!CO17/'02. Tỷ giá'!D$5,"-")</f>
        <v>-</v>
      </c>
      <c r="X17" s="147" t="str">
        <f>IFERROR(SUMIFS('01. KE30'!$O:$O,'01. KE30'!$F:$F,'05. BC BH THEO SKU-USD'!$D17,'01. KE30'!$A:$A,'05. BC BH THEO SKU-USD'!J$4)/'05. BC BH THEO SKU-USD'!CP17/'02. Tỷ giá'!E$5,"-")</f>
        <v>-</v>
      </c>
      <c r="Y17" s="147" t="str">
        <f>IFERROR(SUMIFS('01. KE30'!$O:$O,'01. KE30'!$F:$F,'05. BC BH THEO SKU-USD'!$D17,'01. KE30'!$A:$A,'05. BC BH THEO SKU-USD'!K$4)/'05. BC BH THEO SKU-USD'!CQ17/'02. Tỷ giá'!F$5,"-")</f>
        <v>-</v>
      </c>
      <c r="Z17" s="147">
        <f>IFERROR(SUMIFS('01. KE30'!$O:$O,'01. KE30'!$F:$F,'05. BC BH THEO SKU-USD'!$D17,'01. KE30'!$A:$A,'05. BC BH THEO SKU-USD'!L$4)/'05. BC BH THEO SKU-USD'!CR17/'02. Tỷ giá'!G$5,"-")</f>
        <v>1028.3296682098764</v>
      </c>
      <c r="AA17" s="147" t="str">
        <f>IFERROR(SUMIFS('01. KE30'!$O:$O,'01. KE30'!$F:$F,'05. BC BH THEO SKU-USD'!$D17,'01. KE30'!$A:$A,'05. BC BH THEO SKU-USD'!M$4)/'05. BC BH THEO SKU-USD'!CS17/'02. Tỷ giá'!H$5,"-")</f>
        <v>-</v>
      </c>
      <c r="AB17" s="147" t="str">
        <f>IFERROR(SUMIFS('01. KE30'!$O:$O,'01. KE30'!$F:$F,'05. BC BH THEO SKU-USD'!$D17,'01. KE30'!$A:$A,'05. BC BH THEO SKU-USD'!N$4)/'05. BC BH THEO SKU-USD'!CT17/'02. Tỷ giá'!I$5,"-")</f>
        <v>-</v>
      </c>
      <c r="AC17" s="147" t="str">
        <f>IFERROR(SUMIFS('01. KE30'!$O:$O,'01. KE30'!$F:$F,'05. BC BH THEO SKU-USD'!$D17,'01. KE30'!$A:$A,'05. BC BH THEO SKU-USD'!O$4)/'05. BC BH THEO SKU-USD'!CU17/'02. Tỷ giá'!J$5,"-")</f>
        <v>-</v>
      </c>
      <c r="AD17" s="147" t="str">
        <f>IFERROR(SUMIFS('01. KE30'!$O:$O,'01. KE30'!$F:$F,'05. BC BH THEO SKU-USD'!$D17,'01. KE30'!$A:$A,'05. BC BH THEO SKU-USD'!P$4)/'05. BC BH THEO SKU-USD'!CV17/'02. Tỷ giá'!K$5,"-")</f>
        <v>-</v>
      </c>
      <c r="AE17" s="147" t="str">
        <f>IFERROR(SUMIFS('01. KE30'!$O:$O,'01. KE30'!$F:$F,'05. BC BH THEO SKU-USD'!$D17,'01. KE30'!$A:$A,'05. BC BH THEO SKU-USD'!Q$4)/'05. BC BH THEO SKU-USD'!CW17/'02. Tỷ giá'!L$5,"-")</f>
        <v>-</v>
      </c>
      <c r="AF17" s="147" t="str">
        <f>IFERROR(SUMIFS('01. KE30'!$O:$O,'01. KE30'!$F:$F,'05. BC BH THEO SKU-USD'!$D17,'01. KE30'!$A:$A,'05. BC BH THEO SKU-USD'!R$4)/'05. BC BH THEO SKU-USD'!CX17/'02. Tỷ giá'!M$5,"-")</f>
        <v>-</v>
      </c>
      <c r="AH17" s="92">
        <f t="shared" si="70"/>
        <v>978</v>
      </c>
      <c r="AI17" s="25"/>
      <c r="AJ17" s="25"/>
      <c r="AK17" s="4"/>
      <c r="AL17" s="4"/>
      <c r="AM17" s="4"/>
      <c r="AN17" s="4">
        <f>1000-22</f>
        <v>978</v>
      </c>
      <c r="AO17" s="4"/>
      <c r="AP17" s="4"/>
      <c r="AQ17" s="25"/>
      <c r="AR17" s="25"/>
      <c r="AS17" s="4"/>
      <c r="AT17" s="4"/>
      <c r="AV17" s="95">
        <f t="shared" si="71"/>
        <v>50.329668209876445</v>
      </c>
      <c r="AW17" s="95" t="str">
        <f t="shared" si="72"/>
        <v>-</v>
      </c>
      <c r="AX17" s="95" t="str">
        <f t="shared" si="73"/>
        <v>-</v>
      </c>
      <c r="AY17" s="95" t="str">
        <f t="shared" si="74"/>
        <v>-</v>
      </c>
      <c r="AZ17" s="95" t="str">
        <f t="shared" si="75"/>
        <v>-</v>
      </c>
      <c r="BA17" s="95" t="str">
        <f t="shared" si="76"/>
        <v>-</v>
      </c>
      <c r="BB17" s="95">
        <f t="shared" si="77"/>
        <v>50.329668209876445</v>
      </c>
      <c r="BC17" s="95" t="str">
        <f t="shared" si="78"/>
        <v>-</v>
      </c>
      <c r="BD17" s="95" t="str">
        <f t="shared" si="79"/>
        <v>-</v>
      </c>
      <c r="BE17" s="95" t="str">
        <f t="shared" si="80"/>
        <v>-</v>
      </c>
      <c r="BF17" s="95" t="str">
        <f t="shared" si="81"/>
        <v>-</v>
      </c>
      <c r="BG17" s="95" t="str">
        <f t="shared" si="82"/>
        <v>-</v>
      </c>
      <c r="BH17" s="95" t="str">
        <f t="shared" si="83"/>
        <v>-</v>
      </c>
      <c r="BJ17" s="143">
        <f t="shared" si="84"/>
        <v>5.1461828435456484E-2</v>
      </c>
      <c r="BK17" s="143" t="str">
        <f t="shared" si="85"/>
        <v>-</v>
      </c>
      <c r="BL17" s="143" t="str">
        <f t="shared" si="86"/>
        <v>-</v>
      </c>
      <c r="BM17" s="143" t="str">
        <f t="shared" si="87"/>
        <v>-</v>
      </c>
      <c r="BN17" s="143" t="str">
        <f t="shared" si="88"/>
        <v>-</v>
      </c>
      <c r="BO17" s="143" t="str">
        <f t="shared" si="89"/>
        <v>-</v>
      </c>
      <c r="BP17" s="143">
        <f t="shared" si="90"/>
        <v>5.1461828435456484E-2</v>
      </c>
      <c r="BQ17" s="143" t="str">
        <f t="shared" si="91"/>
        <v>-</v>
      </c>
      <c r="BR17" s="143" t="str">
        <f t="shared" si="92"/>
        <v>-</v>
      </c>
      <c r="BS17" s="143" t="str">
        <f t="shared" si="93"/>
        <v>-</v>
      </c>
      <c r="BT17" s="143" t="str">
        <f t="shared" si="94"/>
        <v>-</v>
      </c>
      <c r="BU17" s="143" t="str">
        <f t="shared" si="95"/>
        <v>-</v>
      </c>
      <c r="BV17" s="143" t="str">
        <f t="shared" si="96"/>
        <v>-</v>
      </c>
      <c r="BX17" s="112">
        <f t="shared" si="97"/>
        <v>915.94212962962968</v>
      </c>
      <c r="BY17" s="95" t="str">
        <f>IFERROR(SUMIFS('01. KE30'!$R:$R,'01. KE30'!$F:$F,'05. BC BH THEO SKU-USD'!$D17,'01. KE30'!$A:$A,'05. BC BH THEO SKU-USD'!BY$4)/CM17/'02. Tỷ giá'!B$5," -")</f>
        <v xml:space="preserve"> -</v>
      </c>
      <c r="BZ17" s="95" t="str">
        <f>IFERROR(SUMIFS('01. KE30'!$R:$R,'01. KE30'!$F:$F,'05. BC BH THEO SKU-USD'!$D17,'01. KE30'!$A:$A,'05. BC BH THEO SKU-USD'!BZ$4)/CN17/'02. Tỷ giá'!C$5," -")</f>
        <v xml:space="preserve"> -</v>
      </c>
      <c r="CA17" s="95" t="str">
        <f>IFERROR(SUMIFS('01. KE30'!$R:$R,'01. KE30'!$F:$F,'05. BC BH THEO SKU-USD'!$D17,'01. KE30'!$A:$A,'05. BC BH THEO SKU-USD'!CA$4)/CO17/'02. Tỷ giá'!D$5," -")</f>
        <v xml:space="preserve"> -</v>
      </c>
      <c r="CB17" s="95" t="str">
        <f>IFERROR(SUMIFS('01. KE30'!$R:$R,'01. KE30'!$F:$F,'05. BC BH THEO SKU-USD'!$D17,'01. KE30'!$A:$A,'05. BC BH THEO SKU-USD'!CB$4)/CP17/'02. Tỷ giá'!E$5," -")</f>
        <v xml:space="preserve"> -</v>
      </c>
      <c r="CC17" s="95" t="str">
        <f>IFERROR(SUMIFS('01. KE30'!$R:$R,'01. KE30'!$F:$F,'05. BC BH THEO SKU-USD'!$D17,'01. KE30'!$A:$A,'05. BC BH THEO SKU-USD'!CC$4)/CQ17/'02. Tỷ giá'!F$5," -")</f>
        <v xml:space="preserve"> -</v>
      </c>
      <c r="CD17" s="95">
        <f>IFERROR(SUMIFS('01. KE30'!$R:$R,'01. KE30'!$F:$F,'05. BC BH THEO SKU-USD'!$D17,'01. KE30'!$A:$A,'05. BC BH THEO SKU-USD'!CD$4)/CR17/'02. Tỷ giá'!G$5," -")</f>
        <v>915.94212962962968</v>
      </c>
      <c r="CE17" s="95" t="str">
        <f>IFERROR(SUMIFS('01. KE30'!$R:$R,'01. KE30'!$F:$F,'05. BC BH THEO SKU-USD'!$D17,'01. KE30'!$A:$A,'05. BC BH THEO SKU-USD'!CE$4)/CS17/'02. Tỷ giá'!H$5," -")</f>
        <v xml:space="preserve"> -</v>
      </c>
      <c r="CF17" s="95" t="str">
        <f>IFERROR(SUMIFS('01. KE30'!$R:$R,'01. KE30'!$F:$F,'05. BC BH THEO SKU-USD'!$D17,'01. KE30'!$A:$A,'05. BC BH THEO SKU-USD'!CF$4)/CT17/'02. Tỷ giá'!I$5," -")</f>
        <v xml:space="preserve"> -</v>
      </c>
      <c r="CG17" s="95" t="str">
        <f>IFERROR(SUMIFS('01. KE30'!$R:$R,'01. KE30'!$F:$F,'05. BC BH THEO SKU-USD'!$D17,'01. KE30'!$A:$A,'05. BC BH THEO SKU-USD'!CG$4)/CU17/'02. Tỷ giá'!J$5," -")</f>
        <v xml:space="preserve"> -</v>
      </c>
      <c r="CH17" s="95" t="str">
        <f>IFERROR(SUMIFS('01. KE30'!$R:$R,'01. KE30'!$F:$F,'05. BC BH THEO SKU-USD'!$D17,'01. KE30'!$A:$A,'05. BC BH THEO SKU-USD'!CH$4)/CV17/'02. Tỷ giá'!K$5," -")</f>
        <v xml:space="preserve"> -</v>
      </c>
      <c r="CI17" s="95" t="str">
        <f>IFERROR(SUMIFS('01. KE30'!$R:$R,'01. KE30'!$F:$F,'05. BC BH THEO SKU-USD'!$D17,'01. KE30'!$A:$A,'05. BC BH THEO SKU-USD'!CI$4)/CW17/'02. Tỷ giá'!L$5," -")</f>
        <v xml:space="preserve"> -</v>
      </c>
      <c r="CJ17" s="95" t="str">
        <f>IFERROR(SUMIFS('01. KE30'!$R:$R,'01. KE30'!$F:$F,'05. BC BH THEO SKU-USD'!$D17,'01. KE30'!$A:$A,'05. BC BH THEO SKU-USD'!CJ$4)/CX17/'02. Tỷ giá'!M$5," -")</f>
        <v xml:space="preserve"> -</v>
      </c>
      <c r="CL17" s="120">
        <f t="shared" si="98"/>
        <v>2</v>
      </c>
      <c r="CM17" s="114">
        <f>SUMIFS('01. KE30'!$I:$I,'01. KE30'!$F:$F,'05. BC BH THEO SKU-USD'!$D17,'01. KE30'!$A:$A,'05. BC BH THEO SKU-USD'!CM$4)/1000</f>
        <v>0</v>
      </c>
      <c r="CN17" s="114">
        <f>SUMIFS('01. KE30'!$I:$I,'01. KE30'!$F:$F,'05. BC BH THEO SKU-USD'!$D17,'01. KE30'!$A:$A,'05. BC BH THEO SKU-USD'!CN$4)/1000</f>
        <v>0</v>
      </c>
      <c r="CO17" s="114">
        <f>SUMIFS('01. KE30'!$I:$I,'01. KE30'!$F:$F,'05. BC BH THEO SKU-USD'!$D17,'01. KE30'!$A:$A,'05. BC BH THEO SKU-USD'!CO$4)/1000</f>
        <v>0</v>
      </c>
      <c r="CP17" s="114">
        <f>SUMIFS('01. KE30'!$I:$I,'01. KE30'!$F:$F,'05. BC BH THEO SKU-USD'!$D17,'01. KE30'!$A:$A,'05. BC BH THEO SKU-USD'!CP$4)/1000</f>
        <v>0</v>
      </c>
      <c r="CQ17" s="114">
        <f>SUMIFS('01. KE30'!$I:$I,'01. KE30'!$F:$F,'05. BC BH THEO SKU-USD'!$D17,'01. KE30'!$A:$A,'05. BC BH THEO SKU-USD'!CQ$4)/1000</f>
        <v>0</v>
      </c>
      <c r="CR17" s="114">
        <f>SUMIFS('01. KE30'!$I:$I,'01. KE30'!$F:$F,'05. BC BH THEO SKU-USD'!$D17,'01. KE30'!$A:$A,'05. BC BH THEO SKU-USD'!CR$4)/1000</f>
        <v>2</v>
      </c>
      <c r="CS17" s="114">
        <f>SUMIFS('01. KE30'!$I:$I,'01. KE30'!$F:$F,'05. BC BH THEO SKU-USD'!$D17,'01. KE30'!$A:$A,'05. BC BH THEO SKU-USD'!CS$4)/1000</f>
        <v>0</v>
      </c>
      <c r="CT17" s="114">
        <f>SUMIFS('01. KE30'!$I:$I,'01. KE30'!$F:$F,'05. BC BH THEO SKU-USD'!$D17,'01. KE30'!$A:$A,'05. BC BH THEO SKU-USD'!CT$4)/1000</f>
        <v>0</v>
      </c>
      <c r="CU17" s="114">
        <f>SUMIFS('01. KE30'!$I:$I,'01. KE30'!$F:$F,'05. BC BH THEO SKU-USD'!$D17,'01. KE30'!$A:$A,'05. BC BH THEO SKU-USD'!CU$4)/1000</f>
        <v>0</v>
      </c>
      <c r="CV17" s="114">
        <f>SUMIFS('01. KE30'!$I:$I,'01. KE30'!$F:$F,'05. BC BH THEO SKU-USD'!$D17,'01. KE30'!$A:$A,'05. BC BH THEO SKU-USD'!CV$4)/1000</f>
        <v>0</v>
      </c>
      <c r="CW17" s="114">
        <f>SUMIFS('01. KE30'!$I:$I,'01. KE30'!$F:$F,'05. BC BH THEO SKU-USD'!$D17,'01. KE30'!$A:$A,'05. BC BH THEO SKU-USD'!CW$4)/1000</f>
        <v>0</v>
      </c>
      <c r="CX17" s="114">
        <f>SUMIFS('01. KE30'!$I:$I,'01. KE30'!$F:$F,'05. BC BH THEO SKU-USD'!$D17,'01. KE30'!$A:$A,'05. BC BH THEO SKU-USD'!CX$4)/1000</f>
        <v>0</v>
      </c>
      <c r="CZ17" s="120">
        <f t="shared" si="99"/>
        <v>2523.150462962963</v>
      </c>
      <c r="DA17" s="54" t="str">
        <f t="shared" si="100"/>
        <v xml:space="preserve"> -</v>
      </c>
      <c r="DB17" s="54" t="str">
        <f t="shared" si="101"/>
        <v xml:space="preserve"> -</v>
      </c>
      <c r="DC17" s="54" t="str">
        <f t="shared" si="102"/>
        <v xml:space="preserve"> -</v>
      </c>
      <c r="DD17" s="54" t="str">
        <f t="shared" si="103"/>
        <v xml:space="preserve"> -</v>
      </c>
      <c r="DE17" s="54" t="str">
        <f t="shared" si="104"/>
        <v xml:space="preserve"> -</v>
      </c>
      <c r="DF17" s="54">
        <f t="shared" si="105"/>
        <v>2523.150462962963</v>
      </c>
      <c r="DG17" s="54" t="str">
        <f t="shared" si="106"/>
        <v xml:space="preserve"> -</v>
      </c>
      <c r="DH17" s="54" t="str">
        <f t="shared" si="107"/>
        <v xml:space="preserve"> -</v>
      </c>
      <c r="DI17" s="54" t="str">
        <f t="shared" si="108"/>
        <v xml:space="preserve"> -</v>
      </c>
      <c r="DJ17" s="54" t="str">
        <f t="shared" si="109"/>
        <v xml:space="preserve"> -</v>
      </c>
      <c r="DK17" s="54" t="str">
        <f t="shared" si="110"/>
        <v xml:space="preserve"> -</v>
      </c>
      <c r="DL17" s="54" t="str">
        <f t="shared" si="111"/>
        <v xml:space="preserve"> -</v>
      </c>
      <c r="DN17" s="112">
        <f t="shared" si="112"/>
        <v>224.77507716049354</v>
      </c>
      <c r="DO17" s="114">
        <f>IFERROR(SUMIFS('01. KE30'!$X:$X,'01. KE30'!$F:$F,'05. BC BH THEO SKU-USD'!$D17,'01. KE30'!$A:$A,'05. BC BH THEO SKU-USD'!DO$4)-SUMIFS('01. KE30'!$AA:$AA,'01. KE30'!$F:$F,'05. BC BH THEO SKU-USD'!$D17,'01. KE30'!$A:$A,'05. BC BH THEO SKU-USD'!DO$4),"-")</f>
        <v>0</v>
      </c>
      <c r="DP17" s="114">
        <f>IFERROR(SUMIFS('01. KE30'!$X:$X,'01. KE30'!$F:$F,'05. BC BH THEO SKU-USD'!$D17,'01. KE30'!$A:$A,'05. BC BH THEO SKU-USD'!DP$4)-SUMIFS('01. KE30'!$AA:$AA,'01. KE30'!$F:$F,'05. BC BH THEO SKU-USD'!$D17,'01. KE30'!$A:$A,'05. BC BH THEO SKU-USD'!DP$4),"-")</f>
        <v>0</v>
      </c>
      <c r="DQ17" s="114">
        <f>IFERROR(SUMIFS('01. KE30'!$X:$X,'01. KE30'!$F:$F,'05. BC BH THEO SKU-USD'!$D17,'01. KE30'!$A:$A,'05. BC BH THEO SKU-USD'!DQ$4)-SUMIFS('01. KE30'!$AA:$AA,'01. KE30'!$F:$F,'05. BC BH THEO SKU-USD'!$D17,'01. KE30'!$A:$A,'05. BC BH THEO SKU-USD'!DQ$4),"-")</f>
        <v>0</v>
      </c>
      <c r="DR17" s="114">
        <f>IFERROR(SUMIFS('01. KE30'!$X:$X,'01. KE30'!$F:$F,'05. BC BH THEO SKU-USD'!$D17,'01. KE30'!$A:$A,'05. BC BH THEO SKU-USD'!DR$4)-SUMIFS('01. KE30'!$AA:$AA,'01. KE30'!$F:$F,'05. BC BH THEO SKU-USD'!$D17,'01. KE30'!$A:$A,'05. BC BH THEO SKU-USD'!DR$4),"-")</f>
        <v>0</v>
      </c>
      <c r="DS17" s="114">
        <f>IFERROR(SUMIFS('01. KE30'!$X:$X,'01. KE30'!$F:$F,'05. BC BH THEO SKU-USD'!$D17,'01. KE30'!$A:$A,'05. BC BH THEO SKU-USD'!DS$4)-SUMIFS('01. KE30'!$AA:$AA,'01. KE30'!$F:$F,'05. BC BH THEO SKU-USD'!$D17,'01. KE30'!$A:$A,'05. BC BH THEO SKU-USD'!DS$4),"-")</f>
        <v>0</v>
      </c>
      <c r="DT17" s="114">
        <f>IFERROR(SUMIFS('01. KE30'!$X:$X,'01. KE30'!$F:$F,'05. BC BH THEO SKU-USD'!$D17,'01. KE30'!$A:$A,'05. BC BH THEO SKU-USD'!DT$4)-SUMIFS('01. KE30'!$AA:$AA,'01. KE30'!$F:$F,'05. BC BH THEO SKU-USD'!$D17,'01. KE30'!$A:$A,'05. BC BH THEO SKU-USD'!DT$4),"-")</f>
        <v>224.77507716049354</v>
      </c>
      <c r="DU17" s="114">
        <f>IFERROR(SUMIFS('01. KE30'!$X:$X,'01. KE30'!$F:$F,'05. BC BH THEO SKU-USD'!$D17,'01. KE30'!$A:$A,'05. BC BH THEO SKU-USD'!DU$4)-SUMIFS('01. KE30'!$AA:$AA,'01. KE30'!$F:$F,'05. BC BH THEO SKU-USD'!$D17,'01. KE30'!$A:$A,'05. BC BH THEO SKU-USD'!DU$4),"-")</f>
        <v>0</v>
      </c>
      <c r="DV17" s="114">
        <f>IFERROR(SUMIFS('01. KE30'!$X:$X,'01. KE30'!$F:$F,'05. BC BH THEO SKU-USD'!$D17,'01. KE30'!$A:$A,'05. BC BH THEO SKU-USD'!DV$4)-SUMIFS('01. KE30'!$AA:$AA,'01. KE30'!$F:$F,'05. BC BH THEO SKU-USD'!$D17,'01. KE30'!$A:$A,'05. BC BH THEO SKU-USD'!DV$4),"-")</f>
        <v>0</v>
      </c>
      <c r="DW17" s="114">
        <f>IFERROR(SUMIFS('01. KE30'!$X:$X,'01. KE30'!$F:$F,'05. BC BH THEO SKU-USD'!$D17,'01. KE30'!$A:$A,'05. BC BH THEO SKU-USD'!DW$4)-SUMIFS('01. KE30'!$AA:$AA,'01. KE30'!$F:$F,'05. BC BH THEO SKU-USD'!$D17,'01. KE30'!$A:$A,'05. BC BH THEO SKU-USD'!DW$4),"-")</f>
        <v>0</v>
      </c>
      <c r="DX17" s="114">
        <f>IFERROR(SUMIFS('01. KE30'!$X:$X,'01. KE30'!$F:$F,'05. BC BH THEO SKU-USD'!$D17,'01. KE30'!$A:$A,'05. BC BH THEO SKU-USD'!DX$4)-SUMIFS('01. KE30'!$AA:$AA,'01. KE30'!$F:$F,'05. BC BH THEO SKU-USD'!$D17,'01. KE30'!$A:$A,'05. BC BH THEO SKU-USD'!DX$4),"-")</f>
        <v>0</v>
      </c>
      <c r="DY17" s="114">
        <f>IFERROR(SUMIFS('01. KE30'!$X:$X,'01. KE30'!$F:$F,'05. BC BH THEO SKU-USD'!$D17,'01. KE30'!$A:$A,'05. BC BH THEO SKU-USD'!DY$4)-SUMIFS('01. KE30'!$AA:$AA,'01. KE30'!$F:$F,'05. BC BH THEO SKU-USD'!$D17,'01. KE30'!$A:$A,'05. BC BH THEO SKU-USD'!DY$4),"-")</f>
        <v>0</v>
      </c>
      <c r="DZ17" s="114">
        <f>IFERROR(SUMIFS('01. KE30'!$X:$X,'01. KE30'!$F:$F,'05. BC BH THEO SKU-USD'!$D17,'01. KE30'!$A:$A,'05. BC BH THEO SKU-USD'!DZ$4)-SUMIFS('01. KE30'!$AA:$AA,'01. KE30'!$F:$F,'05. BC BH THEO SKU-USD'!$D17,'01. KE30'!$A:$A,'05. BC BH THEO SKU-USD'!DZ$4),"-")</f>
        <v>0</v>
      </c>
      <c r="EB17" s="571">
        <f t="shared" si="113"/>
        <v>8.908508646628141E-2</v>
      </c>
      <c r="EC17" s="572">
        <f t="shared" si="114"/>
        <v>0</v>
      </c>
      <c r="ED17" s="573">
        <f t="shared" si="115"/>
        <v>0</v>
      </c>
      <c r="EE17" s="572">
        <f t="shared" si="116"/>
        <v>0</v>
      </c>
      <c r="EF17" s="572">
        <f t="shared" si="117"/>
        <v>0</v>
      </c>
      <c r="EG17" s="572">
        <f t="shared" si="118"/>
        <v>0</v>
      </c>
      <c r="EH17" s="572">
        <f t="shared" si="119"/>
        <v>8.908508646628141E-2</v>
      </c>
      <c r="EI17" s="572">
        <f t="shared" si="120"/>
        <v>0</v>
      </c>
      <c r="EJ17" s="572">
        <f t="shared" si="121"/>
        <v>0</v>
      </c>
      <c r="EK17" s="572">
        <f t="shared" si="122"/>
        <v>0</v>
      </c>
      <c r="EL17" s="572">
        <f t="shared" si="123"/>
        <v>0</v>
      </c>
      <c r="EM17" s="572">
        <f t="shared" si="124"/>
        <v>0</v>
      </c>
      <c r="EN17" s="572">
        <f t="shared" si="125"/>
        <v>0</v>
      </c>
    </row>
    <row r="18" spans="1:144" ht="15.5" outlineLevel="1" x14ac:dyDescent="0.35">
      <c r="A18" s="27">
        <v>13</v>
      </c>
      <c r="B18" s="27" t="s">
        <v>166</v>
      </c>
      <c r="C18" s="36" t="s">
        <v>662</v>
      </c>
      <c r="D18" s="459" t="s">
        <v>645</v>
      </c>
      <c r="E18" s="28" t="s">
        <v>646</v>
      </c>
      <c r="F18" s="92">
        <f t="shared" si="67"/>
        <v>1182.787401574803</v>
      </c>
      <c r="G18" s="106" t="str">
        <f>IFERROR(SUMIFS('01. KE30'!$K:$K,'01. KE30'!$F:$F,'05. BC BH THEO SKU-USD'!$D18,'01. KE30'!$A:$A,'05. BC BH THEO SKU-USD'!G$4)/'05. BC BH THEO SKU-USD'!CM18/'02. Tỷ giá'!B$5,"-")</f>
        <v>-</v>
      </c>
      <c r="H18" s="106" t="str">
        <f>IFERROR(SUMIFS('01. KE30'!$K:$K,'01. KE30'!$F:$F,'05. BC BH THEO SKU-USD'!$D18,'01. KE30'!$A:$A,'05. BC BH THEO SKU-USD'!H$4)/'05. BC BH THEO SKU-USD'!CN18/'02. Tỷ giá'!C$5,"-")</f>
        <v>-</v>
      </c>
      <c r="I18" s="106">
        <f>IFERROR(SUMIFS('01. KE30'!$K:$K,'01. KE30'!$F:$F,'05. BC BH THEO SKU-USD'!$D18,'01. KE30'!$A:$A,'05. BC BH THEO SKU-USD'!I$4)/'05. BC BH THEO SKU-USD'!CO18/'02. Tỷ giá'!D$5,"-")</f>
        <v>1182.787401574803</v>
      </c>
      <c r="J18" s="106" t="str">
        <f>IFERROR(SUMIFS('01. KE30'!$K:$K,'01. KE30'!$F:$F,'05. BC BH THEO SKU-USD'!$D18,'01. KE30'!$A:$A,'05. BC BH THEO SKU-USD'!J$4)/'05. BC BH THEO SKU-USD'!CP18/'02. Tỷ giá'!E$5,"-")</f>
        <v>-</v>
      </c>
      <c r="K18" s="106" t="str">
        <f>IFERROR(SUMIFS('01. KE30'!$K:$K,'01. KE30'!$F:$F,'05. BC BH THEO SKU-USD'!$D18,'01. KE30'!$A:$A,'05. BC BH THEO SKU-USD'!K$4)/'05. BC BH THEO SKU-USD'!CQ18/'02. Tỷ giá'!F$5,"-")</f>
        <v>-</v>
      </c>
      <c r="L18" s="106" t="str">
        <f>IFERROR(SUMIFS('01. KE30'!$K:$K,'01. KE30'!$F:$F,'05. BC BH THEO SKU-USD'!$D18,'01. KE30'!$A:$A,'05. BC BH THEO SKU-USD'!L$4)/'05. BC BH THEO SKU-USD'!CR18/'02. Tỷ giá'!G$5,"-")</f>
        <v>-</v>
      </c>
      <c r="M18" s="106" t="str">
        <f>IFERROR(SUMIFS('01. KE30'!$K:$K,'01. KE30'!$F:$F,'05. BC BH THEO SKU-USD'!$D18,'01. KE30'!$A:$A,'05. BC BH THEO SKU-USD'!M$4)/'05. BC BH THEO SKU-USD'!CS18/'02. Tỷ giá'!H$5,"-")</f>
        <v>-</v>
      </c>
      <c r="N18" s="106" t="str">
        <f>IFERROR(SUMIFS('01. KE30'!$K:$K,'01. KE30'!$F:$F,'05. BC BH THEO SKU-USD'!$D18,'01. KE30'!$A:$A,'05. BC BH THEO SKU-USD'!N$4)/'05. BC BH THEO SKU-USD'!CT18/'02. Tỷ giá'!I$5,"-")</f>
        <v>-</v>
      </c>
      <c r="O18" s="106" t="str">
        <f>IFERROR(SUMIFS('01. KE30'!$K:$K,'01. KE30'!$F:$F,'05. BC BH THEO SKU-USD'!$D18,'01. KE30'!$A:$A,'05. BC BH THEO SKU-USD'!O$4)/'05. BC BH THEO SKU-USD'!CU18/'02. Tỷ giá'!J$5,"-")</f>
        <v>-</v>
      </c>
      <c r="P18" s="106" t="str">
        <f>IFERROR(SUMIFS('01. KE30'!$K:$K,'01. KE30'!$F:$F,'05. BC BH THEO SKU-USD'!$D18,'01. KE30'!$A:$A,'05. BC BH THEO SKU-USD'!P$4)/'05. BC BH THEO SKU-USD'!CV18/'02. Tỷ giá'!K$5,"-")</f>
        <v>-</v>
      </c>
      <c r="Q18" s="106" t="str">
        <f>IFERROR(SUMIFS('01. KE30'!$K:$K,'01. KE30'!$F:$F,'05. BC BH THEO SKU-USD'!$D18,'01. KE30'!$A:$A,'05. BC BH THEO SKU-USD'!Q$4)/'05. BC BH THEO SKU-USD'!CW18/'02. Tỷ giá'!L$5,"-")</f>
        <v>-</v>
      </c>
      <c r="R18" s="106" t="str">
        <f>IFERROR(SUMIFS('01. KE30'!$K:$K,'01. KE30'!$F:$F,'05. BC BH THEO SKU-USD'!$D18,'01. KE30'!$A:$A,'05. BC BH THEO SKU-USD'!R$4)/'05. BC BH THEO SKU-USD'!CX18/'02. Tỷ giá'!M$5,"-")</f>
        <v>-</v>
      </c>
      <c r="T18" s="92">
        <f t="shared" si="35"/>
        <v>966.16649964209012</v>
      </c>
      <c r="U18" s="147" t="str">
        <f>IFERROR(SUMIFS('01. KE30'!$O:$O,'01. KE30'!$F:$F,'05. BC BH THEO SKU-USD'!$D18,'01. KE30'!$A:$A,'05. BC BH THEO SKU-USD'!G$4)/'05. BC BH THEO SKU-USD'!CM18/'02. Tỷ giá'!B$5,"-")</f>
        <v>-</v>
      </c>
      <c r="V18" s="147" t="str">
        <f>IFERROR(SUMIFS('01. KE30'!$O:$O,'01. KE30'!$F:$F,'05. BC BH THEO SKU-USD'!$D18,'01. KE30'!$A:$A,'05. BC BH THEO SKU-USD'!H$4)/'05. BC BH THEO SKU-USD'!CN18/'02. Tỷ giá'!C$5,"-")</f>
        <v>-</v>
      </c>
      <c r="W18" s="147">
        <f>IFERROR(SUMIFS('01. KE30'!$O:$O,'01. KE30'!$F:$F,'05. BC BH THEO SKU-USD'!$D18,'01. KE30'!$A:$A,'05. BC BH THEO SKU-USD'!I$4)/'05. BC BH THEO SKU-USD'!CO18/'02. Tỷ giá'!D$5,"-")</f>
        <v>966.16649964209012</v>
      </c>
      <c r="X18" s="147" t="str">
        <f>IFERROR(SUMIFS('01. KE30'!$O:$O,'01. KE30'!$F:$F,'05. BC BH THEO SKU-USD'!$D18,'01. KE30'!$A:$A,'05. BC BH THEO SKU-USD'!J$4)/'05. BC BH THEO SKU-USD'!CP18/'02. Tỷ giá'!E$5,"-")</f>
        <v>-</v>
      </c>
      <c r="Y18" s="147" t="str">
        <f>IFERROR(SUMIFS('01. KE30'!$O:$O,'01. KE30'!$F:$F,'05. BC BH THEO SKU-USD'!$D18,'01. KE30'!$A:$A,'05. BC BH THEO SKU-USD'!K$4)/'05. BC BH THEO SKU-USD'!CQ18/'02. Tỷ giá'!F$5,"-")</f>
        <v>-</v>
      </c>
      <c r="Z18" s="147" t="str">
        <f>IFERROR(SUMIFS('01. KE30'!$O:$O,'01. KE30'!$F:$F,'05. BC BH THEO SKU-USD'!$D18,'01. KE30'!$A:$A,'05. BC BH THEO SKU-USD'!L$4)/'05. BC BH THEO SKU-USD'!CR18/'02. Tỷ giá'!G$5,"-")</f>
        <v>-</v>
      </c>
      <c r="AA18" s="147" t="str">
        <f>IFERROR(SUMIFS('01. KE30'!$O:$O,'01. KE30'!$F:$F,'05. BC BH THEO SKU-USD'!$D18,'01. KE30'!$A:$A,'05. BC BH THEO SKU-USD'!M$4)/'05. BC BH THEO SKU-USD'!CS18/'02. Tỷ giá'!H$5,"-")</f>
        <v>-</v>
      </c>
      <c r="AB18" s="147" t="str">
        <f>IFERROR(SUMIFS('01. KE30'!$O:$O,'01. KE30'!$F:$F,'05. BC BH THEO SKU-USD'!$D18,'01. KE30'!$A:$A,'05. BC BH THEO SKU-USD'!N$4)/'05. BC BH THEO SKU-USD'!CT18/'02. Tỷ giá'!I$5,"-")</f>
        <v>-</v>
      </c>
      <c r="AC18" s="147" t="str">
        <f>IFERROR(SUMIFS('01. KE30'!$O:$O,'01. KE30'!$F:$F,'05. BC BH THEO SKU-USD'!$D18,'01. KE30'!$A:$A,'05. BC BH THEO SKU-USD'!O$4)/'05. BC BH THEO SKU-USD'!CU18/'02. Tỷ giá'!J$5,"-")</f>
        <v>-</v>
      </c>
      <c r="AD18" s="147" t="str">
        <f>IFERROR(SUMIFS('01. KE30'!$O:$O,'01. KE30'!$F:$F,'05. BC BH THEO SKU-USD'!$D18,'01. KE30'!$A:$A,'05. BC BH THEO SKU-USD'!P$4)/'05. BC BH THEO SKU-USD'!CV18/'02. Tỷ giá'!K$5,"-")</f>
        <v>-</v>
      </c>
      <c r="AE18" s="147" t="str">
        <f>IFERROR(SUMIFS('01. KE30'!$O:$O,'01. KE30'!$F:$F,'05. BC BH THEO SKU-USD'!$D18,'01. KE30'!$A:$A,'05. BC BH THEO SKU-USD'!Q$4)/'05. BC BH THEO SKU-USD'!CW18/'02. Tỷ giá'!L$5,"-")</f>
        <v>-</v>
      </c>
      <c r="AF18" s="147" t="str">
        <f>IFERROR(SUMIFS('01. KE30'!$O:$O,'01. KE30'!$F:$F,'05. BC BH THEO SKU-USD'!$D18,'01. KE30'!$A:$A,'05. BC BH THEO SKU-USD'!R$4)/'05. BC BH THEO SKU-USD'!CX18/'02. Tỷ giá'!M$5,"-")</f>
        <v>-</v>
      </c>
      <c r="AH18" s="92">
        <f t="shared" si="57"/>
        <v>1238.5714285714287</v>
      </c>
      <c r="AI18" s="25"/>
      <c r="AJ18" s="4"/>
      <c r="AK18" s="4">
        <v>1230</v>
      </c>
      <c r="AL18" s="4">
        <f t="shared" si="37"/>
        <v>1250</v>
      </c>
      <c r="AM18" s="4">
        <v>1250</v>
      </c>
      <c r="AN18" s="4">
        <v>1250</v>
      </c>
      <c r="AO18" s="4">
        <v>1250</v>
      </c>
      <c r="AP18" s="4">
        <f>AP6</f>
        <v>1220</v>
      </c>
      <c r="AQ18" s="25">
        <v>1220</v>
      </c>
      <c r="AR18" s="25"/>
      <c r="AS18" s="4"/>
      <c r="AT18" s="4"/>
      <c r="AV18" s="95">
        <f t="shared" si="58"/>
        <v>-272.40492892933855</v>
      </c>
      <c r="AW18" s="95" t="str">
        <f t="shared" si="58"/>
        <v>-</v>
      </c>
      <c r="AX18" s="95" t="str">
        <f t="shared" si="59"/>
        <v>-</v>
      </c>
      <c r="AY18" s="95">
        <f t="shared" si="59"/>
        <v>-263.83350035790988</v>
      </c>
      <c r="AZ18" s="95" t="str">
        <f t="shared" si="59"/>
        <v>-</v>
      </c>
      <c r="BA18" s="95" t="str">
        <f t="shared" si="59"/>
        <v>-</v>
      </c>
      <c r="BB18" s="95" t="str">
        <f t="shared" si="59"/>
        <v>-</v>
      </c>
      <c r="BC18" s="95" t="str">
        <f t="shared" si="59"/>
        <v>-</v>
      </c>
      <c r="BD18" s="95" t="str">
        <f t="shared" si="59"/>
        <v>-</v>
      </c>
      <c r="BE18" s="95" t="str">
        <f t="shared" si="59"/>
        <v>-</v>
      </c>
      <c r="BF18" s="95" t="str">
        <f t="shared" si="59"/>
        <v>-</v>
      </c>
      <c r="BG18" s="95" t="str">
        <f t="shared" si="59"/>
        <v>-</v>
      </c>
      <c r="BH18" s="95" t="str">
        <f t="shared" si="59"/>
        <v>-</v>
      </c>
      <c r="BJ18" s="143">
        <f t="shared" si="65"/>
        <v>-0.21993477537547518</v>
      </c>
      <c r="BK18" s="143" t="str">
        <f t="shared" si="65"/>
        <v>-</v>
      </c>
      <c r="BL18" s="143" t="str">
        <f t="shared" si="65"/>
        <v>-</v>
      </c>
      <c r="BM18" s="143">
        <f t="shared" si="66"/>
        <v>-0.21449878077878853</v>
      </c>
      <c r="BN18" s="143" t="str">
        <f t="shared" si="66"/>
        <v>-</v>
      </c>
      <c r="BO18" s="143" t="str">
        <f t="shared" si="66"/>
        <v>-</v>
      </c>
      <c r="BP18" s="143" t="str">
        <f t="shared" si="66"/>
        <v>-</v>
      </c>
      <c r="BQ18" s="143" t="str">
        <f t="shared" si="66"/>
        <v>-</v>
      </c>
      <c r="BR18" s="143" t="str">
        <f t="shared" si="66"/>
        <v>-</v>
      </c>
      <c r="BS18" s="143" t="str">
        <f t="shared" si="66"/>
        <v>-</v>
      </c>
      <c r="BT18" s="143" t="str">
        <f t="shared" si="68"/>
        <v>-</v>
      </c>
      <c r="BU18" s="143" t="str">
        <f t="shared" si="68"/>
        <v>-</v>
      </c>
      <c r="BV18" s="143" t="str">
        <f t="shared" si="68"/>
        <v>-</v>
      </c>
      <c r="BX18" s="112">
        <f t="shared" si="31"/>
        <v>999.63375089477438</v>
      </c>
      <c r="BY18" s="95" t="str">
        <f>IFERROR(SUMIFS('01. KE30'!$R:$R,'01. KE30'!$F:$F,'05. BC BH THEO SKU-USD'!$D18,'01. KE30'!$A:$A,'05. BC BH THEO SKU-USD'!BY$4)/CM18/'02. Tỷ giá'!B$5," -")</f>
        <v xml:space="preserve"> -</v>
      </c>
      <c r="BZ18" s="95" t="str">
        <f>IFERROR(SUMIFS('01. KE30'!$R:$R,'01. KE30'!$F:$F,'05. BC BH THEO SKU-USD'!$D18,'01. KE30'!$A:$A,'05. BC BH THEO SKU-USD'!BZ$4)/CN18/'02. Tỷ giá'!C$5," -")</f>
        <v xml:space="preserve"> -</v>
      </c>
      <c r="CA18" s="95">
        <f>IFERROR(SUMIFS('01. KE30'!$R:$R,'01. KE30'!$F:$F,'05. BC BH THEO SKU-USD'!$D18,'01. KE30'!$A:$A,'05. BC BH THEO SKU-USD'!CA$4)/CO18/'02. Tỷ giá'!D$5," -")</f>
        <v>999.63375089477438</v>
      </c>
      <c r="CB18" s="95" t="str">
        <f>IFERROR(SUMIFS('01. KE30'!$R:$R,'01. KE30'!$F:$F,'05. BC BH THEO SKU-USD'!$D18,'01. KE30'!$A:$A,'05. BC BH THEO SKU-USD'!CB$4)/CP18/'02. Tỷ giá'!E$5," -")</f>
        <v xml:space="preserve"> -</v>
      </c>
      <c r="CC18" s="95" t="str">
        <f>IFERROR(SUMIFS('01. KE30'!$R:$R,'01. KE30'!$F:$F,'05. BC BH THEO SKU-USD'!$D18,'01. KE30'!$A:$A,'05. BC BH THEO SKU-USD'!CC$4)/CQ18/'02. Tỷ giá'!F$5," -")</f>
        <v xml:space="preserve"> -</v>
      </c>
      <c r="CD18" s="95" t="str">
        <f>IFERROR(SUMIFS('01. KE30'!$R:$R,'01. KE30'!$F:$F,'05. BC BH THEO SKU-USD'!$D18,'01. KE30'!$A:$A,'05. BC BH THEO SKU-USD'!CD$4)/CR18/'02. Tỷ giá'!G$5," -")</f>
        <v xml:space="preserve"> -</v>
      </c>
      <c r="CE18" s="95" t="str">
        <f>IFERROR(SUMIFS('01. KE30'!$R:$R,'01. KE30'!$F:$F,'05. BC BH THEO SKU-USD'!$D18,'01. KE30'!$A:$A,'05. BC BH THEO SKU-USD'!CE$4)/CS18/'02. Tỷ giá'!H$5," -")</f>
        <v xml:space="preserve"> -</v>
      </c>
      <c r="CF18" s="95" t="str">
        <f>IFERROR(SUMIFS('01. KE30'!$R:$R,'01. KE30'!$F:$F,'05. BC BH THEO SKU-USD'!$D18,'01. KE30'!$A:$A,'05. BC BH THEO SKU-USD'!CF$4)/CT18/'02. Tỷ giá'!I$5," -")</f>
        <v xml:space="preserve"> -</v>
      </c>
      <c r="CG18" s="95" t="str">
        <f>IFERROR(SUMIFS('01. KE30'!$R:$R,'01. KE30'!$F:$F,'05. BC BH THEO SKU-USD'!$D18,'01. KE30'!$A:$A,'05. BC BH THEO SKU-USD'!CG$4)/CU18/'02. Tỷ giá'!J$5," -")</f>
        <v xml:space="preserve"> -</v>
      </c>
      <c r="CH18" s="95" t="str">
        <f>IFERROR(SUMIFS('01. KE30'!$R:$R,'01. KE30'!$F:$F,'05. BC BH THEO SKU-USD'!$D18,'01. KE30'!$A:$A,'05. BC BH THEO SKU-USD'!CH$4)/CV18/'02. Tỷ giá'!K$5," -")</f>
        <v xml:space="preserve"> -</v>
      </c>
      <c r="CI18" s="95" t="str">
        <f>IFERROR(SUMIFS('01. KE30'!$R:$R,'01. KE30'!$F:$F,'05. BC BH THEO SKU-USD'!$D18,'01. KE30'!$A:$A,'05. BC BH THEO SKU-USD'!CI$4)/CW18/'02. Tỷ giá'!L$5," -")</f>
        <v xml:space="preserve"> -</v>
      </c>
      <c r="CJ18" s="95" t="str">
        <f>IFERROR(SUMIFS('01. KE30'!$R:$R,'01. KE30'!$F:$F,'05. BC BH THEO SKU-USD'!$D18,'01. KE30'!$A:$A,'05. BC BH THEO SKU-USD'!CJ$4)/CX18/'02. Tỷ giá'!M$5," -")</f>
        <v xml:space="preserve"> -</v>
      </c>
      <c r="CL18" s="120">
        <f>SUM(CM18:CX18)</f>
        <v>1.1000000000000001</v>
      </c>
      <c r="CM18" s="114">
        <f>SUMIFS('01. KE30'!$I:$I,'01. KE30'!$F:$F,'05. BC BH THEO SKU-USD'!$D18,'01. KE30'!$A:$A,'05. BC BH THEO SKU-USD'!CM$4)/1000</f>
        <v>0</v>
      </c>
      <c r="CN18" s="114">
        <f>SUMIFS('01. KE30'!$I:$I,'01. KE30'!$F:$F,'05. BC BH THEO SKU-USD'!$D18,'01. KE30'!$A:$A,'05. BC BH THEO SKU-USD'!CN$4)/1000</f>
        <v>0</v>
      </c>
      <c r="CO18" s="114">
        <f>SUMIFS('01. KE30'!$I:$I,'01. KE30'!$F:$F,'05. BC BH THEO SKU-USD'!$D18,'01. KE30'!$A:$A,'05. BC BH THEO SKU-USD'!CO$4)/1000</f>
        <v>1.1000000000000001</v>
      </c>
      <c r="CP18" s="114">
        <f>SUMIFS('01. KE30'!$I:$I,'01. KE30'!$F:$F,'05. BC BH THEO SKU-USD'!$D18,'01. KE30'!$A:$A,'05. BC BH THEO SKU-USD'!CP$4)/1000</f>
        <v>0</v>
      </c>
      <c r="CQ18" s="114">
        <f>SUMIFS('01. KE30'!$I:$I,'01. KE30'!$F:$F,'05. BC BH THEO SKU-USD'!$D18,'01. KE30'!$A:$A,'05. BC BH THEO SKU-USD'!CQ$4)/1000</f>
        <v>0</v>
      </c>
      <c r="CR18" s="114">
        <f>SUMIFS('01. KE30'!$I:$I,'01. KE30'!$F:$F,'05. BC BH THEO SKU-USD'!$D18,'01. KE30'!$A:$A,'05. BC BH THEO SKU-USD'!CR$4)/1000</f>
        <v>0</v>
      </c>
      <c r="CS18" s="114">
        <f>SUMIFS('01. KE30'!$I:$I,'01. KE30'!$F:$F,'05. BC BH THEO SKU-USD'!$D18,'01. KE30'!$A:$A,'05. BC BH THEO SKU-USD'!CS$4)/1000</f>
        <v>0</v>
      </c>
      <c r="CT18" s="114">
        <f>SUMIFS('01. KE30'!$I:$I,'01. KE30'!$F:$F,'05. BC BH THEO SKU-USD'!$D18,'01. KE30'!$A:$A,'05. BC BH THEO SKU-USD'!CT$4)/1000</f>
        <v>0</v>
      </c>
      <c r="CU18" s="114">
        <f>SUMIFS('01. KE30'!$I:$I,'01. KE30'!$F:$F,'05. BC BH THEO SKU-USD'!$D18,'01. KE30'!$A:$A,'05. BC BH THEO SKU-USD'!CU$4)/1000</f>
        <v>0</v>
      </c>
      <c r="CV18" s="114">
        <f>SUMIFS('01. KE30'!$I:$I,'01. KE30'!$F:$F,'05. BC BH THEO SKU-USD'!$D18,'01. KE30'!$A:$A,'05. BC BH THEO SKU-USD'!CV$4)/1000</f>
        <v>0</v>
      </c>
      <c r="CW18" s="114">
        <f>SUMIFS('01. KE30'!$I:$I,'01. KE30'!$F:$F,'05. BC BH THEO SKU-USD'!$D18,'01. KE30'!$A:$A,'05. BC BH THEO SKU-USD'!CW$4)/1000</f>
        <v>0</v>
      </c>
      <c r="CX18" s="114">
        <f>SUMIFS('01. KE30'!$I:$I,'01. KE30'!$F:$F,'05. BC BH THEO SKU-USD'!$D18,'01. KE30'!$A:$A,'05. BC BH THEO SKU-USD'!CX$4)/1000</f>
        <v>0</v>
      </c>
      <c r="CZ18" s="120">
        <f>SUM(DA18:DL18)</f>
        <v>1301.0661417322833</v>
      </c>
      <c r="DA18" s="54" t="str">
        <f t="shared" si="40"/>
        <v xml:space="preserve"> -</v>
      </c>
      <c r="DB18" s="54" t="str">
        <f t="shared" si="41"/>
        <v xml:space="preserve"> -</v>
      </c>
      <c r="DC18" s="54">
        <f t="shared" si="42"/>
        <v>1301.0661417322833</v>
      </c>
      <c r="DD18" s="54" t="str">
        <f t="shared" si="43"/>
        <v xml:space="preserve"> -</v>
      </c>
      <c r="DE18" s="54" t="str">
        <f t="shared" si="44"/>
        <v xml:space="preserve"> -</v>
      </c>
      <c r="DF18" s="54" t="str">
        <f t="shared" si="45"/>
        <v xml:space="preserve"> -</v>
      </c>
      <c r="DG18" s="54" t="str">
        <f t="shared" si="46"/>
        <v xml:space="preserve"> -</v>
      </c>
      <c r="DH18" s="54" t="str">
        <f t="shared" si="47"/>
        <v xml:space="preserve"> -</v>
      </c>
      <c r="DI18" s="54" t="str">
        <f t="shared" si="48"/>
        <v xml:space="preserve"> -</v>
      </c>
      <c r="DJ18" s="54" t="str">
        <f t="shared" si="49"/>
        <v xml:space="preserve"> -</v>
      </c>
      <c r="DK18" s="54" t="str">
        <f t="shared" si="50"/>
        <v xml:space="preserve"> -</v>
      </c>
      <c r="DL18" s="54" t="str">
        <f t="shared" si="51"/>
        <v xml:space="preserve"> -</v>
      </c>
      <c r="DN18" s="112">
        <f t="shared" si="64"/>
        <v>-36.813976377952713</v>
      </c>
      <c r="DO18" s="114">
        <f>IFERROR(SUMIFS('01. KE30'!$X:$X,'01. KE30'!$F:$F,'05. BC BH THEO SKU-USD'!$D18,'01. KE30'!$A:$A,'05. BC BH THEO SKU-USD'!DO$4)-SUMIFS('01. KE30'!$AA:$AA,'01. KE30'!$F:$F,'05. BC BH THEO SKU-USD'!$D18,'01. KE30'!$A:$A,'05. BC BH THEO SKU-USD'!DO$4),"-")</f>
        <v>0</v>
      </c>
      <c r="DP18" s="114">
        <f>IFERROR(SUMIFS('01. KE30'!$X:$X,'01. KE30'!$F:$F,'05. BC BH THEO SKU-USD'!$D18,'01. KE30'!$A:$A,'05. BC BH THEO SKU-USD'!DP$4)-SUMIFS('01. KE30'!$AA:$AA,'01. KE30'!$F:$F,'05. BC BH THEO SKU-USD'!$D18,'01. KE30'!$A:$A,'05. BC BH THEO SKU-USD'!DP$4),"-")</f>
        <v>0</v>
      </c>
      <c r="DQ18" s="114">
        <f>IFERROR(SUMIFS('01. KE30'!$X:$X,'01. KE30'!$F:$F,'05. BC BH THEO SKU-USD'!$D18,'01. KE30'!$A:$A,'05. BC BH THEO SKU-USD'!DQ$4)-SUMIFS('01. KE30'!$AA:$AA,'01. KE30'!$F:$F,'05. BC BH THEO SKU-USD'!$D18,'01. KE30'!$A:$A,'05. BC BH THEO SKU-USD'!DQ$4),"-")</f>
        <v>-36.813976377952713</v>
      </c>
      <c r="DR18" s="114">
        <f>IFERROR(SUMIFS('01. KE30'!$X:$X,'01. KE30'!$F:$F,'05. BC BH THEO SKU-USD'!$D18,'01. KE30'!$A:$A,'05. BC BH THEO SKU-USD'!DR$4)-SUMIFS('01. KE30'!$AA:$AA,'01. KE30'!$F:$F,'05. BC BH THEO SKU-USD'!$D18,'01. KE30'!$A:$A,'05. BC BH THEO SKU-USD'!DR$4),"-")</f>
        <v>0</v>
      </c>
      <c r="DS18" s="114">
        <f>IFERROR(SUMIFS('01. KE30'!$X:$X,'01. KE30'!$F:$F,'05. BC BH THEO SKU-USD'!$D18,'01. KE30'!$A:$A,'05. BC BH THEO SKU-USD'!DS$4)-SUMIFS('01. KE30'!$AA:$AA,'01. KE30'!$F:$F,'05. BC BH THEO SKU-USD'!$D18,'01. KE30'!$A:$A,'05. BC BH THEO SKU-USD'!DS$4),"-")</f>
        <v>0</v>
      </c>
      <c r="DT18" s="114">
        <f>IFERROR(SUMIFS('01. KE30'!$X:$X,'01. KE30'!$F:$F,'05. BC BH THEO SKU-USD'!$D18,'01. KE30'!$A:$A,'05. BC BH THEO SKU-USD'!DT$4)-SUMIFS('01. KE30'!$AA:$AA,'01. KE30'!$F:$F,'05. BC BH THEO SKU-USD'!$D18,'01. KE30'!$A:$A,'05. BC BH THEO SKU-USD'!DT$4),"-")</f>
        <v>0</v>
      </c>
      <c r="DU18" s="114">
        <f>IFERROR(SUMIFS('01. KE30'!$X:$X,'01. KE30'!$F:$F,'05. BC BH THEO SKU-USD'!$D18,'01. KE30'!$A:$A,'05. BC BH THEO SKU-USD'!DU$4)-SUMIFS('01. KE30'!$AA:$AA,'01. KE30'!$F:$F,'05. BC BH THEO SKU-USD'!$D18,'01. KE30'!$A:$A,'05. BC BH THEO SKU-USD'!DU$4),"-")</f>
        <v>0</v>
      </c>
      <c r="DV18" s="114">
        <f>IFERROR(SUMIFS('01. KE30'!$X:$X,'01. KE30'!$F:$F,'05. BC BH THEO SKU-USD'!$D18,'01. KE30'!$A:$A,'05. BC BH THEO SKU-USD'!DV$4)-SUMIFS('01. KE30'!$AA:$AA,'01. KE30'!$F:$F,'05. BC BH THEO SKU-USD'!$D18,'01. KE30'!$A:$A,'05. BC BH THEO SKU-USD'!DV$4),"-")</f>
        <v>0</v>
      </c>
      <c r="DW18" s="114">
        <f>IFERROR(SUMIFS('01. KE30'!$X:$X,'01. KE30'!$F:$F,'05. BC BH THEO SKU-USD'!$D18,'01. KE30'!$A:$A,'05. BC BH THEO SKU-USD'!DW$4)-SUMIFS('01. KE30'!$AA:$AA,'01. KE30'!$F:$F,'05. BC BH THEO SKU-USD'!$D18,'01. KE30'!$A:$A,'05. BC BH THEO SKU-USD'!DW$4),"-")</f>
        <v>0</v>
      </c>
      <c r="DX18" s="114">
        <f>IFERROR(SUMIFS('01. KE30'!$X:$X,'01. KE30'!$F:$F,'05. BC BH THEO SKU-USD'!$D18,'01. KE30'!$A:$A,'05. BC BH THEO SKU-USD'!DX$4)-SUMIFS('01. KE30'!$AA:$AA,'01. KE30'!$F:$F,'05. BC BH THEO SKU-USD'!$D18,'01. KE30'!$A:$A,'05. BC BH THEO SKU-USD'!DX$4),"-")</f>
        <v>0</v>
      </c>
      <c r="DY18" s="114">
        <f>IFERROR(SUMIFS('01. KE30'!$X:$X,'01. KE30'!$F:$F,'05. BC BH THEO SKU-USD'!$D18,'01. KE30'!$A:$A,'05. BC BH THEO SKU-USD'!DY$4)-SUMIFS('01. KE30'!$AA:$AA,'01. KE30'!$F:$F,'05. BC BH THEO SKU-USD'!$D18,'01. KE30'!$A:$A,'05. BC BH THEO SKU-USD'!DY$4),"-")</f>
        <v>0</v>
      </c>
      <c r="DZ18" s="114">
        <f>IFERROR(SUMIFS('01. KE30'!$X:$X,'01. KE30'!$F:$F,'05. BC BH THEO SKU-USD'!$D18,'01. KE30'!$A:$A,'05. BC BH THEO SKU-USD'!DZ$4)-SUMIFS('01. KE30'!$AA:$AA,'01. KE30'!$F:$F,'05. BC BH THEO SKU-USD'!$D18,'01. KE30'!$A:$A,'05. BC BH THEO SKU-USD'!DZ$4),"-")</f>
        <v>0</v>
      </c>
      <c r="EB18" s="576">
        <f t="shared" si="18"/>
        <v>-2.8295238187458591E-2</v>
      </c>
      <c r="EC18" s="573">
        <f t="shared" si="18"/>
        <v>0</v>
      </c>
      <c r="ED18" s="573">
        <f t="shared" si="19"/>
        <v>0</v>
      </c>
      <c r="EE18" s="572">
        <f t="shared" si="20"/>
        <v>-2.8295238187458591E-2</v>
      </c>
      <c r="EF18" s="572">
        <f t="shared" si="21"/>
        <v>0</v>
      </c>
      <c r="EG18" s="572">
        <f t="shared" si="22"/>
        <v>0</v>
      </c>
      <c r="EH18" s="572">
        <f t="shared" si="23"/>
        <v>0</v>
      </c>
      <c r="EI18" s="572">
        <f t="shared" si="24"/>
        <v>0</v>
      </c>
      <c r="EJ18" s="572">
        <f t="shared" si="25"/>
        <v>0</v>
      </c>
      <c r="EK18" s="572">
        <f t="shared" si="26"/>
        <v>0</v>
      </c>
      <c r="EL18" s="572">
        <f t="shared" si="27"/>
        <v>0</v>
      </c>
      <c r="EM18" s="572">
        <f t="shared" si="28"/>
        <v>0</v>
      </c>
      <c r="EN18" s="572">
        <f t="shared" si="29"/>
        <v>0</v>
      </c>
    </row>
    <row r="19" spans="1:144" ht="15.5" outlineLevel="1" x14ac:dyDescent="0.35">
      <c r="A19" s="27">
        <v>14</v>
      </c>
      <c r="B19" s="27" t="s">
        <v>166</v>
      </c>
      <c r="C19" s="36" t="s">
        <v>1023</v>
      </c>
      <c r="D19" s="459" t="s">
        <v>1015</v>
      </c>
      <c r="E19" s="28" t="s">
        <v>1016</v>
      </c>
      <c r="F19" s="92">
        <f t="shared" si="67"/>
        <v>1400.966449197861</v>
      </c>
      <c r="G19" s="106" t="str">
        <f>IFERROR(SUMIFS('01. KE30'!$K:$K,'01. KE30'!$F:$F,'05. BC BH THEO SKU-USD'!$D19,'01. KE30'!$A:$A,'05. BC BH THEO SKU-USD'!G$4)/'05. BC BH THEO SKU-USD'!CM19/'02. Tỷ giá'!B$5,"-")</f>
        <v>-</v>
      </c>
      <c r="H19" s="106" t="str">
        <f>IFERROR(SUMIFS('01. KE30'!$K:$K,'01. KE30'!$F:$F,'05. BC BH THEO SKU-USD'!$D19,'01. KE30'!$A:$A,'05. BC BH THEO SKU-USD'!H$4)/'05. BC BH THEO SKU-USD'!CN19/'02. Tỷ giá'!C$5,"-")</f>
        <v>-</v>
      </c>
      <c r="I19" s="106" t="str">
        <f>IFERROR(SUMIFS('01. KE30'!$K:$K,'01. KE30'!$F:$F,'05. BC BH THEO SKU-USD'!$D19,'01. KE30'!$A:$A,'05. BC BH THEO SKU-USD'!I$4)/'05. BC BH THEO SKU-USD'!CO19/'02. Tỷ giá'!D$5,"-")</f>
        <v>-</v>
      </c>
      <c r="J19" s="106" t="str">
        <f>IFERROR(SUMIFS('01. KE30'!$K:$K,'01. KE30'!$F:$F,'05. BC BH THEO SKU-USD'!$D19,'01. KE30'!$A:$A,'05. BC BH THEO SKU-USD'!J$4)/'05. BC BH THEO SKU-USD'!CP19/'02. Tỷ giá'!E$5,"-")</f>
        <v>-</v>
      </c>
      <c r="K19" s="106" t="str">
        <f>IFERROR(SUMIFS('01. KE30'!$K:$K,'01. KE30'!$F:$F,'05. BC BH THEO SKU-USD'!$D19,'01. KE30'!$A:$A,'05. BC BH THEO SKU-USD'!K$4)/'05. BC BH THEO SKU-USD'!CQ19/'02. Tỷ giá'!F$5,"-")</f>
        <v>-</v>
      </c>
      <c r="L19" s="106" t="str">
        <f>IFERROR(SUMIFS('01. KE30'!$K:$K,'01. KE30'!$F:$F,'05. BC BH THEO SKU-USD'!$D19,'01. KE30'!$A:$A,'05. BC BH THEO SKU-USD'!L$4)/'05. BC BH THEO SKU-USD'!CR19/'02. Tỷ giá'!G$5,"-")</f>
        <v>-</v>
      </c>
      <c r="M19" s="106" t="str">
        <f>IFERROR(SUMIFS('01. KE30'!$K:$K,'01. KE30'!$F:$F,'05. BC BH THEO SKU-USD'!$D19,'01. KE30'!$A:$A,'05. BC BH THEO SKU-USD'!M$4)/'05. BC BH THEO SKU-USD'!CS19/'02. Tỷ giá'!H$5,"-")</f>
        <v>-</v>
      </c>
      <c r="N19" s="106">
        <f>IFERROR(SUMIFS('01. KE30'!$K:$K,'01. KE30'!$F:$F,'05. BC BH THEO SKU-USD'!$D19,'01. KE30'!$A:$A,'05. BC BH THEO SKU-USD'!N$4)/'05. BC BH THEO SKU-USD'!CT19/'02. Tỷ giá'!I$5,"-")</f>
        <v>1402.8368983957218</v>
      </c>
      <c r="O19" s="106">
        <f>IFERROR(SUMIFS('01. KE30'!$K:$K,'01. KE30'!$F:$F,'05. BC BH THEO SKU-USD'!$D19,'01. KE30'!$A:$A,'05. BC BH THEO SKU-USD'!O$4)/'05. BC BH THEO SKU-USD'!CU19/'02. Tỷ giá'!J$5,"-")</f>
        <v>1399.096</v>
      </c>
      <c r="P19" s="106" t="str">
        <f>IFERROR(SUMIFS('01. KE30'!$K:$K,'01. KE30'!$F:$F,'05. BC BH THEO SKU-USD'!$D19,'01. KE30'!$A:$A,'05. BC BH THEO SKU-USD'!P$4)/'05. BC BH THEO SKU-USD'!CV19/'02. Tỷ giá'!K$5,"-")</f>
        <v>-</v>
      </c>
      <c r="Q19" s="106" t="str">
        <f>IFERROR(SUMIFS('01. KE30'!$K:$K,'01. KE30'!$F:$F,'05. BC BH THEO SKU-USD'!$D19,'01. KE30'!$A:$A,'05. BC BH THEO SKU-USD'!Q$4)/'05. BC BH THEO SKU-USD'!CW19/'02. Tỷ giá'!L$5,"-")</f>
        <v>-</v>
      </c>
      <c r="R19" s="106" t="str">
        <f>IFERROR(SUMIFS('01. KE30'!$K:$K,'01. KE30'!$F:$F,'05. BC BH THEO SKU-USD'!$D19,'01. KE30'!$A:$A,'05. BC BH THEO SKU-USD'!R$4)/'05. BC BH THEO SKU-USD'!CX19/'02. Tỷ giá'!M$5,"-")</f>
        <v>-</v>
      </c>
      <c r="T19" s="92">
        <f t="shared" si="35"/>
        <v>1400.7326430481285</v>
      </c>
      <c r="U19" s="147" t="str">
        <f>IFERROR(SUMIFS('01. KE30'!$O:$O,'01. KE30'!$F:$F,'05. BC BH THEO SKU-USD'!$D19,'01. KE30'!$A:$A,'05. BC BH THEO SKU-USD'!G$4)/'05. BC BH THEO SKU-USD'!CM19/'02. Tỷ giá'!B$5,"-")</f>
        <v>-</v>
      </c>
      <c r="V19" s="147" t="str">
        <f>IFERROR(SUMIFS('01. KE30'!$O:$O,'01. KE30'!$F:$F,'05. BC BH THEO SKU-USD'!$D19,'01. KE30'!$A:$A,'05. BC BH THEO SKU-USD'!H$4)/'05. BC BH THEO SKU-USD'!CN19/'02. Tỷ giá'!C$5,"-")</f>
        <v>-</v>
      </c>
      <c r="W19" s="147" t="str">
        <f>IFERROR(SUMIFS('01. KE30'!$O:$O,'01. KE30'!$F:$F,'05. BC BH THEO SKU-USD'!$D19,'01. KE30'!$A:$A,'05. BC BH THEO SKU-USD'!I$4)/'05. BC BH THEO SKU-USD'!CO19/'02. Tỷ giá'!D$5,"-")</f>
        <v>-</v>
      </c>
      <c r="X19" s="147" t="str">
        <f>IFERROR(SUMIFS('01. KE30'!$O:$O,'01. KE30'!$F:$F,'05. BC BH THEO SKU-USD'!$D19,'01. KE30'!$A:$A,'05. BC BH THEO SKU-USD'!J$4)/'05. BC BH THEO SKU-USD'!CP19/'02. Tỷ giá'!E$5,"-")</f>
        <v>-</v>
      </c>
      <c r="Y19" s="147" t="str">
        <f>IFERROR(SUMIFS('01. KE30'!$O:$O,'01. KE30'!$F:$F,'05. BC BH THEO SKU-USD'!$D19,'01. KE30'!$A:$A,'05. BC BH THEO SKU-USD'!K$4)/'05. BC BH THEO SKU-USD'!CQ19/'02. Tỷ giá'!F$5,"-")</f>
        <v>-</v>
      </c>
      <c r="Z19" s="147" t="str">
        <f>IFERROR(SUMIFS('01. KE30'!$O:$O,'01. KE30'!$F:$F,'05. BC BH THEO SKU-USD'!$D19,'01. KE30'!$A:$A,'05. BC BH THEO SKU-USD'!L$4)/'05. BC BH THEO SKU-USD'!CR19/'02. Tỷ giá'!G$5,"-")</f>
        <v>-</v>
      </c>
      <c r="AA19" s="147" t="str">
        <f>IFERROR(SUMIFS('01. KE30'!$O:$O,'01. KE30'!$F:$F,'05. BC BH THEO SKU-USD'!$D19,'01. KE30'!$A:$A,'05. BC BH THEO SKU-USD'!M$4)/'05. BC BH THEO SKU-USD'!CS19/'02. Tỷ giá'!H$5,"-")</f>
        <v>-</v>
      </c>
      <c r="AB19" s="147">
        <f>IFERROR(SUMIFS('01. KE30'!$O:$O,'01. KE30'!$F:$F,'05. BC BH THEO SKU-USD'!$D19,'01. KE30'!$A:$A,'05. BC BH THEO SKU-USD'!N$4)/'05. BC BH THEO SKU-USD'!CT19/'02. Tỷ giá'!I$5,"-")</f>
        <v>1402.8368983957218</v>
      </c>
      <c r="AC19" s="147">
        <f>IFERROR(SUMIFS('01. KE30'!$O:$O,'01. KE30'!$F:$F,'05. BC BH THEO SKU-USD'!$D19,'01. KE30'!$A:$A,'05. BC BH THEO SKU-USD'!O$4)/'05. BC BH THEO SKU-USD'!CU19/'02. Tỷ giá'!J$5,"-")</f>
        <v>1399.096</v>
      </c>
      <c r="AD19" s="147" t="str">
        <f>IFERROR(SUMIFS('01. KE30'!$O:$O,'01. KE30'!$F:$F,'05. BC BH THEO SKU-USD'!$D19,'01. KE30'!$A:$A,'05. BC BH THEO SKU-USD'!P$4)/'05. BC BH THEO SKU-USD'!CV19/'02. Tỷ giá'!K$5,"-")</f>
        <v>-</v>
      </c>
      <c r="AE19" s="147" t="str">
        <f>IFERROR(SUMIFS('01. KE30'!$O:$O,'01. KE30'!$F:$F,'05. BC BH THEO SKU-USD'!$D19,'01. KE30'!$A:$A,'05. BC BH THEO SKU-USD'!Q$4)/'05. BC BH THEO SKU-USD'!CW19/'02. Tỷ giá'!L$5,"-")</f>
        <v>-</v>
      </c>
      <c r="AF19" s="147" t="str">
        <f>IFERROR(SUMIFS('01. KE30'!$O:$O,'01. KE30'!$F:$F,'05. BC BH THEO SKU-USD'!$D19,'01. KE30'!$A:$A,'05. BC BH THEO SKU-USD'!R$4)/'05. BC BH THEO SKU-USD'!CX19/'02. Tỷ giá'!M$5,"-")</f>
        <v>-</v>
      </c>
      <c r="AH19" s="92">
        <f t="shared" ref="AH19:AH20" si="126">IFERROR(AVERAGE(AI19:AT19),"-")</f>
        <v>1410</v>
      </c>
      <c r="AI19" s="25"/>
      <c r="AJ19" s="4"/>
      <c r="AK19" s="4"/>
      <c r="AL19" s="4"/>
      <c r="AM19" s="4"/>
      <c r="AN19" s="4"/>
      <c r="AO19" s="4"/>
      <c r="AP19" s="4">
        <v>1410</v>
      </c>
      <c r="AQ19" s="25">
        <v>1410</v>
      </c>
      <c r="AR19" s="25"/>
      <c r="AS19" s="4"/>
      <c r="AT19" s="4"/>
      <c r="AV19" s="95">
        <f t="shared" ref="AV19:AV20" si="127">IF(F19&lt;&gt;"-",T19-AH19,"-")</f>
        <v>-9.267356951871534</v>
      </c>
      <c r="AW19" s="95" t="str">
        <f t="shared" ref="AW19:AW20" si="128">IF(G19&lt;&gt;"-",U19-AI19,"-")</f>
        <v>-</v>
      </c>
      <c r="AX19" s="95" t="str">
        <f t="shared" ref="AX19:AX20" si="129">IF(H19&lt;&gt;"-",V19-AJ19,"-")</f>
        <v>-</v>
      </c>
      <c r="AY19" s="95" t="str">
        <f t="shared" ref="AY19:AY20" si="130">IF(I19&lt;&gt;"-",W19-AK19,"-")</f>
        <v>-</v>
      </c>
      <c r="AZ19" s="95" t="str">
        <f t="shared" ref="AZ19:AZ20" si="131">IF(J19&lt;&gt;"-",X19-AL19,"-")</f>
        <v>-</v>
      </c>
      <c r="BA19" s="95" t="str">
        <f t="shared" ref="BA19:BA20" si="132">IF(K19&lt;&gt;"-",Y19-AM19,"-")</f>
        <v>-</v>
      </c>
      <c r="BB19" s="95" t="str">
        <f t="shared" ref="BB19:BB20" si="133">IF(L19&lt;&gt;"-",Z19-AN19,"-")</f>
        <v>-</v>
      </c>
      <c r="BC19" s="95" t="str">
        <f t="shared" ref="BC19:BC20" si="134">IF(M19&lt;&gt;"-",AA19-AO19,"-")</f>
        <v>-</v>
      </c>
      <c r="BD19" s="95">
        <f t="shared" ref="BD19:BD20" si="135">IF(N19&lt;&gt;"-",AB19-AP19,"-")</f>
        <v>-7.1631016042781539</v>
      </c>
      <c r="BE19" s="95">
        <f t="shared" ref="BE19:BE20" si="136">IF(O19&lt;&gt;"-",AC19-AQ19,"-")</f>
        <v>-10.903999999999996</v>
      </c>
      <c r="BF19" s="95" t="str">
        <f t="shared" ref="BF19:BF20" si="137">IF(P19&lt;&gt;"-",AD19-AR19,"-")</f>
        <v>-</v>
      </c>
      <c r="BG19" s="95" t="str">
        <f t="shared" ref="BG19:BG20" si="138">IF(Q19&lt;&gt;"-",AE19-AS19,"-")</f>
        <v>-</v>
      </c>
      <c r="BH19" s="95" t="str">
        <f t="shared" ref="BH19:BH20" si="139">IF(R19&lt;&gt;"-",AF19-AT19,"-")</f>
        <v>-</v>
      </c>
      <c r="BJ19" s="143">
        <f t="shared" ref="BJ19:BJ20" si="140">IFERROR(IF(AV19&lt;&gt;"-",AV19/AH19,"-"),"-")</f>
        <v>-6.572593582887613E-3</v>
      </c>
      <c r="BK19" s="143" t="str">
        <f t="shared" ref="BK19:BK20" si="141">IFERROR(IF(AW19&lt;&gt;"-",AW19/AI19,"-"),"-")</f>
        <v>-</v>
      </c>
      <c r="BL19" s="143" t="str">
        <f t="shared" ref="BL19:BL20" si="142">IFERROR(IF(AX19&lt;&gt;"-",AX19/AJ19,"-"),"-")</f>
        <v>-</v>
      </c>
      <c r="BM19" s="143" t="str">
        <f t="shared" ref="BM19:BM20" si="143">IFERROR(IF(AY19&lt;&gt;"-",AY19/AK19,"-"),"-")</f>
        <v>-</v>
      </c>
      <c r="BN19" s="143" t="str">
        <f t="shared" ref="BN19:BN20" si="144">IFERROR(IF(AZ19&lt;&gt;"-",AZ19/AL19,"-"),"-")</f>
        <v>-</v>
      </c>
      <c r="BO19" s="143" t="str">
        <f t="shared" ref="BO19:BO20" si="145">IFERROR(IF(BA19&lt;&gt;"-",BA19/AM19,"-"),"-")</f>
        <v>-</v>
      </c>
      <c r="BP19" s="143" t="str">
        <f t="shared" ref="BP19:BP20" si="146">IFERROR(IF(BB19&lt;&gt;"-",BB19/AN19,"-"),"-")</f>
        <v>-</v>
      </c>
      <c r="BQ19" s="143" t="str">
        <f t="shared" ref="BQ19:BQ20" si="147">IFERROR(IF(BC19&lt;&gt;"-",BC19/AO19,"-"),"-")</f>
        <v>-</v>
      </c>
      <c r="BR19" s="143">
        <f t="shared" ref="BR19:BR20" si="148">IFERROR(IF(BD19&lt;&gt;"-",BD19/AP19,"-"),"-")</f>
        <v>-5.0802139037433719E-3</v>
      </c>
      <c r="BS19" s="143">
        <f t="shared" ref="BS19:BS20" si="149">IFERROR(IF(BE19&lt;&gt;"-",BE19/AQ19,"-"),"-")</f>
        <v>-7.7333333333333308E-3</v>
      </c>
      <c r="BT19" s="143" t="str">
        <f t="shared" ref="BT19:BT20" si="150">IFERROR(IF(BF19&lt;&gt;"-",BF19/AR19,"-"),"-")</f>
        <v>-</v>
      </c>
      <c r="BU19" s="143" t="str">
        <f t="shared" ref="BU19:BU20" si="151">IFERROR(IF(BG19&lt;&gt;"-",BG19/AS19,"-"),"-")</f>
        <v>-</v>
      </c>
      <c r="BV19" s="143" t="str">
        <f t="shared" ref="BV19:BV20" si="152">IFERROR(IF(BH19&lt;&gt;"-",BH19/AT19,"-"),"-")</f>
        <v>-</v>
      </c>
      <c r="BX19" s="112">
        <f t="shared" ref="BX19:BX20" si="153">IFERROR(AVERAGE(BY19:CJ19),"-")</f>
        <v>1147.7279935087595</v>
      </c>
      <c r="BY19" s="95" t="str">
        <f>IFERROR(SUMIFS('01. KE30'!$R:$R,'01. KE30'!$F:$F,'05. BC BH THEO SKU-USD'!$D19,'01. KE30'!$A:$A,'05. BC BH THEO SKU-USD'!BY$4)/CM19/'02. Tỷ giá'!B$5," -")</f>
        <v xml:space="preserve"> -</v>
      </c>
      <c r="BZ19" s="95" t="str">
        <f>IFERROR(SUMIFS('01. KE30'!$R:$R,'01. KE30'!$F:$F,'05. BC BH THEO SKU-USD'!$D19,'01. KE30'!$A:$A,'05. BC BH THEO SKU-USD'!BZ$4)/CN19/'02. Tỷ giá'!C$5," -")</f>
        <v xml:space="preserve"> -</v>
      </c>
      <c r="CA19" s="95" t="str">
        <f>IFERROR(SUMIFS('01. KE30'!$R:$R,'01. KE30'!$F:$F,'05. BC BH THEO SKU-USD'!$D19,'01. KE30'!$A:$A,'05. BC BH THEO SKU-USD'!CA$4)/CO19/'02. Tỷ giá'!D$5," -")</f>
        <v xml:space="preserve"> -</v>
      </c>
      <c r="CB19" s="95" t="str">
        <f>IFERROR(SUMIFS('01. KE30'!$R:$R,'01. KE30'!$F:$F,'05. BC BH THEO SKU-USD'!$D19,'01. KE30'!$A:$A,'05. BC BH THEO SKU-USD'!CB$4)/CP19/'02. Tỷ giá'!E$5," -")</f>
        <v xml:space="preserve"> -</v>
      </c>
      <c r="CC19" s="95" t="str">
        <f>IFERROR(SUMIFS('01. KE30'!$R:$R,'01. KE30'!$F:$F,'05. BC BH THEO SKU-USD'!$D19,'01. KE30'!$A:$A,'05. BC BH THEO SKU-USD'!CC$4)/CQ19/'02. Tỷ giá'!F$5," -")</f>
        <v xml:space="preserve"> -</v>
      </c>
      <c r="CD19" s="95" t="str">
        <f>IFERROR(SUMIFS('01. KE30'!$R:$R,'01. KE30'!$F:$F,'05. BC BH THEO SKU-USD'!$D19,'01. KE30'!$A:$A,'05. BC BH THEO SKU-USD'!CD$4)/CR19/'02. Tỷ giá'!G$5," -")</f>
        <v xml:space="preserve"> -</v>
      </c>
      <c r="CE19" s="95" t="str">
        <f>IFERROR(SUMIFS('01. KE30'!$R:$R,'01. KE30'!$F:$F,'05. BC BH THEO SKU-USD'!$D19,'01. KE30'!$A:$A,'05. BC BH THEO SKU-USD'!CE$4)/CS19/'02. Tỷ giá'!H$5," -")</f>
        <v xml:space="preserve"> -</v>
      </c>
      <c r="CF19" s="95">
        <f>IFERROR(SUMIFS('01. KE30'!$R:$R,'01. KE30'!$F:$F,'05. BC BH THEO SKU-USD'!$D19,'01. KE30'!$A:$A,'05. BC BH THEO SKU-USD'!CF$4)/CT19/'02. Tỷ giá'!I$5," -")</f>
        <v>1145.6053322155308</v>
      </c>
      <c r="CG19" s="95">
        <f>IFERROR(SUMIFS('01. KE30'!$R:$R,'01. KE30'!$F:$F,'05. BC BH THEO SKU-USD'!$D19,'01. KE30'!$A:$A,'05. BC BH THEO SKU-USD'!CG$4)/CU19/'02. Tỷ giá'!J$5," -")</f>
        <v>1149.8506548019882</v>
      </c>
      <c r="CH19" s="95" t="str">
        <f>IFERROR(SUMIFS('01. KE30'!$R:$R,'01. KE30'!$F:$F,'05. BC BH THEO SKU-USD'!$D19,'01. KE30'!$A:$A,'05. BC BH THEO SKU-USD'!CH$4)/CV19/'02. Tỷ giá'!K$5," -")</f>
        <v xml:space="preserve"> -</v>
      </c>
      <c r="CI19" s="95" t="str">
        <f>IFERROR(SUMIFS('01. KE30'!$R:$R,'01. KE30'!$F:$F,'05. BC BH THEO SKU-USD'!$D19,'01. KE30'!$A:$A,'05. BC BH THEO SKU-USD'!CI$4)/CW19/'02. Tỷ giá'!L$5," -")</f>
        <v xml:space="preserve"> -</v>
      </c>
      <c r="CJ19" s="95" t="str">
        <f>IFERROR(SUMIFS('01. KE30'!$R:$R,'01. KE30'!$F:$F,'05. BC BH THEO SKU-USD'!$D19,'01. KE30'!$A:$A,'05. BC BH THEO SKU-USD'!CJ$4)/CX19/'02. Tỷ giá'!M$5," -")</f>
        <v xml:space="preserve"> -</v>
      </c>
      <c r="CL19" s="120">
        <f>SUM(CM19:CX19)</f>
        <v>422.4</v>
      </c>
      <c r="CM19" s="114">
        <f>SUMIFS('01. KE30'!$I:$I,'01. KE30'!$F:$F,'05. BC BH THEO SKU-USD'!$D19,'01. KE30'!$A:$A,'05. BC BH THEO SKU-USD'!CM$4)/1000</f>
        <v>0</v>
      </c>
      <c r="CN19" s="114">
        <f>SUMIFS('01. KE30'!$I:$I,'01. KE30'!$F:$F,'05. BC BH THEO SKU-USD'!$D19,'01. KE30'!$A:$A,'05. BC BH THEO SKU-USD'!CN$4)/1000</f>
        <v>0</v>
      </c>
      <c r="CO19" s="114">
        <f>SUMIFS('01. KE30'!$I:$I,'01. KE30'!$F:$F,'05. BC BH THEO SKU-USD'!$D19,'01. KE30'!$A:$A,'05. BC BH THEO SKU-USD'!CO$4)/1000</f>
        <v>0</v>
      </c>
      <c r="CP19" s="114">
        <f>SUMIFS('01. KE30'!$I:$I,'01. KE30'!$F:$F,'05. BC BH THEO SKU-USD'!$D19,'01. KE30'!$A:$A,'05. BC BH THEO SKU-USD'!CP$4)/1000</f>
        <v>0</v>
      </c>
      <c r="CQ19" s="114">
        <f>SUMIFS('01. KE30'!$I:$I,'01. KE30'!$F:$F,'05. BC BH THEO SKU-USD'!$D19,'01. KE30'!$A:$A,'05. BC BH THEO SKU-USD'!CQ$4)/1000</f>
        <v>0</v>
      </c>
      <c r="CR19" s="114">
        <f>SUMIFS('01. KE30'!$I:$I,'01. KE30'!$F:$F,'05. BC BH THEO SKU-USD'!$D19,'01. KE30'!$A:$A,'05. BC BH THEO SKU-USD'!CR$4)/1000</f>
        <v>0</v>
      </c>
      <c r="CS19" s="114">
        <f>SUMIFS('01. KE30'!$I:$I,'01. KE30'!$F:$F,'05. BC BH THEO SKU-USD'!$D19,'01. KE30'!$A:$A,'05. BC BH THEO SKU-USD'!CS$4)/1000</f>
        <v>0</v>
      </c>
      <c r="CT19" s="114">
        <f>SUMIFS('01. KE30'!$I:$I,'01. KE30'!$F:$F,'05. BC BH THEO SKU-USD'!$D19,'01. KE30'!$A:$A,'05. BC BH THEO SKU-USD'!CT$4)/1000</f>
        <v>184.8</v>
      </c>
      <c r="CU19" s="114">
        <f>SUMIFS('01. KE30'!$I:$I,'01. KE30'!$F:$F,'05. BC BH THEO SKU-USD'!$D19,'01. KE30'!$A:$A,'05. BC BH THEO SKU-USD'!CU$4)/1000</f>
        <v>237.6</v>
      </c>
      <c r="CV19" s="114">
        <f>SUMIFS('01. KE30'!$I:$I,'01. KE30'!$F:$F,'05. BC BH THEO SKU-USD'!$D19,'01. KE30'!$A:$A,'05. BC BH THEO SKU-USD'!CV$4)/1000</f>
        <v>0</v>
      </c>
      <c r="CW19" s="114">
        <f>SUMIFS('01. KE30'!$I:$I,'01. KE30'!$F:$F,'05. BC BH THEO SKU-USD'!$D19,'01. KE30'!$A:$A,'05. BC BH THEO SKU-USD'!CW$4)/1000</f>
        <v>0</v>
      </c>
      <c r="CX19" s="114">
        <f>SUMIFS('01. KE30'!$I:$I,'01. KE30'!$F:$F,'05. BC BH THEO SKU-USD'!$D19,'01. KE30'!$A:$A,'05. BC BH THEO SKU-USD'!CX$4)/1000</f>
        <v>0</v>
      </c>
      <c r="CZ19" s="120">
        <f>SUM(DA19:DL19)</f>
        <v>591669.46842352941</v>
      </c>
      <c r="DA19" s="54" t="str">
        <f t="shared" ref="DA19:DA20" si="154">IFERROR(G19*CM19," -")</f>
        <v xml:space="preserve"> -</v>
      </c>
      <c r="DB19" s="54" t="str">
        <f t="shared" ref="DB19:DB20" si="155">IFERROR(H19*CN19," -")</f>
        <v xml:space="preserve"> -</v>
      </c>
      <c r="DC19" s="54" t="str">
        <f t="shared" ref="DC19:DC20" si="156">IFERROR(I19*CO19," -")</f>
        <v xml:space="preserve"> -</v>
      </c>
      <c r="DD19" s="54" t="str">
        <f t="shared" ref="DD19:DD20" si="157">IFERROR(J19*CP19," -")</f>
        <v xml:space="preserve"> -</v>
      </c>
      <c r="DE19" s="54" t="str">
        <f t="shared" ref="DE19:DE20" si="158">IFERROR(K19*CQ19," -")</f>
        <v xml:space="preserve"> -</v>
      </c>
      <c r="DF19" s="54" t="str">
        <f t="shared" ref="DF19:DF20" si="159">IFERROR(L19*CR19," -")</f>
        <v xml:space="preserve"> -</v>
      </c>
      <c r="DG19" s="54" t="str">
        <f t="shared" ref="DG19:DG20" si="160">IFERROR(M19*CS19," -")</f>
        <v xml:space="preserve"> -</v>
      </c>
      <c r="DH19" s="54">
        <f t="shared" ref="DH19:DH20" si="161">IFERROR(N19*CT19," -")</f>
        <v>259244.25882352941</v>
      </c>
      <c r="DI19" s="54">
        <f t="shared" ref="DI19:DI20" si="162">IFERROR(O19*CU19," -")</f>
        <v>332425.2096</v>
      </c>
      <c r="DJ19" s="54" t="str">
        <f t="shared" ref="DJ19:DJ20" si="163">IFERROR(P19*CV19," -")</f>
        <v xml:space="preserve"> -</v>
      </c>
      <c r="DK19" s="54" t="str">
        <f t="shared" ref="DK19:DK20" si="164">IFERROR(Q19*CW19," -")</f>
        <v xml:space="preserve"> -</v>
      </c>
      <c r="DL19" s="54" t="str">
        <f t="shared" ref="DL19:DL20" si="165">IFERROR(R19*CX19," -")</f>
        <v xml:space="preserve"> -</v>
      </c>
      <c r="DN19" s="112">
        <f t="shared" ref="DN19:DN20" si="166">SUM(DO19:DZ19)</f>
        <v>106757.08744914693</v>
      </c>
      <c r="DO19" s="114">
        <f>IFERROR(SUMIFS('01. KE30'!$X:$X,'01. KE30'!$F:$F,'05. BC BH THEO SKU-USD'!$D19,'01. KE30'!$A:$A,'05. BC BH THEO SKU-USD'!DO$4)-SUMIFS('01. KE30'!$AA:$AA,'01. KE30'!$F:$F,'05. BC BH THEO SKU-USD'!$D19,'01. KE30'!$A:$A,'05. BC BH THEO SKU-USD'!DO$4),"-")</f>
        <v>0</v>
      </c>
      <c r="DP19" s="114">
        <f>IFERROR(SUMIFS('01. KE30'!$X:$X,'01. KE30'!$F:$F,'05. BC BH THEO SKU-USD'!$D19,'01. KE30'!$A:$A,'05. BC BH THEO SKU-USD'!DP$4)-SUMIFS('01. KE30'!$AA:$AA,'01. KE30'!$F:$F,'05. BC BH THEO SKU-USD'!$D19,'01. KE30'!$A:$A,'05. BC BH THEO SKU-USD'!DP$4),"-")</f>
        <v>0</v>
      </c>
      <c r="DQ19" s="114">
        <f>IFERROR(SUMIFS('01. KE30'!$X:$X,'01. KE30'!$F:$F,'05. BC BH THEO SKU-USD'!$D19,'01. KE30'!$A:$A,'05. BC BH THEO SKU-USD'!DQ$4)-SUMIFS('01. KE30'!$AA:$AA,'01. KE30'!$F:$F,'05. BC BH THEO SKU-USD'!$D19,'01. KE30'!$A:$A,'05. BC BH THEO SKU-USD'!DQ$4),"-")</f>
        <v>0</v>
      </c>
      <c r="DR19" s="114">
        <f>IFERROR(SUMIFS('01. KE30'!$X:$X,'01. KE30'!$F:$F,'05. BC BH THEO SKU-USD'!$D19,'01. KE30'!$A:$A,'05. BC BH THEO SKU-USD'!DR$4)-SUMIFS('01. KE30'!$AA:$AA,'01. KE30'!$F:$F,'05. BC BH THEO SKU-USD'!$D19,'01. KE30'!$A:$A,'05. BC BH THEO SKU-USD'!DR$4),"-")</f>
        <v>0</v>
      </c>
      <c r="DS19" s="114">
        <f>IFERROR(SUMIFS('01. KE30'!$X:$X,'01. KE30'!$F:$F,'05. BC BH THEO SKU-USD'!$D19,'01. KE30'!$A:$A,'05. BC BH THEO SKU-USD'!DS$4)-SUMIFS('01. KE30'!$AA:$AA,'01. KE30'!$F:$F,'05. BC BH THEO SKU-USD'!$D19,'01. KE30'!$A:$A,'05. BC BH THEO SKU-USD'!DS$4),"-")</f>
        <v>0</v>
      </c>
      <c r="DT19" s="114">
        <f>IFERROR(SUMIFS('01. KE30'!$X:$X,'01. KE30'!$F:$F,'05. BC BH THEO SKU-USD'!$D19,'01. KE30'!$A:$A,'05. BC BH THEO SKU-USD'!DT$4)-SUMIFS('01. KE30'!$AA:$AA,'01. KE30'!$F:$F,'05. BC BH THEO SKU-USD'!$D19,'01. KE30'!$A:$A,'05. BC BH THEO SKU-USD'!DT$4),"-")</f>
        <v>0</v>
      </c>
      <c r="DU19" s="114">
        <f>IFERROR(SUMIFS('01. KE30'!$X:$X,'01. KE30'!$F:$F,'05. BC BH THEO SKU-USD'!$D19,'01. KE30'!$A:$A,'05. BC BH THEO SKU-USD'!DU$4)-SUMIFS('01. KE30'!$AA:$AA,'01. KE30'!$F:$F,'05. BC BH THEO SKU-USD'!$D19,'01. KE30'!$A:$A,'05. BC BH THEO SKU-USD'!DU$4),"-")</f>
        <v>0</v>
      </c>
      <c r="DV19" s="114">
        <f>IFERROR(SUMIFS('01. KE30'!$X:$X,'01. KE30'!$F:$F,'05. BC BH THEO SKU-USD'!$D19,'01. KE30'!$A:$A,'05. BC BH THEO SKU-USD'!DV$4)-SUMIFS('01. KE30'!$AA:$AA,'01. KE30'!$F:$F,'05. BC BH THEO SKU-USD'!$D19,'01. KE30'!$A:$A,'05. BC BH THEO SKU-USD'!DV$4),"-")</f>
        <v>47536.393430099328</v>
      </c>
      <c r="DW19" s="114">
        <f>IFERROR(SUMIFS('01. KE30'!$X:$X,'01. KE30'!$F:$F,'05. BC BH THEO SKU-USD'!$D19,'01. KE30'!$A:$A,'05. BC BH THEO SKU-USD'!DW$4)-SUMIFS('01. KE30'!$AA:$AA,'01. KE30'!$F:$F,'05. BC BH THEO SKU-USD'!$D19,'01. KE30'!$A:$A,'05. BC BH THEO SKU-USD'!DW$4),"-")</f>
        <v>59220.694019047602</v>
      </c>
      <c r="DX19" s="114">
        <f>IFERROR(SUMIFS('01. KE30'!$X:$X,'01. KE30'!$F:$F,'05. BC BH THEO SKU-USD'!$D19,'01. KE30'!$A:$A,'05. BC BH THEO SKU-USD'!DX$4)-SUMIFS('01. KE30'!$AA:$AA,'01. KE30'!$F:$F,'05. BC BH THEO SKU-USD'!$D19,'01. KE30'!$A:$A,'05. BC BH THEO SKU-USD'!DX$4),"-")</f>
        <v>0</v>
      </c>
      <c r="DY19" s="114">
        <f>IFERROR(SUMIFS('01. KE30'!$X:$X,'01. KE30'!$F:$F,'05. BC BH THEO SKU-USD'!$D19,'01. KE30'!$A:$A,'05. BC BH THEO SKU-USD'!DY$4)-SUMIFS('01. KE30'!$AA:$AA,'01. KE30'!$F:$F,'05. BC BH THEO SKU-USD'!$D19,'01. KE30'!$A:$A,'05. BC BH THEO SKU-USD'!DY$4),"-")</f>
        <v>0</v>
      </c>
      <c r="DZ19" s="114">
        <f>IFERROR(SUMIFS('01. KE30'!$X:$X,'01. KE30'!$F:$F,'05. BC BH THEO SKU-USD'!$D19,'01. KE30'!$A:$A,'05. BC BH THEO SKU-USD'!DZ$4)-SUMIFS('01. KE30'!$AA:$AA,'01. KE30'!$F:$F,'05. BC BH THEO SKU-USD'!$D19,'01. KE30'!$A:$A,'05. BC BH THEO SKU-USD'!DZ$4),"-")</f>
        <v>0</v>
      </c>
      <c r="EB19" s="576">
        <f t="shared" ref="EB19:EB20" si="167">IFERROR(DN19/CZ19,0)</f>
        <v>0.18043365957955426</v>
      </c>
      <c r="EC19" s="573">
        <f t="shared" ref="EC19:EC20" si="168">IFERROR(DO19/DA19,0)</f>
        <v>0</v>
      </c>
      <c r="ED19" s="573">
        <f t="shared" ref="ED19:ED20" si="169">IFERROR(DP19/DB19,0)</f>
        <v>0</v>
      </c>
      <c r="EE19" s="572">
        <f t="shared" ref="EE19:EE20" si="170">IFERROR(DQ19/DC19,0)</f>
        <v>0</v>
      </c>
      <c r="EF19" s="572">
        <f t="shared" ref="EF19:EF20" si="171">IFERROR(DR19/DD19,0)</f>
        <v>0</v>
      </c>
      <c r="EG19" s="572">
        <f t="shared" ref="EG19:EG20" si="172">IFERROR(DS19/DE19,0)</f>
        <v>0</v>
      </c>
      <c r="EH19" s="572">
        <f t="shared" ref="EH19:EH20" si="173">IFERROR(DT19/DF19,0)</f>
        <v>0</v>
      </c>
      <c r="EI19" s="572">
        <f t="shared" ref="EI19:EI20" si="174">IFERROR(DU19/DG19,0)</f>
        <v>0</v>
      </c>
      <c r="EJ19" s="572">
        <f t="shared" ref="EJ19:EJ20" si="175">IFERROR(DV19/DH19,0)</f>
        <v>0.18336526967201963</v>
      </c>
      <c r="EK19" s="572">
        <f t="shared" ref="EK19:EK20" si="176">IFERROR(DW19/DI19,0)</f>
        <v>0.17814742176234638</v>
      </c>
      <c r="EL19" s="572">
        <f t="shared" ref="EL19:EL20" si="177">IFERROR(DX19/DJ19,0)</f>
        <v>0</v>
      </c>
      <c r="EM19" s="572">
        <f t="shared" ref="EM19:EM20" si="178">IFERROR(DY19/DK19,0)</f>
        <v>0</v>
      </c>
      <c r="EN19" s="572">
        <f t="shared" ref="EN19:EN20" si="179">IFERROR(DZ19/DL19,0)</f>
        <v>0</v>
      </c>
    </row>
    <row r="20" spans="1:144" ht="15.5" outlineLevel="1" x14ac:dyDescent="0.35">
      <c r="A20" s="27">
        <v>15</v>
      </c>
      <c r="B20" s="27" t="s">
        <v>1089</v>
      </c>
      <c r="C20" s="36" t="s">
        <v>1089</v>
      </c>
      <c r="D20" s="459" t="s">
        <v>1086</v>
      </c>
      <c r="E20" s="28" t="s">
        <v>1087</v>
      </c>
      <c r="F20" s="92">
        <f t="shared" ref="F20" si="180">IFERROR(AVERAGE(G20:R20),"-")</f>
        <v>769.84126926406918</v>
      </c>
      <c r="G20" s="106" t="str">
        <f>IFERROR(SUMIFS('01. KE30'!$K:$K,'01. KE30'!$F:$F,'05. BC BH THEO SKU-USD'!$D20,'01. KE30'!$A:$A,'05. BC BH THEO SKU-USD'!G$4)/'05. BC BH THEO SKU-USD'!CM20/'02. Tỷ giá'!B$5,"-")</f>
        <v>-</v>
      </c>
      <c r="H20" s="106" t="str">
        <f>IFERROR(SUMIFS('01. KE30'!$K:$K,'01. KE30'!$F:$F,'05. BC BH THEO SKU-USD'!$D20,'01. KE30'!$A:$A,'05. BC BH THEO SKU-USD'!H$4)/'05. BC BH THEO SKU-USD'!CN20/'02. Tỷ giá'!C$5,"-")</f>
        <v>-</v>
      </c>
      <c r="I20" s="106" t="str">
        <f>IFERROR(SUMIFS('01. KE30'!$K:$K,'01. KE30'!$F:$F,'05. BC BH THEO SKU-USD'!$D20,'01. KE30'!$A:$A,'05. BC BH THEO SKU-USD'!I$4)/'05. BC BH THEO SKU-USD'!CO20/'02. Tỷ giá'!D$5,"-")</f>
        <v>-</v>
      </c>
      <c r="J20" s="106" t="str">
        <f>IFERROR(SUMIFS('01. KE30'!$K:$K,'01. KE30'!$F:$F,'05. BC BH THEO SKU-USD'!$D20,'01. KE30'!$A:$A,'05. BC BH THEO SKU-USD'!J$4)/'05. BC BH THEO SKU-USD'!CP20/'02. Tỷ giá'!E$5,"-")</f>
        <v>-</v>
      </c>
      <c r="K20" s="106" t="str">
        <f>IFERROR(SUMIFS('01. KE30'!$K:$K,'01. KE30'!$F:$F,'05. BC BH THEO SKU-USD'!$D20,'01. KE30'!$A:$A,'05. BC BH THEO SKU-USD'!K$4)/'05. BC BH THEO SKU-USD'!CQ20/'02. Tỷ giá'!F$5,"-")</f>
        <v>-</v>
      </c>
      <c r="L20" s="106" t="str">
        <f>IFERROR(SUMIFS('01. KE30'!$K:$K,'01. KE30'!$F:$F,'05. BC BH THEO SKU-USD'!$D20,'01. KE30'!$A:$A,'05. BC BH THEO SKU-USD'!L$4)/'05. BC BH THEO SKU-USD'!CR20/'02. Tỷ giá'!G$5,"-")</f>
        <v>-</v>
      </c>
      <c r="M20" s="106" t="str">
        <f>IFERROR(SUMIFS('01. KE30'!$K:$K,'01. KE30'!$F:$F,'05. BC BH THEO SKU-USD'!$D20,'01. KE30'!$A:$A,'05. BC BH THEO SKU-USD'!M$4)/'05. BC BH THEO SKU-USD'!CS20/'02. Tỷ giá'!H$5,"-")</f>
        <v>-</v>
      </c>
      <c r="N20" s="106" t="str">
        <f>IFERROR(SUMIFS('01. KE30'!$K:$K,'01. KE30'!$F:$F,'05. BC BH THEO SKU-USD'!$D20,'01. KE30'!$A:$A,'05. BC BH THEO SKU-USD'!N$4)/'05. BC BH THEO SKU-USD'!CT20/'02. Tỷ giá'!I$5,"-")</f>
        <v>-</v>
      </c>
      <c r="O20" s="106">
        <f>IFERROR(SUMIFS('01. KE30'!$K:$K,'01. KE30'!$F:$F,'05. BC BH THEO SKU-USD'!$D20,'01. KE30'!$A:$A,'05. BC BH THEO SKU-USD'!O$4)/'05. BC BH THEO SKU-USD'!CU20/'02. Tỷ giá'!J$5,"-")</f>
        <v>769.84126926406918</v>
      </c>
      <c r="P20" s="106" t="str">
        <f>IFERROR(SUMIFS('01. KE30'!$K:$K,'01. KE30'!$F:$F,'05. BC BH THEO SKU-USD'!$D20,'01. KE30'!$A:$A,'05. BC BH THEO SKU-USD'!P$4)/'05. BC BH THEO SKU-USD'!CV20/'02. Tỷ giá'!K$5,"-")</f>
        <v>-</v>
      </c>
      <c r="Q20" s="106" t="str">
        <f>IFERROR(SUMIFS('01. KE30'!$K:$K,'01. KE30'!$F:$F,'05. BC BH THEO SKU-USD'!$D20,'01. KE30'!$A:$A,'05. BC BH THEO SKU-USD'!Q$4)/'05. BC BH THEO SKU-USD'!CW20/'02. Tỷ giá'!L$5,"-")</f>
        <v>-</v>
      </c>
      <c r="R20" s="106" t="str">
        <f>IFERROR(SUMIFS('01. KE30'!$K:$K,'01. KE30'!$F:$F,'05. BC BH THEO SKU-USD'!$D20,'01. KE30'!$A:$A,'05. BC BH THEO SKU-USD'!R$4)/'05. BC BH THEO SKU-USD'!CX20/'02. Tỷ giá'!M$5,"-")</f>
        <v>-</v>
      </c>
      <c r="T20" s="92">
        <f t="shared" ref="T20" si="181">IFERROR(SUMPRODUCT(U20:AF20,CM20:CX20)/CL20,0)</f>
        <v>766.55122597402612</v>
      </c>
      <c r="U20" s="147" t="str">
        <f>IFERROR(SUMIFS('01. KE30'!$O:$O,'01. KE30'!$F:$F,'05. BC BH THEO SKU-USD'!$D20,'01. KE30'!$A:$A,'05. BC BH THEO SKU-USD'!G$4)/'05. BC BH THEO SKU-USD'!CM20/'02. Tỷ giá'!B$5,"-")</f>
        <v>-</v>
      </c>
      <c r="V20" s="147" t="str">
        <f>IFERROR(SUMIFS('01. KE30'!$O:$O,'01. KE30'!$F:$F,'05. BC BH THEO SKU-USD'!$D20,'01. KE30'!$A:$A,'05. BC BH THEO SKU-USD'!H$4)/'05. BC BH THEO SKU-USD'!CN20/'02. Tỷ giá'!C$5,"-")</f>
        <v>-</v>
      </c>
      <c r="W20" s="147" t="str">
        <f>IFERROR(SUMIFS('01. KE30'!$O:$O,'01. KE30'!$F:$F,'05. BC BH THEO SKU-USD'!$D20,'01. KE30'!$A:$A,'05. BC BH THEO SKU-USD'!I$4)/'05. BC BH THEO SKU-USD'!CO20/'02. Tỷ giá'!D$5,"-")</f>
        <v>-</v>
      </c>
      <c r="X20" s="147" t="str">
        <f>IFERROR(SUMIFS('01. KE30'!$O:$O,'01. KE30'!$F:$F,'05. BC BH THEO SKU-USD'!$D20,'01. KE30'!$A:$A,'05. BC BH THEO SKU-USD'!J$4)/'05. BC BH THEO SKU-USD'!CP20/'02. Tỷ giá'!E$5,"-")</f>
        <v>-</v>
      </c>
      <c r="Y20" s="147" t="str">
        <f>IFERROR(SUMIFS('01. KE30'!$O:$O,'01. KE30'!$F:$F,'05. BC BH THEO SKU-USD'!$D20,'01. KE30'!$A:$A,'05. BC BH THEO SKU-USD'!K$4)/'05. BC BH THEO SKU-USD'!CQ20/'02. Tỷ giá'!F$5,"-")</f>
        <v>-</v>
      </c>
      <c r="Z20" s="147" t="str">
        <f>IFERROR(SUMIFS('01. KE30'!$O:$O,'01. KE30'!$F:$F,'05. BC BH THEO SKU-USD'!$D20,'01. KE30'!$A:$A,'05. BC BH THEO SKU-USD'!L$4)/'05. BC BH THEO SKU-USD'!CR20/'02. Tỷ giá'!G$5,"-")</f>
        <v>-</v>
      </c>
      <c r="AA20" s="147" t="str">
        <f>IFERROR(SUMIFS('01. KE30'!$O:$O,'01. KE30'!$F:$F,'05. BC BH THEO SKU-USD'!$D20,'01. KE30'!$A:$A,'05. BC BH THEO SKU-USD'!M$4)/'05. BC BH THEO SKU-USD'!CS20/'02. Tỷ giá'!H$5,"-")</f>
        <v>-</v>
      </c>
      <c r="AB20" s="147" t="str">
        <f>IFERROR(SUMIFS('01. KE30'!$O:$O,'01. KE30'!$F:$F,'05. BC BH THEO SKU-USD'!$D20,'01. KE30'!$A:$A,'05. BC BH THEO SKU-USD'!N$4)/'05. BC BH THEO SKU-USD'!CT20/'02. Tỷ giá'!I$5,"-")</f>
        <v>-</v>
      </c>
      <c r="AC20" s="147">
        <f>IFERROR(SUMIFS('01. KE30'!$O:$O,'01. KE30'!$F:$F,'05. BC BH THEO SKU-USD'!$D20,'01. KE30'!$A:$A,'05. BC BH THEO SKU-USD'!O$4)/'05. BC BH THEO SKU-USD'!CU20/'02. Tỷ giá'!J$5,"-")</f>
        <v>766.55122597402601</v>
      </c>
      <c r="AD20" s="147" t="str">
        <f>IFERROR(SUMIFS('01. KE30'!$O:$O,'01. KE30'!$F:$F,'05. BC BH THEO SKU-USD'!$D20,'01. KE30'!$A:$A,'05. BC BH THEO SKU-USD'!P$4)/'05. BC BH THEO SKU-USD'!CV20/'02. Tỷ giá'!K$5,"-")</f>
        <v>-</v>
      </c>
      <c r="AE20" s="147" t="str">
        <f>IFERROR(SUMIFS('01. KE30'!$O:$O,'01. KE30'!$F:$F,'05. BC BH THEO SKU-USD'!$D20,'01. KE30'!$A:$A,'05. BC BH THEO SKU-USD'!Q$4)/'05. BC BH THEO SKU-USD'!CW20/'02. Tỷ giá'!L$5,"-")</f>
        <v>-</v>
      </c>
      <c r="AF20" s="147" t="str">
        <f>IFERROR(SUMIFS('01. KE30'!$O:$O,'01. KE30'!$F:$F,'05. BC BH THEO SKU-USD'!$D20,'01. KE30'!$A:$A,'05. BC BH THEO SKU-USD'!R$4)/'05. BC BH THEO SKU-USD'!CX20/'02. Tỷ giá'!M$5,"-")</f>
        <v>-</v>
      </c>
      <c r="AH20" s="92">
        <f t="shared" si="126"/>
        <v>722</v>
      </c>
      <c r="AI20" s="25"/>
      <c r="AJ20" s="4"/>
      <c r="AK20" s="4"/>
      <c r="AL20" s="4"/>
      <c r="AM20" s="4"/>
      <c r="AN20" s="4"/>
      <c r="AO20" s="4"/>
      <c r="AP20" s="4"/>
      <c r="AQ20" s="25">
        <v>722</v>
      </c>
      <c r="AR20" s="25"/>
      <c r="AS20" s="4"/>
      <c r="AT20" s="4"/>
      <c r="AV20" s="95">
        <f t="shared" si="127"/>
        <v>44.551225974026124</v>
      </c>
      <c r="AW20" s="95" t="str">
        <f t="shared" si="128"/>
        <v>-</v>
      </c>
      <c r="AX20" s="95" t="str">
        <f t="shared" si="129"/>
        <v>-</v>
      </c>
      <c r="AY20" s="95" t="str">
        <f t="shared" si="130"/>
        <v>-</v>
      </c>
      <c r="AZ20" s="95" t="str">
        <f t="shared" si="131"/>
        <v>-</v>
      </c>
      <c r="BA20" s="95" t="str">
        <f t="shared" si="132"/>
        <v>-</v>
      </c>
      <c r="BB20" s="95" t="str">
        <f t="shared" si="133"/>
        <v>-</v>
      </c>
      <c r="BC20" s="95" t="str">
        <f t="shared" si="134"/>
        <v>-</v>
      </c>
      <c r="BD20" s="95" t="str">
        <f t="shared" si="135"/>
        <v>-</v>
      </c>
      <c r="BE20" s="95">
        <f t="shared" si="136"/>
        <v>44.551225974026011</v>
      </c>
      <c r="BF20" s="95" t="str">
        <f t="shared" si="137"/>
        <v>-</v>
      </c>
      <c r="BG20" s="95" t="str">
        <f t="shared" si="138"/>
        <v>-</v>
      </c>
      <c r="BH20" s="95" t="str">
        <f t="shared" si="139"/>
        <v>-</v>
      </c>
      <c r="BJ20" s="143">
        <f t="shared" si="140"/>
        <v>6.1705299133000172E-2</v>
      </c>
      <c r="BK20" s="143" t="str">
        <f t="shared" si="141"/>
        <v>-</v>
      </c>
      <c r="BL20" s="143" t="str">
        <f t="shared" si="142"/>
        <v>-</v>
      </c>
      <c r="BM20" s="143" t="str">
        <f t="shared" si="143"/>
        <v>-</v>
      </c>
      <c r="BN20" s="143" t="str">
        <f t="shared" si="144"/>
        <v>-</v>
      </c>
      <c r="BO20" s="143" t="str">
        <f t="shared" si="145"/>
        <v>-</v>
      </c>
      <c r="BP20" s="143" t="str">
        <f t="shared" si="146"/>
        <v>-</v>
      </c>
      <c r="BQ20" s="143" t="str">
        <f t="shared" si="147"/>
        <v>-</v>
      </c>
      <c r="BR20" s="143" t="str">
        <f t="shared" si="148"/>
        <v>-</v>
      </c>
      <c r="BS20" s="143">
        <f t="shared" si="149"/>
        <v>6.1705299133000012E-2</v>
      </c>
      <c r="BT20" s="143" t="str">
        <f t="shared" si="150"/>
        <v>-</v>
      </c>
      <c r="BU20" s="143" t="str">
        <f t="shared" si="151"/>
        <v>-</v>
      </c>
      <c r="BV20" s="143" t="str">
        <f t="shared" si="152"/>
        <v>-</v>
      </c>
      <c r="BX20" s="112">
        <f t="shared" si="153"/>
        <v>1138.9406337662338</v>
      </c>
      <c r="BY20" s="95" t="str">
        <f>IFERROR(SUMIFS('01. KE30'!$R:$R,'01. KE30'!$F:$F,'05. BC BH THEO SKU-USD'!$D20,'01. KE30'!$A:$A,'05. BC BH THEO SKU-USD'!BY$4)/CM20/'02. Tỷ giá'!B$5," -")</f>
        <v xml:space="preserve"> -</v>
      </c>
      <c r="BZ20" s="95" t="str">
        <f>IFERROR(SUMIFS('01. KE30'!$R:$R,'01. KE30'!$F:$F,'05. BC BH THEO SKU-USD'!$D20,'01. KE30'!$A:$A,'05. BC BH THEO SKU-USD'!BZ$4)/CN20/'02. Tỷ giá'!C$5," -")</f>
        <v xml:space="preserve"> -</v>
      </c>
      <c r="CA20" s="95" t="str">
        <f>IFERROR(SUMIFS('01. KE30'!$R:$R,'01. KE30'!$F:$F,'05. BC BH THEO SKU-USD'!$D20,'01. KE30'!$A:$A,'05. BC BH THEO SKU-USD'!CA$4)/CO20/'02. Tỷ giá'!D$5," -")</f>
        <v xml:space="preserve"> -</v>
      </c>
      <c r="CB20" s="95" t="str">
        <f>IFERROR(SUMIFS('01. KE30'!$R:$R,'01. KE30'!$F:$F,'05. BC BH THEO SKU-USD'!$D20,'01. KE30'!$A:$A,'05. BC BH THEO SKU-USD'!CB$4)/CP20/'02. Tỷ giá'!E$5," -")</f>
        <v xml:space="preserve"> -</v>
      </c>
      <c r="CC20" s="95" t="str">
        <f>IFERROR(SUMIFS('01. KE30'!$R:$R,'01. KE30'!$F:$F,'05. BC BH THEO SKU-USD'!$D20,'01. KE30'!$A:$A,'05. BC BH THEO SKU-USD'!CC$4)/CQ20/'02. Tỷ giá'!F$5," -")</f>
        <v xml:space="preserve"> -</v>
      </c>
      <c r="CD20" s="95" t="str">
        <f>IFERROR(SUMIFS('01. KE30'!$R:$R,'01. KE30'!$F:$F,'05. BC BH THEO SKU-USD'!$D20,'01. KE30'!$A:$A,'05. BC BH THEO SKU-USD'!CD$4)/CR20/'02. Tỷ giá'!G$5," -")</f>
        <v xml:space="preserve"> -</v>
      </c>
      <c r="CE20" s="95" t="str">
        <f>IFERROR(SUMIFS('01. KE30'!$R:$R,'01. KE30'!$F:$F,'05. BC BH THEO SKU-USD'!$D20,'01. KE30'!$A:$A,'05. BC BH THEO SKU-USD'!CE$4)/CS20/'02. Tỷ giá'!H$5," -")</f>
        <v xml:space="preserve"> -</v>
      </c>
      <c r="CF20" s="95" t="str">
        <f>IFERROR(SUMIFS('01. KE30'!$R:$R,'01. KE30'!$F:$F,'05. BC BH THEO SKU-USD'!$D20,'01. KE30'!$A:$A,'05. BC BH THEO SKU-USD'!CF$4)/CT20/'02. Tỷ giá'!I$5," -")</f>
        <v xml:space="preserve"> -</v>
      </c>
      <c r="CG20" s="95">
        <f>IFERROR(SUMIFS('01. KE30'!$R:$R,'01. KE30'!$F:$F,'05. BC BH THEO SKU-USD'!$D20,'01. KE30'!$A:$A,'05. BC BH THEO SKU-USD'!CG$4)/CU20/'02. Tỷ giá'!J$5," -")</f>
        <v>1138.9406337662338</v>
      </c>
      <c r="CH20" s="95" t="str">
        <f>IFERROR(SUMIFS('01. KE30'!$R:$R,'01. KE30'!$F:$F,'05. BC BH THEO SKU-USD'!$D20,'01. KE30'!$A:$A,'05. BC BH THEO SKU-USD'!CH$4)/CV20/'02. Tỷ giá'!K$5," -")</f>
        <v xml:space="preserve"> -</v>
      </c>
      <c r="CI20" s="95" t="str">
        <f>IFERROR(SUMIFS('01. KE30'!$R:$R,'01. KE30'!$F:$F,'05. BC BH THEO SKU-USD'!$D20,'01. KE30'!$A:$A,'05. BC BH THEO SKU-USD'!CI$4)/CW20/'02. Tỷ giá'!L$5," -")</f>
        <v xml:space="preserve"> -</v>
      </c>
      <c r="CJ20" s="95" t="str">
        <f>IFERROR(SUMIFS('01. KE30'!$R:$R,'01. KE30'!$F:$F,'05. BC BH THEO SKU-USD'!$D20,'01. KE30'!$A:$A,'05. BC BH THEO SKU-USD'!CJ$4)/CX20/'02. Tỷ giá'!M$5," -")</f>
        <v xml:space="preserve"> -</v>
      </c>
      <c r="CL20" s="120">
        <f>SUM(CM20:CX20)</f>
        <v>44</v>
      </c>
      <c r="CM20" s="114">
        <f>SUMIFS('01. KE30'!$I:$I,'01. KE30'!$F:$F,'05. BC BH THEO SKU-USD'!$D20,'01. KE30'!$A:$A,'05. BC BH THEO SKU-USD'!CM$4)/1000</f>
        <v>0</v>
      </c>
      <c r="CN20" s="114">
        <f>SUMIFS('01. KE30'!$I:$I,'01. KE30'!$F:$F,'05. BC BH THEO SKU-USD'!$D20,'01. KE30'!$A:$A,'05. BC BH THEO SKU-USD'!CN$4)/1000</f>
        <v>0</v>
      </c>
      <c r="CO20" s="114">
        <f>SUMIFS('01. KE30'!$I:$I,'01. KE30'!$F:$F,'05. BC BH THEO SKU-USD'!$D20,'01. KE30'!$A:$A,'05. BC BH THEO SKU-USD'!CO$4)/1000</f>
        <v>0</v>
      </c>
      <c r="CP20" s="114">
        <f>SUMIFS('01. KE30'!$I:$I,'01. KE30'!$F:$F,'05. BC BH THEO SKU-USD'!$D20,'01. KE30'!$A:$A,'05. BC BH THEO SKU-USD'!CP$4)/1000</f>
        <v>0</v>
      </c>
      <c r="CQ20" s="114">
        <f>SUMIFS('01. KE30'!$I:$I,'01. KE30'!$F:$F,'05. BC BH THEO SKU-USD'!$D20,'01. KE30'!$A:$A,'05. BC BH THEO SKU-USD'!CQ$4)/1000</f>
        <v>0</v>
      </c>
      <c r="CR20" s="114">
        <f>SUMIFS('01. KE30'!$I:$I,'01. KE30'!$F:$F,'05. BC BH THEO SKU-USD'!$D20,'01. KE30'!$A:$A,'05. BC BH THEO SKU-USD'!CR$4)/1000</f>
        <v>0</v>
      </c>
      <c r="CS20" s="114">
        <f>SUMIFS('01. KE30'!$I:$I,'01. KE30'!$F:$F,'05. BC BH THEO SKU-USD'!$D20,'01. KE30'!$A:$A,'05. BC BH THEO SKU-USD'!CS$4)/1000</f>
        <v>0</v>
      </c>
      <c r="CT20" s="114">
        <f>SUMIFS('01. KE30'!$I:$I,'01. KE30'!$F:$F,'05. BC BH THEO SKU-USD'!$D20,'01. KE30'!$A:$A,'05. BC BH THEO SKU-USD'!CT$4)/1000</f>
        <v>0</v>
      </c>
      <c r="CU20" s="114">
        <f>SUMIFS('01. KE30'!$I:$I,'01. KE30'!$F:$F,'05. BC BH THEO SKU-USD'!$D20,'01. KE30'!$A:$A,'05. BC BH THEO SKU-USD'!CU$4)/1000</f>
        <v>44</v>
      </c>
      <c r="CV20" s="114">
        <f>SUMIFS('01. KE30'!$I:$I,'01. KE30'!$F:$F,'05. BC BH THEO SKU-USD'!$D20,'01. KE30'!$A:$A,'05. BC BH THEO SKU-USD'!CV$4)/1000</f>
        <v>0</v>
      </c>
      <c r="CW20" s="114">
        <f>SUMIFS('01. KE30'!$I:$I,'01. KE30'!$F:$F,'05. BC BH THEO SKU-USD'!$D20,'01. KE30'!$A:$A,'05. BC BH THEO SKU-USD'!CW$4)/1000</f>
        <v>0</v>
      </c>
      <c r="CX20" s="114">
        <f>SUMIFS('01. KE30'!$I:$I,'01. KE30'!$F:$F,'05. BC BH THEO SKU-USD'!$D20,'01. KE30'!$A:$A,'05. BC BH THEO SKU-USD'!CX$4)/1000</f>
        <v>0</v>
      </c>
      <c r="CZ20" s="120">
        <f>SUM(DA20:DL20)</f>
        <v>33873.015847619041</v>
      </c>
      <c r="DA20" s="54" t="str">
        <f t="shared" si="154"/>
        <v xml:space="preserve"> -</v>
      </c>
      <c r="DB20" s="54" t="str">
        <f t="shared" si="155"/>
        <v xml:space="preserve"> -</v>
      </c>
      <c r="DC20" s="54" t="str">
        <f t="shared" si="156"/>
        <v xml:space="preserve"> -</v>
      </c>
      <c r="DD20" s="54" t="str">
        <f t="shared" si="157"/>
        <v xml:space="preserve"> -</v>
      </c>
      <c r="DE20" s="54" t="str">
        <f t="shared" si="158"/>
        <v xml:space="preserve"> -</v>
      </c>
      <c r="DF20" s="54" t="str">
        <f t="shared" si="159"/>
        <v xml:space="preserve"> -</v>
      </c>
      <c r="DG20" s="54" t="str">
        <f t="shared" si="160"/>
        <v xml:space="preserve"> -</v>
      </c>
      <c r="DH20" s="54" t="str">
        <f t="shared" si="161"/>
        <v xml:space="preserve"> -</v>
      </c>
      <c r="DI20" s="54">
        <f t="shared" si="162"/>
        <v>33873.015847619041</v>
      </c>
      <c r="DJ20" s="54" t="str">
        <f t="shared" si="163"/>
        <v xml:space="preserve"> -</v>
      </c>
      <c r="DK20" s="54" t="str">
        <f t="shared" si="164"/>
        <v xml:space="preserve"> -</v>
      </c>
      <c r="DL20" s="54" t="str">
        <f t="shared" si="165"/>
        <v xml:space="preserve"> -</v>
      </c>
      <c r="DN20" s="112">
        <f t="shared" si="166"/>
        <v>-16385.133942857145</v>
      </c>
      <c r="DO20" s="114">
        <f>IFERROR(SUMIFS('01. KE30'!$X:$X,'01. KE30'!$F:$F,'05. BC BH THEO SKU-USD'!$D20,'01. KE30'!$A:$A,'05. BC BH THEO SKU-USD'!DO$4)-SUMIFS('01. KE30'!$AA:$AA,'01. KE30'!$F:$F,'05. BC BH THEO SKU-USD'!$D20,'01. KE30'!$A:$A,'05. BC BH THEO SKU-USD'!DO$4),"-")</f>
        <v>0</v>
      </c>
      <c r="DP20" s="114">
        <f>IFERROR(SUMIFS('01. KE30'!$X:$X,'01. KE30'!$F:$F,'05. BC BH THEO SKU-USD'!$D20,'01. KE30'!$A:$A,'05. BC BH THEO SKU-USD'!DP$4)-SUMIFS('01. KE30'!$AA:$AA,'01. KE30'!$F:$F,'05. BC BH THEO SKU-USD'!$D20,'01. KE30'!$A:$A,'05. BC BH THEO SKU-USD'!DP$4),"-")</f>
        <v>0</v>
      </c>
      <c r="DQ20" s="114">
        <f>IFERROR(SUMIFS('01. KE30'!$X:$X,'01. KE30'!$F:$F,'05. BC BH THEO SKU-USD'!$D20,'01. KE30'!$A:$A,'05. BC BH THEO SKU-USD'!DQ$4)-SUMIFS('01. KE30'!$AA:$AA,'01. KE30'!$F:$F,'05. BC BH THEO SKU-USD'!$D20,'01. KE30'!$A:$A,'05. BC BH THEO SKU-USD'!DQ$4),"-")</f>
        <v>0</v>
      </c>
      <c r="DR20" s="114">
        <f>IFERROR(SUMIFS('01. KE30'!$X:$X,'01. KE30'!$F:$F,'05. BC BH THEO SKU-USD'!$D20,'01. KE30'!$A:$A,'05. BC BH THEO SKU-USD'!DR$4)-SUMIFS('01. KE30'!$AA:$AA,'01. KE30'!$F:$F,'05. BC BH THEO SKU-USD'!$D20,'01. KE30'!$A:$A,'05. BC BH THEO SKU-USD'!DR$4),"-")</f>
        <v>0</v>
      </c>
      <c r="DS20" s="114">
        <f>IFERROR(SUMIFS('01. KE30'!$X:$X,'01. KE30'!$F:$F,'05. BC BH THEO SKU-USD'!$D20,'01. KE30'!$A:$A,'05. BC BH THEO SKU-USD'!DS$4)-SUMIFS('01. KE30'!$AA:$AA,'01. KE30'!$F:$F,'05. BC BH THEO SKU-USD'!$D20,'01. KE30'!$A:$A,'05. BC BH THEO SKU-USD'!DS$4),"-")</f>
        <v>0</v>
      </c>
      <c r="DT20" s="114">
        <f>IFERROR(SUMIFS('01. KE30'!$X:$X,'01. KE30'!$F:$F,'05. BC BH THEO SKU-USD'!$D20,'01. KE30'!$A:$A,'05. BC BH THEO SKU-USD'!DT$4)-SUMIFS('01. KE30'!$AA:$AA,'01. KE30'!$F:$F,'05. BC BH THEO SKU-USD'!$D20,'01. KE30'!$A:$A,'05. BC BH THEO SKU-USD'!DT$4),"-")</f>
        <v>0</v>
      </c>
      <c r="DU20" s="114">
        <f>IFERROR(SUMIFS('01. KE30'!$X:$X,'01. KE30'!$F:$F,'05. BC BH THEO SKU-USD'!$D20,'01. KE30'!$A:$A,'05. BC BH THEO SKU-USD'!DU$4)-SUMIFS('01. KE30'!$AA:$AA,'01. KE30'!$F:$F,'05. BC BH THEO SKU-USD'!$D20,'01. KE30'!$A:$A,'05. BC BH THEO SKU-USD'!DU$4),"-")</f>
        <v>0</v>
      </c>
      <c r="DV20" s="114">
        <f>IFERROR(SUMIFS('01. KE30'!$X:$X,'01. KE30'!$F:$F,'05. BC BH THEO SKU-USD'!$D20,'01. KE30'!$A:$A,'05. BC BH THEO SKU-USD'!DV$4)-SUMIFS('01. KE30'!$AA:$AA,'01. KE30'!$F:$F,'05. BC BH THEO SKU-USD'!$D20,'01. KE30'!$A:$A,'05. BC BH THEO SKU-USD'!DV$4),"-")</f>
        <v>0</v>
      </c>
      <c r="DW20" s="114">
        <f>IFERROR(SUMIFS('01. KE30'!$X:$X,'01. KE30'!$F:$F,'05. BC BH THEO SKU-USD'!$D20,'01. KE30'!$A:$A,'05. BC BH THEO SKU-USD'!DW$4)-SUMIFS('01. KE30'!$AA:$AA,'01. KE30'!$F:$F,'05. BC BH THEO SKU-USD'!$D20,'01. KE30'!$A:$A,'05. BC BH THEO SKU-USD'!DW$4),"-")</f>
        <v>-16385.133942857145</v>
      </c>
      <c r="DX20" s="114">
        <f>IFERROR(SUMIFS('01. KE30'!$X:$X,'01. KE30'!$F:$F,'05. BC BH THEO SKU-USD'!$D20,'01. KE30'!$A:$A,'05. BC BH THEO SKU-USD'!DX$4)-SUMIFS('01. KE30'!$AA:$AA,'01. KE30'!$F:$F,'05. BC BH THEO SKU-USD'!$D20,'01. KE30'!$A:$A,'05. BC BH THEO SKU-USD'!DX$4),"-")</f>
        <v>0</v>
      </c>
      <c r="DY20" s="114">
        <f>IFERROR(SUMIFS('01. KE30'!$X:$X,'01. KE30'!$F:$F,'05. BC BH THEO SKU-USD'!$D20,'01. KE30'!$A:$A,'05. BC BH THEO SKU-USD'!DY$4)-SUMIFS('01. KE30'!$AA:$AA,'01. KE30'!$F:$F,'05. BC BH THEO SKU-USD'!$D20,'01. KE30'!$A:$A,'05. BC BH THEO SKU-USD'!DY$4),"-")</f>
        <v>0</v>
      </c>
      <c r="DZ20" s="114">
        <f>IFERROR(SUMIFS('01. KE30'!$X:$X,'01. KE30'!$F:$F,'05. BC BH THEO SKU-USD'!$D20,'01. KE30'!$A:$A,'05. BC BH THEO SKU-USD'!DZ$4)-SUMIFS('01. KE30'!$AA:$AA,'01. KE30'!$F:$F,'05. BC BH THEO SKU-USD'!$D20,'01. KE30'!$A:$A,'05. BC BH THEO SKU-USD'!DZ$4),"-")</f>
        <v>0</v>
      </c>
      <c r="EB20" s="576">
        <f t="shared" si="167"/>
        <v>-0.48372232388657732</v>
      </c>
      <c r="EC20" s="573">
        <f t="shared" si="168"/>
        <v>0</v>
      </c>
      <c r="ED20" s="573">
        <f t="shared" si="169"/>
        <v>0</v>
      </c>
      <c r="EE20" s="572">
        <f t="shared" si="170"/>
        <v>0</v>
      </c>
      <c r="EF20" s="572">
        <f t="shared" si="171"/>
        <v>0</v>
      </c>
      <c r="EG20" s="572">
        <f t="shared" si="172"/>
        <v>0</v>
      </c>
      <c r="EH20" s="572">
        <f t="shared" si="173"/>
        <v>0</v>
      </c>
      <c r="EI20" s="572">
        <f t="shared" si="174"/>
        <v>0</v>
      </c>
      <c r="EJ20" s="572">
        <f t="shared" si="175"/>
        <v>0</v>
      </c>
      <c r="EK20" s="572">
        <f t="shared" si="176"/>
        <v>-0.48372232388657732</v>
      </c>
      <c r="EL20" s="572">
        <f t="shared" si="177"/>
        <v>0</v>
      </c>
      <c r="EM20" s="572">
        <f t="shared" si="178"/>
        <v>0</v>
      </c>
      <c r="EN20" s="572">
        <f t="shared" si="179"/>
        <v>0</v>
      </c>
    </row>
    <row r="21" spans="1:144" ht="15.5" outlineLevel="1" x14ac:dyDescent="0.35">
      <c r="A21" s="27">
        <v>15</v>
      </c>
      <c r="B21" s="27" t="s">
        <v>166</v>
      </c>
      <c r="C21" s="36" t="s">
        <v>973</v>
      </c>
      <c r="D21" s="459" t="s">
        <v>971</v>
      </c>
      <c r="E21" s="28" t="s">
        <v>972</v>
      </c>
      <c r="F21" s="92">
        <f t="shared" si="67"/>
        <v>1207.6757587399154</v>
      </c>
      <c r="G21" s="106" t="str">
        <f>IFERROR(SUMIFS('01. KE30'!$K:$K,'01. KE30'!$F:$F,'05. BC BH THEO SKU-USD'!$D21,'01. KE30'!$A:$A,'05. BC BH THEO SKU-USD'!G$4)/'05. BC BH THEO SKU-USD'!CM21/'02. Tỷ giá'!B$5,"-")</f>
        <v>-</v>
      </c>
      <c r="H21" s="106" t="str">
        <f>IFERROR(SUMIFS('01. KE30'!$K:$K,'01. KE30'!$F:$F,'05. BC BH THEO SKU-USD'!$D21,'01. KE30'!$A:$A,'05. BC BH THEO SKU-USD'!H$4)/'05. BC BH THEO SKU-USD'!CN21/'02. Tỷ giá'!C$5,"-")</f>
        <v>-</v>
      </c>
      <c r="I21" s="106" t="str">
        <f>IFERROR(SUMIFS('01. KE30'!$K:$K,'01. KE30'!$F:$F,'05. BC BH THEO SKU-USD'!$D21,'01. KE30'!$A:$A,'05. BC BH THEO SKU-USD'!I$4)/'05. BC BH THEO SKU-USD'!CO21/'02. Tỷ giá'!D$5,"-")</f>
        <v>-</v>
      </c>
      <c r="J21" s="106" t="str">
        <f>IFERROR(SUMIFS('01. KE30'!$K:$K,'01. KE30'!$F:$F,'05. BC BH THEO SKU-USD'!$D21,'01. KE30'!$A:$A,'05. BC BH THEO SKU-USD'!J$4)/'05. BC BH THEO SKU-USD'!CP21/'02. Tỷ giá'!E$5,"-")</f>
        <v>-</v>
      </c>
      <c r="K21" s="106" t="str">
        <f>IFERROR(SUMIFS('01. KE30'!$K:$K,'01. KE30'!$F:$F,'05. BC BH THEO SKU-USD'!$D21,'01. KE30'!$A:$A,'05. BC BH THEO SKU-USD'!K$4)/'05. BC BH THEO SKU-USD'!CQ21/'02. Tỷ giá'!F$5,"-")</f>
        <v>-</v>
      </c>
      <c r="L21" s="106" t="str">
        <f>IFERROR(SUMIFS('01. KE30'!$K:$K,'01. KE30'!$F:$F,'05. BC BH THEO SKU-USD'!$D21,'01. KE30'!$A:$A,'05. BC BH THEO SKU-USD'!L$4)/'05. BC BH THEO SKU-USD'!CR21/'02. Tỷ giá'!G$5,"-")</f>
        <v>-</v>
      </c>
      <c r="M21" s="106">
        <f>IFERROR(SUMIFS('01. KE30'!$K:$K,'01. KE30'!$F:$F,'05. BC BH THEO SKU-USD'!$D21,'01. KE30'!$A:$A,'05. BC BH THEO SKU-USD'!M$4)/'05. BC BH THEO SKU-USD'!CS21/'02. Tỷ giá'!H$5,"-")</f>
        <v>1207.6757587399154</v>
      </c>
      <c r="N21" s="106" t="str">
        <f>IFERROR(SUMIFS('01. KE30'!$K:$K,'01. KE30'!$F:$F,'05. BC BH THEO SKU-USD'!$D21,'01. KE30'!$A:$A,'05. BC BH THEO SKU-USD'!N$4)/'05. BC BH THEO SKU-USD'!CT21/'02. Tỷ giá'!I$5,"-")</f>
        <v>-</v>
      </c>
      <c r="O21" s="106" t="str">
        <f>IFERROR(SUMIFS('01. KE30'!$K:$K,'01. KE30'!$F:$F,'05. BC BH THEO SKU-USD'!$D21,'01. KE30'!$A:$A,'05. BC BH THEO SKU-USD'!O$4)/'05. BC BH THEO SKU-USD'!CU21/'02. Tỷ giá'!J$5,"-")</f>
        <v>-</v>
      </c>
      <c r="P21" s="106" t="str">
        <f>IFERROR(SUMIFS('01. KE30'!$K:$K,'01. KE30'!$F:$F,'05. BC BH THEO SKU-USD'!$D21,'01. KE30'!$A:$A,'05. BC BH THEO SKU-USD'!P$4)/'05. BC BH THEO SKU-USD'!CV21/'02. Tỷ giá'!K$5,"-")</f>
        <v>-</v>
      </c>
      <c r="Q21" s="106" t="str">
        <f>IFERROR(SUMIFS('01. KE30'!$K:$K,'01. KE30'!$F:$F,'05. BC BH THEO SKU-USD'!$D21,'01. KE30'!$A:$A,'05. BC BH THEO SKU-USD'!Q$4)/'05. BC BH THEO SKU-USD'!CW21/'02. Tỷ giá'!L$5,"-")</f>
        <v>-</v>
      </c>
      <c r="R21" s="106" t="str">
        <f>IFERROR(SUMIFS('01. KE30'!$K:$K,'01. KE30'!$F:$F,'05. BC BH THEO SKU-USD'!$D21,'01. KE30'!$A:$A,'05. BC BH THEO SKU-USD'!R$4)/'05. BC BH THEO SKU-USD'!CX21/'02. Tỷ giá'!M$5,"-")</f>
        <v>-</v>
      </c>
      <c r="T21" s="92">
        <f t="shared" si="35"/>
        <v>1186.3927829248898</v>
      </c>
      <c r="U21" s="147" t="str">
        <f>IFERROR(SUMIFS('01. KE30'!$O:$O,'01. KE30'!$F:$F,'05. BC BH THEO SKU-USD'!$D21,'01. KE30'!$A:$A,'05. BC BH THEO SKU-USD'!G$4)/'05. BC BH THEO SKU-USD'!CM21/'02. Tỷ giá'!B$5,"-")</f>
        <v>-</v>
      </c>
      <c r="V21" s="147" t="str">
        <f>IFERROR(SUMIFS('01. KE30'!$O:$O,'01. KE30'!$F:$F,'05. BC BH THEO SKU-USD'!$D21,'01. KE30'!$A:$A,'05. BC BH THEO SKU-USD'!H$4)/'05. BC BH THEO SKU-USD'!CN21/'02. Tỷ giá'!C$5,"-")</f>
        <v>-</v>
      </c>
      <c r="W21" s="147" t="str">
        <f>IFERROR(SUMIFS('01. KE30'!$O:$O,'01. KE30'!$F:$F,'05. BC BH THEO SKU-USD'!$D21,'01. KE30'!$A:$A,'05. BC BH THEO SKU-USD'!I$4)/'05. BC BH THEO SKU-USD'!CO21/'02. Tỷ giá'!D$5,"-")</f>
        <v>-</v>
      </c>
      <c r="X21" s="147" t="str">
        <f>IFERROR(SUMIFS('01. KE30'!$O:$O,'01. KE30'!$F:$F,'05. BC BH THEO SKU-USD'!$D21,'01. KE30'!$A:$A,'05. BC BH THEO SKU-USD'!J$4)/'05. BC BH THEO SKU-USD'!CP21/'02. Tỷ giá'!E$5,"-")</f>
        <v>-</v>
      </c>
      <c r="Y21" s="147" t="str">
        <f>IFERROR(SUMIFS('01. KE30'!$O:$O,'01. KE30'!$F:$F,'05. BC BH THEO SKU-USD'!$D21,'01. KE30'!$A:$A,'05. BC BH THEO SKU-USD'!K$4)/'05. BC BH THEO SKU-USD'!CQ21/'02. Tỷ giá'!F$5,"-")</f>
        <v>-</v>
      </c>
      <c r="Z21" s="147" t="str">
        <f>IFERROR(SUMIFS('01. KE30'!$O:$O,'01. KE30'!$F:$F,'05. BC BH THEO SKU-USD'!$D21,'01. KE30'!$A:$A,'05. BC BH THEO SKU-USD'!L$4)/'05. BC BH THEO SKU-USD'!CR21/'02. Tỷ giá'!G$5,"-")</f>
        <v>-</v>
      </c>
      <c r="AA21" s="147">
        <f>IFERROR(SUMIFS('01. KE30'!$O:$O,'01. KE30'!$F:$F,'05. BC BH THEO SKU-USD'!$D21,'01. KE30'!$A:$A,'05. BC BH THEO SKU-USD'!M$4)/'05. BC BH THEO SKU-USD'!CS21/'02. Tỷ giá'!H$5,"-")</f>
        <v>1186.3927829248898</v>
      </c>
      <c r="AB21" s="147" t="str">
        <f>IFERROR(SUMIFS('01. KE30'!$O:$O,'01. KE30'!$F:$F,'05. BC BH THEO SKU-USD'!$D21,'01. KE30'!$A:$A,'05. BC BH THEO SKU-USD'!N$4)/'05. BC BH THEO SKU-USD'!CT21/'02. Tỷ giá'!I$5,"-")</f>
        <v>-</v>
      </c>
      <c r="AC21" s="147" t="str">
        <f>IFERROR(SUMIFS('01. KE30'!$O:$O,'01. KE30'!$F:$F,'05. BC BH THEO SKU-USD'!$D21,'01. KE30'!$A:$A,'05. BC BH THEO SKU-USD'!O$4)/'05. BC BH THEO SKU-USD'!CU21/'02. Tỷ giá'!J$5,"-")</f>
        <v>-</v>
      </c>
      <c r="AD21" s="147" t="str">
        <f>IFERROR(SUMIFS('01. KE30'!$O:$O,'01. KE30'!$F:$F,'05. BC BH THEO SKU-USD'!$D21,'01. KE30'!$A:$A,'05. BC BH THEO SKU-USD'!P$4)/'05. BC BH THEO SKU-USD'!CV21/'02. Tỷ giá'!K$5,"-")</f>
        <v>-</v>
      </c>
      <c r="AE21" s="147" t="str">
        <f>IFERROR(SUMIFS('01. KE30'!$O:$O,'01. KE30'!$F:$F,'05. BC BH THEO SKU-USD'!$D21,'01. KE30'!$A:$A,'05. BC BH THEO SKU-USD'!Q$4)/'05. BC BH THEO SKU-USD'!CW21/'02. Tỷ giá'!L$5,"-")</f>
        <v>-</v>
      </c>
      <c r="AF21" s="147" t="str">
        <f>IFERROR(SUMIFS('01. KE30'!$O:$O,'01. KE30'!$F:$F,'05. BC BH THEO SKU-USD'!$D21,'01. KE30'!$A:$A,'05. BC BH THEO SKU-USD'!R$4)/'05. BC BH THEO SKU-USD'!CX21/'02. Tỷ giá'!M$5,"-")</f>
        <v>-</v>
      </c>
      <c r="AH21" s="92">
        <f t="shared" ref="AH21" si="182">IFERROR(AVERAGE(AI21:AT21),"-")</f>
        <v>1230</v>
      </c>
      <c r="AI21" s="25"/>
      <c r="AJ21" s="4"/>
      <c r="AK21" s="4"/>
      <c r="AL21" s="4"/>
      <c r="AM21" s="4"/>
      <c r="AN21" s="4"/>
      <c r="AO21" s="4">
        <v>1250</v>
      </c>
      <c r="AP21" s="4">
        <f>AP6</f>
        <v>1220</v>
      </c>
      <c r="AQ21" s="25">
        <v>1220</v>
      </c>
      <c r="AR21" s="25"/>
      <c r="AS21" s="4"/>
      <c r="AT21" s="4"/>
      <c r="AV21" s="95">
        <f t="shared" ref="AV21" si="183">IF(F21&lt;&gt;"-",T21-AH21,"-")</f>
        <v>-43.607217075110157</v>
      </c>
      <c r="AW21" s="95" t="str">
        <f t="shared" ref="AW21" si="184">IF(G21&lt;&gt;"-",U21-AI21,"-")</f>
        <v>-</v>
      </c>
      <c r="AX21" s="95" t="str">
        <f t="shared" ref="AX21" si="185">IF(H21&lt;&gt;"-",V21-AJ21,"-")</f>
        <v>-</v>
      </c>
      <c r="AY21" s="95" t="str">
        <f t="shared" ref="AY21" si="186">IF(I21&lt;&gt;"-",W21-AK21,"-")</f>
        <v>-</v>
      </c>
      <c r="AZ21" s="95" t="str">
        <f t="shared" ref="AZ21" si="187">IF(J21&lt;&gt;"-",X21-AL21,"-")</f>
        <v>-</v>
      </c>
      <c r="BA21" s="95" t="str">
        <f t="shared" ref="BA21" si="188">IF(K21&lt;&gt;"-",Y21-AM21,"-")</f>
        <v>-</v>
      </c>
      <c r="BB21" s="95" t="str">
        <f t="shared" ref="BB21" si="189">IF(L21&lt;&gt;"-",Z21-AN21,"-")</f>
        <v>-</v>
      </c>
      <c r="BC21" s="95">
        <f t="shared" ref="BC21" si="190">IF(M21&lt;&gt;"-",AA21-AO21,"-")</f>
        <v>-63.607217075110157</v>
      </c>
      <c r="BD21" s="95" t="str">
        <f t="shared" ref="BD21" si="191">IF(N21&lt;&gt;"-",AB21-AP21,"-")</f>
        <v>-</v>
      </c>
      <c r="BE21" s="95" t="str">
        <f t="shared" ref="BE21" si="192">IF(O21&lt;&gt;"-",AC21-AQ21,"-")</f>
        <v>-</v>
      </c>
      <c r="BF21" s="95" t="str">
        <f t="shared" ref="BF21" si="193">IF(P21&lt;&gt;"-",AD21-AR21,"-")</f>
        <v>-</v>
      </c>
      <c r="BG21" s="95" t="str">
        <f t="shared" ref="BG21" si="194">IF(Q21&lt;&gt;"-",AE21-AS21,"-")</f>
        <v>-</v>
      </c>
      <c r="BH21" s="95" t="str">
        <f t="shared" ref="BH21" si="195">IF(R21&lt;&gt;"-",AF21-AT21,"-")</f>
        <v>-</v>
      </c>
      <c r="BJ21" s="143">
        <f t="shared" ref="BJ21" si="196">IFERROR(IF(AV21&lt;&gt;"-",AV21/AH21,"-"),"-")</f>
        <v>-3.5453022012284681E-2</v>
      </c>
      <c r="BK21" s="143" t="str">
        <f t="shared" ref="BK21" si="197">IFERROR(IF(AW21&lt;&gt;"-",AW21/AI21,"-"),"-")</f>
        <v>-</v>
      </c>
      <c r="BL21" s="143" t="str">
        <f t="shared" ref="BL21" si="198">IFERROR(IF(AX21&lt;&gt;"-",AX21/AJ21,"-"),"-")</f>
        <v>-</v>
      </c>
      <c r="BM21" s="143" t="str">
        <f t="shared" ref="BM21" si="199">IFERROR(IF(AY21&lt;&gt;"-",AY21/AK21,"-"),"-")</f>
        <v>-</v>
      </c>
      <c r="BN21" s="143" t="str">
        <f t="shared" ref="BN21" si="200">IFERROR(IF(AZ21&lt;&gt;"-",AZ21/AL21,"-"),"-")</f>
        <v>-</v>
      </c>
      <c r="BO21" s="143" t="str">
        <f t="shared" ref="BO21" si="201">IFERROR(IF(BA21&lt;&gt;"-",BA21/AM21,"-"),"-")</f>
        <v>-</v>
      </c>
      <c r="BP21" s="143" t="str">
        <f t="shared" ref="BP21" si="202">IFERROR(IF(BB21&lt;&gt;"-",BB21/AN21,"-"),"-")</f>
        <v>-</v>
      </c>
      <c r="BQ21" s="143">
        <f t="shared" ref="BQ21" si="203">IFERROR(IF(BC21&lt;&gt;"-",BC21/AO21,"-"),"-")</f>
        <v>-5.0885773660088125E-2</v>
      </c>
      <c r="BR21" s="143" t="str">
        <f t="shared" ref="BR21" si="204">IFERROR(IF(BD21&lt;&gt;"-",BD21/AP21,"-"),"-")</f>
        <v>-</v>
      </c>
      <c r="BS21" s="143" t="str">
        <f t="shared" ref="BS21" si="205">IFERROR(IF(BE21&lt;&gt;"-",BE21/AQ21,"-"),"-")</f>
        <v>-</v>
      </c>
      <c r="BT21" s="143" t="str">
        <f t="shared" ref="BT21" si="206">IFERROR(IF(BF21&lt;&gt;"-",BF21/AR21,"-"),"-")</f>
        <v>-</v>
      </c>
      <c r="BU21" s="143" t="str">
        <f t="shared" ref="BU21" si="207">IFERROR(IF(BG21&lt;&gt;"-",BG21/AS21,"-"),"-")</f>
        <v>-</v>
      </c>
      <c r="BV21" s="143" t="str">
        <f t="shared" ref="BV21" si="208">IFERROR(IF(BH21&lt;&gt;"-",BH21/AT21,"-"),"-")</f>
        <v>-</v>
      </c>
      <c r="BX21" s="112">
        <f t="shared" ref="BX21" si="209">IFERROR(AVERAGE(BY21:CJ21),"-")</f>
        <v>1024.7490498440977</v>
      </c>
      <c r="BY21" s="95" t="str">
        <f>IFERROR(SUMIFS('01. KE30'!$R:$R,'01. KE30'!$F:$F,'05. BC BH THEO SKU-USD'!$D21,'01. KE30'!$A:$A,'05. BC BH THEO SKU-USD'!BY$4)/CM21/'02. Tỷ giá'!B$5," -")</f>
        <v xml:space="preserve"> -</v>
      </c>
      <c r="BZ21" s="95" t="str">
        <f>IFERROR(SUMIFS('01. KE30'!$R:$R,'01. KE30'!$F:$F,'05. BC BH THEO SKU-USD'!$D21,'01. KE30'!$A:$A,'05. BC BH THEO SKU-USD'!BZ$4)/CN21/'02. Tỷ giá'!C$5," -")</f>
        <v xml:space="preserve"> -</v>
      </c>
      <c r="CA21" s="95" t="str">
        <f>IFERROR(SUMIFS('01. KE30'!$R:$R,'01. KE30'!$F:$F,'05. BC BH THEO SKU-USD'!$D21,'01. KE30'!$A:$A,'05. BC BH THEO SKU-USD'!CA$4)/CO21/'02. Tỷ giá'!D$5," -")</f>
        <v xml:space="preserve"> -</v>
      </c>
      <c r="CB21" s="95" t="str">
        <f>IFERROR(SUMIFS('01. KE30'!$R:$R,'01. KE30'!$F:$F,'05. BC BH THEO SKU-USD'!$D21,'01. KE30'!$A:$A,'05. BC BH THEO SKU-USD'!CB$4)/CP21/'02. Tỷ giá'!E$5," -")</f>
        <v xml:space="preserve"> -</v>
      </c>
      <c r="CC21" s="95" t="str">
        <f>IFERROR(SUMIFS('01. KE30'!$R:$R,'01. KE30'!$F:$F,'05. BC BH THEO SKU-USD'!$D21,'01. KE30'!$A:$A,'05. BC BH THEO SKU-USD'!CC$4)/CQ21/'02. Tỷ giá'!F$5," -")</f>
        <v xml:space="preserve"> -</v>
      </c>
      <c r="CD21" s="95" t="str">
        <f>IFERROR(SUMIFS('01. KE30'!$R:$R,'01. KE30'!$F:$F,'05. BC BH THEO SKU-USD'!$D21,'01. KE30'!$A:$A,'05. BC BH THEO SKU-USD'!CD$4)/CR21/'02. Tỷ giá'!G$5," -")</f>
        <v xml:space="preserve"> -</v>
      </c>
      <c r="CE21" s="95">
        <f>IFERROR(SUMIFS('01. KE30'!$R:$R,'01. KE30'!$F:$F,'05. BC BH THEO SKU-USD'!$D21,'01. KE30'!$A:$A,'05. BC BH THEO SKU-USD'!CE$4)/CS21/'02. Tỷ giá'!H$5," -")</f>
        <v>1024.7490498440977</v>
      </c>
      <c r="CF21" s="95" t="str">
        <f>IFERROR(SUMIFS('01. KE30'!$R:$R,'01. KE30'!$F:$F,'05. BC BH THEO SKU-USD'!$D21,'01. KE30'!$A:$A,'05. BC BH THEO SKU-USD'!CF$4)/CT21/'02. Tỷ giá'!I$5," -")</f>
        <v xml:space="preserve"> -</v>
      </c>
      <c r="CG21" s="95" t="str">
        <f>IFERROR(SUMIFS('01. KE30'!$R:$R,'01. KE30'!$F:$F,'05. BC BH THEO SKU-USD'!$D21,'01. KE30'!$A:$A,'05. BC BH THEO SKU-USD'!CG$4)/CU21/'02. Tỷ giá'!J$5," -")</f>
        <v xml:space="preserve"> -</v>
      </c>
      <c r="CH21" s="95" t="str">
        <f>IFERROR(SUMIFS('01. KE30'!$R:$R,'01. KE30'!$F:$F,'05. BC BH THEO SKU-USD'!$D21,'01. KE30'!$A:$A,'05. BC BH THEO SKU-USD'!CH$4)/CV21/'02. Tỷ giá'!K$5," -")</f>
        <v xml:space="preserve"> -</v>
      </c>
      <c r="CI21" s="95" t="str">
        <f>IFERROR(SUMIFS('01. KE30'!$R:$R,'01. KE30'!$F:$F,'05. BC BH THEO SKU-USD'!$D21,'01. KE30'!$A:$A,'05. BC BH THEO SKU-USD'!CI$4)/CW21/'02. Tỷ giá'!L$5," -")</f>
        <v xml:space="preserve"> -</v>
      </c>
      <c r="CJ21" s="95" t="str">
        <f>IFERROR(SUMIFS('01. KE30'!$R:$R,'01. KE30'!$F:$F,'05. BC BH THEO SKU-USD'!$D21,'01. KE30'!$A:$A,'05. BC BH THEO SKU-USD'!CJ$4)/CX21/'02. Tỷ giá'!M$5," -")</f>
        <v xml:space="preserve"> -</v>
      </c>
      <c r="CL21" s="120">
        <f>SUM(CM21:CX21)</f>
        <v>21.5</v>
      </c>
      <c r="CM21" s="114">
        <f>SUMIFS('01. KE30'!$I:$I,'01. KE30'!$F:$F,'05. BC BH THEO SKU-USD'!$D21,'01. KE30'!$A:$A,'05. BC BH THEO SKU-USD'!CM$4)/1000</f>
        <v>0</v>
      </c>
      <c r="CN21" s="114">
        <f>SUMIFS('01. KE30'!$I:$I,'01. KE30'!$F:$F,'05. BC BH THEO SKU-USD'!$D21,'01. KE30'!$A:$A,'05. BC BH THEO SKU-USD'!CN$4)/1000</f>
        <v>0</v>
      </c>
      <c r="CO21" s="114">
        <f>SUMIFS('01. KE30'!$I:$I,'01. KE30'!$F:$F,'05. BC BH THEO SKU-USD'!$D21,'01. KE30'!$A:$A,'05. BC BH THEO SKU-USD'!CO$4)/1000</f>
        <v>0</v>
      </c>
      <c r="CP21" s="114">
        <f>SUMIFS('01. KE30'!$I:$I,'01. KE30'!$F:$F,'05. BC BH THEO SKU-USD'!$D21,'01. KE30'!$A:$A,'05. BC BH THEO SKU-USD'!CP$4)/1000</f>
        <v>0</v>
      </c>
      <c r="CQ21" s="114">
        <f>SUMIFS('01. KE30'!$I:$I,'01. KE30'!$F:$F,'05. BC BH THEO SKU-USD'!$D21,'01. KE30'!$A:$A,'05. BC BH THEO SKU-USD'!CQ$4)/1000</f>
        <v>0</v>
      </c>
      <c r="CR21" s="114">
        <f>SUMIFS('01. KE30'!$I:$I,'01. KE30'!$F:$F,'05. BC BH THEO SKU-USD'!$D21,'01. KE30'!$A:$A,'05. BC BH THEO SKU-USD'!CR$4)/1000</f>
        <v>0</v>
      </c>
      <c r="CS21" s="114">
        <f>SUMIFS('01. KE30'!$I:$I,'01. KE30'!$F:$F,'05. BC BH THEO SKU-USD'!$D21,'01. KE30'!$A:$A,'05. BC BH THEO SKU-USD'!CS$4)/1000</f>
        <v>21.5</v>
      </c>
      <c r="CT21" s="114">
        <f>SUMIFS('01. KE30'!$I:$I,'01. KE30'!$F:$F,'05. BC BH THEO SKU-USD'!$D21,'01. KE30'!$A:$A,'05. BC BH THEO SKU-USD'!CT$4)/1000</f>
        <v>0</v>
      </c>
      <c r="CU21" s="114">
        <f>SUMIFS('01. KE30'!$I:$I,'01. KE30'!$F:$F,'05. BC BH THEO SKU-USD'!$D21,'01. KE30'!$A:$A,'05. BC BH THEO SKU-USD'!CU$4)/1000</f>
        <v>0</v>
      </c>
      <c r="CV21" s="114">
        <f>SUMIFS('01. KE30'!$I:$I,'01. KE30'!$F:$F,'05. BC BH THEO SKU-USD'!$D21,'01. KE30'!$A:$A,'05. BC BH THEO SKU-USD'!CV$4)/1000</f>
        <v>0</v>
      </c>
      <c r="CW21" s="114">
        <f>SUMIFS('01. KE30'!$I:$I,'01. KE30'!$F:$F,'05. BC BH THEO SKU-USD'!$D21,'01. KE30'!$A:$A,'05. BC BH THEO SKU-USD'!CW$4)/1000</f>
        <v>0</v>
      </c>
      <c r="CX21" s="114">
        <f>SUMIFS('01. KE30'!$I:$I,'01. KE30'!$F:$F,'05. BC BH THEO SKU-USD'!$D21,'01. KE30'!$A:$A,'05. BC BH THEO SKU-USD'!CX$4)/1000</f>
        <v>0</v>
      </c>
      <c r="CZ21" s="120">
        <f>SUM(DA21:DL21)</f>
        <v>25965.028812908182</v>
      </c>
      <c r="DA21" s="54" t="str">
        <f t="shared" ref="DA21" si="210">IFERROR(G21*CM21," -")</f>
        <v xml:space="preserve"> -</v>
      </c>
      <c r="DB21" s="54" t="str">
        <f t="shared" ref="DB21" si="211">IFERROR(H21*CN21," -")</f>
        <v xml:space="preserve"> -</v>
      </c>
      <c r="DC21" s="54" t="str">
        <f t="shared" ref="DC21" si="212">IFERROR(I21*CO21," -")</f>
        <v xml:space="preserve"> -</v>
      </c>
      <c r="DD21" s="54" t="str">
        <f t="shared" ref="DD21" si="213">IFERROR(J21*CP21," -")</f>
        <v xml:space="preserve"> -</v>
      </c>
      <c r="DE21" s="54" t="str">
        <f t="shared" ref="DE21" si="214">IFERROR(K21*CQ21," -")</f>
        <v xml:space="preserve"> -</v>
      </c>
      <c r="DF21" s="54" t="str">
        <f t="shared" ref="DF21" si="215">IFERROR(L21*CR21," -")</f>
        <v xml:space="preserve"> -</v>
      </c>
      <c r="DG21" s="54">
        <f t="shared" ref="DG21" si="216">IFERROR(M21*CS21," -")</f>
        <v>25965.028812908182</v>
      </c>
      <c r="DH21" s="54" t="str">
        <f t="shared" ref="DH21" si="217">IFERROR(N21*CT21," -")</f>
        <v xml:space="preserve"> -</v>
      </c>
      <c r="DI21" s="54" t="str">
        <f t="shared" ref="DI21" si="218">IFERROR(O21*CU21," -")</f>
        <v xml:space="preserve"> -</v>
      </c>
      <c r="DJ21" s="54" t="str">
        <f t="shared" ref="DJ21" si="219">IFERROR(P21*CV21," -")</f>
        <v xml:space="preserve"> -</v>
      </c>
      <c r="DK21" s="54" t="str">
        <f t="shared" ref="DK21" si="220">IFERROR(Q21*CW21," -")</f>
        <v xml:space="preserve"> -</v>
      </c>
      <c r="DL21" s="54" t="str">
        <f t="shared" ref="DL21" si="221">IFERROR(R21*CX21," -")</f>
        <v xml:space="preserve"> -</v>
      </c>
      <c r="DN21" s="112">
        <f t="shared" ref="DN21" si="222">SUM(DO21:DZ21)</f>
        <v>3475.3402612370337</v>
      </c>
      <c r="DO21" s="114">
        <f>IFERROR(SUMIFS('01. KE30'!$X:$X,'01. KE30'!$F:$F,'05. BC BH THEO SKU-USD'!$D21,'01. KE30'!$A:$A,'05. BC BH THEO SKU-USD'!DO$4)-SUMIFS('01. KE30'!$AA:$AA,'01. KE30'!$F:$F,'05. BC BH THEO SKU-USD'!$D21,'01. KE30'!$A:$A,'05. BC BH THEO SKU-USD'!DO$4),"-")</f>
        <v>0</v>
      </c>
      <c r="DP21" s="114">
        <f>IFERROR(SUMIFS('01. KE30'!$X:$X,'01. KE30'!$F:$F,'05. BC BH THEO SKU-USD'!$D21,'01. KE30'!$A:$A,'05. BC BH THEO SKU-USD'!DP$4)-SUMIFS('01. KE30'!$AA:$AA,'01. KE30'!$F:$F,'05. BC BH THEO SKU-USD'!$D21,'01. KE30'!$A:$A,'05. BC BH THEO SKU-USD'!DP$4),"-")</f>
        <v>0</v>
      </c>
      <c r="DQ21" s="114">
        <f>IFERROR(SUMIFS('01. KE30'!$X:$X,'01. KE30'!$F:$F,'05. BC BH THEO SKU-USD'!$D21,'01. KE30'!$A:$A,'05. BC BH THEO SKU-USD'!DQ$4)-SUMIFS('01. KE30'!$AA:$AA,'01. KE30'!$F:$F,'05. BC BH THEO SKU-USD'!$D21,'01. KE30'!$A:$A,'05. BC BH THEO SKU-USD'!DQ$4),"-")</f>
        <v>0</v>
      </c>
      <c r="DR21" s="114">
        <f>IFERROR(SUMIFS('01. KE30'!$X:$X,'01. KE30'!$F:$F,'05. BC BH THEO SKU-USD'!$D21,'01. KE30'!$A:$A,'05. BC BH THEO SKU-USD'!DR$4)-SUMIFS('01. KE30'!$AA:$AA,'01. KE30'!$F:$F,'05. BC BH THEO SKU-USD'!$D21,'01. KE30'!$A:$A,'05. BC BH THEO SKU-USD'!DR$4),"-")</f>
        <v>0</v>
      </c>
      <c r="DS21" s="114">
        <f>IFERROR(SUMIFS('01. KE30'!$X:$X,'01. KE30'!$F:$F,'05. BC BH THEO SKU-USD'!$D21,'01. KE30'!$A:$A,'05. BC BH THEO SKU-USD'!DS$4)-SUMIFS('01. KE30'!$AA:$AA,'01. KE30'!$F:$F,'05. BC BH THEO SKU-USD'!$D21,'01. KE30'!$A:$A,'05. BC BH THEO SKU-USD'!DS$4),"-")</f>
        <v>0</v>
      </c>
      <c r="DT21" s="114">
        <f>IFERROR(SUMIFS('01. KE30'!$X:$X,'01. KE30'!$F:$F,'05. BC BH THEO SKU-USD'!$D21,'01. KE30'!$A:$A,'05. BC BH THEO SKU-USD'!DT$4)-SUMIFS('01. KE30'!$AA:$AA,'01. KE30'!$F:$F,'05. BC BH THEO SKU-USD'!$D21,'01. KE30'!$A:$A,'05. BC BH THEO SKU-USD'!DT$4),"-")</f>
        <v>0</v>
      </c>
      <c r="DU21" s="114">
        <f>IFERROR(SUMIFS('01. KE30'!$X:$X,'01. KE30'!$F:$F,'05. BC BH THEO SKU-USD'!$D21,'01. KE30'!$A:$A,'05. BC BH THEO SKU-USD'!DU$4)-SUMIFS('01. KE30'!$AA:$AA,'01. KE30'!$F:$F,'05. BC BH THEO SKU-USD'!$D21,'01. KE30'!$A:$A,'05. BC BH THEO SKU-USD'!DU$4),"-")</f>
        <v>3475.3402612370337</v>
      </c>
      <c r="DV21" s="114">
        <f>IFERROR(SUMIFS('01. KE30'!$X:$X,'01. KE30'!$F:$F,'05. BC BH THEO SKU-USD'!$D21,'01. KE30'!$A:$A,'05. BC BH THEO SKU-USD'!DV$4)-SUMIFS('01. KE30'!$AA:$AA,'01. KE30'!$F:$F,'05. BC BH THEO SKU-USD'!$D21,'01. KE30'!$A:$A,'05. BC BH THEO SKU-USD'!DV$4),"-")</f>
        <v>0</v>
      </c>
      <c r="DW21" s="114">
        <f>IFERROR(SUMIFS('01. KE30'!$X:$X,'01. KE30'!$F:$F,'05. BC BH THEO SKU-USD'!$D21,'01. KE30'!$A:$A,'05. BC BH THEO SKU-USD'!DW$4)-SUMIFS('01. KE30'!$AA:$AA,'01. KE30'!$F:$F,'05. BC BH THEO SKU-USD'!$D21,'01. KE30'!$A:$A,'05. BC BH THEO SKU-USD'!DW$4),"-")</f>
        <v>0</v>
      </c>
      <c r="DX21" s="114">
        <f>IFERROR(SUMIFS('01. KE30'!$X:$X,'01. KE30'!$F:$F,'05. BC BH THEO SKU-USD'!$D21,'01. KE30'!$A:$A,'05. BC BH THEO SKU-USD'!DX$4)-SUMIFS('01. KE30'!$AA:$AA,'01. KE30'!$F:$F,'05. BC BH THEO SKU-USD'!$D21,'01. KE30'!$A:$A,'05. BC BH THEO SKU-USD'!DX$4),"-")</f>
        <v>0</v>
      </c>
      <c r="DY21" s="114">
        <f>IFERROR(SUMIFS('01. KE30'!$X:$X,'01. KE30'!$F:$F,'05. BC BH THEO SKU-USD'!$D21,'01. KE30'!$A:$A,'05. BC BH THEO SKU-USD'!DY$4)-SUMIFS('01. KE30'!$AA:$AA,'01. KE30'!$F:$F,'05. BC BH THEO SKU-USD'!$D21,'01. KE30'!$A:$A,'05. BC BH THEO SKU-USD'!DY$4),"-")</f>
        <v>0</v>
      </c>
      <c r="DZ21" s="114">
        <f>IFERROR(SUMIFS('01. KE30'!$X:$X,'01. KE30'!$F:$F,'05. BC BH THEO SKU-USD'!$D21,'01. KE30'!$A:$A,'05. BC BH THEO SKU-USD'!DZ$4)-SUMIFS('01. KE30'!$AA:$AA,'01. KE30'!$F:$F,'05. BC BH THEO SKU-USD'!$D21,'01. KE30'!$A:$A,'05. BC BH THEO SKU-USD'!DZ$4),"-")</f>
        <v>0</v>
      </c>
      <c r="EB21" s="576">
        <f t="shared" ref="EB21" si="223">IFERROR(DN21/CZ21,0)</f>
        <v>0.1338469634013775</v>
      </c>
      <c r="EC21" s="573">
        <f t="shared" ref="EC21" si="224">IFERROR(DO21/DA21,0)</f>
        <v>0</v>
      </c>
      <c r="ED21" s="573">
        <f t="shared" ref="ED21" si="225">IFERROR(DP21/DB21,0)</f>
        <v>0</v>
      </c>
      <c r="EE21" s="572">
        <f t="shared" ref="EE21" si="226">IFERROR(DQ21/DC21,0)</f>
        <v>0</v>
      </c>
      <c r="EF21" s="572">
        <f t="shared" ref="EF21" si="227">IFERROR(DR21/DD21,0)</f>
        <v>0</v>
      </c>
      <c r="EG21" s="572">
        <f t="shared" ref="EG21" si="228">IFERROR(DS21/DE21,0)</f>
        <v>0</v>
      </c>
      <c r="EH21" s="572">
        <f t="shared" ref="EH21" si="229">IFERROR(DT21/DF21,0)</f>
        <v>0</v>
      </c>
      <c r="EI21" s="572">
        <f t="shared" ref="EI21" si="230">IFERROR(DU21/DG21,0)</f>
        <v>0.1338469634013775</v>
      </c>
      <c r="EJ21" s="572">
        <f t="shared" ref="EJ21" si="231">IFERROR(DV21/DH21,0)</f>
        <v>0</v>
      </c>
      <c r="EK21" s="572">
        <f t="shared" ref="EK21" si="232">IFERROR(DW21/DI21,0)</f>
        <v>0</v>
      </c>
      <c r="EL21" s="572">
        <f t="shared" ref="EL21" si="233">IFERROR(DX21/DJ21,0)</f>
        <v>0</v>
      </c>
      <c r="EM21" s="572">
        <f t="shared" ref="EM21" si="234">IFERROR(DY21/DK21,0)</f>
        <v>0</v>
      </c>
      <c r="EN21" s="572">
        <f t="shared" ref="EN21" si="235">IFERROR(DZ21/DL21,0)</f>
        <v>0</v>
      </c>
    </row>
    <row r="22" spans="1:144" s="14" customFormat="1" ht="15" x14ac:dyDescent="0.3">
      <c r="A22" s="58" t="s">
        <v>96</v>
      </c>
      <c r="B22" s="474"/>
      <c r="C22" s="249"/>
      <c r="D22" s="461" t="s">
        <v>342</v>
      </c>
      <c r="E22" s="60"/>
      <c r="F22" s="145">
        <f t="shared" ref="F22:R22" si="236">IFERROR(AVERAGE(F23:F27),"-")</f>
        <v>845.7251655396866</v>
      </c>
      <c r="G22" s="145">
        <f t="shared" si="236"/>
        <v>762.74588518667201</v>
      </c>
      <c r="H22" s="145">
        <f t="shared" si="236"/>
        <v>750.29539188656952</v>
      </c>
      <c r="I22" s="145">
        <f t="shared" si="236"/>
        <v>748.03149606299212</v>
      </c>
      <c r="J22" s="145">
        <f t="shared" si="236"/>
        <v>1130</v>
      </c>
      <c r="K22" s="145" t="str">
        <f t="shared" si="236"/>
        <v>-</v>
      </c>
      <c r="L22" s="145">
        <f t="shared" si="236"/>
        <v>667.08251825240632</v>
      </c>
      <c r="M22" s="145">
        <f t="shared" si="236"/>
        <v>668.61896630811634</v>
      </c>
      <c r="N22" s="145">
        <f t="shared" si="236"/>
        <v>675.01111085621289</v>
      </c>
      <c r="O22" s="145">
        <f t="shared" si="236"/>
        <v>678.09523809523807</v>
      </c>
      <c r="P22" s="145" t="str">
        <f t="shared" si="236"/>
        <v>-</v>
      </c>
      <c r="Q22" s="145" t="str">
        <f t="shared" si="236"/>
        <v>-</v>
      </c>
      <c r="R22" s="145" t="str">
        <f t="shared" si="236"/>
        <v>-</v>
      </c>
      <c r="T22" s="698">
        <f t="shared" ref="T22:AF22" si="237">IFERROR(SUMPRODUCT(T23:T28,CL23:CL28)/CL22,0)</f>
        <v>672.51651602043262</v>
      </c>
      <c r="U22" s="698">
        <f t="shared" si="237"/>
        <v>762.74588518667213</v>
      </c>
      <c r="V22" s="698">
        <f t="shared" si="237"/>
        <v>749.63896547197066</v>
      </c>
      <c r="W22" s="698">
        <f t="shared" si="237"/>
        <v>748.03149606299212</v>
      </c>
      <c r="X22" s="698">
        <f t="shared" si="237"/>
        <v>1044.8277197057685</v>
      </c>
      <c r="Y22" s="698">
        <f t="shared" si="237"/>
        <v>0</v>
      </c>
      <c r="Z22" s="698">
        <f t="shared" si="237"/>
        <v>639.41893315768675</v>
      </c>
      <c r="AA22" s="698">
        <f t="shared" si="237"/>
        <v>668.64282778818756</v>
      </c>
      <c r="AB22" s="698">
        <f t="shared" si="237"/>
        <v>675.01111085621289</v>
      </c>
      <c r="AC22" s="698">
        <f t="shared" si="237"/>
        <v>678.09523809523807</v>
      </c>
      <c r="AD22" s="698">
        <f t="shared" si="237"/>
        <v>0</v>
      </c>
      <c r="AE22" s="698">
        <f t="shared" si="237"/>
        <v>0</v>
      </c>
      <c r="AF22" s="698">
        <f t="shared" si="237"/>
        <v>0</v>
      </c>
      <c r="AH22" s="71">
        <f t="shared" ref="AH22:AT22" si="238">IFERROR(AVERAGE(AH23:AH27),0)</f>
        <v>1016.2222222222223</v>
      </c>
      <c r="AI22" s="71">
        <f t="shared" si="238"/>
        <v>1050</v>
      </c>
      <c r="AJ22" s="71">
        <f t="shared" si="238"/>
        <v>1050</v>
      </c>
      <c r="AK22" s="71">
        <f t="shared" si="238"/>
        <v>1050</v>
      </c>
      <c r="AL22" s="71">
        <f t="shared" si="238"/>
        <v>1050</v>
      </c>
      <c r="AM22" s="71">
        <f t="shared" si="238"/>
        <v>990</v>
      </c>
      <c r="AN22" s="71">
        <f t="shared" si="238"/>
        <v>1002</v>
      </c>
      <c r="AO22" s="71">
        <f t="shared" si="238"/>
        <v>1002</v>
      </c>
      <c r="AP22" s="71">
        <f t="shared" si="238"/>
        <v>976</v>
      </c>
      <c r="AQ22" s="71">
        <f t="shared" si="238"/>
        <v>976</v>
      </c>
      <c r="AR22" s="71">
        <f t="shared" si="238"/>
        <v>0</v>
      </c>
      <c r="AS22" s="71">
        <f t="shared" si="238"/>
        <v>0</v>
      </c>
      <c r="AT22" s="71">
        <f t="shared" si="238"/>
        <v>0</v>
      </c>
      <c r="AV22" s="96">
        <f t="shared" si="58"/>
        <v>-343.70570620178967</v>
      </c>
      <c r="AW22" s="96">
        <f t="shared" si="58"/>
        <v>-287.25411481332787</v>
      </c>
      <c r="AX22" s="96">
        <f t="shared" si="59"/>
        <v>-300.36103452802934</v>
      </c>
      <c r="AY22" s="96">
        <f t="shared" si="59"/>
        <v>-301.96850393700788</v>
      </c>
      <c r="AZ22" s="96">
        <f t="shared" si="59"/>
        <v>-5.1722802942315411</v>
      </c>
      <c r="BA22" s="96" t="str">
        <f t="shared" si="59"/>
        <v>-</v>
      </c>
      <c r="BB22" s="96">
        <f t="shared" si="59"/>
        <v>-362.58106684231325</v>
      </c>
      <c r="BC22" s="96">
        <f t="shared" si="59"/>
        <v>-333.35717221181244</v>
      </c>
      <c r="BD22" s="96">
        <f t="shared" si="59"/>
        <v>-300.98888914378711</v>
      </c>
      <c r="BE22" s="96">
        <f t="shared" si="59"/>
        <v>-297.90476190476193</v>
      </c>
      <c r="BF22" s="96" t="str">
        <f t="shared" si="59"/>
        <v>-</v>
      </c>
      <c r="BG22" s="96" t="str">
        <f t="shared" si="59"/>
        <v>-</v>
      </c>
      <c r="BH22" s="96" t="str">
        <f t="shared" si="59"/>
        <v>-</v>
      </c>
      <c r="BJ22" s="142">
        <f t="shared" si="65"/>
        <v>-0.33821904174678624</v>
      </c>
      <c r="BK22" s="142">
        <f t="shared" si="65"/>
        <v>-0.27357534744126466</v>
      </c>
      <c r="BL22" s="142">
        <f t="shared" si="65"/>
        <v>-0.28605812812193271</v>
      </c>
      <c r="BM22" s="142">
        <f t="shared" si="66"/>
        <v>-0.28758905136857893</v>
      </c>
      <c r="BN22" s="142">
        <f t="shared" si="66"/>
        <v>-4.9259812326014679E-3</v>
      </c>
      <c r="BO22" s="142" t="str">
        <f t="shared" si="66"/>
        <v>-</v>
      </c>
      <c r="BP22" s="142">
        <f t="shared" si="66"/>
        <v>-0.36185735213803716</v>
      </c>
      <c r="BQ22" s="142">
        <f t="shared" si="66"/>
        <v>-0.33269178863454335</v>
      </c>
      <c r="BR22" s="142">
        <f t="shared" si="66"/>
        <v>-0.30839025527027369</v>
      </c>
      <c r="BS22" s="142">
        <f t="shared" si="66"/>
        <v>-0.30523028883684622</v>
      </c>
      <c r="BT22" s="142" t="str">
        <f t="shared" si="68"/>
        <v>-</v>
      </c>
      <c r="BU22" s="142" t="str">
        <f t="shared" si="68"/>
        <v>-</v>
      </c>
      <c r="BV22" s="142" t="str">
        <f t="shared" si="68"/>
        <v>-</v>
      </c>
      <c r="BX22" s="115">
        <f>IFERROR(AVERAGE(BX23:BX27),0)</f>
        <v>947.02808066536181</v>
      </c>
      <c r="BY22" s="115">
        <f t="shared" ref="BY22:CA22" si="239">IFERROR(AVERAGE(BY23:BY27),0)</f>
        <v>985.8523010109119</v>
      </c>
      <c r="BZ22" s="115">
        <f t="shared" si="239"/>
        <v>848.83365140176875</v>
      </c>
      <c r="CA22" s="115">
        <f t="shared" si="239"/>
        <v>799.29088761632079</v>
      </c>
      <c r="CB22" s="115">
        <f t="shared" ref="CB22" si="240">IFERROR(AVERAGE(CB23:CB27),0)</f>
        <v>944.75090979481229</v>
      </c>
      <c r="CC22" s="115">
        <f t="shared" ref="CC22" si="241">IFERROR(AVERAGE(CC23:CC27),0)</f>
        <v>0</v>
      </c>
      <c r="CD22" s="115">
        <f t="shared" ref="CD22" si="242">IFERROR(AVERAGE(CD23:CD27),0)</f>
        <v>955.80957175968831</v>
      </c>
      <c r="CE22" s="115">
        <f t="shared" ref="CE22" si="243">IFERROR(AVERAGE(CE23:CE27),0)</f>
        <v>993.47776649599416</v>
      </c>
      <c r="CF22" s="115">
        <f t="shared" ref="CF22" si="244">IFERROR(AVERAGE(CF23:CF27),0)</f>
        <v>1074.8428268205309</v>
      </c>
      <c r="CG22" s="115">
        <f t="shared" ref="CG22" si="245">IFERROR(AVERAGE(CG23:CG27),0)</f>
        <v>1025.4386662436996</v>
      </c>
      <c r="CH22" s="115">
        <f t="shared" ref="CH22" si="246">IFERROR(AVERAGE(CH23:CH27),0)</f>
        <v>0</v>
      </c>
      <c r="CI22" s="115">
        <f t="shared" ref="CI22" si="247">IFERROR(AVERAGE(CI23:CI27),0)</f>
        <v>0</v>
      </c>
      <c r="CJ22" s="115">
        <f t="shared" ref="CJ22" si="248">IFERROR(AVERAGE(CJ23:CJ27),0)</f>
        <v>0</v>
      </c>
      <c r="CL22" s="115">
        <f t="shared" ref="CL22:CX22" si="249">SUM(CL23:CL27)</f>
        <v>1300.2</v>
      </c>
      <c r="CM22" s="115">
        <f t="shared" si="249"/>
        <v>11</v>
      </c>
      <c r="CN22" s="115">
        <f t="shared" si="249"/>
        <v>16.5</v>
      </c>
      <c r="CO22" s="115">
        <f t="shared" si="249"/>
        <v>33</v>
      </c>
      <c r="CP22" s="115">
        <f t="shared" si="249"/>
        <v>1</v>
      </c>
      <c r="CQ22" s="115">
        <f t="shared" si="249"/>
        <v>0</v>
      </c>
      <c r="CR22" s="115">
        <f t="shared" si="249"/>
        <v>146.9</v>
      </c>
      <c r="CS22" s="115">
        <f t="shared" si="249"/>
        <v>567.79999999999995</v>
      </c>
      <c r="CT22" s="115">
        <f t="shared" si="249"/>
        <v>321.35000000000002</v>
      </c>
      <c r="CU22" s="115">
        <f t="shared" si="249"/>
        <v>202.65</v>
      </c>
      <c r="CV22" s="115">
        <f t="shared" si="249"/>
        <v>0</v>
      </c>
      <c r="CW22" s="115">
        <f t="shared" si="249"/>
        <v>0</v>
      </c>
      <c r="CX22" s="115">
        <f t="shared" si="249"/>
        <v>0</v>
      </c>
      <c r="CZ22" s="115">
        <f t="shared" ref="CZ22:DL22" si="250">SUM(CZ23:CZ27)</f>
        <v>878550.5170890732</v>
      </c>
      <c r="DA22" s="115">
        <f t="shared" si="250"/>
        <v>8390.2047370533928</v>
      </c>
      <c r="DB22" s="115">
        <f t="shared" si="250"/>
        <v>12369.042930287516</v>
      </c>
      <c r="DC22" s="115">
        <f t="shared" si="250"/>
        <v>24685.039370078739</v>
      </c>
      <c r="DD22" s="115">
        <f t="shared" si="250"/>
        <v>1130</v>
      </c>
      <c r="DE22" s="115">
        <f t="shared" si="250"/>
        <v>0</v>
      </c>
      <c r="DF22" s="115">
        <f t="shared" si="250"/>
        <v>97990.011959876545</v>
      </c>
      <c r="DG22" s="115">
        <f t="shared" si="250"/>
        <v>379655.39761813288</v>
      </c>
      <c r="DH22" s="115">
        <f t="shared" si="250"/>
        <v>216914.82047364404</v>
      </c>
      <c r="DI22" s="115">
        <f t="shared" si="250"/>
        <v>137416</v>
      </c>
      <c r="DJ22" s="115">
        <f t="shared" si="250"/>
        <v>0</v>
      </c>
      <c r="DK22" s="115">
        <f t="shared" si="250"/>
        <v>0</v>
      </c>
      <c r="DL22" s="115">
        <f t="shared" si="250"/>
        <v>0</v>
      </c>
      <c r="DN22" s="115">
        <f t="shared" ref="DN22:DZ22" si="251">SUM(DN23:DN27)</f>
        <v>-437100.73488914431</v>
      </c>
      <c r="DO22" s="115">
        <f t="shared" si="251"/>
        <v>-2454.1705740666384</v>
      </c>
      <c r="DP22" s="115">
        <f t="shared" si="251"/>
        <v>-1373.9405277668357</v>
      </c>
      <c r="DQ22" s="115">
        <f t="shared" si="251"/>
        <v>-1691.5599212598427</v>
      </c>
      <c r="DR22" s="115">
        <f t="shared" si="251"/>
        <v>100.07680991095617</v>
      </c>
      <c r="DS22" s="115">
        <f t="shared" si="251"/>
        <v>0</v>
      </c>
      <c r="DT22" s="115">
        <f t="shared" si="251"/>
        <v>-46477.68310185185</v>
      </c>
      <c r="DU22" s="115">
        <f t="shared" si="251"/>
        <v>-186328.38993469073</v>
      </c>
      <c r="DV22" s="115">
        <f t="shared" si="251"/>
        <v>-128485.92192513368</v>
      </c>
      <c r="DW22" s="115">
        <f t="shared" si="251"/>
        <v>-70389.145714285725</v>
      </c>
      <c r="DX22" s="115">
        <f t="shared" si="251"/>
        <v>0</v>
      </c>
      <c r="DY22" s="115">
        <f t="shared" si="251"/>
        <v>0</v>
      </c>
      <c r="DZ22" s="115">
        <f t="shared" si="251"/>
        <v>0</v>
      </c>
      <c r="EB22" s="574">
        <f t="shared" ref="EB22:EB71" si="252">IFERROR(DN22/CZ22,0)</f>
        <v>-0.49752487351257024</v>
      </c>
      <c r="EC22" s="574">
        <f t="shared" ref="EC22:EC71" si="253">IFERROR(DO22/DA22,0)</f>
        <v>-0.29250425358851656</v>
      </c>
      <c r="ED22" s="574">
        <f t="shared" si="19"/>
        <v>-0.1110789683171468</v>
      </c>
      <c r="EE22" s="574">
        <f t="shared" si="20"/>
        <v>-6.8525712918660303E-2</v>
      </c>
      <c r="EF22" s="574">
        <f t="shared" si="21"/>
        <v>8.8563548593766528E-2</v>
      </c>
      <c r="EG22" s="574">
        <f t="shared" si="22"/>
        <v>0</v>
      </c>
      <c r="EH22" s="574">
        <f t="shared" si="23"/>
        <v>-0.47431041360503989</v>
      </c>
      <c r="EI22" s="574">
        <f t="shared" si="24"/>
        <v>-0.49078293395450312</v>
      </c>
      <c r="EJ22" s="574">
        <f t="shared" si="25"/>
        <v>-0.59233353278756351</v>
      </c>
      <c r="EK22" s="574">
        <f t="shared" si="26"/>
        <v>-0.51223398814028731</v>
      </c>
      <c r="EL22" s="574">
        <f t="shared" si="27"/>
        <v>0</v>
      </c>
      <c r="EM22" s="574">
        <f t="shared" si="28"/>
        <v>0</v>
      </c>
      <c r="EN22" s="574">
        <f t="shared" si="29"/>
        <v>0</v>
      </c>
    </row>
    <row r="23" spans="1:144" ht="15.5" outlineLevel="1" x14ac:dyDescent="0.35">
      <c r="A23" s="27">
        <v>1</v>
      </c>
      <c r="B23" s="27" t="s">
        <v>95</v>
      </c>
      <c r="C23" s="246" t="s">
        <v>346</v>
      </c>
      <c r="D23" s="459" t="s">
        <v>230</v>
      </c>
      <c r="E23" s="7" t="s">
        <v>94</v>
      </c>
      <c r="F23" s="109" t="str">
        <f>IFERROR(AVERAGE(G23:R23),"-")</f>
        <v>-</v>
      </c>
      <c r="G23" s="106" t="str">
        <f>IFERROR(SUMIFS('01. KE30'!$K:$K,'01. KE30'!$F:$F,'05. BC BH THEO SKU-USD'!$D23,'01. KE30'!$A:$A,'05. BC BH THEO SKU-USD'!G$4)/'05. BC BH THEO SKU-USD'!CM23/'02. Tỷ giá'!B$5,"-")</f>
        <v>-</v>
      </c>
      <c r="H23" s="106" t="str">
        <f>IFERROR(SUMIFS('01. KE30'!$K:$K,'01. KE30'!$F:$F,'05. BC BH THEO SKU-USD'!$D23,'01. KE30'!$A:$A,'05. BC BH THEO SKU-USD'!H$4)/'05. BC BH THEO SKU-USD'!CN23/'02. Tỷ giá'!C$5,"-")</f>
        <v>-</v>
      </c>
      <c r="I23" s="106" t="str">
        <f>IFERROR(SUMIFS('01. KE30'!$K:$K,'01. KE30'!$F:$F,'05. BC BH THEO SKU-USD'!$D23,'01. KE30'!$A:$A,'05. BC BH THEO SKU-USD'!I$4)/'05. BC BH THEO SKU-USD'!CO23/'02. Tỷ giá'!D$5,"-")</f>
        <v>-</v>
      </c>
      <c r="J23" s="106" t="str">
        <f>IFERROR(SUMIFS('01. KE30'!$K:$K,'01. KE30'!$F:$F,'05. BC BH THEO SKU-USD'!$D23,'01. KE30'!$A:$A,'05. BC BH THEO SKU-USD'!J$4)/'05. BC BH THEO SKU-USD'!CP23/'02. Tỷ giá'!E$5,"-")</f>
        <v>-</v>
      </c>
      <c r="K23" s="106" t="str">
        <f>IFERROR(SUMIFS('01. KE30'!$K:$K,'01. KE30'!$F:$F,'05. BC BH THEO SKU-USD'!$D23,'01. KE30'!$A:$A,'05. BC BH THEO SKU-USD'!K$4)/'05. BC BH THEO SKU-USD'!CQ23/'02. Tỷ giá'!F$5,"-")</f>
        <v>-</v>
      </c>
      <c r="L23" s="106" t="str">
        <f>IFERROR(SUMIFS('01. KE30'!$K:$K,'01. KE30'!$F:$F,'05. BC BH THEO SKU-USD'!$D23,'01. KE30'!$A:$A,'05. BC BH THEO SKU-USD'!L$4)/'05. BC BH THEO SKU-USD'!CR23/'02. Tỷ giá'!G$5,"-")</f>
        <v>-</v>
      </c>
      <c r="M23" s="106" t="str">
        <f>IFERROR(SUMIFS('01. KE30'!$K:$K,'01. KE30'!$F:$F,'05. BC BH THEO SKU-USD'!$D23,'01. KE30'!$A:$A,'05. BC BH THEO SKU-USD'!M$4)/'05. BC BH THEO SKU-USD'!CS23/'02. Tỷ giá'!H$5,"-")</f>
        <v>-</v>
      </c>
      <c r="N23" s="106" t="str">
        <f>IFERROR(SUMIFS('01. KE30'!$K:$K,'01. KE30'!$F:$F,'05. BC BH THEO SKU-USD'!$D23,'01. KE30'!$A:$A,'05. BC BH THEO SKU-USD'!N$4)/'05. BC BH THEO SKU-USD'!CT23/'02. Tỷ giá'!I$5,"-")</f>
        <v>-</v>
      </c>
      <c r="O23" s="106" t="str">
        <f>IFERROR(SUMIFS('01. KE30'!$K:$K,'01. KE30'!$F:$F,'05. BC BH THEO SKU-USD'!$D23,'01. KE30'!$A:$A,'05. BC BH THEO SKU-USD'!O$4)/'05. BC BH THEO SKU-USD'!CU23/'02. Tỷ giá'!J$5,"-")</f>
        <v>-</v>
      </c>
      <c r="P23" s="106" t="str">
        <f>IFERROR(SUMIFS('01. KE30'!$K:$K,'01. KE30'!$F:$F,'05. BC BH THEO SKU-USD'!$D23,'01. KE30'!$A:$A,'05. BC BH THEO SKU-USD'!P$4)/'05. BC BH THEO SKU-USD'!CV23/'02. Tỷ giá'!K$5,"-")</f>
        <v>-</v>
      </c>
      <c r="Q23" s="106" t="str">
        <f>IFERROR(SUMIFS('01. KE30'!$K:$K,'01. KE30'!$F:$F,'05. BC BH THEO SKU-USD'!$D23,'01. KE30'!$A:$A,'05. BC BH THEO SKU-USD'!Q$4)/'05. BC BH THEO SKU-USD'!CW23/'02. Tỷ giá'!L$5,"-")</f>
        <v>-</v>
      </c>
      <c r="R23" s="106" t="str">
        <f>IFERROR(SUMIFS('01. KE30'!$K:$K,'01. KE30'!$F:$F,'05. BC BH THEO SKU-USD'!$D23,'01. KE30'!$A:$A,'05. BC BH THEO SKU-USD'!R$4)/'05. BC BH THEO SKU-USD'!CX23/'02. Tỷ giá'!M$5,"-")</f>
        <v>-</v>
      </c>
      <c r="T23" s="92">
        <f t="shared" si="35"/>
        <v>0</v>
      </c>
      <c r="U23" s="147" t="str">
        <f>IFERROR(SUMIFS('01. KE30'!$O:$O,'01. KE30'!$F:$F,'05. BC BH THEO SKU-USD'!$D23,'01. KE30'!$A:$A,'05. BC BH THEO SKU-USD'!G$4)/'05. BC BH THEO SKU-USD'!CM23/'02. Tỷ giá'!B$5,"-")</f>
        <v>-</v>
      </c>
      <c r="V23" s="147" t="str">
        <f>IFERROR(SUMIFS('01. KE30'!$O:$O,'01. KE30'!$F:$F,'05. BC BH THEO SKU-USD'!$D23,'01. KE30'!$A:$A,'05. BC BH THEO SKU-USD'!H$4)/'05. BC BH THEO SKU-USD'!CN23/'02. Tỷ giá'!C$5,"-")</f>
        <v>-</v>
      </c>
      <c r="W23" s="147" t="str">
        <f>IFERROR(SUMIFS('01. KE30'!$O:$O,'01. KE30'!$F:$F,'05. BC BH THEO SKU-USD'!$D23,'01. KE30'!$A:$A,'05. BC BH THEO SKU-USD'!I$4)/'05. BC BH THEO SKU-USD'!CO23/'02. Tỷ giá'!D$5,"-")</f>
        <v>-</v>
      </c>
      <c r="X23" s="147" t="str">
        <f>IFERROR(SUMIFS('01. KE30'!$O:$O,'01. KE30'!$F:$F,'05. BC BH THEO SKU-USD'!$D23,'01. KE30'!$A:$A,'05. BC BH THEO SKU-USD'!J$4)/'05. BC BH THEO SKU-USD'!CP23/'02. Tỷ giá'!E$5,"-")</f>
        <v>-</v>
      </c>
      <c r="Y23" s="147" t="str">
        <f>IFERROR(SUMIFS('01. KE30'!$O:$O,'01. KE30'!$F:$F,'05. BC BH THEO SKU-USD'!$D23,'01. KE30'!$A:$A,'05. BC BH THEO SKU-USD'!K$4)/'05. BC BH THEO SKU-USD'!CQ23/'02. Tỷ giá'!F$5,"-")</f>
        <v>-</v>
      </c>
      <c r="Z23" s="147" t="str">
        <f>IFERROR(SUMIFS('01. KE30'!$O:$O,'01. KE30'!$F:$F,'05. BC BH THEO SKU-USD'!$D23,'01. KE30'!$A:$A,'05. BC BH THEO SKU-USD'!L$4)/'05. BC BH THEO SKU-USD'!CR23/'02. Tỷ giá'!G$5,"-")</f>
        <v>-</v>
      </c>
      <c r="AA23" s="147" t="str">
        <f>IFERROR(SUMIFS('01. KE30'!$O:$O,'01. KE30'!$F:$F,'05. BC BH THEO SKU-USD'!$D23,'01. KE30'!$A:$A,'05. BC BH THEO SKU-USD'!M$4)/'05. BC BH THEO SKU-USD'!CS23/'02. Tỷ giá'!H$5,"-")</f>
        <v>-</v>
      </c>
      <c r="AB23" s="147" t="str">
        <f>IFERROR(SUMIFS('01. KE30'!$O:$O,'01. KE30'!$F:$F,'05. BC BH THEO SKU-USD'!$D23,'01. KE30'!$A:$A,'05. BC BH THEO SKU-USD'!N$4)/'05. BC BH THEO SKU-USD'!CT23/'02. Tỷ giá'!I$5,"-")</f>
        <v>-</v>
      </c>
      <c r="AC23" s="147" t="str">
        <f>IFERROR(SUMIFS('01. KE30'!$O:$O,'01. KE30'!$F:$F,'05. BC BH THEO SKU-USD'!$D23,'01. KE30'!$A:$A,'05. BC BH THEO SKU-USD'!O$4)/'05. BC BH THEO SKU-USD'!CU23/'02. Tỷ giá'!J$5,"-")</f>
        <v>-</v>
      </c>
      <c r="AD23" s="147" t="str">
        <f>IFERROR(SUMIFS('01. KE30'!$O:$O,'01. KE30'!$F:$F,'05. BC BH THEO SKU-USD'!$D23,'01. KE30'!$A:$A,'05. BC BH THEO SKU-USD'!P$4)/'05. BC BH THEO SKU-USD'!CV23/'02. Tỷ giá'!K$5,"-")</f>
        <v>-</v>
      </c>
      <c r="AE23" s="147" t="str">
        <f>IFERROR(SUMIFS('01. KE30'!$O:$O,'01. KE30'!$F:$F,'05. BC BH THEO SKU-USD'!$D23,'01. KE30'!$A:$A,'05. BC BH THEO SKU-USD'!Q$4)/'05. BC BH THEO SKU-USD'!CW23/'02. Tỷ giá'!L$5,"-")</f>
        <v>-</v>
      </c>
      <c r="AF23" s="147" t="str">
        <f>IFERROR(SUMIFS('01. KE30'!$O:$O,'01. KE30'!$F:$F,'05. BC BH THEO SKU-USD'!$D23,'01. KE30'!$A:$A,'05. BC BH THEO SKU-USD'!R$4)/'05. BC BH THEO SKU-USD'!CX23/'02. Tỷ giá'!M$5,"-")</f>
        <v>-</v>
      </c>
      <c r="AH23" s="55">
        <f t="shared" ref="AH23:AH27" si="254">IFERROR(AVERAGE(AI23:AT23),"-")</f>
        <v>1102.2222222222222</v>
      </c>
      <c r="AI23" s="4">
        <v>1100</v>
      </c>
      <c r="AJ23" s="4">
        <v>1100</v>
      </c>
      <c r="AK23" s="4">
        <v>1100</v>
      </c>
      <c r="AL23" s="4">
        <v>1100</v>
      </c>
      <c r="AM23" s="4">
        <v>1100</v>
      </c>
      <c r="AN23" s="4">
        <f t="shared" ref="AN23:AO23" si="255">+AN6-130</f>
        <v>1120</v>
      </c>
      <c r="AO23" s="4">
        <f t="shared" si="255"/>
        <v>1120</v>
      </c>
      <c r="AP23" s="4">
        <f>+AP6-130</f>
        <v>1090</v>
      </c>
      <c r="AQ23" s="4">
        <v>1090</v>
      </c>
      <c r="AR23" s="4"/>
      <c r="AS23" s="4"/>
      <c r="AT23" s="4"/>
      <c r="AV23" s="95" t="str">
        <f t="shared" si="58"/>
        <v>-</v>
      </c>
      <c r="AW23" s="95" t="str">
        <f t="shared" si="58"/>
        <v>-</v>
      </c>
      <c r="AX23" s="95" t="str">
        <f t="shared" si="59"/>
        <v>-</v>
      </c>
      <c r="AY23" s="95" t="str">
        <f t="shared" si="59"/>
        <v>-</v>
      </c>
      <c r="AZ23" s="95" t="str">
        <f t="shared" si="59"/>
        <v>-</v>
      </c>
      <c r="BA23" s="95" t="str">
        <f t="shared" si="59"/>
        <v>-</v>
      </c>
      <c r="BB23" s="95" t="str">
        <f t="shared" si="59"/>
        <v>-</v>
      </c>
      <c r="BC23" s="95" t="str">
        <f t="shared" si="59"/>
        <v>-</v>
      </c>
      <c r="BD23" s="95" t="str">
        <f t="shared" si="59"/>
        <v>-</v>
      </c>
      <c r="BE23" s="95" t="str">
        <f t="shared" si="59"/>
        <v>-</v>
      </c>
      <c r="BF23" s="95" t="str">
        <f t="shared" si="59"/>
        <v>-</v>
      </c>
      <c r="BG23" s="95" t="str">
        <f t="shared" si="59"/>
        <v>-</v>
      </c>
      <c r="BH23" s="95" t="str">
        <f t="shared" si="59"/>
        <v>-</v>
      </c>
      <c r="BJ23" s="143" t="str">
        <f t="shared" si="65"/>
        <v>-</v>
      </c>
      <c r="BK23" s="143" t="str">
        <f t="shared" si="65"/>
        <v>-</v>
      </c>
      <c r="BL23" s="143" t="str">
        <f t="shared" si="65"/>
        <v>-</v>
      </c>
      <c r="BM23" s="143" t="str">
        <f t="shared" si="66"/>
        <v>-</v>
      </c>
      <c r="BN23" s="143" t="str">
        <f t="shared" si="66"/>
        <v>-</v>
      </c>
      <c r="BO23" s="143" t="str">
        <f t="shared" si="66"/>
        <v>-</v>
      </c>
      <c r="BP23" s="143" t="str">
        <f t="shared" si="66"/>
        <v>-</v>
      </c>
      <c r="BQ23" s="143" t="str">
        <f t="shared" si="66"/>
        <v>-</v>
      </c>
      <c r="BR23" s="143" t="str">
        <f t="shared" si="66"/>
        <v>-</v>
      </c>
      <c r="BS23" s="143" t="str">
        <f t="shared" si="66"/>
        <v>-</v>
      </c>
      <c r="BT23" s="143" t="str">
        <f t="shared" si="68"/>
        <v>-</v>
      </c>
      <c r="BU23" s="143" t="str">
        <f t="shared" si="68"/>
        <v>-</v>
      </c>
      <c r="BV23" s="143" t="str">
        <f t="shared" si="68"/>
        <v>-</v>
      </c>
      <c r="BX23" s="112" t="str">
        <f t="shared" ref="BX23:BX27" si="256">IFERROR(AVERAGE(BY23:CJ23),"-")</f>
        <v>-</v>
      </c>
      <c r="BY23" s="95" t="str">
        <f>IFERROR(SUMIFS('01. KE30'!$R:$R,'01. KE30'!$F:$F,'05. BC BH THEO SKU-USD'!$D23,'01. KE30'!$A:$A,'05. BC BH THEO SKU-USD'!BY$4)/CM23/'02. Tỷ giá'!B$5," -")</f>
        <v xml:space="preserve"> -</v>
      </c>
      <c r="BZ23" s="95" t="str">
        <f>IFERROR(SUMIFS('01. KE30'!$R:$R,'01. KE30'!$F:$F,'05. BC BH THEO SKU-USD'!$D23,'01. KE30'!$A:$A,'05. BC BH THEO SKU-USD'!BZ$4)/CN23/'02. Tỷ giá'!C$5," -")</f>
        <v xml:space="preserve"> -</v>
      </c>
      <c r="CA23" s="95" t="str">
        <f>IFERROR(SUMIFS('01. KE30'!$R:$R,'01. KE30'!$F:$F,'05. BC BH THEO SKU-USD'!$D23,'01. KE30'!$A:$A,'05. BC BH THEO SKU-USD'!CA$4)/CO23/'02. Tỷ giá'!D$5," -")</f>
        <v xml:space="preserve"> -</v>
      </c>
      <c r="CB23" s="95" t="str">
        <f>IFERROR(SUMIFS('01. KE30'!$R:$R,'01. KE30'!$F:$F,'05. BC BH THEO SKU-USD'!$D23,'01. KE30'!$A:$A,'05. BC BH THEO SKU-USD'!CB$4)/CP23/'02. Tỷ giá'!E$5," -")</f>
        <v xml:space="preserve"> -</v>
      </c>
      <c r="CC23" s="95" t="str">
        <f>IFERROR(SUMIFS('01. KE30'!$R:$R,'01. KE30'!$F:$F,'05. BC BH THEO SKU-USD'!$D23,'01. KE30'!$A:$A,'05. BC BH THEO SKU-USD'!CC$4)/CQ23/'02. Tỷ giá'!F$5," -")</f>
        <v xml:space="preserve"> -</v>
      </c>
      <c r="CD23" s="95" t="str">
        <f>IFERROR(SUMIFS('01. KE30'!$R:$R,'01. KE30'!$F:$F,'05. BC BH THEO SKU-USD'!$D23,'01. KE30'!$A:$A,'05. BC BH THEO SKU-USD'!CD$4)/CR23/'02. Tỷ giá'!G$5," -")</f>
        <v xml:space="preserve"> -</v>
      </c>
      <c r="CE23" s="95" t="str">
        <f>IFERROR(SUMIFS('01. KE30'!$R:$R,'01. KE30'!$F:$F,'05. BC BH THEO SKU-USD'!$D23,'01. KE30'!$A:$A,'05. BC BH THEO SKU-USD'!CE$4)/CS23/'02. Tỷ giá'!H$5," -")</f>
        <v xml:space="preserve"> -</v>
      </c>
      <c r="CF23" s="95" t="str">
        <f>IFERROR(SUMIFS('01. KE30'!$R:$R,'01. KE30'!$F:$F,'05. BC BH THEO SKU-USD'!$D23,'01. KE30'!$A:$A,'05. BC BH THEO SKU-USD'!CF$4)/CT23/'02. Tỷ giá'!I$5," -")</f>
        <v xml:space="preserve"> -</v>
      </c>
      <c r="CG23" s="95" t="str">
        <f>IFERROR(SUMIFS('01. KE30'!$R:$R,'01. KE30'!$F:$F,'05. BC BH THEO SKU-USD'!$D23,'01. KE30'!$A:$A,'05. BC BH THEO SKU-USD'!CG$4)/CU23/'02. Tỷ giá'!J$5," -")</f>
        <v xml:space="preserve"> -</v>
      </c>
      <c r="CH23" s="95" t="str">
        <f>IFERROR(SUMIFS('01. KE30'!$R:$R,'01. KE30'!$F:$F,'05. BC BH THEO SKU-USD'!$D23,'01. KE30'!$A:$A,'05. BC BH THEO SKU-USD'!CH$4)/CV23/'02. Tỷ giá'!K$5," -")</f>
        <v xml:space="preserve"> -</v>
      </c>
      <c r="CI23" s="95" t="str">
        <f>IFERROR(SUMIFS('01. KE30'!$R:$R,'01. KE30'!$F:$F,'05. BC BH THEO SKU-USD'!$D23,'01. KE30'!$A:$A,'05. BC BH THEO SKU-USD'!CI$4)/CW23/'02. Tỷ giá'!L$5," -")</f>
        <v xml:space="preserve"> -</v>
      </c>
      <c r="CJ23" s="95" t="str">
        <f>IFERROR(SUMIFS('01. KE30'!$R:$R,'01. KE30'!$F:$F,'05. BC BH THEO SKU-USD'!$D23,'01. KE30'!$A:$A,'05. BC BH THEO SKU-USD'!CJ$4)/CX23/'02. Tỷ giá'!M$5," -")</f>
        <v xml:space="preserve"> -</v>
      </c>
      <c r="CL23" s="112">
        <f t="shared" ref="CL23:CL27" si="257">SUM(CM23:CX23)</f>
        <v>0</v>
      </c>
      <c r="CM23" s="114">
        <f>SUMIFS('01. KE30'!$I:$I,'01. KE30'!$F:$F,'05. BC BH THEO SKU-USD'!$D23,'01. KE30'!$A:$A,'05. BC BH THEO SKU-USD'!CM$4)/1000</f>
        <v>0</v>
      </c>
      <c r="CN23" s="114">
        <f>SUMIFS('01. KE30'!$I:$I,'01. KE30'!$F:$F,'05. BC BH THEO SKU-USD'!$D23,'01. KE30'!$A:$A,'05. BC BH THEO SKU-USD'!CN$4)/1000</f>
        <v>0</v>
      </c>
      <c r="CO23" s="114">
        <f>SUMIFS('01. KE30'!$I:$I,'01. KE30'!$F:$F,'05. BC BH THEO SKU-USD'!$D23,'01. KE30'!$A:$A,'05. BC BH THEO SKU-USD'!CO$4)/1000</f>
        <v>0</v>
      </c>
      <c r="CP23" s="114">
        <f>SUMIFS('01. KE30'!$I:$I,'01. KE30'!$F:$F,'05. BC BH THEO SKU-USD'!$D23,'01. KE30'!$A:$A,'05. BC BH THEO SKU-USD'!CP$4)/1000</f>
        <v>0</v>
      </c>
      <c r="CQ23" s="114">
        <f>SUMIFS('01. KE30'!$I:$I,'01. KE30'!$F:$F,'05. BC BH THEO SKU-USD'!$D23,'01. KE30'!$A:$A,'05. BC BH THEO SKU-USD'!CQ$4)/1000</f>
        <v>0</v>
      </c>
      <c r="CR23" s="114">
        <f>SUMIFS('01. KE30'!$I:$I,'01. KE30'!$F:$F,'05. BC BH THEO SKU-USD'!$D23,'01. KE30'!$A:$A,'05. BC BH THEO SKU-USD'!CR$4)/1000</f>
        <v>0</v>
      </c>
      <c r="CS23" s="114">
        <f>SUMIFS('01. KE30'!$I:$I,'01. KE30'!$F:$F,'05. BC BH THEO SKU-USD'!$D23,'01. KE30'!$A:$A,'05. BC BH THEO SKU-USD'!CS$4)/1000</f>
        <v>0</v>
      </c>
      <c r="CT23" s="114">
        <f>SUMIFS('01. KE30'!$I:$I,'01. KE30'!$F:$F,'05. BC BH THEO SKU-USD'!$D23,'01. KE30'!$A:$A,'05. BC BH THEO SKU-USD'!CT$4)/1000</f>
        <v>0</v>
      </c>
      <c r="CU23" s="114">
        <f>SUMIFS('01. KE30'!$I:$I,'01. KE30'!$F:$F,'05. BC BH THEO SKU-USD'!$D23,'01. KE30'!$A:$A,'05. BC BH THEO SKU-USD'!CU$4)/1000</f>
        <v>0</v>
      </c>
      <c r="CV23" s="114">
        <f>SUMIFS('01. KE30'!$I:$I,'01. KE30'!$F:$F,'05. BC BH THEO SKU-USD'!$D23,'01. KE30'!$A:$A,'05. BC BH THEO SKU-USD'!CV$4)/1000</f>
        <v>0</v>
      </c>
      <c r="CW23" s="114">
        <f>SUMIFS('01. KE30'!$I:$I,'01. KE30'!$F:$F,'05. BC BH THEO SKU-USD'!$D23,'01. KE30'!$A:$A,'05. BC BH THEO SKU-USD'!CW$4)/1000</f>
        <v>0</v>
      </c>
      <c r="CX23" s="114">
        <f>SUMIFS('01. KE30'!$I:$I,'01. KE30'!$F:$F,'05. BC BH THEO SKU-USD'!$D23,'01. KE30'!$A:$A,'05. BC BH THEO SKU-USD'!CX$4)/1000</f>
        <v>0</v>
      </c>
      <c r="CZ23" s="112">
        <f>SUM(DA23:DL23)</f>
        <v>0</v>
      </c>
      <c r="DA23" s="54" t="str">
        <f t="shared" ref="DA23:DA27" si="258">IFERROR(G23*CM23," -")</f>
        <v xml:space="preserve"> -</v>
      </c>
      <c r="DB23" s="54" t="str">
        <f t="shared" ref="DB23:DB27" si="259">IFERROR(H23*CN23," -")</f>
        <v xml:space="preserve"> -</v>
      </c>
      <c r="DC23" s="54" t="str">
        <f t="shared" ref="DC23:DC27" si="260">IFERROR(I23*CO23," -")</f>
        <v xml:space="preserve"> -</v>
      </c>
      <c r="DD23" s="54" t="str">
        <f t="shared" ref="DD23:DD27" si="261">IFERROR(J23*CP23," -")</f>
        <v xml:space="preserve"> -</v>
      </c>
      <c r="DE23" s="54" t="str">
        <f t="shared" ref="DE23:DE27" si="262">IFERROR(K23*CQ23," -")</f>
        <v xml:space="preserve"> -</v>
      </c>
      <c r="DF23" s="54" t="str">
        <f t="shared" ref="DF23:DF27" si="263">IFERROR(L23*CR23," -")</f>
        <v xml:space="preserve"> -</v>
      </c>
      <c r="DG23" s="54" t="str">
        <f t="shared" ref="DG23:DG27" si="264">IFERROR(M23*CS23," -")</f>
        <v xml:space="preserve"> -</v>
      </c>
      <c r="DH23" s="54" t="str">
        <f t="shared" ref="DH23:DH27" si="265">IFERROR(N23*CT23," -")</f>
        <v xml:space="preserve"> -</v>
      </c>
      <c r="DI23" s="54" t="str">
        <f t="shared" ref="DI23:DI27" si="266">IFERROR(O23*CU23," -")</f>
        <v xml:space="preserve"> -</v>
      </c>
      <c r="DJ23" s="54" t="str">
        <f t="shared" ref="DJ23:DJ27" si="267">IFERROR(P23*CV23," -")</f>
        <v xml:space="preserve"> -</v>
      </c>
      <c r="DK23" s="54" t="str">
        <f t="shared" ref="DK23:DK27" si="268">IFERROR(Q23*CW23," -")</f>
        <v xml:space="preserve"> -</v>
      </c>
      <c r="DL23" s="54" t="str">
        <f t="shared" ref="DL23:DL27" si="269">IFERROR(R23*CX23," -")</f>
        <v xml:space="preserve"> -</v>
      </c>
      <c r="DN23" s="112">
        <f t="shared" si="64"/>
        <v>0</v>
      </c>
      <c r="DO23" s="114">
        <f>IFERROR(SUMIFS('01. KE30'!$X:$X,'01. KE30'!$F:$F,'05. BC BH THEO SKU-USD'!$D23,'01. KE30'!$A:$A,'05. BC BH THEO SKU-USD'!DO$4)-SUMIFS('01. KE30'!$AA:$AA,'01. KE30'!$F:$F,'05. BC BH THEO SKU-USD'!$D23,'01. KE30'!$A:$A,'05. BC BH THEO SKU-USD'!DO$4),"-")</f>
        <v>0</v>
      </c>
      <c r="DP23" s="114">
        <f>IFERROR(SUMIFS('01. KE30'!$X:$X,'01. KE30'!$F:$F,'05. BC BH THEO SKU-USD'!$D23,'01. KE30'!$A:$A,'05. BC BH THEO SKU-USD'!DP$4)-SUMIFS('01. KE30'!$AA:$AA,'01. KE30'!$F:$F,'05. BC BH THEO SKU-USD'!$D23,'01. KE30'!$A:$A,'05. BC BH THEO SKU-USD'!DP$4),"-")</f>
        <v>0</v>
      </c>
      <c r="DQ23" s="114">
        <f>IFERROR(SUMIFS('01. KE30'!$X:$X,'01. KE30'!$F:$F,'05. BC BH THEO SKU-USD'!$D23,'01. KE30'!$A:$A,'05. BC BH THEO SKU-USD'!DQ$4)-SUMIFS('01. KE30'!$AA:$AA,'01. KE30'!$F:$F,'05. BC BH THEO SKU-USD'!$D23,'01. KE30'!$A:$A,'05. BC BH THEO SKU-USD'!DQ$4),"-")</f>
        <v>0</v>
      </c>
      <c r="DR23" s="114">
        <f>IFERROR(SUMIFS('01. KE30'!$X:$X,'01. KE30'!$F:$F,'05. BC BH THEO SKU-USD'!$D23,'01. KE30'!$A:$A,'05. BC BH THEO SKU-USD'!DR$4)-SUMIFS('01. KE30'!$AA:$AA,'01. KE30'!$F:$F,'05. BC BH THEO SKU-USD'!$D23,'01. KE30'!$A:$A,'05. BC BH THEO SKU-USD'!DR$4),"-")</f>
        <v>0</v>
      </c>
      <c r="DS23" s="114">
        <f>IFERROR(SUMIFS('01. KE30'!$X:$X,'01. KE30'!$F:$F,'05. BC BH THEO SKU-USD'!$D23,'01. KE30'!$A:$A,'05. BC BH THEO SKU-USD'!DS$4)-SUMIFS('01. KE30'!$AA:$AA,'01. KE30'!$F:$F,'05. BC BH THEO SKU-USD'!$D23,'01. KE30'!$A:$A,'05. BC BH THEO SKU-USD'!DS$4),"-")</f>
        <v>0</v>
      </c>
      <c r="DT23" s="114">
        <f>IFERROR(SUMIFS('01. KE30'!$X:$X,'01. KE30'!$F:$F,'05. BC BH THEO SKU-USD'!$D23,'01. KE30'!$A:$A,'05. BC BH THEO SKU-USD'!DT$4)-SUMIFS('01. KE30'!$AA:$AA,'01. KE30'!$F:$F,'05. BC BH THEO SKU-USD'!$D23,'01. KE30'!$A:$A,'05. BC BH THEO SKU-USD'!DT$4),"-")</f>
        <v>0</v>
      </c>
      <c r="DU23" s="114">
        <f>IFERROR(SUMIFS('01. KE30'!$X:$X,'01. KE30'!$F:$F,'05. BC BH THEO SKU-USD'!$D23,'01. KE30'!$A:$A,'05. BC BH THEO SKU-USD'!DU$4)-SUMIFS('01. KE30'!$AA:$AA,'01. KE30'!$F:$F,'05. BC BH THEO SKU-USD'!$D23,'01. KE30'!$A:$A,'05. BC BH THEO SKU-USD'!DU$4),"-")</f>
        <v>0</v>
      </c>
      <c r="DV23" s="114">
        <f>IFERROR(SUMIFS('01. KE30'!$X:$X,'01. KE30'!$F:$F,'05. BC BH THEO SKU-USD'!$D23,'01. KE30'!$A:$A,'05. BC BH THEO SKU-USD'!DV$4)-SUMIFS('01. KE30'!$AA:$AA,'01. KE30'!$F:$F,'05. BC BH THEO SKU-USD'!$D23,'01. KE30'!$A:$A,'05. BC BH THEO SKU-USD'!DV$4),"-")</f>
        <v>0</v>
      </c>
      <c r="DW23" s="114">
        <f>IFERROR(SUMIFS('01. KE30'!$X:$X,'01. KE30'!$F:$F,'05. BC BH THEO SKU-USD'!$D23,'01. KE30'!$A:$A,'05. BC BH THEO SKU-USD'!DW$4)-SUMIFS('01. KE30'!$AA:$AA,'01. KE30'!$F:$F,'05. BC BH THEO SKU-USD'!$D23,'01. KE30'!$A:$A,'05. BC BH THEO SKU-USD'!DW$4),"-")</f>
        <v>0</v>
      </c>
      <c r="DX23" s="114">
        <f>IFERROR(SUMIFS('01. KE30'!$X:$X,'01. KE30'!$F:$F,'05. BC BH THEO SKU-USD'!$D23,'01. KE30'!$A:$A,'05. BC BH THEO SKU-USD'!DX$4)-SUMIFS('01. KE30'!$AA:$AA,'01. KE30'!$F:$F,'05. BC BH THEO SKU-USD'!$D23,'01. KE30'!$A:$A,'05. BC BH THEO SKU-USD'!DX$4),"-")</f>
        <v>0</v>
      </c>
      <c r="DY23" s="114">
        <f>IFERROR(SUMIFS('01. KE30'!$X:$X,'01. KE30'!$F:$F,'05. BC BH THEO SKU-USD'!$D23,'01. KE30'!$A:$A,'05. BC BH THEO SKU-USD'!DY$4)-SUMIFS('01. KE30'!$AA:$AA,'01. KE30'!$F:$F,'05. BC BH THEO SKU-USD'!$D23,'01. KE30'!$A:$A,'05. BC BH THEO SKU-USD'!DY$4),"-")</f>
        <v>0</v>
      </c>
      <c r="DZ23" s="114">
        <f>IFERROR(SUMIFS('01. KE30'!$X:$X,'01. KE30'!$F:$F,'05. BC BH THEO SKU-USD'!$D23,'01. KE30'!$A:$A,'05. BC BH THEO SKU-USD'!DZ$4)-SUMIFS('01. KE30'!$AA:$AA,'01. KE30'!$F:$F,'05. BC BH THEO SKU-USD'!$D23,'01. KE30'!$A:$A,'05. BC BH THEO SKU-USD'!DZ$4),"-")</f>
        <v>0</v>
      </c>
      <c r="EB23" s="576">
        <f t="shared" si="252"/>
        <v>0</v>
      </c>
      <c r="EC23" s="573">
        <f t="shared" si="253"/>
        <v>0</v>
      </c>
      <c r="ED23" s="573">
        <f t="shared" si="19"/>
        <v>0</v>
      </c>
      <c r="EE23" s="572">
        <f t="shared" si="20"/>
        <v>0</v>
      </c>
      <c r="EF23" s="572">
        <f t="shared" si="21"/>
        <v>0</v>
      </c>
      <c r="EG23" s="572">
        <f t="shared" si="22"/>
        <v>0</v>
      </c>
      <c r="EH23" s="572">
        <f t="shared" si="23"/>
        <v>0</v>
      </c>
      <c r="EI23" s="572">
        <f t="shared" si="24"/>
        <v>0</v>
      </c>
      <c r="EJ23" s="572">
        <f t="shared" si="25"/>
        <v>0</v>
      </c>
      <c r="EK23" s="572">
        <f t="shared" si="26"/>
        <v>0</v>
      </c>
      <c r="EL23" s="572">
        <f t="shared" si="27"/>
        <v>0</v>
      </c>
      <c r="EM23" s="572">
        <f t="shared" si="28"/>
        <v>0</v>
      </c>
      <c r="EN23" s="572">
        <f t="shared" si="29"/>
        <v>0</v>
      </c>
    </row>
    <row r="24" spans="1:144" ht="15.5" outlineLevel="1" x14ac:dyDescent="0.35">
      <c r="A24" s="27">
        <f t="shared" ref="A24:A27" si="270">A23+1</f>
        <v>2</v>
      </c>
      <c r="B24" s="27" t="s">
        <v>95</v>
      </c>
      <c r="C24" s="246" t="s">
        <v>326</v>
      </c>
      <c r="D24" s="459" t="s">
        <v>215</v>
      </c>
      <c r="E24" s="7" t="s">
        <v>93</v>
      </c>
      <c r="F24" s="92" t="str">
        <f>IFERROR(AVERAGE(G24:R24),"-")</f>
        <v>-</v>
      </c>
      <c r="G24" s="106" t="str">
        <f>IFERROR(SUMIFS('01. KE30'!$K:$K,'01. KE30'!$F:$F,'05. BC BH THEO SKU-USD'!$D24,'01. KE30'!$A:$A,'05. BC BH THEO SKU-USD'!G$4)/'05. BC BH THEO SKU-USD'!CM24/'02. Tỷ giá'!B$5,"-")</f>
        <v>-</v>
      </c>
      <c r="H24" s="106" t="str">
        <f>IFERROR(SUMIFS('01. KE30'!$K:$K,'01. KE30'!$F:$F,'05. BC BH THEO SKU-USD'!$D24,'01. KE30'!$A:$A,'05. BC BH THEO SKU-USD'!H$4)/'05. BC BH THEO SKU-USD'!CN24/'02. Tỷ giá'!C$5,"-")</f>
        <v>-</v>
      </c>
      <c r="I24" s="106" t="str">
        <f>IFERROR(SUMIFS('01. KE30'!$K:$K,'01. KE30'!$F:$F,'05. BC BH THEO SKU-USD'!$D24,'01. KE30'!$A:$A,'05. BC BH THEO SKU-USD'!I$4)/'05. BC BH THEO SKU-USD'!CO24/'02. Tỷ giá'!D$5,"-")</f>
        <v>-</v>
      </c>
      <c r="J24" s="106" t="str">
        <f>IFERROR(SUMIFS('01. KE30'!$K:$K,'01. KE30'!$F:$F,'05. BC BH THEO SKU-USD'!$D24,'01. KE30'!$A:$A,'05. BC BH THEO SKU-USD'!J$4)/'05. BC BH THEO SKU-USD'!CP24/'02. Tỷ giá'!E$5,"-")</f>
        <v>-</v>
      </c>
      <c r="K24" s="106" t="str">
        <f>IFERROR(SUMIFS('01. KE30'!$K:$K,'01. KE30'!$F:$F,'05. BC BH THEO SKU-USD'!$D24,'01. KE30'!$A:$A,'05. BC BH THEO SKU-USD'!K$4)/'05. BC BH THEO SKU-USD'!CQ24/'02. Tỷ giá'!F$5,"-")</f>
        <v>-</v>
      </c>
      <c r="L24" s="106" t="str">
        <f>IFERROR(SUMIFS('01. KE30'!$K:$K,'01. KE30'!$F:$F,'05. BC BH THEO SKU-USD'!$D24,'01. KE30'!$A:$A,'05. BC BH THEO SKU-USD'!L$4)/'05. BC BH THEO SKU-USD'!CR24/'02. Tỷ giá'!G$5,"-")</f>
        <v>-</v>
      </c>
      <c r="M24" s="106" t="str">
        <f>IFERROR(SUMIFS('01. KE30'!$K:$K,'01. KE30'!$F:$F,'05. BC BH THEO SKU-USD'!$D24,'01. KE30'!$A:$A,'05. BC BH THEO SKU-USD'!M$4)/'05. BC BH THEO SKU-USD'!CS24/'02. Tỷ giá'!H$5,"-")</f>
        <v>-</v>
      </c>
      <c r="N24" s="106" t="str">
        <f>IFERROR(SUMIFS('01. KE30'!$K:$K,'01. KE30'!$F:$F,'05. BC BH THEO SKU-USD'!$D24,'01. KE30'!$A:$A,'05. BC BH THEO SKU-USD'!N$4)/'05. BC BH THEO SKU-USD'!CT24/'02. Tỷ giá'!I$5,"-")</f>
        <v>-</v>
      </c>
      <c r="O24" s="106" t="str">
        <f>IFERROR(SUMIFS('01. KE30'!$K:$K,'01. KE30'!$F:$F,'05. BC BH THEO SKU-USD'!$D24,'01. KE30'!$A:$A,'05. BC BH THEO SKU-USD'!O$4)/'05. BC BH THEO SKU-USD'!CU24/'02. Tỷ giá'!J$5,"-")</f>
        <v>-</v>
      </c>
      <c r="P24" s="106" t="str">
        <f>IFERROR(SUMIFS('01. KE30'!$K:$K,'01. KE30'!$F:$F,'05. BC BH THEO SKU-USD'!$D24,'01. KE30'!$A:$A,'05. BC BH THEO SKU-USD'!P$4)/'05. BC BH THEO SKU-USD'!CV24/'02. Tỷ giá'!K$5,"-")</f>
        <v>-</v>
      </c>
      <c r="Q24" s="106" t="str">
        <f>IFERROR(SUMIFS('01. KE30'!$K:$K,'01. KE30'!$F:$F,'05. BC BH THEO SKU-USD'!$D24,'01. KE30'!$A:$A,'05. BC BH THEO SKU-USD'!Q$4)/'05. BC BH THEO SKU-USD'!CW24/'02. Tỷ giá'!L$5,"-")</f>
        <v>-</v>
      </c>
      <c r="R24" s="106" t="str">
        <f>IFERROR(SUMIFS('01. KE30'!$K:$K,'01. KE30'!$F:$F,'05. BC BH THEO SKU-USD'!$D24,'01. KE30'!$A:$A,'05. BC BH THEO SKU-USD'!R$4)/'05. BC BH THEO SKU-USD'!CX24/'02. Tỷ giá'!M$5,"-")</f>
        <v>-</v>
      </c>
      <c r="T24" s="92">
        <f t="shared" si="35"/>
        <v>0</v>
      </c>
      <c r="U24" s="147" t="str">
        <f>IFERROR(SUMIFS('01. KE30'!$O:$O,'01. KE30'!$F:$F,'05. BC BH THEO SKU-USD'!$D24,'01. KE30'!$A:$A,'05. BC BH THEO SKU-USD'!G$4)/'05. BC BH THEO SKU-USD'!CM24/'02. Tỷ giá'!B$5,"-")</f>
        <v>-</v>
      </c>
      <c r="V24" s="147" t="str">
        <f>IFERROR(SUMIFS('01. KE30'!$O:$O,'01. KE30'!$F:$F,'05. BC BH THEO SKU-USD'!$D24,'01. KE30'!$A:$A,'05. BC BH THEO SKU-USD'!H$4)/'05. BC BH THEO SKU-USD'!CN24/'02. Tỷ giá'!C$5,"-")</f>
        <v>-</v>
      </c>
      <c r="W24" s="147" t="str">
        <f>IFERROR(SUMIFS('01. KE30'!$O:$O,'01. KE30'!$F:$F,'05. BC BH THEO SKU-USD'!$D24,'01. KE30'!$A:$A,'05. BC BH THEO SKU-USD'!I$4)/'05. BC BH THEO SKU-USD'!CO24/'02. Tỷ giá'!D$5,"-")</f>
        <v>-</v>
      </c>
      <c r="X24" s="147" t="str">
        <f>IFERROR(SUMIFS('01. KE30'!$O:$O,'01. KE30'!$F:$F,'05. BC BH THEO SKU-USD'!$D24,'01. KE30'!$A:$A,'05. BC BH THEO SKU-USD'!J$4)/'05. BC BH THEO SKU-USD'!CP24/'02. Tỷ giá'!E$5,"-")</f>
        <v>-</v>
      </c>
      <c r="Y24" s="147" t="str">
        <f>IFERROR(SUMIFS('01. KE30'!$O:$O,'01. KE30'!$F:$F,'05. BC BH THEO SKU-USD'!$D24,'01. KE30'!$A:$A,'05. BC BH THEO SKU-USD'!K$4)/'05. BC BH THEO SKU-USD'!CQ24/'02. Tỷ giá'!F$5,"-")</f>
        <v>-</v>
      </c>
      <c r="Z24" s="147" t="str">
        <f>IFERROR(SUMIFS('01. KE30'!$O:$O,'01. KE30'!$F:$F,'05. BC BH THEO SKU-USD'!$D24,'01. KE30'!$A:$A,'05. BC BH THEO SKU-USD'!L$4)/'05. BC BH THEO SKU-USD'!CR24/'02. Tỷ giá'!G$5,"-")</f>
        <v>-</v>
      </c>
      <c r="AA24" s="147" t="str">
        <f>IFERROR(SUMIFS('01. KE30'!$O:$O,'01. KE30'!$F:$F,'05. BC BH THEO SKU-USD'!$D24,'01. KE30'!$A:$A,'05. BC BH THEO SKU-USD'!M$4)/'05. BC BH THEO SKU-USD'!CS24/'02. Tỷ giá'!H$5,"-")</f>
        <v>-</v>
      </c>
      <c r="AB24" s="147" t="str">
        <f>IFERROR(SUMIFS('01. KE30'!$O:$O,'01. KE30'!$F:$F,'05. BC BH THEO SKU-USD'!$D24,'01. KE30'!$A:$A,'05. BC BH THEO SKU-USD'!N$4)/'05. BC BH THEO SKU-USD'!CT24/'02. Tỷ giá'!I$5,"-")</f>
        <v>-</v>
      </c>
      <c r="AC24" s="147" t="str">
        <f>IFERROR(SUMIFS('01. KE30'!$O:$O,'01. KE30'!$F:$F,'05. BC BH THEO SKU-USD'!$D24,'01. KE30'!$A:$A,'05. BC BH THEO SKU-USD'!O$4)/'05. BC BH THEO SKU-USD'!CU24/'02. Tỷ giá'!J$5,"-")</f>
        <v>-</v>
      </c>
      <c r="AD24" s="147" t="str">
        <f>IFERROR(SUMIFS('01. KE30'!$O:$O,'01. KE30'!$F:$F,'05. BC BH THEO SKU-USD'!$D24,'01. KE30'!$A:$A,'05. BC BH THEO SKU-USD'!P$4)/'05. BC BH THEO SKU-USD'!CV24/'02. Tỷ giá'!K$5,"-")</f>
        <v>-</v>
      </c>
      <c r="AE24" s="147" t="str">
        <f>IFERROR(SUMIFS('01. KE30'!$O:$O,'01. KE30'!$F:$F,'05. BC BH THEO SKU-USD'!$D24,'01. KE30'!$A:$A,'05. BC BH THEO SKU-USD'!Q$4)/'05. BC BH THEO SKU-USD'!CW24/'02. Tỷ giá'!L$5,"-")</f>
        <v>-</v>
      </c>
      <c r="AF24" s="147" t="str">
        <f>IFERROR(SUMIFS('01. KE30'!$O:$O,'01. KE30'!$F:$F,'05. BC BH THEO SKU-USD'!$D24,'01. KE30'!$A:$A,'05. BC BH THEO SKU-USD'!R$4)/'05. BC BH THEO SKU-USD'!CX24/'02. Tỷ giá'!M$5,"-")</f>
        <v>-</v>
      </c>
      <c r="AH24" s="55">
        <f t="shared" si="254"/>
        <v>1102.2222222222222</v>
      </c>
      <c r="AI24" s="4">
        <v>1100</v>
      </c>
      <c r="AJ24" s="4">
        <v>1100</v>
      </c>
      <c r="AK24" s="4">
        <v>1100</v>
      </c>
      <c r="AL24" s="4">
        <v>1100</v>
      </c>
      <c r="AM24" s="4">
        <v>1100</v>
      </c>
      <c r="AN24" s="4">
        <v>1120</v>
      </c>
      <c r="AO24" s="4">
        <v>1120</v>
      </c>
      <c r="AP24" s="4">
        <v>1090</v>
      </c>
      <c r="AQ24" s="4">
        <v>1090</v>
      </c>
      <c r="AR24" s="4"/>
      <c r="AS24" s="4"/>
      <c r="AT24" s="4"/>
      <c r="AV24" s="95" t="str">
        <f t="shared" si="58"/>
        <v>-</v>
      </c>
      <c r="AW24" s="95" t="str">
        <f t="shared" si="58"/>
        <v>-</v>
      </c>
      <c r="AX24" s="95" t="str">
        <f t="shared" si="59"/>
        <v>-</v>
      </c>
      <c r="AY24" s="95" t="str">
        <f t="shared" si="59"/>
        <v>-</v>
      </c>
      <c r="AZ24" s="95" t="str">
        <f t="shared" si="59"/>
        <v>-</v>
      </c>
      <c r="BA24" s="95" t="str">
        <f t="shared" si="59"/>
        <v>-</v>
      </c>
      <c r="BB24" s="95" t="str">
        <f t="shared" si="59"/>
        <v>-</v>
      </c>
      <c r="BC24" s="95" t="str">
        <f t="shared" si="59"/>
        <v>-</v>
      </c>
      <c r="BD24" s="95" t="str">
        <f t="shared" si="59"/>
        <v>-</v>
      </c>
      <c r="BE24" s="95" t="str">
        <f t="shared" si="59"/>
        <v>-</v>
      </c>
      <c r="BF24" s="95" t="str">
        <f t="shared" si="59"/>
        <v>-</v>
      </c>
      <c r="BG24" s="95" t="str">
        <f t="shared" si="59"/>
        <v>-</v>
      </c>
      <c r="BH24" s="95" t="str">
        <f t="shared" si="59"/>
        <v>-</v>
      </c>
      <c r="BJ24" s="143" t="str">
        <f t="shared" si="65"/>
        <v>-</v>
      </c>
      <c r="BK24" s="143" t="str">
        <f t="shared" si="65"/>
        <v>-</v>
      </c>
      <c r="BL24" s="143" t="str">
        <f t="shared" si="65"/>
        <v>-</v>
      </c>
      <c r="BM24" s="143" t="str">
        <f t="shared" si="66"/>
        <v>-</v>
      </c>
      <c r="BN24" s="143" t="str">
        <f t="shared" si="66"/>
        <v>-</v>
      </c>
      <c r="BO24" s="143" t="str">
        <f t="shared" si="66"/>
        <v>-</v>
      </c>
      <c r="BP24" s="143" t="str">
        <f t="shared" si="66"/>
        <v>-</v>
      </c>
      <c r="BQ24" s="143" t="str">
        <f t="shared" si="66"/>
        <v>-</v>
      </c>
      <c r="BR24" s="143" t="str">
        <f t="shared" si="66"/>
        <v>-</v>
      </c>
      <c r="BS24" s="143" t="str">
        <f t="shared" si="66"/>
        <v>-</v>
      </c>
      <c r="BT24" s="143" t="str">
        <f t="shared" si="68"/>
        <v>-</v>
      </c>
      <c r="BU24" s="143" t="str">
        <f t="shared" si="68"/>
        <v>-</v>
      </c>
      <c r="BV24" s="143" t="str">
        <f t="shared" si="68"/>
        <v>-</v>
      </c>
      <c r="BX24" s="112" t="str">
        <f t="shared" si="256"/>
        <v>-</v>
      </c>
      <c r="BY24" s="95" t="str">
        <f>IFERROR(SUMIFS('01. KE30'!$R:$R,'01. KE30'!$F:$F,'05. BC BH THEO SKU-USD'!$D24,'01. KE30'!$A:$A,'05. BC BH THEO SKU-USD'!BY$4)/CM24/'02. Tỷ giá'!B$5," -")</f>
        <v xml:space="preserve"> -</v>
      </c>
      <c r="BZ24" s="95" t="str">
        <f>IFERROR(SUMIFS('01. KE30'!$R:$R,'01. KE30'!$F:$F,'05. BC BH THEO SKU-USD'!$D24,'01. KE30'!$A:$A,'05. BC BH THEO SKU-USD'!BZ$4)/CN24/'02. Tỷ giá'!C$5," -")</f>
        <v xml:space="preserve"> -</v>
      </c>
      <c r="CA24" s="95" t="str">
        <f>IFERROR(SUMIFS('01. KE30'!$R:$R,'01. KE30'!$F:$F,'05. BC BH THEO SKU-USD'!$D24,'01. KE30'!$A:$A,'05. BC BH THEO SKU-USD'!CA$4)/CO24/'02. Tỷ giá'!D$5," -")</f>
        <v xml:space="preserve"> -</v>
      </c>
      <c r="CB24" s="95" t="str">
        <f>IFERROR(SUMIFS('01. KE30'!$R:$R,'01. KE30'!$F:$F,'05. BC BH THEO SKU-USD'!$D24,'01. KE30'!$A:$A,'05. BC BH THEO SKU-USD'!CB$4)/CP24/'02. Tỷ giá'!E$5," -")</f>
        <v xml:space="preserve"> -</v>
      </c>
      <c r="CC24" s="95" t="str">
        <f>IFERROR(SUMIFS('01. KE30'!$R:$R,'01. KE30'!$F:$F,'05. BC BH THEO SKU-USD'!$D24,'01. KE30'!$A:$A,'05. BC BH THEO SKU-USD'!CC$4)/CQ24/'02. Tỷ giá'!F$5," -")</f>
        <v xml:space="preserve"> -</v>
      </c>
      <c r="CD24" s="95" t="str">
        <f>IFERROR(SUMIFS('01. KE30'!$R:$R,'01. KE30'!$F:$F,'05. BC BH THEO SKU-USD'!$D24,'01. KE30'!$A:$A,'05. BC BH THEO SKU-USD'!CD$4)/CR24/'02. Tỷ giá'!G$5," -")</f>
        <v xml:space="preserve"> -</v>
      </c>
      <c r="CE24" s="95" t="str">
        <f>IFERROR(SUMIFS('01. KE30'!$R:$R,'01. KE30'!$F:$F,'05. BC BH THEO SKU-USD'!$D24,'01. KE30'!$A:$A,'05. BC BH THEO SKU-USD'!CE$4)/CS24/'02. Tỷ giá'!H$5," -")</f>
        <v xml:space="preserve"> -</v>
      </c>
      <c r="CF24" s="95" t="str">
        <f>IFERROR(SUMIFS('01. KE30'!$R:$R,'01. KE30'!$F:$F,'05. BC BH THEO SKU-USD'!$D24,'01. KE30'!$A:$A,'05. BC BH THEO SKU-USD'!CF$4)/CT24/'02. Tỷ giá'!I$5," -")</f>
        <v xml:space="preserve"> -</v>
      </c>
      <c r="CG24" s="95" t="str">
        <f>IFERROR(SUMIFS('01. KE30'!$R:$R,'01. KE30'!$F:$F,'05. BC BH THEO SKU-USD'!$D24,'01. KE30'!$A:$A,'05. BC BH THEO SKU-USD'!CG$4)/CU24/'02. Tỷ giá'!J$5," -")</f>
        <v xml:space="preserve"> -</v>
      </c>
      <c r="CH24" s="95" t="str">
        <f>IFERROR(SUMIFS('01. KE30'!$R:$R,'01. KE30'!$F:$F,'05. BC BH THEO SKU-USD'!$D24,'01. KE30'!$A:$A,'05. BC BH THEO SKU-USD'!CH$4)/CV24/'02. Tỷ giá'!K$5," -")</f>
        <v xml:space="preserve"> -</v>
      </c>
      <c r="CI24" s="95" t="str">
        <f>IFERROR(SUMIFS('01. KE30'!$R:$R,'01. KE30'!$F:$F,'05. BC BH THEO SKU-USD'!$D24,'01. KE30'!$A:$A,'05. BC BH THEO SKU-USD'!CI$4)/CW24/'02. Tỷ giá'!L$5," -")</f>
        <v xml:space="preserve"> -</v>
      </c>
      <c r="CJ24" s="95" t="str">
        <f>IFERROR(SUMIFS('01. KE30'!$R:$R,'01. KE30'!$F:$F,'05. BC BH THEO SKU-USD'!$D24,'01. KE30'!$A:$A,'05. BC BH THEO SKU-USD'!CJ$4)/CX24/'02. Tỷ giá'!M$5," -")</f>
        <v xml:space="preserve"> -</v>
      </c>
      <c r="CL24" s="112">
        <f t="shared" si="257"/>
        <v>0</v>
      </c>
      <c r="CM24" s="114">
        <f>SUMIFS('01. KE30'!$I:$I,'01. KE30'!$F:$F,'05. BC BH THEO SKU-USD'!$D24,'01. KE30'!$A:$A,'05. BC BH THEO SKU-USD'!CM$4)/1000</f>
        <v>0</v>
      </c>
      <c r="CN24" s="114">
        <f>SUMIFS('01. KE30'!$I:$I,'01. KE30'!$F:$F,'05. BC BH THEO SKU-USD'!$D24,'01. KE30'!$A:$A,'05. BC BH THEO SKU-USD'!CN$4)/1000</f>
        <v>0</v>
      </c>
      <c r="CO24" s="114">
        <f>SUMIFS('01. KE30'!$I:$I,'01. KE30'!$F:$F,'05. BC BH THEO SKU-USD'!$D24,'01. KE30'!$A:$A,'05. BC BH THEO SKU-USD'!CO$4)/1000</f>
        <v>0</v>
      </c>
      <c r="CP24" s="114">
        <f>SUMIFS('01. KE30'!$I:$I,'01. KE30'!$F:$F,'05. BC BH THEO SKU-USD'!$D24,'01. KE30'!$A:$A,'05. BC BH THEO SKU-USD'!CP$4)/1000</f>
        <v>0</v>
      </c>
      <c r="CQ24" s="114">
        <f>SUMIFS('01. KE30'!$I:$I,'01. KE30'!$F:$F,'05. BC BH THEO SKU-USD'!$D24,'01. KE30'!$A:$A,'05. BC BH THEO SKU-USD'!CQ$4)/1000</f>
        <v>0</v>
      </c>
      <c r="CR24" s="114">
        <f>SUMIFS('01. KE30'!$I:$I,'01. KE30'!$F:$F,'05. BC BH THEO SKU-USD'!$D24,'01. KE30'!$A:$A,'05. BC BH THEO SKU-USD'!CR$4)/1000</f>
        <v>0</v>
      </c>
      <c r="CS24" s="114">
        <f>SUMIFS('01. KE30'!$I:$I,'01. KE30'!$F:$F,'05. BC BH THEO SKU-USD'!$D24,'01. KE30'!$A:$A,'05. BC BH THEO SKU-USD'!CS$4)/1000</f>
        <v>0</v>
      </c>
      <c r="CT24" s="114">
        <f>SUMIFS('01. KE30'!$I:$I,'01. KE30'!$F:$F,'05. BC BH THEO SKU-USD'!$D24,'01. KE30'!$A:$A,'05. BC BH THEO SKU-USD'!CT$4)/1000</f>
        <v>0</v>
      </c>
      <c r="CU24" s="114">
        <f>SUMIFS('01. KE30'!$I:$I,'01. KE30'!$F:$F,'05. BC BH THEO SKU-USD'!$D24,'01. KE30'!$A:$A,'05. BC BH THEO SKU-USD'!CU$4)/1000</f>
        <v>0</v>
      </c>
      <c r="CV24" s="114">
        <f>SUMIFS('01. KE30'!$I:$I,'01. KE30'!$F:$F,'05. BC BH THEO SKU-USD'!$D24,'01. KE30'!$A:$A,'05. BC BH THEO SKU-USD'!CV$4)/1000</f>
        <v>0</v>
      </c>
      <c r="CW24" s="114">
        <f>SUMIFS('01. KE30'!$I:$I,'01. KE30'!$F:$F,'05. BC BH THEO SKU-USD'!$D24,'01. KE30'!$A:$A,'05. BC BH THEO SKU-USD'!CW$4)/1000</f>
        <v>0</v>
      </c>
      <c r="CX24" s="114">
        <f>SUMIFS('01. KE30'!$I:$I,'01. KE30'!$F:$F,'05. BC BH THEO SKU-USD'!$D24,'01. KE30'!$A:$A,'05. BC BH THEO SKU-USD'!CX$4)/1000</f>
        <v>0</v>
      </c>
      <c r="CZ24" s="112">
        <f t="shared" ref="CZ24:CZ27" si="271">SUM(DA24:DL24)</f>
        <v>0</v>
      </c>
      <c r="DA24" s="54" t="str">
        <f t="shared" si="258"/>
        <v xml:space="preserve"> -</v>
      </c>
      <c r="DB24" s="54" t="str">
        <f t="shared" si="259"/>
        <v xml:space="preserve"> -</v>
      </c>
      <c r="DC24" s="54" t="str">
        <f t="shared" si="260"/>
        <v xml:space="preserve"> -</v>
      </c>
      <c r="DD24" s="54" t="str">
        <f t="shared" si="261"/>
        <v xml:space="preserve"> -</v>
      </c>
      <c r="DE24" s="54" t="str">
        <f t="shared" si="262"/>
        <v xml:space="preserve"> -</v>
      </c>
      <c r="DF24" s="54" t="str">
        <f t="shared" si="263"/>
        <v xml:space="preserve"> -</v>
      </c>
      <c r="DG24" s="54" t="str">
        <f t="shared" si="264"/>
        <v xml:space="preserve"> -</v>
      </c>
      <c r="DH24" s="54" t="str">
        <f t="shared" si="265"/>
        <v xml:space="preserve"> -</v>
      </c>
      <c r="DI24" s="54" t="str">
        <f t="shared" si="266"/>
        <v xml:space="preserve"> -</v>
      </c>
      <c r="DJ24" s="54" t="str">
        <f t="shared" si="267"/>
        <v xml:space="preserve"> -</v>
      </c>
      <c r="DK24" s="54" t="str">
        <f t="shared" si="268"/>
        <v xml:space="preserve"> -</v>
      </c>
      <c r="DL24" s="54" t="str">
        <f t="shared" si="269"/>
        <v xml:space="preserve"> -</v>
      </c>
      <c r="DN24" s="112">
        <f t="shared" si="64"/>
        <v>0</v>
      </c>
      <c r="DO24" s="114">
        <f>IFERROR(SUMIFS('01. KE30'!$X:$X,'01. KE30'!$F:$F,'05. BC BH THEO SKU-USD'!$D24,'01. KE30'!$A:$A,'05. BC BH THEO SKU-USD'!DO$4)-SUMIFS('01. KE30'!$AA:$AA,'01. KE30'!$F:$F,'05. BC BH THEO SKU-USD'!$D24,'01. KE30'!$A:$A,'05. BC BH THEO SKU-USD'!DO$4),"-")</f>
        <v>0</v>
      </c>
      <c r="DP24" s="114">
        <f>IFERROR(SUMIFS('01. KE30'!$X:$X,'01. KE30'!$F:$F,'05. BC BH THEO SKU-USD'!$D24,'01. KE30'!$A:$A,'05. BC BH THEO SKU-USD'!DP$4)-SUMIFS('01. KE30'!$AA:$AA,'01. KE30'!$F:$F,'05. BC BH THEO SKU-USD'!$D24,'01. KE30'!$A:$A,'05. BC BH THEO SKU-USD'!DP$4),"-")</f>
        <v>0</v>
      </c>
      <c r="DQ24" s="114">
        <f>IFERROR(SUMIFS('01. KE30'!$X:$X,'01. KE30'!$F:$F,'05. BC BH THEO SKU-USD'!$D24,'01. KE30'!$A:$A,'05. BC BH THEO SKU-USD'!DQ$4)-SUMIFS('01. KE30'!$AA:$AA,'01. KE30'!$F:$F,'05. BC BH THEO SKU-USD'!$D24,'01. KE30'!$A:$A,'05. BC BH THEO SKU-USD'!DQ$4),"-")</f>
        <v>0</v>
      </c>
      <c r="DR24" s="114">
        <f>IFERROR(SUMIFS('01. KE30'!$X:$X,'01. KE30'!$F:$F,'05. BC BH THEO SKU-USD'!$D24,'01. KE30'!$A:$A,'05. BC BH THEO SKU-USD'!DR$4)-SUMIFS('01. KE30'!$AA:$AA,'01. KE30'!$F:$F,'05. BC BH THEO SKU-USD'!$D24,'01. KE30'!$A:$A,'05. BC BH THEO SKU-USD'!DR$4),"-")</f>
        <v>0</v>
      </c>
      <c r="DS24" s="114">
        <f>IFERROR(SUMIFS('01. KE30'!$X:$X,'01. KE30'!$F:$F,'05. BC BH THEO SKU-USD'!$D24,'01. KE30'!$A:$A,'05. BC BH THEO SKU-USD'!DS$4)-SUMIFS('01. KE30'!$AA:$AA,'01. KE30'!$F:$F,'05. BC BH THEO SKU-USD'!$D24,'01. KE30'!$A:$A,'05. BC BH THEO SKU-USD'!DS$4),"-")</f>
        <v>0</v>
      </c>
      <c r="DT24" s="114">
        <f>IFERROR(SUMIFS('01. KE30'!$X:$X,'01. KE30'!$F:$F,'05. BC BH THEO SKU-USD'!$D24,'01. KE30'!$A:$A,'05. BC BH THEO SKU-USD'!DT$4)-SUMIFS('01. KE30'!$AA:$AA,'01. KE30'!$F:$F,'05. BC BH THEO SKU-USD'!$D24,'01. KE30'!$A:$A,'05. BC BH THEO SKU-USD'!DT$4),"-")</f>
        <v>0</v>
      </c>
      <c r="DU24" s="114">
        <f>IFERROR(SUMIFS('01. KE30'!$X:$X,'01. KE30'!$F:$F,'05. BC BH THEO SKU-USD'!$D24,'01. KE30'!$A:$A,'05. BC BH THEO SKU-USD'!DU$4)-SUMIFS('01. KE30'!$AA:$AA,'01. KE30'!$F:$F,'05. BC BH THEO SKU-USD'!$D24,'01. KE30'!$A:$A,'05. BC BH THEO SKU-USD'!DU$4),"-")</f>
        <v>0</v>
      </c>
      <c r="DV24" s="114">
        <f>IFERROR(SUMIFS('01. KE30'!$X:$X,'01. KE30'!$F:$F,'05. BC BH THEO SKU-USD'!$D24,'01. KE30'!$A:$A,'05. BC BH THEO SKU-USD'!DV$4)-SUMIFS('01. KE30'!$AA:$AA,'01. KE30'!$F:$F,'05. BC BH THEO SKU-USD'!$D24,'01. KE30'!$A:$A,'05. BC BH THEO SKU-USD'!DV$4),"-")</f>
        <v>0</v>
      </c>
      <c r="DW24" s="114">
        <f>IFERROR(SUMIFS('01. KE30'!$X:$X,'01. KE30'!$F:$F,'05. BC BH THEO SKU-USD'!$D24,'01. KE30'!$A:$A,'05. BC BH THEO SKU-USD'!DW$4)-SUMIFS('01. KE30'!$AA:$AA,'01. KE30'!$F:$F,'05. BC BH THEO SKU-USD'!$D24,'01. KE30'!$A:$A,'05. BC BH THEO SKU-USD'!DW$4),"-")</f>
        <v>0</v>
      </c>
      <c r="DX24" s="114">
        <f>IFERROR(SUMIFS('01. KE30'!$X:$X,'01. KE30'!$F:$F,'05. BC BH THEO SKU-USD'!$D24,'01. KE30'!$A:$A,'05. BC BH THEO SKU-USD'!DX$4)-SUMIFS('01. KE30'!$AA:$AA,'01. KE30'!$F:$F,'05. BC BH THEO SKU-USD'!$D24,'01. KE30'!$A:$A,'05. BC BH THEO SKU-USD'!DX$4),"-")</f>
        <v>0</v>
      </c>
      <c r="DY24" s="114">
        <f>IFERROR(SUMIFS('01. KE30'!$X:$X,'01. KE30'!$F:$F,'05. BC BH THEO SKU-USD'!$D24,'01. KE30'!$A:$A,'05. BC BH THEO SKU-USD'!DY$4)-SUMIFS('01. KE30'!$AA:$AA,'01. KE30'!$F:$F,'05. BC BH THEO SKU-USD'!$D24,'01. KE30'!$A:$A,'05. BC BH THEO SKU-USD'!DY$4),"-")</f>
        <v>0</v>
      </c>
      <c r="DZ24" s="114">
        <f>IFERROR(SUMIFS('01. KE30'!$X:$X,'01. KE30'!$F:$F,'05. BC BH THEO SKU-USD'!$D24,'01. KE30'!$A:$A,'05. BC BH THEO SKU-USD'!DZ$4)-SUMIFS('01. KE30'!$AA:$AA,'01. KE30'!$F:$F,'05. BC BH THEO SKU-USD'!$D24,'01. KE30'!$A:$A,'05. BC BH THEO SKU-USD'!DZ$4),"-")</f>
        <v>0</v>
      </c>
      <c r="EB24" s="576">
        <f t="shared" si="252"/>
        <v>0</v>
      </c>
      <c r="EC24" s="573">
        <f t="shared" si="253"/>
        <v>0</v>
      </c>
      <c r="ED24" s="573">
        <f t="shared" si="19"/>
        <v>0</v>
      </c>
      <c r="EE24" s="572">
        <f t="shared" si="20"/>
        <v>0</v>
      </c>
      <c r="EF24" s="572">
        <f t="shared" si="21"/>
        <v>0</v>
      </c>
      <c r="EG24" s="572">
        <f t="shared" si="22"/>
        <v>0</v>
      </c>
      <c r="EH24" s="572">
        <f t="shared" si="23"/>
        <v>0</v>
      </c>
      <c r="EI24" s="572">
        <f t="shared" si="24"/>
        <v>0</v>
      </c>
      <c r="EJ24" s="572">
        <f t="shared" si="25"/>
        <v>0</v>
      </c>
      <c r="EK24" s="572">
        <f t="shared" si="26"/>
        <v>0</v>
      </c>
      <c r="EL24" s="572">
        <f t="shared" si="27"/>
        <v>0</v>
      </c>
      <c r="EM24" s="572">
        <f t="shared" si="28"/>
        <v>0</v>
      </c>
      <c r="EN24" s="572">
        <f t="shared" si="29"/>
        <v>0</v>
      </c>
    </row>
    <row r="25" spans="1:144" ht="15.5" outlineLevel="1" x14ac:dyDescent="0.35">
      <c r="A25" s="27">
        <f t="shared" si="270"/>
        <v>3</v>
      </c>
      <c r="B25" s="27" t="s">
        <v>95</v>
      </c>
      <c r="C25" s="246" t="s">
        <v>327</v>
      </c>
      <c r="D25" s="459" t="s">
        <v>218</v>
      </c>
      <c r="E25" s="7" t="s">
        <v>228</v>
      </c>
      <c r="F25" s="92">
        <f t="shared" ref="F25:F27" si="272">IFERROR(AVERAGE(G25:R25),"-")</f>
        <v>1130</v>
      </c>
      <c r="G25" s="106" t="str">
        <f>IFERROR(SUMIFS('01. KE30'!$K:$K,'01. KE30'!$F:$F,'05. BC BH THEO SKU-USD'!$D25,'01. KE30'!$A:$A,'05. BC BH THEO SKU-USD'!G$4)/'05. BC BH THEO SKU-USD'!CM25/'02. Tỷ giá'!B$5,"-")</f>
        <v>-</v>
      </c>
      <c r="H25" s="106" t="str">
        <f>IFERROR(SUMIFS('01. KE30'!$K:$K,'01. KE30'!$F:$F,'05. BC BH THEO SKU-USD'!$D25,'01. KE30'!$A:$A,'05. BC BH THEO SKU-USD'!H$4)/'05. BC BH THEO SKU-USD'!CN25/'02. Tỷ giá'!C$5,"-")</f>
        <v>-</v>
      </c>
      <c r="I25" s="106" t="str">
        <f>IFERROR(SUMIFS('01. KE30'!$K:$K,'01. KE30'!$F:$F,'05. BC BH THEO SKU-USD'!$D25,'01. KE30'!$A:$A,'05. BC BH THEO SKU-USD'!I$4)/'05. BC BH THEO SKU-USD'!CO25/'02. Tỷ giá'!D$5,"-")</f>
        <v>-</v>
      </c>
      <c r="J25" s="106">
        <f>IFERROR(SUMIFS('01. KE30'!$K:$K,'01. KE30'!$F:$F,'05. BC BH THEO SKU-USD'!$D25,'01. KE30'!$A:$A,'05. BC BH THEO SKU-USD'!J$4)/'05. BC BH THEO SKU-USD'!CP25/'02. Tỷ giá'!E$5,"-")</f>
        <v>1130</v>
      </c>
      <c r="K25" s="106" t="str">
        <f>IFERROR(SUMIFS('01. KE30'!$K:$K,'01. KE30'!$F:$F,'05. BC BH THEO SKU-USD'!$D25,'01. KE30'!$A:$A,'05. BC BH THEO SKU-USD'!K$4)/'05. BC BH THEO SKU-USD'!CQ25/'02. Tỷ giá'!F$5,"-")</f>
        <v>-</v>
      </c>
      <c r="L25" s="106" t="str">
        <f>IFERROR(SUMIFS('01. KE30'!$K:$K,'01. KE30'!$F:$F,'05. BC BH THEO SKU-USD'!$D25,'01. KE30'!$A:$A,'05. BC BH THEO SKU-USD'!L$4)/'05. BC BH THEO SKU-USD'!CR25/'02. Tỷ giá'!G$5,"-")</f>
        <v>-</v>
      </c>
      <c r="M25" s="106" t="str">
        <f>IFERROR(SUMIFS('01. KE30'!$K:$K,'01. KE30'!$F:$F,'05. BC BH THEO SKU-USD'!$D25,'01. KE30'!$A:$A,'05. BC BH THEO SKU-USD'!M$4)/'05. BC BH THEO SKU-USD'!CS25/'02. Tỷ giá'!H$5,"-")</f>
        <v>-</v>
      </c>
      <c r="N25" s="106" t="str">
        <f>IFERROR(SUMIFS('01. KE30'!$K:$K,'01. KE30'!$F:$F,'05. BC BH THEO SKU-USD'!$D25,'01. KE30'!$A:$A,'05. BC BH THEO SKU-USD'!N$4)/'05. BC BH THEO SKU-USD'!CT25/'02. Tỷ giá'!I$5,"-")</f>
        <v>-</v>
      </c>
      <c r="O25" s="106" t="str">
        <f>IFERROR(SUMIFS('01. KE30'!$K:$K,'01. KE30'!$F:$F,'05. BC BH THEO SKU-USD'!$D25,'01. KE30'!$A:$A,'05. BC BH THEO SKU-USD'!O$4)/'05. BC BH THEO SKU-USD'!CU25/'02. Tỷ giá'!J$5,"-")</f>
        <v>-</v>
      </c>
      <c r="P25" s="106" t="str">
        <f>IFERROR(SUMIFS('01. KE30'!$K:$K,'01. KE30'!$F:$F,'05. BC BH THEO SKU-USD'!$D25,'01. KE30'!$A:$A,'05. BC BH THEO SKU-USD'!P$4)/'05. BC BH THEO SKU-USD'!CV25/'02. Tỷ giá'!K$5,"-")</f>
        <v>-</v>
      </c>
      <c r="Q25" s="106" t="str">
        <f>IFERROR(SUMIFS('01. KE30'!$K:$K,'01. KE30'!$F:$F,'05. BC BH THEO SKU-USD'!$D25,'01. KE30'!$A:$A,'05. BC BH THEO SKU-USD'!Q$4)/'05. BC BH THEO SKU-USD'!CW25/'02. Tỷ giá'!L$5,"-")</f>
        <v>-</v>
      </c>
      <c r="R25" s="106" t="str">
        <f>IFERROR(SUMIFS('01. KE30'!$K:$K,'01. KE30'!$F:$F,'05. BC BH THEO SKU-USD'!$D25,'01. KE30'!$A:$A,'05. BC BH THEO SKU-USD'!R$4)/'05. BC BH THEO SKU-USD'!CX25/'02. Tỷ giá'!M$5,"-")</f>
        <v>-</v>
      </c>
      <c r="T25" s="92">
        <f t="shared" si="35"/>
        <v>1044.8277197057685</v>
      </c>
      <c r="U25" s="147" t="str">
        <f>IFERROR(SUMIFS('01. KE30'!$O:$O,'01. KE30'!$F:$F,'05. BC BH THEO SKU-USD'!$D25,'01. KE30'!$A:$A,'05. BC BH THEO SKU-USD'!G$4)/'05. BC BH THEO SKU-USD'!CM25/'02. Tỷ giá'!B$5,"-")</f>
        <v>-</v>
      </c>
      <c r="V25" s="147" t="str">
        <f>IFERROR(SUMIFS('01. KE30'!$O:$O,'01. KE30'!$F:$F,'05. BC BH THEO SKU-USD'!$D25,'01. KE30'!$A:$A,'05. BC BH THEO SKU-USD'!H$4)/'05. BC BH THEO SKU-USD'!CN25/'02. Tỷ giá'!C$5,"-")</f>
        <v>-</v>
      </c>
      <c r="W25" s="147" t="str">
        <f>IFERROR(SUMIFS('01. KE30'!$O:$O,'01. KE30'!$F:$F,'05. BC BH THEO SKU-USD'!$D25,'01. KE30'!$A:$A,'05. BC BH THEO SKU-USD'!I$4)/'05. BC BH THEO SKU-USD'!CO25/'02. Tỷ giá'!D$5,"-")</f>
        <v>-</v>
      </c>
      <c r="X25" s="147">
        <f>IFERROR(SUMIFS('01. KE30'!$O:$O,'01. KE30'!$F:$F,'05. BC BH THEO SKU-USD'!$D25,'01. KE30'!$A:$A,'05. BC BH THEO SKU-USD'!J$4)/'05. BC BH THEO SKU-USD'!CP25/'02. Tỷ giá'!E$5,"-")</f>
        <v>1044.8277197057685</v>
      </c>
      <c r="Y25" s="147" t="str">
        <f>IFERROR(SUMIFS('01. KE30'!$O:$O,'01. KE30'!$F:$F,'05. BC BH THEO SKU-USD'!$D25,'01. KE30'!$A:$A,'05. BC BH THEO SKU-USD'!K$4)/'05. BC BH THEO SKU-USD'!CQ25/'02. Tỷ giá'!F$5,"-")</f>
        <v>-</v>
      </c>
      <c r="Z25" s="147" t="str">
        <f>IFERROR(SUMIFS('01. KE30'!$O:$O,'01. KE30'!$F:$F,'05. BC BH THEO SKU-USD'!$D25,'01. KE30'!$A:$A,'05. BC BH THEO SKU-USD'!L$4)/'05. BC BH THEO SKU-USD'!CR25/'02. Tỷ giá'!G$5,"-")</f>
        <v>-</v>
      </c>
      <c r="AA25" s="147" t="str">
        <f>IFERROR(SUMIFS('01. KE30'!$O:$O,'01. KE30'!$F:$F,'05. BC BH THEO SKU-USD'!$D25,'01. KE30'!$A:$A,'05. BC BH THEO SKU-USD'!M$4)/'05. BC BH THEO SKU-USD'!CS25/'02. Tỷ giá'!H$5,"-")</f>
        <v>-</v>
      </c>
      <c r="AB25" s="147" t="str">
        <f>IFERROR(SUMIFS('01. KE30'!$O:$O,'01. KE30'!$F:$F,'05. BC BH THEO SKU-USD'!$D25,'01. KE30'!$A:$A,'05. BC BH THEO SKU-USD'!N$4)/'05. BC BH THEO SKU-USD'!CT25/'02. Tỷ giá'!I$5,"-")</f>
        <v>-</v>
      </c>
      <c r="AC25" s="147" t="str">
        <f>IFERROR(SUMIFS('01. KE30'!$O:$O,'01. KE30'!$F:$F,'05. BC BH THEO SKU-USD'!$D25,'01. KE30'!$A:$A,'05. BC BH THEO SKU-USD'!O$4)/'05. BC BH THEO SKU-USD'!CU25/'02. Tỷ giá'!J$5,"-")</f>
        <v>-</v>
      </c>
      <c r="AD25" s="147" t="str">
        <f>IFERROR(SUMIFS('01. KE30'!$O:$O,'01. KE30'!$F:$F,'05. BC BH THEO SKU-USD'!$D25,'01. KE30'!$A:$A,'05. BC BH THEO SKU-USD'!P$4)/'05. BC BH THEO SKU-USD'!CV25/'02. Tỷ giá'!K$5,"-")</f>
        <v>-</v>
      </c>
      <c r="AE25" s="147" t="str">
        <f>IFERROR(SUMIFS('01. KE30'!$O:$O,'01. KE30'!$F:$F,'05. BC BH THEO SKU-USD'!$D25,'01. KE30'!$A:$A,'05. BC BH THEO SKU-USD'!Q$4)/'05. BC BH THEO SKU-USD'!CW25/'02. Tỷ giá'!L$5,"-")</f>
        <v>-</v>
      </c>
      <c r="AF25" s="147" t="str">
        <f>IFERROR(SUMIFS('01. KE30'!$O:$O,'01. KE30'!$F:$F,'05. BC BH THEO SKU-USD'!$D25,'01. KE30'!$A:$A,'05. BC BH THEO SKU-USD'!R$4)/'05. BC BH THEO SKU-USD'!CX25/'02. Tỷ giá'!M$5,"-")</f>
        <v>-</v>
      </c>
      <c r="AH25" s="55">
        <f t="shared" si="254"/>
        <v>1102.2222222222222</v>
      </c>
      <c r="AI25" s="4">
        <v>1100</v>
      </c>
      <c r="AJ25" s="4">
        <v>1100</v>
      </c>
      <c r="AK25" s="4">
        <v>1100</v>
      </c>
      <c r="AL25" s="4">
        <v>1100</v>
      </c>
      <c r="AM25" s="4">
        <v>1100</v>
      </c>
      <c r="AN25" s="4">
        <v>1120</v>
      </c>
      <c r="AO25" s="4">
        <v>1120</v>
      </c>
      <c r="AP25" s="4">
        <v>1090</v>
      </c>
      <c r="AQ25" s="4">
        <v>1090</v>
      </c>
      <c r="AR25" s="4"/>
      <c r="AS25" s="4"/>
      <c r="AT25" s="4"/>
      <c r="AV25" s="95">
        <f t="shared" si="58"/>
        <v>-57.394502516453713</v>
      </c>
      <c r="AW25" s="95" t="str">
        <f t="shared" si="58"/>
        <v>-</v>
      </c>
      <c r="AX25" s="95" t="str">
        <f t="shared" si="58"/>
        <v>-</v>
      </c>
      <c r="AY25" s="95" t="str">
        <f t="shared" si="58"/>
        <v>-</v>
      </c>
      <c r="AZ25" s="95">
        <f t="shared" si="58"/>
        <v>-55.172280294231541</v>
      </c>
      <c r="BA25" s="95" t="str">
        <f t="shared" si="58"/>
        <v>-</v>
      </c>
      <c r="BB25" s="95" t="str">
        <f t="shared" si="58"/>
        <v>-</v>
      </c>
      <c r="BC25" s="95" t="str">
        <f t="shared" si="58"/>
        <v>-</v>
      </c>
      <c r="BD25" s="95" t="str">
        <f t="shared" si="58"/>
        <v>-</v>
      </c>
      <c r="BE25" s="95" t="str">
        <f t="shared" si="58"/>
        <v>-</v>
      </c>
      <c r="BF25" s="95" t="str">
        <f t="shared" si="58"/>
        <v>-</v>
      </c>
      <c r="BG25" s="95" t="str">
        <f t="shared" si="58"/>
        <v>-</v>
      </c>
      <c r="BH25" s="95" t="str">
        <f t="shared" si="58"/>
        <v>-</v>
      </c>
      <c r="BJ25" s="143">
        <f t="shared" si="65"/>
        <v>-5.2071625266943894E-2</v>
      </c>
      <c r="BK25" s="143" t="str">
        <f t="shared" si="65"/>
        <v>-</v>
      </c>
      <c r="BL25" s="143" t="str">
        <f t="shared" si="65"/>
        <v>-</v>
      </c>
      <c r="BM25" s="143" t="str">
        <f t="shared" si="66"/>
        <v>-</v>
      </c>
      <c r="BN25" s="143">
        <f t="shared" si="66"/>
        <v>-5.0156618449301402E-2</v>
      </c>
      <c r="BO25" s="143" t="str">
        <f t="shared" si="66"/>
        <v>-</v>
      </c>
      <c r="BP25" s="143" t="str">
        <f t="shared" si="66"/>
        <v>-</v>
      </c>
      <c r="BQ25" s="143" t="str">
        <f t="shared" si="66"/>
        <v>-</v>
      </c>
      <c r="BR25" s="143" t="str">
        <f t="shared" si="66"/>
        <v>-</v>
      </c>
      <c r="BS25" s="143" t="str">
        <f t="shared" si="66"/>
        <v>-</v>
      </c>
      <c r="BT25" s="143" t="str">
        <f t="shared" si="68"/>
        <v>-</v>
      </c>
      <c r="BU25" s="143" t="str">
        <f t="shared" si="68"/>
        <v>-</v>
      </c>
      <c r="BV25" s="143" t="str">
        <f t="shared" si="68"/>
        <v>-</v>
      </c>
      <c r="BX25" s="112">
        <f t="shared" si="256"/>
        <v>944.75090979481229</v>
      </c>
      <c r="BY25" s="95" t="str">
        <f>IFERROR(SUMIFS('01. KE30'!$R:$R,'01. KE30'!$F:$F,'05. BC BH THEO SKU-USD'!$D25,'01. KE30'!$A:$A,'05. BC BH THEO SKU-USD'!BY$4)/CM25/'02. Tỷ giá'!B$5," -")</f>
        <v xml:space="preserve"> -</v>
      </c>
      <c r="BZ25" s="95" t="str">
        <f>IFERROR(SUMIFS('01. KE30'!$R:$R,'01. KE30'!$F:$F,'05. BC BH THEO SKU-USD'!$D25,'01. KE30'!$A:$A,'05. BC BH THEO SKU-USD'!BZ$4)/CN25/'02. Tỷ giá'!C$5," -")</f>
        <v xml:space="preserve"> -</v>
      </c>
      <c r="CA25" s="95" t="str">
        <f>IFERROR(SUMIFS('01. KE30'!$R:$R,'01. KE30'!$F:$F,'05. BC BH THEO SKU-USD'!$D25,'01. KE30'!$A:$A,'05. BC BH THEO SKU-USD'!CA$4)/CO25/'02. Tỷ giá'!D$5," -")</f>
        <v xml:space="preserve"> -</v>
      </c>
      <c r="CB25" s="95">
        <f>IFERROR(SUMIFS('01. KE30'!$R:$R,'01. KE30'!$F:$F,'05. BC BH THEO SKU-USD'!$D25,'01. KE30'!$A:$A,'05. BC BH THEO SKU-USD'!CB$4)/CP25/'02. Tỷ giá'!E$5," -")</f>
        <v>944.75090979481229</v>
      </c>
      <c r="CC25" s="95" t="str">
        <f>IFERROR(SUMIFS('01. KE30'!$R:$R,'01. KE30'!$F:$F,'05. BC BH THEO SKU-USD'!$D25,'01. KE30'!$A:$A,'05. BC BH THEO SKU-USD'!CC$4)/CQ25/'02. Tỷ giá'!F$5," -")</f>
        <v xml:space="preserve"> -</v>
      </c>
      <c r="CD25" s="95" t="str">
        <f>IFERROR(SUMIFS('01. KE30'!$R:$R,'01. KE30'!$F:$F,'05. BC BH THEO SKU-USD'!$D25,'01. KE30'!$A:$A,'05. BC BH THEO SKU-USD'!CD$4)/CR25/'02. Tỷ giá'!G$5," -")</f>
        <v xml:space="preserve"> -</v>
      </c>
      <c r="CE25" s="95" t="str">
        <f>IFERROR(SUMIFS('01. KE30'!$R:$R,'01. KE30'!$F:$F,'05. BC BH THEO SKU-USD'!$D25,'01. KE30'!$A:$A,'05. BC BH THEO SKU-USD'!CE$4)/CS25/'02. Tỷ giá'!H$5," -")</f>
        <v xml:space="preserve"> -</v>
      </c>
      <c r="CF25" s="95" t="str">
        <f>IFERROR(SUMIFS('01. KE30'!$R:$R,'01. KE30'!$F:$F,'05. BC BH THEO SKU-USD'!$D25,'01. KE30'!$A:$A,'05. BC BH THEO SKU-USD'!CF$4)/CT25/'02. Tỷ giá'!I$5," -")</f>
        <v xml:space="preserve"> -</v>
      </c>
      <c r="CG25" s="95" t="str">
        <f>IFERROR(SUMIFS('01. KE30'!$R:$R,'01. KE30'!$F:$F,'05. BC BH THEO SKU-USD'!$D25,'01. KE30'!$A:$A,'05. BC BH THEO SKU-USD'!CG$4)/CU25/'02. Tỷ giá'!J$5," -")</f>
        <v xml:space="preserve"> -</v>
      </c>
      <c r="CH25" s="95" t="str">
        <f>IFERROR(SUMIFS('01. KE30'!$R:$R,'01. KE30'!$F:$F,'05. BC BH THEO SKU-USD'!$D25,'01. KE30'!$A:$A,'05. BC BH THEO SKU-USD'!CH$4)/CV25/'02. Tỷ giá'!K$5," -")</f>
        <v xml:space="preserve"> -</v>
      </c>
      <c r="CI25" s="95" t="str">
        <f>IFERROR(SUMIFS('01. KE30'!$R:$R,'01. KE30'!$F:$F,'05. BC BH THEO SKU-USD'!$D25,'01. KE30'!$A:$A,'05. BC BH THEO SKU-USD'!CI$4)/CW25/'02. Tỷ giá'!L$5," -")</f>
        <v xml:space="preserve"> -</v>
      </c>
      <c r="CJ25" s="95" t="str">
        <f>IFERROR(SUMIFS('01. KE30'!$R:$R,'01. KE30'!$F:$F,'05. BC BH THEO SKU-USD'!$D25,'01. KE30'!$A:$A,'05. BC BH THEO SKU-USD'!CJ$4)/CX25/'02. Tỷ giá'!M$5," -")</f>
        <v xml:space="preserve"> -</v>
      </c>
      <c r="CL25" s="120">
        <f t="shared" si="257"/>
        <v>1</v>
      </c>
      <c r="CM25" s="114">
        <f>SUMIFS('01. KE30'!$I:$I,'01. KE30'!$F:$F,'05. BC BH THEO SKU-USD'!$D25,'01. KE30'!$A:$A,'05. BC BH THEO SKU-USD'!CM$4)/1000</f>
        <v>0</v>
      </c>
      <c r="CN25" s="114">
        <f>SUMIFS('01. KE30'!$I:$I,'01. KE30'!$F:$F,'05. BC BH THEO SKU-USD'!$D25,'01. KE30'!$A:$A,'05. BC BH THEO SKU-USD'!CN$4)/1000</f>
        <v>0</v>
      </c>
      <c r="CO25" s="114">
        <f>SUMIFS('01. KE30'!$I:$I,'01. KE30'!$F:$F,'05. BC BH THEO SKU-USD'!$D25,'01. KE30'!$A:$A,'05. BC BH THEO SKU-USD'!CO$4)/1000</f>
        <v>0</v>
      </c>
      <c r="CP25" s="114">
        <f>SUMIFS('01. KE30'!$I:$I,'01. KE30'!$F:$F,'05. BC BH THEO SKU-USD'!$D25,'01. KE30'!$A:$A,'05. BC BH THEO SKU-USD'!CP$4)/1000</f>
        <v>1</v>
      </c>
      <c r="CQ25" s="114">
        <f>SUMIFS('01. KE30'!$I:$I,'01. KE30'!$F:$F,'05. BC BH THEO SKU-USD'!$D25,'01. KE30'!$A:$A,'05. BC BH THEO SKU-USD'!CQ$4)/1000</f>
        <v>0</v>
      </c>
      <c r="CR25" s="114">
        <f>SUMIFS('01. KE30'!$I:$I,'01. KE30'!$F:$F,'05. BC BH THEO SKU-USD'!$D25,'01. KE30'!$A:$A,'05. BC BH THEO SKU-USD'!CR$4)/1000</f>
        <v>0</v>
      </c>
      <c r="CS25" s="114">
        <f>SUMIFS('01. KE30'!$I:$I,'01. KE30'!$F:$F,'05. BC BH THEO SKU-USD'!$D25,'01. KE30'!$A:$A,'05. BC BH THEO SKU-USD'!CS$4)/1000</f>
        <v>0</v>
      </c>
      <c r="CT25" s="114">
        <f>SUMIFS('01. KE30'!$I:$I,'01. KE30'!$F:$F,'05. BC BH THEO SKU-USD'!$D25,'01. KE30'!$A:$A,'05. BC BH THEO SKU-USD'!CT$4)/1000</f>
        <v>0</v>
      </c>
      <c r="CU25" s="114">
        <f>SUMIFS('01. KE30'!$I:$I,'01. KE30'!$F:$F,'05. BC BH THEO SKU-USD'!$D25,'01. KE30'!$A:$A,'05. BC BH THEO SKU-USD'!CU$4)/1000</f>
        <v>0</v>
      </c>
      <c r="CV25" s="114">
        <f>SUMIFS('01. KE30'!$I:$I,'01. KE30'!$F:$F,'05. BC BH THEO SKU-USD'!$D25,'01. KE30'!$A:$A,'05. BC BH THEO SKU-USD'!CV$4)/1000</f>
        <v>0</v>
      </c>
      <c r="CW25" s="114">
        <f>SUMIFS('01. KE30'!$I:$I,'01. KE30'!$F:$F,'05. BC BH THEO SKU-USD'!$D25,'01. KE30'!$A:$A,'05. BC BH THEO SKU-USD'!CW$4)/1000</f>
        <v>0</v>
      </c>
      <c r="CX25" s="114">
        <f>SUMIFS('01. KE30'!$I:$I,'01. KE30'!$F:$F,'05. BC BH THEO SKU-USD'!$D25,'01. KE30'!$A:$A,'05. BC BH THEO SKU-USD'!CX$4)/1000</f>
        <v>0</v>
      </c>
      <c r="CZ25" s="120">
        <f t="shared" si="271"/>
        <v>1130</v>
      </c>
      <c r="DA25" s="54" t="str">
        <f t="shared" si="258"/>
        <v xml:space="preserve"> -</v>
      </c>
      <c r="DB25" s="54" t="str">
        <f t="shared" si="259"/>
        <v xml:space="preserve"> -</v>
      </c>
      <c r="DC25" s="54" t="str">
        <f t="shared" si="260"/>
        <v xml:space="preserve"> -</v>
      </c>
      <c r="DD25" s="54">
        <f t="shared" si="261"/>
        <v>1130</v>
      </c>
      <c r="DE25" s="54" t="str">
        <f t="shared" si="262"/>
        <v xml:space="preserve"> -</v>
      </c>
      <c r="DF25" s="54" t="str">
        <f t="shared" si="263"/>
        <v xml:space="preserve"> -</v>
      </c>
      <c r="DG25" s="54" t="str">
        <f t="shared" si="264"/>
        <v xml:space="preserve"> -</v>
      </c>
      <c r="DH25" s="54" t="str">
        <f t="shared" si="265"/>
        <v xml:space="preserve"> -</v>
      </c>
      <c r="DI25" s="54" t="str">
        <f t="shared" si="266"/>
        <v xml:space="preserve"> -</v>
      </c>
      <c r="DJ25" s="54" t="str">
        <f t="shared" si="267"/>
        <v xml:space="preserve"> -</v>
      </c>
      <c r="DK25" s="54" t="str">
        <f t="shared" si="268"/>
        <v xml:space="preserve"> -</v>
      </c>
      <c r="DL25" s="54" t="str">
        <f t="shared" si="269"/>
        <v xml:space="preserve"> -</v>
      </c>
      <c r="DN25" s="112">
        <f t="shared" si="64"/>
        <v>100.07680991095617</v>
      </c>
      <c r="DO25" s="114">
        <f>IFERROR(SUMIFS('01. KE30'!$X:$X,'01. KE30'!$F:$F,'05. BC BH THEO SKU-USD'!$D25,'01. KE30'!$A:$A,'05. BC BH THEO SKU-USD'!DO$4)-SUMIFS('01. KE30'!$AA:$AA,'01. KE30'!$F:$F,'05. BC BH THEO SKU-USD'!$D25,'01. KE30'!$A:$A,'05. BC BH THEO SKU-USD'!DO$4),"-")</f>
        <v>0</v>
      </c>
      <c r="DP25" s="114">
        <f>IFERROR(SUMIFS('01. KE30'!$X:$X,'01. KE30'!$F:$F,'05. BC BH THEO SKU-USD'!$D25,'01. KE30'!$A:$A,'05. BC BH THEO SKU-USD'!DP$4)-SUMIFS('01. KE30'!$AA:$AA,'01. KE30'!$F:$F,'05. BC BH THEO SKU-USD'!$D25,'01. KE30'!$A:$A,'05. BC BH THEO SKU-USD'!DP$4),"-")</f>
        <v>0</v>
      </c>
      <c r="DQ25" s="114">
        <f>IFERROR(SUMIFS('01. KE30'!$X:$X,'01. KE30'!$F:$F,'05. BC BH THEO SKU-USD'!$D25,'01. KE30'!$A:$A,'05. BC BH THEO SKU-USD'!DQ$4)-SUMIFS('01. KE30'!$AA:$AA,'01. KE30'!$F:$F,'05. BC BH THEO SKU-USD'!$D25,'01. KE30'!$A:$A,'05. BC BH THEO SKU-USD'!DQ$4),"-")</f>
        <v>0</v>
      </c>
      <c r="DR25" s="114">
        <f>IFERROR(SUMIFS('01. KE30'!$X:$X,'01. KE30'!$F:$F,'05. BC BH THEO SKU-USD'!$D25,'01. KE30'!$A:$A,'05. BC BH THEO SKU-USD'!DR$4)-SUMIFS('01. KE30'!$AA:$AA,'01. KE30'!$F:$F,'05. BC BH THEO SKU-USD'!$D25,'01. KE30'!$A:$A,'05. BC BH THEO SKU-USD'!DR$4),"-")</f>
        <v>100.07680991095617</v>
      </c>
      <c r="DS25" s="114">
        <f>IFERROR(SUMIFS('01. KE30'!$X:$X,'01. KE30'!$F:$F,'05. BC BH THEO SKU-USD'!$D25,'01. KE30'!$A:$A,'05. BC BH THEO SKU-USD'!DS$4)-SUMIFS('01. KE30'!$AA:$AA,'01. KE30'!$F:$F,'05. BC BH THEO SKU-USD'!$D25,'01. KE30'!$A:$A,'05. BC BH THEO SKU-USD'!DS$4),"-")</f>
        <v>0</v>
      </c>
      <c r="DT25" s="114">
        <f>IFERROR(SUMIFS('01. KE30'!$X:$X,'01. KE30'!$F:$F,'05. BC BH THEO SKU-USD'!$D25,'01. KE30'!$A:$A,'05. BC BH THEO SKU-USD'!DT$4)-SUMIFS('01. KE30'!$AA:$AA,'01. KE30'!$F:$F,'05. BC BH THEO SKU-USD'!$D25,'01. KE30'!$A:$A,'05. BC BH THEO SKU-USD'!DT$4),"-")</f>
        <v>0</v>
      </c>
      <c r="DU25" s="114">
        <f>IFERROR(SUMIFS('01. KE30'!$X:$X,'01. KE30'!$F:$F,'05. BC BH THEO SKU-USD'!$D25,'01. KE30'!$A:$A,'05. BC BH THEO SKU-USD'!DU$4)-SUMIFS('01. KE30'!$AA:$AA,'01. KE30'!$F:$F,'05. BC BH THEO SKU-USD'!$D25,'01. KE30'!$A:$A,'05. BC BH THEO SKU-USD'!DU$4),"-")</f>
        <v>0</v>
      </c>
      <c r="DV25" s="114">
        <f>IFERROR(SUMIFS('01. KE30'!$X:$X,'01. KE30'!$F:$F,'05. BC BH THEO SKU-USD'!$D25,'01. KE30'!$A:$A,'05. BC BH THEO SKU-USD'!DV$4)-SUMIFS('01. KE30'!$AA:$AA,'01. KE30'!$F:$F,'05. BC BH THEO SKU-USD'!$D25,'01. KE30'!$A:$A,'05. BC BH THEO SKU-USD'!DV$4),"-")</f>
        <v>0</v>
      </c>
      <c r="DW25" s="114">
        <f>IFERROR(SUMIFS('01. KE30'!$X:$X,'01. KE30'!$F:$F,'05. BC BH THEO SKU-USD'!$D25,'01. KE30'!$A:$A,'05. BC BH THEO SKU-USD'!DW$4)-SUMIFS('01. KE30'!$AA:$AA,'01. KE30'!$F:$F,'05. BC BH THEO SKU-USD'!$D25,'01. KE30'!$A:$A,'05. BC BH THEO SKU-USD'!DW$4),"-")</f>
        <v>0</v>
      </c>
      <c r="DX25" s="114">
        <f>IFERROR(SUMIFS('01. KE30'!$X:$X,'01. KE30'!$F:$F,'05. BC BH THEO SKU-USD'!$D25,'01. KE30'!$A:$A,'05. BC BH THEO SKU-USD'!DX$4)-SUMIFS('01. KE30'!$AA:$AA,'01. KE30'!$F:$F,'05. BC BH THEO SKU-USD'!$D25,'01. KE30'!$A:$A,'05. BC BH THEO SKU-USD'!DX$4),"-")</f>
        <v>0</v>
      </c>
      <c r="DY25" s="114">
        <f>IFERROR(SUMIFS('01. KE30'!$X:$X,'01. KE30'!$F:$F,'05. BC BH THEO SKU-USD'!$D25,'01. KE30'!$A:$A,'05. BC BH THEO SKU-USD'!DY$4)-SUMIFS('01. KE30'!$AA:$AA,'01. KE30'!$F:$F,'05. BC BH THEO SKU-USD'!$D25,'01. KE30'!$A:$A,'05. BC BH THEO SKU-USD'!DY$4),"-")</f>
        <v>0</v>
      </c>
      <c r="DZ25" s="114">
        <f>IFERROR(SUMIFS('01. KE30'!$X:$X,'01. KE30'!$F:$F,'05. BC BH THEO SKU-USD'!$D25,'01. KE30'!$A:$A,'05. BC BH THEO SKU-USD'!DZ$4)-SUMIFS('01. KE30'!$AA:$AA,'01. KE30'!$F:$F,'05. BC BH THEO SKU-USD'!$D25,'01. KE30'!$A:$A,'05. BC BH THEO SKU-USD'!DZ$4),"-")</f>
        <v>0</v>
      </c>
      <c r="EB25" s="576">
        <f t="shared" si="252"/>
        <v>8.8563548593766528E-2</v>
      </c>
      <c r="EC25" s="573">
        <f t="shared" si="253"/>
        <v>0</v>
      </c>
      <c r="ED25" s="573">
        <f t="shared" si="19"/>
        <v>0</v>
      </c>
      <c r="EE25" s="572">
        <f t="shared" si="20"/>
        <v>0</v>
      </c>
      <c r="EF25" s="572">
        <f t="shared" si="21"/>
        <v>8.8563548593766528E-2</v>
      </c>
      <c r="EG25" s="572">
        <f t="shared" si="22"/>
        <v>0</v>
      </c>
      <c r="EH25" s="572">
        <f t="shared" si="23"/>
        <v>0</v>
      </c>
      <c r="EI25" s="572">
        <f t="shared" si="24"/>
        <v>0</v>
      </c>
      <c r="EJ25" s="572">
        <f t="shared" si="25"/>
        <v>0</v>
      </c>
      <c r="EK25" s="572">
        <f t="shared" si="26"/>
        <v>0</v>
      </c>
      <c r="EL25" s="572">
        <f t="shared" si="27"/>
        <v>0</v>
      </c>
      <c r="EM25" s="572">
        <f t="shared" si="28"/>
        <v>0</v>
      </c>
      <c r="EN25" s="572">
        <f t="shared" si="29"/>
        <v>0</v>
      </c>
    </row>
    <row r="26" spans="1:144" ht="15.5" outlineLevel="1" x14ac:dyDescent="0.35">
      <c r="A26" s="27">
        <f t="shared" si="270"/>
        <v>4</v>
      </c>
      <c r="B26" s="27" t="s">
        <v>95</v>
      </c>
      <c r="C26" s="247" t="s">
        <v>335</v>
      </c>
      <c r="D26" s="459" t="s">
        <v>87</v>
      </c>
      <c r="E26" s="7" t="s">
        <v>86</v>
      </c>
      <c r="F26" s="92">
        <f t="shared" si="272"/>
        <v>696.99500108789209</v>
      </c>
      <c r="G26" s="106" t="str">
        <f>IFERROR(SUMIFS('01. KE30'!$K:$K,'01. KE30'!$F:$F,'05. BC BH THEO SKU-USD'!$D26,'01. KE30'!$A:$A,'05. BC BH THEO SKU-USD'!G$4)/'05. BC BH THEO SKU-USD'!CM26/'02. Tỷ giá'!B$5,"-")</f>
        <v>-</v>
      </c>
      <c r="H26" s="106">
        <f>IFERROR(SUMIFS('01. KE30'!$K:$K,'01. KE30'!$F:$F,'05. BC BH THEO SKU-USD'!$D26,'01. KE30'!$A:$A,'05. BC BH THEO SKU-USD'!H$4)/'05. BC BH THEO SKU-USD'!CN26/'02. Tỷ giá'!C$5,"-")</f>
        <v>752.26467113036631</v>
      </c>
      <c r="I26" s="106" t="str">
        <f>IFERROR(SUMIFS('01. KE30'!$K:$K,'01. KE30'!$F:$F,'05. BC BH THEO SKU-USD'!$D26,'01. KE30'!$A:$A,'05. BC BH THEO SKU-USD'!I$4)/'05. BC BH THEO SKU-USD'!CO26/'02. Tỷ giá'!D$5,"-")</f>
        <v>-</v>
      </c>
      <c r="J26" s="106" t="str">
        <f>IFERROR(SUMIFS('01. KE30'!$K:$K,'01. KE30'!$F:$F,'05. BC BH THEO SKU-USD'!$D26,'01. KE30'!$A:$A,'05. BC BH THEO SKU-USD'!J$4)/'05. BC BH THEO SKU-USD'!CP26/'02. Tỷ giá'!E$5,"-")</f>
        <v>-</v>
      </c>
      <c r="K26" s="106" t="str">
        <f>IFERROR(SUMIFS('01. KE30'!$K:$K,'01. KE30'!$F:$F,'05. BC BH THEO SKU-USD'!$D26,'01. KE30'!$A:$A,'05. BC BH THEO SKU-USD'!K$4)/'05. BC BH THEO SKU-USD'!CQ26/'02. Tỷ giá'!F$5,"-")</f>
        <v>-</v>
      </c>
      <c r="L26" s="106">
        <f>IFERROR(SUMIFS('01. KE30'!$K:$K,'01. KE30'!$F:$F,'05. BC BH THEO SKU-USD'!$D26,'01. KE30'!$A:$A,'05. BC BH THEO SKU-USD'!L$4)/'05. BC BH THEO SKU-USD'!CR26/'02. Tỷ giá'!G$5,"-")</f>
        <v>711.18223227200849</v>
      </c>
      <c r="M26" s="106">
        <f>IFERROR(SUMIFS('01. KE30'!$K:$K,'01. KE30'!$F:$F,'05. BC BH THEO SKU-USD'!$D26,'01. KE30'!$A:$A,'05. BC BH THEO SKU-USD'!M$4)/'05. BC BH THEO SKU-USD'!CS26/'02. Tỷ giá'!H$5,"-")</f>
        <v>668.4217530856348</v>
      </c>
      <c r="N26" s="106">
        <f>IFERROR(SUMIFS('01. KE30'!$K:$K,'01. KE30'!$F:$F,'05. BC BH THEO SKU-USD'!$D26,'01. KE30'!$A:$A,'05. BC BH THEO SKU-USD'!N$4)/'05. BC BH THEO SKU-USD'!CT26/'02. Tỷ giá'!I$5,"-")</f>
        <v>675.01111085621289</v>
      </c>
      <c r="O26" s="106">
        <f>IFERROR(SUMIFS('01. KE30'!$K:$K,'01. KE30'!$F:$F,'05. BC BH THEO SKU-USD'!$D26,'01. KE30'!$A:$A,'05. BC BH THEO SKU-USD'!O$4)/'05. BC BH THEO SKU-USD'!CU26/'02. Tỷ giá'!J$5,"-")</f>
        <v>678.09523809523807</v>
      </c>
      <c r="P26" s="106" t="str">
        <f>IFERROR(SUMIFS('01. KE30'!$K:$K,'01. KE30'!$F:$F,'05. BC BH THEO SKU-USD'!$D26,'01. KE30'!$A:$A,'05. BC BH THEO SKU-USD'!P$4)/'05. BC BH THEO SKU-USD'!CV26/'02. Tỷ giá'!K$5,"-")</f>
        <v>-</v>
      </c>
      <c r="Q26" s="106" t="str">
        <f>IFERROR(SUMIFS('01. KE30'!$K:$K,'01. KE30'!$F:$F,'05. BC BH THEO SKU-USD'!$D26,'01. KE30'!$A:$A,'05. BC BH THEO SKU-USD'!Q$4)/'05. BC BH THEO SKU-USD'!CW26/'02. Tỷ giá'!L$5,"-")</f>
        <v>-</v>
      </c>
      <c r="R26" s="106" t="str">
        <f>IFERROR(SUMIFS('01. KE30'!$K:$K,'01. KE30'!$F:$F,'05. BC BH THEO SKU-USD'!$D26,'01. KE30'!$A:$A,'05. BC BH THEO SKU-USD'!R$4)/'05. BC BH THEO SKU-USD'!CX26/'02. Tỷ giá'!M$5,"-")</f>
        <v>-</v>
      </c>
      <c r="T26" s="92">
        <f t="shared" si="35"/>
        <v>674.0757448601363</v>
      </c>
      <c r="U26" s="147" t="str">
        <f>IFERROR(SUMIFS('01. KE30'!$O:$O,'01. KE30'!$F:$F,'05. BC BH THEO SKU-USD'!$D26,'01. KE30'!$A:$A,'05. BC BH THEO SKU-USD'!G$4)/'05. BC BH THEO SKU-USD'!CM26/'02. Tỷ giá'!B$5,"-")</f>
        <v>-</v>
      </c>
      <c r="V26" s="147">
        <f>IFERROR(SUMIFS('01. KE30'!$O:$O,'01. KE30'!$F:$F,'05. BC BH THEO SKU-USD'!$D26,'01. KE30'!$A:$A,'05. BC BH THEO SKU-USD'!H$4)/'05. BC BH THEO SKU-USD'!CN26/'02. Tỷ giá'!C$5,"-")</f>
        <v>752.26467113036631</v>
      </c>
      <c r="W26" s="147" t="str">
        <f>IFERROR(SUMIFS('01. KE30'!$O:$O,'01. KE30'!$F:$F,'05. BC BH THEO SKU-USD'!$D26,'01. KE30'!$A:$A,'05. BC BH THEO SKU-USD'!I$4)/'05. BC BH THEO SKU-USD'!CO26/'02. Tỷ giá'!D$5,"-")</f>
        <v>-</v>
      </c>
      <c r="X26" s="147" t="str">
        <f>IFERROR(SUMIFS('01. KE30'!$O:$O,'01. KE30'!$F:$F,'05. BC BH THEO SKU-USD'!$D26,'01. KE30'!$A:$A,'05. BC BH THEO SKU-USD'!J$4)/'05. BC BH THEO SKU-USD'!CP26/'02. Tỷ giá'!E$5,"-")</f>
        <v>-</v>
      </c>
      <c r="Y26" s="147" t="str">
        <f>IFERROR(SUMIFS('01. KE30'!$O:$O,'01. KE30'!$F:$F,'05. BC BH THEO SKU-USD'!$D26,'01. KE30'!$A:$A,'05. BC BH THEO SKU-USD'!K$4)/'05. BC BH THEO SKU-USD'!CQ26/'02. Tỷ giá'!F$5,"-")</f>
        <v>-</v>
      </c>
      <c r="Z26" s="147">
        <f>IFERROR(SUMIFS('01. KE30'!$O:$O,'01. KE30'!$F:$F,'05. BC BH THEO SKU-USD'!$D26,'01. KE30'!$A:$A,'05. BC BH THEO SKU-USD'!L$4)/'05. BC BH THEO SKU-USD'!CR26/'02. Tỷ giá'!G$5,"-")</f>
        <v>672.24719425942737</v>
      </c>
      <c r="AA26" s="147">
        <f>IFERROR(SUMIFS('01. KE30'!$O:$O,'01. KE30'!$F:$F,'05. BC BH THEO SKU-USD'!$D26,'01. KE30'!$A:$A,'05. BC BH THEO SKU-USD'!M$4)/'05. BC BH THEO SKU-USD'!CS26/'02. Tỷ giá'!H$5,"-")</f>
        <v>668.4217530856348</v>
      </c>
      <c r="AB26" s="147">
        <f>IFERROR(SUMIFS('01. KE30'!$O:$O,'01. KE30'!$F:$F,'05. BC BH THEO SKU-USD'!$D26,'01. KE30'!$A:$A,'05. BC BH THEO SKU-USD'!N$4)/'05. BC BH THEO SKU-USD'!CT26/'02. Tỷ giá'!I$5,"-")</f>
        <v>675.01111085621289</v>
      </c>
      <c r="AC26" s="147">
        <f>IFERROR(SUMIFS('01. KE30'!$O:$O,'01. KE30'!$F:$F,'05. BC BH THEO SKU-USD'!$D26,'01. KE30'!$A:$A,'05. BC BH THEO SKU-USD'!O$4)/'05. BC BH THEO SKU-USD'!CU26/'02. Tỷ giá'!J$5,"-")</f>
        <v>678.09523809523807</v>
      </c>
      <c r="AD26" s="147" t="str">
        <f>IFERROR(SUMIFS('01. KE30'!$O:$O,'01. KE30'!$F:$F,'05. BC BH THEO SKU-USD'!$D26,'01. KE30'!$A:$A,'05. BC BH THEO SKU-USD'!P$4)/'05. BC BH THEO SKU-USD'!CV26/'02. Tỷ giá'!K$5,"-")</f>
        <v>-</v>
      </c>
      <c r="AE26" s="147" t="str">
        <f>IFERROR(SUMIFS('01. KE30'!$O:$O,'01. KE30'!$F:$F,'05. BC BH THEO SKU-USD'!$D26,'01. KE30'!$A:$A,'05. BC BH THEO SKU-USD'!Q$4)/'05. BC BH THEO SKU-USD'!CW26/'02. Tỷ giá'!L$5,"-")</f>
        <v>-</v>
      </c>
      <c r="AF26" s="147" t="str">
        <f>IFERROR(SUMIFS('01. KE30'!$O:$O,'01. KE30'!$F:$F,'05. BC BH THEO SKU-USD'!$D26,'01. KE30'!$A:$A,'05. BC BH THEO SKU-USD'!R$4)/'05. BC BH THEO SKU-USD'!CX26/'02. Tỷ giá'!M$5,"-")</f>
        <v>-</v>
      </c>
      <c r="AH26" s="55">
        <f t="shared" si="254"/>
        <v>862.22222222222217</v>
      </c>
      <c r="AI26" s="4">
        <v>950</v>
      </c>
      <c r="AJ26" s="4">
        <v>950</v>
      </c>
      <c r="AK26" s="4">
        <v>950</v>
      </c>
      <c r="AL26" s="4">
        <v>950</v>
      </c>
      <c r="AM26" s="4">
        <v>800</v>
      </c>
      <c r="AN26" s="4">
        <v>800</v>
      </c>
      <c r="AO26" s="4">
        <v>800</v>
      </c>
      <c r="AP26" s="4">
        <v>780</v>
      </c>
      <c r="AQ26" s="4">
        <v>780</v>
      </c>
      <c r="AR26" s="4"/>
      <c r="AS26" s="4"/>
      <c r="AT26" s="4"/>
      <c r="AV26" s="95">
        <f t="shared" si="58"/>
        <v>-188.14647736208588</v>
      </c>
      <c r="AW26" s="95" t="str">
        <f t="shared" si="58"/>
        <v>-</v>
      </c>
      <c r="AX26" s="95">
        <f t="shared" si="58"/>
        <v>-197.73532886963369</v>
      </c>
      <c r="AY26" s="95" t="str">
        <f t="shared" si="58"/>
        <v>-</v>
      </c>
      <c r="AZ26" s="95" t="str">
        <f t="shared" si="58"/>
        <v>-</v>
      </c>
      <c r="BA26" s="95" t="str">
        <f t="shared" si="58"/>
        <v>-</v>
      </c>
      <c r="BB26" s="95">
        <f t="shared" si="58"/>
        <v>-127.75280574057263</v>
      </c>
      <c r="BC26" s="95">
        <f t="shared" si="58"/>
        <v>-131.5782469143652</v>
      </c>
      <c r="BD26" s="95">
        <f t="shared" si="58"/>
        <v>-104.98888914378711</v>
      </c>
      <c r="BE26" s="95">
        <f t="shared" si="58"/>
        <v>-101.90476190476193</v>
      </c>
      <c r="BF26" s="95" t="str">
        <f t="shared" si="58"/>
        <v>-</v>
      </c>
      <c r="BG26" s="95" t="str">
        <f t="shared" si="58"/>
        <v>-</v>
      </c>
      <c r="BH26" s="95" t="str">
        <f t="shared" si="58"/>
        <v>-</v>
      </c>
      <c r="BJ26" s="143">
        <f t="shared" si="65"/>
        <v>-0.21821112065190373</v>
      </c>
      <c r="BK26" s="143" t="str">
        <f t="shared" si="65"/>
        <v>-</v>
      </c>
      <c r="BL26" s="143">
        <f t="shared" si="65"/>
        <v>-0.20814245144171967</v>
      </c>
      <c r="BM26" s="143" t="str">
        <f t="shared" si="66"/>
        <v>-</v>
      </c>
      <c r="BN26" s="143" t="str">
        <f t="shared" si="66"/>
        <v>-</v>
      </c>
      <c r="BO26" s="143" t="str">
        <f t="shared" si="66"/>
        <v>-</v>
      </c>
      <c r="BP26" s="143">
        <f t="shared" si="66"/>
        <v>-0.15969100717571577</v>
      </c>
      <c r="BQ26" s="143">
        <f t="shared" si="66"/>
        <v>-0.16447280864295649</v>
      </c>
      <c r="BR26" s="143">
        <f t="shared" si="66"/>
        <v>-0.13460113992793218</v>
      </c>
      <c r="BS26" s="143">
        <f t="shared" si="66"/>
        <v>-0.13064713064713068</v>
      </c>
      <c r="BT26" s="143" t="str">
        <f t="shared" si="68"/>
        <v>-</v>
      </c>
      <c r="BU26" s="143" t="str">
        <f t="shared" si="68"/>
        <v>-</v>
      </c>
      <c r="BV26" s="143" t="str">
        <f t="shared" si="68"/>
        <v>-</v>
      </c>
      <c r="BX26" s="112">
        <f t="shared" si="256"/>
        <v>983.94547686000044</v>
      </c>
      <c r="BY26" s="95" t="str">
        <f>IFERROR(SUMIFS('01. KE30'!$R:$R,'01. KE30'!$F:$F,'05. BC BH THEO SKU-USD'!$D26,'01. KE30'!$A:$A,'05. BC BH THEO SKU-USD'!BY$4)/CM26/'02. Tỷ giá'!B$5," -")</f>
        <v xml:space="preserve"> -</v>
      </c>
      <c r="BZ26" s="95">
        <f>IFERROR(SUMIFS('01. KE30'!$R:$R,'01. KE30'!$F:$F,'05. BC BH THEO SKU-USD'!$D26,'01. KE30'!$A:$A,'05. BC BH THEO SKU-USD'!BZ$4)/CN26/'02. Tỷ giá'!C$5," -")</f>
        <v>896.61034050628382</v>
      </c>
      <c r="CA26" s="95" t="str">
        <f>IFERROR(SUMIFS('01. KE30'!$R:$R,'01. KE30'!$F:$F,'05. BC BH THEO SKU-USD'!$D26,'01. KE30'!$A:$A,'05. BC BH THEO SKU-USD'!CA$4)/CO26/'02. Tỷ giá'!D$5," -")</f>
        <v xml:space="preserve"> -</v>
      </c>
      <c r="CB26" s="95" t="str">
        <f>IFERROR(SUMIFS('01. KE30'!$R:$R,'01. KE30'!$F:$F,'05. BC BH THEO SKU-USD'!$D26,'01. KE30'!$A:$A,'05. BC BH THEO SKU-USD'!CB$4)/CP26/'02. Tỷ giá'!E$5," -")</f>
        <v xml:space="preserve"> -</v>
      </c>
      <c r="CC26" s="95" t="str">
        <f>IFERROR(SUMIFS('01. KE30'!$R:$R,'01. KE30'!$F:$F,'05. BC BH THEO SKU-USD'!$D26,'01. KE30'!$A:$A,'05. BC BH THEO SKU-USD'!CC$4)/CQ26/'02. Tỷ giá'!F$5," -")</f>
        <v xml:space="preserve"> -</v>
      </c>
      <c r="CD26" s="95">
        <f>IFERROR(SUMIFS('01. KE30'!$R:$R,'01. KE30'!$F:$F,'05. BC BH THEO SKU-USD'!$D26,'01. KE30'!$A:$A,'05. BC BH THEO SKU-USD'!CD$4)/CR26/'02. Tỷ giá'!G$5," -")</f>
        <v>956.82665958135692</v>
      </c>
      <c r="CE26" s="95">
        <f>IFERROR(SUMIFS('01. KE30'!$R:$R,'01. KE30'!$F:$F,'05. BC BH THEO SKU-USD'!$D26,'01. KE30'!$A:$A,'05. BC BH THEO SKU-USD'!CE$4)/CS26/'02. Tỷ giá'!H$5," -")</f>
        <v>966.00889114813117</v>
      </c>
      <c r="CF26" s="95">
        <f>IFERROR(SUMIFS('01. KE30'!$R:$R,'01. KE30'!$F:$F,'05. BC BH THEO SKU-USD'!$D26,'01. KE30'!$A:$A,'05. BC BH THEO SKU-USD'!CF$4)/CT26/'02. Tỷ giá'!I$5," -")</f>
        <v>1074.8428268205309</v>
      </c>
      <c r="CG26" s="95">
        <f>IFERROR(SUMIFS('01. KE30'!$R:$R,'01. KE30'!$F:$F,'05. BC BH THEO SKU-USD'!$D26,'01. KE30'!$A:$A,'05. BC BH THEO SKU-USD'!CG$4)/CU26/'02. Tỷ giá'!J$5," -")</f>
        <v>1025.4386662436996</v>
      </c>
      <c r="CH26" s="95" t="str">
        <f>IFERROR(SUMIFS('01. KE30'!$R:$R,'01. KE30'!$F:$F,'05. BC BH THEO SKU-USD'!$D26,'01. KE30'!$A:$A,'05. BC BH THEO SKU-USD'!CH$4)/CV26/'02. Tỷ giá'!K$5," -")</f>
        <v xml:space="preserve"> -</v>
      </c>
      <c r="CI26" s="95" t="str">
        <f>IFERROR(SUMIFS('01. KE30'!$R:$R,'01. KE30'!$F:$F,'05. BC BH THEO SKU-USD'!$D26,'01. KE30'!$A:$A,'05. BC BH THEO SKU-USD'!CI$4)/CW26/'02. Tỷ giá'!L$5," -")</f>
        <v xml:space="preserve"> -</v>
      </c>
      <c r="CJ26" s="95" t="str">
        <f>IFERROR(SUMIFS('01. KE30'!$R:$R,'01. KE30'!$F:$F,'05. BC BH THEO SKU-USD'!$D26,'01. KE30'!$A:$A,'05. BC BH THEO SKU-USD'!CJ$4)/CX26/'02. Tỷ giá'!M$5," -")</f>
        <v xml:space="preserve"> -</v>
      </c>
      <c r="CL26" s="112">
        <f t="shared" si="257"/>
        <v>852.45</v>
      </c>
      <c r="CM26" s="114">
        <f>SUMIFS('01. KE30'!$I:$I,'01. KE30'!$F:$F,'05. BC BH THEO SKU-USD'!$D26,'01. KE30'!$A:$A,'05. BC BH THEO SKU-USD'!CM$4)/1000</f>
        <v>0</v>
      </c>
      <c r="CN26" s="114">
        <f>SUMIFS('01. KE30'!$I:$I,'01. KE30'!$F:$F,'05. BC BH THEO SKU-USD'!$D26,'01. KE30'!$A:$A,'05. BC BH THEO SKU-USD'!CN$4)/1000</f>
        <v>5.5</v>
      </c>
      <c r="CO26" s="114">
        <f>SUMIFS('01. KE30'!$I:$I,'01. KE30'!$F:$F,'05. BC BH THEO SKU-USD'!$D26,'01. KE30'!$A:$A,'05. BC BH THEO SKU-USD'!CO$4)/1000</f>
        <v>0</v>
      </c>
      <c r="CP26" s="114">
        <f>SUMIFS('01. KE30'!$I:$I,'01. KE30'!$F:$F,'05. BC BH THEO SKU-USD'!$D26,'01. KE30'!$A:$A,'05. BC BH THEO SKU-USD'!CP$4)/1000</f>
        <v>0</v>
      </c>
      <c r="CQ26" s="114">
        <f>SUMIFS('01. KE30'!$I:$I,'01. KE30'!$F:$F,'05. BC BH THEO SKU-USD'!$D26,'01. KE30'!$A:$A,'05. BC BH THEO SKU-USD'!CQ$4)/1000</f>
        <v>0</v>
      </c>
      <c r="CR26" s="114">
        <f>SUMIFS('01. KE30'!$I:$I,'01. KE30'!$F:$F,'05. BC BH THEO SKU-USD'!$D26,'01. KE30'!$A:$A,'05. BC BH THEO SKU-USD'!CR$4)/1000</f>
        <v>73.400000000000006</v>
      </c>
      <c r="CS26" s="114">
        <f>SUMIFS('01. KE30'!$I:$I,'01. KE30'!$F:$F,'05. BC BH THEO SKU-USD'!$D26,'01. KE30'!$A:$A,'05. BC BH THEO SKU-USD'!CS$4)/1000</f>
        <v>249.55</v>
      </c>
      <c r="CT26" s="114">
        <f>SUMIFS('01. KE30'!$I:$I,'01. KE30'!$F:$F,'05. BC BH THEO SKU-USD'!$D26,'01. KE30'!$A:$A,'05. BC BH THEO SKU-USD'!CT$4)/1000</f>
        <v>321.35000000000002</v>
      </c>
      <c r="CU26" s="114">
        <f>SUMIFS('01. KE30'!$I:$I,'01. KE30'!$F:$F,'05. BC BH THEO SKU-USD'!$D26,'01. KE30'!$A:$A,'05. BC BH THEO SKU-USD'!CU$4)/1000</f>
        <v>202.65</v>
      </c>
      <c r="CV26" s="114">
        <f>SUMIFS('01. KE30'!$I:$I,'01. KE30'!$F:$F,'05. BC BH THEO SKU-USD'!$D26,'01. KE30'!$A:$A,'05. BC BH THEO SKU-USD'!CV$4)/1000</f>
        <v>0</v>
      </c>
      <c r="CW26" s="114">
        <f>SUMIFS('01. KE30'!$I:$I,'01. KE30'!$F:$F,'05. BC BH THEO SKU-USD'!$D26,'01. KE30'!$A:$A,'05. BC BH THEO SKU-USD'!CW$4)/1000</f>
        <v>0</v>
      </c>
      <c r="CX26" s="114">
        <f>SUMIFS('01. KE30'!$I:$I,'01. KE30'!$F:$F,'05. BC BH THEO SKU-USD'!$D26,'01. KE30'!$A:$A,'05. BC BH THEO SKU-USD'!CX$4)/1000</f>
        <v>0</v>
      </c>
      <c r="CZ26" s="112">
        <f t="shared" si="271"/>
        <v>577473.70049614669</v>
      </c>
      <c r="DA26" s="54" t="str">
        <f t="shared" si="258"/>
        <v xml:space="preserve"> -</v>
      </c>
      <c r="DB26" s="54">
        <f t="shared" si="259"/>
        <v>4137.4556912170146</v>
      </c>
      <c r="DC26" s="54" t="str">
        <f t="shared" si="260"/>
        <v xml:space="preserve"> -</v>
      </c>
      <c r="DD26" s="54" t="str">
        <f t="shared" si="261"/>
        <v xml:space="preserve"> -</v>
      </c>
      <c r="DE26" s="54" t="str">
        <f t="shared" si="262"/>
        <v xml:space="preserve"> -</v>
      </c>
      <c r="DF26" s="54">
        <f t="shared" si="263"/>
        <v>52200.775848765428</v>
      </c>
      <c r="DG26" s="54">
        <f t="shared" si="264"/>
        <v>166804.64848252016</v>
      </c>
      <c r="DH26" s="54">
        <f t="shared" si="265"/>
        <v>216914.82047364404</v>
      </c>
      <c r="DI26" s="54">
        <f t="shared" si="266"/>
        <v>137416</v>
      </c>
      <c r="DJ26" s="54" t="str">
        <f t="shared" si="267"/>
        <v xml:space="preserve"> -</v>
      </c>
      <c r="DK26" s="54" t="str">
        <f t="shared" si="268"/>
        <v xml:space="preserve"> -</v>
      </c>
      <c r="DL26" s="54" t="str">
        <f t="shared" si="269"/>
        <v xml:space="preserve"> -</v>
      </c>
      <c r="DN26" s="112">
        <f t="shared" si="64"/>
        <v>-294819.97187911253</v>
      </c>
      <c r="DO26" s="114">
        <f>IFERROR(SUMIFS('01. KE30'!$X:$X,'01. KE30'!$F:$F,'05. BC BH THEO SKU-USD'!$D26,'01. KE30'!$A:$A,'05. BC BH THEO SKU-USD'!DO$4)-SUMIFS('01. KE30'!$AA:$AA,'01. KE30'!$F:$F,'05. BC BH THEO SKU-USD'!$D26,'01. KE30'!$A:$A,'05. BC BH THEO SKU-USD'!DO$4),"-")</f>
        <v>0</v>
      </c>
      <c r="DP26" s="114">
        <f>IFERROR(SUMIFS('01. KE30'!$X:$X,'01. KE30'!$F:$F,'05. BC BH THEO SKU-USD'!$D26,'01. KE30'!$A:$A,'05. BC BH THEO SKU-USD'!DP$4)-SUMIFS('01. KE30'!$AA:$AA,'01. KE30'!$F:$F,'05. BC BH THEO SKU-USD'!$D26,'01. KE30'!$A:$A,'05. BC BH THEO SKU-USD'!DP$4),"-")</f>
        <v>-793.90118156754579</v>
      </c>
      <c r="DQ26" s="114">
        <f>IFERROR(SUMIFS('01. KE30'!$X:$X,'01. KE30'!$F:$F,'05. BC BH THEO SKU-USD'!$D26,'01. KE30'!$A:$A,'05. BC BH THEO SKU-USD'!DQ$4)-SUMIFS('01. KE30'!$AA:$AA,'01. KE30'!$F:$F,'05. BC BH THEO SKU-USD'!$D26,'01. KE30'!$A:$A,'05. BC BH THEO SKU-USD'!DQ$4),"-")</f>
        <v>0</v>
      </c>
      <c r="DR26" s="114">
        <f>IFERROR(SUMIFS('01. KE30'!$X:$X,'01. KE30'!$F:$F,'05. BC BH THEO SKU-USD'!$D26,'01. KE30'!$A:$A,'05. BC BH THEO SKU-USD'!DR$4)-SUMIFS('01. KE30'!$AA:$AA,'01. KE30'!$F:$F,'05. BC BH THEO SKU-USD'!$D26,'01. KE30'!$A:$A,'05. BC BH THEO SKU-USD'!DR$4),"-")</f>
        <v>0</v>
      </c>
      <c r="DS26" s="114">
        <f>IFERROR(SUMIFS('01. KE30'!$X:$X,'01. KE30'!$F:$F,'05. BC BH THEO SKU-USD'!$D26,'01. KE30'!$A:$A,'05. BC BH THEO SKU-USD'!DS$4)-SUMIFS('01. KE30'!$AA:$AA,'01. KE30'!$F:$F,'05. BC BH THEO SKU-USD'!$D26,'01. KE30'!$A:$A,'05. BC BH THEO SKU-USD'!DS$4),"-")</f>
        <v>0</v>
      </c>
      <c r="DT26" s="114">
        <f>IFERROR(SUMIFS('01. KE30'!$X:$X,'01. KE30'!$F:$F,'05. BC BH THEO SKU-USD'!$D26,'01. KE30'!$A:$A,'05. BC BH THEO SKU-USD'!DT$4)-SUMIFS('01. KE30'!$AA:$AA,'01. KE30'!$F:$F,'05. BC BH THEO SKU-USD'!$D26,'01. KE30'!$A:$A,'05. BC BH THEO SKU-USD'!DT$4),"-")</f>
        <v>-20888.132754629631</v>
      </c>
      <c r="DU26" s="114">
        <f>IFERROR(SUMIFS('01. KE30'!$X:$X,'01. KE30'!$F:$F,'05. BC BH THEO SKU-USD'!$D26,'01. KE30'!$A:$A,'05. BC BH THEO SKU-USD'!DU$4)-SUMIFS('01. KE30'!$AA:$AA,'01. KE30'!$F:$F,'05. BC BH THEO SKU-USD'!$D26,'01. KE30'!$A:$A,'05. BC BH THEO SKU-USD'!DU$4),"-")</f>
        <v>-74262.870303495962</v>
      </c>
      <c r="DV26" s="114">
        <f>IFERROR(SUMIFS('01. KE30'!$X:$X,'01. KE30'!$F:$F,'05. BC BH THEO SKU-USD'!$D26,'01. KE30'!$A:$A,'05. BC BH THEO SKU-USD'!DV$4)-SUMIFS('01. KE30'!$AA:$AA,'01. KE30'!$F:$F,'05. BC BH THEO SKU-USD'!$D26,'01. KE30'!$A:$A,'05. BC BH THEO SKU-USD'!DV$4),"-")</f>
        <v>-128485.92192513368</v>
      </c>
      <c r="DW26" s="114">
        <f>IFERROR(SUMIFS('01. KE30'!$X:$X,'01. KE30'!$F:$F,'05. BC BH THEO SKU-USD'!$D26,'01. KE30'!$A:$A,'05. BC BH THEO SKU-USD'!DW$4)-SUMIFS('01. KE30'!$AA:$AA,'01. KE30'!$F:$F,'05. BC BH THEO SKU-USD'!$D26,'01. KE30'!$A:$A,'05. BC BH THEO SKU-USD'!DW$4),"-")</f>
        <v>-70389.145714285725</v>
      </c>
      <c r="DX26" s="114">
        <f>IFERROR(SUMIFS('01. KE30'!$X:$X,'01. KE30'!$F:$F,'05. BC BH THEO SKU-USD'!$D26,'01. KE30'!$A:$A,'05. BC BH THEO SKU-USD'!DX$4)-SUMIFS('01. KE30'!$AA:$AA,'01. KE30'!$F:$F,'05. BC BH THEO SKU-USD'!$D26,'01. KE30'!$A:$A,'05. BC BH THEO SKU-USD'!DX$4),"-")</f>
        <v>0</v>
      </c>
      <c r="DY26" s="114">
        <f>IFERROR(SUMIFS('01. KE30'!$X:$X,'01. KE30'!$F:$F,'05. BC BH THEO SKU-USD'!$D26,'01. KE30'!$A:$A,'05. BC BH THEO SKU-USD'!DY$4)-SUMIFS('01. KE30'!$AA:$AA,'01. KE30'!$F:$F,'05. BC BH THEO SKU-USD'!$D26,'01. KE30'!$A:$A,'05. BC BH THEO SKU-USD'!DY$4),"-")</f>
        <v>0</v>
      </c>
      <c r="DZ26" s="114">
        <f>IFERROR(SUMIFS('01. KE30'!$X:$X,'01. KE30'!$F:$F,'05. BC BH THEO SKU-USD'!$D26,'01. KE30'!$A:$A,'05. BC BH THEO SKU-USD'!DZ$4)-SUMIFS('01. KE30'!$AA:$AA,'01. KE30'!$F:$F,'05. BC BH THEO SKU-USD'!$D26,'01. KE30'!$A:$A,'05. BC BH THEO SKU-USD'!DZ$4),"-")</f>
        <v>0</v>
      </c>
      <c r="EB26" s="571">
        <f t="shared" si="252"/>
        <v>-0.51053402367209588</v>
      </c>
      <c r="EC26" s="573">
        <f t="shared" si="253"/>
        <v>0</v>
      </c>
      <c r="ED26" s="572">
        <f t="shared" si="19"/>
        <v>-0.19188149452641587</v>
      </c>
      <c r="EE26" s="572">
        <f t="shared" si="20"/>
        <v>0</v>
      </c>
      <c r="EF26" s="572">
        <f t="shared" si="21"/>
        <v>0</v>
      </c>
      <c r="EG26" s="572">
        <f t="shared" si="22"/>
        <v>0</v>
      </c>
      <c r="EH26" s="572">
        <f t="shared" si="23"/>
        <v>-0.40014985246859397</v>
      </c>
      <c r="EI26" s="572">
        <f t="shared" si="24"/>
        <v>-0.44520863764344154</v>
      </c>
      <c r="EJ26" s="572">
        <f t="shared" si="25"/>
        <v>-0.59233353278756351</v>
      </c>
      <c r="EK26" s="572">
        <f t="shared" si="26"/>
        <v>-0.51223398814028731</v>
      </c>
      <c r="EL26" s="572">
        <f t="shared" si="27"/>
        <v>0</v>
      </c>
      <c r="EM26" s="572">
        <f t="shared" si="28"/>
        <v>0</v>
      </c>
      <c r="EN26" s="572">
        <f t="shared" si="29"/>
        <v>0</v>
      </c>
    </row>
    <row r="27" spans="1:144" ht="15.5" outlineLevel="1" x14ac:dyDescent="0.35">
      <c r="A27" s="27">
        <f t="shared" si="270"/>
        <v>5</v>
      </c>
      <c r="B27" s="27" t="s">
        <v>95</v>
      </c>
      <c r="C27" s="246" t="s">
        <v>471</v>
      </c>
      <c r="D27" s="63" t="s">
        <v>463</v>
      </c>
      <c r="E27" s="63" t="s">
        <v>470</v>
      </c>
      <c r="F27" s="92">
        <f t="shared" si="272"/>
        <v>710.18049553116782</v>
      </c>
      <c r="G27" s="106">
        <f>IFERROR(SUMIFS('01. KE30'!$K:$K,'01. KE30'!$F:$F,'05. BC BH THEO SKU-USD'!$D27,'01. KE30'!$A:$A,'05. BC BH THEO SKU-USD'!G$4)/'05. BC BH THEO SKU-USD'!CM27/'02. Tỷ giá'!B$5,"-")</f>
        <v>762.74588518667201</v>
      </c>
      <c r="H27" s="106">
        <f>IFERROR(SUMIFS('01. KE30'!$K:$K,'01. KE30'!$F:$F,'05. BC BH THEO SKU-USD'!$D27,'01. KE30'!$A:$A,'05. BC BH THEO SKU-USD'!H$4)/'05. BC BH THEO SKU-USD'!CN27/'02. Tỷ giá'!C$5,"-")</f>
        <v>748.32611264277273</v>
      </c>
      <c r="I27" s="106">
        <f>IFERROR(SUMIFS('01. KE30'!$K:$K,'01. KE30'!$F:$F,'05. BC BH THEO SKU-USD'!$D27,'01. KE30'!$A:$A,'05. BC BH THEO SKU-USD'!I$4)/'05. BC BH THEO SKU-USD'!CO27/'02. Tỷ giá'!D$5,"-")</f>
        <v>748.03149606299212</v>
      </c>
      <c r="J27" s="106" t="str">
        <f>IFERROR(SUMIFS('01. KE30'!$K:$K,'01. KE30'!$F:$F,'05. BC BH THEO SKU-USD'!$D27,'01. KE30'!$A:$A,'05. BC BH THEO SKU-USD'!J$4)/'05. BC BH THEO SKU-USD'!CP27/'02. Tỷ giá'!E$5,"-")</f>
        <v>-</v>
      </c>
      <c r="K27" s="106" t="str">
        <f>IFERROR(SUMIFS('01. KE30'!$K:$K,'01. KE30'!$F:$F,'05. BC BH THEO SKU-USD'!$D27,'01. KE30'!$A:$A,'05. BC BH THEO SKU-USD'!K$4)/'05. BC BH THEO SKU-USD'!CQ27/'02. Tỷ giá'!F$5,"-")</f>
        <v>-</v>
      </c>
      <c r="L27" s="106">
        <f>IFERROR(SUMIFS('01. KE30'!$K:$K,'01. KE30'!$F:$F,'05. BC BH THEO SKU-USD'!$D27,'01. KE30'!$A:$A,'05. BC BH THEO SKU-USD'!L$4)/'05. BC BH THEO SKU-USD'!CR27/'02. Tỷ giá'!G$5,"-")</f>
        <v>622.98280423280426</v>
      </c>
      <c r="M27" s="106">
        <f>IFERROR(SUMIFS('01. KE30'!$K:$K,'01. KE30'!$F:$F,'05. BC BH THEO SKU-USD'!$D27,'01. KE30'!$A:$A,'05. BC BH THEO SKU-USD'!M$4)/'05. BC BH THEO SKU-USD'!CS27/'02. Tỷ giá'!H$5,"-")</f>
        <v>668.81617953059776</v>
      </c>
      <c r="N27" s="106" t="str">
        <f>IFERROR(SUMIFS('01. KE30'!$K:$K,'01. KE30'!$F:$F,'05. BC BH THEO SKU-USD'!$D27,'01. KE30'!$A:$A,'05. BC BH THEO SKU-USD'!N$4)/'05. BC BH THEO SKU-USD'!CT27/'02. Tỷ giá'!I$5,"-")</f>
        <v>-</v>
      </c>
      <c r="O27" s="106" t="str">
        <f>IFERROR(SUMIFS('01. KE30'!$K:$K,'01. KE30'!$F:$F,'05. BC BH THEO SKU-USD'!$D27,'01. KE30'!$A:$A,'05. BC BH THEO SKU-USD'!O$4)/'05. BC BH THEO SKU-USD'!CU27/'02. Tỷ giá'!J$5,"-")</f>
        <v>-</v>
      </c>
      <c r="P27" s="106" t="str">
        <f>IFERROR(SUMIFS('01. KE30'!$K:$K,'01. KE30'!$F:$F,'05. BC BH THEO SKU-USD'!$D27,'01. KE30'!$A:$A,'05. BC BH THEO SKU-USD'!P$4)/'05. BC BH THEO SKU-USD'!CV27/'02. Tỷ giá'!K$5,"-")</f>
        <v>-</v>
      </c>
      <c r="Q27" s="106" t="str">
        <f>IFERROR(SUMIFS('01. KE30'!$K:$K,'01. KE30'!$F:$F,'05. BC BH THEO SKU-USD'!$D27,'01. KE30'!$A:$A,'05. BC BH THEO SKU-USD'!Q$4)/'05. BC BH THEO SKU-USD'!CW27/'02. Tỷ giá'!L$5,"-")</f>
        <v>-</v>
      </c>
      <c r="R27" s="106" t="str">
        <f>IFERROR(SUMIFS('01. KE30'!$K:$K,'01. KE30'!$F:$F,'05. BC BH THEO SKU-USD'!$D27,'01. KE30'!$A:$A,'05. BC BH THEO SKU-USD'!R$4)/'05. BC BH THEO SKU-USD'!CX27/'02. Tỷ giá'!M$5,"-")</f>
        <v>-</v>
      </c>
      <c r="T27" s="92">
        <f t="shared" si="35"/>
        <v>668.70795233136562</v>
      </c>
      <c r="U27" s="147">
        <f>IFERROR(SUMIFS('01. KE30'!$O:$O,'01. KE30'!$F:$F,'05. BC BH THEO SKU-USD'!$D27,'01. KE30'!$A:$A,'05. BC BH THEO SKU-USD'!G$4)/'05. BC BH THEO SKU-USD'!CM27/'02. Tỷ giá'!B$5,"-")</f>
        <v>762.74588518667201</v>
      </c>
      <c r="V27" s="147">
        <f>IFERROR(SUMIFS('01. KE30'!$O:$O,'01. KE30'!$F:$F,'05. BC BH THEO SKU-USD'!$D27,'01. KE30'!$A:$A,'05. BC BH THEO SKU-USD'!H$4)/'05. BC BH THEO SKU-USD'!CN27/'02. Tỷ giá'!C$5,"-")</f>
        <v>748.32611264277273</v>
      </c>
      <c r="W27" s="147">
        <f>IFERROR(SUMIFS('01. KE30'!$O:$O,'01. KE30'!$F:$F,'05. BC BH THEO SKU-USD'!$D27,'01. KE30'!$A:$A,'05. BC BH THEO SKU-USD'!I$4)/'05. BC BH THEO SKU-USD'!CO27/'02. Tỷ giá'!D$5,"-")</f>
        <v>748.03149606299212</v>
      </c>
      <c r="X27" s="147" t="str">
        <f>IFERROR(SUMIFS('01. KE30'!$O:$O,'01. KE30'!$F:$F,'05. BC BH THEO SKU-USD'!$D27,'01. KE30'!$A:$A,'05. BC BH THEO SKU-USD'!J$4)/'05. BC BH THEO SKU-USD'!CP27/'02. Tỷ giá'!E$5,"-")</f>
        <v>-</v>
      </c>
      <c r="Y27" s="147" t="str">
        <f>IFERROR(SUMIFS('01. KE30'!$O:$O,'01. KE30'!$F:$F,'05. BC BH THEO SKU-USD'!$D27,'01. KE30'!$A:$A,'05. BC BH THEO SKU-USD'!K$4)/'05. BC BH THEO SKU-USD'!CQ27/'02. Tỷ giá'!F$5,"-")</f>
        <v>-</v>
      </c>
      <c r="Z27" s="147">
        <f>IFERROR(SUMIFS('01. KE30'!$O:$O,'01. KE30'!$F:$F,'05. BC BH THEO SKU-USD'!$D27,'01. KE30'!$A:$A,'05. BC BH THEO SKU-USD'!L$4)/'05. BC BH THEO SKU-USD'!CR27/'02. Tỷ giá'!G$5,"-")</f>
        <v>606.63533635676492</v>
      </c>
      <c r="AA27" s="147">
        <f>IFERROR(SUMIFS('01. KE30'!$O:$O,'01. KE30'!$F:$F,'05. BC BH THEO SKU-USD'!$D27,'01. KE30'!$A:$A,'05. BC BH THEO SKU-USD'!M$4)/'05. BC BH THEO SKU-USD'!CS27/'02. Tỷ giá'!H$5,"-")</f>
        <v>668.81617953059776</v>
      </c>
      <c r="AB27" s="147" t="str">
        <f>IFERROR(SUMIFS('01. KE30'!$O:$O,'01. KE30'!$F:$F,'05. BC BH THEO SKU-USD'!$D27,'01. KE30'!$A:$A,'05. BC BH THEO SKU-USD'!N$4)/'05. BC BH THEO SKU-USD'!CT27/'02. Tỷ giá'!I$5,"-")</f>
        <v>-</v>
      </c>
      <c r="AC27" s="147" t="str">
        <f>IFERROR(SUMIFS('01. KE30'!$O:$O,'01. KE30'!$F:$F,'05. BC BH THEO SKU-USD'!$D27,'01. KE30'!$A:$A,'05. BC BH THEO SKU-USD'!O$4)/'05. BC BH THEO SKU-USD'!CU27/'02. Tỷ giá'!J$5,"-")</f>
        <v>-</v>
      </c>
      <c r="AD27" s="147" t="str">
        <f>IFERROR(SUMIFS('01. KE30'!$O:$O,'01. KE30'!$F:$F,'05. BC BH THEO SKU-USD'!$D27,'01. KE30'!$A:$A,'05. BC BH THEO SKU-USD'!P$4)/'05. BC BH THEO SKU-USD'!CV27/'02. Tỷ giá'!K$5,"-")</f>
        <v>-</v>
      </c>
      <c r="AE27" s="147" t="str">
        <f>IFERROR(SUMIFS('01. KE30'!$O:$O,'01. KE30'!$F:$F,'05. BC BH THEO SKU-USD'!$D27,'01. KE30'!$A:$A,'05. BC BH THEO SKU-USD'!Q$4)/'05. BC BH THEO SKU-USD'!CW27/'02. Tỷ giá'!L$5,"-")</f>
        <v>-</v>
      </c>
      <c r="AF27" s="147" t="str">
        <f>IFERROR(SUMIFS('01. KE30'!$O:$O,'01. KE30'!$F:$F,'05. BC BH THEO SKU-USD'!$D27,'01. KE30'!$A:$A,'05. BC BH THEO SKU-USD'!R$4)/'05. BC BH THEO SKU-USD'!CX27/'02. Tỷ giá'!M$5,"-")</f>
        <v>-</v>
      </c>
      <c r="AH27" s="64">
        <f t="shared" si="254"/>
        <v>912.22222222222217</v>
      </c>
      <c r="AI27" s="4">
        <v>1000</v>
      </c>
      <c r="AJ27" s="4">
        <v>1000</v>
      </c>
      <c r="AK27" s="4">
        <v>1000</v>
      </c>
      <c r="AL27" s="4">
        <v>1000</v>
      </c>
      <c r="AM27" s="4">
        <v>850</v>
      </c>
      <c r="AN27" s="4">
        <v>850</v>
      </c>
      <c r="AO27" s="4">
        <v>850</v>
      </c>
      <c r="AP27" s="4">
        <v>830</v>
      </c>
      <c r="AQ27" s="4">
        <v>830</v>
      </c>
      <c r="AR27" s="4"/>
      <c r="AS27" s="4"/>
      <c r="AT27" s="4"/>
      <c r="AV27" s="95">
        <f t="shared" si="58"/>
        <v>-243.51426989085655</v>
      </c>
      <c r="AW27" s="95">
        <f t="shared" si="58"/>
        <v>-237.25411481332799</v>
      </c>
      <c r="AX27" s="95">
        <f t="shared" si="58"/>
        <v>-251.67388735722727</v>
      </c>
      <c r="AY27" s="95">
        <f t="shared" si="58"/>
        <v>-251.96850393700788</v>
      </c>
      <c r="AZ27" s="95" t="str">
        <f t="shared" si="58"/>
        <v>-</v>
      </c>
      <c r="BA27" s="95" t="str">
        <f t="shared" si="58"/>
        <v>-</v>
      </c>
      <c r="BB27" s="95">
        <f t="shared" si="58"/>
        <v>-243.36466364323508</v>
      </c>
      <c r="BC27" s="95">
        <f t="shared" si="58"/>
        <v>-181.18382046940224</v>
      </c>
      <c r="BD27" s="95" t="str">
        <f t="shared" si="58"/>
        <v>-</v>
      </c>
      <c r="BE27" s="95" t="str">
        <f t="shared" si="58"/>
        <v>-</v>
      </c>
      <c r="BF27" s="95" t="str">
        <f t="shared" si="58"/>
        <v>-</v>
      </c>
      <c r="BG27" s="95" t="str">
        <f t="shared" si="58"/>
        <v>-</v>
      </c>
      <c r="BH27" s="95" t="str">
        <f t="shared" si="58"/>
        <v>-</v>
      </c>
      <c r="BJ27" s="143">
        <f t="shared" si="65"/>
        <v>-0.26694621547109731</v>
      </c>
      <c r="BK27" s="143">
        <f t="shared" si="65"/>
        <v>-0.23725411481332798</v>
      </c>
      <c r="BL27" s="143">
        <f t="shared" si="65"/>
        <v>-0.25167388735722729</v>
      </c>
      <c r="BM27" s="143">
        <f t="shared" si="66"/>
        <v>-0.25196850393700787</v>
      </c>
      <c r="BN27" s="143" t="str">
        <f t="shared" si="66"/>
        <v>-</v>
      </c>
      <c r="BO27" s="143" t="str">
        <f t="shared" si="66"/>
        <v>-</v>
      </c>
      <c r="BP27" s="143">
        <f t="shared" si="66"/>
        <v>-0.28631136899204129</v>
      </c>
      <c r="BQ27" s="143">
        <f t="shared" si="66"/>
        <v>-0.21315743584635558</v>
      </c>
      <c r="BR27" s="143" t="str">
        <f t="shared" si="66"/>
        <v>-</v>
      </c>
      <c r="BS27" s="143" t="str">
        <f t="shared" si="66"/>
        <v>-</v>
      </c>
      <c r="BT27" s="143" t="str">
        <f t="shared" si="68"/>
        <v>-</v>
      </c>
      <c r="BU27" s="143" t="str">
        <f t="shared" si="68"/>
        <v>-</v>
      </c>
      <c r="BV27" s="143" t="str">
        <f t="shared" si="68"/>
        <v>-</v>
      </c>
      <c r="BX27" s="112">
        <f t="shared" si="256"/>
        <v>912.38785534127271</v>
      </c>
      <c r="BY27" s="95">
        <f>IFERROR(SUMIFS('01. KE30'!$R:$R,'01. KE30'!$F:$F,'05. BC BH THEO SKU-USD'!$D27,'01. KE30'!$A:$A,'05. BC BH THEO SKU-USD'!BY$4)/CM27/'02. Tỷ giá'!B$5," -")</f>
        <v>985.8523010109119</v>
      </c>
      <c r="BZ27" s="95">
        <f>IFERROR(SUMIFS('01. KE30'!$R:$R,'01. KE30'!$F:$F,'05. BC BH THEO SKU-USD'!$D27,'01. KE30'!$A:$A,'05. BC BH THEO SKU-USD'!BZ$4)/CN27/'02. Tỷ giá'!C$5," -")</f>
        <v>801.05696229725379</v>
      </c>
      <c r="CA27" s="95">
        <f>IFERROR(SUMIFS('01. KE30'!$R:$R,'01. KE30'!$F:$F,'05. BC BH THEO SKU-USD'!$D27,'01. KE30'!$A:$A,'05. BC BH THEO SKU-USD'!CA$4)/CO27/'02. Tỷ giá'!D$5," -")</f>
        <v>799.29088761632079</v>
      </c>
      <c r="CB27" s="95" t="str">
        <f>IFERROR(SUMIFS('01. KE30'!$R:$R,'01. KE30'!$F:$F,'05. BC BH THEO SKU-USD'!$D27,'01. KE30'!$A:$A,'05. BC BH THEO SKU-USD'!CB$4)/CP27/'02. Tỷ giá'!E$5," -")</f>
        <v xml:space="preserve"> -</v>
      </c>
      <c r="CC27" s="95" t="str">
        <f>IFERROR(SUMIFS('01. KE30'!$R:$R,'01. KE30'!$F:$F,'05. BC BH THEO SKU-USD'!$D27,'01. KE30'!$A:$A,'05. BC BH THEO SKU-USD'!CC$4)/CQ27/'02. Tỷ giá'!F$5," -")</f>
        <v xml:space="preserve"> -</v>
      </c>
      <c r="CD27" s="95">
        <f>IFERROR(SUMIFS('01. KE30'!$R:$R,'01. KE30'!$F:$F,'05. BC BH THEO SKU-USD'!$D27,'01. KE30'!$A:$A,'05. BC BH THEO SKU-USD'!CD$4)/CR27/'02. Tỷ giá'!G$5," -")</f>
        <v>954.7924839380197</v>
      </c>
      <c r="CE27" s="95">
        <f>IFERROR(SUMIFS('01. KE30'!$R:$R,'01. KE30'!$F:$F,'05. BC BH THEO SKU-USD'!$D27,'01. KE30'!$A:$A,'05. BC BH THEO SKU-USD'!CE$4)/CS27/'02. Tỷ giá'!H$5," -")</f>
        <v>1020.9466418438572</v>
      </c>
      <c r="CF27" s="95" t="str">
        <f>IFERROR(SUMIFS('01. KE30'!$R:$R,'01. KE30'!$F:$F,'05. BC BH THEO SKU-USD'!$D27,'01. KE30'!$A:$A,'05. BC BH THEO SKU-USD'!CF$4)/CT27/'02. Tỷ giá'!I$5," -")</f>
        <v xml:space="preserve"> -</v>
      </c>
      <c r="CG27" s="95" t="str">
        <f>IFERROR(SUMIFS('01. KE30'!$R:$R,'01. KE30'!$F:$F,'05. BC BH THEO SKU-USD'!$D27,'01. KE30'!$A:$A,'05. BC BH THEO SKU-USD'!CG$4)/CU27/'02. Tỷ giá'!J$5," -")</f>
        <v xml:space="preserve"> -</v>
      </c>
      <c r="CH27" s="95" t="str">
        <f>IFERROR(SUMIFS('01. KE30'!$R:$R,'01. KE30'!$F:$F,'05. BC BH THEO SKU-USD'!$D27,'01. KE30'!$A:$A,'05. BC BH THEO SKU-USD'!CH$4)/CV27/'02. Tỷ giá'!K$5," -")</f>
        <v xml:space="preserve"> -</v>
      </c>
      <c r="CI27" s="95" t="str">
        <f>IFERROR(SUMIFS('01. KE30'!$R:$R,'01. KE30'!$F:$F,'05. BC BH THEO SKU-USD'!$D27,'01. KE30'!$A:$A,'05. BC BH THEO SKU-USD'!CI$4)/CW27/'02. Tỷ giá'!L$5," -")</f>
        <v xml:space="preserve"> -</v>
      </c>
      <c r="CJ27" s="95" t="str">
        <f>IFERROR(SUMIFS('01. KE30'!$R:$R,'01. KE30'!$F:$F,'05. BC BH THEO SKU-USD'!$D27,'01. KE30'!$A:$A,'05. BC BH THEO SKU-USD'!CJ$4)/CX27/'02. Tỷ giá'!M$5," -")</f>
        <v xml:space="preserve"> -</v>
      </c>
      <c r="CL27" s="112">
        <f t="shared" si="257"/>
        <v>446.75</v>
      </c>
      <c r="CM27" s="114">
        <f>SUMIFS('01. KE30'!$I:$I,'01. KE30'!$F:$F,'05. BC BH THEO SKU-USD'!$D27,'01. KE30'!$A:$A,'05. BC BH THEO SKU-USD'!CM$4)/1000</f>
        <v>11</v>
      </c>
      <c r="CN27" s="114">
        <f>SUMIFS('01. KE30'!$I:$I,'01. KE30'!$F:$F,'05. BC BH THEO SKU-USD'!$D27,'01. KE30'!$A:$A,'05. BC BH THEO SKU-USD'!CN$4)/1000</f>
        <v>11</v>
      </c>
      <c r="CO27" s="114">
        <f>SUMIFS('01. KE30'!$I:$I,'01. KE30'!$F:$F,'05. BC BH THEO SKU-USD'!$D27,'01. KE30'!$A:$A,'05. BC BH THEO SKU-USD'!CO$4)/1000</f>
        <v>33</v>
      </c>
      <c r="CP27" s="114">
        <f>SUMIFS('01. KE30'!$I:$I,'01. KE30'!$F:$F,'05. BC BH THEO SKU-USD'!$D27,'01. KE30'!$A:$A,'05. BC BH THEO SKU-USD'!CP$4)/1000</f>
        <v>0</v>
      </c>
      <c r="CQ27" s="114">
        <f>SUMIFS('01. KE30'!$I:$I,'01. KE30'!$F:$F,'05. BC BH THEO SKU-USD'!$D27,'01. KE30'!$A:$A,'05. BC BH THEO SKU-USD'!CQ$4)/1000</f>
        <v>0</v>
      </c>
      <c r="CR27" s="114">
        <f>SUMIFS('01. KE30'!$I:$I,'01. KE30'!$F:$F,'05. BC BH THEO SKU-USD'!$D27,'01. KE30'!$A:$A,'05. BC BH THEO SKU-USD'!CR$4)/1000</f>
        <v>73.5</v>
      </c>
      <c r="CS27" s="114">
        <f>SUMIFS('01. KE30'!$I:$I,'01. KE30'!$F:$F,'05. BC BH THEO SKU-USD'!$D27,'01. KE30'!$A:$A,'05. BC BH THEO SKU-USD'!CS$4)/1000</f>
        <v>318.25</v>
      </c>
      <c r="CT27" s="114">
        <f>SUMIFS('01. KE30'!$I:$I,'01. KE30'!$F:$F,'05. BC BH THEO SKU-USD'!$D27,'01. KE30'!$A:$A,'05. BC BH THEO SKU-USD'!CT$4)/1000</f>
        <v>0</v>
      </c>
      <c r="CU27" s="114">
        <f>SUMIFS('01. KE30'!$I:$I,'01. KE30'!$F:$F,'05. BC BH THEO SKU-USD'!$D27,'01. KE30'!$A:$A,'05. BC BH THEO SKU-USD'!CU$4)/1000</f>
        <v>0</v>
      </c>
      <c r="CV27" s="114">
        <f>SUMIFS('01. KE30'!$I:$I,'01. KE30'!$F:$F,'05. BC BH THEO SKU-USD'!$D27,'01. KE30'!$A:$A,'05. BC BH THEO SKU-USD'!CV$4)/1000</f>
        <v>0</v>
      </c>
      <c r="CW27" s="114">
        <f>SUMIFS('01. KE30'!$I:$I,'01. KE30'!$F:$F,'05. BC BH THEO SKU-USD'!$D27,'01. KE30'!$A:$A,'05. BC BH THEO SKU-USD'!CW$4)/1000</f>
        <v>0</v>
      </c>
      <c r="CX27" s="114">
        <f>SUMIFS('01. KE30'!$I:$I,'01. KE30'!$F:$F,'05. BC BH THEO SKU-USD'!$D27,'01. KE30'!$A:$A,'05. BC BH THEO SKU-USD'!CX$4)/1000</f>
        <v>0</v>
      </c>
      <c r="CZ27" s="112">
        <f t="shared" si="271"/>
        <v>299946.81659292651</v>
      </c>
      <c r="DA27" s="114">
        <f t="shared" si="258"/>
        <v>8390.2047370533928</v>
      </c>
      <c r="DB27" s="114">
        <f t="shared" si="259"/>
        <v>8231.5872390705008</v>
      </c>
      <c r="DC27" s="114">
        <f t="shared" si="260"/>
        <v>24685.039370078739</v>
      </c>
      <c r="DD27" s="114" t="str">
        <f t="shared" si="261"/>
        <v xml:space="preserve"> -</v>
      </c>
      <c r="DE27" s="114" t="str">
        <f t="shared" si="262"/>
        <v xml:space="preserve"> -</v>
      </c>
      <c r="DF27" s="114">
        <f t="shared" si="263"/>
        <v>45789.236111111109</v>
      </c>
      <c r="DG27" s="114">
        <f t="shared" si="264"/>
        <v>212850.74913561274</v>
      </c>
      <c r="DH27" s="114" t="str">
        <f t="shared" si="265"/>
        <v xml:space="preserve"> -</v>
      </c>
      <c r="DI27" s="114" t="str">
        <f t="shared" si="266"/>
        <v xml:space="preserve"> -</v>
      </c>
      <c r="DJ27" s="114" t="str">
        <f t="shared" si="267"/>
        <v xml:space="preserve"> -</v>
      </c>
      <c r="DK27" s="114" t="str">
        <f t="shared" si="268"/>
        <v xml:space="preserve"> -</v>
      </c>
      <c r="DL27" s="114" t="str">
        <f t="shared" si="269"/>
        <v xml:space="preserve"> -</v>
      </c>
      <c r="DN27" s="112">
        <f t="shared" si="64"/>
        <v>-142380.83981994275</v>
      </c>
      <c r="DO27" s="114">
        <f>IFERROR(SUMIFS('01. KE30'!$X:$X,'01. KE30'!$F:$F,'05. BC BH THEO SKU-USD'!$D27,'01. KE30'!$A:$A,'05. BC BH THEO SKU-USD'!DO$4)-SUMIFS('01. KE30'!$AA:$AA,'01. KE30'!$F:$F,'05. BC BH THEO SKU-USD'!$D27,'01. KE30'!$A:$A,'05. BC BH THEO SKU-USD'!DO$4),"-")</f>
        <v>-2454.1705740666384</v>
      </c>
      <c r="DP27" s="114">
        <f>IFERROR(SUMIFS('01. KE30'!$X:$X,'01. KE30'!$F:$F,'05. BC BH THEO SKU-USD'!$D27,'01. KE30'!$A:$A,'05. BC BH THEO SKU-USD'!DP$4)-SUMIFS('01. KE30'!$AA:$AA,'01. KE30'!$F:$F,'05. BC BH THEO SKU-USD'!$D27,'01. KE30'!$A:$A,'05. BC BH THEO SKU-USD'!DP$4),"-")</f>
        <v>-580.03934619928987</v>
      </c>
      <c r="DQ27" s="114">
        <f>IFERROR(SUMIFS('01. KE30'!$X:$X,'01. KE30'!$F:$F,'05. BC BH THEO SKU-USD'!$D27,'01. KE30'!$A:$A,'05. BC BH THEO SKU-USD'!DQ$4)-SUMIFS('01. KE30'!$AA:$AA,'01. KE30'!$F:$F,'05. BC BH THEO SKU-USD'!$D27,'01. KE30'!$A:$A,'05. BC BH THEO SKU-USD'!DQ$4),"-")</f>
        <v>-1691.5599212598427</v>
      </c>
      <c r="DR27" s="114">
        <f>IFERROR(SUMIFS('01. KE30'!$X:$X,'01. KE30'!$F:$F,'05. BC BH THEO SKU-USD'!$D27,'01. KE30'!$A:$A,'05. BC BH THEO SKU-USD'!DR$4)-SUMIFS('01. KE30'!$AA:$AA,'01. KE30'!$F:$F,'05. BC BH THEO SKU-USD'!$D27,'01. KE30'!$A:$A,'05. BC BH THEO SKU-USD'!DR$4),"-")</f>
        <v>0</v>
      </c>
      <c r="DS27" s="114">
        <f>IFERROR(SUMIFS('01. KE30'!$X:$X,'01. KE30'!$F:$F,'05. BC BH THEO SKU-USD'!$D27,'01. KE30'!$A:$A,'05. BC BH THEO SKU-USD'!DS$4)-SUMIFS('01. KE30'!$AA:$AA,'01. KE30'!$F:$F,'05. BC BH THEO SKU-USD'!$D27,'01. KE30'!$A:$A,'05. BC BH THEO SKU-USD'!DS$4),"-")</f>
        <v>0</v>
      </c>
      <c r="DT27" s="114">
        <f>IFERROR(SUMIFS('01. KE30'!$X:$X,'01. KE30'!$F:$F,'05. BC BH THEO SKU-USD'!$D27,'01. KE30'!$A:$A,'05. BC BH THEO SKU-USD'!DT$4)-SUMIFS('01. KE30'!$AA:$AA,'01. KE30'!$F:$F,'05. BC BH THEO SKU-USD'!$D27,'01. KE30'!$A:$A,'05. BC BH THEO SKU-USD'!DT$4),"-")</f>
        <v>-25589.550347222219</v>
      </c>
      <c r="DU27" s="114">
        <f>IFERROR(SUMIFS('01. KE30'!$X:$X,'01. KE30'!$F:$F,'05. BC BH THEO SKU-USD'!$D27,'01. KE30'!$A:$A,'05. BC BH THEO SKU-USD'!DU$4)-SUMIFS('01. KE30'!$AA:$AA,'01. KE30'!$F:$F,'05. BC BH THEO SKU-USD'!$D27,'01. KE30'!$A:$A,'05. BC BH THEO SKU-USD'!DU$4),"-")</f>
        <v>-112065.51963119477</v>
      </c>
      <c r="DV27" s="114">
        <f>IFERROR(SUMIFS('01. KE30'!$X:$X,'01. KE30'!$F:$F,'05. BC BH THEO SKU-USD'!$D27,'01. KE30'!$A:$A,'05. BC BH THEO SKU-USD'!DV$4)-SUMIFS('01. KE30'!$AA:$AA,'01. KE30'!$F:$F,'05. BC BH THEO SKU-USD'!$D27,'01. KE30'!$A:$A,'05. BC BH THEO SKU-USD'!DV$4),"-")</f>
        <v>0</v>
      </c>
      <c r="DW27" s="114">
        <f>IFERROR(SUMIFS('01. KE30'!$X:$X,'01. KE30'!$F:$F,'05. BC BH THEO SKU-USD'!$D27,'01. KE30'!$A:$A,'05. BC BH THEO SKU-USD'!DW$4)-SUMIFS('01. KE30'!$AA:$AA,'01. KE30'!$F:$F,'05. BC BH THEO SKU-USD'!$D27,'01. KE30'!$A:$A,'05. BC BH THEO SKU-USD'!DW$4),"-")</f>
        <v>0</v>
      </c>
      <c r="DX27" s="114">
        <f>IFERROR(SUMIFS('01. KE30'!$X:$X,'01. KE30'!$F:$F,'05. BC BH THEO SKU-USD'!$D27,'01. KE30'!$A:$A,'05. BC BH THEO SKU-USD'!DX$4)-SUMIFS('01. KE30'!$AA:$AA,'01. KE30'!$F:$F,'05. BC BH THEO SKU-USD'!$D27,'01. KE30'!$A:$A,'05. BC BH THEO SKU-USD'!DX$4),"-")</f>
        <v>0</v>
      </c>
      <c r="DY27" s="114">
        <f>IFERROR(SUMIFS('01. KE30'!$X:$X,'01. KE30'!$F:$F,'05. BC BH THEO SKU-USD'!$D27,'01. KE30'!$A:$A,'05. BC BH THEO SKU-USD'!DY$4)-SUMIFS('01. KE30'!$AA:$AA,'01. KE30'!$F:$F,'05. BC BH THEO SKU-USD'!$D27,'01. KE30'!$A:$A,'05. BC BH THEO SKU-USD'!DY$4),"-")</f>
        <v>0</v>
      </c>
      <c r="DZ27" s="114">
        <f>IFERROR(SUMIFS('01. KE30'!$X:$X,'01. KE30'!$F:$F,'05. BC BH THEO SKU-USD'!$D27,'01. KE30'!$A:$A,'05. BC BH THEO SKU-USD'!DZ$4)-SUMIFS('01. KE30'!$AA:$AA,'01. KE30'!$F:$F,'05. BC BH THEO SKU-USD'!$D27,'01. KE30'!$A:$A,'05. BC BH THEO SKU-USD'!DZ$4),"-")</f>
        <v>0</v>
      </c>
      <c r="EB27" s="571">
        <f t="shared" si="252"/>
        <v>-0.47468695096429453</v>
      </c>
      <c r="EC27" s="572">
        <f t="shared" si="253"/>
        <v>-0.29250425358851656</v>
      </c>
      <c r="ED27" s="572">
        <f t="shared" si="19"/>
        <v>-7.046506698564578E-2</v>
      </c>
      <c r="EE27" s="572">
        <f t="shared" si="20"/>
        <v>-6.8525712918660303E-2</v>
      </c>
      <c r="EF27" s="572">
        <f t="shared" si="21"/>
        <v>0</v>
      </c>
      <c r="EG27" s="572">
        <f t="shared" si="22"/>
        <v>0</v>
      </c>
      <c r="EH27" s="572">
        <f t="shared" si="23"/>
        <v>-0.55885514851410067</v>
      </c>
      <c r="EI27" s="572">
        <f t="shared" si="24"/>
        <v>-0.52649812174161015</v>
      </c>
      <c r="EJ27" s="572">
        <f t="shared" si="25"/>
        <v>0</v>
      </c>
      <c r="EK27" s="572">
        <f t="shared" si="26"/>
        <v>0</v>
      </c>
      <c r="EL27" s="572">
        <f t="shared" si="27"/>
        <v>0</v>
      </c>
      <c r="EM27" s="572">
        <f t="shared" si="28"/>
        <v>0</v>
      </c>
      <c r="EN27" s="572">
        <f t="shared" si="29"/>
        <v>0</v>
      </c>
    </row>
    <row r="28" spans="1:144" ht="15.5" outlineLevel="1" x14ac:dyDescent="0.35">
      <c r="A28" s="467"/>
      <c r="B28" s="475"/>
      <c r="C28" s="180"/>
      <c r="D28" s="108"/>
      <c r="E28" s="108"/>
      <c r="F28" s="468"/>
      <c r="G28" s="469"/>
      <c r="H28" s="469"/>
      <c r="I28" s="469"/>
      <c r="J28" s="469"/>
      <c r="K28" s="469"/>
      <c r="L28" s="469"/>
      <c r="M28" s="469"/>
      <c r="N28" s="469"/>
      <c r="O28" s="469"/>
      <c r="P28" s="469"/>
      <c r="Q28" s="469"/>
      <c r="R28" s="469"/>
      <c r="T28" s="92">
        <f t="shared" si="35"/>
        <v>0</v>
      </c>
      <c r="U28" s="470"/>
      <c r="V28" s="470"/>
      <c r="W28" s="470"/>
      <c r="X28" s="470"/>
      <c r="Y28" s="470"/>
      <c r="Z28" s="470"/>
      <c r="AA28" s="470"/>
      <c r="AB28" s="470"/>
      <c r="AC28" s="470"/>
      <c r="AD28" s="470"/>
      <c r="AE28" s="470"/>
      <c r="AF28" s="470"/>
      <c r="AH28" s="471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V28" s="472"/>
      <c r="AW28" s="472"/>
      <c r="AX28" s="472"/>
      <c r="AY28" s="472"/>
      <c r="AZ28" s="472"/>
      <c r="BA28" s="472"/>
      <c r="BB28" s="472"/>
      <c r="BC28" s="472"/>
      <c r="BD28" s="472"/>
      <c r="BE28" s="472"/>
      <c r="BF28" s="472"/>
      <c r="BG28" s="472"/>
      <c r="BH28" s="472"/>
      <c r="BJ28" s="473"/>
      <c r="BK28" s="473"/>
      <c r="BL28" s="473"/>
      <c r="BM28" s="473"/>
      <c r="BN28" s="473"/>
      <c r="BO28" s="473"/>
      <c r="BP28" s="473"/>
      <c r="BQ28" s="473"/>
      <c r="BR28" s="473"/>
      <c r="BS28" s="473"/>
      <c r="BT28" s="473"/>
      <c r="BU28" s="473"/>
      <c r="BV28" s="473"/>
      <c r="BX28" s="117"/>
      <c r="BY28" s="472"/>
      <c r="BZ28" s="472"/>
      <c r="CA28" s="472"/>
      <c r="CB28" s="472"/>
      <c r="CC28" s="472"/>
      <c r="CD28" s="472"/>
      <c r="CE28" s="472"/>
      <c r="CF28" s="472"/>
      <c r="CG28" s="472"/>
      <c r="CH28" s="472"/>
      <c r="CI28" s="472"/>
      <c r="CJ28" s="472"/>
      <c r="CL28" s="117"/>
      <c r="CM28" s="118"/>
      <c r="CN28" s="118"/>
      <c r="CO28" s="118"/>
      <c r="CP28" s="118"/>
      <c r="CQ28" s="118"/>
      <c r="CR28" s="118"/>
      <c r="CS28" s="118"/>
      <c r="CT28" s="118"/>
      <c r="CU28" s="118"/>
      <c r="CV28" s="118"/>
      <c r="CW28" s="118"/>
      <c r="CX28" s="118"/>
      <c r="CZ28" s="117"/>
      <c r="DA28" s="118"/>
      <c r="DB28" s="118"/>
      <c r="DC28" s="118"/>
      <c r="DD28" s="118"/>
      <c r="DE28" s="118"/>
      <c r="DF28" s="118"/>
      <c r="DG28" s="118"/>
      <c r="DH28" s="118"/>
      <c r="DI28" s="118"/>
      <c r="DJ28" s="118"/>
      <c r="DK28" s="118"/>
      <c r="DL28" s="118"/>
      <c r="DN28" s="117"/>
      <c r="DO28" s="118"/>
      <c r="DP28" s="118"/>
      <c r="DQ28" s="118"/>
      <c r="DR28" s="118"/>
      <c r="DS28" s="118"/>
      <c r="DT28" s="118"/>
      <c r="DU28" s="118"/>
      <c r="DV28" s="118"/>
      <c r="DW28" s="118"/>
      <c r="DX28" s="118"/>
      <c r="DY28" s="118"/>
      <c r="DZ28" s="118"/>
      <c r="EB28" s="579">
        <f t="shared" si="252"/>
        <v>0</v>
      </c>
      <c r="EC28" s="577">
        <f t="shared" si="253"/>
        <v>0</v>
      </c>
      <c r="ED28" s="577">
        <f t="shared" si="19"/>
        <v>0</v>
      </c>
      <c r="EE28" s="575">
        <f t="shared" si="20"/>
        <v>0</v>
      </c>
      <c r="EF28" s="575">
        <f t="shared" si="21"/>
        <v>0</v>
      </c>
      <c r="EG28" s="575">
        <f t="shared" si="22"/>
        <v>0</v>
      </c>
      <c r="EH28" s="575">
        <f t="shared" si="23"/>
        <v>0</v>
      </c>
      <c r="EI28" s="575">
        <f t="shared" si="24"/>
        <v>0</v>
      </c>
      <c r="EJ28" s="575">
        <f t="shared" si="25"/>
        <v>0</v>
      </c>
      <c r="EK28" s="575">
        <f t="shared" si="26"/>
        <v>0</v>
      </c>
      <c r="EL28" s="575">
        <f t="shared" si="27"/>
        <v>0</v>
      </c>
      <c r="EM28" s="575">
        <f t="shared" si="28"/>
        <v>0</v>
      </c>
      <c r="EN28" s="575">
        <f t="shared" si="29"/>
        <v>0</v>
      </c>
    </row>
    <row r="29" spans="1:144" s="14" customFormat="1" ht="15" x14ac:dyDescent="0.3">
      <c r="A29" s="58" t="s">
        <v>85</v>
      </c>
      <c r="B29" s="474"/>
      <c r="C29" s="249"/>
      <c r="D29" s="461" t="s">
        <v>265</v>
      </c>
      <c r="E29" s="61"/>
      <c r="F29" s="145">
        <f t="shared" ref="F29:S29" si="273">IFERROR(AVERAGE(F30:F40),"-")</f>
        <v>1266.790798116949</v>
      </c>
      <c r="G29" s="145">
        <f t="shared" si="273"/>
        <v>1390.702023403082</v>
      </c>
      <c r="H29" s="145">
        <f t="shared" si="273"/>
        <v>1256.4099521154205</v>
      </c>
      <c r="I29" s="145">
        <f t="shared" si="273"/>
        <v>1293.8087915948331</v>
      </c>
      <c r="J29" s="145">
        <f t="shared" si="273"/>
        <v>1208.5787919503844</v>
      </c>
      <c r="K29" s="145">
        <f t="shared" si="273"/>
        <v>1303.2747863555073</v>
      </c>
      <c r="L29" s="145">
        <f t="shared" si="273"/>
        <v>1260.3689326051031</v>
      </c>
      <c r="M29" s="145">
        <f t="shared" si="273"/>
        <v>1167.6898285187019</v>
      </c>
      <c r="N29" s="145">
        <f t="shared" si="273"/>
        <v>1246.0136857109826</v>
      </c>
      <c r="O29" s="145">
        <f t="shared" si="273"/>
        <v>1195.0261251569284</v>
      </c>
      <c r="P29" s="145" t="str">
        <f t="shared" si="273"/>
        <v>-</v>
      </c>
      <c r="Q29" s="145" t="str">
        <f t="shared" si="273"/>
        <v>-</v>
      </c>
      <c r="R29" s="145" t="str">
        <f t="shared" si="273"/>
        <v>-</v>
      </c>
      <c r="S29" s="145" t="str">
        <f t="shared" si="273"/>
        <v>-</v>
      </c>
      <c r="T29" s="698">
        <f t="shared" ref="T29:AF29" si="274">IFERROR(SUMPRODUCT(T30:T40,CL30:CL40)/CL29,0)</f>
        <v>1281.6628676776518</v>
      </c>
      <c r="U29" s="698">
        <f t="shared" si="274"/>
        <v>1400.1905161280031</v>
      </c>
      <c r="V29" s="698">
        <f t="shared" si="274"/>
        <v>1346.6707642331323</v>
      </c>
      <c r="W29" s="698">
        <f t="shared" si="274"/>
        <v>1361.456278454388</v>
      </c>
      <c r="X29" s="698">
        <f t="shared" si="274"/>
        <v>1186.4269884704454</v>
      </c>
      <c r="Y29" s="698">
        <f t="shared" si="274"/>
        <v>1315.1528624108748</v>
      </c>
      <c r="Z29" s="698">
        <f t="shared" si="274"/>
        <v>1239.9976240742537</v>
      </c>
      <c r="AA29" s="698">
        <f t="shared" si="274"/>
        <v>1255.3409607884234</v>
      </c>
      <c r="AB29" s="698">
        <f t="shared" si="274"/>
        <v>1240.2346442964733</v>
      </c>
      <c r="AC29" s="698">
        <f t="shared" si="274"/>
        <v>1193.7431125800401</v>
      </c>
      <c r="AD29" s="698">
        <f t="shared" si="274"/>
        <v>0</v>
      </c>
      <c r="AE29" s="698">
        <f t="shared" si="274"/>
        <v>0</v>
      </c>
      <c r="AF29" s="698">
        <f t="shared" si="274"/>
        <v>0</v>
      </c>
      <c r="AH29" s="71">
        <f t="shared" ref="AH29:AT29" si="275">IFERROR(AVERAGE(AH30:AH39),0)</f>
        <v>1272.2222222222222</v>
      </c>
      <c r="AI29" s="71">
        <f t="shared" si="275"/>
        <v>1305</v>
      </c>
      <c r="AJ29" s="71">
        <f t="shared" si="275"/>
        <v>1295</v>
      </c>
      <c r="AK29" s="71">
        <f t="shared" si="275"/>
        <v>1260</v>
      </c>
      <c r="AL29" s="71">
        <f t="shared" si="275"/>
        <v>1265</v>
      </c>
      <c r="AM29" s="71">
        <f t="shared" si="275"/>
        <v>1265</v>
      </c>
      <c r="AN29" s="71">
        <f t="shared" si="275"/>
        <v>1265</v>
      </c>
      <c r="AO29" s="71">
        <f t="shared" si="275"/>
        <v>1277</v>
      </c>
      <c r="AP29" s="71">
        <f t="shared" si="275"/>
        <v>1265</v>
      </c>
      <c r="AQ29" s="71">
        <f t="shared" si="275"/>
        <v>1253</v>
      </c>
      <c r="AR29" s="71">
        <f t="shared" si="275"/>
        <v>0</v>
      </c>
      <c r="AS29" s="71">
        <f t="shared" si="275"/>
        <v>0</v>
      </c>
      <c r="AT29" s="71">
        <f t="shared" si="275"/>
        <v>0</v>
      </c>
      <c r="AU29" s="71">
        <f>IFERROR(AVERAGE(AU30:AU58),0)</f>
        <v>0</v>
      </c>
      <c r="AV29" s="96">
        <f t="shared" si="58"/>
        <v>9.4406454554296033</v>
      </c>
      <c r="AW29" s="96">
        <f t="shared" si="58"/>
        <v>95.190516128003082</v>
      </c>
      <c r="AX29" s="96">
        <f t="shared" si="58"/>
        <v>51.670764233132331</v>
      </c>
      <c r="AY29" s="96">
        <f t="shared" si="58"/>
        <v>101.45627845438798</v>
      </c>
      <c r="AZ29" s="96">
        <f t="shared" si="58"/>
        <v>-78.573011529554606</v>
      </c>
      <c r="BA29" s="96">
        <f t="shared" si="58"/>
        <v>50.152862410874832</v>
      </c>
      <c r="BB29" s="96">
        <f t="shared" si="58"/>
        <v>-25.002375925746264</v>
      </c>
      <c r="BC29" s="96">
        <f t="shared" si="58"/>
        <v>-21.659039211576555</v>
      </c>
      <c r="BD29" s="96">
        <f t="shared" si="58"/>
        <v>-24.765355703526666</v>
      </c>
      <c r="BE29" s="96">
        <f t="shared" si="58"/>
        <v>-59.256887419959867</v>
      </c>
      <c r="BF29" s="96" t="str">
        <f t="shared" si="58"/>
        <v>-</v>
      </c>
      <c r="BG29" s="96" t="str">
        <f t="shared" si="58"/>
        <v>-</v>
      </c>
      <c r="BH29" s="96" t="str">
        <f t="shared" si="58"/>
        <v>-</v>
      </c>
      <c r="BJ29" s="142">
        <f t="shared" si="65"/>
        <v>7.420594681123706E-3</v>
      </c>
      <c r="BK29" s="142">
        <f t="shared" si="65"/>
        <v>7.2942924236017684E-2</v>
      </c>
      <c r="BL29" s="142">
        <f t="shared" si="65"/>
        <v>3.9900204041028828E-2</v>
      </c>
      <c r="BM29" s="142">
        <f t="shared" si="66"/>
        <v>8.0520855916180939E-2</v>
      </c>
      <c r="BN29" s="142">
        <f t="shared" si="66"/>
        <v>-6.2113052592533288E-2</v>
      </c>
      <c r="BO29" s="142">
        <f t="shared" si="66"/>
        <v>3.9646531550098681E-2</v>
      </c>
      <c r="BP29" s="142">
        <f t="shared" si="66"/>
        <v>-1.9764724051973333E-2</v>
      </c>
      <c r="BQ29" s="142">
        <f t="shared" si="66"/>
        <v>-1.6960876438196205E-2</v>
      </c>
      <c r="BR29" s="142">
        <f t="shared" si="66"/>
        <v>-1.9577356287372859E-2</v>
      </c>
      <c r="BS29" s="142">
        <f t="shared" si="66"/>
        <v>-4.729200911409407E-2</v>
      </c>
      <c r="BT29" s="142" t="str">
        <f t="shared" si="68"/>
        <v>-</v>
      </c>
      <c r="BU29" s="142" t="str">
        <f t="shared" si="68"/>
        <v>-</v>
      </c>
      <c r="BV29" s="142" t="str">
        <f t="shared" si="68"/>
        <v>-</v>
      </c>
      <c r="BX29" s="115">
        <f>IFERROR(AVERAGE(BX30:BX40),0)</f>
        <v>1096.5025807805996</v>
      </c>
      <c r="BY29" s="115">
        <f t="shared" ref="BY29:CJ29" si="276">IFERROR(AVERAGE(BY30:BY40),0)</f>
        <v>1107.3940534090168</v>
      </c>
      <c r="BZ29" s="115">
        <f t="shared" si="276"/>
        <v>1200.3580467396021</v>
      </c>
      <c r="CA29" s="115">
        <f t="shared" si="276"/>
        <v>1143.5304745165247</v>
      </c>
      <c r="CB29" s="115">
        <f t="shared" si="276"/>
        <v>1129.4769172170797</v>
      </c>
      <c r="CC29" s="115">
        <f t="shared" si="276"/>
        <v>1116.795555112185</v>
      </c>
      <c r="CD29" s="115">
        <f t="shared" si="276"/>
        <v>1077.4724294181424</v>
      </c>
      <c r="CE29" s="115">
        <f t="shared" si="276"/>
        <v>1027.6789602487872</v>
      </c>
      <c r="CF29" s="115">
        <f t="shared" si="276"/>
        <v>1049.1479530206975</v>
      </c>
      <c r="CG29" s="115">
        <f t="shared" si="276"/>
        <v>1023.8930957349168</v>
      </c>
      <c r="CH29" s="115">
        <f t="shared" si="276"/>
        <v>0</v>
      </c>
      <c r="CI29" s="115">
        <f t="shared" si="276"/>
        <v>0</v>
      </c>
      <c r="CJ29" s="115">
        <f t="shared" si="276"/>
        <v>0</v>
      </c>
      <c r="CL29" s="115">
        <f>SUM(CL30:CL39)</f>
        <v>2171.8250000000003</v>
      </c>
      <c r="CM29" s="115">
        <f t="shared" ref="CM29:CX29" si="277">SUM(CM30:CM39)</f>
        <v>164.85</v>
      </c>
      <c r="CN29" s="115">
        <f t="shared" si="277"/>
        <v>211</v>
      </c>
      <c r="CO29" s="115">
        <f t="shared" si="277"/>
        <v>359.77500000000003</v>
      </c>
      <c r="CP29" s="115">
        <f t="shared" si="277"/>
        <v>154.25</v>
      </c>
      <c r="CQ29" s="115">
        <f t="shared" si="277"/>
        <v>193.875</v>
      </c>
      <c r="CR29" s="115">
        <f t="shared" si="277"/>
        <v>260.85000000000002</v>
      </c>
      <c r="CS29" s="115">
        <f t="shared" si="277"/>
        <v>211.75</v>
      </c>
      <c r="CT29" s="115">
        <f t="shared" si="277"/>
        <v>361.1</v>
      </c>
      <c r="CU29" s="115">
        <f t="shared" si="277"/>
        <v>254.375</v>
      </c>
      <c r="CV29" s="115">
        <f t="shared" si="277"/>
        <v>0</v>
      </c>
      <c r="CW29" s="115">
        <f t="shared" si="277"/>
        <v>0</v>
      </c>
      <c r="CX29" s="115">
        <f t="shared" si="277"/>
        <v>0</v>
      </c>
      <c r="CZ29" s="115">
        <f t="shared" ref="CZ29:DL29" si="278">SUM(CZ30:CZ39)</f>
        <v>2819098.3937312528</v>
      </c>
      <c r="DA29" s="115">
        <f t="shared" si="278"/>
        <v>232345.41148133279</v>
      </c>
      <c r="DB29" s="115">
        <f t="shared" si="278"/>
        <v>284895.12800315081</v>
      </c>
      <c r="DC29" s="115">
        <f t="shared" si="278"/>
        <v>500501.67716535437</v>
      </c>
      <c r="DD29" s="115">
        <f t="shared" si="278"/>
        <v>183759.14827719703</v>
      </c>
      <c r="DE29" s="115">
        <f t="shared" si="278"/>
        <v>255666.30413766435</v>
      </c>
      <c r="DF29" s="115">
        <f t="shared" si="278"/>
        <v>325267.1022762346</v>
      </c>
      <c r="DG29" s="115">
        <f t="shared" si="278"/>
        <v>267006.53626584716</v>
      </c>
      <c r="DH29" s="115">
        <f t="shared" si="278"/>
        <v>464813.49667685258</v>
      </c>
      <c r="DI29" s="115">
        <f t="shared" si="278"/>
        <v>304843.58944761899</v>
      </c>
      <c r="DJ29" s="115">
        <f t="shared" si="278"/>
        <v>0</v>
      </c>
      <c r="DK29" s="115">
        <f t="shared" si="278"/>
        <v>0</v>
      </c>
      <c r="DL29" s="115">
        <f t="shared" si="278"/>
        <v>0</v>
      </c>
      <c r="DN29" s="115">
        <f t="shared" ref="DN29:DZ29" si="279">SUM(DN30:DN39)</f>
        <v>401303.32613196736</v>
      </c>
      <c r="DO29" s="115">
        <f t="shared" si="279"/>
        <v>44673.204696908906</v>
      </c>
      <c r="DP29" s="115">
        <f t="shared" si="279"/>
        <v>35498.570166148842</v>
      </c>
      <c r="DQ29" s="115">
        <f t="shared" si="279"/>
        <v>76480.952974628191</v>
      </c>
      <c r="DR29" s="115">
        <f t="shared" si="279"/>
        <v>6381.3444659526067</v>
      </c>
      <c r="DS29" s="115">
        <f t="shared" si="279"/>
        <v>37181.139158145008</v>
      </c>
      <c r="DT29" s="115">
        <f t="shared" si="279"/>
        <v>42886.930548411059</v>
      </c>
      <c r="DU29" s="115">
        <f t="shared" si="279"/>
        <v>42620.560279449659</v>
      </c>
      <c r="DV29" s="115">
        <f t="shared" si="279"/>
        <v>72161.173103584893</v>
      </c>
      <c r="DW29" s="115">
        <f t="shared" si="279"/>
        <v>43419.450738738218</v>
      </c>
      <c r="DX29" s="115">
        <f t="shared" si="279"/>
        <v>0</v>
      </c>
      <c r="DY29" s="115">
        <f t="shared" si="279"/>
        <v>0</v>
      </c>
      <c r="DZ29" s="115">
        <f t="shared" si="279"/>
        <v>0</v>
      </c>
      <c r="EB29" s="574">
        <f t="shared" si="252"/>
        <v>0.14235165648149561</v>
      </c>
      <c r="EC29" s="574">
        <f t="shared" si="253"/>
        <v>0.19227065605510382</v>
      </c>
      <c r="ED29" s="574">
        <f t="shared" si="19"/>
        <v>0.12460223667200179</v>
      </c>
      <c r="EE29" s="574">
        <f t="shared" si="20"/>
        <v>0.15280858479393392</v>
      </c>
      <c r="EF29" s="574">
        <f t="shared" si="21"/>
        <v>3.4726676335735271E-2</v>
      </c>
      <c r="EG29" s="574">
        <f t="shared" si="22"/>
        <v>0.14542839066553215</v>
      </c>
      <c r="EH29" s="574">
        <f t="shared" si="23"/>
        <v>0.13185142379381834</v>
      </c>
      <c r="EI29" s="574">
        <f t="shared" si="24"/>
        <v>0.15962365893924846</v>
      </c>
      <c r="EJ29" s="574">
        <f t="shared" si="25"/>
        <v>0.15524758557893759</v>
      </c>
      <c r="EK29" s="574">
        <f t="shared" si="26"/>
        <v>0.14243189701779491</v>
      </c>
      <c r="EL29" s="574">
        <f t="shared" si="27"/>
        <v>0</v>
      </c>
      <c r="EM29" s="574">
        <f t="shared" si="28"/>
        <v>0</v>
      </c>
      <c r="EN29" s="574">
        <f t="shared" si="29"/>
        <v>0</v>
      </c>
    </row>
    <row r="30" spans="1:144" ht="15.5" outlineLevel="1" x14ac:dyDescent="0.35">
      <c r="A30" s="65">
        <v>1</v>
      </c>
      <c r="B30" s="27" t="s">
        <v>265</v>
      </c>
      <c r="C30" s="250" t="str">
        <f>VLOOKUP(D30,'Quy đổi'!A:C,3,0)</f>
        <v>MBF01</v>
      </c>
      <c r="D30" s="462" t="s">
        <v>69</v>
      </c>
      <c r="E30" s="68" t="s">
        <v>64</v>
      </c>
      <c r="F30" s="92">
        <f>IFERROR(AVERAGE(G30:R30),"-")</f>
        <v>1381.2176647959507</v>
      </c>
      <c r="G30" s="106">
        <f>IFERROR(SUMIFS('01. KE30'!$K:$K,'01. KE30'!$F:$F,'05. BC BH THEO SKU-USD'!$D30,'01. KE30'!$A:$A,'05. BC BH THEO SKU-USD'!G$4)/'05. BC BH THEO SKU-USD'!CM30/'02. Tỷ giá'!B$5,"-")</f>
        <v>1424.2186677982279</v>
      </c>
      <c r="H30" s="106">
        <f>IFERROR(SUMIFS('01. KE30'!$K:$K,'01. KE30'!$F:$F,'05. BC BH THEO SKU-USD'!$D30,'01. KE30'!$A:$A,'05. BC BH THEO SKU-USD'!H$4)/'05. BC BH THEO SKU-USD'!CN30/'02. Tỷ giá'!C$5,"-")</f>
        <v>1408.3041396322631</v>
      </c>
      <c r="I30" s="106">
        <f>IFERROR(SUMIFS('01. KE30'!$K:$K,'01. KE30'!$F:$F,'05. BC BH THEO SKU-USD'!$D30,'01. KE30'!$A:$A,'05. BC BH THEO SKU-USD'!I$4)/'05. BC BH THEO SKU-USD'!CO30/'02. Tỷ giá'!D$5,"-")</f>
        <v>1407.0777669645227</v>
      </c>
      <c r="J30" s="106">
        <f>IFERROR(SUMIFS('01. KE30'!$K:$K,'01. KE30'!$F:$F,'05. BC BH THEO SKU-USD'!$D30,'01. KE30'!$A:$A,'05. BC BH THEO SKU-USD'!J$4)/'05. BC BH THEO SKU-USD'!CP30/'02. Tỷ giá'!E$5,"-")</f>
        <v>1376.2656282025005</v>
      </c>
      <c r="K30" s="106">
        <f>IFERROR(SUMIFS('01. KE30'!$K:$K,'01. KE30'!$F:$F,'05. BC BH THEO SKU-USD'!$D30,'01. KE30'!$A:$A,'05. BC BH THEO SKU-USD'!K$4)/'05. BC BH THEO SKU-USD'!CQ30/'02. Tỷ giá'!F$5,"-")</f>
        <v>1346.6781338914836</v>
      </c>
      <c r="L30" s="106">
        <f>IFERROR(SUMIFS('01. KE30'!$K:$K,'01. KE30'!$F:$F,'05. BC BH THEO SKU-USD'!$D30,'01. KE30'!$A:$A,'05. BC BH THEO SKU-USD'!L$4)/'05. BC BH THEO SKU-USD'!CR30/'02. Tỷ giá'!G$5,"-")</f>
        <v>1342.7845528455284</v>
      </c>
      <c r="M30" s="106">
        <f>IFERROR(SUMIFS('01. KE30'!$K:$K,'01. KE30'!$F:$F,'05. BC BH THEO SKU-USD'!$D30,'01. KE30'!$A:$A,'05. BC BH THEO SKU-USD'!M$4)/'05. BC BH THEO SKU-USD'!CS30/'02. Tỷ giá'!H$5,"-")</f>
        <v>1367.7599943550222</v>
      </c>
      <c r="N30" s="106">
        <f>IFERROR(SUMIFS('01. KE30'!$K:$K,'01. KE30'!$F:$F,'05. BC BH THEO SKU-USD'!$D30,'01. KE30'!$A:$A,'05. BC BH THEO SKU-USD'!N$4)/'05. BC BH THEO SKU-USD'!CT30/'02. Tỷ giá'!I$5,"-")</f>
        <v>1380.7739601011881</v>
      </c>
      <c r="O30" s="106">
        <f>IFERROR(SUMIFS('01. KE30'!$K:$K,'01. KE30'!$F:$F,'05. BC BH THEO SKU-USD'!$D30,'01. KE30'!$A:$A,'05. BC BH THEO SKU-USD'!O$4)/'05. BC BH THEO SKU-USD'!CU30/'02. Tỷ giá'!J$5,"-")</f>
        <v>1377.0961393728221</v>
      </c>
      <c r="P30" s="106" t="str">
        <f>IFERROR(SUMIFS('01. KE30'!$K:$K,'01. KE30'!$F:$F,'05. BC BH THEO SKU-USD'!$D30,'01. KE30'!$A:$A,'05. BC BH THEO SKU-USD'!P$4)/'05. BC BH THEO SKU-USD'!CV30/'02. Tỷ giá'!K$5,"-")</f>
        <v>-</v>
      </c>
      <c r="Q30" s="106" t="str">
        <f>IFERROR(SUMIFS('01. KE30'!$K:$K,'01. KE30'!$F:$F,'05. BC BH THEO SKU-USD'!$D30,'01. KE30'!$A:$A,'05. BC BH THEO SKU-USD'!Q$4)/'05. BC BH THEO SKU-USD'!CW30/'02. Tỷ giá'!L$5,"-")</f>
        <v>-</v>
      </c>
      <c r="R30" s="106" t="str">
        <f>IFERROR(SUMIFS('01. KE30'!$K:$K,'01. KE30'!$F:$F,'05. BC BH THEO SKU-USD'!$D30,'01. KE30'!$A:$A,'05. BC BH THEO SKU-USD'!R$4)/'05. BC BH THEO SKU-USD'!CX30/'02. Tỷ giá'!M$5,"-")</f>
        <v>-</v>
      </c>
      <c r="T30" s="92">
        <f t="shared" si="35"/>
        <v>1371.9026512231005</v>
      </c>
      <c r="U30" s="147">
        <f>IFERROR(SUMIFS('01. KE30'!$O:$O,'01. KE30'!$F:$F,'05. BC BH THEO SKU-USD'!$D30,'01. KE30'!$A:$A,'05. BC BH THEO SKU-USD'!G$4)/'05. BC BH THEO SKU-USD'!CM30/'02. Tỷ giá'!B$5,"-")</f>
        <v>1409.6139251280651</v>
      </c>
      <c r="V30" s="147">
        <f>IFERROR(SUMIFS('01. KE30'!$O:$O,'01. KE30'!$F:$F,'05. BC BH THEO SKU-USD'!$D30,'01. KE30'!$A:$A,'05. BC BH THEO SKU-USD'!H$4)/'05. BC BH THEO SKU-USD'!CN30/'02. Tỷ giá'!C$5,"-")</f>
        <v>1401.1501037474793</v>
      </c>
      <c r="W30" s="147">
        <f>IFERROR(SUMIFS('01. KE30'!$O:$O,'01. KE30'!$F:$F,'05. BC BH THEO SKU-USD'!$D30,'01. KE30'!$A:$A,'05. BC BH THEO SKU-USD'!I$4)/'05. BC BH THEO SKU-USD'!CO30/'02. Tỷ giá'!D$5,"-")</f>
        <v>1400.8221648494143</v>
      </c>
      <c r="X30" s="147">
        <f>IFERROR(SUMIFS('01. KE30'!$O:$O,'01. KE30'!$F:$F,'05. BC BH THEO SKU-USD'!$D30,'01. KE30'!$A:$A,'05. BC BH THEO SKU-USD'!J$4)/'05. BC BH THEO SKU-USD'!CP30/'02. Tỷ giá'!E$5,"-")</f>
        <v>1360.1632687237661</v>
      </c>
      <c r="Y30" s="147">
        <f>IFERROR(SUMIFS('01. KE30'!$O:$O,'01. KE30'!$F:$F,'05. BC BH THEO SKU-USD'!$D30,'01. KE30'!$A:$A,'05. BC BH THEO SKU-USD'!K$4)/'05. BC BH THEO SKU-USD'!CQ30/'02. Tỷ giá'!F$5,"-")</f>
        <v>1340.4720904450896</v>
      </c>
      <c r="Z30" s="147">
        <f>IFERROR(SUMIFS('01. KE30'!$O:$O,'01. KE30'!$F:$F,'05. BC BH THEO SKU-USD'!$D30,'01. KE30'!$A:$A,'05. BC BH THEO SKU-USD'!L$4)/'05. BC BH THEO SKU-USD'!CR30/'02. Tỷ giá'!G$5,"-")</f>
        <v>1336.7331221479069</v>
      </c>
      <c r="AA30" s="147">
        <f>IFERROR(SUMIFS('01. KE30'!$O:$O,'01. KE30'!$F:$F,'05. BC BH THEO SKU-USD'!$D30,'01. KE30'!$A:$A,'05. BC BH THEO SKU-USD'!M$4)/'05. BC BH THEO SKU-USD'!CS30/'02. Tỷ giá'!H$5,"-")</f>
        <v>1358.9430161071671</v>
      </c>
      <c r="AB30" s="147">
        <f>IFERROR(SUMIFS('01. KE30'!$O:$O,'01. KE30'!$F:$F,'05. BC BH THEO SKU-USD'!$D30,'01. KE30'!$A:$A,'05. BC BH THEO SKU-USD'!N$4)/'05. BC BH THEO SKU-USD'!CT30/'02. Tỷ giá'!I$5,"-")</f>
        <v>1370.3887723582975</v>
      </c>
      <c r="AC30" s="147">
        <f>IFERROR(SUMIFS('01. KE30'!$O:$O,'01. KE30'!$F:$F,'05. BC BH THEO SKU-USD'!$D30,'01. KE30'!$A:$A,'05. BC BH THEO SKU-USD'!O$4)/'05. BC BH THEO SKU-USD'!CU30/'02. Tỷ giá'!J$5,"-")</f>
        <v>1366.5845191061144</v>
      </c>
      <c r="AD30" s="147" t="str">
        <f>IFERROR(SUMIFS('01. KE30'!$O:$O,'01. KE30'!$F:$F,'05. BC BH THEO SKU-USD'!$D30,'01. KE30'!$A:$A,'05. BC BH THEO SKU-USD'!P$4)/'05. BC BH THEO SKU-USD'!CV30/'02. Tỷ giá'!K$5,"-")</f>
        <v>-</v>
      </c>
      <c r="AE30" s="147" t="str">
        <f>IFERROR(SUMIFS('01. KE30'!$O:$O,'01. KE30'!$F:$F,'05. BC BH THEO SKU-USD'!$D30,'01. KE30'!$A:$A,'05. BC BH THEO SKU-USD'!Q$4)/'05. BC BH THEO SKU-USD'!CW30/'02. Tỷ giá'!L$5,"-")</f>
        <v>-</v>
      </c>
      <c r="AF30" s="147" t="str">
        <f>IFERROR(SUMIFS('01. KE30'!$O:$O,'01. KE30'!$F:$F,'05. BC BH THEO SKU-USD'!$D30,'01. KE30'!$A:$A,'05. BC BH THEO SKU-USD'!R$4)/'05. BC BH THEO SKU-USD'!CX30/'02. Tỷ giá'!M$5,"-")</f>
        <v>-</v>
      </c>
      <c r="AH30" s="55">
        <f>IFERROR(AVERAGE(AI30:AT30),"-")</f>
        <v>1360</v>
      </c>
      <c r="AI30" s="4">
        <v>1350</v>
      </c>
      <c r="AJ30" s="4">
        <v>1350</v>
      </c>
      <c r="AK30" s="4">
        <v>1350</v>
      </c>
      <c r="AL30" s="4">
        <v>1350</v>
      </c>
      <c r="AM30" s="4">
        <v>1350</v>
      </c>
      <c r="AN30" s="4">
        <v>1350</v>
      </c>
      <c r="AO30" s="4">
        <v>1380</v>
      </c>
      <c r="AP30" s="4">
        <v>1380</v>
      </c>
      <c r="AQ30" s="4">
        <v>1380</v>
      </c>
      <c r="AR30" s="4"/>
      <c r="AS30" s="4"/>
      <c r="AT30" s="4"/>
      <c r="AV30" s="54">
        <f t="shared" si="58"/>
        <v>11.90265122310052</v>
      </c>
      <c r="AW30" s="95">
        <f t="shared" si="58"/>
        <v>59.613925128065148</v>
      </c>
      <c r="AX30" s="95">
        <f t="shared" si="58"/>
        <v>51.150103747479307</v>
      </c>
      <c r="AY30" s="95">
        <f t="shared" si="58"/>
        <v>50.822164849414321</v>
      </c>
      <c r="AZ30" s="95">
        <f t="shared" si="58"/>
        <v>10.163268723766123</v>
      </c>
      <c r="BA30" s="95">
        <f t="shared" si="58"/>
        <v>-9.5279095549103658</v>
      </c>
      <c r="BB30" s="95">
        <f t="shared" si="58"/>
        <v>-13.266877852093103</v>
      </c>
      <c r="BC30" s="95">
        <f t="shared" si="58"/>
        <v>-21.056983892832932</v>
      </c>
      <c r="BD30" s="95">
        <f t="shared" si="58"/>
        <v>-9.6112276417024987</v>
      </c>
      <c r="BE30" s="95">
        <f t="shared" si="58"/>
        <v>-13.415480893885615</v>
      </c>
      <c r="BF30" s="95" t="str">
        <f t="shared" si="58"/>
        <v>-</v>
      </c>
      <c r="BG30" s="95" t="str">
        <f t="shared" si="58"/>
        <v>-</v>
      </c>
      <c r="BH30" s="95" t="str">
        <f t="shared" si="58"/>
        <v>-</v>
      </c>
      <c r="BJ30" s="143">
        <f t="shared" si="65"/>
        <v>8.7519494287503826E-3</v>
      </c>
      <c r="BK30" s="143">
        <f t="shared" si="65"/>
        <v>4.4158463057826038E-2</v>
      </c>
      <c r="BL30" s="143">
        <f t="shared" si="65"/>
        <v>3.7888965738873563E-2</v>
      </c>
      <c r="BM30" s="143">
        <f t="shared" si="66"/>
        <v>3.7646048036603201E-2</v>
      </c>
      <c r="BN30" s="143">
        <f t="shared" si="66"/>
        <v>7.5283472027897211E-3</v>
      </c>
      <c r="BO30" s="143">
        <f t="shared" si="66"/>
        <v>-7.0577107814150854E-3</v>
      </c>
      <c r="BP30" s="143">
        <f t="shared" si="66"/>
        <v>-9.8273169274763726E-3</v>
      </c>
      <c r="BQ30" s="143">
        <f t="shared" si="66"/>
        <v>-1.5258683980313719E-2</v>
      </c>
      <c r="BR30" s="143">
        <f t="shared" si="66"/>
        <v>-6.9646577113786226E-3</v>
      </c>
      <c r="BS30" s="143">
        <f t="shared" si="66"/>
        <v>-9.721362966583779E-3</v>
      </c>
      <c r="BT30" s="143" t="str">
        <f t="shared" si="68"/>
        <v>-</v>
      </c>
      <c r="BU30" s="143" t="str">
        <f t="shared" si="68"/>
        <v>-</v>
      </c>
      <c r="BV30" s="143" t="str">
        <f t="shared" si="68"/>
        <v>-</v>
      </c>
      <c r="BX30" s="112">
        <f t="shared" ref="BX30:BX40" si="280">IFERROR(AVERAGE(BY30:CJ30),"-")</f>
        <v>1070.4635785021799</v>
      </c>
      <c r="BY30" s="95">
        <f>IFERROR(SUMIFS('01. KE30'!$R:$R,'01. KE30'!$F:$F,'05. BC BH THEO SKU-USD'!$D30,'01. KE30'!$A:$A,'05. BC BH THEO SKU-USD'!BY$4)/CM30/'02. Tỷ giá'!B$5," -")</f>
        <v>1119.4856934893744</v>
      </c>
      <c r="BZ30" s="95">
        <f>IFERROR(SUMIFS('01. KE30'!$R:$R,'01. KE30'!$F:$F,'05. BC BH THEO SKU-USD'!$D30,'01. KE30'!$A:$A,'05. BC BH THEO SKU-USD'!BZ$4)/CN30/'02. Tỷ giá'!C$5," -")</f>
        <v>1100.3654673222136</v>
      </c>
      <c r="CA30" s="95">
        <f>IFERROR(SUMIFS('01. KE30'!$R:$R,'01. KE30'!$F:$F,'05. BC BH THEO SKU-USD'!$D30,'01. KE30'!$A:$A,'05. BC BH THEO SKU-USD'!CA$4)/CO30/'02. Tỷ giá'!D$5," -")</f>
        <v>1100.932441427457</v>
      </c>
      <c r="CB30" s="95">
        <f>IFERROR(SUMIFS('01. KE30'!$R:$R,'01. KE30'!$F:$F,'05. BC BH THEO SKU-USD'!$D30,'01. KE30'!$A:$A,'05. BC BH THEO SKU-USD'!CB$4)/CP30/'02. Tỷ giá'!E$5," -")</f>
        <v>1078.975159258086</v>
      </c>
      <c r="CC30" s="95">
        <f>IFERROR(SUMIFS('01. KE30'!$R:$R,'01. KE30'!$F:$F,'05. BC BH THEO SKU-USD'!$D30,'01. KE30'!$A:$A,'05. BC BH THEO SKU-USD'!CC$4)/CQ30/'02. Tỷ giá'!F$5," -")</f>
        <v>1062.540202138488</v>
      </c>
      <c r="CD30" s="95">
        <f>IFERROR(SUMIFS('01. KE30'!$R:$R,'01. KE30'!$F:$F,'05. BC BH THEO SKU-USD'!$D30,'01. KE30'!$A:$A,'05. BC BH THEO SKU-USD'!CD$4)/CR30/'02. Tỷ giá'!G$5," -")</f>
        <v>1056.031418521256</v>
      </c>
      <c r="CE30" s="95">
        <f>IFERROR(SUMIFS('01. KE30'!$R:$R,'01. KE30'!$F:$F,'05. BC BH THEO SKU-USD'!$D30,'01. KE30'!$A:$A,'05. BC BH THEO SKU-USD'!CE$4)/CS30/'02. Tỷ giá'!H$5," -")</f>
        <v>1049.2220846932005</v>
      </c>
      <c r="CF30" s="95">
        <f>IFERROR(SUMIFS('01. KE30'!$R:$R,'01. KE30'!$F:$F,'05. BC BH THEO SKU-USD'!$D30,'01. KE30'!$A:$A,'05. BC BH THEO SKU-USD'!CF$4)/CT30/'02. Tỷ giá'!I$5," -")</f>
        <v>1035.5712826956224</v>
      </c>
      <c r="CG30" s="95">
        <f>IFERROR(SUMIFS('01. KE30'!$R:$R,'01. KE30'!$F:$F,'05. BC BH THEO SKU-USD'!$D30,'01. KE30'!$A:$A,'05. BC BH THEO SKU-USD'!CG$4)/CU30/'02. Tỷ giá'!J$5," -")</f>
        <v>1031.0484569739203</v>
      </c>
      <c r="CH30" s="95" t="str">
        <f>IFERROR(SUMIFS('01. KE30'!$R:$R,'01. KE30'!$F:$F,'05. BC BH THEO SKU-USD'!$D30,'01. KE30'!$A:$A,'05. BC BH THEO SKU-USD'!CH$4)/CV30/'02. Tỷ giá'!K$5," -")</f>
        <v xml:space="preserve"> -</v>
      </c>
      <c r="CI30" s="95" t="str">
        <f>IFERROR(SUMIFS('01. KE30'!$R:$R,'01. KE30'!$F:$F,'05. BC BH THEO SKU-USD'!$D30,'01. KE30'!$A:$A,'05. BC BH THEO SKU-USD'!CI$4)/CW30/'02. Tỷ giá'!L$5," -")</f>
        <v xml:space="preserve"> -</v>
      </c>
      <c r="CJ30" s="95" t="str">
        <f>IFERROR(SUMIFS('01. KE30'!$R:$R,'01. KE30'!$F:$F,'05. BC BH THEO SKU-USD'!$D30,'01. KE30'!$A:$A,'05. BC BH THEO SKU-USD'!CJ$4)/CX30/'02. Tỷ giá'!M$5," -")</f>
        <v xml:space="preserve"> -</v>
      </c>
      <c r="CL30" s="112">
        <f t="shared" ref="CL30:CL58" si="281">SUM(CM30:CX30)</f>
        <v>962.30000000000007</v>
      </c>
      <c r="CM30" s="114">
        <f>SUMIFS('01. KE30'!$I:$I,'01. KE30'!$F:$F,'05. BC BH THEO SKU-USD'!$D30,'01. KE30'!$A:$A,'05. BC BH THEO SKU-USD'!CM$4)/1000</f>
        <v>104.35</v>
      </c>
      <c r="CN30" s="114">
        <f>SUMIFS('01. KE30'!$I:$I,'01. KE30'!$F:$F,'05. BC BH THEO SKU-USD'!$D30,'01. KE30'!$A:$A,'05. BC BH THEO SKU-USD'!CN$4)/1000</f>
        <v>104.5</v>
      </c>
      <c r="CO30" s="114">
        <f>SUMIFS('01. KE30'!$I:$I,'01. KE30'!$F:$F,'05. BC BH THEO SKU-USD'!$D30,'01. KE30'!$A:$A,'05. BC BH THEO SKU-USD'!CO$4)/1000</f>
        <v>122.375</v>
      </c>
      <c r="CP30" s="114">
        <f>SUMIFS('01. KE30'!$I:$I,'01. KE30'!$F:$F,'05. BC BH THEO SKU-USD'!$D30,'01. KE30'!$A:$A,'05. BC BH THEO SKU-USD'!CP$4)/1000</f>
        <v>46.75</v>
      </c>
      <c r="CQ30" s="114">
        <f>SUMIFS('01. KE30'!$I:$I,'01. KE30'!$F:$F,'05. BC BH THEO SKU-USD'!$D30,'01. KE30'!$A:$A,'05. BC BH THEO SKU-USD'!CQ$4)/1000</f>
        <v>111.35</v>
      </c>
      <c r="CR30" s="114">
        <f>SUMIFS('01. KE30'!$I:$I,'01. KE30'!$F:$F,'05. BC BH THEO SKU-USD'!$D30,'01. KE30'!$A:$A,'05. BC BH THEO SKU-USD'!CR$4)/1000</f>
        <v>112.75</v>
      </c>
      <c r="CS30" s="114">
        <f>SUMIFS('01. KE30'!$I:$I,'01. KE30'!$F:$F,'05. BC BH THEO SKU-USD'!$D30,'01. KE30'!$A:$A,'05. BC BH THEO SKU-USD'!CS$4)/1000</f>
        <v>134.75</v>
      </c>
      <c r="CT30" s="114">
        <f>SUMIFS('01. KE30'!$I:$I,'01. KE30'!$F:$F,'05. BC BH THEO SKU-USD'!$D30,'01. KE30'!$A:$A,'05. BC BH THEO SKU-USD'!CT$4)/1000</f>
        <v>112.72499999999999</v>
      </c>
      <c r="CU30" s="114">
        <f>SUMIFS('01. KE30'!$I:$I,'01. KE30'!$F:$F,'05. BC BH THEO SKU-USD'!$D30,'01. KE30'!$A:$A,'05. BC BH THEO SKU-USD'!CU$4)/1000</f>
        <v>112.75</v>
      </c>
      <c r="CV30" s="114">
        <f>SUMIFS('01. KE30'!$I:$I,'01. KE30'!$F:$F,'05. BC BH THEO SKU-USD'!$D30,'01. KE30'!$A:$A,'05. BC BH THEO SKU-USD'!CV$4)/1000</f>
        <v>0</v>
      </c>
      <c r="CW30" s="114">
        <f>SUMIFS('01. KE30'!$I:$I,'01. KE30'!$F:$F,'05. BC BH THEO SKU-USD'!$D30,'01. KE30'!$A:$A,'05. BC BH THEO SKU-USD'!CW$4)/1000</f>
        <v>0</v>
      </c>
      <c r="CX30" s="114">
        <f>SUMIFS('01. KE30'!$I:$I,'01. KE30'!$F:$F,'05. BC BH THEO SKU-USD'!$D30,'01. KE30'!$A:$A,'05. BC BH THEO SKU-USD'!CX$4)/1000</f>
        <v>0</v>
      </c>
      <c r="CZ30" s="112">
        <f t="shared" ref="CZ30:CZ38" si="282">SUM(DA30:DL30)</f>
        <v>1328889.1225752484</v>
      </c>
      <c r="DA30" s="54">
        <f t="shared" ref="DA30:DA39" si="283">IFERROR(G30*CM30," -")</f>
        <v>148617.21798474508</v>
      </c>
      <c r="DB30" s="54">
        <f t="shared" ref="DB30:DB39" si="284">IFERROR(H30*CN30," -")</f>
        <v>147167.78259157148</v>
      </c>
      <c r="DC30" s="54">
        <f t="shared" ref="DC30:DC39" si="285">IFERROR(I30*CO30," -")</f>
        <v>172191.14173228346</v>
      </c>
      <c r="DD30" s="54">
        <f t="shared" ref="DD30:DD39" si="286">IFERROR(J30*CP30," -")</f>
        <v>64340.4181184669</v>
      </c>
      <c r="DE30" s="54">
        <f t="shared" ref="DE30:DE39" si="287">IFERROR(K30*CQ30," -")</f>
        <v>149952.61020881671</v>
      </c>
      <c r="DF30" s="54">
        <f t="shared" ref="DF30:DF39" si="288">IFERROR(L30*CR30," -")</f>
        <v>151398.95833333334</v>
      </c>
      <c r="DG30" s="54">
        <f t="shared" ref="DG30:DG39" si="289">IFERROR(M30*CS30," -")</f>
        <v>184305.65923933923</v>
      </c>
      <c r="DH30" s="54">
        <f t="shared" ref="DH30:DH39" si="290">IFERROR(N30*CT30," -")</f>
        <v>155647.74465240643</v>
      </c>
      <c r="DI30" s="54">
        <f t="shared" ref="DI30:DI39" si="291">IFERROR(O30*CU30," -")</f>
        <v>155267.58971428568</v>
      </c>
      <c r="DJ30" s="54" t="str">
        <f t="shared" ref="DJ30:DJ39" si="292">IFERROR(P30*CV30," -")</f>
        <v xml:space="preserve"> -</v>
      </c>
      <c r="DK30" s="54" t="str">
        <f t="shared" ref="DK30:DK39" si="293">IFERROR(Q30*CW30," -")</f>
        <v xml:space="preserve"> -</v>
      </c>
      <c r="DL30" s="54" t="str">
        <f t="shared" ref="DL30:DL39" si="294">IFERROR(R30*CX30," -")</f>
        <v xml:space="preserve"> -</v>
      </c>
      <c r="DN30" s="112">
        <f t="shared" si="64"/>
        <v>291457.14538172726</v>
      </c>
      <c r="DO30" s="114">
        <f>IFERROR(SUMIFS('01. KE30'!$X:$X,'01. KE30'!$F:$F,'05. BC BH THEO SKU-USD'!$D30,'01. KE30'!$A:$A,'05. BC BH THEO SKU-USD'!DO$4)-SUMIFS('01. KE30'!$AA:$AA,'01. KE30'!$F:$F,'05. BC BH THEO SKU-USD'!$D30,'01. KE30'!$A:$A,'05. BC BH THEO SKU-USD'!DO$4),"-")</f>
        <v>30274.88097149742</v>
      </c>
      <c r="DP30" s="114">
        <f>IFERROR(SUMIFS('01. KE30'!$X:$X,'01. KE30'!$F:$F,'05. BC BH THEO SKU-USD'!$D30,'01. KE30'!$A:$A,'05. BC BH THEO SKU-USD'!DP$4)-SUMIFS('01. KE30'!$AA:$AA,'01. KE30'!$F:$F,'05. BC BH THEO SKU-USD'!$D30,'01. KE30'!$A:$A,'05. BC BH THEO SKU-USD'!DP$4),"-")</f>
        <v>31431.9945064403</v>
      </c>
      <c r="DQ30" s="114">
        <f>IFERROR(SUMIFS('01. KE30'!$X:$X,'01. KE30'!$F:$F,'05. BC BH THEO SKU-USD'!$D30,'01. KE30'!$A:$A,'05. BC BH THEO SKU-USD'!DQ$4)-SUMIFS('01. KE30'!$AA:$AA,'01. KE30'!$F:$F,'05. BC BH THEO SKU-USD'!$D30,'01. KE30'!$A:$A,'05. BC BH THEO SKU-USD'!DQ$4),"-")</f>
        <v>36699.004903762048</v>
      </c>
      <c r="DR30" s="114">
        <f>IFERROR(SUMIFS('01. KE30'!$X:$X,'01. KE30'!$F:$F,'05. BC BH THEO SKU-USD'!$D30,'01. KE30'!$A:$A,'05. BC BH THEO SKU-USD'!DR$4)-SUMIFS('01. KE30'!$AA:$AA,'01. KE30'!$F:$F,'05. BC BH THEO SKU-USD'!$D30,'01. KE30'!$A:$A,'05. BC BH THEO SKU-USD'!DR$4),"-")</f>
        <v>13145.544117520541</v>
      </c>
      <c r="DS30" s="114">
        <f>IFERROR(SUMIFS('01. KE30'!$X:$X,'01. KE30'!$F:$F,'05. BC BH THEO SKU-USD'!$D30,'01. KE30'!$A:$A,'05. BC BH THEO SKU-USD'!DS$4)-SUMIFS('01. KE30'!$AA:$AA,'01. KE30'!$F:$F,'05. BC BH THEO SKU-USD'!$D30,'01. KE30'!$A:$A,'05. BC BH THEO SKU-USD'!DS$4),"-")</f>
        <v>30947.715762940061</v>
      </c>
      <c r="DT30" s="114">
        <f>IFERROR(SUMIFS('01. KE30'!$X:$X,'01. KE30'!$F:$F,'05. BC BH THEO SKU-USD'!$D30,'01. KE30'!$A:$A,'05. BC BH THEO SKU-USD'!DT$4)-SUMIFS('01. KE30'!$AA:$AA,'01. KE30'!$F:$F,'05. BC BH THEO SKU-USD'!$D30,'01. KE30'!$A:$A,'05. BC BH THEO SKU-USD'!DT$4),"-")</f>
        <v>31649.117083904886</v>
      </c>
      <c r="DU30" s="114">
        <f>IFERROR(SUMIFS('01. KE30'!$X:$X,'01. KE30'!$F:$F,'05. BC BH THEO SKU-USD'!$D30,'01. KE30'!$A:$A,'05. BC BH THEO SKU-USD'!DU$4)-SUMIFS('01. KE30'!$AA:$AA,'01. KE30'!$F:$F,'05. BC BH THEO SKU-USD'!$D30,'01. KE30'!$A:$A,'05. BC BH THEO SKU-USD'!DU$4),"-")</f>
        <v>41734.895508032059</v>
      </c>
      <c r="DV30" s="114">
        <f>IFERROR(SUMIFS('01. KE30'!$X:$X,'01. KE30'!$F:$F,'05. BC BH THEO SKU-USD'!$D30,'01. KE30'!$A:$A,'05. BC BH THEO SKU-USD'!DV$4)-SUMIFS('01. KE30'!$AA:$AA,'01. KE30'!$F:$F,'05. BC BH THEO SKU-USD'!$D30,'01. KE30'!$A:$A,'05. BC BH THEO SKU-USD'!DV$4),"-")</f>
        <v>37742.301522225054</v>
      </c>
      <c r="DW30" s="114">
        <f>IFERROR(SUMIFS('01. KE30'!$X:$X,'01. KE30'!$F:$F,'05. BC BH THEO SKU-USD'!$D30,'01. KE30'!$A:$A,'05. BC BH THEO SKU-USD'!DW$4)-SUMIFS('01. KE30'!$AA:$AA,'01. KE30'!$F:$F,'05. BC BH THEO SKU-USD'!$D30,'01. KE30'!$A:$A,'05. BC BH THEO SKU-USD'!DW$4),"-")</f>
        <v>37831.691005404879</v>
      </c>
      <c r="DX30" s="114">
        <f>IFERROR(SUMIFS('01. KE30'!$X:$X,'01. KE30'!$F:$F,'05. BC BH THEO SKU-USD'!$D30,'01. KE30'!$A:$A,'05. BC BH THEO SKU-USD'!DX$4)-SUMIFS('01. KE30'!$AA:$AA,'01. KE30'!$F:$F,'05. BC BH THEO SKU-USD'!$D30,'01. KE30'!$A:$A,'05. BC BH THEO SKU-USD'!DX$4),"-")</f>
        <v>0</v>
      </c>
      <c r="DY30" s="114">
        <f>IFERROR(SUMIFS('01. KE30'!$X:$X,'01. KE30'!$F:$F,'05. BC BH THEO SKU-USD'!$D30,'01. KE30'!$A:$A,'05. BC BH THEO SKU-USD'!DY$4)-SUMIFS('01. KE30'!$AA:$AA,'01. KE30'!$F:$F,'05. BC BH THEO SKU-USD'!$D30,'01. KE30'!$A:$A,'05. BC BH THEO SKU-USD'!DY$4),"-")</f>
        <v>0</v>
      </c>
      <c r="DZ30" s="114">
        <f>IFERROR(SUMIFS('01. KE30'!$X:$X,'01. KE30'!$F:$F,'05. BC BH THEO SKU-USD'!$D30,'01. KE30'!$A:$A,'05. BC BH THEO SKU-USD'!DZ$4)-SUMIFS('01. KE30'!$AA:$AA,'01. KE30'!$F:$F,'05. BC BH THEO SKU-USD'!$D30,'01. KE30'!$A:$A,'05. BC BH THEO SKU-USD'!DZ$4),"-")</f>
        <v>0</v>
      </c>
      <c r="EB30" s="571">
        <f t="shared" si="252"/>
        <v>0.21932390026408957</v>
      </c>
      <c r="EC30" s="572">
        <f t="shared" si="253"/>
        <v>0.20371045415885128</v>
      </c>
      <c r="ED30" s="572">
        <f t="shared" si="19"/>
        <v>0.21357931710958902</v>
      </c>
      <c r="EE30" s="572">
        <f t="shared" si="20"/>
        <v>0.21312945912641854</v>
      </c>
      <c r="EF30" s="572">
        <f t="shared" si="21"/>
        <v>0.20431238251073044</v>
      </c>
      <c r="EG30" s="572">
        <f t="shared" si="22"/>
        <v>0.20638330816545158</v>
      </c>
      <c r="EH30" s="572">
        <f t="shared" si="23"/>
        <v>0.20904448374224208</v>
      </c>
      <c r="EI30" s="572">
        <f t="shared" si="24"/>
        <v>0.22644391756758345</v>
      </c>
      <c r="EJ30" s="572">
        <f t="shared" si="25"/>
        <v>0.24248537366546113</v>
      </c>
      <c r="EK30" s="572">
        <f t="shared" si="26"/>
        <v>0.24365478381560851</v>
      </c>
      <c r="EL30" s="572">
        <f t="shared" si="27"/>
        <v>0</v>
      </c>
      <c r="EM30" s="572">
        <f t="shared" si="28"/>
        <v>0</v>
      </c>
      <c r="EN30" s="572">
        <f t="shared" si="29"/>
        <v>0</v>
      </c>
    </row>
    <row r="31" spans="1:144" ht="15.5" outlineLevel="1" x14ac:dyDescent="0.35">
      <c r="A31" s="10">
        <f>A30+1</f>
        <v>2</v>
      </c>
      <c r="B31" s="27" t="s">
        <v>265</v>
      </c>
      <c r="C31" s="246" t="str">
        <f>VLOOKUP(D31,'Quy đổi'!A:C,3,0)</f>
        <v>PCF01</v>
      </c>
      <c r="D31" s="459" t="s">
        <v>80</v>
      </c>
      <c r="E31" s="7" t="s">
        <v>79</v>
      </c>
      <c r="F31" s="92">
        <f t="shared" ref="F31:F58" si="295">IFERROR(AVERAGE(G31:R31),"-")</f>
        <v>1369.9345610737676</v>
      </c>
      <c r="G31" s="106">
        <f>IFERROR(SUMIFS('01. KE30'!$K:$K,'01. KE30'!$F:$F,'05. BC BH THEO SKU-USD'!$D31,'01. KE30'!$A:$A,'05. BC BH THEO SKU-USD'!G$4)/'05. BC BH THEO SKU-USD'!CM31/'02. Tỷ giá'!B$5,"-")</f>
        <v>1408.8317944600562</v>
      </c>
      <c r="H31" s="106">
        <f>IFERROR(SUMIFS('01. KE30'!$K:$K,'01. KE30'!$F:$F,'05. BC BH THEO SKU-USD'!$D31,'01. KE30'!$A:$A,'05. BC BH THEO SKU-USD'!H$4)/'05. BC BH THEO SKU-USD'!CN31/'02. Tỷ giá'!C$5,"-")</f>
        <v>1400.5513981882632</v>
      </c>
      <c r="I31" s="106">
        <f>IFERROR(SUMIFS('01. KE30'!$K:$K,'01. KE30'!$F:$F,'05. BC BH THEO SKU-USD'!$D31,'01. KE30'!$A:$A,'05. BC BH THEO SKU-USD'!I$4)/'05. BC BH THEO SKU-USD'!CO31/'02. Tỷ giá'!D$5,"-")</f>
        <v>1400</v>
      </c>
      <c r="J31" s="106">
        <f>IFERROR(SUMIFS('01. KE30'!$K:$K,'01. KE30'!$F:$F,'05. BC BH THEO SKU-USD'!$D31,'01. KE30'!$A:$A,'05. BC BH THEO SKU-USD'!J$4)/'05. BC BH THEO SKU-USD'!CP31/'02. Tỷ giá'!E$5,"-")</f>
        <v>1340.5923344947735</v>
      </c>
      <c r="K31" s="106">
        <f>IFERROR(SUMIFS('01. KE30'!$K:$K,'01. KE30'!$F:$F,'05. BC BH THEO SKU-USD'!$D31,'01. KE30'!$A:$A,'05. BC BH THEO SKU-USD'!K$4)/'05. BC BH THEO SKU-USD'!CQ31/'02. Tỷ giá'!F$5,"-")</f>
        <v>1339.0371229698376</v>
      </c>
      <c r="L31" s="106">
        <f>IFERROR(SUMIFS('01. KE30'!$K:$K,'01. KE30'!$F:$F,'05. BC BH THEO SKU-USD'!$D31,'01. KE30'!$A:$A,'05. BC BH THEO SKU-USD'!L$4)/'05. BC BH THEO SKU-USD'!CR31/'02. Tỷ giá'!G$5,"-")</f>
        <v>1335.9375</v>
      </c>
      <c r="M31" s="106" t="str">
        <f>IFERROR(SUMIFS('01. KE30'!$K:$K,'01. KE30'!$F:$F,'05. BC BH THEO SKU-USD'!$D31,'01. KE30'!$A:$A,'05. BC BH THEO SKU-USD'!M$4)/'05. BC BH THEO SKU-USD'!CS31/'02. Tỷ giá'!H$5,"-")</f>
        <v>-</v>
      </c>
      <c r="N31" s="106">
        <f>IFERROR(SUMIFS('01. KE30'!$K:$K,'01. KE30'!$F:$F,'05. BC BH THEO SKU-USD'!$D31,'01. KE30'!$A:$A,'05. BC BH THEO SKU-USD'!N$4)/'05. BC BH THEO SKU-USD'!CT31/'02. Tỷ giá'!I$5,"-")</f>
        <v>1369.0886172650878</v>
      </c>
      <c r="O31" s="106">
        <f>IFERROR(SUMIFS('01. KE30'!$K:$K,'01. KE30'!$F:$F,'05. BC BH THEO SKU-USD'!$D31,'01. KE30'!$A:$A,'05. BC BH THEO SKU-USD'!O$4)/'05. BC BH THEO SKU-USD'!CU31/'02. Tỷ giá'!J$5,"-")</f>
        <v>1365.4377212121212</v>
      </c>
      <c r="P31" s="106" t="str">
        <f>IFERROR(SUMIFS('01. KE30'!$K:$K,'01. KE30'!$F:$F,'05. BC BH THEO SKU-USD'!$D31,'01. KE30'!$A:$A,'05. BC BH THEO SKU-USD'!P$4)/'05. BC BH THEO SKU-USD'!CV31/'02. Tỷ giá'!K$5,"-")</f>
        <v>-</v>
      </c>
      <c r="Q31" s="106" t="str">
        <f>IFERROR(SUMIFS('01. KE30'!$K:$K,'01. KE30'!$F:$F,'05. BC BH THEO SKU-USD'!$D31,'01. KE30'!$A:$A,'05. BC BH THEO SKU-USD'!Q$4)/'05. BC BH THEO SKU-USD'!CW31/'02. Tỷ giá'!L$5,"-")</f>
        <v>-</v>
      </c>
      <c r="R31" s="106" t="str">
        <f>IFERROR(SUMIFS('01. KE30'!$K:$K,'01. KE30'!$F:$F,'05. BC BH THEO SKU-USD'!$D31,'01. KE30'!$A:$A,'05. BC BH THEO SKU-USD'!R$4)/'05. BC BH THEO SKU-USD'!CX31/'02. Tỷ giá'!M$5,"-")</f>
        <v>-</v>
      </c>
      <c r="T31" s="92">
        <f t="shared" si="35"/>
        <v>1371.3139680086285</v>
      </c>
      <c r="U31" s="147">
        <f>IFERROR(SUMIFS('01. KE30'!$O:$O,'01. KE30'!$F:$F,'05. BC BH THEO SKU-USD'!$D31,'01. KE30'!$A:$A,'05. BC BH THEO SKU-USD'!G$4)/'05. BC BH THEO SKU-USD'!CM31/'02. Tỷ giá'!B$5,"-")</f>
        <v>1408.8317944600562</v>
      </c>
      <c r="V31" s="147">
        <f>IFERROR(SUMIFS('01. KE30'!$O:$O,'01. KE30'!$F:$F,'05. BC BH THEO SKU-USD'!$D31,'01. KE30'!$A:$A,'05. BC BH THEO SKU-USD'!H$4)/'05. BC BH THEO SKU-USD'!CN31/'02. Tỷ giá'!C$5,"-")</f>
        <v>1400.5513981882632</v>
      </c>
      <c r="W31" s="147">
        <f>IFERROR(SUMIFS('01. KE30'!$O:$O,'01. KE30'!$F:$F,'05. BC BH THEO SKU-USD'!$D31,'01. KE30'!$A:$A,'05. BC BH THEO SKU-USD'!I$4)/'05. BC BH THEO SKU-USD'!CO31/'02. Tỷ giá'!D$5,"-")</f>
        <v>1400</v>
      </c>
      <c r="X31" s="147">
        <f>IFERROR(SUMIFS('01. KE30'!$O:$O,'01. KE30'!$F:$F,'05. BC BH THEO SKU-USD'!$D31,'01. KE30'!$A:$A,'05. BC BH THEO SKU-USD'!J$4)/'05. BC BH THEO SKU-USD'!CP31/'02. Tỷ giá'!E$5,"-")</f>
        <v>1340.5923344947735</v>
      </c>
      <c r="Y31" s="147">
        <f>IFERROR(SUMIFS('01. KE30'!$O:$O,'01. KE30'!$F:$F,'05. BC BH THEO SKU-USD'!$D31,'01. KE30'!$A:$A,'05. BC BH THEO SKU-USD'!K$4)/'05. BC BH THEO SKU-USD'!CQ31/'02. Tỷ giá'!F$5,"-")</f>
        <v>1339.0371229698376</v>
      </c>
      <c r="Z31" s="147">
        <f>IFERROR(SUMIFS('01. KE30'!$O:$O,'01. KE30'!$F:$F,'05. BC BH THEO SKU-USD'!$D31,'01. KE30'!$A:$A,'05. BC BH THEO SKU-USD'!L$4)/'05. BC BH THEO SKU-USD'!CR31/'02. Tỷ giá'!G$5,"-")</f>
        <v>1335.9375</v>
      </c>
      <c r="AA31" s="147" t="str">
        <f>IFERROR(SUMIFS('01. KE30'!$O:$O,'01. KE30'!$F:$F,'05. BC BH THEO SKU-USD'!$D31,'01. KE30'!$A:$A,'05. BC BH THEO SKU-USD'!M$4)/'05. BC BH THEO SKU-USD'!CS31/'02. Tỷ giá'!H$5,"-")</f>
        <v>-</v>
      </c>
      <c r="AB31" s="147">
        <f>IFERROR(SUMIFS('01. KE30'!$O:$O,'01. KE30'!$F:$F,'05. BC BH THEO SKU-USD'!$D31,'01. KE30'!$A:$A,'05. BC BH THEO SKU-USD'!N$4)/'05. BC BH THEO SKU-USD'!CT31/'02. Tỷ giá'!I$5,"-")</f>
        <v>1369.0886172650878</v>
      </c>
      <c r="AC31" s="147">
        <f>IFERROR(SUMIFS('01. KE30'!$O:$O,'01. KE30'!$F:$F,'05. BC BH THEO SKU-USD'!$D31,'01. KE30'!$A:$A,'05. BC BH THEO SKU-USD'!O$4)/'05. BC BH THEO SKU-USD'!CU31/'02. Tỷ giá'!J$5,"-")</f>
        <v>1365.4377212121212</v>
      </c>
      <c r="AD31" s="147" t="str">
        <f>IFERROR(SUMIFS('01. KE30'!$O:$O,'01. KE30'!$F:$F,'05. BC BH THEO SKU-USD'!$D31,'01. KE30'!$A:$A,'05. BC BH THEO SKU-USD'!P$4)/'05. BC BH THEO SKU-USD'!CV31/'02. Tỷ giá'!K$5,"-")</f>
        <v>-</v>
      </c>
      <c r="AE31" s="147" t="str">
        <f>IFERROR(SUMIFS('01. KE30'!$O:$O,'01. KE30'!$F:$F,'05. BC BH THEO SKU-USD'!$D31,'01. KE30'!$A:$A,'05. BC BH THEO SKU-USD'!Q$4)/'05. BC BH THEO SKU-USD'!CW31/'02. Tỷ giá'!L$5,"-")</f>
        <v>-</v>
      </c>
      <c r="AF31" s="147" t="str">
        <f>IFERROR(SUMIFS('01. KE30'!$O:$O,'01. KE30'!$F:$F,'05. BC BH THEO SKU-USD'!$D31,'01. KE30'!$A:$A,'05. BC BH THEO SKU-USD'!R$4)/'05. BC BH THEO SKU-USD'!CX31/'02. Tỷ giá'!M$5,"-")</f>
        <v>-</v>
      </c>
      <c r="AH31" s="55">
        <f t="shared" ref="AH31:AH58" si="296">IFERROR(AVERAGE(AI31:AT31),"-")</f>
        <v>1371.1111111111111</v>
      </c>
      <c r="AI31" s="4">
        <v>1400</v>
      </c>
      <c r="AJ31" s="4">
        <v>1400</v>
      </c>
      <c r="AK31" s="4">
        <f t="shared" ref="AK31:AK34" si="297">AJ31-50</f>
        <v>1350</v>
      </c>
      <c r="AL31" s="4">
        <v>1350</v>
      </c>
      <c r="AM31" s="4">
        <v>1350</v>
      </c>
      <c r="AN31" s="4">
        <v>1350</v>
      </c>
      <c r="AO31" s="4">
        <v>1380</v>
      </c>
      <c r="AP31" s="4">
        <v>1380</v>
      </c>
      <c r="AQ31" s="4">
        <v>1380</v>
      </c>
      <c r="AR31" s="4"/>
      <c r="AS31" s="4"/>
      <c r="AT31" s="4"/>
      <c r="AV31" s="54">
        <f t="shared" si="58"/>
        <v>0.2028568975174494</v>
      </c>
      <c r="AW31" s="95">
        <f t="shared" si="58"/>
        <v>8.8317944600562441</v>
      </c>
      <c r="AX31" s="95">
        <f t="shared" si="58"/>
        <v>0.55139818826319242</v>
      </c>
      <c r="AY31" s="95">
        <f t="shared" si="58"/>
        <v>50</v>
      </c>
      <c r="AZ31" s="95">
        <f t="shared" si="58"/>
        <v>-9.4076655052265323</v>
      </c>
      <c r="BA31" s="95">
        <f t="shared" si="58"/>
        <v>-10.962877030162417</v>
      </c>
      <c r="BB31" s="95">
        <f t="shared" si="58"/>
        <v>-14.0625</v>
      </c>
      <c r="BC31" s="95" t="str">
        <f t="shared" si="58"/>
        <v>-</v>
      </c>
      <c r="BD31" s="95">
        <f t="shared" si="58"/>
        <v>-10.911382734912195</v>
      </c>
      <c r="BE31" s="95">
        <f t="shared" si="58"/>
        <v>-14.562278787878768</v>
      </c>
      <c r="BF31" s="95" t="str">
        <f t="shared" si="58"/>
        <v>-</v>
      </c>
      <c r="BG31" s="95" t="str">
        <f t="shared" si="58"/>
        <v>-</v>
      </c>
      <c r="BH31" s="95" t="str">
        <f t="shared" si="58"/>
        <v>-</v>
      </c>
      <c r="BJ31" s="143">
        <f t="shared" si="65"/>
        <v>1.4795073562860978E-4</v>
      </c>
      <c r="BK31" s="143">
        <f t="shared" si="65"/>
        <v>6.3084246143258887E-3</v>
      </c>
      <c r="BL31" s="143">
        <f t="shared" si="65"/>
        <v>3.9385584875942318E-4</v>
      </c>
      <c r="BM31" s="143">
        <f t="shared" si="66"/>
        <v>3.7037037037037035E-2</v>
      </c>
      <c r="BN31" s="143">
        <f t="shared" si="66"/>
        <v>-6.9686411149826166E-3</v>
      </c>
      <c r="BO31" s="143">
        <f t="shared" si="66"/>
        <v>-8.1206496519721609E-3</v>
      </c>
      <c r="BP31" s="143">
        <f t="shared" si="66"/>
        <v>-1.0416666666666666E-2</v>
      </c>
      <c r="BQ31" s="143" t="str">
        <f t="shared" si="66"/>
        <v>-</v>
      </c>
      <c r="BR31" s="143">
        <f t="shared" si="66"/>
        <v>-7.9067990832697062E-3</v>
      </c>
      <c r="BS31" s="143">
        <f t="shared" si="66"/>
        <v>-1.0552375933245484E-2</v>
      </c>
      <c r="BT31" s="143" t="str">
        <f t="shared" si="68"/>
        <v>-</v>
      </c>
      <c r="BU31" s="143" t="str">
        <f t="shared" si="68"/>
        <v>-</v>
      </c>
      <c r="BV31" s="143" t="str">
        <f t="shared" si="68"/>
        <v>-</v>
      </c>
      <c r="BX31" s="112">
        <f t="shared" si="280"/>
        <v>1092.1941797988095</v>
      </c>
      <c r="BY31" s="95">
        <f>IFERROR(SUMIFS('01. KE30'!$R:$R,'01. KE30'!$F:$F,'05. BC BH THEO SKU-USD'!$D31,'01. KE30'!$A:$A,'05. BC BH THEO SKU-USD'!BY$4)/CM31/'02. Tỷ giá'!B$5," -")</f>
        <v>1101.8364366264004</v>
      </c>
      <c r="BZ31" s="95">
        <f>IFERROR(SUMIFS('01. KE30'!$R:$R,'01. KE30'!$F:$F,'05. BC BH THEO SKU-USD'!$D31,'01. KE30'!$A:$A,'05. BC BH THEO SKU-USD'!BZ$4)/CN31/'02. Tỷ giá'!C$5," -")</f>
        <v>1110.728421622686</v>
      </c>
      <c r="CA31" s="95">
        <f>IFERROR(SUMIFS('01. KE30'!$R:$R,'01. KE30'!$F:$F,'05. BC BH THEO SKU-USD'!$D31,'01. KE30'!$A:$A,'05. BC BH THEO SKU-USD'!CA$4)/CO31/'02. Tỷ giá'!D$5," -")</f>
        <v>1111.9680100214746</v>
      </c>
      <c r="CB31" s="95">
        <f>IFERROR(SUMIFS('01. KE30'!$R:$R,'01. KE30'!$F:$F,'05. BC BH THEO SKU-USD'!$D31,'01. KE30'!$A:$A,'05. BC BH THEO SKU-USD'!CB$4)/CP31/'02. Tỷ giá'!E$5," -")</f>
        <v>1093.8368352514694</v>
      </c>
      <c r="CC31" s="95">
        <f>IFERROR(SUMIFS('01. KE30'!$R:$R,'01. KE30'!$F:$F,'05. BC BH THEO SKU-USD'!$D31,'01. KE30'!$A:$A,'05. BC BH THEO SKU-USD'!CC$4)/CQ31/'02. Tỷ giá'!F$5," -")</f>
        <v>1091.1095479153485</v>
      </c>
      <c r="CD31" s="95">
        <f>IFERROR(SUMIFS('01. KE30'!$R:$R,'01. KE30'!$F:$F,'05. BC BH THEO SKU-USD'!$D31,'01. KE30'!$A:$A,'05. BC BH THEO SKU-USD'!CD$4)/CR31/'02. Tỷ giá'!G$5," -")</f>
        <v>1087.2016764870932</v>
      </c>
      <c r="CE31" s="95" t="str">
        <f>IFERROR(SUMIFS('01. KE30'!$R:$R,'01. KE30'!$F:$F,'05. BC BH THEO SKU-USD'!$D31,'01. KE30'!$A:$A,'05. BC BH THEO SKU-USD'!CE$4)/CS31/'02. Tỷ giá'!H$5," -")</f>
        <v xml:space="preserve"> -</v>
      </c>
      <c r="CF31" s="95">
        <f>IFERROR(SUMIFS('01. KE30'!$R:$R,'01. KE30'!$F:$F,'05. BC BH THEO SKU-USD'!$D31,'01. KE30'!$A:$A,'05. BC BH THEO SKU-USD'!CF$4)/CT31/'02. Tỷ giá'!I$5," -")</f>
        <v>1070.9115546218488</v>
      </c>
      <c r="CG31" s="95">
        <f>IFERROR(SUMIFS('01. KE30'!$R:$R,'01. KE30'!$F:$F,'05. BC BH THEO SKU-USD'!$D31,'01. KE30'!$A:$A,'05. BC BH THEO SKU-USD'!CG$4)/CU31/'02. Tỷ giá'!J$5," -")</f>
        <v>1069.9609558441557</v>
      </c>
      <c r="CH31" s="95" t="str">
        <f>IFERROR(SUMIFS('01. KE30'!$R:$R,'01. KE30'!$F:$F,'05. BC BH THEO SKU-USD'!$D31,'01. KE30'!$A:$A,'05. BC BH THEO SKU-USD'!CH$4)/CV31/'02. Tỷ giá'!K$5," -")</f>
        <v xml:space="preserve"> -</v>
      </c>
      <c r="CI31" s="95" t="str">
        <f>IFERROR(SUMIFS('01. KE30'!$R:$R,'01. KE30'!$F:$F,'05. BC BH THEO SKU-USD'!$D31,'01. KE30'!$A:$A,'05. BC BH THEO SKU-USD'!CI$4)/CW31/'02. Tỷ giá'!L$5," -")</f>
        <v xml:space="preserve"> -</v>
      </c>
      <c r="CJ31" s="95" t="str">
        <f>IFERROR(SUMIFS('01. KE30'!$R:$R,'01. KE30'!$F:$F,'05. BC BH THEO SKU-USD'!$D31,'01. KE30'!$A:$A,'05. BC BH THEO SKU-USD'!CJ$4)/CX31/'02. Tỷ giá'!M$5," -")</f>
        <v xml:space="preserve"> -</v>
      </c>
      <c r="CL31" s="112">
        <f t="shared" si="281"/>
        <v>189</v>
      </c>
      <c r="CM31" s="114">
        <f>SUMIFS('01. KE30'!$I:$I,'01. KE30'!$F:$F,'05. BC BH THEO SKU-USD'!$D31,'01. KE30'!$A:$A,'05. BC BH THEO SKU-USD'!CM$4)/1000</f>
        <v>11</v>
      </c>
      <c r="CN31" s="114">
        <f>SUMIFS('01. KE30'!$I:$I,'01. KE30'!$F:$F,'05. BC BH THEO SKU-USD'!$D31,'01. KE30'!$A:$A,'05. BC BH THEO SKU-USD'!CN$4)/1000</f>
        <v>24</v>
      </c>
      <c r="CO31" s="114">
        <f>SUMIFS('01. KE30'!$I:$I,'01. KE30'!$F:$F,'05. BC BH THEO SKU-USD'!$D31,'01. KE30'!$A:$A,'05. BC BH THEO SKU-USD'!CO$4)/1000</f>
        <v>44</v>
      </c>
      <c r="CP31" s="114">
        <f>SUMIFS('01. KE30'!$I:$I,'01. KE30'!$F:$F,'05. BC BH THEO SKU-USD'!$D31,'01. KE30'!$A:$A,'05. BC BH THEO SKU-USD'!CP$4)/1000</f>
        <v>22</v>
      </c>
      <c r="CQ31" s="114">
        <f>SUMIFS('01. KE30'!$I:$I,'01. KE30'!$F:$F,'05. BC BH THEO SKU-USD'!$D31,'01. KE30'!$A:$A,'05. BC BH THEO SKU-USD'!CQ$4)/1000</f>
        <v>11</v>
      </c>
      <c r="CR31" s="114">
        <f>SUMIFS('01. KE30'!$I:$I,'01. KE30'!$F:$F,'05. BC BH THEO SKU-USD'!$D31,'01. KE30'!$A:$A,'05. BC BH THEO SKU-USD'!CR$4)/1000</f>
        <v>33</v>
      </c>
      <c r="CS31" s="114">
        <f>SUMIFS('01. KE30'!$I:$I,'01. KE30'!$F:$F,'05. BC BH THEO SKU-USD'!$D31,'01. KE30'!$A:$A,'05. BC BH THEO SKU-USD'!CS$4)/1000</f>
        <v>0</v>
      </c>
      <c r="CT31" s="114">
        <f>SUMIFS('01. KE30'!$I:$I,'01. KE30'!$F:$F,'05. BC BH THEO SKU-USD'!$D31,'01. KE30'!$A:$A,'05. BC BH THEO SKU-USD'!CT$4)/1000</f>
        <v>22</v>
      </c>
      <c r="CU31" s="114">
        <f>SUMIFS('01. KE30'!$I:$I,'01. KE30'!$F:$F,'05. BC BH THEO SKU-USD'!$D31,'01. KE30'!$A:$A,'05. BC BH THEO SKU-USD'!CU$4)/1000</f>
        <v>22</v>
      </c>
      <c r="CV31" s="114">
        <f>SUMIFS('01. KE30'!$I:$I,'01. KE30'!$F:$F,'05. BC BH THEO SKU-USD'!$D31,'01. KE30'!$A:$A,'05. BC BH THEO SKU-USD'!CV$4)/1000</f>
        <v>0</v>
      </c>
      <c r="CW31" s="114">
        <f>SUMIFS('01. KE30'!$I:$I,'01. KE30'!$F:$F,'05. BC BH THEO SKU-USD'!$D31,'01. KE30'!$A:$A,'05. BC BH THEO SKU-USD'!CW$4)/1000</f>
        <v>0</v>
      </c>
      <c r="CX31" s="114">
        <f>SUMIFS('01. KE30'!$I:$I,'01. KE30'!$F:$F,'05. BC BH THEO SKU-USD'!$D31,'01. KE30'!$A:$A,'05. BC BH THEO SKU-USD'!CX$4)/1000</f>
        <v>0</v>
      </c>
      <c r="CZ31" s="112">
        <f t="shared" si="282"/>
        <v>259178.33995363078</v>
      </c>
      <c r="DA31" s="54">
        <f t="shared" si="283"/>
        <v>15497.149739060618</v>
      </c>
      <c r="DB31" s="54">
        <f t="shared" si="284"/>
        <v>33613.233556518317</v>
      </c>
      <c r="DC31" s="54">
        <f t="shared" si="285"/>
        <v>61600</v>
      </c>
      <c r="DD31" s="54">
        <f t="shared" si="286"/>
        <v>29493.031358885015</v>
      </c>
      <c r="DE31" s="54">
        <f t="shared" si="287"/>
        <v>14729.408352668213</v>
      </c>
      <c r="DF31" s="54">
        <f t="shared" si="288"/>
        <v>44085.9375</v>
      </c>
      <c r="DG31" s="54" t="str">
        <f t="shared" si="289"/>
        <v xml:space="preserve"> -</v>
      </c>
      <c r="DH31" s="54">
        <f t="shared" si="290"/>
        <v>30119.949579831933</v>
      </c>
      <c r="DI31" s="54">
        <f t="shared" si="291"/>
        <v>30039.629866666666</v>
      </c>
      <c r="DJ31" s="54" t="str">
        <f t="shared" si="292"/>
        <v xml:space="preserve"> -</v>
      </c>
      <c r="DK31" s="54" t="str">
        <f t="shared" si="293"/>
        <v xml:space="preserve"> -</v>
      </c>
      <c r="DL31" s="54" t="str">
        <f t="shared" si="294"/>
        <v xml:space="preserve"> -</v>
      </c>
      <c r="DN31" s="112">
        <f t="shared" si="64"/>
        <v>52430.59863392367</v>
      </c>
      <c r="DO31" s="114">
        <f>IFERROR(SUMIFS('01. KE30'!$X:$X,'01. KE30'!$F:$F,'05. BC BH THEO SKU-USD'!$D31,'01. KE30'!$A:$A,'05. BC BH THEO SKU-USD'!DO$4)-SUMIFS('01. KE30'!$AA:$AA,'01. KE30'!$F:$F,'05. BC BH THEO SKU-USD'!$D31,'01. KE30'!$A:$A,'05. BC BH THEO SKU-USD'!DO$4),"-")</f>
        <v>3376.9489361702126</v>
      </c>
      <c r="DP31" s="114">
        <f>IFERROR(SUMIFS('01. KE30'!$X:$X,'01. KE30'!$F:$F,'05. BC BH THEO SKU-USD'!$D31,'01. KE30'!$A:$A,'05. BC BH THEO SKU-USD'!DP$4)-SUMIFS('01. KE30'!$AA:$AA,'01. KE30'!$F:$F,'05. BC BH THEO SKU-USD'!$D31,'01. KE30'!$A:$A,'05. BC BH THEO SKU-USD'!DP$4),"-")</f>
        <v>6955.7514375738501</v>
      </c>
      <c r="DQ31" s="114">
        <f>IFERROR(SUMIFS('01. KE30'!$X:$X,'01. KE30'!$F:$F,'05. BC BH THEO SKU-USD'!$D31,'01. KE30'!$A:$A,'05. BC BH THEO SKU-USD'!DQ$4)-SUMIFS('01. KE30'!$AA:$AA,'01. KE30'!$F:$F,'05. BC BH THEO SKU-USD'!$D31,'01. KE30'!$A:$A,'05. BC BH THEO SKU-USD'!DQ$4),"-")</f>
        <v>12673.407559055115</v>
      </c>
      <c r="DR31" s="114">
        <f>IFERROR(SUMIFS('01. KE30'!$X:$X,'01. KE30'!$F:$F,'05. BC BH THEO SKU-USD'!$D31,'01. KE30'!$A:$A,'05. BC BH THEO SKU-USD'!DR$4)-SUMIFS('01. KE30'!$AA:$AA,'01. KE30'!$F:$F,'05. BC BH THEO SKU-USD'!$D31,'01. KE30'!$A:$A,'05. BC BH THEO SKU-USD'!DR$4),"-")</f>
        <v>5428.6209833526918</v>
      </c>
      <c r="DS31" s="114">
        <f>IFERROR(SUMIFS('01. KE30'!$X:$X,'01. KE30'!$F:$F,'05. BC BH THEO SKU-USD'!$D31,'01. KE30'!$A:$A,'05. BC BH THEO SKU-USD'!DS$4)-SUMIFS('01. KE30'!$AA:$AA,'01. KE30'!$F:$F,'05. BC BH THEO SKU-USD'!$D31,'01. KE30'!$A:$A,'05. BC BH THEO SKU-USD'!DS$4),"-")</f>
        <v>2727.2033255993811</v>
      </c>
      <c r="DT31" s="114">
        <f>IFERROR(SUMIFS('01. KE30'!$X:$X,'01. KE30'!$F:$F,'05. BC BH THEO SKU-USD'!$D31,'01. KE30'!$A:$A,'05. BC BH THEO SKU-USD'!DT$4)-SUMIFS('01. KE30'!$AA:$AA,'01. KE30'!$F:$F,'05. BC BH THEO SKU-USD'!$D31,'01. KE30'!$A:$A,'05. BC BH THEO SKU-USD'!DT$4),"-")</f>
        <v>8208.2821759259241</v>
      </c>
      <c r="DU31" s="114">
        <f>IFERROR(SUMIFS('01. KE30'!$X:$X,'01. KE30'!$F:$F,'05. BC BH THEO SKU-USD'!$D31,'01. KE30'!$A:$A,'05. BC BH THEO SKU-USD'!DU$4)-SUMIFS('01. KE30'!$AA:$AA,'01. KE30'!$F:$F,'05. BC BH THEO SKU-USD'!$D31,'01. KE30'!$A:$A,'05. BC BH THEO SKU-USD'!DU$4),"-")</f>
        <v>0</v>
      </c>
      <c r="DV31" s="114">
        <f>IFERROR(SUMIFS('01. KE30'!$X:$X,'01. KE30'!$F:$F,'05. BC BH THEO SKU-USD'!$D31,'01. KE30'!$A:$A,'05. BC BH THEO SKU-USD'!DV$4)-SUMIFS('01. KE30'!$AA:$AA,'01. KE30'!$F:$F,'05. BC BH THEO SKU-USD'!$D31,'01. KE30'!$A:$A,'05. BC BH THEO SKU-USD'!DV$4),"-")</f>
        <v>6559.895378151261</v>
      </c>
      <c r="DW31" s="114">
        <f>IFERROR(SUMIFS('01. KE30'!$X:$X,'01. KE30'!$F:$F,'05. BC BH THEO SKU-USD'!$D31,'01. KE30'!$A:$A,'05. BC BH THEO SKU-USD'!DW$4)-SUMIFS('01. KE30'!$AA:$AA,'01. KE30'!$F:$F,'05. BC BH THEO SKU-USD'!$D31,'01. KE30'!$A:$A,'05. BC BH THEO SKU-USD'!DW$4),"-")</f>
        <v>6500.4888380952361</v>
      </c>
      <c r="DX31" s="114">
        <f>IFERROR(SUMIFS('01. KE30'!$X:$X,'01. KE30'!$F:$F,'05. BC BH THEO SKU-USD'!$D31,'01. KE30'!$A:$A,'05. BC BH THEO SKU-USD'!DX$4)-SUMIFS('01. KE30'!$AA:$AA,'01. KE30'!$F:$F,'05. BC BH THEO SKU-USD'!$D31,'01. KE30'!$A:$A,'05. BC BH THEO SKU-USD'!DX$4),"-")</f>
        <v>0</v>
      </c>
      <c r="DY31" s="114">
        <f>IFERROR(SUMIFS('01. KE30'!$X:$X,'01. KE30'!$F:$F,'05. BC BH THEO SKU-USD'!$D31,'01. KE30'!$A:$A,'05. BC BH THEO SKU-USD'!DY$4)-SUMIFS('01. KE30'!$AA:$AA,'01. KE30'!$F:$F,'05. BC BH THEO SKU-USD'!$D31,'01. KE30'!$A:$A,'05. BC BH THEO SKU-USD'!DY$4),"-")</f>
        <v>0</v>
      </c>
      <c r="DZ31" s="114">
        <f>IFERROR(SUMIFS('01. KE30'!$X:$X,'01. KE30'!$F:$F,'05. BC BH THEO SKU-USD'!$D31,'01. KE30'!$A:$A,'05. BC BH THEO SKU-USD'!DZ$4)-SUMIFS('01. KE30'!$AA:$AA,'01. KE30'!$F:$F,'05. BC BH THEO SKU-USD'!$D31,'01. KE30'!$A:$A,'05. BC BH THEO SKU-USD'!DZ$4),"-")</f>
        <v>0</v>
      </c>
      <c r="EB31" s="571">
        <f t="shared" si="252"/>
        <v>0.20229544893027693</v>
      </c>
      <c r="EC31" s="572">
        <f t="shared" si="253"/>
        <v>0.2179077438774823</v>
      </c>
      <c r="ED31" s="572">
        <f t="shared" si="19"/>
        <v>0.20693490930821151</v>
      </c>
      <c r="EE31" s="572">
        <f t="shared" si="20"/>
        <v>0.20573713569894667</v>
      </c>
      <c r="EF31" s="572">
        <f t="shared" si="21"/>
        <v>0.18406453094952127</v>
      </c>
      <c r="EG31" s="572">
        <f t="shared" si="22"/>
        <v>0.18515362330255117</v>
      </c>
      <c r="EH31" s="572">
        <f t="shared" si="23"/>
        <v>0.18618821876989514</v>
      </c>
      <c r="EI31" s="572">
        <f t="shared" si="24"/>
        <v>0</v>
      </c>
      <c r="EJ31" s="572">
        <f t="shared" si="25"/>
        <v>0.21779237580609073</v>
      </c>
      <c r="EK31" s="572">
        <f t="shared" si="26"/>
        <v>0.21639710166031284</v>
      </c>
      <c r="EL31" s="572">
        <f t="shared" si="27"/>
        <v>0</v>
      </c>
      <c r="EM31" s="572">
        <f t="shared" si="28"/>
        <v>0</v>
      </c>
      <c r="EN31" s="572">
        <f t="shared" si="29"/>
        <v>0</v>
      </c>
    </row>
    <row r="32" spans="1:144" ht="15.5" outlineLevel="1" x14ac:dyDescent="0.35">
      <c r="A32" s="10">
        <f t="shared" ref="A32:A39" si="298">A31+1</f>
        <v>3</v>
      </c>
      <c r="B32" s="27" t="s">
        <v>265</v>
      </c>
      <c r="C32" s="246" t="str">
        <f>VLOOKUP(D32,'Quy đổi'!A:C,3,0)</f>
        <v>rHDB03W01</v>
      </c>
      <c r="D32" s="459" t="s">
        <v>50</v>
      </c>
      <c r="E32" s="7" t="s">
        <v>78</v>
      </c>
      <c r="F32" s="92" t="str">
        <f t="shared" si="295"/>
        <v>-</v>
      </c>
      <c r="G32" s="106" t="str">
        <f>IFERROR(SUMIFS('01. KE30'!$K:$K,'01. KE30'!$F:$F,'05. BC BH THEO SKU-USD'!$D32,'01. KE30'!$A:$A,'05. BC BH THEO SKU-USD'!G$4)/'05. BC BH THEO SKU-USD'!CM32/'02. Tỷ giá'!B$5,"-")</f>
        <v>-</v>
      </c>
      <c r="H32" s="106" t="str">
        <f>IFERROR(SUMIFS('01. KE30'!$K:$K,'01. KE30'!$F:$F,'05. BC BH THEO SKU-USD'!$D32,'01. KE30'!$A:$A,'05. BC BH THEO SKU-USD'!H$4)/'05. BC BH THEO SKU-USD'!CN32/'02. Tỷ giá'!C$5,"-")</f>
        <v>-</v>
      </c>
      <c r="I32" s="106" t="str">
        <f>IFERROR(SUMIFS('01. KE30'!$K:$K,'01. KE30'!$F:$F,'05. BC BH THEO SKU-USD'!$D32,'01. KE30'!$A:$A,'05. BC BH THEO SKU-USD'!I$4)/'05. BC BH THEO SKU-USD'!CO32/'02. Tỷ giá'!D$5,"-")</f>
        <v>-</v>
      </c>
      <c r="J32" s="106" t="str">
        <f>IFERROR(SUMIFS('01. KE30'!$K:$K,'01. KE30'!$F:$F,'05. BC BH THEO SKU-USD'!$D32,'01. KE30'!$A:$A,'05. BC BH THEO SKU-USD'!J$4)/'05. BC BH THEO SKU-USD'!CP32/'02. Tỷ giá'!E$5,"-")</f>
        <v>-</v>
      </c>
      <c r="K32" s="106" t="str">
        <f>IFERROR(SUMIFS('01. KE30'!$K:$K,'01. KE30'!$F:$F,'05. BC BH THEO SKU-USD'!$D32,'01. KE30'!$A:$A,'05. BC BH THEO SKU-USD'!K$4)/'05. BC BH THEO SKU-USD'!CQ32/'02. Tỷ giá'!F$5,"-")</f>
        <v>-</v>
      </c>
      <c r="L32" s="106" t="str">
        <f>IFERROR(SUMIFS('01. KE30'!$K:$K,'01. KE30'!$F:$F,'05. BC BH THEO SKU-USD'!$D32,'01. KE30'!$A:$A,'05. BC BH THEO SKU-USD'!L$4)/'05. BC BH THEO SKU-USD'!CR32/'02. Tỷ giá'!G$5,"-")</f>
        <v>-</v>
      </c>
      <c r="M32" s="106" t="str">
        <f>IFERROR(SUMIFS('01. KE30'!$K:$K,'01. KE30'!$F:$F,'05. BC BH THEO SKU-USD'!$D32,'01. KE30'!$A:$A,'05. BC BH THEO SKU-USD'!M$4)/'05. BC BH THEO SKU-USD'!CS32/'02. Tỷ giá'!H$5,"-")</f>
        <v>-</v>
      </c>
      <c r="N32" s="106" t="str">
        <f>IFERROR(SUMIFS('01. KE30'!$K:$K,'01. KE30'!$F:$F,'05. BC BH THEO SKU-USD'!$D32,'01. KE30'!$A:$A,'05. BC BH THEO SKU-USD'!N$4)/'05. BC BH THEO SKU-USD'!CT32/'02. Tỷ giá'!I$5,"-")</f>
        <v>-</v>
      </c>
      <c r="O32" s="106" t="str">
        <f>IFERROR(SUMIFS('01. KE30'!$K:$K,'01. KE30'!$F:$F,'05. BC BH THEO SKU-USD'!$D32,'01. KE30'!$A:$A,'05. BC BH THEO SKU-USD'!O$4)/'05. BC BH THEO SKU-USD'!CU32/'02. Tỷ giá'!J$5,"-")</f>
        <v>-</v>
      </c>
      <c r="P32" s="106" t="str">
        <f>IFERROR(SUMIFS('01. KE30'!$K:$K,'01. KE30'!$F:$F,'05. BC BH THEO SKU-USD'!$D32,'01. KE30'!$A:$A,'05. BC BH THEO SKU-USD'!P$4)/'05. BC BH THEO SKU-USD'!CV32/'02. Tỷ giá'!K$5,"-")</f>
        <v>-</v>
      </c>
      <c r="Q32" s="106" t="str">
        <f>IFERROR(SUMIFS('01. KE30'!$K:$K,'01. KE30'!$F:$F,'05. BC BH THEO SKU-USD'!$D32,'01. KE30'!$A:$A,'05. BC BH THEO SKU-USD'!Q$4)/'05. BC BH THEO SKU-USD'!CW32/'02. Tỷ giá'!L$5,"-")</f>
        <v>-</v>
      </c>
      <c r="R32" s="106" t="str">
        <f>IFERROR(SUMIFS('01. KE30'!$K:$K,'01. KE30'!$F:$F,'05. BC BH THEO SKU-USD'!$D32,'01. KE30'!$A:$A,'05. BC BH THEO SKU-USD'!R$4)/'05. BC BH THEO SKU-USD'!CX32/'02. Tỷ giá'!M$5,"-")</f>
        <v>-</v>
      </c>
      <c r="T32" s="92">
        <f t="shared" si="35"/>
        <v>0</v>
      </c>
      <c r="U32" s="147" t="str">
        <f>IFERROR(SUMIFS('01. KE30'!$O:$O,'01. KE30'!$F:$F,'05. BC BH THEO SKU-USD'!$D32,'01. KE30'!$A:$A,'05. BC BH THEO SKU-USD'!G$4)/'05. BC BH THEO SKU-USD'!CM32/'02. Tỷ giá'!B$5,"-")</f>
        <v>-</v>
      </c>
      <c r="V32" s="147" t="str">
        <f>IFERROR(SUMIFS('01. KE30'!$O:$O,'01. KE30'!$F:$F,'05. BC BH THEO SKU-USD'!$D32,'01. KE30'!$A:$A,'05. BC BH THEO SKU-USD'!H$4)/'05. BC BH THEO SKU-USD'!CN32/'02. Tỷ giá'!C$5,"-")</f>
        <v>-</v>
      </c>
      <c r="W32" s="147" t="str">
        <f>IFERROR(SUMIFS('01. KE30'!$O:$O,'01. KE30'!$F:$F,'05. BC BH THEO SKU-USD'!$D32,'01. KE30'!$A:$A,'05. BC BH THEO SKU-USD'!I$4)/'05. BC BH THEO SKU-USD'!CO32/'02. Tỷ giá'!D$5,"-")</f>
        <v>-</v>
      </c>
      <c r="X32" s="147" t="str">
        <f>IFERROR(SUMIFS('01. KE30'!$O:$O,'01. KE30'!$F:$F,'05. BC BH THEO SKU-USD'!$D32,'01. KE30'!$A:$A,'05. BC BH THEO SKU-USD'!J$4)/'05. BC BH THEO SKU-USD'!CP32/'02. Tỷ giá'!E$5,"-")</f>
        <v>-</v>
      </c>
      <c r="Y32" s="147" t="str">
        <f>IFERROR(SUMIFS('01. KE30'!$O:$O,'01. KE30'!$F:$F,'05. BC BH THEO SKU-USD'!$D32,'01. KE30'!$A:$A,'05. BC BH THEO SKU-USD'!K$4)/'05. BC BH THEO SKU-USD'!CQ32/'02. Tỷ giá'!F$5,"-")</f>
        <v>-</v>
      </c>
      <c r="Z32" s="147" t="str">
        <f>IFERROR(SUMIFS('01. KE30'!$O:$O,'01. KE30'!$F:$F,'05. BC BH THEO SKU-USD'!$D32,'01. KE30'!$A:$A,'05. BC BH THEO SKU-USD'!L$4)/'05. BC BH THEO SKU-USD'!CR32/'02. Tỷ giá'!G$5,"-")</f>
        <v>-</v>
      </c>
      <c r="AA32" s="147" t="str">
        <f>IFERROR(SUMIFS('01. KE30'!$O:$O,'01. KE30'!$F:$F,'05. BC BH THEO SKU-USD'!$D32,'01. KE30'!$A:$A,'05. BC BH THEO SKU-USD'!M$4)/'05. BC BH THEO SKU-USD'!CS32/'02. Tỷ giá'!H$5,"-")</f>
        <v>-</v>
      </c>
      <c r="AB32" s="147" t="str">
        <f>IFERROR(SUMIFS('01. KE30'!$O:$O,'01. KE30'!$F:$F,'05. BC BH THEO SKU-USD'!$D32,'01. KE30'!$A:$A,'05. BC BH THEO SKU-USD'!N$4)/'05. BC BH THEO SKU-USD'!CT32/'02. Tỷ giá'!I$5,"-")</f>
        <v>-</v>
      </c>
      <c r="AC32" s="147" t="str">
        <f>IFERROR(SUMIFS('01. KE30'!$O:$O,'01. KE30'!$F:$F,'05. BC BH THEO SKU-USD'!$D32,'01. KE30'!$A:$A,'05. BC BH THEO SKU-USD'!O$4)/'05. BC BH THEO SKU-USD'!CU32/'02. Tỷ giá'!J$5,"-")</f>
        <v>-</v>
      </c>
      <c r="AD32" s="147" t="str">
        <f>IFERROR(SUMIFS('01. KE30'!$O:$O,'01. KE30'!$F:$F,'05. BC BH THEO SKU-USD'!$D32,'01. KE30'!$A:$A,'05. BC BH THEO SKU-USD'!P$4)/'05. BC BH THEO SKU-USD'!CV32/'02. Tỷ giá'!K$5,"-")</f>
        <v>-</v>
      </c>
      <c r="AE32" s="147" t="str">
        <f>IFERROR(SUMIFS('01. KE30'!$O:$O,'01. KE30'!$F:$F,'05. BC BH THEO SKU-USD'!$D32,'01. KE30'!$A:$A,'05. BC BH THEO SKU-USD'!Q$4)/'05. BC BH THEO SKU-USD'!CW32/'02. Tỷ giá'!L$5,"-")</f>
        <v>-</v>
      </c>
      <c r="AF32" s="147" t="str">
        <f>IFERROR(SUMIFS('01. KE30'!$O:$O,'01. KE30'!$F:$F,'05. BC BH THEO SKU-USD'!$D32,'01. KE30'!$A:$A,'05. BC BH THEO SKU-USD'!R$4)/'05. BC BH THEO SKU-USD'!CX32/'02. Tỷ giá'!M$5,"-")</f>
        <v>-</v>
      </c>
      <c r="AH32" s="55">
        <f t="shared" si="296"/>
        <v>1304.4444444444443</v>
      </c>
      <c r="AI32" s="4">
        <v>1350</v>
      </c>
      <c r="AJ32" s="4">
        <v>1350</v>
      </c>
      <c r="AK32" s="4">
        <v>1300</v>
      </c>
      <c r="AL32" s="4">
        <v>1300</v>
      </c>
      <c r="AM32" s="4">
        <v>1300</v>
      </c>
      <c r="AN32" s="4">
        <v>1300</v>
      </c>
      <c r="AO32" s="4">
        <v>1300</v>
      </c>
      <c r="AP32" s="4">
        <v>1280</v>
      </c>
      <c r="AQ32" s="4">
        <v>1260</v>
      </c>
      <c r="AR32" s="4"/>
      <c r="AS32" s="4"/>
      <c r="AT32" s="4"/>
      <c r="AV32" s="54" t="str">
        <f t="shared" si="58"/>
        <v>-</v>
      </c>
      <c r="AW32" s="95" t="str">
        <f t="shared" si="58"/>
        <v>-</v>
      </c>
      <c r="AX32" s="95" t="str">
        <f t="shared" si="58"/>
        <v>-</v>
      </c>
      <c r="AY32" s="95" t="str">
        <f t="shared" si="58"/>
        <v>-</v>
      </c>
      <c r="AZ32" s="95" t="str">
        <f t="shared" si="58"/>
        <v>-</v>
      </c>
      <c r="BA32" s="95" t="str">
        <f t="shared" si="58"/>
        <v>-</v>
      </c>
      <c r="BB32" s="95" t="str">
        <f t="shared" si="58"/>
        <v>-</v>
      </c>
      <c r="BC32" s="95" t="str">
        <f t="shared" si="58"/>
        <v>-</v>
      </c>
      <c r="BD32" s="95" t="str">
        <f t="shared" si="58"/>
        <v>-</v>
      </c>
      <c r="BE32" s="95" t="str">
        <f t="shared" si="58"/>
        <v>-</v>
      </c>
      <c r="BF32" s="95" t="str">
        <f t="shared" si="58"/>
        <v>-</v>
      </c>
      <c r="BG32" s="95" t="str">
        <f t="shared" si="58"/>
        <v>-</v>
      </c>
      <c r="BH32" s="95" t="str">
        <f t="shared" si="58"/>
        <v>-</v>
      </c>
      <c r="BJ32" s="143" t="str">
        <f t="shared" si="65"/>
        <v>-</v>
      </c>
      <c r="BK32" s="143" t="str">
        <f t="shared" si="65"/>
        <v>-</v>
      </c>
      <c r="BL32" s="143" t="str">
        <f t="shared" si="65"/>
        <v>-</v>
      </c>
      <c r="BM32" s="143" t="str">
        <f t="shared" si="66"/>
        <v>-</v>
      </c>
      <c r="BN32" s="143" t="str">
        <f t="shared" si="66"/>
        <v>-</v>
      </c>
      <c r="BO32" s="143" t="str">
        <f t="shared" si="66"/>
        <v>-</v>
      </c>
      <c r="BP32" s="143" t="str">
        <f t="shared" si="66"/>
        <v>-</v>
      </c>
      <c r="BQ32" s="143" t="str">
        <f t="shared" si="66"/>
        <v>-</v>
      </c>
      <c r="BR32" s="143" t="str">
        <f t="shared" si="66"/>
        <v>-</v>
      </c>
      <c r="BS32" s="143" t="str">
        <f t="shared" si="66"/>
        <v>-</v>
      </c>
      <c r="BT32" s="143" t="str">
        <f t="shared" si="68"/>
        <v>-</v>
      </c>
      <c r="BU32" s="143" t="str">
        <f t="shared" si="68"/>
        <v>-</v>
      </c>
      <c r="BV32" s="143" t="str">
        <f t="shared" si="68"/>
        <v>-</v>
      </c>
      <c r="BX32" s="112" t="str">
        <f t="shared" si="280"/>
        <v>-</v>
      </c>
      <c r="BY32" s="95" t="str">
        <f>IFERROR(SUMIFS('01. KE30'!$R:$R,'01. KE30'!$F:$F,'05. BC BH THEO SKU-USD'!$D32,'01. KE30'!$A:$A,'05. BC BH THEO SKU-USD'!BY$4)/CM32/'02. Tỷ giá'!B$5," -")</f>
        <v xml:space="preserve"> -</v>
      </c>
      <c r="BZ32" s="95" t="str">
        <f>IFERROR(SUMIFS('01. KE30'!$R:$R,'01. KE30'!$F:$F,'05. BC BH THEO SKU-USD'!$D32,'01. KE30'!$A:$A,'05. BC BH THEO SKU-USD'!BZ$4)/CN32/'02. Tỷ giá'!C$5," -")</f>
        <v xml:space="preserve"> -</v>
      </c>
      <c r="CA32" s="95" t="str">
        <f>IFERROR(SUMIFS('01. KE30'!$R:$R,'01. KE30'!$F:$F,'05. BC BH THEO SKU-USD'!$D32,'01. KE30'!$A:$A,'05. BC BH THEO SKU-USD'!CA$4)/CO32/'02. Tỷ giá'!D$5," -")</f>
        <v xml:space="preserve"> -</v>
      </c>
      <c r="CB32" s="95" t="str">
        <f>IFERROR(SUMIFS('01. KE30'!$R:$R,'01. KE30'!$F:$F,'05. BC BH THEO SKU-USD'!$D32,'01. KE30'!$A:$A,'05. BC BH THEO SKU-USD'!CB$4)/CP32/'02. Tỷ giá'!E$5," -")</f>
        <v xml:space="preserve"> -</v>
      </c>
      <c r="CC32" s="95" t="str">
        <f>IFERROR(SUMIFS('01. KE30'!$R:$R,'01. KE30'!$F:$F,'05. BC BH THEO SKU-USD'!$D32,'01. KE30'!$A:$A,'05. BC BH THEO SKU-USD'!CC$4)/CQ32/'02. Tỷ giá'!F$5," -")</f>
        <v xml:space="preserve"> -</v>
      </c>
      <c r="CD32" s="95" t="str">
        <f>IFERROR(SUMIFS('01. KE30'!$R:$R,'01. KE30'!$F:$F,'05. BC BH THEO SKU-USD'!$D32,'01. KE30'!$A:$A,'05. BC BH THEO SKU-USD'!CD$4)/CR32/'02. Tỷ giá'!G$5," -")</f>
        <v xml:space="preserve"> -</v>
      </c>
      <c r="CE32" s="95" t="str">
        <f>IFERROR(SUMIFS('01. KE30'!$R:$R,'01. KE30'!$F:$F,'05. BC BH THEO SKU-USD'!$D32,'01. KE30'!$A:$A,'05. BC BH THEO SKU-USD'!CE$4)/CS32/'02. Tỷ giá'!H$5," -")</f>
        <v xml:space="preserve"> -</v>
      </c>
      <c r="CF32" s="95" t="str">
        <f>IFERROR(SUMIFS('01. KE30'!$R:$R,'01. KE30'!$F:$F,'05. BC BH THEO SKU-USD'!$D32,'01. KE30'!$A:$A,'05. BC BH THEO SKU-USD'!CF$4)/CT32/'02. Tỷ giá'!I$5," -")</f>
        <v xml:space="preserve"> -</v>
      </c>
      <c r="CG32" s="95" t="str">
        <f>IFERROR(SUMIFS('01. KE30'!$R:$R,'01. KE30'!$F:$F,'05. BC BH THEO SKU-USD'!$D32,'01. KE30'!$A:$A,'05. BC BH THEO SKU-USD'!CG$4)/CU32/'02. Tỷ giá'!J$5," -")</f>
        <v xml:space="preserve"> -</v>
      </c>
      <c r="CH32" s="95" t="str">
        <f>IFERROR(SUMIFS('01. KE30'!$R:$R,'01. KE30'!$F:$F,'05. BC BH THEO SKU-USD'!$D32,'01. KE30'!$A:$A,'05. BC BH THEO SKU-USD'!CH$4)/CV32/'02. Tỷ giá'!K$5," -")</f>
        <v xml:space="preserve"> -</v>
      </c>
      <c r="CI32" s="95" t="str">
        <f>IFERROR(SUMIFS('01. KE30'!$R:$R,'01. KE30'!$F:$F,'05. BC BH THEO SKU-USD'!$D32,'01. KE30'!$A:$A,'05. BC BH THEO SKU-USD'!CI$4)/CW32/'02. Tỷ giá'!L$5," -")</f>
        <v xml:space="preserve"> -</v>
      </c>
      <c r="CJ32" s="95" t="str">
        <f>IFERROR(SUMIFS('01. KE30'!$R:$R,'01. KE30'!$F:$F,'05. BC BH THEO SKU-USD'!$D32,'01. KE30'!$A:$A,'05. BC BH THEO SKU-USD'!CJ$4)/CX32/'02. Tỷ giá'!M$5," -")</f>
        <v xml:space="preserve"> -</v>
      </c>
      <c r="CL32" s="112">
        <f t="shared" si="281"/>
        <v>0</v>
      </c>
      <c r="CM32" s="114">
        <f>SUMIFS('01. KE30'!$I:$I,'01. KE30'!$F:$F,'05. BC BH THEO SKU-USD'!$D32,'01. KE30'!$A:$A,'05. BC BH THEO SKU-USD'!CM$4)/1000</f>
        <v>0</v>
      </c>
      <c r="CN32" s="114">
        <f>SUMIFS('01. KE30'!$I:$I,'01. KE30'!$F:$F,'05. BC BH THEO SKU-USD'!$D32,'01. KE30'!$A:$A,'05. BC BH THEO SKU-USD'!CN$4)/1000</f>
        <v>0</v>
      </c>
      <c r="CO32" s="114">
        <f>SUMIFS('01. KE30'!$I:$I,'01. KE30'!$F:$F,'05. BC BH THEO SKU-USD'!$D32,'01. KE30'!$A:$A,'05. BC BH THEO SKU-USD'!CO$4)/1000</f>
        <v>0</v>
      </c>
      <c r="CP32" s="114">
        <f>SUMIFS('01. KE30'!$I:$I,'01. KE30'!$F:$F,'05. BC BH THEO SKU-USD'!$D32,'01. KE30'!$A:$A,'05. BC BH THEO SKU-USD'!CP$4)/1000</f>
        <v>0</v>
      </c>
      <c r="CQ32" s="114">
        <f>SUMIFS('01. KE30'!$I:$I,'01. KE30'!$F:$F,'05. BC BH THEO SKU-USD'!$D32,'01. KE30'!$A:$A,'05. BC BH THEO SKU-USD'!CQ$4)/1000</f>
        <v>0</v>
      </c>
      <c r="CR32" s="114">
        <f>SUMIFS('01. KE30'!$I:$I,'01. KE30'!$F:$F,'05. BC BH THEO SKU-USD'!$D32,'01. KE30'!$A:$A,'05. BC BH THEO SKU-USD'!CR$4)/1000</f>
        <v>0</v>
      </c>
      <c r="CS32" s="114">
        <f>SUMIFS('01. KE30'!$I:$I,'01. KE30'!$F:$F,'05. BC BH THEO SKU-USD'!$D32,'01. KE30'!$A:$A,'05. BC BH THEO SKU-USD'!CS$4)/1000</f>
        <v>0</v>
      </c>
      <c r="CT32" s="114">
        <f>SUMIFS('01. KE30'!$I:$I,'01. KE30'!$F:$F,'05. BC BH THEO SKU-USD'!$D32,'01. KE30'!$A:$A,'05. BC BH THEO SKU-USD'!CT$4)/1000</f>
        <v>0</v>
      </c>
      <c r="CU32" s="114">
        <f>SUMIFS('01. KE30'!$I:$I,'01. KE30'!$F:$F,'05. BC BH THEO SKU-USD'!$D32,'01. KE30'!$A:$A,'05. BC BH THEO SKU-USD'!CU$4)/1000</f>
        <v>0</v>
      </c>
      <c r="CV32" s="114">
        <f>SUMIFS('01. KE30'!$I:$I,'01. KE30'!$F:$F,'05. BC BH THEO SKU-USD'!$D32,'01. KE30'!$A:$A,'05. BC BH THEO SKU-USD'!CV$4)/1000</f>
        <v>0</v>
      </c>
      <c r="CW32" s="114">
        <f>SUMIFS('01. KE30'!$I:$I,'01. KE30'!$F:$F,'05. BC BH THEO SKU-USD'!$D32,'01. KE30'!$A:$A,'05. BC BH THEO SKU-USD'!CW$4)/1000</f>
        <v>0</v>
      </c>
      <c r="CX32" s="114">
        <f>SUMIFS('01. KE30'!$I:$I,'01. KE30'!$F:$F,'05. BC BH THEO SKU-USD'!$D32,'01. KE30'!$A:$A,'05. BC BH THEO SKU-USD'!CX$4)/1000</f>
        <v>0</v>
      </c>
      <c r="CZ32" s="112">
        <f t="shared" si="282"/>
        <v>0</v>
      </c>
      <c r="DA32" s="54" t="str">
        <f t="shared" si="283"/>
        <v xml:space="preserve"> -</v>
      </c>
      <c r="DB32" s="54" t="str">
        <f t="shared" si="284"/>
        <v xml:space="preserve"> -</v>
      </c>
      <c r="DC32" s="54" t="str">
        <f t="shared" si="285"/>
        <v xml:space="preserve"> -</v>
      </c>
      <c r="DD32" s="54" t="str">
        <f t="shared" si="286"/>
        <v xml:space="preserve"> -</v>
      </c>
      <c r="DE32" s="54" t="str">
        <f t="shared" si="287"/>
        <v xml:space="preserve"> -</v>
      </c>
      <c r="DF32" s="54" t="str">
        <f t="shared" si="288"/>
        <v xml:space="preserve"> -</v>
      </c>
      <c r="DG32" s="54" t="str">
        <f t="shared" si="289"/>
        <v xml:space="preserve"> -</v>
      </c>
      <c r="DH32" s="54" t="str">
        <f t="shared" si="290"/>
        <v xml:space="preserve"> -</v>
      </c>
      <c r="DI32" s="54" t="str">
        <f t="shared" si="291"/>
        <v xml:space="preserve"> -</v>
      </c>
      <c r="DJ32" s="54" t="str">
        <f t="shared" si="292"/>
        <v xml:space="preserve"> -</v>
      </c>
      <c r="DK32" s="54" t="str">
        <f t="shared" si="293"/>
        <v xml:space="preserve"> -</v>
      </c>
      <c r="DL32" s="54" t="str">
        <f t="shared" si="294"/>
        <v xml:space="preserve"> -</v>
      </c>
      <c r="DN32" s="112">
        <f t="shared" si="64"/>
        <v>0</v>
      </c>
      <c r="DO32" s="114">
        <f>IFERROR(SUMIFS('01. KE30'!$X:$X,'01. KE30'!$F:$F,'05. BC BH THEO SKU-USD'!$D32,'01. KE30'!$A:$A,'05. BC BH THEO SKU-USD'!DO$4)-SUMIFS('01. KE30'!$AA:$AA,'01. KE30'!$F:$F,'05. BC BH THEO SKU-USD'!$D32,'01. KE30'!$A:$A,'05. BC BH THEO SKU-USD'!DO$4),"-")</f>
        <v>0</v>
      </c>
      <c r="DP32" s="114">
        <f>IFERROR(SUMIFS('01. KE30'!$X:$X,'01. KE30'!$F:$F,'05. BC BH THEO SKU-USD'!$D32,'01. KE30'!$A:$A,'05. BC BH THEO SKU-USD'!DP$4)-SUMIFS('01. KE30'!$AA:$AA,'01. KE30'!$F:$F,'05. BC BH THEO SKU-USD'!$D32,'01. KE30'!$A:$A,'05. BC BH THEO SKU-USD'!DP$4),"-")</f>
        <v>0</v>
      </c>
      <c r="DQ32" s="114">
        <f>IFERROR(SUMIFS('01. KE30'!$X:$X,'01. KE30'!$F:$F,'05. BC BH THEO SKU-USD'!$D32,'01. KE30'!$A:$A,'05. BC BH THEO SKU-USD'!DQ$4)-SUMIFS('01. KE30'!$AA:$AA,'01. KE30'!$F:$F,'05. BC BH THEO SKU-USD'!$D32,'01. KE30'!$A:$A,'05. BC BH THEO SKU-USD'!DQ$4),"-")</f>
        <v>0</v>
      </c>
      <c r="DR32" s="114">
        <f>IFERROR(SUMIFS('01. KE30'!$X:$X,'01. KE30'!$F:$F,'05. BC BH THEO SKU-USD'!$D32,'01. KE30'!$A:$A,'05. BC BH THEO SKU-USD'!DR$4)-SUMIFS('01. KE30'!$AA:$AA,'01. KE30'!$F:$F,'05. BC BH THEO SKU-USD'!$D32,'01. KE30'!$A:$A,'05. BC BH THEO SKU-USD'!DR$4),"-")</f>
        <v>0</v>
      </c>
      <c r="DS32" s="114">
        <f>IFERROR(SUMIFS('01. KE30'!$X:$X,'01. KE30'!$F:$F,'05. BC BH THEO SKU-USD'!$D32,'01. KE30'!$A:$A,'05. BC BH THEO SKU-USD'!DS$4)-SUMIFS('01. KE30'!$AA:$AA,'01. KE30'!$F:$F,'05. BC BH THEO SKU-USD'!$D32,'01. KE30'!$A:$A,'05. BC BH THEO SKU-USD'!DS$4),"-")</f>
        <v>0</v>
      </c>
      <c r="DT32" s="114">
        <f>IFERROR(SUMIFS('01. KE30'!$X:$X,'01. KE30'!$F:$F,'05. BC BH THEO SKU-USD'!$D32,'01. KE30'!$A:$A,'05. BC BH THEO SKU-USD'!DT$4)-SUMIFS('01. KE30'!$AA:$AA,'01. KE30'!$F:$F,'05. BC BH THEO SKU-USD'!$D32,'01. KE30'!$A:$A,'05. BC BH THEO SKU-USD'!DT$4),"-")</f>
        <v>0</v>
      </c>
      <c r="DU32" s="114">
        <f>IFERROR(SUMIFS('01. KE30'!$X:$X,'01. KE30'!$F:$F,'05. BC BH THEO SKU-USD'!$D32,'01. KE30'!$A:$A,'05. BC BH THEO SKU-USD'!DU$4)-SUMIFS('01. KE30'!$AA:$AA,'01. KE30'!$F:$F,'05. BC BH THEO SKU-USD'!$D32,'01. KE30'!$A:$A,'05. BC BH THEO SKU-USD'!DU$4),"-")</f>
        <v>0</v>
      </c>
      <c r="DV32" s="114">
        <f>IFERROR(SUMIFS('01. KE30'!$X:$X,'01. KE30'!$F:$F,'05. BC BH THEO SKU-USD'!$D32,'01. KE30'!$A:$A,'05. BC BH THEO SKU-USD'!DV$4)-SUMIFS('01. KE30'!$AA:$AA,'01. KE30'!$F:$F,'05. BC BH THEO SKU-USD'!$D32,'01. KE30'!$A:$A,'05. BC BH THEO SKU-USD'!DV$4),"-")</f>
        <v>0</v>
      </c>
      <c r="DW32" s="114">
        <f>IFERROR(SUMIFS('01. KE30'!$X:$X,'01. KE30'!$F:$F,'05. BC BH THEO SKU-USD'!$D32,'01. KE30'!$A:$A,'05. BC BH THEO SKU-USD'!DW$4)-SUMIFS('01. KE30'!$AA:$AA,'01. KE30'!$F:$F,'05. BC BH THEO SKU-USD'!$D32,'01. KE30'!$A:$A,'05. BC BH THEO SKU-USD'!DW$4),"-")</f>
        <v>0</v>
      </c>
      <c r="DX32" s="114">
        <f>IFERROR(SUMIFS('01. KE30'!$X:$X,'01. KE30'!$F:$F,'05. BC BH THEO SKU-USD'!$D32,'01. KE30'!$A:$A,'05. BC BH THEO SKU-USD'!DX$4)-SUMIFS('01. KE30'!$AA:$AA,'01. KE30'!$F:$F,'05. BC BH THEO SKU-USD'!$D32,'01. KE30'!$A:$A,'05. BC BH THEO SKU-USD'!DX$4),"-")</f>
        <v>0</v>
      </c>
      <c r="DY32" s="114">
        <f>IFERROR(SUMIFS('01. KE30'!$X:$X,'01. KE30'!$F:$F,'05. BC BH THEO SKU-USD'!$D32,'01. KE30'!$A:$A,'05. BC BH THEO SKU-USD'!DY$4)-SUMIFS('01. KE30'!$AA:$AA,'01. KE30'!$F:$F,'05. BC BH THEO SKU-USD'!$D32,'01. KE30'!$A:$A,'05. BC BH THEO SKU-USD'!DY$4),"-")</f>
        <v>0</v>
      </c>
      <c r="DZ32" s="114">
        <f>IFERROR(SUMIFS('01. KE30'!$X:$X,'01. KE30'!$F:$F,'05. BC BH THEO SKU-USD'!$D32,'01. KE30'!$A:$A,'05. BC BH THEO SKU-USD'!DZ$4)-SUMIFS('01. KE30'!$AA:$AA,'01. KE30'!$F:$F,'05. BC BH THEO SKU-USD'!$D32,'01. KE30'!$A:$A,'05. BC BH THEO SKU-USD'!DZ$4),"-")</f>
        <v>0</v>
      </c>
      <c r="EB32" s="576">
        <f t="shared" si="252"/>
        <v>0</v>
      </c>
      <c r="EC32" s="573">
        <f t="shared" si="253"/>
        <v>0</v>
      </c>
      <c r="ED32" s="573">
        <f t="shared" si="19"/>
        <v>0</v>
      </c>
      <c r="EE32" s="572">
        <f t="shared" si="20"/>
        <v>0</v>
      </c>
      <c r="EF32" s="572">
        <f t="shared" si="21"/>
        <v>0</v>
      </c>
      <c r="EG32" s="572">
        <f t="shared" si="22"/>
        <v>0</v>
      </c>
      <c r="EH32" s="572">
        <f t="shared" si="23"/>
        <v>0</v>
      </c>
      <c r="EI32" s="572">
        <f t="shared" si="24"/>
        <v>0</v>
      </c>
      <c r="EJ32" s="572">
        <f t="shared" si="25"/>
        <v>0</v>
      </c>
      <c r="EK32" s="572">
        <f t="shared" si="26"/>
        <v>0</v>
      </c>
      <c r="EL32" s="572">
        <f t="shared" si="27"/>
        <v>0</v>
      </c>
      <c r="EM32" s="572">
        <f t="shared" si="28"/>
        <v>0</v>
      </c>
      <c r="EN32" s="572">
        <f t="shared" si="29"/>
        <v>0</v>
      </c>
    </row>
    <row r="33" spans="1:144" ht="15.5" outlineLevel="1" x14ac:dyDescent="0.35">
      <c r="A33" s="10">
        <f t="shared" si="298"/>
        <v>4</v>
      </c>
      <c r="B33" s="27" t="s">
        <v>265</v>
      </c>
      <c r="C33" s="246" t="str">
        <f>VLOOKUP(D33,'Quy đổi'!A:C,3,0)</f>
        <v>HCBF-Whi-U</v>
      </c>
      <c r="D33" s="459" t="s">
        <v>84</v>
      </c>
      <c r="E33" s="7" t="s">
        <v>83</v>
      </c>
      <c r="F33" s="92">
        <f t="shared" si="295"/>
        <v>1317.6503840176167</v>
      </c>
      <c r="G33" s="106">
        <f>IFERROR(SUMIFS('01. KE30'!$K:$K,'01. KE30'!$F:$F,'05. BC BH THEO SKU-USD'!$D33,'01. KE30'!$A:$A,'05. BC BH THEO SKU-USD'!G$4)/'05. BC BH THEO SKU-USD'!CM33/'02. Tỷ giá'!B$5,"-")</f>
        <v>1358.7314331593736</v>
      </c>
      <c r="H33" s="106">
        <f>IFERROR(SUMIFS('01. KE30'!$K:$K,'01. KE30'!$F:$F,'05. BC BH THEO SKU-USD'!$D33,'01. KE30'!$A:$A,'05. BC BH THEO SKU-USD'!H$4)/'05. BC BH THEO SKU-USD'!CN33/'02. Tỷ giá'!C$5,"-")</f>
        <v>1350.5317053958252</v>
      </c>
      <c r="I33" s="106">
        <f>IFERROR(SUMIFS('01. KE30'!$K:$K,'01. KE30'!$F:$F,'05. BC BH THEO SKU-USD'!$D33,'01. KE30'!$A:$A,'05. BC BH THEO SKU-USD'!I$4)/'05. BC BH THEO SKU-USD'!CO33/'02. Tỷ giá'!D$5,"-")</f>
        <v>1350</v>
      </c>
      <c r="J33" s="106" t="str">
        <f>IFERROR(SUMIFS('01. KE30'!$K:$K,'01. KE30'!$F:$F,'05. BC BH THEO SKU-USD'!$D33,'01. KE30'!$A:$A,'05. BC BH THEO SKU-USD'!J$4)/'05. BC BH THEO SKU-USD'!CP33/'02. Tỷ giá'!E$5,"-")</f>
        <v>-</v>
      </c>
      <c r="K33" s="106">
        <f>IFERROR(SUMIFS('01. KE30'!$K:$K,'01. KE30'!$F:$F,'05. BC BH THEO SKU-USD'!$D33,'01. KE30'!$A:$A,'05. BC BH THEO SKU-USD'!K$4)/'05. BC BH THEO SKU-USD'!CQ33/'02. Tỷ giá'!F$5,"-")</f>
        <v>1289.443155452436</v>
      </c>
      <c r="L33" s="106">
        <f>IFERROR(SUMIFS('01. KE30'!$K:$K,'01. KE30'!$F:$F,'05. BC BH THEO SKU-USD'!$D33,'01. KE30'!$A:$A,'05. BC BH THEO SKU-USD'!L$4)/'05. BC BH THEO SKU-USD'!CR33/'02. Tỷ giá'!G$5,"-")</f>
        <v>1286.4583333333333</v>
      </c>
      <c r="M33" s="106">
        <f>IFERROR(SUMIFS('01. KE30'!$K:$K,'01. KE30'!$F:$F,'05. BC BH THEO SKU-USD'!$D33,'01. KE30'!$A:$A,'05. BC BH THEO SKU-USD'!M$4)/'05. BC BH THEO SKU-USD'!CS33/'02. Tỷ giá'!H$5,"-")</f>
        <v>1292.2116798299664</v>
      </c>
      <c r="N33" s="106" t="str">
        <f>IFERROR(SUMIFS('01. KE30'!$K:$K,'01. KE30'!$F:$F,'05. BC BH THEO SKU-USD'!$D33,'01. KE30'!$A:$A,'05. BC BH THEO SKU-USD'!N$4)/'05. BC BH THEO SKU-USD'!CT33/'02. Tỷ giá'!I$5,"-")</f>
        <v>-</v>
      </c>
      <c r="O33" s="106">
        <f>IFERROR(SUMIFS('01. KE30'!$K:$K,'01. KE30'!$F:$F,'05. BC BH THEO SKU-USD'!$D33,'01. KE30'!$A:$A,'05. BC BH THEO SKU-USD'!O$4)/'05. BC BH THEO SKU-USD'!CU33/'02. Tỷ giá'!J$5,"-")</f>
        <v>1296.1763809523809</v>
      </c>
      <c r="P33" s="106" t="str">
        <f>IFERROR(SUMIFS('01. KE30'!$K:$K,'01. KE30'!$F:$F,'05. BC BH THEO SKU-USD'!$D33,'01. KE30'!$A:$A,'05. BC BH THEO SKU-USD'!P$4)/'05. BC BH THEO SKU-USD'!CV33/'02. Tỷ giá'!K$5,"-")</f>
        <v>-</v>
      </c>
      <c r="Q33" s="106" t="str">
        <f>IFERROR(SUMIFS('01. KE30'!$K:$K,'01. KE30'!$F:$F,'05. BC BH THEO SKU-USD'!$D33,'01. KE30'!$A:$A,'05. BC BH THEO SKU-USD'!Q$4)/'05. BC BH THEO SKU-USD'!CW33/'02. Tỷ giá'!L$5,"-")</f>
        <v>-</v>
      </c>
      <c r="R33" s="106" t="str">
        <f>IFERROR(SUMIFS('01. KE30'!$K:$K,'01. KE30'!$F:$F,'05. BC BH THEO SKU-USD'!$D33,'01. KE30'!$A:$A,'05. BC BH THEO SKU-USD'!R$4)/'05. BC BH THEO SKU-USD'!CX33/'02. Tỷ giá'!M$5,"-")</f>
        <v>-</v>
      </c>
      <c r="T33" s="92">
        <f t="shared" si="35"/>
        <v>1315.1734828338374</v>
      </c>
      <c r="U33" s="147">
        <f>IFERROR(SUMIFS('01. KE30'!$O:$O,'01. KE30'!$F:$F,'05. BC BH THEO SKU-USD'!$D33,'01. KE30'!$A:$A,'05. BC BH THEO SKU-USD'!G$4)/'05. BC BH THEO SKU-USD'!CM33/'02. Tỷ giá'!B$5,"-")</f>
        <v>1358.7314331593736</v>
      </c>
      <c r="V33" s="147">
        <f>IFERROR(SUMIFS('01. KE30'!$O:$O,'01. KE30'!$F:$F,'05. BC BH THEO SKU-USD'!$D33,'01. KE30'!$A:$A,'05. BC BH THEO SKU-USD'!H$4)/'05. BC BH THEO SKU-USD'!CN33/'02. Tỷ giá'!C$5,"-")</f>
        <v>1350.5317053958252</v>
      </c>
      <c r="W33" s="147">
        <f>IFERROR(SUMIFS('01. KE30'!$O:$O,'01. KE30'!$F:$F,'05. BC BH THEO SKU-USD'!$D33,'01. KE30'!$A:$A,'05. BC BH THEO SKU-USD'!I$4)/'05. BC BH THEO SKU-USD'!CO33/'02. Tỷ giá'!D$5,"-")</f>
        <v>1350</v>
      </c>
      <c r="X33" s="147" t="str">
        <f>IFERROR(SUMIFS('01. KE30'!$O:$O,'01. KE30'!$F:$F,'05. BC BH THEO SKU-USD'!$D33,'01. KE30'!$A:$A,'05. BC BH THEO SKU-USD'!J$4)/'05. BC BH THEO SKU-USD'!CP33/'02. Tỷ giá'!E$5,"-")</f>
        <v>-</v>
      </c>
      <c r="Y33" s="147">
        <f>IFERROR(SUMIFS('01. KE30'!$O:$O,'01. KE30'!$F:$F,'05. BC BH THEO SKU-USD'!$D33,'01. KE30'!$A:$A,'05. BC BH THEO SKU-USD'!K$4)/'05. BC BH THEO SKU-USD'!CQ33/'02. Tỷ giá'!F$5,"-")</f>
        <v>1289.443155452436</v>
      </c>
      <c r="Z33" s="147">
        <f>IFERROR(SUMIFS('01. KE30'!$O:$O,'01. KE30'!$F:$F,'05. BC BH THEO SKU-USD'!$D33,'01. KE30'!$A:$A,'05. BC BH THEO SKU-USD'!L$4)/'05. BC BH THEO SKU-USD'!CR33/'02. Tỷ giá'!G$5,"-")</f>
        <v>1286.4583333333333</v>
      </c>
      <c r="AA33" s="147">
        <f>IFERROR(SUMIFS('01. KE30'!$O:$O,'01. KE30'!$F:$F,'05. BC BH THEO SKU-USD'!$D33,'01. KE30'!$A:$A,'05. BC BH THEO SKU-USD'!M$4)/'05. BC BH THEO SKU-USD'!CS33/'02. Tỷ giá'!H$5,"-")</f>
        <v>1292.2116798299664</v>
      </c>
      <c r="AB33" s="147" t="str">
        <f>IFERROR(SUMIFS('01. KE30'!$O:$O,'01. KE30'!$F:$F,'05. BC BH THEO SKU-USD'!$D33,'01. KE30'!$A:$A,'05. BC BH THEO SKU-USD'!N$4)/'05. BC BH THEO SKU-USD'!CT33/'02. Tỷ giá'!I$5,"-")</f>
        <v>-</v>
      </c>
      <c r="AC33" s="147">
        <f>IFERROR(SUMIFS('01. KE30'!$O:$O,'01. KE30'!$F:$F,'05. BC BH THEO SKU-USD'!$D33,'01. KE30'!$A:$A,'05. BC BH THEO SKU-USD'!O$4)/'05. BC BH THEO SKU-USD'!CU33/'02. Tỷ giá'!J$5,"-")</f>
        <v>1296.1763809523809</v>
      </c>
      <c r="AD33" s="147" t="str">
        <f>IFERROR(SUMIFS('01. KE30'!$O:$O,'01. KE30'!$F:$F,'05. BC BH THEO SKU-USD'!$D33,'01. KE30'!$A:$A,'05. BC BH THEO SKU-USD'!P$4)/'05. BC BH THEO SKU-USD'!CV33/'02. Tỷ giá'!K$5,"-")</f>
        <v>-</v>
      </c>
      <c r="AE33" s="147" t="str">
        <f>IFERROR(SUMIFS('01. KE30'!$O:$O,'01. KE30'!$F:$F,'05. BC BH THEO SKU-USD'!$D33,'01. KE30'!$A:$A,'05. BC BH THEO SKU-USD'!Q$4)/'05. BC BH THEO SKU-USD'!CW33/'02. Tỷ giá'!L$5,"-")</f>
        <v>-</v>
      </c>
      <c r="AF33" s="147" t="str">
        <f>IFERROR(SUMIFS('01. KE30'!$O:$O,'01. KE30'!$F:$F,'05. BC BH THEO SKU-USD'!$D33,'01. KE30'!$A:$A,'05. BC BH THEO SKU-USD'!R$4)/'05. BC BH THEO SKU-USD'!CX33/'02. Tỷ giá'!M$5,"-")</f>
        <v>-</v>
      </c>
      <c r="AH33" s="55">
        <f t="shared" si="296"/>
        <v>1310</v>
      </c>
      <c r="AI33" s="4">
        <v>1300</v>
      </c>
      <c r="AJ33" s="4">
        <v>1300</v>
      </c>
      <c r="AK33" s="4">
        <v>1300</v>
      </c>
      <c r="AL33" s="4">
        <v>1300</v>
      </c>
      <c r="AM33" s="4">
        <v>1300</v>
      </c>
      <c r="AN33" s="4">
        <v>1300</v>
      </c>
      <c r="AO33" s="4">
        <v>1330</v>
      </c>
      <c r="AP33" s="4">
        <v>1330</v>
      </c>
      <c r="AQ33" s="4">
        <v>1330</v>
      </c>
      <c r="AR33" s="4"/>
      <c r="AS33" s="4"/>
      <c r="AT33" s="4"/>
      <c r="AV33" s="54">
        <f t="shared" si="58"/>
        <v>5.1734828338373973</v>
      </c>
      <c r="AW33" s="95">
        <f t="shared" si="58"/>
        <v>58.731433159373637</v>
      </c>
      <c r="AX33" s="95">
        <f t="shared" si="58"/>
        <v>50.531705395825156</v>
      </c>
      <c r="AY33" s="95">
        <f t="shared" si="58"/>
        <v>50</v>
      </c>
      <c r="AZ33" s="95" t="str">
        <f t="shared" si="58"/>
        <v>-</v>
      </c>
      <c r="BA33" s="95">
        <f t="shared" si="58"/>
        <v>-10.556844547563969</v>
      </c>
      <c r="BB33" s="95">
        <f t="shared" si="58"/>
        <v>-13.541666666666742</v>
      </c>
      <c r="BC33" s="95">
        <f t="shared" si="58"/>
        <v>-37.788320170033558</v>
      </c>
      <c r="BD33" s="95" t="str">
        <f t="shared" si="58"/>
        <v>-</v>
      </c>
      <c r="BE33" s="95">
        <f t="shared" si="58"/>
        <v>-33.823619047619104</v>
      </c>
      <c r="BF33" s="95" t="str">
        <f t="shared" si="58"/>
        <v>-</v>
      </c>
      <c r="BG33" s="95" t="str">
        <f t="shared" si="58"/>
        <v>-</v>
      </c>
      <c r="BH33" s="95" t="str">
        <f t="shared" si="58"/>
        <v>-</v>
      </c>
      <c r="BJ33" s="143">
        <f t="shared" si="65"/>
        <v>3.9492235372804562E-3</v>
      </c>
      <c r="BK33" s="143">
        <f t="shared" si="65"/>
        <v>4.5178025507210492E-2</v>
      </c>
      <c r="BL33" s="143">
        <f t="shared" si="65"/>
        <v>3.8870542612173195E-2</v>
      </c>
      <c r="BM33" s="143">
        <f t="shared" si="66"/>
        <v>3.8461538461538464E-2</v>
      </c>
      <c r="BN33" s="143" t="str">
        <f t="shared" si="66"/>
        <v>-</v>
      </c>
      <c r="BO33" s="143">
        <f t="shared" si="66"/>
        <v>-8.1206496519722841E-3</v>
      </c>
      <c r="BP33" s="143">
        <f t="shared" si="66"/>
        <v>-1.0416666666666725E-2</v>
      </c>
      <c r="BQ33" s="143">
        <f t="shared" si="66"/>
        <v>-2.841227080453651E-2</v>
      </c>
      <c r="BR33" s="143" t="str">
        <f t="shared" si="66"/>
        <v>-</v>
      </c>
      <c r="BS33" s="143">
        <f t="shared" si="66"/>
        <v>-2.5431292517006845E-2</v>
      </c>
      <c r="BT33" s="143" t="str">
        <f t="shared" si="68"/>
        <v>-</v>
      </c>
      <c r="BU33" s="143" t="str">
        <f t="shared" si="68"/>
        <v>-</v>
      </c>
      <c r="BV33" s="143" t="str">
        <f t="shared" si="68"/>
        <v>-</v>
      </c>
      <c r="BX33" s="112">
        <f t="shared" si="280"/>
        <v>939.06476652234801</v>
      </c>
      <c r="BY33" s="95">
        <f>IFERROR(SUMIFS('01. KE30'!$R:$R,'01. KE30'!$F:$F,'05. BC BH THEO SKU-USD'!$D33,'01. KE30'!$A:$A,'05. BC BH THEO SKU-USD'!BY$4)/CM33/'02. Tỷ giá'!B$5," -")</f>
        <v>953.61151782781656</v>
      </c>
      <c r="BZ33" s="95">
        <f>IFERROR(SUMIFS('01. KE30'!$R:$R,'01. KE30'!$F:$F,'05. BC BH THEO SKU-USD'!$D33,'01. KE30'!$A:$A,'05. BC BH THEO SKU-USD'!BZ$4)/CN33/'02. Tỷ giá'!C$5," -")</f>
        <v>943.71356654373585</v>
      </c>
      <c r="CA33" s="95">
        <f>IFERROR(SUMIFS('01. KE30'!$R:$R,'01. KE30'!$F:$F,'05. BC BH THEO SKU-USD'!$D33,'01. KE30'!$A:$A,'05. BC BH THEO SKU-USD'!CA$4)/CO33/'02. Tỷ giá'!D$5," -")</f>
        <v>951.59469577666425</v>
      </c>
      <c r="CB33" s="95" t="str">
        <f>IFERROR(SUMIFS('01. KE30'!$R:$R,'01. KE30'!$F:$F,'05. BC BH THEO SKU-USD'!$D33,'01. KE30'!$A:$A,'05. BC BH THEO SKU-USD'!CB$4)/CP33/'02. Tỷ giá'!E$5," -")</f>
        <v xml:space="preserve"> -</v>
      </c>
      <c r="CC33" s="95">
        <f>IFERROR(SUMIFS('01. KE30'!$R:$R,'01. KE30'!$F:$F,'05. BC BH THEO SKU-USD'!$D33,'01. KE30'!$A:$A,'05. BC BH THEO SKU-USD'!CC$4)/CQ33/'02. Tỷ giá'!F$5," -")</f>
        <v>936.22417962366092</v>
      </c>
      <c r="CD33" s="95">
        <f>IFERROR(SUMIFS('01. KE30'!$R:$R,'01. KE30'!$F:$F,'05. BC BH THEO SKU-USD'!$D33,'01. KE30'!$A:$A,'05. BC BH THEO SKU-USD'!CD$4)/CR33/'02. Tỷ giá'!G$5," -")</f>
        <v>934.07579966329968</v>
      </c>
      <c r="CE33" s="95">
        <f>IFERROR(SUMIFS('01. KE30'!$R:$R,'01. KE30'!$F:$F,'05. BC BH THEO SKU-USD'!$D33,'01. KE30'!$A:$A,'05. BC BH THEO SKU-USD'!CE$4)/CS33/'02. Tỷ giá'!H$5," -")</f>
        <v>931.01821574506937</v>
      </c>
      <c r="CF33" s="95" t="str">
        <f>IFERROR(SUMIFS('01. KE30'!$R:$R,'01. KE30'!$F:$F,'05. BC BH THEO SKU-USD'!$D33,'01. KE30'!$A:$A,'05. BC BH THEO SKU-USD'!CF$4)/CT33/'02. Tỷ giá'!I$5," -")</f>
        <v xml:space="preserve"> -</v>
      </c>
      <c r="CG33" s="95">
        <f>IFERROR(SUMIFS('01. KE30'!$R:$R,'01. KE30'!$F:$F,'05. BC BH THEO SKU-USD'!$D33,'01. KE30'!$A:$A,'05. BC BH THEO SKU-USD'!CG$4)/CU33/'02. Tỷ giá'!J$5," -")</f>
        <v>923.21539047619046</v>
      </c>
      <c r="CH33" s="95" t="str">
        <f>IFERROR(SUMIFS('01. KE30'!$R:$R,'01. KE30'!$F:$F,'05. BC BH THEO SKU-USD'!$D33,'01. KE30'!$A:$A,'05. BC BH THEO SKU-USD'!CH$4)/CV33/'02. Tỷ giá'!K$5," -")</f>
        <v xml:space="preserve"> -</v>
      </c>
      <c r="CI33" s="95" t="str">
        <f>IFERROR(SUMIFS('01. KE30'!$R:$R,'01. KE30'!$F:$F,'05. BC BH THEO SKU-USD'!$D33,'01. KE30'!$A:$A,'05. BC BH THEO SKU-USD'!CI$4)/CW33/'02. Tỷ giá'!L$5," -")</f>
        <v xml:space="preserve"> -</v>
      </c>
      <c r="CJ33" s="95" t="str">
        <f>IFERROR(SUMIFS('01. KE30'!$R:$R,'01. KE30'!$F:$F,'05. BC BH THEO SKU-USD'!$D33,'01. KE30'!$A:$A,'05. BC BH THEO SKU-USD'!CJ$4)/CX33/'02. Tỷ giá'!M$5," -")</f>
        <v xml:space="preserve"> -</v>
      </c>
      <c r="CL33" s="112">
        <f t="shared" si="281"/>
        <v>42.65</v>
      </c>
      <c r="CM33" s="114">
        <f>SUMIFS('01. KE30'!$I:$I,'01. KE30'!$F:$F,'05. BC BH THEO SKU-USD'!$D33,'01. KE30'!$A:$A,'05. BC BH THEO SKU-USD'!CM$4)/1000</f>
        <v>5.5</v>
      </c>
      <c r="CN33" s="114">
        <f>SUMIFS('01. KE30'!$I:$I,'01. KE30'!$F:$F,'05. BC BH THEO SKU-USD'!$D33,'01. KE30'!$A:$A,'05. BC BH THEO SKU-USD'!CN$4)/1000</f>
        <v>5.5</v>
      </c>
      <c r="CO33" s="114">
        <f>SUMIFS('01. KE30'!$I:$I,'01. KE30'!$F:$F,'05. BC BH THEO SKU-USD'!$D33,'01. KE30'!$A:$A,'05. BC BH THEO SKU-USD'!CO$4)/1000</f>
        <v>5.5</v>
      </c>
      <c r="CP33" s="114">
        <f>SUMIFS('01. KE30'!$I:$I,'01. KE30'!$F:$F,'05. BC BH THEO SKU-USD'!$D33,'01. KE30'!$A:$A,'05. BC BH THEO SKU-USD'!CP$4)/1000</f>
        <v>0</v>
      </c>
      <c r="CQ33" s="114">
        <f>SUMIFS('01. KE30'!$I:$I,'01. KE30'!$F:$F,'05. BC BH THEO SKU-USD'!$D33,'01. KE30'!$A:$A,'05. BC BH THEO SKU-USD'!CQ$4)/1000</f>
        <v>5.5250000000000004</v>
      </c>
      <c r="CR33" s="114">
        <f>SUMIFS('01. KE30'!$I:$I,'01. KE30'!$F:$F,'05. BC BH THEO SKU-USD'!$D33,'01. KE30'!$A:$A,'05. BC BH THEO SKU-USD'!CR$4)/1000</f>
        <v>5.5</v>
      </c>
      <c r="CS33" s="114">
        <f>SUMIFS('01. KE30'!$I:$I,'01. KE30'!$F:$F,'05. BC BH THEO SKU-USD'!$D33,'01. KE30'!$A:$A,'05. BC BH THEO SKU-USD'!CS$4)/1000</f>
        <v>9.625</v>
      </c>
      <c r="CT33" s="114">
        <f>SUMIFS('01. KE30'!$I:$I,'01. KE30'!$F:$F,'05. BC BH THEO SKU-USD'!$D33,'01. KE30'!$A:$A,'05. BC BH THEO SKU-USD'!CT$4)/1000</f>
        <v>0</v>
      </c>
      <c r="CU33" s="114">
        <f>SUMIFS('01. KE30'!$I:$I,'01. KE30'!$F:$F,'05. BC BH THEO SKU-USD'!$D33,'01. KE30'!$A:$A,'05. BC BH THEO SKU-USD'!CU$4)/1000</f>
        <v>5.5</v>
      </c>
      <c r="CV33" s="114">
        <f>SUMIFS('01. KE30'!$I:$I,'01. KE30'!$F:$F,'05. BC BH THEO SKU-USD'!$D33,'01. KE30'!$A:$A,'05. BC BH THEO SKU-USD'!CV$4)/1000</f>
        <v>0</v>
      </c>
      <c r="CW33" s="114">
        <f>SUMIFS('01. KE30'!$I:$I,'01. KE30'!$F:$F,'05. BC BH THEO SKU-USD'!$D33,'01. KE30'!$A:$A,'05. BC BH THEO SKU-USD'!CW$4)/1000</f>
        <v>0</v>
      </c>
      <c r="CX33" s="114">
        <f>SUMIFS('01. KE30'!$I:$I,'01. KE30'!$F:$F,'05. BC BH THEO SKU-USD'!$D33,'01. KE30'!$A:$A,'05. BC BH THEO SKU-USD'!CX$4)/1000</f>
        <v>0</v>
      </c>
      <c r="CZ33" s="112">
        <f t="shared" si="282"/>
        <v>56092.149042863159</v>
      </c>
      <c r="DA33" s="54">
        <f t="shared" si="283"/>
        <v>7473.0228823765547</v>
      </c>
      <c r="DB33" s="54">
        <f t="shared" si="284"/>
        <v>7427.9243796770388</v>
      </c>
      <c r="DC33" s="54">
        <f t="shared" si="285"/>
        <v>7425</v>
      </c>
      <c r="DD33" s="54" t="str">
        <f t="shared" si="286"/>
        <v xml:space="preserve"> -</v>
      </c>
      <c r="DE33" s="54">
        <f t="shared" si="287"/>
        <v>7124.1734338747092</v>
      </c>
      <c r="DF33" s="54">
        <f t="shared" si="288"/>
        <v>7075.520833333333</v>
      </c>
      <c r="DG33" s="54">
        <f t="shared" si="289"/>
        <v>12437.537418363427</v>
      </c>
      <c r="DH33" s="54" t="str">
        <f t="shared" si="290"/>
        <v xml:space="preserve"> -</v>
      </c>
      <c r="DI33" s="54">
        <f t="shared" si="291"/>
        <v>7128.9700952380954</v>
      </c>
      <c r="DJ33" s="54" t="str">
        <f t="shared" si="292"/>
        <v xml:space="preserve"> -</v>
      </c>
      <c r="DK33" s="54" t="str">
        <f t="shared" si="293"/>
        <v xml:space="preserve"> -</v>
      </c>
      <c r="DL33" s="54" t="str">
        <f t="shared" si="294"/>
        <v xml:space="preserve"> -</v>
      </c>
      <c r="DN33" s="112">
        <f t="shared" si="64"/>
        <v>16074.299787313752</v>
      </c>
      <c r="DO33" s="114">
        <f>IFERROR(SUMIFS('01. KE30'!$X:$X,'01. KE30'!$F:$F,'05. BC BH THEO SKU-USD'!$D33,'01. KE30'!$A:$A,'05. BC BH THEO SKU-USD'!DO$4)-SUMIFS('01. KE30'!$AA:$AA,'01. KE30'!$F:$F,'05. BC BH THEO SKU-USD'!$D33,'01. KE30'!$A:$A,'05. BC BH THEO SKU-USD'!DO$4),"-")</f>
        <v>2228.1595343235649</v>
      </c>
      <c r="DP33" s="114">
        <f>IFERROR(SUMIFS('01. KE30'!$X:$X,'01. KE30'!$F:$F,'05. BC BH THEO SKU-USD'!$D33,'01. KE30'!$A:$A,'05. BC BH THEO SKU-USD'!DP$4)-SUMIFS('01. KE30'!$AA:$AA,'01. KE30'!$F:$F,'05. BC BH THEO SKU-USD'!$D33,'01. KE30'!$A:$A,'05. BC BH THEO SKU-USD'!DP$4),"-")</f>
        <v>2237.49976368649</v>
      </c>
      <c r="DQ33" s="114">
        <f>IFERROR(SUMIFS('01. KE30'!$X:$X,'01. KE30'!$F:$F,'05. BC BH THEO SKU-USD'!$D33,'01. KE30'!$A:$A,'05. BC BH THEO SKU-USD'!DQ$4)-SUMIFS('01. KE30'!$AA:$AA,'01. KE30'!$F:$F,'05. BC BH THEO SKU-USD'!$D33,'01. KE30'!$A:$A,'05. BC BH THEO SKU-USD'!DQ$4),"-")</f>
        <v>2191.2291732283466</v>
      </c>
      <c r="DR33" s="114">
        <f>IFERROR(SUMIFS('01. KE30'!$X:$X,'01. KE30'!$F:$F,'05. BC BH THEO SKU-USD'!$D33,'01. KE30'!$A:$A,'05. BC BH THEO SKU-USD'!DR$4)-SUMIFS('01. KE30'!$AA:$AA,'01. KE30'!$F:$F,'05. BC BH THEO SKU-USD'!$D33,'01. KE30'!$A:$A,'05. BC BH THEO SKU-USD'!DR$4),"-")</f>
        <v>0</v>
      </c>
      <c r="DS33" s="114">
        <f>IFERROR(SUMIFS('01. KE30'!$X:$X,'01. KE30'!$F:$F,'05. BC BH THEO SKU-USD'!$D33,'01. KE30'!$A:$A,'05. BC BH THEO SKU-USD'!DS$4)-SUMIFS('01. KE30'!$AA:$AA,'01. KE30'!$F:$F,'05. BC BH THEO SKU-USD'!$D33,'01. KE30'!$A:$A,'05. BC BH THEO SKU-USD'!DS$4),"-")</f>
        <v>1951.5348414539831</v>
      </c>
      <c r="DT33" s="114">
        <f>IFERROR(SUMIFS('01. KE30'!$X:$X,'01. KE30'!$F:$F,'05. BC BH THEO SKU-USD'!$D33,'01. KE30'!$A:$A,'05. BC BH THEO SKU-USD'!DT$4)-SUMIFS('01. KE30'!$AA:$AA,'01. KE30'!$F:$F,'05. BC BH THEO SKU-USD'!$D33,'01. KE30'!$A:$A,'05. BC BH THEO SKU-USD'!DT$4),"-")</f>
        <v>1938.103935185185</v>
      </c>
      <c r="DU33" s="114">
        <f>IFERROR(SUMIFS('01. KE30'!$X:$X,'01. KE30'!$F:$F,'05. BC BH THEO SKU-USD'!$D33,'01. KE30'!$A:$A,'05. BC BH THEO SKU-USD'!DU$4)-SUMIFS('01. KE30'!$AA:$AA,'01. KE30'!$F:$F,'05. BC BH THEO SKU-USD'!$D33,'01. KE30'!$A:$A,'05. BC BH THEO SKU-USD'!DU$4),"-")</f>
        <v>3476.4870918171346</v>
      </c>
      <c r="DV33" s="114">
        <f>IFERROR(SUMIFS('01. KE30'!$X:$X,'01. KE30'!$F:$F,'05. BC BH THEO SKU-USD'!$D33,'01. KE30'!$A:$A,'05. BC BH THEO SKU-USD'!DV$4)-SUMIFS('01. KE30'!$AA:$AA,'01. KE30'!$F:$F,'05. BC BH THEO SKU-USD'!$D33,'01. KE30'!$A:$A,'05. BC BH THEO SKU-USD'!DV$4),"-")</f>
        <v>0</v>
      </c>
      <c r="DW33" s="114">
        <f>IFERROR(SUMIFS('01. KE30'!$X:$X,'01. KE30'!$F:$F,'05. BC BH THEO SKU-USD'!$D33,'01. KE30'!$A:$A,'05. BC BH THEO SKU-USD'!DW$4)-SUMIFS('01. KE30'!$AA:$AA,'01. KE30'!$F:$F,'05. BC BH THEO SKU-USD'!$D33,'01. KE30'!$A:$A,'05. BC BH THEO SKU-USD'!DW$4),"-")</f>
        <v>2051.2854476190478</v>
      </c>
      <c r="DX33" s="114">
        <f>IFERROR(SUMIFS('01. KE30'!$X:$X,'01. KE30'!$F:$F,'05. BC BH THEO SKU-USD'!$D33,'01. KE30'!$A:$A,'05. BC BH THEO SKU-USD'!DX$4)-SUMIFS('01. KE30'!$AA:$AA,'01. KE30'!$F:$F,'05. BC BH THEO SKU-USD'!$D33,'01. KE30'!$A:$A,'05. BC BH THEO SKU-USD'!DX$4),"-")</f>
        <v>0</v>
      </c>
      <c r="DY33" s="114">
        <f>IFERROR(SUMIFS('01. KE30'!$X:$X,'01. KE30'!$F:$F,'05. BC BH THEO SKU-USD'!$D33,'01. KE30'!$A:$A,'05. BC BH THEO SKU-USD'!DY$4)-SUMIFS('01. KE30'!$AA:$AA,'01. KE30'!$F:$F,'05. BC BH THEO SKU-USD'!$D33,'01. KE30'!$A:$A,'05. BC BH THEO SKU-USD'!DY$4),"-")</f>
        <v>0</v>
      </c>
      <c r="DZ33" s="114">
        <f>IFERROR(SUMIFS('01. KE30'!$X:$X,'01. KE30'!$F:$F,'05. BC BH THEO SKU-USD'!$D33,'01. KE30'!$A:$A,'05. BC BH THEO SKU-USD'!DZ$4)-SUMIFS('01. KE30'!$AA:$AA,'01. KE30'!$F:$F,'05. BC BH THEO SKU-USD'!$D33,'01. KE30'!$A:$A,'05. BC BH THEO SKU-USD'!DZ$4),"-")</f>
        <v>0</v>
      </c>
      <c r="EB33" s="571">
        <f t="shared" si="252"/>
        <v>0.28656951216168375</v>
      </c>
      <c r="EC33" s="572">
        <f t="shared" si="253"/>
        <v>0.29816040568779451</v>
      </c>
      <c r="ED33" s="572">
        <f t="shared" si="19"/>
        <v>0.30122812905962498</v>
      </c>
      <c r="EE33" s="572">
        <f t="shared" si="20"/>
        <v>0.29511504016543388</v>
      </c>
      <c r="EF33" s="572">
        <f t="shared" si="21"/>
        <v>0</v>
      </c>
      <c r="EG33" s="572">
        <f t="shared" si="22"/>
        <v>0.27393140545605421</v>
      </c>
      <c r="EH33" s="572">
        <f t="shared" si="23"/>
        <v>0.27391678730626096</v>
      </c>
      <c r="EI33" s="572">
        <f t="shared" si="24"/>
        <v>0.27951570916958757</v>
      </c>
      <c r="EJ33" s="572">
        <f t="shared" si="25"/>
        <v>0</v>
      </c>
      <c r="EK33" s="572">
        <f t="shared" si="26"/>
        <v>0.28773938173611296</v>
      </c>
      <c r="EL33" s="572">
        <f t="shared" si="27"/>
        <v>0</v>
      </c>
      <c r="EM33" s="572">
        <f t="shared" si="28"/>
        <v>0</v>
      </c>
      <c r="EN33" s="572">
        <f t="shared" si="29"/>
        <v>0</v>
      </c>
    </row>
    <row r="34" spans="1:144" ht="15.5" outlineLevel="1" x14ac:dyDescent="0.35">
      <c r="A34" s="10">
        <f t="shared" si="298"/>
        <v>5</v>
      </c>
      <c r="B34" s="27" t="s">
        <v>265</v>
      </c>
      <c r="C34" s="246" t="str">
        <f>VLOOKUP(D34,'Quy đổi'!A:C,3,0)</f>
        <v>HCBF-Yel-U</v>
      </c>
      <c r="D34" s="459" t="s">
        <v>75</v>
      </c>
      <c r="E34" s="7" t="s">
        <v>74</v>
      </c>
      <c r="F34" s="92">
        <f t="shared" si="295"/>
        <v>1316.319935799288</v>
      </c>
      <c r="G34" s="106">
        <f>IFERROR(SUMIFS('01. KE30'!$K:$K,'01. KE30'!$F:$F,'05. BC BH THEO SKU-USD'!$D34,'01. KE30'!$A:$A,'05. BC BH THEO SKU-USD'!G$4)/'05. BC BH THEO SKU-USD'!CM34/'02. Tỷ giá'!B$5,"-")</f>
        <v>1376.555600160578</v>
      </c>
      <c r="H34" s="106">
        <f>IFERROR(SUMIFS('01. KE30'!$K:$K,'01. KE30'!$F:$F,'05. BC BH THEO SKU-USD'!$D34,'01. KE30'!$A:$A,'05. BC BH THEO SKU-USD'!H$4)/'05. BC BH THEO SKU-USD'!CN34/'02. Tỷ giá'!C$5,"-")</f>
        <v>1350.5317053958252</v>
      </c>
      <c r="I34" s="106">
        <f>IFERROR(SUMIFS('01. KE30'!$K:$K,'01. KE30'!$F:$F,'05. BC BH THEO SKU-USD'!$D34,'01. KE30'!$A:$A,'05. BC BH THEO SKU-USD'!I$4)/'05. BC BH THEO SKU-USD'!CO34/'02. Tỷ giá'!D$5,"-")</f>
        <v>1350</v>
      </c>
      <c r="J34" s="106">
        <f>IFERROR(SUMIFS('01. KE30'!$K:$K,'01. KE30'!$F:$F,'05. BC BH THEO SKU-USD'!$D34,'01. KE30'!$A:$A,'05. BC BH THEO SKU-USD'!J$4)/'05. BC BH THEO SKU-USD'!CP34/'02. Tỷ giá'!E$5,"-")</f>
        <v>1290.9407665505225</v>
      </c>
      <c r="K34" s="106">
        <f>IFERROR(SUMIFS('01. KE30'!$K:$K,'01. KE30'!$F:$F,'05. BC BH THEO SKU-USD'!$D34,'01. KE30'!$A:$A,'05. BC BH THEO SKU-USD'!K$4)/'05. BC BH THEO SKU-USD'!CQ34/'02. Tỷ giá'!F$5,"-")</f>
        <v>1289.4431554524363</v>
      </c>
      <c r="L34" s="106">
        <f>IFERROR(SUMIFS('01. KE30'!$K:$K,'01. KE30'!$F:$F,'05. BC BH THEO SKU-USD'!$D34,'01. KE30'!$A:$A,'05. BC BH THEO SKU-USD'!L$4)/'05. BC BH THEO SKU-USD'!CR34/'02. Tỷ giá'!G$5,"-")</f>
        <v>1286.4583333333333</v>
      </c>
      <c r="M34" s="106">
        <f>IFERROR(SUMIFS('01. KE30'!$K:$K,'01. KE30'!$F:$F,'05. BC BH THEO SKU-USD'!$D34,'01. KE30'!$A:$A,'05. BC BH THEO SKU-USD'!M$4)/'05. BC BH THEO SKU-USD'!CS34/'02. Tỷ giá'!H$5,"-")</f>
        <v>1307.1313868613138</v>
      </c>
      <c r="N34" s="106">
        <f>IFERROR(SUMIFS('01. KE30'!$K:$K,'01. KE30'!$F:$F,'05. BC BH THEO SKU-USD'!$D34,'01. KE30'!$A:$A,'05. BC BH THEO SKU-USD'!N$4)/'05. BC BH THEO SKU-USD'!CT34/'02. Tỷ giá'!I$5,"-")</f>
        <v>1299.6420923328008</v>
      </c>
      <c r="O34" s="106">
        <f>IFERROR(SUMIFS('01. KE30'!$K:$K,'01. KE30'!$F:$F,'05. BC BH THEO SKU-USD'!$D34,'01. KE30'!$A:$A,'05. BC BH THEO SKU-USD'!O$4)/'05. BC BH THEO SKU-USD'!CU34/'02. Tỷ giá'!J$5,"-")</f>
        <v>1296.1763821067821</v>
      </c>
      <c r="P34" s="106" t="str">
        <f>IFERROR(SUMIFS('01. KE30'!$K:$K,'01. KE30'!$F:$F,'05. BC BH THEO SKU-USD'!$D34,'01. KE30'!$A:$A,'05. BC BH THEO SKU-USD'!P$4)/'05. BC BH THEO SKU-USD'!CV34/'02. Tỷ giá'!K$5,"-")</f>
        <v>-</v>
      </c>
      <c r="Q34" s="106" t="str">
        <f>IFERROR(SUMIFS('01. KE30'!$K:$K,'01. KE30'!$F:$F,'05. BC BH THEO SKU-USD'!$D34,'01. KE30'!$A:$A,'05. BC BH THEO SKU-USD'!Q$4)/'05. BC BH THEO SKU-USD'!CW34/'02. Tỷ giá'!L$5,"-")</f>
        <v>-</v>
      </c>
      <c r="R34" s="106" t="str">
        <f>IFERROR(SUMIFS('01. KE30'!$K:$K,'01. KE30'!$F:$F,'05. BC BH THEO SKU-USD'!$D34,'01. KE30'!$A:$A,'05. BC BH THEO SKU-USD'!R$4)/'05. BC BH THEO SKU-USD'!CX34/'02. Tỷ giá'!M$5,"-")</f>
        <v>-</v>
      </c>
      <c r="T34" s="92">
        <f t="shared" si="35"/>
        <v>1316.5004169336671</v>
      </c>
      <c r="U34" s="147">
        <f>IFERROR(SUMIFS('01. KE30'!$O:$O,'01. KE30'!$F:$F,'05. BC BH THEO SKU-USD'!$D34,'01. KE30'!$A:$A,'05. BC BH THEO SKU-USD'!G$4)/'05. BC BH THEO SKU-USD'!CM34/'02. Tỷ giá'!B$5,"-")</f>
        <v>1376.555600160578</v>
      </c>
      <c r="V34" s="147">
        <f>IFERROR(SUMIFS('01. KE30'!$O:$O,'01. KE30'!$F:$F,'05. BC BH THEO SKU-USD'!$D34,'01. KE30'!$A:$A,'05. BC BH THEO SKU-USD'!H$4)/'05. BC BH THEO SKU-USD'!CN34/'02. Tỷ giá'!C$5,"-")</f>
        <v>1350.5317053958252</v>
      </c>
      <c r="W34" s="147">
        <f>IFERROR(SUMIFS('01. KE30'!$O:$O,'01. KE30'!$F:$F,'05. BC BH THEO SKU-USD'!$D34,'01. KE30'!$A:$A,'05. BC BH THEO SKU-USD'!I$4)/'05. BC BH THEO SKU-USD'!CO34/'02. Tỷ giá'!D$5,"-")</f>
        <v>1350</v>
      </c>
      <c r="X34" s="147">
        <f>IFERROR(SUMIFS('01. KE30'!$O:$O,'01. KE30'!$F:$F,'05. BC BH THEO SKU-USD'!$D34,'01. KE30'!$A:$A,'05. BC BH THEO SKU-USD'!J$4)/'05. BC BH THEO SKU-USD'!CP34/'02. Tỷ giá'!E$5,"-")</f>
        <v>1290.9407665505225</v>
      </c>
      <c r="Y34" s="147">
        <f>IFERROR(SUMIFS('01. KE30'!$O:$O,'01. KE30'!$F:$F,'05. BC BH THEO SKU-USD'!$D34,'01. KE30'!$A:$A,'05. BC BH THEO SKU-USD'!K$4)/'05. BC BH THEO SKU-USD'!CQ34/'02. Tỷ giá'!F$5,"-")</f>
        <v>1289.4431554524363</v>
      </c>
      <c r="Z34" s="147">
        <f>IFERROR(SUMIFS('01. KE30'!$O:$O,'01. KE30'!$F:$F,'05. BC BH THEO SKU-USD'!$D34,'01. KE30'!$A:$A,'05. BC BH THEO SKU-USD'!L$4)/'05. BC BH THEO SKU-USD'!CR34/'02. Tỷ giá'!G$5,"-")</f>
        <v>1286.4583333333333</v>
      </c>
      <c r="AA34" s="147">
        <f>IFERROR(SUMIFS('01. KE30'!$O:$O,'01. KE30'!$F:$F,'05. BC BH THEO SKU-USD'!$D34,'01. KE30'!$A:$A,'05. BC BH THEO SKU-USD'!M$4)/'05. BC BH THEO SKU-USD'!CS34/'02. Tỷ giá'!H$5,"-")</f>
        <v>1307.1313868613138</v>
      </c>
      <c r="AB34" s="147">
        <f>IFERROR(SUMIFS('01. KE30'!$O:$O,'01. KE30'!$F:$F,'05. BC BH THEO SKU-USD'!$D34,'01. KE30'!$A:$A,'05. BC BH THEO SKU-USD'!N$4)/'05. BC BH THEO SKU-USD'!CT34/'02. Tỷ giá'!I$5,"-")</f>
        <v>1299.6420923328008</v>
      </c>
      <c r="AC34" s="147">
        <f>IFERROR(SUMIFS('01. KE30'!$O:$O,'01. KE30'!$F:$F,'05. BC BH THEO SKU-USD'!$D34,'01. KE30'!$A:$A,'05. BC BH THEO SKU-USD'!O$4)/'05. BC BH THEO SKU-USD'!CU34/'02. Tỷ giá'!J$5,"-")</f>
        <v>1296.1763821067821</v>
      </c>
      <c r="AD34" s="147" t="str">
        <f>IFERROR(SUMIFS('01. KE30'!$O:$O,'01. KE30'!$F:$F,'05. BC BH THEO SKU-USD'!$D34,'01. KE30'!$A:$A,'05. BC BH THEO SKU-USD'!P$4)/'05. BC BH THEO SKU-USD'!CV34/'02. Tỷ giá'!K$5,"-")</f>
        <v>-</v>
      </c>
      <c r="AE34" s="147" t="str">
        <f>IFERROR(SUMIFS('01. KE30'!$O:$O,'01. KE30'!$F:$F,'05. BC BH THEO SKU-USD'!$D34,'01. KE30'!$A:$A,'05. BC BH THEO SKU-USD'!Q$4)/'05. BC BH THEO SKU-USD'!CW34/'02. Tỷ giá'!L$5,"-")</f>
        <v>-</v>
      </c>
      <c r="AF34" s="147" t="str">
        <f>IFERROR(SUMIFS('01. KE30'!$O:$O,'01. KE30'!$F:$F,'05. BC BH THEO SKU-USD'!$D34,'01. KE30'!$A:$A,'05. BC BH THEO SKU-USD'!R$4)/'05. BC BH THEO SKU-USD'!CX34/'02. Tỷ giá'!M$5,"-")</f>
        <v>-</v>
      </c>
      <c r="AH34" s="55">
        <f t="shared" si="296"/>
        <v>1304.4444444444443</v>
      </c>
      <c r="AI34" s="4">
        <v>1300</v>
      </c>
      <c r="AJ34" s="4">
        <v>1300</v>
      </c>
      <c r="AK34" s="4">
        <f t="shared" si="297"/>
        <v>1250</v>
      </c>
      <c r="AL34" s="4">
        <v>1300</v>
      </c>
      <c r="AM34" s="4">
        <v>1300</v>
      </c>
      <c r="AN34" s="4">
        <v>1300</v>
      </c>
      <c r="AO34" s="4">
        <v>1330</v>
      </c>
      <c r="AP34" s="4">
        <v>1330</v>
      </c>
      <c r="AQ34" s="4">
        <v>1330</v>
      </c>
      <c r="AR34" s="4"/>
      <c r="AS34" s="4"/>
      <c r="AT34" s="4"/>
      <c r="AV34" s="54">
        <f t="shared" si="58"/>
        <v>12.055972489222768</v>
      </c>
      <c r="AW34" s="95">
        <f t="shared" si="58"/>
        <v>76.555600160578024</v>
      </c>
      <c r="AX34" s="95">
        <f t="shared" si="58"/>
        <v>50.531705395825156</v>
      </c>
      <c r="AY34" s="95">
        <f t="shared" si="58"/>
        <v>100</v>
      </c>
      <c r="AZ34" s="95">
        <f t="shared" si="58"/>
        <v>-9.0592334494774605</v>
      </c>
      <c r="BA34" s="95">
        <f t="shared" si="58"/>
        <v>-10.556844547563742</v>
      </c>
      <c r="BB34" s="95">
        <f t="shared" si="58"/>
        <v>-13.541666666666742</v>
      </c>
      <c r="BC34" s="95">
        <f t="shared" si="58"/>
        <v>-22.868613138686214</v>
      </c>
      <c r="BD34" s="95">
        <f t="shared" si="58"/>
        <v>-30.357907667199242</v>
      </c>
      <c r="BE34" s="95">
        <f t="shared" si="58"/>
        <v>-33.823617893217943</v>
      </c>
      <c r="BF34" s="95" t="str">
        <f t="shared" si="58"/>
        <v>-</v>
      </c>
      <c r="BG34" s="95" t="str">
        <f t="shared" si="58"/>
        <v>-</v>
      </c>
      <c r="BH34" s="95" t="str">
        <f t="shared" si="58"/>
        <v>-</v>
      </c>
      <c r="BJ34" s="143">
        <f t="shared" si="65"/>
        <v>9.2422276322832123E-3</v>
      </c>
      <c r="BK34" s="143">
        <f t="shared" si="65"/>
        <v>5.8888923200444636E-2</v>
      </c>
      <c r="BL34" s="143">
        <f t="shared" si="65"/>
        <v>3.8870542612173195E-2</v>
      </c>
      <c r="BM34" s="143">
        <f t="shared" si="66"/>
        <v>0.08</v>
      </c>
      <c r="BN34" s="143">
        <f t="shared" si="66"/>
        <v>-6.9686411149826617E-3</v>
      </c>
      <c r="BO34" s="143">
        <f t="shared" si="66"/>
        <v>-8.1206496519721089E-3</v>
      </c>
      <c r="BP34" s="143">
        <f t="shared" si="66"/>
        <v>-1.0416666666666725E-2</v>
      </c>
      <c r="BQ34" s="143">
        <f t="shared" si="66"/>
        <v>-1.7194445968937003E-2</v>
      </c>
      <c r="BR34" s="143">
        <f t="shared" si="66"/>
        <v>-2.2825494486615971E-2</v>
      </c>
      <c r="BS34" s="143">
        <f t="shared" si="66"/>
        <v>-2.5431291649036049E-2</v>
      </c>
      <c r="BT34" s="143" t="str">
        <f t="shared" si="68"/>
        <v>-</v>
      </c>
      <c r="BU34" s="143" t="str">
        <f t="shared" si="68"/>
        <v>-</v>
      </c>
      <c r="BV34" s="143" t="str">
        <f t="shared" si="68"/>
        <v>-</v>
      </c>
      <c r="BX34" s="112">
        <f t="shared" si="280"/>
        <v>1053.5558571383806</v>
      </c>
      <c r="BY34" s="95">
        <f>IFERROR(SUMIFS('01. KE30'!$R:$R,'01. KE30'!$F:$F,'05. BC BH THEO SKU-USD'!$D34,'01. KE30'!$A:$A,'05. BC BH THEO SKU-USD'!BY$4)/CM34/'02. Tỷ giá'!B$5," -")</f>
        <v>1013.0659829933214</v>
      </c>
      <c r="BZ34" s="95">
        <f>IFERROR(SUMIFS('01. KE30'!$R:$R,'01. KE30'!$F:$F,'05. BC BH THEO SKU-USD'!$D34,'01. KE30'!$A:$A,'05. BC BH THEO SKU-USD'!BZ$4)/CN34/'02. Tỷ giá'!C$5," -")</f>
        <v>1037.6713469870028</v>
      </c>
      <c r="CA34" s="95">
        <f>IFERROR(SUMIFS('01. KE30'!$R:$R,'01. KE30'!$F:$F,'05. BC BH THEO SKU-USD'!$D34,'01. KE30'!$A:$A,'05. BC BH THEO SKU-USD'!CA$4)/CO34/'02. Tỷ giá'!D$5," -")</f>
        <v>1071.1166642806013</v>
      </c>
      <c r="CB34" s="95">
        <f>IFERROR(SUMIFS('01. KE30'!$R:$R,'01. KE30'!$F:$F,'05. BC BH THEO SKU-USD'!$D34,'01. KE30'!$A:$A,'05. BC BH THEO SKU-USD'!CB$4)/CP34/'02. Tỷ giá'!E$5," -")</f>
        <v>1054.0155457009116</v>
      </c>
      <c r="CC34" s="95">
        <f>IFERROR(SUMIFS('01. KE30'!$R:$R,'01. KE30'!$F:$F,'05. BC BH THEO SKU-USD'!$D34,'01. KE30'!$A:$A,'05. BC BH THEO SKU-USD'!CC$4)/CQ34/'02. Tỷ giá'!F$5," -")</f>
        <v>1084.623251072207</v>
      </c>
      <c r="CD34" s="95">
        <f>IFERROR(SUMIFS('01. KE30'!$R:$R,'01. KE30'!$F:$F,'05. BC BH THEO SKU-USD'!$D34,'01. KE30'!$A:$A,'05. BC BH THEO SKU-USD'!CD$4)/CR34/'02. Tỷ giá'!G$5," -")</f>
        <v>1065.5986882716049</v>
      </c>
      <c r="CE34" s="95">
        <f>IFERROR(SUMIFS('01. KE30'!$R:$R,'01. KE30'!$F:$F,'05. BC BH THEO SKU-USD'!$D34,'01. KE30'!$A:$A,'05. BC BH THEO SKU-USD'!CE$4)/CS34/'02. Tỷ giá'!H$5," -")</f>
        <v>1065.1907658994867</v>
      </c>
      <c r="CF34" s="95">
        <f>IFERROR(SUMIFS('01. KE30'!$R:$R,'01. KE30'!$F:$F,'05. BC BH THEO SKU-USD'!$D34,'01. KE30'!$A:$A,'05. BC BH THEO SKU-USD'!CF$4)/CT34/'02. Tỷ giá'!I$5," -")</f>
        <v>1024.5678814501007</v>
      </c>
      <c r="CG34" s="95">
        <f>IFERROR(SUMIFS('01. KE30'!$R:$R,'01. KE30'!$F:$F,'05. BC BH THEO SKU-USD'!$D34,'01. KE30'!$A:$A,'05. BC BH THEO SKU-USD'!CG$4)/CU34/'02. Tỷ giá'!J$5," -")</f>
        <v>1066.1525875901877</v>
      </c>
      <c r="CH34" s="95" t="str">
        <f>IFERROR(SUMIFS('01. KE30'!$R:$R,'01. KE30'!$F:$F,'05. BC BH THEO SKU-USD'!$D34,'01. KE30'!$A:$A,'05. BC BH THEO SKU-USD'!CH$4)/CV34/'02. Tỷ giá'!K$5," -")</f>
        <v xml:space="preserve"> -</v>
      </c>
      <c r="CI34" s="95" t="str">
        <f>IFERROR(SUMIFS('01. KE30'!$R:$R,'01. KE30'!$F:$F,'05. BC BH THEO SKU-USD'!$D34,'01. KE30'!$A:$A,'05. BC BH THEO SKU-USD'!CI$4)/CW34/'02. Tỷ giá'!L$5," -")</f>
        <v xml:space="preserve"> -</v>
      </c>
      <c r="CJ34" s="95" t="str">
        <f>IFERROR(SUMIFS('01. KE30'!$R:$R,'01. KE30'!$F:$F,'05. BC BH THEO SKU-USD'!$D34,'01. KE30'!$A:$A,'05. BC BH THEO SKU-USD'!CJ$4)/CX34/'02. Tỷ giá'!M$5," -")</f>
        <v xml:space="preserve"> -</v>
      </c>
      <c r="CL34" s="112">
        <f t="shared" si="281"/>
        <v>297</v>
      </c>
      <c r="CM34" s="114">
        <f>SUMIFS('01. KE30'!$I:$I,'01. KE30'!$F:$F,'05. BC BH THEO SKU-USD'!$D34,'01. KE30'!$A:$A,'05. BC BH THEO SKU-USD'!CM$4)/1000</f>
        <v>22</v>
      </c>
      <c r="CN34" s="114">
        <f>SUMIFS('01. KE30'!$I:$I,'01. KE30'!$F:$F,'05. BC BH THEO SKU-USD'!$D34,'01. KE30'!$A:$A,'05. BC BH THEO SKU-USD'!CN$4)/1000</f>
        <v>44</v>
      </c>
      <c r="CO34" s="114">
        <f>SUMIFS('01. KE30'!$I:$I,'01. KE30'!$F:$F,'05. BC BH THEO SKU-USD'!$D34,'01. KE30'!$A:$A,'05. BC BH THEO SKU-USD'!CO$4)/1000</f>
        <v>44</v>
      </c>
      <c r="CP34" s="114">
        <f>SUMIFS('01. KE30'!$I:$I,'01. KE30'!$F:$F,'05. BC BH THEO SKU-USD'!$D34,'01. KE30'!$A:$A,'05. BC BH THEO SKU-USD'!CP$4)/1000</f>
        <v>22</v>
      </c>
      <c r="CQ34" s="114">
        <f>SUMIFS('01. KE30'!$I:$I,'01. KE30'!$F:$F,'05. BC BH THEO SKU-USD'!$D34,'01. KE30'!$A:$A,'05. BC BH THEO SKU-USD'!CQ$4)/1000</f>
        <v>33</v>
      </c>
      <c r="CR34" s="114">
        <f>SUMIFS('01. KE30'!$I:$I,'01. KE30'!$F:$F,'05. BC BH THEO SKU-USD'!$D34,'01. KE30'!$A:$A,'05. BC BH THEO SKU-USD'!CR$4)/1000</f>
        <v>44</v>
      </c>
      <c r="CS34" s="114">
        <f>SUMIFS('01. KE30'!$I:$I,'01. KE30'!$F:$F,'05. BC BH THEO SKU-USD'!$D34,'01. KE30'!$A:$A,'05. BC BH THEO SKU-USD'!CS$4)/1000</f>
        <v>11</v>
      </c>
      <c r="CT34" s="114">
        <f>SUMIFS('01. KE30'!$I:$I,'01. KE30'!$F:$F,'05. BC BH THEO SKU-USD'!$D34,'01. KE30'!$A:$A,'05. BC BH THEO SKU-USD'!CT$4)/1000</f>
        <v>44</v>
      </c>
      <c r="CU34" s="114">
        <f>SUMIFS('01. KE30'!$I:$I,'01. KE30'!$F:$F,'05. BC BH THEO SKU-USD'!$D34,'01. KE30'!$A:$A,'05. BC BH THEO SKU-USD'!CU$4)/1000</f>
        <v>33</v>
      </c>
      <c r="CV34" s="114">
        <f>SUMIFS('01. KE30'!$I:$I,'01. KE30'!$F:$F,'05. BC BH THEO SKU-USD'!$D34,'01. KE30'!$A:$A,'05. BC BH THEO SKU-USD'!CV$4)/1000</f>
        <v>0</v>
      </c>
      <c r="CW34" s="114">
        <f>SUMIFS('01. KE30'!$I:$I,'01. KE30'!$F:$F,'05. BC BH THEO SKU-USD'!$D34,'01. KE30'!$A:$A,'05. BC BH THEO SKU-USD'!CW$4)/1000</f>
        <v>0</v>
      </c>
      <c r="CX34" s="114">
        <f>SUMIFS('01. KE30'!$I:$I,'01. KE30'!$F:$F,'05. BC BH THEO SKU-USD'!$D34,'01. KE30'!$A:$A,'05. BC BH THEO SKU-USD'!CX$4)/1000</f>
        <v>0</v>
      </c>
      <c r="CZ34" s="112">
        <f t="shared" si="282"/>
        <v>391000.62382929912</v>
      </c>
      <c r="DA34" s="54">
        <f t="shared" si="283"/>
        <v>30284.223203532718</v>
      </c>
      <c r="DB34" s="54">
        <f t="shared" si="284"/>
        <v>59423.395037416311</v>
      </c>
      <c r="DC34" s="54">
        <f t="shared" si="285"/>
        <v>59400</v>
      </c>
      <c r="DD34" s="54">
        <f t="shared" si="286"/>
        <v>28400.696864111495</v>
      </c>
      <c r="DE34" s="54">
        <f t="shared" si="287"/>
        <v>42551.624129930395</v>
      </c>
      <c r="DF34" s="54">
        <f t="shared" si="288"/>
        <v>56604.166666666664</v>
      </c>
      <c r="DG34" s="54">
        <f t="shared" si="289"/>
        <v>14378.445255474451</v>
      </c>
      <c r="DH34" s="54">
        <f t="shared" si="290"/>
        <v>57184.252062643231</v>
      </c>
      <c r="DI34" s="54">
        <f t="shared" si="291"/>
        <v>42773.820609523806</v>
      </c>
      <c r="DJ34" s="54" t="str">
        <f t="shared" si="292"/>
        <v xml:space="preserve"> -</v>
      </c>
      <c r="DK34" s="54" t="str">
        <f t="shared" si="293"/>
        <v xml:space="preserve"> -</v>
      </c>
      <c r="DL34" s="54" t="str">
        <f t="shared" si="294"/>
        <v xml:space="preserve"> -</v>
      </c>
      <c r="DN34" s="112">
        <f t="shared" si="64"/>
        <v>78078.127533742954</v>
      </c>
      <c r="DO34" s="114">
        <f>IFERROR(SUMIFS('01. KE30'!$X:$X,'01. KE30'!$F:$F,'05. BC BH THEO SKU-USD'!$D34,'01. KE30'!$A:$A,'05. BC BH THEO SKU-USD'!DO$4)-SUMIFS('01. KE30'!$AA:$AA,'01. KE30'!$F:$F,'05. BC BH THEO SKU-USD'!$D34,'01. KE30'!$A:$A,'05. BC BH THEO SKU-USD'!DO$4),"-")</f>
        <v>7996.7715776796467</v>
      </c>
      <c r="DP34" s="114">
        <f>IFERROR(SUMIFS('01. KE30'!$X:$X,'01. KE30'!$F:$F,'05. BC BH THEO SKU-USD'!$D34,'01. KE30'!$A:$A,'05. BC BH THEO SKU-USD'!DP$4)-SUMIFS('01. KE30'!$AA:$AA,'01. KE30'!$F:$F,'05. BC BH THEO SKU-USD'!$D34,'01. KE30'!$A:$A,'05. BC BH THEO SKU-USD'!DP$4),"-")</f>
        <v>13765.855769988179</v>
      </c>
      <c r="DQ34" s="114">
        <f>IFERROR(SUMIFS('01. KE30'!$X:$X,'01. KE30'!$F:$F,'05. BC BH THEO SKU-USD'!$D34,'01. KE30'!$A:$A,'05. BC BH THEO SKU-USD'!DQ$4)-SUMIFS('01. KE30'!$AA:$AA,'01. KE30'!$F:$F,'05. BC BH THEO SKU-USD'!$D34,'01. KE30'!$A:$A,'05. BC BH THEO SKU-USD'!DQ$4),"-")</f>
        <v>12270.866771653542</v>
      </c>
      <c r="DR34" s="114">
        <f>IFERROR(SUMIFS('01. KE30'!$X:$X,'01. KE30'!$F:$F,'05. BC BH THEO SKU-USD'!$D34,'01. KE30'!$A:$A,'05. BC BH THEO SKU-USD'!DR$4)-SUMIFS('01. KE30'!$AA:$AA,'01. KE30'!$F:$F,'05. BC BH THEO SKU-USD'!$D34,'01. KE30'!$A:$A,'05. BC BH THEO SKU-USD'!DR$4),"-")</f>
        <v>5212.354858691444</v>
      </c>
      <c r="DS34" s="114">
        <f>IFERROR(SUMIFS('01. KE30'!$X:$X,'01. KE30'!$F:$F,'05. BC BH THEO SKU-USD'!$D34,'01. KE30'!$A:$A,'05. BC BH THEO SKU-USD'!DS$4)-SUMIFS('01. KE30'!$AA:$AA,'01. KE30'!$F:$F,'05. BC BH THEO SKU-USD'!$D34,'01. KE30'!$A:$A,'05. BC BH THEO SKU-USD'!DS$4),"-")</f>
        <v>6759.0568445475656</v>
      </c>
      <c r="DT34" s="114">
        <f>IFERROR(SUMIFS('01. KE30'!$X:$X,'01. KE30'!$F:$F,'05. BC BH THEO SKU-USD'!$D34,'01. KE30'!$A:$A,'05. BC BH THEO SKU-USD'!DT$4)-SUMIFS('01. KE30'!$AA:$AA,'01. KE30'!$F:$F,'05. BC BH THEO SKU-USD'!$D34,'01. KE30'!$A:$A,'05. BC BH THEO SKU-USD'!DT$4),"-")</f>
        <v>9717.8243827160477</v>
      </c>
      <c r="DU34" s="114">
        <f>IFERROR(SUMIFS('01. KE30'!$X:$X,'01. KE30'!$F:$F,'05. BC BH THEO SKU-USD'!$D34,'01. KE30'!$A:$A,'05. BC BH THEO SKU-USD'!DU$4)-SUMIFS('01. KE30'!$AA:$AA,'01. KE30'!$F:$F,'05. BC BH THEO SKU-USD'!$D34,'01. KE30'!$A:$A,'05. BC BH THEO SKU-USD'!DU$4),"-")</f>
        <v>2661.3468305800998</v>
      </c>
      <c r="DV34" s="114">
        <f>IFERROR(SUMIFS('01. KE30'!$X:$X,'01. KE30'!$F:$F,'05. BC BH THEO SKU-USD'!$D34,'01. KE30'!$A:$A,'05. BC BH THEO SKU-USD'!DV$4)-SUMIFS('01. KE30'!$AA:$AA,'01. KE30'!$F:$F,'05. BC BH THEO SKU-USD'!$D34,'01. KE30'!$A:$A,'05. BC BH THEO SKU-USD'!DV$4),"-")</f>
        <v>12103.265278838808</v>
      </c>
      <c r="DW34" s="114">
        <f>IFERROR(SUMIFS('01. KE30'!$X:$X,'01. KE30'!$F:$F,'05. BC BH THEO SKU-USD'!$D34,'01. KE30'!$A:$A,'05. BC BH THEO SKU-USD'!DW$4)-SUMIFS('01. KE30'!$AA:$AA,'01. KE30'!$F:$F,'05. BC BH THEO SKU-USD'!$D34,'01. KE30'!$A:$A,'05. BC BH THEO SKU-USD'!DW$4),"-")</f>
        <v>7590.785219047626</v>
      </c>
      <c r="DX34" s="114">
        <f>IFERROR(SUMIFS('01. KE30'!$X:$X,'01. KE30'!$F:$F,'05. BC BH THEO SKU-USD'!$D34,'01. KE30'!$A:$A,'05. BC BH THEO SKU-USD'!DX$4)-SUMIFS('01. KE30'!$AA:$AA,'01. KE30'!$F:$F,'05. BC BH THEO SKU-USD'!$D34,'01. KE30'!$A:$A,'05. BC BH THEO SKU-USD'!DX$4),"-")</f>
        <v>0</v>
      </c>
      <c r="DY34" s="114">
        <f>IFERROR(SUMIFS('01. KE30'!$X:$X,'01. KE30'!$F:$F,'05. BC BH THEO SKU-USD'!$D34,'01. KE30'!$A:$A,'05. BC BH THEO SKU-USD'!DY$4)-SUMIFS('01. KE30'!$AA:$AA,'01. KE30'!$F:$F,'05. BC BH THEO SKU-USD'!$D34,'01. KE30'!$A:$A,'05. BC BH THEO SKU-USD'!DY$4),"-")</f>
        <v>0</v>
      </c>
      <c r="DZ34" s="114">
        <f>IFERROR(SUMIFS('01. KE30'!$X:$X,'01. KE30'!$F:$F,'05. BC BH THEO SKU-USD'!$D34,'01. KE30'!$A:$A,'05. BC BH THEO SKU-USD'!DZ$4)-SUMIFS('01. KE30'!$AA:$AA,'01. KE30'!$F:$F,'05. BC BH THEO SKU-USD'!$D34,'01. KE30'!$A:$A,'05. BC BH THEO SKU-USD'!DZ$4),"-")</f>
        <v>0</v>
      </c>
      <c r="EB34" s="571">
        <f t="shared" si="252"/>
        <v>0.19968798711643454</v>
      </c>
      <c r="EC34" s="572">
        <f t="shared" si="253"/>
        <v>0.26405734510458923</v>
      </c>
      <c r="ED34" s="572">
        <f t="shared" si="19"/>
        <v>0.23165717410323697</v>
      </c>
      <c r="EE34" s="572">
        <f t="shared" si="20"/>
        <v>0.20658024868103605</v>
      </c>
      <c r="EF34" s="572">
        <f t="shared" si="21"/>
        <v>0.18352911844490793</v>
      </c>
      <c r="EG34" s="572">
        <f t="shared" si="22"/>
        <v>0.1588436865278971</v>
      </c>
      <c r="EH34" s="572">
        <f t="shared" si="23"/>
        <v>0.17168037186984553</v>
      </c>
      <c r="EI34" s="572">
        <f t="shared" si="24"/>
        <v>0.18509280963926319</v>
      </c>
      <c r="EJ34" s="572">
        <f t="shared" si="25"/>
        <v>0.21165381800535099</v>
      </c>
      <c r="EK34" s="572">
        <f t="shared" si="26"/>
        <v>0.17746334348626083</v>
      </c>
      <c r="EL34" s="572">
        <f t="shared" si="27"/>
        <v>0</v>
      </c>
      <c r="EM34" s="572">
        <f t="shared" si="28"/>
        <v>0</v>
      </c>
      <c r="EN34" s="572">
        <f t="shared" si="29"/>
        <v>0</v>
      </c>
    </row>
    <row r="35" spans="1:144" ht="15.5" outlineLevel="1" x14ac:dyDescent="0.35">
      <c r="A35" s="10">
        <f t="shared" si="298"/>
        <v>6</v>
      </c>
      <c r="B35" s="27" t="s">
        <v>265</v>
      </c>
      <c r="C35" s="246" t="str">
        <f>VLOOKUP(D35,'Quy đổi'!A:C,3,0)</f>
        <v>rHDA03W01</v>
      </c>
      <c r="D35" s="459" t="s">
        <v>647</v>
      </c>
      <c r="E35" s="7" t="s">
        <v>648</v>
      </c>
      <c r="F35" s="92">
        <f t="shared" si="295"/>
        <v>1332.927230884334</v>
      </c>
      <c r="G35" s="106" t="str">
        <f>IFERROR(SUMIFS('01. KE30'!$K:$K,'01. KE30'!$F:$F,'05. BC BH THEO SKU-USD'!$D35,'01. KE30'!$A:$A,'05. BC BH THEO SKU-USD'!G$4)/'05. BC BH THEO SKU-USD'!CM35/'02. Tỷ giá'!B$5,"-")</f>
        <v>-</v>
      </c>
      <c r="H35" s="106" t="str">
        <f>IFERROR(SUMIFS('01. KE30'!$K:$K,'01. KE30'!$F:$F,'05. BC BH THEO SKU-USD'!$D35,'01. KE30'!$A:$A,'05. BC BH THEO SKU-USD'!H$4)/'05. BC BH THEO SKU-USD'!CN35/'02. Tỷ giá'!C$5,"-")</f>
        <v>-</v>
      </c>
      <c r="I35" s="106">
        <f>IFERROR(SUMIFS('01. KE30'!$K:$K,'01. KE30'!$F:$F,'05. BC BH THEO SKU-USD'!$D35,'01. KE30'!$A:$A,'05. BC BH THEO SKU-USD'!I$4)/'05. BC BH THEO SKU-USD'!CO35/'02. Tỷ giá'!D$5,"-")</f>
        <v>1344.6850393700788</v>
      </c>
      <c r="J35" s="106" t="str">
        <f>IFERROR(SUMIFS('01. KE30'!$K:$K,'01. KE30'!$F:$F,'05. BC BH THEO SKU-USD'!$D35,'01. KE30'!$A:$A,'05. BC BH THEO SKU-USD'!J$4)/'05. BC BH THEO SKU-USD'!CP35/'02. Tỷ giá'!E$5,"-")</f>
        <v>-</v>
      </c>
      <c r="K35" s="106" t="str">
        <f>IFERROR(SUMIFS('01. KE30'!$K:$K,'01. KE30'!$F:$F,'05. BC BH THEO SKU-USD'!$D35,'01. KE30'!$A:$A,'05. BC BH THEO SKU-USD'!K$4)/'05. BC BH THEO SKU-USD'!CQ35/'02. Tỷ giá'!F$5,"-")</f>
        <v>-</v>
      </c>
      <c r="L35" s="106">
        <f>IFERROR(SUMIFS('01. KE30'!$K:$K,'01. KE30'!$F:$F,'05. BC BH THEO SKU-USD'!$D35,'01. KE30'!$A:$A,'05. BC BH THEO SKU-USD'!L$4)/'05. BC BH THEO SKU-USD'!CR35/'02. Tỷ giá'!G$5,"-")</f>
        <v>1321.1694223985892</v>
      </c>
      <c r="M35" s="106" t="str">
        <f>IFERROR(SUMIFS('01. KE30'!$K:$K,'01. KE30'!$F:$F,'05. BC BH THEO SKU-USD'!$D35,'01. KE30'!$A:$A,'05. BC BH THEO SKU-USD'!M$4)/'05. BC BH THEO SKU-USD'!CS35/'02. Tỷ giá'!H$5,"-")</f>
        <v>-</v>
      </c>
      <c r="N35" s="106" t="str">
        <f>IFERROR(SUMIFS('01. KE30'!$K:$K,'01. KE30'!$F:$F,'05. BC BH THEO SKU-USD'!$D35,'01. KE30'!$A:$A,'05. BC BH THEO SKU-USD'!N$4)/'05. BC BH THEO SKU-USD'!CT35/'02. Tỷ giá'!I$5,"-")</f>
        <v>-</v>
      </c>
      <c r="O35" s="106" t="str">
        <f>IFERROR(SUMIFS('01. KE30'!$K:$K,'01. KE30'!$F:$F,'05. BC BH THEO SKU-USD'!$D35,'01. KE30'!$A:$A,'05. BC BH THEO SKU-USD'!O$4)/'05. BC BH THEO SKU-USD'!CU35/'02. Tỷ giá'!J$5,"-")</f>
        <v>-</v>
      </c>
      <c r="P35" s="106" t="str">
        <f>IFERROR(SUMIFS('01. KE30'!$K:$K,'01. KE30'!$F:$F,'05. BC BH THEO SKU-USD'!$D35,'01. KE30'!$A:$A,'05. BC BH THEO SKU-USD'!P$4)/'05. BC BH THEO SKU-USD'!CV35/'02. Tỷ giá'!K$5,"-")</f>
        <v>-</v>
      </c>
      <c r="Q35" s="106" t="str">
        <f>IFERROR(SUMIFS('01. KE30'!$K:$K,'01. KE30'!$F:$F,'05. BC BH THEO SKU-USD'!$D35,'01. KE30'!$A:$A,'05. BC BH THEO SKU-USD'!Q$4)/'05. BC BH THEO SKU-USD'!CW35/'02. Tỷ giá'!L$5,"-")</f>
        <v>-</v>
      </c>
      <c r="R35" s="106" t="str">
        <f>IFERROR(SUMIFS('01. KE30'!$K:$K,'01. KE30'!$F:$F,'05. BC BH THEO SKU-USD'!$D35,'01. KE30'!$A:$A,'05. BC BH THEO SKU-USD'!R$4)/'05. BC BH THEO SKU-USD'!CX35/'02. Tỷ giá'!M$5,"-")</f>
        <v>-</v>
      </c>
      <c r="T35" s="92">
        <f t="shared" si="35"/>
        <v>1335.0021382641712</v>
      </c>
      <c r="U35" s="147" t="str">
        <f>IFERROR(SUMIFS('01. KE30'!$O:$O,'01. KE30'!$F:$F,'05. BC BH THEO SKU-USD'!$D35,'01. KE30'!$A:$A,'05. BC BH THEO SKU-USD'!G$4)/'05. BC BH THEO SKU-USD'!CM35/'02. Tỷ giá'!B$5,"-")</f>
        <v>-</v>
      </c>
      <c r="V35" s="147" t="str">
        <f>IFERROR(SUMIFS('01. KE30'!$O:$O,'01. KE30'!$F:$F,'05. BC BH THEO SKU-USD'!$D35,'01. KE30'!$A:$A,'05. BC BH THEO SKU-USD'!H$4)/'05. BC BH THEO SKU-USD'!CN35/'02. Tỷ giá'!C$5,"-")</f>
        <v>-</v>
      </c>
      <c r="W35" s="147">
        <f>IFERROR(SUMIFS('01. KE30'!$O:$O,'01. KE30'!$F:$F,'05. BC BH THEO SKU-USD'!$D35,'01. KE30'!$A:$A,'05. BC BH THEO SKU-USD'!I$4)/'05. BC BH THEO SKU-USD'!CO35/'02. Tỷ giá'!D$5,"-")</f>
        <v>1344.6850393700788</v>
      </c>
      <c r="X35" s="147" t="str">
        <f>IFERROR(SUMIFS('01. KE30'!$O:$O,'01. KE30'!$F:$F,'05. BC BH THEO SKU-USD'!$D35,'01. KE30'!$A:$A,'05. BC BH THEO SKU-USD'!J$4)/'05. BC BH THEO SKU-USD'!CP35/'02. Tỷ giá'!E$5,"-")</f>
        <v>-</v>
      </c>
      <c r="Y35" s="147" t="str">
        <f>IFERROR(SUMIFS('01. KE30'!$O:$O,'01. KE30'!$F:$F,'05. BC BH THEO SKU-USD'!$D35,'01. KE30'!$A:$A,'05. BC BH THEO SKU-USD'!K$4)/'05. BC BH THEO SKU-USD'!CQ35/'02. Tỷ giá'!F$5,"-")</f>
        <v>-</v>
      </c>
      <c r="Z35" s="147">
        <f>IFERROR(SUMIFS('01. KE30'!$O:$O,'01. KE30'!$F:$F,'05. BC BH THEO SKU-USD'!$D35,'01. KE30'!$A:$A,'05. BC BH THEO SKU-USD'!L$4)/'05. BC BH THEO SKU-USD'!CR35/'02. Tỷ giá'!G$5,"-")</f>
        <v>1321.1694223985892</v>
      </c>
      <c r="AA35" s="147" t="str">
        <f>IFERROR(SUMIFS('01. KE30'!$O:$O,'01. KE30'!$F:$F,'05. BC BH THEO SKU-USD'!$D35,'01. KE30'!$A:$A,'05. BC BH THEO SKU-USD'!M$4)/'05. BC BH THEO SKU-USD'!CS35/'02. Tỷ giá'!H$5,"-")</f>
        <v>-</v>
      </c>
      <c r="AB35" s="147" t="str">
        <f>IFERROR(SUMIFS('01. KE30'!$O:$O,'01. KE30'!$F:$F,'05. BC BH THEO SKU-USD'!$D35,'01. KE30'!$A:$A,'05. BC BH THEO SKU-USD'!N$4)/'05. BC BH THEO SKU-USD'!CT35/'02. Tỷ giá'!I$5,"-")</f>
        <v>-</v>
      </c>
      <c r="AC35" s="147" t="str">
        <f>IFERROR(SUMIFS('01. KE30'!$O:$O,'01. KE30'!$F:$F,'05. BC BH THEO SKU-USD'!$D35,'01. KE30'!$A:$A,'05. BC BH THEO SKU-USD'!O$4)/'05. BC BH THEO SKU-USD'!CU35/'02. Tỷ giá'!J$5,"-")</f>
        <v>-</v>
      </c>
      <c r="AD35" s="147" t="str">
        <f>IFERROR(SUMIFS('01. KE30'!$O:$O,'01. KE30'!$F:$F,'05. BC BH THEO SKU-USD'!$D35,'01. KE30'!$A:$A,'05. BC BH THEO SKU-USD'!P$4)/'05. BC BH THEO SKU-USD'!CV35/'02. Tỷ giá'!K$5,"-")</f>
        <v>-</v>
      </c>
      <c r="AE35" s="147" t="str">
        <f>IFERROR(SUMIFS('01. KE30'!$O:$O,'01. KE30'!$F:$F,'05. BC BH THEO SKU-USD'!$D35,'01. KE30'!$A:$A,'05. BC BH THEO SKU-USD'!Q$4)/'05. BC BH THEO SKU-USD'!CW35/'02. Tỷ giá'!L$5,"-")</f>
        <v>-</v>
      </c>
      <c r="AF35" s="147" t="str">
        <f>IFERROR(SUMIFS('01. KE30'!$O:$O,'01. KE30'!$F:$F,'05. BC BH THEO SKU-USD'!$D35,'01. KE30'!$A:$A,'05. BC BH THEO SKU-USD'!R$4)/'05. BC BH THEO SKU-USD'!CX35/'02. Tỷ giá'!M$5,"-")</f>
        <v>-</v>
      </c>
      <c r="AH35" s="55">
        <f t="shared" si="296"/>
        <v>1304.4444444444443</v>
      </c>
      <c r="AI35" s="4">
        <v>1350</v>
      </c>
      <c r="AJ35" s="4">
        <v>1350</v>
      </c>
      <c r="AK35" s="4">
        <v>1300</v>
      </c>
      <c r="AL35" s="4">
        <v>1300</v>
      </c>
      <c r="AM35" s="4">
        <v>1300</v>
      </c>
      <c r="AN35" s="4">
        <v>1300</v>
      </c>
      <c r="AO35" s="4">
        <v>1300</v>
      </c>
      <c r="AP35" s="4">
        <v>1280</v>
      </c>
      <c r="AQ35" s="4">
        <v>1260</v>
      </c>
      <c r="AR35" s="4"/>
      <c r="AS35" s="4"/>
      <c r="AT35" s="4"/>
      <c r="AV35" s="54">
        <f t="shared" ref="AV35:BH57" si="299">IF(F35&lt;&gt;"-",T35-AH35,"-")</f>
        <v>30.557693819726865</v>
      </c>
      <c r="AW35" s="95" t="str">
        <f t="shared" si="299"/>
        <v>-</v>
      </c>
      <c r="AX35" s="95" t="str">
        <f t="shared" ref="AX35:BH42" si="300">IF(H35&lt;&gt;"-",V35-AJ35,"-")</f>
        <v>-</v>
      </c>
      <c r="AY35" s="95">
        <f t="shared" si="300"/>
        <v>44.685039370078812</v>
      </c>
      <c r="AZ35" s="95" t="str">
        <f t="shared" si="300"/>
        <v>-</v>
      </c>
      <c r="BA35" s="95" t="str">
        <f t="shared" si="300"/>
        <v>-</v>
      </c>
      <c r="BB35" s="95">
        <f t="shared" si="300"/>
        <v>21.169422398589177</v>
      </c>
      <c r="BC35" s="95" t="str">
        <f t="shared" si="300"/>
        <v>-</v>
      </c>
      <c r="BD35" s="95" t="str">
        <f t="shared" si="300"/>
        <v>-</v>
      </c>
      <c r="BE35" s="95" t="str">
        <f t="shared" si="300"/>
        <v>-</v>
      </c>
      <c r="BF35" s="95" t="str">
        <f t="shared" si="300"/>
        <v>-</v>
      </c>
      <c r="BG35" s="95" t="str">
        <f t="shared" si="300"/>
        <v>-</v>
      </c>
      <c r="BH35" s="95" t="str">
        <f t="shared" si="300"/>
        <v>-</v>
      </c>
      <c r="BJ35" s="143">
        <f t="shared" si="65"/>
        <v>2.3425830015122811E-2</v>
      </c>
      <c r="BK35" s="143" t="str">
        <f t="shared" si="65"/>
        <v>-</v>
      </c>
      <c r="BL35" s="143" t="str">
        <f t="shared" si="65"/>
        <v>-</v>
      </c>
      <c r="BM35" s="143">
        <f t="shared" si="66"/>
        <v>3.4373107207752933E-2</v>
      </c>
      <c r="BN35" s="143" t="str">
        <f t="shared" si="66"/>
        <v>-</v>
      </c>
      <c r="BO35" s="143" t="str">
        <f t="shared" si="66"/>
        <v>-</v>
      </c>
      <c r="BP35" s="143">
        <f t="shared" si="66"/>
        <v>1.6284171075837829E-2</v>
      </c>
      <c r="BQ35" s="143" t="str">
        <f t="shared" si="66"/>
        <v>-</v>
      </c>
      <c r="BR35" s="143" t="str">
        <f t="shared" si="66"/>
        <v>-</v>
      </c>
      <c r="BS35" s="143" t="str">
        <f t="shared" si="66"/>
        <v>-</v>
      </c>
      <c r="BT35" s="143" t="str">
        <f t="shared" si="68"/>
        <v>-</v>
      </c>
      <c r="BU35" s="143" t="str">
        <f t="shared" si="68"/>
        <v>-</v>
      </c>
      <c r="BV35" s="143" t="str">
        <f t="shared" si="68"/>
        <v>-</v>
      </c>
      <c r="BX35" s="112">
        <f t="shared" si="280"/>
        <v>1188.4484949103585</v>
      </c>
      <c r="BY35" s="95" t="str">
        <f>IFERROR(SUMIFS('01. KE30'!$R:$R,'01. KE30'!$F:$F,'05. BC BH THEO SKU-USD'!$D35,'01. KE30'!$A:$A,'05. BC BH THEO SKU-USD'!BY$4)/CM35/'02. Tỷ giá'!B$5," -")</f>
        <v xml:space="preserve"> -</v>
      </c>
      <c r="BZ35" s="95" t="str">
        <f>IFERROR(SUMIFS('01. KE30'!$R:$R,'01. KE30'!$F:$F,'05. BC BH THEO SKU-USD'!$D35,'01. KE30'!$A:$A,'05. BC BH THEO SKU-USD'!BZ$4)/CN35/'02. Tỷ giá'!C$5," -")</f>
        <v xml:space="preserve"> -</v>
      </c>
      <c r="CA35" s="95">
        <f>IFERROR(SUMIFS('01. KE30'!$R:$R,'01. KE30'!$F:$F,'05. BC BH THEO SKU-USD'!$D35,'01. KE30'!$A:$A,'05. BC BH THEO SKU-USD'!CA$4)/CO35/'02. Tỷ giá'!D$5," -")</f>
        <v>1201.8603937007874</v>
      </c>
      <c r="CB35" s="95" t="str">
        <f>IFERROR(SUMIFS('01. KE30'!$R:$R,'01. KE30'!$F:$F,'05. BC BH THEO SKU-USD'!$D35,'01. KE30'!$A:$A,'05. BC BH THEO SKU-USD'!CB$4)/CP35/'02. Tỷ giá'!E$5," -")</f>
        <v xml:space="preserve"> -</v>
      </c>
      <c r="CC35" s="95" t="str">
        <f>IFERROR(SUMIFS('01. KE30'!$R:$R,'01. KE30'!$F:$F,'05. BC BH THEO SKU-USD'!$D35,'01. KE30'!$A:$A,'05. BC BH THEO SKU-USD'!CC$4)/CQ35/'02. Tỷ giá'!F$5," -")</f>
        <v xml:space="preserve"> -</v>
      </c>
      <c r="CD35" s="95">
        <f>IFERROR(SUMIFS('01. KE30'!$R:$R,'01. KE30'!$F:$F,'05. BC BH THEO SKU-USD'!$D35,'01. KE30'!$A:$A,'05. BC BH THEO SKU-USD'!CD$4)/CR35/'02. Tỷ giá'!G$5," -")</f>
        <v>1175.0365961199295</v>
      </c>
      <c r="CE35" s="95" t="str">
        <f>IFERROR(SUMIFS('01. KE30'!$R:$R,'01. KE30'!$F:$F,'05. BC BH THEO SKU-USD'!$D35,'01. KE30'!$A:$A,'05. BC BH THEO SKU-USD'!CE$4)/CS35/'02. Tỷ giá'!H$5," -")</f>
        <v xml:space="preserve"> -</v>
      </c>
      <c r="CF35" s="95" t="str">
        <f>IFERROR(SUMIFS('01. KE30'!$R:$R,'01. KE30'!$F:$F,'05. BC BH THEO SKU-USD'!$D35,'01. KE30'!$A:$A,'05. BC BH THEO SKU-USD'!CF$4)/CT35/'02. Tỷ giá'!I$5," -")</f>
        <v xml:space="preserve"> -</v>
      </c>
      <c r="CG35" s="95" t="str">
        <f>IFERROR(SUMIFS('01. KE30'!$R:$R,'01. KE30'!$F:$F,'05. BC BH THEO SKU-USD'!$D35,'01. KE30'!$A:$A,'05. BC BH THEO SKU-USD'!CG$4)/CU35/'02. Tỷ giá'!J$5," -")</f>
        <v xml:space="preserve"> -</v>
      </c>
      <c r="CH35" s="95" t="str">
        <f>IFERROR(SUMIFS('01. KE30'!$R:$R,'01. KE30'!$F:$F,'05. BC BH THEO SKU-USD'!$D35,'01. KE30'!$A:$A,'05. BC BH THEO SKU-USD'!CH$4)/CV35/'02. Tỷ giá'!K$5," -")</f>
        <v xml:space="preserve"> -</v>
      </c>
      <c r="CI35" s="95" t="str">
        <f>IFERROR(SUMIFS('01. KE30'!$R:$R,'01. KE30'!$F:$F,'05. BC BH THEO SKU-USD'!$D35,'01. KE30'!$A:$A,'05. BC BH THEO SKU-USD'!CI$4)/CW35/'02. Tỷ giá'!L$5," -")</f>
        <v xml:space="preserve"> -</v>
      </c>
      <c r="CJ35" s="95" t="str">
        <f>IFERROR(SUMIFS('01. KE30'!$R:$R,'01. KE30'!$F:$F,'05. BC BH THEO SKU-USD'!$D35,'01. KE30'!$A:$A,'05. BC BH THEO SKU-USD'!CJ$4)/CX35/'02. Tỷ giá'!M$5," -")</f>
        <v xml:space="preserve"> -</v>
      </c>
      <c r="CL35" s="112">
        <f t="shared" si="281"/>
        <v>0.85</v>
      </c>
      <c r="CM35" s="114">
        <f>SUMIFS('01. KE30'!$I:$I,'01. KE30'!$F:$F,'05. BC BH THEO SKU-USD'!$D35,'01. KE30'!$A:$A,'05. BC BH THEO SKU-USD'!CM$4)/1000</f>
        <v>0</v>
      </c>
      <c r="CN35" s="114">
        <f>SUMIFS('01. KE30'!$I:$I,'01. KE30'!$F:$F,'05. BC BH THEO SKU-USD'!$D35,'01. KE30'!$A:$A,'05. BC BH THEO SKU-USD'!CN$4)/1000</f>
        <v>0</v>
      </c>
      <c r="CO35" s="114">
        <f>SUMIFS('01. KE30'!$I:$I,'01. KE30'!$F:$F,'05. BC BH THEO SKU-USD'!$D35,'01. KE30'!$A:$A,'05. BC BH THEO SKU-USD'!CO$4)/1000</f>
        <v>0.5</v>
      </c>
      <c r="CP35" s="114">
        <f>SUMIFS('01. KE30'!$I:$I,'01. KE30'!$F:$F,'05. BC BH THEO SKU-USD'!$D35,'01. KE30'!$A:$A,'05. BC BH THEO SKU-USD'!CP$4)/1000</f>
        <v>0</v>
      </c>
      <c r="CQ35" s="114">
        <f>SUMIFS('01. KE30'!$I:$I,'01. KE30'!$F:$F,'05. BC BH THEO SKU-USD'!$D35,'01. KE30'!$A:$A,'05. BC BH THEO SKU-USD'!CQ$4)/1000</f>
        <v>0</v>
      </c>
      <c r="CR35" s="114">
        <f>SUMIFS('01. KE30'!$I:$I,'01. KE30'!$F:$F,'05. BC BH THEO SKU-USD'!$D35,'01. KE30'!$A:$A,'05. BC BH THEO SKU-USD'!CR$4)/1000</f>
        <v>0.35</v>
      </c>
      <c r="CS35" s="114">
        <f>SUMIFS('01. KE30'!$I:$I,'01. KE30'!$F:$F,'05. BC BH THEO SKU-USD'!$D35,'01. KE30'!$A:$A,'05. BC BH THEO SKU-USD'!CS$4)/1000</f>
        <v>0</v>
      </c>
      <c r="CT35" s="114">
        <f>SUMIFS('01. KE30'!$I:$I,'01. KE30'!$F:$F,'05. BC BH THEO SKU-USD'!$D35,'01. KE30'!$A:$A,'05. BC BH THEO SKU-USD'!CT$4)/1000</f>
        <v>0</v>
      </c>
      <c r="CU35" s="114">
        <f>SUMIFS('01. KE30'!$I:$I,'01. KE30'!$F:$F,'05. BC BH THEO SKU-USD'!$D35,'01. KE30'!$A:$A,'05. BC BH THEO SKU-USD'!CU$4)/1000</f>
        <v>0</v>
      </c>
      <c r="CV35" s="114">
        <f>SUMIFS('01. KE30'!$I:$I,'01. KE30'!$F:$F,'05. BC BH THEO SKU-USD'!$D35,'01. KE30'!$A:$A,'05. BC BH THEO SKU-USD'!CV$4)/1000</f>
        <v>0</v>
      </c>
      <c r="CW35" s="114">
        <f>SUMIFS('01. KE30'!$I:$I,'01. KE30'!$F:$F,'05. BC BH THEO SKU-USD'!$D35,'01. KE30'!$A:$A,'05. BC BH THEO SKU-USD'!CW$4)/1000</f>
        <v>0</v>
      </c>
      <c r="CX35" s="114">
        <f>SUMIFS('01. KE30'!$I:$I,'01. KE30'!$F:$F,'05. BC BH THEO SKU-USD'!$D35,'01. KE30'!$A:$A,'05. BC BH THEO SKU-USD'!CX$4)/1000</f>
        <v>0</v>
      </c>
      <c r="CZ35" s="112">
        <f t="shared" si="282"/>
        <v>1134.7518175245455</v>
      </c>
      <c r="DA35" s="54" t="str">
        <f t="shared" si="283"/>
        <v xml:space="preserve"> -</v>
      </c>
      <c r="DB35" s="54" t="str">
        <f t="shared" si="284"/>
        <v xml:space="preserve"> -</v>
      </c>
      <c r="DC35" s="54">
        <f t="shared" si="285"/>
        <v>672.34251968503941</v>
      </c>
      <c r="DD35" s="54" t="str">
        <f t="shared" si="286"/>
        <v xml:space="preserve"> -</v>
      </c>
      <c r="DE35" s="54" t="str">
        <f t="shared" si="287"/>
        <v xml:space="preserve"> -</v>
      </c>
      <c r="DF35" s="54">
        <f t="shared" si="288"/>
        <v>462.40929783950617</v>
      </c>
      <c r="DG35" s="54" t="str">
        <f t="shared" si="289"/>
        <v xml:space="preserve"> -</v>
      </c>
      <c r="DH35" s="54" t="str">
        <f t="shared" si="290"/>
        <v xml:space="preserve"> -</v>
      </c>
      <c r="DI35" s="54" t="str">
        <f t="shared" si="291"/>
        <v xml:space="preserve"> -</v>
      </c>
      <c r="DJ35" s="54" t="str">
        <f t="shared" si="292"/>
        <v xml:space="preserve"> -</v>
      </c>
      <c r="DK35" s="54" t="str">
        <f t="shared" si="293"/>
        <v xml:space="preserve"> -</v>
      </c>
      <c r="DL35" s="54" t="str">
        <f t="shared" si="294"/>
        <v xml:space="preserve"> -</v>
      </c>
      <c r="DN35" s="112">
        <f t="shared" si="64"/>
        <v>122.55881203217655</v>
      </c>
      <c r="DO35" s="114">
        <f>IFERROR(SUMIFS('01. KE30'!$X:$X,'01. KE30'!$F:$F,'05. BC BH THEO SKU-USD'!$D35,'01. KE30'!$A:$A,'05. BC BH THEO SKU-USD'!DO$4)-SUMIFS('01. KE30'!$AA:$AA,'01. KE30'!$F:$F,'05. BC BH THEO SKU-USD'!$D35,'01. KE30'!$A:$A,'05. BC BH THEO SKU-USD'!DO$4),"-")</f>
        <v>0</v>
      </c>
      <c r="DP35" s="114">
        <f>IFERROR(SUMIFS('01. KE30'!$X:$X,'01. KE30'!$F:$F,'05. BC BH THEO SKU-USD'!$D35,'01. KE30'!$A:$A,'05. BC BH THEO SKU-USD'!DP$4)-SUMIFS('01. KE30'!$AA:$AA,'01. KE30'!$F:$F,'05. BC BH THEO SKU-USD'!$D35,'01. KE30'!$A:$A,'05. BC BH THEO SKU-USD'!DP$4),"-")</f>
        <v>0</v>
      </c>
      <c r="DQ35" s="114">
        <f>IFERROR(SUMIFS('01. KE30'!$X:$X,'01. KE30'!$F:$F,'05. BC BH THEO SKU-USD'!$D35,'01. KE30'!$A:$A,'05. BC BH THEO SKU-USD'!DQ$4)-SUMIFS('01. KE30'!$AA:$AA,'01. KE30'!$F:$F,'05. BC BH THEO SKU-USD'!$D35,'01. KE30'!$A:$A,'05. BC BH THEO SKU-USD'!DQ$4),"-")</f>
        <v>71.412322834645693</v>
      </c>
      <c r="DR35" s="114">
        <f>IFERROR(SUMIFS('01. KE30'!$X:$X,'01. KE30'!$F:$F,'05. BC BH THEO SKU-USD'!$D35,'01. KE30'!$A:$A,'05. BC BH THEO SKU-USD'!DR$4)-SUMIFS('01. KE30'!$AA:$AA,'01. KE30'!$F:$F,'05. BC BH THEO SKU-USD'!$D35,'01. KE30'!$A:$A,'05. BC BH THEO SKU-USD'!DR$4),"-")</f>
        <v>0</v>
      </c>
      <c r="DS35" s="114">
        <f>IFERROR(SUMIFS('01. KE30'!$X:$X,'01. KE30'!$F:$F,'05. BC BH THEO SKU-USD'!$D35,'01. KE30'!$A:$A,'05. BC BH THEO SKU-USD'!DS$4)-SUMIFS('01. KE30'!$AA:$AA,'01. KE30'!$F:$F,'05. BC BH THEO SKU-USD'!$D35,'01. KE30'!$A:$A,'05. BC BH THEO SKU-USD'!DS$4),"-")</f>
        <v>0</v>
      </c>
      <c r="DT35" s="114">
        <f>IFERROR(SUMIFS('01. KE30'!$X:$X,'01. KE30'!$F:$F,'05. BC BH THEO SKU-USD'!$D35,'01. KE30'!$A:$A,'05. BC BH THEO SKU-USD'!DT$4)-SUMIFS('01. KE30'!$AA:$AA,'01. KE30'!$F:$F,'05. BC BH THEO SKU-USD'!$D35,'01. KE30'!$A:$A,'05. BC BH THEO SKU-USD'!DT$4),"-")</f>
        <v>51.146489197530855</v>
      </c>
      <c r="DU35" s="114">
        <f>IFERROR(SUMIFS('01. KE30'!$X:$X,'01. KE30'!$F:$F,'05. BC BH THEO SKU-USD'!$D35,'01. KE30'!$A:$A,'05. BC BH THEO SKU-USD'!DU$4)-SUMIFS('01. KE30'!$AA:$AA,'01. KE30'!$F:$F,'05. BC BH THEO SKU-USD'!$D35,'01. KE30'!$A:$A,'05. BC BH THEO SKU-USD'!DU$4),"-")</f>
        <v>0</v>
      </c>
      <c r="DV35" s="114">
        <f>IFERROR(SUMIFS('01. KE30'!$X:$X,'01. KE30'!$F:$F,'05. BC BH THEO SKU-USD'!$D35,'01. KE30'!$A:$A,'05. BC BH THEO SKU-USD'!DV$4)-SUMIFS('01. KE30'!$AA:$AA,'01. KE30'!$F:$F,'05. BC BH THEO SKU-USD'!$D35,'01. KE30'!$A:$A,'05. BC BH THEO SKU-USD'!DV$4),"-")</f>
        <v>0</v>
      </c>
      <c r="DW35" s="114">
        <f>IFERROR(SUMIFS('01. KE30'!$X:$X,'01. KE30'!$F:$F,'05. BC BH THEO SKU-USD'!$D35,'01. KE30'!$A:$A,'05. BC BH THEO SKU-USD'!DW$4)-SUMIFS('01. KE30'!$AA:$AA,'01. KE30'!$F:$F,'05. BC BH THEO SKU-USD'!$D35,'01. KE30'!$A:$A,'05. BC BH THEO SKU-USD'!DW$4),"-")</f>
        <v>0</v>
      </c>
      <c r="DX35" s="114">
        <f>IFERROR(SUMIFS('01. KE30'!$X:$X,'01. KE30'!$F:$F,'05. BC BH THEO SKU-USD'!$D35,'01. KE30'!$A:$A,'05. BC BH THEO SKU-USD'!DX$4)-SUMIFS('01. KE30'!$AA:$AA,'01. KE30'!$F:$F,'05. BC BH THEO SKU-USD'!$D35,'01. KE30'!$A:$A,'05. BC BH THEO SKU-USD'!DX$4),"-")</f>
        <v>0</v>
      </c>
      <c r="DY35" s="114">
        <f>IFERROR(SUMIFS('01. KE30'!$X:$X,'01. KE30'!$F:$F,'05. BC BH THEO SKU-USD'!$D35,'01. KE30'!$A:$A,'05. BC BH THEO SKU-USD'!DY$4)-SUMIFS('01. KE30'!$AA:$AA,'01. KE30'!$F:$F,'05. BC BH THEO SKU-USD'!$D35,'01. KE30'!$A:$A,'05. BC BH THEO SKU-USD'!DY$4),"-")</f>
        <v>0</v>
      </c>
      <c r="DZ35" s="114">
        <f>IFERROR(SUMIFS('01. KE30'!$X:$X,'01. KE30'!$F:$F,'05. BC BH THEO SKU-USD'!$D35,'01. KE30'!$A:$A,'05. BC BH THEO SKU-USD'!DZ$4)-SUMIFS('01. KE30'!$AA:$AA,'01. KE30'!$F:$F,'05. BC BH THEO SKU-USD'!$D35,'01. KE30'!$A:$A,'05. BC BH THEO SKU-USD'!DZ$4),"-")</f>
        <v>0</v>
      </c>
      <c r="EB35" s="576">
        <f t="shared" si="252"/>
        <v>0.108004948870263</v>
      </c>
      <c r="EC35" s="573">
        <f t="shared" si="253"/>
        <v>0</v>
      </c>
      <c r="ED35" s="573">
        <f t="shared" si="19"/>
        <v>0</v>
      </c>
      <c r="EE35" s="572">
        <f t="shared" si="20"/>
        <v>0.10621419997072173</v>
      </c>
      <c r="EF35" s="572">
        <f t="shared" si="21"/>
        <v>0</v>
      </c>
      <c r="EG35" s="572">
        <f t="shared" si="22"/>
        <v>0</v>
      </c>
      <c r="EH35" s="572">
        <f t="shared" si="23"/>
        <v>0.1106086954490324</v>
      </c>
      <c r="EI35" s="572">
        <f t="shared" si="24"/>
        <v>0</v>
      </c>
      <c r="EJ35" s="572">
        <f t="shared" si="25"/>
        <v>0</v>
      </c>
      <c r="EK35" s="572">
        <f t="shared" si="26"/>
        <v>0</v>
      </c>
      <c r="EL35" s="572">
        <f t="shared" si="27"/>
        <v>0</v>
      </c>
      <c r="EM35" s="572">
        <f t="shared" si="28"/>
        <v>0</v>
      </c>
      <c r="EN35" s="572">
        <f t="shared" si="29"/>
        <v>0</v>
      </c>
    </row>
    <row r="36" spans="1:144" ht="15.5" outlineLevel="1" x14ac:dyDescent="0.35">
      <c r="A36" s="10">
        <f t="shared" si="298"/>
        <v>7</v>
      </c>
      <c r="B36" s="27" t="s">
        <v>265</v>
      </c>
      <c r="C36" s="246" t="str">
        <f>VLOOKUP(D36,'Quy đổi'!A:C,3,0)</f>
        <v>A03N01</v>
      </c>
      <c r="D36" s="459" t="s">
        <v>375</v>
      </c>
      <c r="E36" s="7" t="s">
        <v>376</v>
      </c>
      <c r="F36" s="92">
        <f t="shared" si="295"/>
        <v>1480.0967768242497</v>
      </c>
      <c r="G36" s="106" t="str">
        <f>IFERROR(SUMIFS('01. KE30'!$K:$K,'01. KE30'!$F:$F,'05. BC BH THEO SKU-USD'!$D36,'01. KE30'!$A:$A,'05. BC BH THEO SKU-USD'!G$4)/'05. BC BH THEO SKU-USD'!CM36/'02. Tỷ giá'!B$5,"-")</f>
        <v>-</v>
      </c>
      <c r="H36" s="106" t="str">
        <f>IFERROR(SUMIFS('01. KE30'!$K:$K,'01. KE30'!$F:$F,'05. BC BH THEO SKU-USD'!$D36,'01. KE30'!$A:$A,'05. BC BH THEO SKU-USD'!H$4)/'05. BC BH THEO SKU-USD'!CN36/'02. Tỷ giá'!C$5,"-")</f>
        <v>-</v>
      </c>
      <c r="I36" s="106">
        <f>IFERROR(SUMIFS('01. KE30'!$K:$K,'01. KE30'!$F:$F,'05. BC BH THEO SKU-USD'!$D36,'01. KE30'!$A:$A,'05. BC BH THEO SKU-USD'!I$4)/'05. BC BH THEO SKU-USD'!CO36/'02. Tỷ giá'!D$5,"-")</f>
        <v>1485</v>
      </c>
      <c r="J36" s="106">
        <f>IFERROR(SUMIFS('01. KE30'!$K:$K,'01. KE30'!$F:$F,'05. BC BH THEO SKU-USD'!$D36,'01. KE30'!$A:$A,'05. BC BH THEO SKU-USD'!J$4)/'05. BC BH THEO SKU-USD'!CP36/'02. Tỷ giá'!E$5,"-")</f>
        <v>1339.7831978319782</v>
      </c>
      <c r="K36" s="106" t="str">
        <f>IFERROR(SUMIFS('01. KE30'!$K:$K,'01. KE30'!$F:$F,'05. BC BH THEO SKU-USD'!$D36,'01. KE30'!$A:$A,'05. BC BH THEO SKU-USD'!K$4)/'05. BC BH THEO SKU-USD'!CQ36/'02. Tỷ giá'!F$5,"-")</f>
        <v>-</v>
      </c>
      <c r="L36" s="106">
        <f>IFERROR(SUMIFS('01. KE30'!$K:$K,'01. KE30'!$F:$F,'05. BC BH THEO SKU-USD'!$D36,'01. KE30'!$A:$A,'05. BC BH THEO SKU-USD'!L$4)/'05. BC BH THEO SKU-USD'!CR36/'02. Tỷ giá'!G$5,"-")</f>
        <v>1634.6039094650207</v>
      </c>
      <c r="M36" s="106" t="str">
        <f>IFERROR(SUMIFS('01. KE30'!$K:$K,'01. KE30'!$F:$F,'05. BC BH THEO SKU-USD'!$D36,'01. KE30'!$A:$A,'05. BC BH THEO SKU-USD'!M$4)/'05. BC BH THEO SKU-USD'!CS36/'02. Tỷ giá'!H$5,"-")</f>
        <v>-</v>
      </c>
      <c r="N36" s="106">
        <f>IFERROR(SUMIFS('01. KE30'!$K:$K,'01. KE30'!$F:$F,'05. BC BH THEO SKU-USD'!$D36,'01. KE30'!$A:$A,'05. BC BH THEO SKU-USD'!N$4)/'05. BC BH THEO SKU-USD'!CT36/'02. Tỷ giá'!I$5,"-")</f>
        <v>1461</v>
      </c>
      <c r="O36" s="106" t="str">
        <f>IFERROR(SUMIFS('01. KE30'!$K:$K,'01. KE30'!$F:$F,'05. BC BH THEO SKU-USD'!$D36,'01. KE30'!$A:$A,'05. BC BH THEO SKU-USD'!O$4)/'05. BC BH THEO SKU-USD'!CU36/'02. Tỷ giá'!J$5,"-")</f>
        <v>-</v>
      </c>
      <c r="P36" s="106" t="str">
        <f>IFERROR(SUMIFS('01. KE30'!$K:$K,'01. KE30'!$F:$F,'05. BC BH THEO SKU-USD'!$D36,'01. KE30'!$A:$A,'05. BC BH THEO SKU-USD'!P$4)/'05. BC BH THEO SKU-USD'!CV36/'02. Tỷ giá'!K$5,"-")</f>
        <v>-</v>
      </c>
      <c r="Q36" s="106" t="str">
        <f>IFERROR(SUMIFS('01. KE30'!$K:$K,'01. KE30'!$F:$F,'05. BC BH THEO SKU-USD'!$D36,'01. KE30'!$A:$A,'05. BC BH THEO SKU-USD'!Q$4)/'05. BC BH THEO SKU-USD'!CW36/'02. Tỷ giá'!L$5,"-")</f>
        <v>-</v>
      </c>
      <c r="R36" s="106" t="str">
        <f>IFERROR(SUMIFS('01. KE30'!$K:$K,'01. KE30'!$F:$F,'05. BC BH THEO SKU-USD'!$D36,'01. KE30'!$A:$A,'05. BC BH THEO SKU-USD'!R$4)/'05. BC BH THEO SKU-USD'!CX36/'02. Tỷ giá'!M$5,"-")</f>
        <v>-</v>
      </c>
      <c r="T36" s="92">
        <f t="shared" si="35"/>
        <v>1365.7650639134793</v>
      </c>
      <c r="U36" s="147" t="str">
        <f>IFERROR(SUMIFS('01. KE30'!$O:$O,'01. KE30'!$F:$F,'05. BC BH THEO SKU-USD'!$D36,'01. KE30'!$A:$A,'05. BC BH THEO SKU-USD'!G$4)/'05. BC BH THEO SKU-USD'!CM36/'02. Tỷ giá'!B$5,"-")</f>
        <v>-</v>
      </c>
      <c r="V36" s="147" t="str">
        <f>IFERROR(SUMIFS('01. KE30'!$O:$O,'01. KE30'!$F:$F,'05. BC BH THEO SKU-USD'!$D36,'01. KE30'!$A:$A,'05. BC BH THEO SKU-USD'!H$4)/'05. BC BH THEO SKU-USD'!CN36/'02. Tỷ giá'!C$5,"-")</f>
        <v>-</v>
      </c>
      <c r="W36" s="147">
        <f>IFERROR(SUMIFS('01. KE30'!$O:$O,'01. KE30'!$F:$F,'05. BC BH THEO SKU-USD'!$D36,'01. KE30'!$A:$A,'05. BC BH THEO SKU-USD'!I$4)/'05. BC BH THEO SKU-USD'!CO36/'02. Tỷ giá'!D$5,"-")</f>
        <v>1384.8160073172671</v>
      </c>
      <c r="X36" s="147">
        <f>IFERROR(SUMIFS('01. KE30'!$O:$O,'01. KE30'!$F:$F,'05. BC BH THEO SKU-USD'!$D36,'01. KE30'!$A:$A,'05. BC BH THEO SKU-USD'!J$4)/'05. BC BH THEO SKU-USD'!CP36/'02. Tỷ giá'!E$5,"-")</f>
        <v>1339.7831978319782</v>
      </c>
      <c r="Y36" s="147" t="str">
        <f>IFERROR(SUMIFS('01. KE30'!$O:$O,'01. KE30'!$F:$F,'05. BC BH THEO SKU-USD'!$D36,'01. KE30'!$A:$A,'05. BC BH THEO SKU-USD'!K$4)/'05. BC BH THEO SKU-USD'!CQ36/'02. Tỷ giá'!F$5,"-")</f>
        <v>-</v>
      </c>
      <c r="Z36" s="147">
        <f>IFERROR(SUMIFS('01. KE30'!$O:$O,'01. KE30'!$F:$F,'05. BC BH THEO SKU-USD'!$D36,'01. KE30'!$A:$A,'05. BC BH THEO SKU-USD'!L$4)/'05. BC BH THEO SKU-USD'!CR36/'02. Tỷ giá'!G$5,"-")</f>
        <v>1397.7306397306397</v>
      </c>
      <c r="AA36" s="147" t="str">
        <f>IFERROR(SUMIFS('01. KE30'!$O:$O,'01. KE30'!$F:$F,'05. BC BH THEO SKU-USD'!$D36,'01. KE30'!$A:$A,'05. BC BH THEO SKU-USD'!M$4)/'05. BC BH THEO SKU-USD'!CS36/'02. Tỷ giá'!H$5,"-")</f>
        <v>-</v>
      </c>
      <c r="AB36" s="147">
        <f>IFERROR(SUMIFS('01. KE30'!$O:$O,'01. KE30'!$F:$F,'05. BC BH THEO SKU-USD'!$D36,'01. KE30'!$A:$A,'05. BC BH THEO SKU-USD'!N$4)/'05. BC BH THEO SKU-USD'!CT36/'02. Tỷ giá'!I$5,"-")</f>
        <v>1345.5134430631756</v>
      </c>
      <c r="AC36" s="147" t="str">
        <f>IFERROR(SUMIFS('01. KE30'!$O:$O,'01. KE30'!$F:$F,'05. BC BH THEO SKU-USD'!$D36,'01. KE30'!$A:$A,'05. BC BH THEO SKU-USD'!O$4)/'05. BC BH THEO SKU-USD'!CU36/'02. Tỷ giá'!J$5,"-")</f>
        <v>-</v>
      </c>
      <c r="AD36" s="147" t="str">
        <f>IFERROR(SUMIFS('01. KE30'!$O:$O,'01. KE30'!$F:$F,'05. BC BH THEO SKU-USD'!$D36,'01. KE30'!$A:$A,'05. BC BH THEO SKU-USD'!P$4)/'05. BC BH THEO SKU-USD'!CV36/'02. Tỷ giá'!K$5,"-")</f>
        <v>-</v>
      </c>
      <c r="AE36" s="147" t="str">
        <f>IFERROR(SUMIFS('01. KE30'!$O:$O,'01. KE30'!$F:$F,'05. BC BH THEO SKU-USD'!$D36,'01. KE30'!$A:$A,'05. BC BH THEO SKU-USD'!Q$4)/'05. BC BH THEO SKU-USD'!CW36/'02. Tỷ giá'!L$5,"-")</f>
        <v>-</v>
      </c>
      <c r="AF36" s="147" t="str">
        <f>IFERROR(SUMIFS('01. KE30'!$O:$O,'01. KE30'!$F:$F,'05. BC BH THEO SKU-USD'!$D36,'01. KE30'!$A:$A,'05. BC BH THEO SKU-USD'!R$4)/'05. BC BH THEO SKU-USD'!CX36/'02. Tỷ giá'!M$5,"-")</f>
        <v>-</v>
      </c>
      <c r="AH36" s="55">
        <f t="shared" si="296"/>
        <v>1304.4444444444443</v>
      </c>
      <c r="AI36" s="4">
        <v>1350</v>
      </c>
      <c r="AJ36" s="4">
        <v>1350</v>
      </c>
      <c r="AK36" s="4">
        <v>1300</v>
      </c>
      <c r="AL36" s="4">
        <v>1300</v>
      </c>
      <c r="AM36" s="4">
        <v>1300</v>
      </c>
      <c r="AN36" s="4">
        <v>1300</v>
      </c>
      <c r="AO36" s="4">
        <v>1300</v>
      </c>
      <c r="AP36" s="4">
        <v>1280</v>
      </c>
      <c r="AQ36" s="4">
        <v>1260</v>
      </c>
      <c r="AR36" s="4"/>
      <c r="AS36" s="4"/>
      <c r="AT36" s="4"/>
      <c r="AV36" s="54">
        <f t="shared" si="299"/>
        <v>61.320619469034909</v>
      </c>
      <c r="AW36" s="95" t="str">
        <f t="shared" si="299"/>
        <v>-</v>
      </c>
      <c r="AX36" s="95" t="str">
        <f t="shared" si="300"/>
        <v>-</v>
      </c>
      <c r="AY36" s="95">
        <f t="shared" si="300"/>
        <v>84.816007317267122</v>
      </c>
      <c r="AZ36" s="95">
        <f t="shared" si="300"/>
        <v>39.783197831978214</v>
      </c>
      <c r="BA36" s="95" t="str">
        <f t="shared" si="300"/>
        <v>-</v>
      </c>
      <c r="BB36" s="95">
        <f t="shared" si="300"/>
        <v>97.730639730639723</v>
      </c>
      <c r="BC36" s="95" t="str">
        <f t="shared" si="300"/>
        <v>-</v>
      </c>
      <c r="BD36" s="95">
        <f t="shared" si="300"/>
        <v>65.5134430631756</v>
      </c>
      <c r="BE36" s="95" t="str">
        <f t="shared" si="300"/>
        <v>-</v>
      </c>
      <c r="BF36" s="95" t="str">
        <f t="shared" si="300"/>
        <v>-</v>
      </c>
      <c r="BG36" s="95" t="str">
        <f t="shared" si="300"/>
        <v>-</v>
      </c>
      <c r="BH36" s="95" t="str">
        <f t="shared" si="300"/>
        <v>-</v>
      </c>
      <c r="BJ36" s="143">
        <f t="shared" si="65"/>
        <v>4.7008992778646869E-2</v>
      </c>
      <c r="BK36" s="143" t="str">
        <f t="shared" si="65"/>
        <v>-</v>
      </c>
      <c r="BL36" s="143" t="str">
        <f t="shared" si="65"/>
        <v>-</v>
      </c>
      <c r="BM36" s="143">
        <f t="shared" si="66"/>
        <v>6.5243082551743936E-2</v>
      </c>
      <c r="BN36" s="143">
        <f t="shared" si="66"/>
        <v>3.0602459870752472E-2</v>
      </c>
      <c r="BO36" s="143" t="str">
        <f t="shared" si="66"/>
        <v>-</v>
      </c>
      <c r="BP36" s="143">
        <f t="shared" si="66"/>
        <v>7.5177415177415177E-2</v>
      </c>
      <c r="BQ36" s="143" t="str">
        <f t="shared" si="66"/>
        <v>-</v>
      </c>
      <c r="BR36" s="143">
        <f t="shared" si="66"/>
        <v>5.1182377393105938E-2</v>
      </c>
      <c r="BS36" s="143" t="str">
        <f t="shared" si="66"/>
        <v>-</v>
      </c>
      <c r="BT36" s="143" t="str">
        <f t="shared" si="68"/>
        <v>-</v>
      </c>
      <c r="BU36" s="143" t="str">
        <f t="shared" si="68"/>
        <v>-</v>
      </c>
      <c r="BV36" s="143" t="str">
        <f t="shared" si="68"/>
        <v>-</v>
      </c>
      <c r="BX36" s="112">
        <f t="shared" si="280"/>
        <v>1099.0283207917209</v>
      </c>
      <c r="BY36" s="95" t="str">
        <f>IFERROR(SUMIFS('01. KE30'!$R:$R,'01. KE30'!$F:$F,'05. BC BH THEO SKU-USD'!$D36,'01. KE30'!$A:$A,'05. BC BH THEO SKU-USD'!BY$4)/CM36/'02. Tỷ giá'!B$5," -")</f>
        <v xml:space="preserve"> -</v>
      </c>
      <c r="BZ36" s="95" t="str">
        <f>IFERROR(SUMIFS('01. KE30'!$R:$R,'01. KE30'!$F:$F,'05. BC BH THEO SKU-USD'!$D36,'01. KE30'!$A:$A,'05. BC BH THEO SKU-USD'!BZ$4)/CN36/'02. Tỷ giá'!C$5," -")</f>
        <v xml:space="preserve"> -</v>
      </c>
      <c r="CA36" s="95">
        <f>IFERROR(SUMIFS('01. KE30'!$R:$R,'01. KE30'!$F:$F,'05. BC BH THEO SKU-USD'!$D36,'01. KE30'!$A:$A,'05. BC BH THEO SKU-USD'!CA$4)/CO36/'02. Tỷ giá'!D$5," -")</f>
        <v>1118.1016670643444</v>
      </c>
      <c r="CB36" s="95">
        <f>IFERROR(SUMIFS('01. KE30'!$R:$R,'01. KE30'!$F:$F,'05. BC BH THEO SKU-USD'!$D36,'01. KE30'!$A:$A,'05. BC BH THEO SKU-USD'!CB$4)/CP36/'02. Tỷ giá'!E$5," -")</f>
        <v>1093.837630662021</v>
      </c>
      <c r="CC36" s="95" t="str">
        <f>IFERROR(SUMIFS('01. KE30'!$R:$R,'01. KE30'!$F:$F,'05. BC BH THEO SKU-USD'!$D36,'01. KE30'!$A:$A,'05. BC BH THEO SKU-USD'!CC$4)/CQ36/'02. Tỷ giá'!F$5," -")</f>
        <v xml:space="preserve"> -</v>
      </c>
      <c r="CD36" s="95">
        <f>IFERROR(SUMIFS('01. KE30'!$R:$R,'01. KE30'!$F:$F,'05. BC BH THEO SKU-USD'!$D36,'01. KE30'!$A:$A,'05. BC BH THEO SKU-USD'!CD$4)/CR36/'02. Tỷ giá'!G$5," -")</f>
        <v>1099.2503086419754</v>
      </c>
      <c r="CE36" s="95" t="str">
        <f>IFERROR(SUMIFS('01. KE30'!$R:$R,'01. KE30'!$F:$F,'05. BC BH THEO SKU-USD'!$D36,'01. KE30'!$A:$A,'05. BC BH THEO SKU-USD'!CE$4)/CS36/'02. Tỷ giá'!H$5," -")</f>
        <v xml:space="preserve"> -</v>
      </c>
      <c r="CF36" s="95">
        <f>IFERROR(SUMIFS('01. KE30'!$R:$R,'01. KE30'!$F:$F,'05. BC BH THEO SKU-USD'!$D36,'01. KE30'!$A:$A,'05. BC BH THEO SKU-USD'!CF$4)/CT36/'02. Tỷ giá'!I$5," -")</f>
        <v>1084.9236767985431</v>
      </c>
      <c r="CG36" s="95" t="str">
        <f>IFERROR(SUMIFS('01. KE30'!$R:$R,'01. KE30'!$F:$F,'05. BC BH THEO SKU-USD'!$D36,'01. KE30'!$A:$A,'05. BC BH THEO SKU-USD'!CG$4)/CU36/'02. Tỷ giá'!J$5," -")</f>
        <v xml:space="preserve"> -</v>
      </c>
      <c r="CH36" s="95" t="str">
        <f>IFERROR(SUMIFS('01. KE30'!$R:$R,'01. KE30'!$F:$F,'05. BC BH THEO SKU-USD'!$D36,'01. KE30'!$A:$A,'05. BC BH THEO SKU-USD'!CH$4)/CV36/'02. Tỷ giá'!K$5," -")</f>
        <v xml:space="preserve"> -</v>
      </c>
      <c r="CI36" s="95" t="str">
        <f>IFERROR(SUMIFS('01. KE30'!$R:$R,'01. KE30'!$F:$F,'05. BC BH THEO SKU-USD'!$D36,'01. KE30'!$A:$A,'05. BC BH THEO SKU-USD'!CI$4)/CW36/'02. Tỷ giá'!L$5," -")</f>
        <v xml:space="preserve"> -</v>
      </c>
      <c r="CJ36" s="95" t="str">
        <f>IFERROR(SUMIFS('01. KE30'!$R:$R,'01. KE30'!$F:$F,'05. BC BH THEO SKU-USD'!$D36,'01. KE30'!$A:$A,'05. BC BH THEO SKU-USD'!CJ$4)/CX36/'02. Tỷ giá'!M$5," -")</f>
        <v xml:space="preserve"> -</v>
      </c>
      <c r="CL36" s="112">
        <f t="shared" si="281"/>
        <v>202.625</v>
      </c>
      <c r="CM36" s="114">
        <f>SUMIFS('01. KE30'!$I:$I,'01. KE30'!$F:$F,'05. BC BH THEO SKU-USD'!$D36,'01. KE30'!$A:$A,'05. BC BH THEO SKU-USD'!CM$4)/1000</f>
        <v>0</v>
      </c>
      <c r="CN36" s="114">
        <f>SUMIFS('01. KE30'!$I:$I,'01. KE30'!$F:$F,'05. BC BH THEO SKU-USD'!$D36,'01. KE30'!$A:$A,'05. BC BH THEO SKU-USD'!CN$4)/1000</f>
        <v>0</v>
      </c>
      <c r="CO36" s="114">
        <f>SUMIFS('01. KE30'!$I:$I,'01. KE30'!$F:$F,'05. BC BH THEO SKU-USD'!$D36,'01. KE30'!$A:$A,'05. BC BH THEO SKU-USD'!CO$4)/1000</f>
        <v>99</v>
      </c>
      <c r="CP36" s="114">
        <f>SUMIFS('01. KE30'!$I:$I,'01. KE30'!$F:$F,'05. BC BH THEO SKU-USD'!$D36,'01. KE30'!$A:$A,'05. BC BH THEO SKU-USD'!CP$4)/1000</f>
        <v>0.5</v>
      </c>
      <c r="CQ36" s="114">
        <f>SUMIFS('01. KE30'!$I:$I,'01. KE30'!$F:$F,'05. BC BH THEO SKU-USD'!$D36,'01. KE30'!$A:$A,'05. BC BH THEO SKU-USD'!CQ$4)/1000</f>
        <v>0</v>
      </c>
      <c r="CR36" s="114">
        <f>SUMIFS('01. KE30'!$I:$I,'01. KE30'!$F:$F,'05. BC BH THEO SKU-USD'!$D36,'01. KE30'!$A:$A,'05. BC BH THEO SKU-USD'!CR$4)/1000</f>
        <v>4.125</v>
      </c>
      <c r="CS36" s="114">
        <f>SUMIFS('01. KE30'!$I:$I,'01. KE30'!$F:$F,'05. BC BH THEO SKU-USD'!$D36,'01. KE30'!$A:$A,'05. BC BH THEO SKU-USD'!CS$4)/1000</f>
        <v>0</v>
      </c>
      <c r="CT36" s="114">
        <f>SUMIFS('01. KE30'!$I:$I,'01. KE30'!$F:$F,'05. BC BH THEO SKU-USD'!$D36,'01. KE30'!$A:$A,'05. BC BH THEO SKU-USD'!CT$4)/1000</f>
        <v>99</v>
      </c>
      <c r="CU36" s="114">
        <f>SUMIFS('01. KE30'!$I:$I,'01. KE30'!$F:$F,'05. BC BH THEO SKU-USD'!$D36,'01. KE30'!$A:$A,'05. BC BH THEO SKU-USD'!CU$4)/1000</f>
        <v>0</v>
      </c>
      <c r="CV36" s="114">
        <f>SUMIFS('01. KE30'!$I:$I,'01. KE30'!$F:$F,'05. BC BH THEO SKU-USD'!$D36,'01. KE30'!$A:$A,'05. BC BH THEO SKU-USD'!CV$4)/1000</f>
        <v>0</v>
      </c>
      <c r="CW36" s="114">
        <f>SUMIFS('01. KE30'!$I:$I,'01. KE30'!$F:$F,'05. BC BH THEO SKU-USD'!$D36,'01. KE30'!$A:$A,'05. BC BH THEO SKU-USD'!CW$4)/1000</f>
        <v>0</v>
      </c>
      <c r="CX36" s="114">
        <f>SUMIFS('01. KE30'!$I:$I,'01. KE30'!$F:$F,'05. BC BH THEO SKU-USD'!$D36,'01. KE30'!$A:$A,'05. BC BH THEO SKU-USD'!CX$4)/1000</f>
        <v>0</v>
      </c>
      <c r="CZ36" s="112">
        <f t="shared" si="282"/>
        <v>299066.63272545917</v>
      </c>
      <c r="DA36" s="54" t="str">
        <f t="shared" si="283"/>
        <v xml:space="preserve"> -</v>
      </c>
      <c r="DB36" s="54" t="str">
        <f t="shared" si="284"/>
        <v xml:space="preserve"> -</v>
      </c>
      <c r="DC36" s="54">
        <f t="shared" si="285"/>
        <v>147015</v>
      </c>
      <c r="DD36" s="54">
        <f t="shared" si="286"/>
        <v>669.89159891598911</v>
      </c>
      <c r="DE36" s="54" t="str">
        <f t="shared" si="287"/>
        <v xml:space="preserve"> -</v>
      </c>
      <c r="DF36" s="54">
        <f t="shared" si="288"/>
        <v>6742.7411265432102</v>
      </c>
      <c r="DG36" s="54" t="str">
        <f t="shared" si="289"/>
        <v xml:space="preserve"> -</v>
      </c>
      <c r="DH36" s="54">
        <f t="shared" si="290"/>
        <v>144639</v>
      </c>
      <c r="DI36" s="54" t="str">
        <f t="shared" si="291"/>
        <v xml:space="preserve"> -</v>
      </c>
      <c r="DJ36" s="54" t="str">
        <f t="shared" si="292"/>
        <v xml:space="preserve"> -</v>
      </c>
      <c r="DK36" s="54" t="str">
        <f t="shared" si="293"/>
        <v xml:space="preserve"> -</v>
      </c>
      <c r="DL36" s="54" t="str">
        <f t="shared" si="294"/>
        <v xml:space="preserve"> -</v>
      </c>
      <c r="DN36" s="112">
        <f t="shared" si="64"/>
        <v>53557.310694563726</v>
      </c>
      <c r="DO36" s="114">
        <f>IFERROR(SUMIFS('01. KE30'!$X:$X,'01. KE30'!$F:$F,'05. BC BH THEO SKU-USD'!$D36,'01. KE30'!$A:$A,'05. BC BH THEO SKU-USD'!DO$4)-SUMIFS('01. KE30'!$AA:$AA,'01. KE30'!$F:$F,'05. BC BH THEO SKU-USD'!$D36,'01. KE30'!$A:$A,'05. BC BH THEO SKU-USD'!DO$4),"-")</f>
        <v>0</v>
      </c>
      <c r="DP36" s="114">
        <f>IFERROR(SUMIFS('01. KE30'!$X:$X,'01. KE30'!$F:$F,'05. BC BH THEO SKU-USD'!$D36,'01. KE30'!$A:$A,'05. BC BH THEO SKU-USD'!DP$4)-SUMIFS('01. KE30'!$AA:$AA,'01. KE30'!$F:$F,'05. BC BH THEO SKU-USD'!$D36,'01. KE30'!$A:$A,'05. BC BH THEO SKU-USD'!DP$4),"-")</f>
        <v>0</v>
      </c>
      <c r="DQ36" s="114">
        <f>IFERROR(SUMIFS('01. KE30'!$X:$X,'01. KE30'!$F:$F,'05. BC BH THEO SKU-USD'!$D36,'01. KE30'!$A:$A,'05. BC BH THEO SKU-USD'!DQ$4)-SUMIFS('01. KE30'!$AA:$AA,'01. KE30'!$F:$F,'05. BC BH THEO SKU-USD'!$D36,'01. KE30'!$A:$A,'05. BC BH THEO SKU-USD'!DQ$4),"-")</f>
        <v>26404.719685039381</v>
      </c>
      <c r="DR36" s="114">
        <f>IFERROR(SUMIFS('01. KE30'!$X:$X,'01. KE30'!$F:$F,'05. BC BH THEO SKU-USD'!$D36,'01. KE30'!$A:$A,'05. BC BH THEO SKU-USD'!DR$4)-SUMIFS('01. KE30'!$AA:$AA,'01. KE30'!$F:$F,'05. BC BH THEO SKU-USD'!$D36,'01. KE30'!$A:$A,'05. BC BH THEO SKU-USD'!DR$4),"-")</f>
        <v>122.97278358497863</v>
      </c>
      <c r="DS36" s="114">
        <f>IFERROR(SUMIFS('01. KE30'!$X:$X,'01. KE30'!$F:$F,'05. BC BH THEO SKU-USD'!$D36,'01. KE30'!$A:$A,'05. BC BH THEO SKU-USD'!DS$4)-SUMIFS('01. KE30'!$AA:$AA,'01. KE30'!$F:$F,'05. BC BH THEO SKU-USD'!$D36,'01. KE30'!$A:$A,'05. BC BH THEO SKU-USD'!DS$4),"-")</f>
        <v>0</v>
      </c>
      <c r="DT36" s="114">
        <f>IFERROR(SUMIFS('01. KE30'!$X:$X,'01. KE30'!$F:$F,'05. BC BH THEO SKU-USD'!$D36,'01. KE30'!$A:$A,'05. BC BH THEO SKU-USD'!DT$4)-SUMIFS('01. KE30'!$AA:$AA,'01. KE30'!$F:$F,'05. BC BH THEO SKU-USD'!$D36,'01. KE30'!$A:$A,'05. BC BH THEO SKU-USD'!DT$4),"-")</f>
        <v>1231.2313657407403</v>
      </c>
      <c r="DU36" s="114">
        <f>IFERROR(SUMIFS('01. KE30'!$X:$X,'01. KE30'!$F:$F,'05. BC BH THEO SKU-USD'!$D36,'01. KE30'!$A:$A,'05. BC BH THEO SKU-USD'!DU$4)-SUMIFS('01. KE30'!$AA:$AA,'01. KE30'!$F:$F,'05. BC BH THEO SKU-USD'!$D36,'01. KE30'!$A:$A,'05. BC BH THEO SKU-USD'!DU$4),"-")</f>
        <v>0</v>
      </c>
      <c r="DV36" s="114">
        <f>IFERROR(SUMIFS('01. KE30'!$X:$X,'01. KE30'!$F:$F,'05. BC BH THEO SKU-USD'!$D36,'01. KE30'!$A:$A,'05. BC BH THEO SKU-USD'!DV$4)-SUMIFS('01. KE30'!$AA:$AA,'01. KE30'!$F:$F,'05. BC BH THEO SKU-USD'!$D36,'01. KE30'!$A:$A,'05. BC BH THEO SKU-USD'!DV$4),"-")</f>
        <v>25798.386860198632</v>
      </c>
      <c r="DW36" s="114">
        <f>IFERROR(SUMIFS('01. KE30'!$X:$X,'01. KE30'!$F:$F,'05. BC BH THEO SKU-USD'!$D36,'01. KE30'!$A:$A,'05. BC BH THEO SKU-USD'!DW$4)-SUMIFS('01. KE30'!$AA:$AA,'01. KE30'!$F:$F,'05. BC BH THEO SKU-USD'!$D36,'01. KE30'!$A:$A,'05. BC BH THEO SKU-USD'!DW$4),"-")</f>
        <v>0</v>
      </c>
      <c r="DX36" s="114">
        <f>IFERROR(SUMIFS('01. KE30'!$X:$X,'01. KE30'!$F:$F,'05. BC BH THEO SKU-USD'!$D36,'01. KE30'!$A:$A,'05. BC BH THEO SKU-USD'!DX$4)-SUMIFS('01. KE30'!$AA:$AA,'01. KE30'!$F:$F,'05. BC BH THEO SKU-USD'!$D36,'01. KE30'!$A:$A,'05. BC BH THEO SKU-USD'!DX$4),"-")</f>
        <v>0</v>
      </c>
      <c r="DY36" s="114">
        <f>IFERROR(SUMIFS('01. KE30'!$X:$X,'01. KE30'!$F:$F,'05. BC BH THEO SKU-USD'!$D36,'01. KE30'!$A:$A,'05. BC BH THEO SKU-USD'!DY$4)-SUMIFS('01. KE30'!$AA:$AA,'01. KE30'!$F:$F,'05. BC BH THEO SKU-USD'!$D36,'01. KE30'!$A:$A,'05. BC BH THEO SKU-USD'!DY$4),"-")</f>
        <v>0</v>
      </c>
      <c r="DZ36" s="114">
        <f>IFERROR(SUMIFS('01. KE30'!$X:$X,'01. KE30'!$F:$F,'05. BC BH THEO SKU-USD'!$D36,'01. KE30'!$A:$A,'05. BC BH THEO SKU-USD'!DZ$4)-SUMIFS('01. KE30'!$AA:$AA,'01. KE30'!$F:$F,'05. BC BH THEO SKU-USD'!$D36,'01. KE30'!$A:$A,'05. BC BH THEO SKU-USD'!DZ$4),"-")</f>
        <v>0</v>
      </c>
      <c r="EB36" s="576">
        <f t="shared" si="252"/>
        <v>0.17908153178602482</v>
      </c>
      <c r="EC36" s="573">
        <f t="shared" si="253"/>
        <v>0</v>
      </c>
      <c r="ED36" s="573">
        <f t="shared" si="19"/>
        <v>0</v>
      </c>
      <c r="EE36" s="572">
        <f t="shared" si="20"/>
        <v>0.1796056163319347</v>
      </c>
      <c r="EF36" s="572">
        <f t="shared" si="21"/>
        <v>0.18357116850542951</v>
      </c>
      <c r="EG36" s="572">
        <f t="shared" si="22"/>
        <v>0</v>
      </c>
      <c r="EH36" s="572">
        <f t="shared" si="23"/>
        <v>0.18260101383603816</v>
      </c>
      <c r="EI36" s="572">
        <f t="shared" si="24"/>
        <v>0</v>
      </c>
      <c r="EJ36" s="572">
        <f t="shared" si="25"/>
        <v>0.1783639741715487</v>
      </c>
      <c r="EK36" s="572">
        <f t="shared" si="26"/>
        <v>0</v>
      </c>
      <c r="EL36" s="572">
        <f t="shared" si="27"/>
        <v>0</v>
      </c>
      <c r="EM36" s="572">
        <f t="shared" si="28"/>
        <v>0</v>
      </c>
      <c r="EN36" s="572">
        <f t="shared" si="29"/>
        <v>0</v>
      </c>
    </row>
    <row r="37" spans="1:144" ht="15.5" outlineLevel="1" x14ac:dyDescent="0.35">
      <c r="A37" s="10">
        <f t="shared" si="298"/>
        <v>8</v>
      </c>
      <c r="B37" s="27" t="s">
        <v>265</v>
      </c>
      <c r="C37" s="246" t="str">
        <f>VLOOKUP(D37,'Quy đổi'!A:C,3,0)</f>
        <v>rHDB03N01</v>
      </c>
      <c r="D37" s="459" t="s">
        <v>56</v>
      </c>
      <c r="E37" s="7" t="s">
        <v>55</v>
      </c>
      <c r="F37" s="92" t="str">
        <f t="shared" si="295"/>
        <v>-</v>
      </c>
      <c r="G37" s="106" t="str">
        <f>IFERROR(SUMIFS('01. KE30'!$K:$K,'01. KE30'!$F:$F,'05. BC BH THEO SKU-USD'!$D37,'01. KE30'!$A:$A,'05. BC BH THEO SKU-USD'!G$4)/'05. BC BH THEO SKU-USD'!CM37/'02. Tỷ giá'!B$5,"-")</f>
        <v>-</v>
      </c>
      <c r="H37" s="106" t="str">
        <f>IFERROR(SUMIFS('01. KE30'!$K:$K,'01. KE30'!$F:$F,'05. BC BH THEO SKU-USD'!$D37,'01. KE30'!$A:$A,'05. BC BH THEO SKU-USD'!H$4)/'05. BC BH THEO SKU-USD'!CN37/'02. Tỷ giá'!C$5,"-")</f>
        <v>-</v>
      </c>
      <c r="I37" s="106" t="str">
        <f>IFERROR(SUMIFS('01. KE30'!$K:$K,'01. KE30'!$F:$F,'05. BC BH THEO SKU-USD'!$D37,'01. KE30'!$A:$A,'05. BC BH THEO SKU-USD'!I$4)/'05. BC BH THEO SKU-USD'!CO37/'02. Tỷ giá'!D$5,"-")</f>
        <v>-</v>
      </c>
      <c r="J37" s="106" t="str">
        <f>IFERROR(SUMIFS('01. KE30'!$K:$K,'01. KE30'!$F:$F,'05. BC BH THEO SKU-USD'!$D37,'01. KE30'!$A:$A,'05. BC BH THEO SKU-USD'!J$4)/'05. BC BH THEO SKU-USD'!CP37/'02. Tỷ giá'!E$5,"-")</f>
        <v>-</v>
      </c>
      <c r="K37" s="106" t="str">
        <f>IFERROR(SUMIFS('01. KE30'!$K:$K,'01. KE30'!$F:$F,'05. BC BH THEO SKU-USD'!$D37,'01. KE30'!$A:$A,'05. BC BH THEO SKU-USD'!K$4)/'05. BC BH THEO SKU-USD'!CQ37/'02. Tỷ giá'!F$5,"-")</f>
        <v>-</v>
      </c>
      <c r="L37" s="106" t="str">
        <f>IFERROR(SUMIFS('01. KE30'!$K:$K,'01. KE30'!$F:$F,'05. BC BH THEO SKU-USD'!$D37,'01. KE30'!$A:$A,'05. BC BH THEO SKU-USD'!L$4)/'05. BC BH THEO SKU-USD'!CR37/'02. Tỷ giá'!G$5,"-")</f>
        <v>-</v>
      </c>
      <c r="M37" s="106" t="str">
        <f>IFERROR(SUMIFS('01. KE30'!$K:$K,'01. KE30'!$F:$F,'05. BC BH THEO SKU-USD'!$D37,'01. KE30'!$A:$A,'05. BC BH THEO SKU-USD'!M$4)/'05. BC BH THEO SKU-USD'!CS37/'02. Tỷ giá'!H$5,"-")</f>
        <v>-</v>
      </c>
      <c r="N37" s="106" t="str">
        <f>IFERROR(SUMIFS('01. KE30'!$K:$K,'01. KE30'!$F:$F,'05. BC BH THEO SKU-USD'!$D37,'01. KE30'!$A:$A,'05. BC BH THEO SKU-USD'!N$4)/'05. BC BH THEO SKU-USD'!CT37/'02. Tỷ giá'!I$5,"-")</f>
        <v>-</v>
      </c>
      <c r="O37" s="106" t="str">
        <f>IFERROR(SUMIFS('01. KE30'!$K:$K,'01. KE30'!$F:$F,'05. BC BH THEO SKU-USD'!$D37,'01. KE30'!$A:$A,'05. BC BH THEO SKU-USD'!O$4)/'05. BC BH THEO SKU-USD'!CU37/'02. Tỷ giá'!J$5,"-")</f>
        <v>-</v>
      </c>
      <c r="P37" s="106" t="str">
        <f>IFERROR(SUMIFS('01. KE30'!$K:$K,'01. KE30'!$F:$F,'05. BC BH THEO SKU-USD'!$D37,'01. KE30'!$A:$A,'05. BC BH THEO SKU-USD'!P$4)/'05. BC BH THEO SKU-USD'!CV37/'02. Tỷ giá'!K$5,"-")</f>
        <v>-</v>
      </c>
      <c r="Q37" s="106" t="str">
        <f>IFERROR(SUMIFS('01. KE30'!$K:$K,'01. KE30'!$F:$F,'05. BC BH THEO SKU-USD'!$D37,'01. KE30'!$A:$A,'05. BC BH THEO SKU-USD'!Q$4)/'05. BC BH THEO SKU-USD'!CW37/'02. Tỷ giá'!L$5,"-")</f>
        <v>-</v>
      </c>
      <c r="R37" s="106" t="str">
        <f>IFERROR(SUMIFS('01. KE30'!$K:$K,'01. KE30'!$F:$F,'05. BC BH THEO SKU-USD'!$D37,'01. KE30'!$A:$A,'05. BC BH THEO SKU-USD'!R$4)/'05. BC BH THEO SKU-USD'!CX37/'02. Tỷ giá'!M$5,"-")</f>
        <v>-</v>
      </c>
      <c r="T37" s="92">
        <f t="shared" si="35"/>
        <v>0</v>
      </c>
      <c r="U37" s="147" t="str">
        <f>IFERROR(SUMIFS('01. KE30'!$O:$O,'01. KE30'!$F:$F,'05. BC BH THEO SKU-USD'!$D37,'01. KE30'!$A:$A,'05. BC BH THEO SKU-USD'!G$4)/'05. BC BH THEO SKU-USD'!CM37/'02. Tỷ giá'!B$5,"-")</f>
        <v>-</v>
      </c>
      <c r="V37" s="147" t="str">
        <f>IFERROR(SUMIFS('01. KE30'!$O:$O,'01. KE30'!$F:$F,'05. BC BH THEO SKU-USD'!$D37,'01. KE30'!$A:$A,'05. BC BH THEO SKU-USD'!H$4)/'05. BC BH THEO SKU-USD'!CN37/'02. Tỷ giá'!C$5,"-")</f>
        <v>-</v>
      </c>
      <c r="W37" s="147" t="str">
        <f>IFERROR(SUMIFS('01. KE30'!$O:$O,'01. KE30'!$F:$F,'05. BC BH THEO SKU-USD'!$D37,'01. KE30'!$A:$A,'05. BC BH THEO SKU-USD'!I$4)/'05. BC BH THEO SKU-USD'!CO37/'02. Tỷ giá'!D$5,"-")</f>
        <v>-</v>
      </c>
      <c r="X37" s="147" t="str">
        <f>IFERROR(SUMIFS('01. KE30'!$O:$O,'01. KE30'!$F:$F,'05. BC BH THEO SKU-USD'!$D37,'01. KE30'!$A:$A,'05. BC BH THEO SKU-USD'!J$4)/'05. BC BH THEO SKU-USD'!CP37/'02. Tỷ giá'!E$5,"-")</f>
        <v>-</v>
      </c>
      <c r="Y37" s="147" t="str">
        <f>IFERROR(SUMIFS('01. KE30'!$O:$O,'01. KE30'!$F:$F,'05. BC BH THEO SKU-USD'!$D37,'01. KE30'!$A:$A,'05. BC BH THEO SKU-USD'!K$4)/'05. BC BH THEO SKU-USD'!CQ37/'02. Tỷ giá'!F$5,"-")</f>
        <v>-</v>
      </c>
      <c r="Z37" s="147" t="str">
        <f>IFERROR(SUMIFS('01. KE30'!$O:$O,'01. KE30'!$F:$F,'05. BC BH THEO SKU-USD'!$D37,'01. KE30'!$A:$A,'05. BC BH THEO SKU-USD'!L$4)/'05. BC BH THEO SKU-USD'!CR37/'02. Tỷ giá'!G$5,"-")</f>
        <v>-</v>
      </c>
      <c r="AA37" s="147" t="str">
        <f>IFERROR(SUMIFS('01. KE30'!$O:$O,'01. KE30'!$F:$F,'05. BC BH THEO SKU-USD'!$D37,'01. KE30'!$A:$A,'05. BC BH THEO SKU-USD'!M$4)/'05. BC BH THEO SKU-USD'!CS37/'02. Tỷ giá'!H$5,"-")</f>
        <v>-</v>
      </c>
      <c r="AB37" s="147" t="str">
        <f>IFERROR(SUMIFS('01. KE30'!$O:$O,'01. KE30'!$F:$F,'05. BC BH THEO SKU-USD'!$D37,'01. KE30'!$A:$A,'05. BC BH THEO SKU-USD'!N$4)/'05. BC BH THEO SKU-USD'!CT37/'02. Tỷ giá'!I$5,"-")</f>
        <v>-</v>
      </c>
      <c r="AC37" s="147" t="str">
        <f>IFERROR(SUMIFS('01. KE30'!$O:$O,'01. KE30'!$F:$F,'05. BC BH THEO SKU-USD'!$D37,'01. KE30'!$A:$A,'05. BC BH THEO SKU-USD'!O$4)/'05. BC BH THEO SKU-USD'!CU37/'02. Tỷ giá'!J$5,"-")</f>
        <v>-</v>
      </c>
      <c r="AD37" s="147" t="str">
        <f>IFERROR(SUMIFS('01. KE30'!$O:$O,'01. KE30'!$F:$F,'05. BC BH THEO SKU-USD'!$D37,'01. KE30'!$A:$A,'05. BC BH THEO SKU-USD'!P$4)/'05. BC BH THEO SKU-USD'!CV37/'02. Tỷ giá'!K$5,"-")</f>
        <v>-</v>
      </c>
      <c r="AE37" s="147" t="str">
        <f>IFERROR(SUMIFS('01. KE30'!$O:$O,'01. KE30'!$F:$F,'05. BC BH THEO SKU-USD'!$D37,'01. KE30'!$A:$A,'05. BC BH THEO SKU-USD'!Q$4)/'05. BC BH THEO SKU-USD'!CW37/'02. Tỷ giá'!L$5,"-")</f>
        <v>-</v>
      </c>
      <c r="AF37" s="147" t="str">
        <f>IFERROR(SUMIFS('01. KE30'!$O:$O,'01. KE30'!$F:$F,'05. BC BH THEO SKU-USD'!$D37,'01. KE30'!$A:$A,'05. BC BH THEO SKU-USD'!R$4)/'05. BC BH THEO SKU-USD'!CX37/'02. Tỷ giá'!M$5,"-")</f>
        <v>-</v>
      </c>
      <c r="AH37" s="55">
        <f t="shared" si="296"/>
        <v>1260</v>
      </c>
      <c r="AI37" s="4">
        <v>1350</v>
      </c>
      <c r="AJ37" s="4">
        <v>1300</v>
      </c>
      <c r="AK37" s="4">
        <v>1250</v>
      </c>
      <c r="AL37" s="4">
        <v>1250</v>
      </c>
      <c r="AM37" s="4">
        <v>1250</v>
      </c>
      <c r="AN37" s="4">
        <v>1250</v>
      </c>
      <c r="AO37" s="4">
        <v>1250</v>
      </c>
      <c r="AP37" s="4">
        <v>1230</v>
      </c>
      <c r="AQ37" s="4">
        <v>1210</v>
      </c>
      <c r="AR37" s="4"/>
      <c r="AS37" s="4"/>
      <c r="AT37" s="4"/>
      <c r="AV37" s="54" t="str">
        <f t="shared" si="299"/>
        <v>-</v>
      </c>
      <c r="AW37" s="95" t="str">
        <f t="shared" si="299"/>
        <v>-</v>
      </c>
      <c r="AX37" s="95" t="str">
        <f t="shared" si="300"/>
        <v>-</v>
      </c>
      <c r="AY37" s="95" t="str">
        <f t="shared" si="300"/>
        <v>-</v>
      </c>
      <c r="AZ37" s="95" t="str">
        <f t="shared" si="300"/>
        <v>-</v>
      </c>
      <c r="BA37" s="95" t="str">
        <f t="shared" si="300"/>
        <v>-</v>
      </c>
      <c r="BB37" s="95" t="str">
        <f t="shared" si="300"/>
        <v>-</v>
      </c>
      <c r="BC37" s="95" t="str">
        <f t="shared" si="300"/>
        <v>-</v>
      </c>
      <c r="BD37" s="95" t="str">
        <f t="shared" si="300"/>
        <v>-</v>
      </c>
      <c r="BE37" s="95" t="str">
        <f t="shared" si="300"/>
        <v>-</v>
      </c>
      <c r="BF37" s="95" t="str">
        <f t="shared" si="300"/>
        <v>-</v>
      </c>
      <c r="BG37" s="95" t="str">
        <f t="shared" si="300"/>
        <v>-</v>
      </c>
      <c r="BH37" s="95" t="str">
        <f t="shared" si="300"/>
        <v>-</v>
      </c>
      <c r="BJ37" s="143" t="str">
        <f t="shared" si="65"/>
        <v>-</v>
      </c>
      <c r="BK37" s="143" t="str">
        <f t="shared" si="65"/>
        <v>-</v>
      </c>
      <c r="BL37" s="143" t="str">
        <f t="shared" si="65"/>
        <v>-</v>
      </c>
      <c r="BM37" s="143" t="str">
        <f t="shared" si="66"/>
        <v>-</v>
      </c>
      <c r="BN37" s="143" t="str">
        <f t="shared" si="66"/>
        <v>-</v>
      </c>
      <c r="BO37" s="143" t="str">
        <f t="shared" si="66"/>
        <v>-</v>
      </c>
      <c r="BP37" s="143" t="str">
        <f t="shared" si="66"/>
        <v>-</v>
      </c>
      <c r="BQ37" s="143" t="str">
        <f t="shared" si="66"/>
        <v>-</v>
      </c>
      <c r="BR37" s="143" t="str">
        <f t="shared" si="66"/>
        <v>-</v>
      </c>
      <c r="BS37" s="143" t="str">
        <f t="shared" si="66"/>
        <v>-</v>
      </c>
      <c r="BT37" s="143" t="str">
        <f t="shared" si="68"/>
        <v>-</v>
      </c>
      <c r="BU37" s="143" t="str">
        <f t="shared" si="68"/>
        <v>-</v>
      </c>
      <c r="BV37" s="143" t="str">
        <f t="shared" si="68"/>
        <v>-</v>
      </c>
      <c r="BX37" s="112" t="str">
        <f t="shared" si="280"/>
        <v>-</v>
      </c>
      <c r="BY37" s="95" t="str">
        <f>IFERROR(SUMIFS('01. KE30'!$R:$R,'01. KE30'!$F:$F,'05. BC BH THEO SKU-USD'!$D37,'01. KE30'!$A:$A,'05. BC BH THEO SKU-USD'!BY$4)/CM37/'02. Tỷ giá'!B$5," -")</f>
        <v xml:space="preserve"> -</v>
      </c>
      <c r="BZ37" s="95" t="str">
        <f>IFERROR(SUMIFS('01. KE30'!$R:$R,'01. KE30'!$F:$F,'05. BC BH THEO SKU-USD'!$D37,'01. KE30'!$A:$A,'05. BC BH THEO SKU-USD'!BZ$4)/CN37/'02. Tỷ giá'!C$5," -")</f>
        <v xml:space="preserve"> -</v>
      </c>
      <c r="CA37" s="95" t="str">
        <f>IFERROR(SUMIFS('01. KE30'!$R:$R,'01. KE30'!$F:$F,'05. BC BH THEO SKU-USD'!$D37,'01. KE30'!$A:$A,'05. BC BH THEO SKU-USD'!CA$4)/CO37/'02. Tỷ giá'!D$5," -")</f>
        <v xml:space="preserve"> -</v>
      </c>
      <c r="CB37" s="95" t="str">
        <f>IFERROR(SUMIFS('01. KE30'!$R:$R,'01. KE30'!$F:$F,'05. BC BH THEO SKU-USD'!$D37,'01. KE30'!$A:$A,'05. BC BH THEO SKU-USD'!CB$4)/CP37/'02. Tỷ giá'!E$5," -")</f>
        <v xml:space="preserve"> -</v>
      </c>
      <c r="CC37" s="95" t="str">
        <f>IFERROR(SUMIFS('01. KE30'!$R:$R,'01. KE30'!$F:$F,'05. BC BH THEO SKU-USD'!$D37,'01. KE30'!$A:$A,'05. BC BH THEO SKU-USD'!CC$4)/CQ37/'02. Tỷ giá'!F$5," -")</f>
        <v xml:space="preserve"> -</v>
      </c>
      <c r="CD37" s="95" t="str">
        <f>IFERROR(SUMIFS('01. KE30'!$R:$R,'01. KE30'!$F:$F,'05. BC BH THEO SKU-USD'!$D37,'01. KE30'!$A:$A,'05. BC BH THEO SKU-USD'!CD$4)/CR37/'02. Tỷ giá'!G$5," -")</f>
        <v xml:space="preserve"> -</v>
      </c>
      <c r="CE37" s="95" t="str">
        <f>IFERROR(SUMIFS('01. KE30'!$R:$R,'01. KE30'!$F:$F,'05. BC BH THEO SKU-USD'!$D37,'01. KE30'!$A:$A,'05. BC BH THEO SKU-USD'!CE$4)/CS37/'02. Tỷ giá'!H$5," -")</f>
        <v xml:space="preserve"> -</v>
      </c>
      <c r="CF37" s="95" t="str">
        <f>IFERROR(SUMIFS('01. KE30'!$R:$R,'01. KE30'!$F:$F,'05. BC BH THEO SKU-USD'!$D37,'01. KE30'!$A:$A,'05. BC BH THEO SKU-USD'!CF$4)/CT37/'02. Tỷ giá'!I$5," -")</f>
        <v xml:space="preserve"> -</v>
      </c>
      <c r="CG37" s="95" t="str">
        <f>IFERROR(SUMIFS('01. KE30'!$R:$R,'01. KE30'!$F:$F,'05. BC BH THEO SKU-USD'!$D37,'01. KE30'!$A:$A,'05. BC BH THEO SKU-USD'!CG$4)/CU37/'02. Tỷ giá'!J$5," -")</f>
        <v xml:space="preserve"> -</v>
      </c>
      <c r="CH37" s="95" t="str">
        <f>IFERROR(SUMIFS('01. KE30'!$R:$R,'01. KE30'!$F:$F,'05. BC BH THEO SKU-USD'!$D37,'01. KE30'!$A:$A,'05. BC BH THEO SKU-USD'!CH$4)/CV37/'02. Tỷ giá'!K$5," -")</f>
        <v xml:space="preserve"> -</v>
      </c>
      <c r="CI37" s="95" t="str">
        <f>IFERROR(SUMIFS('01. KE30'!$R:$R,'01. KE30'!$F:$F,'05. BC BH THEO SKU-USD'!$D37,'01. KE30'!$A:$A,'05. BC BH THEO SKU-USD'!CI$4)/CW37/'02. Tỷ giá'!L$5," -")</f>
        <v xml:space="preserve"> -</v>
      </c>
      <c r="CJ37" s="95" t="str">
        <f>IFERROR(SUMIFS('01. KE30'!$R:$R,'01. KE30'!$F:$F,'05. BC BH THEO SKU-USD'!$D37,'01. KE30'!$A:$A,'05. BC BH THEO SKU-USD'!CJ$4)/CX37/'02. Tỷ giá'!M$5," -")</f>
        <v xml:space="preserve"> -</v>
      </c>
      <c r="CL37" s="112">
        <f t="shared" si="281"/>
        <v>0</v>
      </c>
      <c r="CM37" s="114">
        <f>SUMIFS('01. KE30'!$I:$I,'01. KE30'!$F:$F,'05. BC BH THEO SKU-USD'!$D37,'01. KE30'!$A:$A,'05. BC BH THEO SKU-USD'!CM$4)/1000</f>
        <v>0</v>
      </c>
      <c r="CN37" s="114">
        <f>SUMIFS('01. KE30'!$I:$I,'01. KE30'!$F:$F,'05. BC BH THEO SKU-USD'!$D37,'01. KE30'!$A:$A,'05. BC BH THEO SKU-USD'!CN$4)/1000</f>
        <v>0</v>
      </c>
      <c r="CO37" s="114">
        <f>SUMIFS('01. KE30'!$I:$I,'01. KE30'!$F:$F,'05. BC BH THEO SKU-USD'!$D37,'01. KE30'!$A:$A,'05. BC BH THEO SKU-USD'!CO$4)/1000</f>
        <v>0</v>
      </c>
      <c r="CP37" s="114">
        <f>SUMIFS('01. KE30'!$I:$I,'01. KE30'!$F:$F,'05. BC BH THEO SKU-USD'!$D37,'01. KE30'!$A:$A,'05. BC BH THEO SKU-USD'!CP$4)/1000</f>
        <v>0</v>
      </c>
      <c r="CQ37" s="114">
        <f>SUMIFS('01. KE30'!$I:$I,'01. KE30'!$F:$F,'05. BC BH THEO SKU-USD'!$D37,'01. KE30'!$A:$A,'05. BC BH THEO SKU-USD'!CQ$4)/1000</f>
        <v>0</v>
      </c>
      <c r="CR37" s="114">
        <f>SUMIFS('01. KE30'!$I:$I,'01. KE30'!$F:$F,'05. BC BH THEO SKU-USD'!$D37,'01. KE30'!$A:$A,'05. BC BH THEO SKU-USD'!CR$4)/1000</f>
        <v>0</v>
      </c>
      <c r="CS37" s="114">
        <f>SUMIFS('01. KE30'!$I:$I,'01. KE30'!$F:$F,'05. BC BH THEO SKU-USD'!$D37,'01. KE30'!$A:$A,'05. BC BH THEO SKU-USD'!CS$4)/1000</f>
        <v>0</v>
      </c>
      <c r="CT37" s="114">
        <f>SUMIFS('01. KE30'!$I:$I,'01. KE30'!$F:$F,'05. BC BH THEO SKU-USD'!$D37,'01. KE30'!$A:$A,'05. BC BH THEO SKU-USD'!CT$4)/1000</f>
        <v>0</v>
      </c>
      <c r="CU37" s="114">
        <f>SUMIFS('01. KE30'!$I:$I,'01. KE30'!$F:$F,'05. BC BH THEO SKU-USD'!$D37,'01. KE30'!$A:$A,'05. BC BH THEO SKU-USD'!CU$4)/1000</f>
        <v>0</v>
      </c>
      <c r="CV37" s="114">
        <f>SUMIFS('01. KE30'!$I:$I,'01. KE30'!$F:$F,'05. BC BH THEO SKU-USD'!$D37,'01. KE30'!$A:$A,'05. BC BH THEO SKU-USD'!CV$4)/1000</f>
        <v>0</v>
      </c>
      <c r="CW37" s="114">
        <f>SUMIFS('01. KE30'!$I:$I,'01. KE30'!$F:$F,'05. BC BH THEO SKU-USD'!$D37,'01. KE30'!$A:$A,'05. BC BH THEO SKU-USD'!CW$4)/1000</f>
        <v>0</v>
      </c>
      <c r="CX37" s="114">
        <f>SUMIFS('01. KE30'!$I:$I,'01. KE30'!$F:$F,'05. BC BH THEO SKU-USD'!$D37,'01. KE30'!$A:$A,'05. BC BH THEO SKU-USD'!CX$4)/1000</f>
        <v>0</v>
      </c>
      <c r="CZ37" s="112">
        <f t="shared" si="282"/>
        <v>0</v>
      </c>
      <c r="DA37" s="54" t="str">
        <f t="shared" si="283"/>
        <v xml:space="preserve"> -</v>
      </c>
      <c r="DB37" s="54" t="str">
        <f t="shared" si="284"/>
        <v xml:space="preserve"> -</v>
      </c>
      <c r="DC37" s="54" t="str">
        <f t="shared" si="285"/>
        <v xml:space="preserve"> -</v>
      </c>
      <c r="DD37" s="54" t="str">
        <f t="shared" si="286"/>
        <v xml:space="preserve"> -</v>
      </c>
      <c r="DE37" s="54" t="str">
        <f t="shared" si="287"/>
        <v xml:space="preserve"> -</v>
      </c>
      <c r="DF37" s="54" t="str">
        <f t="shared" si="288"/>
        <v xml:space="preserve"> -</v>
      </c>
      <c r="DG37" s="54" t="str">
        <f t="shared" si="289"/>
        <v xml:space="preserve"> -</v>
      </c>
      <c r="DH37" s="54" t="str">
        <f t="shared" si="290"/>
        <v xml:space="preserve"> -</v>
      </c>
      <c r="DI37" s="54" t="str">
        <f t="shared" si="291"/>
        <v xml:space="preserve"> -</v>
      </c>
      <c r="DJ37" s="54" t="str">
        <f t="shared" si="292"/>
        <v xml:space="preserve"> -</v>
      </c>
      <c r="DK37" s="54" t="str">
        <f t="shared" si="293"/>
        <v xml:space="preserve"> -</v>
      </c>
      <c r="DL37" s="54" t="str">
        <f t="shared" si="294"/>
        <v xml:space="preserve"> -</v>
      </c>
      <c r="DN37" s="112">
        <f t="shared" si="64"/>
        <v>0</v>
      </c>
      <c r="DO37" s="114">
        <f>IFERROR(SUMIFS('01. KE30'!$X:$X,'01. KE30'!$F:$F,'05. BC BH THEO SKU-USD'!$D37,'01. KE30'!$A:$A,'05. BC BH THEO SKU-USD'!DO$4)-SUMIFS('01. KE30'!$AA:$AA,'01. KE30'!$F:$F,'05. BC BH THEO SKU-USD'!$D37,'01. KE30'!$A:$A,'05. BC BH THEO SKU-USD'!DO$4),"-")</f>
        <v>0</v>
      </c>
      <c r="DP37" s="114">
        <f>IFERROR(SUMIFS('01. KE30'!$X:$X,'01. KE30'!$F:$F,'05. BC BH THEO SKU-USD'!$D37,'01. KE30'!$A:$A,'05. BC BH THEO SKU-USD'!DP$4)-SUMIFS('01. KE30'!$AA:$AA,'01. KE30'!$F:$F,'05. BC BH THEO SKU-USD'!$D37,'01. KE30'!$A:$A,'05. BC BH THEO SKU-USD'!DP$4),"-")</f>
        <v>0</v>
      </c>
      <c r="DQ37" s="114">
        <f>IFERROR(SUMIFS('01. KE30'!$X:$X,'01. KE30'!$F:$F,'05. BC BH THEO SKU-USD'!$D37,'01. KE30'!$A:$A,'05. BC BH THEO SKU-USD'!DQ$4)-SUMIFS('01. KE30'!$AA:$AA,'01. KE30'!$F:$F,'05. BC BH THEO SKU-USD'!$D37,'01. KE30'!$A:$A,'05. BC BH THEO SKU-USD'!DQ$4),"-")</f>
        <v>0</v>
      </c>
      <c r="DR37" s="114">
        <f>IFERROR(SUMIFS('01. KE30'!$X:$X,'01. KE30'!$F:$F,'05. BC BH THEO SKU-USD'!$D37,'01. KE30'!$A:$A,'05. BC BH THEO SKU-USD'!DR$4)-SUMIFS('01. KE30'!$AA:$AA,'01. KE30'!$F:$F,'05. BC BH THEO SKU-USD'!$D37,'01. KE30'!$A:$A,'05. BC BH THEO SKU-USD'!DR$4),"-")</f>
        <v>0</v>
      </c>
      <c r="DS37" s="114">
        <f>IFERROR(SUMIFS('01. KE30'!$X:$X,'01. KE30'!$F:$F,'05. BC BH THEO SKU-USD'!$D37,'01. KE30'!$A:$A,'05. BC BH THEO SKU-USD'!DS$4)-SUMIFS('01. KE30'!$AA:$AA,'01. KE30'!$F:$F,'05. BC BH THEO SKU-USD'!$D37,'01. KE30'!$A:$A,'05. BC BH THEO SKU-USD'!DS$4),"-")</f>
        <v>0</v>
      </c>
      <c r="DT37" s="114">
        <f>IFERROR(SUMIFS('01. KE30'!$X:$X,'01. KE30'!$F:$F,'05. BC BH THEO SKU-USD'!$D37,'01. KE30'!$A:$A,'05. BC BH THEO SKU-USD'!DT$4)-SUMIFS('01. KE30'!$AA:$AA,'01. KE30'!$F:$F,'05. BC BH THEO SKU-USD'!$D37,'01. KE30'!$A:$A,'05. BC BH THEO SKU-USD'!DT$4),"-")</f>
        <v>0</v>
      </c>
      <c r="DU37" s="114">
        <f>IFERROR(SUMIFS('01. KE30'!$X:$X,'01. KE30'!$F:$F,'05. BC BH THEO SKU-USD'!$D37,'01. KE30'!$A:$A,'05. BC BH THEO SKU-USD'!DU$4)-SUMIFS('01. KE30'!$AA:$AA,'01. KE30'!$F:$F,'05. BC BH THEO SKU-USD'!$D37,'01. KE30'!$A:$A,'05. BC BH THEO SKU-USD'!DU$4),"-")</f>
        <v>0</v>
      </c>
      <c r="DV37" s="114">
        <f>IFERROR(SUMIFS('01. KE30'!$X:$X,'01. KE30'!$F:$F,'05. BC BH THEO SKU-USD'!$D37,'01. KE30'!$A:$A,'05. BC BH THEO SKU-USD'!DV$4)-SUMIFS('01. KE30'!$AA:$AA,'01. KE30'!$F:$F,'05. BC BH THEO SKU-USD'!$D37,'01. KE30'!$A:$A,'05. BC BH THEO SKU-USD'!DV$4),"-")</f>
        <v>0</v>
      </c>
      <c r="DW37" s="114">
        <f>IFERROR(SUMIFS('01. KE30'!$X:$X,'01. KE30'!$F:$F,'05. BC BH THEO SKU-USD'!$D37,'01. KE30'!$A:$A,'05. BC BH THEO SKU-USD'!DW$4)-SUMIFS('01. KE30'!$AA:$AA,'01. KE30'!$F:$F,'05. BC BH THEO SKU-USD'!$D37,'01. KE30'!$A:$A,'05. BC BH THEO SKU-USD'!DW$4),"-")</f>
        <v>0</v>
      </c>
      <c r="DX37" s="114">
        <f>IFERROR(SUMIFS('01. KE30'!$X:$X,'01. KE30'!$F:$F,'05. BC BH THEO SKU-USD'!$D37,'01. KE30'!$A:$A,'05. BC BH THEO SKU-USD'!DX$4)-SUMIFS('01. KE30'!$AA:$AA,'01. KE30'!$F:$F,'05. BC BH THEO SKU-USD'!$D37,'01. KE30'!$A:$A,'05. BC BH THEO SKU-USD'!DX$4),"-")</f>
        <v>0</v>
      </c>
      <c r="DY37" s="114">
        <f>IFERROR(SUMIFS('01. KE30'!$X:$X,'01. KE30'!$F:$F,'05. BC BH THEO SKU-USD'!$D37,'01. KE30'!$A:$A,'05. BC BH THEO SKU-USD'!DY$4)-SUMIFS('01. KE30'!$AA:$AA,'01. KE30'!$F:$F,'05. BC BH THEO SKU-USD'!$D37,'01. KE30'!$A:$A,'05. BC BH THEO SKU-USD'!DY$4),"-")</f>
        <v>0</v>
      </c>
      <c r="DZ37" s="114">
        <f>IFERROR(SUMIFS('01. KE30'!$X:$X,'01. KE30'!$F:$F,'05. BC BH THEO SKU-USD'!$D37,'01. KE30'!$A:$A,'05. BC BH THEO SKU-USD'!DZ$4)-SUMIFS('01. KE30'!$AA:$AA,'01. KE30'!$F:$F,'05. BC BH THEO SKU-USD'!$D37,'01. KE30'!$A:$A,'05. BC BH THEO SKU-USD'!DZ$4),"-")</f>
        <v>0</v>
      </c>
      <c r="EB37" s="576">
        <f t="shared" si="252"/>
        <v>0</v>
      </c>
      <c r="EC37" s="573">
        <f t="shared" si="253"/>
        <v>0</v>
      </c>
      <c r="ED37" s="573">
        <f t="shared" si="19"/>
        <v>0</v>
      </c>
      <c r="EE37" s="572">
        <f t="shared" si="20"/>
        <v>0</v>
      </c>
      <c r="EF37" s="572">
        <f t="shared" si="21"/>
        <v>0</v>
      </c>
      <c r="EG37" s="572">
        <f t="shared" si="22"/>
        <v>0</v>
      </c>
      <c r="EH37" s="572">
        <f t="shared" si="23"/>
        <v>0</v>
      </c>
      <c r="EI37" s="572">
        <f t="shared" si="24"/>
        <v>0</v>
      </c>
      <c r="EJ37" s="572">
        <f t="shared" si="25"/>
        <v>0</v>
      </c>
      <c r="EK37" s="572">
        <f t="shared" si="26"/>
        <v>0</v>
      </c>
      <c r="EL37" s="572">
        <f t="shared" si="27"/>
        <v>0</v>
      </c>
      <c r="EM37" s="572">
        <f t="shared" si="28"/>
        <v>0</v>
      </c>
      <c r="EN37" s="572">
        <f t="shared" si="29"/>
        <v>0</v>
      </c>
    </row>
    <row r="38" spans="1:144" ht="15.5" outlineLevel="1" x14ac:dyDescent="0.35">
      <c r="A38" s="10">
        <f t="shared" si="298"/>
        <v>9</v>
      </c>
      <c r="B38" s="27" t="s">
        <v>265</v>
      </c>
      <c r="C38" s="246" t="str">
        <f>VLOOKUP(D38,'Quy đổi'!A:C,3,0)</f>
        <v>rHDB04B01</v>
      </c>
      <c r="D38" s="459" t="s">
        <v>52</v>
      </c>
      <c r="E38" s="7" t="s">
        <v>51</v>
      </c>
      <c r="F38" s="92">
        <f t="shared" si="295"/>
        <v>647.4006602057492</v>
      </c>
      <c r="G38" s="106" t="str">
        <f>IFERROR(SUMIFS('01. KE30'!$K:$K,'01. KE30'!$F:$F,'05. BC BH THEO SKU-USD'!$D38,'01. KE30'!$A:$A,'05. BC BH THEO SKU-USD'!G$4)/'05. BC BH THEO SKU-USD'!CM38/'02. Tỷ giá'!B$5,"-")</f>
        <v>-</v>
      </c>
      <c r="H38" s="106">
        <f>IFERROR(SUMIFS('01. KE30'!$K:$K,'01. KE30'!$F:$F,'05. BC BH THEO SKU-USD'!$D38,'01. KE30'!$A:$A,'05. BC BH THEO SKU-USD'!H$4)/'05. BC BH THEO SKU-USD'!CN38/'02. Tỷ giá'!C$5,"-")</f>
        <v>669.55494289090188</v>
      </c>
      <c r="I38" s="106">
        <f>IFERROR(SUMIFS('01. KE30'!$K:$K,'01. KE30'!$F:$F,'05. BC BH THEO SKU-USD'!$D38,'01. KE30'!$A:$A,'05. BC BH THEO SKU-USD'!I$4)/'05. BC BH THEO SKU-USD'!CO38/'02. Tỷ giá'!D$5,"-")</f>
        <v>669.29133858267721</v>
      </c>
      <c r="J38" s="106">
        <f>IFERROR(SUMIFS('01. KE30'!$K:$K,'01. KE30'!$F:$F,'05. BC BH THEO SKU-USD'!$D38,'01. KE30'!$A:$A,'05. BC BH THEO SKU-USD'!J$4)/'05. BC BH THEO SKU-USD'!CP38/'02. Tỷ giá'!E$5,"-")</f>
        <v>657.76229190863342</v>
      </c>
      <c r="K38" s="106" t="str">
        <f>IFERROR(SUMIFS('01. KE30'!$K:$K,'01. KE30'!$F:$F,'05. BC BH THEO SKU-USD'!$D38,'01. KE30'!$A:$A,'05. BC BH THEO SKU-USD'!K$4)/'05. BC BH THEO SKU-USD'!CQ38/'02. Tỷ giá'!F$5,"-")</f>
        <v>-</v>
      </c>
      <c r="L38" s="106">
        <f>IFERROR(SUMIFS('01. KE30'!$K:$K,'01. KE30'!$F:$F,'05. BC BH THEO SKU-USD'!$D38,'01. KE30'!$A:$A,'05. BC BH THEO SKU-USD'!L$4)/'05. BC BH THEO SKU-USD'!CR38/'02. Tỷ giá'!G$5,"-")</f>
        <v>614.44758847736625</v>
      </c>
      <c r="M38" s="106">
        <f>IFERROR(SUMIFS('01. KE30'!$K:$K,'01. KE30'!$F:$F,'05. BC BH THEO SKU-USD'!$D38,'01. KE30'!$A:$A,'05. BC BH THEO SKU-USD'!M$4)/'05. BC BH THEO SKU-USD'!CS38/'02. Tỷ giá'!H$5,"-")</f>
        <v>609.82091827406055</v>
      </c>
      <c r="N38" s="106">
        <f>IFERROR(SUMIFS('01. KE30'!$K:$K,'01. KE30'!$F:$F,'05. BC BH THEO SKU-USD'!$D38,'01. KE30'!$A:$A,'05. BC BH THEO SKU-USD'!N$4)/'05. BC BH THEO SKU-USD'!CT38/'02. Tỷ giá'!I$5,"-")</f>
        <v>711.28027115199802</v>
      </c>
      <c r="O38" s="106">
        <f>IFERROR(SUMIFS('01. KE30'!$K:$K,'01. KE30'!$F:$F,'05. BC BH THEO SKU-USD'!$D38,'01. KE30'!$A:$A,'05. BC BH THEO SKU-USD'!O$4)/'05. BC BH THEO SKU-USD'!CU38/'02. Tỷ giá'!J$5,"-")</f>
        <v>599.64727015460733</v>
      </c>
      <c r="P38" s="106" t="str">
        <f>IFERROR(SUMIFS('01. KE30'!$K:$K,'01. KE30'!$F:$F,'05. BC BH THEO SKU-USD'!$D38,'01. KE30'!$A:$A,'05. BC BH THEO SKU-USD'!P$4)/'05. BC BH THEO SKU-USD'!CV38/'02. Tỷ giá'!K$5,"-")</f>
        <v>-</v>
      </c>
      <c r="Q38" s="106" t="str">
        <f>IFERROR(SUMIFS('01. KE30'!$K:$K,'01. KE30'!$F:$F,'05. BC BH THEO SKU-USD'!$D38,'01. KE30'!$A:$A,'05. BC BH THEO SKU-USD'!Q$4)/'05. BC BH THEO SKU-USD'!CW38/'02. Tỷ giá'!L$5,"-")</f>
        <v>-</v>
      </c>
      <c r="R38" s="106" t="str">
        <f>IFERROR(SUMIFS('01. KE30'!$K:$K,'01. KE30'!$F:$F,'05. BC BH THEO SKU-USD'!$D38,'01. KE30'!$A:$A,'05. BC BH THEO SKU-USD'!R$4)/'05. BC BH THEO SKU-USD'!CX38/'02. Tỷ giá'!M$5,"-")</f>
        <v>-</v>
      </c>
      <c r="T38" s="92">
        <f t="shared" si="35"/>
        <v>624.62409564272002</v>
      </c>
      <c r="U38" s="147" t="str">
        <f>IFERROR(SUMIFS('01. KE30'!$O:$O,'01. KE30'!$F:$F,'05. BC BH THEO SKU-USD'!$D38,'01. KE30'!$A:$A,'05. BC BH THEO SKU-USD'!G$4)/'05. BC BH THEO SKU-USD'!CM38/'02. Tỷ giá'!B$5,"-")</f>
        <v>-</v>
      </c>
      <c r="V38" s="147">
        <f>IFERROR(SUMIFS('01. KE30'!$O:$O,'01. KE30'!$F:$F,'05. BC BH THEO SKU-USD'!$D38,'01. KE30'!$A:$A,'05. BC BH THEO SKU-USD'!H$4)/'05. BC BH THEO SKU-USD'!CN38/'02. Tỷ giá'!C$5,"-")</f>
        <v>669.55494289090188</v>
      </c>
      <c r="W38" s="147">
        <f>IFERROR(SUMIFS('01. KE30'!$O:$O,'01. KE30'!$F:$F,'05. BC BH THEO SKU-USD'!$D38,'01. KE30'!$A:$A,'05. BC BH THEO SKU-USD'!I$4)/'05. BC BH THEO SKU-USD'!CO38/'02. Tỷ giá'!D$5,"-")</f>
        <v>669.29133858267721</v>
      </c>
      <c r="X38" s="147">
        <f>IFERROR(SUMIFS('01. KE30'!$O:$O,'01. KE30'!$F:$F,'05. BC BH THEO SKU-USD'!$D38,'01. KE30'!$A:$A,'05. BC BH THEO SKU-USD'!J$4)/'05. BC BH THEO SKU-USD'!CP38/'02. Tỷ giá'!E$5,"-")</f>
        <v>657.76229190863342</v>
      </c>
      <c r="Y38" s="147" t="str">
        <f>IFERROR(SUMIFS('01. KE30'!$O:$O,'01. KE30'!$F:$F,'05. BC BH THEO SKU-USD'!$D38,'01. KE30'!$A:$A,'05. BC BH THEO SKU-USD'!K$4)/'05. BC BH THEO SKU-USD'!CQ38/'02. Tỷ giá'!F$5,"-")</f>
        <v>-</v>
      </c>
      <c r="Z38" s="147">
        <f>IFERROR(SUMIFS('01. KE30'!$O:$O,'01. KE30'!$F:$F,'05. BC BH THEO SKU-USD'!$D38,'01. KE30'!$A:$A,'05. BC BH THEO SKU-USD'!L$4)/'05. BC BH THEO SKU-USD'!CR38/'02. Tỷ giá'!G$5,"-")</f>
        <v>608.96062002743486</v>
      </c>
      <c r="AA38" s="147">
        <f>IFERROR(SUMIFS('01. KE30'!$O:$O,'01. KE30'!$F:$F,'05. BC BH THEO SKU-USD'!$D38,'01. KE30'!$A:$A,'05. BC BH THEO SKU-USD'!M$4)/'05. BC BH THEO SKU-USD'!CS38/'02. Tỷ giá'!H$5,"-")</f>
        <v>609.82091827406055</v>
      </c>
      <c r="AB38" s="147">
        <f>IFERROR(SUMIFS('01. KE30'!$O:$O,'01. KE30'!$F:$F,'05. BC BH THEO SKU-USD'!$D38,'01. KE30'!$A:$A,'05. BC BH THEO SKU-USD'!N$4)/'05. BC BH THEO SKU-USD'!CT38/'02. Tỷ giá'!I$5,"-")</f>
        <v>624.71099678310304</v>
      </c>
      <c r="AC38" s="147">
        <f>IFERROR(SUMIFS('01. KE30'!$O:$O,'01. KE30'!$F:$F,'05. BC BH THEO SKU-USD'!$D38,'01. KE30'!$A:$A,'05. BC BH THEO SKU-USD'!O$4)/'05. BC BH THEO SKU-USD'!CU38/'02. Tỷ giá'!J$5,"-")</f>
        <v>599.64727015460733</v>
      </c>
      <c r="AD38" s="147" t="str">
        <f>IFERROR(SUMIFS('01. KE30'!$O:$O,'01. KE30'!$F:$F,'05. BC BH THEO SKU-USD'!$D38,'01. KE30'!$A:$A,'05. BC BH THEO SKU-USD'!P$4)/'05. BC BH THEO SKU-USD'!CV38/'02. Tỷ giá'!K$5,"-")</f>
        <v>-</v>
      </c>
      <c r="AE38" s="147" t="str">
        <f>IFERROR(SUMIFS('01. KE30'!$O:$O,'01. KE30'!$F:$F,'05. BC BH THEO SKU-USD'!$D38,'01. KE30'!$A:$A,'05. BC BH THEO SKU-USD'!Q$4)/'05. BC BH THEO SKU-USD'!CW38/'02. Tỷ giá'!L$5,"-")</f>
        <v>-</v>
      </c>
      <c r="AF38" s="147" t="str">
        <f>IFERROR(SUMIFS('01. KE30'!$O:$O,'01. KE30'!$F:$F,'05. BC BH THEO SKU-USD'!$D38,'01. KE30'!$A:$A,'05. BC BH THEO SKU-USD'!R$4)/'05. BC BH THEO SKU-USD'!CX38/'02. Tỷ giá'!M$5,"-")</f>
        <v>-</v>
      </c>
      <c r="AH38" s="55">
        <f t="shared" si="296"/>
        <v>943.33333333333337</v>
      </c>
      <c r="AI38" s="4">
        <v>950</v>
      </c>
      <c r="AJ38" s="4">
        <v>950</v>
      </c>
      <c r="AK38" s="4">
        <v>950</v>
      </c>
      <c r="AL38" s="4">
        <v>950</v>
      </c>
      <c r="AM38" s="4">
        <v>950</v>
      </c>
      <c r="AN38" s="4">
        <v>950</v>
      </c>
      <c r="AO38" s="4">
        <v>950</v>
      </c>
      <c r="AP38" s="4">
        <f t="shared" ref="AP38" si="301">AO38-20</f>
        <v>930</v>
      </c>
      <c r="AQ38" s="4">
        <v>910</v>
      </c>
      <c r="AR38" s="4"/>
      <c r="AS38" s="4"/>
      <c r="AT38" s="4"/>
      <c r="AV38" s="54">
        <f t="shared" si="299"/>
        <v>-318.70923769061335</v>
      </c>
      <c r="AW38" s="95" t="str">
        <f t="shared" si="299"/>
        <v>-</v>
      </c>
      <c r="AX38" s="95">
        <f t="shared" si="300"/>
        <v>-280.44505710909812</v>
      </c>
      <c r="AY38" s="95">
        <f t="shared" si="300"/>
        <v>-280.70866141732279</v>
      </c>
      <c r="AZ38" s="95">
        <f t="shared" si="300"/>
        <v>-292.23770809136658</v>
      </c>
      <c r="BA38" s="95" t="str">
        <f t="shared" si="300"/>
        <v>-</v>
      </c>
      <c r="BB38" s="95">
        <f t="shared" si="300"/>
        <v>-341.03937997256514</v>
      </c>
      <c r="BC38" s="95">
        <f t="shared" si="300"/>
        <v>-340.17908172593945</v>
      </c>
      <c r="BD38" s="95">
        <f t="shared" si="300"/>
        <v>-305.28900321689696</v>
      </c>
      <c r="BE38" s="95">
        <f t="shared" si="300"/>
        <v>-310.35272984539267</v>
      </c>
      <c r="BF38" s="95" t="str">
        <f t="shared" si="300"/>
        <v>-</v>
      </c>
      <c r="BG38" s="95" t="str">
        <f t="shared" si="300"/>
        <v>-</v>
      </c>
      <c r="BH38" s="95" t="str">
        <f t="shared" si="300"/>
        <v>-</v>
      </c>
      <c r="BJ38" s="143">
        <f t="shared" si="65"/>
        <v>-0.33785431557308832</v>
      </c>
      <c r="BK38" s="143" t="str">
        <f t="shared" si="65"/>
        <v>-</v>
      </c>
      <c r="BL38" s="143">
        <f t="shared" si="65"/>
        <v>-0.29520532327273485</v>
      </c>
      <c r="BM38" s="143">
        <f t="shared" si="66"/>
        <v>-0.29548280149191875</v>
      </c>
      <c r="BN38" s="143">
        <f t="shared" si="66"/>
        <v>-0.30761864009617534</v>
      </c>
      <c r="BO38" s="143" t="str">
        <f t="shared" si="66"/>
        <v>-</v>
      </c>
      <c r="BP38" s="143">
        <f t="shared" si="66"/>
        <v>-0.35898882102375279</v>
      </c>
      <c r="BQ38" s="143">
        <f t="shared" si="66"/>
        <v>-0.35808324392204155</v>
      </c>
      <c r="BR38" s="143">
        <f t="shared" si="66"/>
        <v>-0.32826774539451287</v>
      </c>
      <c r="BS38" s="143">
        <f t="shared" si="66"/>
        <v>-0.34104695587405787</v>
      </c>
      <c r="BT38" s="143" t="str">
        <f t="shared" si="68"/>
        <v>-</v>
      </c>
      <c r="BU38" s="143" t="str">
        <f t="shared" si="68"/>
        <v>-</v>
      </c>
      <c r="BV38" s="143" t="str">
        <f t="shared" si="68"/>
        <v>-</v>
      </c>
      <c r="BX38" s="112">
        <f t="shared" si="280"/>
        <v>859.47944171374752</v>
      </c>
      <c r="BY38" s="95" t="str">
        <f>IFERROR(SUMIFS('01. KE30'!$R:$R,'01. KE30'!$F:$F,'05. BC BH THEO SKU-USD'!$D38,'01. KE30'!$A:$A,'05. BC BH THEO SKU-USD'!BY$4)/CM38/'02. Tỷ giá'!B$5," -")</f>
        <v xml:space="preserve"> -</v>
      </c>
      <c r="BZ38" s="95">
        <f>IFERROR(SUMIFS('01. KE30'!$R:$R,'01. KE30'!$F:$F,'05. BC BH THEO SKU-USD'!$D38,'01. KE30'!$A:$A,'05. BC BH THEO SKU-USD'!BZ$4)/CN38/'02. Tỷ giá'!C$5," -")</f>
        <v>914.30952415052445</v>
      </c>
      <c r="CA38" s="95">
        <f>IFERROR(SUMIFS('01. KE30'!$R:$R,'01. KE30'!$F:$F,'05. BC BH THEO SKU-USD'!$D38,'01. KE30'!$A:$A,'05. BC BH THEO SKU-USD'!CA$4)/CO38/'02. Tỷ giá'!D$5," -")</f>
        <v>914.7760410016316</v>
      </c>
      <c r="CB38" s="95">
        <f>IFERROR(SUMIFS('01. KE30'!$R:$R,'01. KE30'!$F:$F,'05. BC BH THEO SKU-USD'!$D38,'01. KE30'!$A:$A,'05. BC BH THEO SKU-USD'!CB$4)/CP38/'02. Tỷ giá'!E$5," -")</f>
        <v>890.40678539166345</v>
      </c>
      <c r="CC38" s="95" t="str">
        <f>IFERROR(SUMIFS('01. KE30'!$R:$R,'01. KE30'!$F:$F,'05. BC BH THEO SKU-USD'!$D38,'01. KE30'!$A:$A,'05. BC BH THEO SKU-USD'!CC$4)/CQ38/'02. Tỷ giá'!F$5," -")</f>
        <v xml:space="preserve"> -</v>
      </c>
      <c r="CD38" s="95">
        <f>IFERROR(SUMIFS('01. KE30'!$R:$R,'01. KE30'!$F:$F,'05. BC BH THEO SKU-USD'!$D38,'01. KE30'!$A:$A,'05. BC BH THEO SKU-USD'!CD$4)/CR38/'02. Tỷ giá'!G$5," -")</f>
        <v>827.38068861454053</v>
      </c>
      <c r="CE38" s="95">
        <f>IFERROR(SUMIFS('01. KE30'!$R:$R,'01. KE30'!$F:$F,'05. BC BH THEO SKU-USD'!$D38,'01. KE30'!$A:$A,'05. BC BH THEO SKU-USD'!CE$4)/CS38/'02. Tỷ giá'!H$5," -")</f>
        <v>823.97296085758717</v>
      </c>
      <c r="CF38" s="95">
        <f>IFERROR(SUMIFS('01. KE30'!$R:$R,'01. KE30'!$F:$F,'05. BC BH THEO SKU-USD'!$D38,'01. KE30'!$A:$A,'05. BC BH THEO SKU-USD'!CF$4)/CT38/'02. Tỷ giá'!I$5," -")</f>
        <v>823.03076126909139</v>
      </c>
      <c r="CG38" s="95">
        <f>IFERROR(SUMIFS('01. KE30'!$R:$R,'01. KE30'!$F:$F,'05. BC BH THEO SKU-USD'!$D38,'01. KE30'!$A:$A,'05. BC BH THEO SKU-USD'!CG$4)/CU38/'02. Tỷ giá'!J$5," -")</f>
        <v>822.4793307111936</v>
      </c>
      <c r="CH38" s="95" t="str">
        <f>IFERROR(SUMIFS('01. KE30'!$R:$R,'01. KE30'!$F:$F,'05. BC BH THEO SKU-USD'!$D38,'01. KE30'!$A:$A,'05. BC BH THEO SKU-USD'!CH$4)/CV38/'02. Tỷ giá'!K$5," -")</f>
        <v xml:space="preserve"> -</v>
      </c>
      <c r="CI38" s="95" t="str">
        <f>IFERROR(SUMIFS('01. KE30'!$R:$R,'01. KE30'!$F:$F,'05. BC BH THEO SKU-USD'!$D38,'01. KE30'!$A:$A,'05. BC BH THEO SKU-USD'!CI$4)/CW38/'02. Tỷ giá'!L$5," -")</f>
        <v xml:space="preserve"> -</v>
      </c>
      <c r="CJ38" s="95" t="str">
        <f>IFERROR(SUMIFS('01. KE30'!$R:$R,'01. KE30'!$F:$F,'05. BC BH THEO SKU-USD'!$D38,'01. KE30'!$A:$A,'05. BC BH THEO SKU-USD'!CJ$4)/CX38/'02. Tỷ giá'!M$5," -")</f>
        <v xml:space="preserve"> -</v>
      </c>
      <c r="CL38" s="112">
        <f t="shared" si="281"/>
        <v>202.1</v>
      </c>
      <c r="CM38" s="114">
        <f>SUMIFS('01. KE30'!$I:$I,'01. KE30'!$F:$F,'05. BC BH THEO SKU-USD'!$D38,'01. KE30'!$A:$A,'05. BC BH THEO SKU-USD'!CM$4)/1000</f>
        <v>0</v>
      </c>
      <c r="CN38" s="114">
        <f>SUMIFS('01. KE30'!$I:$I,'01. KE30'!$F:$F,'05. BC BH THEO SKU-USD'!$D38,'01. KE30'!$A:$A,'05. BC BH THEO SKU-USD'!CN$4)/1000</f>
        <v>11</v>
      </c>
      <c r="CO38" s="114">
        <f>SUMIFS('01. KE30'!$I:$I,'01. KE30'!$F:$F,'05. BC BH THEO SKU-USD'!$D38,'01. KE30'!$A:$A,'05. BC BH THEO SKU-USD'!CO$4)/1000</f>
        <v>11.1</v>
      </c>
      <c r="CP38" s="114">
        <f>SUMIFS('01. KE30'!$I:$I,'01. KE30'!$F:$F,'05. BC BH THEO SKU-USD'!$D38,'01. KE30'!$A:$A,'05. BC BH THEO SKU-USD'!CP$4)/1000</f>
        <v>30</v>
      </c>
      <c r="CQ38" s="114">
        <f>SUMIFS('01. KE30'!$I:$I,'01. KE30'!$F:$F,'05. BC BH THEO SKU-USD'!$D38,'01. KE30'!$A:$A,'05. BC BH THEO SKU-USD'!CQ$4)/1000</f>
        <v>0</v>
      </c>
      <c r="CR38" s="114">
        <f>SUMIFS('01. KE30'!$I:$I,'01. KE30'!$F:$F,'05. BC BH THEO SKU-USD'!$D38,'01. KE30'!$A:$A,'05. BC BH THEO SKU-USD'!CR$4)/1000</f>
        <v>28.125</v>
      </c>
      <c r="CS38" s="114">
        <f>SUMIFS('01. KE30'!$I:$I,'01. KE30'!$F:$F,'05. BC BH THEO SKU-USD'!$D38,'01. KE30'!$A:$A,'05. BC BH THEO SKU-USD'!CS$4)/1000</f>
        <v>23.375</v>
      </c>
      <c r="CT38" s="114">
        <f>SUMIFS('01. KE30'!$I:$I,'01. KE30'!$F:$F,'05. BC BH THEO SKU-USD'!$D38,'01. KE30'!$A:$A,'05. BC BH THEO SKU-USD'!CT$4)/1000</f>
        <v>50.375</v>
      </c>
      <c r="CU38" s="114">
        <f>SUMIFS('01. KE30'!$I:$I,'01. KE30'!$F:$F,'05. BC BH THEO SKU-USD'!$D38,'01. KE30'!$A:$A,'05. BC BH THEO SKU-USD'!CU$4)/1000</f>
        <v>48.125</v>
      </c>
      <c r="CV38" s="114">
        <f>SUMIFS('01. KE30'!$I:$I,'01. KE30'!$F:$F,'05. BC BH THEO SKU-USD'!$D38,'01. KE30'!$A:$A,'05. BC BH THEO SKU-USD'!CV$4)/1000</f>
        <v>0</v>
      </c>
      <c r="CW38" s="114">
        <f>SUMIFS('01. KE30'!$I:$I,'01. KE30'!$F:$F,'05. BC BH THEO SKU-USD'!$D38,'01. KE30'!$A:$A,'05. BC BH THEO SKU-USD'!CW$4)/1000</f>
        <v>0</v>
      </c>
      <c r="CX38" s="114">
        <f>SUMIFS('01. KE30'!$I:$I,'01. KE30'!$F:$F,'05. BC BH THEO SKU-USD'!$D38,'01. KE30'!$A:$A,'05. BC BH THEO SKU-USD'!CX$4)/1000</f>
        <v>0</v>
      </c>
      <c r="CZ38" s="112">
        <f t="shared" si="282"/>
        <v>130751.77791338111</v>
      </c>
      <c r="DA38" s="54" t="str">
        <f t="shared" si="283"/>
        <v xml:space="preserve"> -</v>
      </c>
      <c r="DB38" s="54">
        <f t="shared" si="284"/>
        <v>7365.104371799921</v>
      </c>
      <c r="DC38" s="54">
        <f t="shared" si="285"/>
        <v>7429.1338582677172</v>
      </c>
      <c r="DD38" s="54">
        <f t="shared" si="286"/>
        <v>19732.868757259002</v>
      </c>
      <c r="DE38" s="54" t="str">
        <f t="shared" si="287"/>
        <v xml:space="preserve"> -</v>
      </c>
      <c r="DF38" s="54">
        <f t="shared" si="288"/>
        <v>17281.338425925926</v>
      </c>
      <c r="DG38" s="54">
        <f t="shared" si="289"/>
        <v>14254.563964656165</v>
      </c>
      <c r="DH38" s="54">
        <f t="shared" si="290"/>
        <v>35830.743659281899</v>
      </c>
      <c r="DI38" s="54">
        <f t="shared" si="291"/>
        <v>28858.024876190477</v>
      </c>
      <c r="DJ38" s="54" t="str">
        <f t="shared" si="292"/>
        <v xml:space="preserve"> -</v>
      </c>
      <c r="DK38" s="54" t="str">
        <f t="shared" si="293"/>
        <v xml:space="preserve"> -</v>
      </c>
      <c r="DL38" s="54" t="str">
        <f t="shared" si="294"/>
        <v xml:space="preserve"> -</v>
      </c>
      <c r="DN38" s="112">
        <f t="shared" si="64"/>
        <v>-44259.534869866795</v>
      </c>
      <c r="DO38" s="114">
        <f>IFERROR(SUMIFS('01. KE30'!$X:$X,'01. KE30'!$F:$F,'05. BC BH THEO SKU-USD'!$D38,'01. KE30'!$A:$A,'05. BC BH THEO SKU-USD'!DO$4)-SUMIFS('01. KE30'!$AA:$AA,'01. KE30'!$F:$F,'05. BC BH THEO SKU-USD'!$D38,'01. KE30'!$A:$A,'05. BC BH THEO SKU-USD'!DO$4),"-")</f>
        <v>0</v>
      </c>
      <c r="DP38" s="114">
        <f>IFERROR(SUMIFS('01. KE30'!$X:$X,'01. KE30'!$F:$F,'05. BC BH THEO SKU-USD'!$D38,'01. KE30'!$A:$A,'05. BC BH THEO SKU-USD'!DP$4)-SUMIFS('01. KE30'!$AA:$AA,'01. KE30'!$F:$F,'05. BC BH THEO SKU-USD'!$D38,'01. KE30'!$A:$A,'05. BC BH THEO SKU-USD'!DP$4),"-")</f>
        <v>-2692.3003938558495</v>
      </c>
      <c r="DQ38" s="114">
        <f>IFERROR(SUMIFS('01. KE30'!$X:$X,'01. KE30'!$F:$F,'05. BC BH THEO SKU-USD'!$D38,'01. KE30'!$A:$A,'05. BC BH THEO SKU-USD'!DQ$4)-SUMIFS('01. KE30'!$AA:$AA,'01. KE30'!$F:$F,'05. BC BH THEO SKU-USD'!$D38,'01. KE30'!$A:$A,'05. BC BH THEO SKU-USD'!DQ$4),"-")</f>
        <v>-2724.8801968503931</v>
      </c>
      <c r="DR38" s="114">
        <f>IFERROR(SUMIFS('01. KE30'!$X:$X,'01. KE30'!$F:$F,'05. BC BH THEO SKU-USD'!$D38,'01. KE30'!$A:$A,'05. BC BH THEO SKU-USD'!DR$4)-SUMIFS('01. KE30'!$AA:$AA,'01. KE30'!$F:$F,'05. BC BH THEO SKU-USD'!$D38,'01. KE30'!$A:$A,'05. BC BH THEO SKU-USD'!DR$4),"-")</f>
        <v>-6979.3348044908998</v>
      </c>
      <c r="DS38" s="114">
        <f>IFERROR(SUMIFS('01. KE30'!$X:$X,'01. KE30'!$F:$F,'05. BC BH THEO SKU-USD'!$D38,'01. KE30'!$A:$A,'05. BC BH THEO SKU-USD'!DS$4)-SUMIFS('01. KE30'!$AA:$AA,'01. KE30'!$F:$F,'05. BC BH THEO SKU-USD'!$D38,'01. KE30'!$A:$A,'05. BC BH THEO SKU-USD'!DS$4),"-")</f>
        <v>0</v>
      </c>
      <c r="DT38" s="114">
        <f>IFERROR(SUMIFS('01. KE30'!$X:$X,'01. KE30'!$F:$F,'05. BC BH THEO SKU-USD'!$D38,'01. KE30'!$A:$A,'05. BC BH THEO SKU-USD'!DT$4)-SUMIFS('01. KE30'!$AA:$AA,'01. KE30'!$F:$F,'05. BC BH THEO SKU-USD'!$D38,'01. KE30'!$A:$A,'05. BC BH THEO SKU-USD'!DT$4),"-")</f>
        <v>-6143.0644290123491</v>
      </c>
      <c r="DU38" s="114">
        <f>IFERROR(SUMIFS('01. KE30'!$X:$X,'01. KE30'!$F:$F,'05. BC BH THEO SKU-USD'!$D38,'01. KE30'!$A:$A,'05. BC BH THEO SKU-USD'!DU$4)-SUMIFS('01. KE30'!$AA:$AA,'01. KE30'!$F:$F,'05. BC BH THEO SKU-USD'!$D38,'01. KE30'!$A:$A,'05. BC BH THEO SKU-USD'!DU$4),"-")</f>
        <v>-5005.8039953899352</v>
      </c>
      <c r="DV38" s="114">
        <f>IFERROR(SUMIFS('01. KE30'!$X:$X,'01. KE30'!$F:$F,'05. BC BH THEO SKU-USD'!$D38,'01. KE30'!$A:$A,'05. BC BH THEO SKU-USD'!DV$4)-SUMIFS('01. KE30'!$AA:$AA,'01. KE30'!$F:$F,'05. BC BH THEO SKU-USD'!$D38,'01. KE30'!$A:$A,'05. BC BH THEO SKU-USD'!DV$4),"-")</f>
        <v>-9990.3581359816599</v>
      </c>
      <c r="DW38" s="114">
        <f>IFERROR(SUMIFS('01. KE30'!$X:$X,'01. KE30'!$F:$F,'05. BC BH THEO SKU-USD'!$D38,'01. KE30'!$A:$A,'05. BC BH THEO SKU-USD'!DW$4)-SUMIFS('01. KE30'!$AA:$AA,'01. KE30'!$F:$F,'05. BC BH THEO SKU-USD'!$D38,'01. KE30'!$A:$A,'05. BC BH THEO SKU-USD'!DW$4),"-")</f>
        <v>-10723.792914285714</v>
      </c>
      <c r="DX38" s="114">
        <f>IFERROR(SUMIFS('01. KE30'!$X:$X,'01. KE30'!$F:$F,'05. BC BH THEO SKU-USD'!$D38,'01. KE30'!$A:$A,'05. BC BH THEO SKU-USD'!DX$4)-SUMIFS('01. KE30'!$AA:$AA,'01. KE30'!$F:$F,'05. BC BH THEO SKU-USD'!$D38,'01. KE30'!$A:$A,'05. BC BH THEO SKU-USD'!DX$4),"-")</f>
        <v>0</v>
      </c>
      <c r="DY38" s="114">
        <f>IFERROR(SUMIFS('01. KE30'!$X:$X,'01. KE30'!$F:$F,'05. BC BH THEO SKU-USD'!$D38,'01. KE30'!$A:$A,'05. BC BH THEO SKU-USD'!DY$4)-SUMIFS('01. KE30'!$AA:$AA,'01. KE30'!$F:$F,'05. BC BH THEO SKU-USD'!$D38,'01. KE30'!$A:$A,'05. BC BH THEO SKU-USD'!DY$4),"-")</f>
        <v>0</v>
      </c>
      <c r="DZ38" s="114">
        <f>IFERROR(SUMIFS('01. KE30'!$X:$X,'01. KE30'!$F:$F,'05. BC BH THEO SKU-USD'!$D38,'01. KE30'!$A:$A,'05. BC BH THEO SKU-USD'!DZ$4)-SUMIFS('01. KE30'!$AA:$AA,'01. KE30'!$F:$F,'05. BC BH THEO SKU-USD'!$D38,'01. KE30'!$A:$A,'05. BC BH THEO SKU-USD'!DZ$4),"-")</f>
        <v>0</v>
      </c>
      <c r="EB38" s="571">
        <f t="shared" si="252"/>
        <v>-0.33850044394185852</v>
      </c>
      <c r="EC38" s="573">
        <f t="shared" si="253"/>
        <v>0</v>
      </c>
      <c r="ED38" s="572">
        <f t="shared" si="19"/>
        <v>-0.36554816577540117</v>
      </c>
      <c r="EE38" s="572">
        <f t="shared" si="20"/>
        <v>-0.36678302596714352</v>
      </c>
      <c r="EF38" s="572">
        <f t="shared" si="21"/>
        <v>-0.35369083382381777</v>
      </c>
      <c r="EG38" s="572">
        <f t="shared" si="22"/>
        <v>0</v>
      </c>
      <c r="EH38" s="572">
        <f t="shared" si="23"/>
        <v>-0.3554738804140517</v>
      </c>
      <c r="EI38" s="572">
        <f t="shared" si="24"/>
        <v>-0.35117201815514676</v>
      </c>
      <c r="EJ38" s="572">
        <f t="shared" si="25"/>
        <v>-0.2788208425418397</v>
      </c>
      <c r="EK38" s="572">
        <f t="shared" si="26"/>
        <v>-0.37160522801868734</v>
      </c>
      <c r="EL38" s="572">
        <f t="shared" si="27"/>
        <v>0</v>
      </c>
      <c r="EM38" s="572">
        <f t="shared" si="28"/>
        <v>0</v>
      </c>
      <c r="EN38" s="572">
        <f t="shared" si="29"/>
        <v>0</v>
      </c>
    </row>
    <row r="39" spans="1:144" ht="15.5" outlineLevel="1" x14ac:dyDescent="0.35">
      <c r="A39" s="10">
        <f t="shared" si="298"/>
        <v>10</v>
      </c>
      <c r="B39" s="27" t="s">
        <v>265</v>
      </c>
      <c r="C39" s="246" t="str">
        <f>VLOOKUP(D39,'Quy đổi'!A:C,3,0)</f>
        <v>rHDB03N02</v>
      </c>
      <c r="D39" s="459" t="s">
        <v>187</v>
      </c>
      <c r="E39" s="7" t="s">
        <v>188</v>
      </c>
      <c r="F39" s="92">
        <f>IFERROR(AVERAGE(G39:R39),"-")</f>
        <v>1288.779171334636</v>
      </c>
      <c r="G39" s="106">
        <f>IFERROR(SUMIFS('01. KE30'!$K:$K,'01. KE30'!$F:$F,'05. BC BH THEO SKU-USD'!$D39,'01. KE30'!$A:$A,'05. BC BH THEO SKU-USD'!G$4)/'05. BC BH THEO SKU-USD'!CM39/'02. Tỷ giá'!B$5,"-")</f>
        <v>1385.1726214371738</v>
      </c>
      <c r="H39" s="106">
        <f>IFERROR(SUMIFS('01. KE30'!$K:$K,'01. KE30'!$F:$F,'05. BC BH THEO SKU-USD'!$D39,'01. KE30'!$A:$A,'05. BC BH THEO SKU-USD'!H$4)/'05. BC BH THEO SKU-USD'!CN39/'02. Tỷ giá'!C$5,"-")</f>
        <v>1358.9858211894446</v>
      </c>
      <c r="I39" s="106">
        <f>IFERROR(SUMIFS('01. KE30'!$K:$K,'01. KE30'!$F:$F,'05. BC BH THEO SKU-USD'!$D39,'01. KE30'!$A:$A,'05. BC BH THEO SKU-USD'!I$4)/'05. BC BH THEO SKU-USD'!CO39/'02. Tỷ giá'!D$5,"-")</f>
        <v>1344.4161878413847</v>
      </c>
      <c r="J39" s="106">
        <f>IFERROR(SUMIFS('01. KE30'!$K:$K,'01. KE30'!$F:$F,'05. BC BH THEO SKU-USD'!$D39,'01. KE30'!$A:$A,'05. BC BH THEO SKU-USD'!J$4)/'05. BC BH THEO SKU-USD'!CP39/'02. Tỷ giá'!E$5,"-")</f>
        <v>1246.1285327138985</v>
      </c>
      <c r="K39" s="106">
        <f>IFERROR(SUMIFS('01. KE30'!$K:$K,'01. KE30'!$F:$F,'05. BC BH THEO SKU-USD'!$D39,'01. KE30'!$A:$A,'05. BC BH THEO SKU-USD'!K$4)/'05. BC BH THEO SKU-USD'!CQ39/'02. Tỷ giá'!F$5,"-")</f>
        <v>1251.7723640113431</v>
      </c>
      <c r="L39" s="106">
        <f>IFERROR(SUMIFS('01. KE30'!$K:$K,'01. KE30'!$F:$F,'05. BC BH THEO SKU-USD'!$D39,'01. KE30'!$A:$A,'05. BC BH THEO SKU-USD'!L$4)/'05. BC BH THEO SKU-USD'!CR39/'02. Tỷ giá'!G$5,"-")</f>
        <v>1261.0918209876543</v>
      </c>
      <c r="M39" s="106">
        <f>IFERROR(SUMIFS('01. KE30'!$K:$K,'01. KE30'!$F:$F,'05. BC BH THEO SKU-USD'!$D39,'01. KE30'!$A:$A,'05. BC BH THEO SKU-USD'!M$4)/'05. BC BH THEO SKU-USD'!CS39/'02. Tỷ giá'!H$5,"-")</f>
        <v>1261.5251632731463</v>
      </c>
      <c r="N39" s="106">
        <f>IFERROR(SUMIFS('01. KE30'!$K:$K,'01. KE30'!$F:$F,'05. BC BH THEO SKU-USD'!$D39,'01. KE30'!$A:$A,'05. BC BH THEO SKU-USD'!N$4)/'05. BC BH THEO SKU-USD'!CT39/'02. Tỷ giá'!I$5,"-")</f>
        <v>1254.2971734148205</v>
      </c>
      <c r="O39" s="106">
        <f>IFERROR(SUMIFS('01. KE30'!$K:$K,'01. KE30'!$F:$F,'05. BC BH THEO SKU-USD'!$D39,'01. KE30'!$A:$A,'05. BC BH THEO SKU-USD'!O$4)/'05. BC BH THEO SKU-USD'!CU39/'02. Tỷ giá'!J$5,"-")</f>
        <v>1235.6228571428571</v>
      </c>
      <c r="P39" s="106" t="str">
        <f>IFERROR(SUMIFS('01. KE30'!$K:$K,'01. KE30'!$F:$F,'05. BC BH THEO SKU-USD'!$D39,'01. KE30'!$A:$A,'05. BC BH THEO SKU-USD'!P$4)/'05. BC BH THEO SKU-USD'!CV39/'02. Tỷ giá'!K$5,"-")</f>
        <v>-</v>
      </c>
      <c r="Q39" s="106" t="str">
        <f>IFERROR(SUMIFS('01. KE30'!$K:$K,'01. KE30'!$F:$F,'05. BC BH THEO SKU-USD'!$D39,'01. KE30'!$A:$A,'05. BC BH THEO SKU-USD'!Q$4)/'05. BC BH THEO SKU-USD'!CW39/'02. Tỷ giá'!L$5,"-")</f>
        <v>-</v>
      </c>
      <c r="R39" s="106" t="str">
        <f>IFERROR(SUMIFS('01. KE30'!$K:$K,'01. KE30'!$F:$F,'05. BC BH THEO SKU-USD'!$D39,'01. KE30'!$A:$A,'05. BC BH THEO SKU-USD'!R$4)/'05. BC BH THEO SKU-USD'!CX39/'02. Tỷ giá'!M$5,"-")</f>
        <v>-</v>
      </c>
      <c r="T39" s="92">
        <f t="shared" si="35"/>
        <v>1282.1830580234162</v>
      </c>
      <c r="U39" s="147">
        <f>IFERROR(SUMIFS('01. KE30'!$O:$O,'01. KE30'!$F:$F,'05. BC BH THEO SKU-USD'!$D39,'01. KE30'!$A:$A,'05. BC BH THEO SKU-USD'!G$4)/'05. BC BH THEO SKU-USD'!CM39/'02. Tỷ giá'!B$5,"-")</f>
        <v>1385.1726214371738</v>
      </c>
      <c r="V39" s="147">
        <f>IFERROR(SUMIFS('01. KE30'!$O:$O,'01. KE30'!$F:$F,'05. BC BH THEO SKU-USD'!$D39,'01. KE30'!$A:$A,'05. BC BH THEO SKU-USD'!H$4)/'05. BC BH THEO SKU-USD'!CN39/'02. Tỷ giá'!C$5,"-")</f>
        <v>1358.9858211894446</v>
      </c>
      <c r="W39" s="147">
        <f>IFERROR(SUMIFS('01. KE30'!$O:$O,'01. KE30'!$F:$F,'05. BC BH THEO SKU-USD'!$D39,'01. KE30'!$A:$A,'05. BC BH THEO SKU-USD'!I$4)/'05. BC BH THEO SKU-USD'!CO39/'02. Tỷ giá'!D$5,"-")</f>
        <v>1344.4161878413847</v>
      </c>
      <c r="X39" s="147">
        <f>IFERROR(SUMIFS('01. KE30'!$O:$O,'01. KE30'!$F:$F,'05. BC BH THEO SKU-USD'!$D39,'01. KE30'!$A:$A,'05. BC BH THEO SKU-USD'!J$4)/'05. BC BH THEO SKU-USD'!CP39/'02. Tỷ giá'!E$5,"-")</f>
        <v>1246.1285327138985</v>
      </c>
      <c r="Y39" s="147">
        <f>IFERROR(SUMIFS('01. KE30'!$O:$O,'01. KE30'!$F:$F,'05. BC BH THEO SKU-USD'!$D39,'01. KE30'!$A:$A,'05. BC BH THEO SKU-USD'!K$4)/'05. BC BH THEO SKU-USD'!CQ39/'02. Tỷ giá'!F$5,"-")</f>
        <v>1251.7723640113431</v>
      </c>
      <c r="Z39" s="147">
        <f>IFERROR(SUMIFS('01. KE30'!$O:$O,'01. KE30'!$F:$F,'05. BC BH THEO SKU-USD'!$D39,'01. KE30'!$A:$A,'05. BC BH THEO SKU-USD'!L$4)/'05. BC BH THEO SKU-USD'!CR39/'02. Tỷ giá'!G$5,"-")</f>
        <v>1261.0918209876543</v>
      </c>
      <c r="AA39" s="147">
        <f>IFERROR(SUMIFS('01. KE30'!$O:$O,'01. KE30'!$F:$F,'05. BC BH THEO SKU-USD'!$D39,'01. KE30'!$A:$A,'05. BC BH THEO SKU-USD'!M$4)/'05. BC BH THEO SKU-USD'!CS39/'02. Tỷ giá'!H$5,"-")</f>
        <v>1261.5251632731463</v>
      </c>
      <c r="AB39" s="147">
        <f>IFERROR(SUMIFS('01. KE30'!$O:$O,'01. KE30'!$F:$F,'05. BC BH THEO SKU-USD'!$D39,'01. KE30'!$A:$A,'05. BC BH THEO SKU-USD'!N$4)/'05. BC BH THEO SKU-USD'!CT39/'02. Tỷ giá'!I$5,"-")</f>
        <v>1254.2971734148205</v>
      </c>
      <c r="AC39" s="147">
        <f>IFERROR(SUMIFS('01. KE30'!$O:$O,'01. KE30'!$F:$F,'05. BC BH THEO SKU-USD'!$D39,'01. KE30'!$A:$A,'05. BC BH THEO SKU-USD'!O$4)/'05. BC BH THEO SKU-USD'!CU39/'02. Tỷ giá'!J$5,"-")</f>
        <v>1235.6228571428571</v>
      </c>
      <c r="AD39" s="147" t="str">
        <f>IFERROR(SUMIFS('01. KE30'!$O:$O,'01. KE30'!$F:$F,'05. BC BH THEO SKU-USD'!$D39,'01. KE30'!$A:$A,'05. BC BH THEO SKU-USD'!P$4)/'05. BC BH THEO SKU-USD'!CV39/'02. Tỷ giá'!K$5,"-")</f>
        <v>-</v>
      </c>
      <c r="AE39" s="147" t="str">
        <f>IFERROR(SUMIFS('01. KE30'!$O:$O,'01. KE30'!$F:$F,'05. BC BH THEO SKU-USD'!$D39,'01. KE30'!$A:$A,'05. BC BH THEO SKU-USD'!Q$4)/'05. BC BH THEO SKU-USD'!CW39/'02. Tỷ giá'!L$5,"-")</f>
        <v>-</v>
      </c>
      <c r="AF39" s="147" t="str">
        <f>IFERROR(SUMIFS('01. KE30'!$O:$O,'01. KE30'!$F:$F,'05. BC BH THEO SKU-USD'!$D39,'01. KE30'!$A:$A,'05. BC BH THEO SKU-USD'!R$4)/'05. BC BH THEO SKU-USD'!CX39/'02. Tỷ giá'!M$5,"-")</f>
        <v>-</v>
      </c>
      <c r="AH39" s="55">
        <f>IFERROR(AVERAGE(AI39:AT39),"-")</f>
        <v>1260</v>
      </c>
      <c r="AI39" s="4">
        <v>1350</v>
      </c>
      <c r="AJ39" s="4">
        <v>1300</v>
      </c>
      <c r="AK39" s="4">
        <v>1250</v>
      </c>
      <c r="AL39" s="4">
        <v>1250</v>
      </c>
      <c r="AM39" s="4">
        <v>1250</v>
      </c>
      <c r="AN39" s="4">
        <v>1250</v>
      </c>
      <c r="AO39" s="4">
        <v>1250</v>
      </c>
      <c r="AP39" s="4">
        <v>1230</v>
      </c>
      <c r="AQ39" s="4">
        <v>1210</v>
      </c>
      <c r="AR39" s="4"/>
      <c r="AS39" s="4"/>
      <c r="AT39" s="4"/>
      <c r="AV39" s="54">
        <f t="shared" si="299"/>
        <v>22.183058023416152</v>
      </c>
      <c r="AW39" s="95">
        <f t="shared" si="299"/>
        <v>35.172621437173802</v>
      </c>
      <c r="AX39" s="95">
        <f t="shared" si="300"/>
        <v>58.98582118944455</v>
      </c>
      <c r="AY39" s="95">
        <f t="shared" si="300"/>
        <v>94.416187841384726</v>
      </c>
      <c r="AZ39" s="95">
        <f t="shared" si="300"/>
        <v>-3.871467286101506</v>
      </c>
      <c r="BA39" s="95">
        <f t="shared" si="300"/>
        <v>1.7723640113431429</v>
      </c>
      <c r="BB39" s="95">
        <f t="shared" si="300"/>
        <v>11.091820987654273</v>
      </c>
      <c r="BC39" s="95">
        <f t="shared" si="300"/>
        <v>11.525163273146291</v>
      </c>
      <c r="BD39" s="95">
        <f t="shared" si="300"/>
        <v>24.297173414820463</v>
      </c>
      <c r="BE39" s="95">
        <f t="shared" si="300"/>
        <v>25.622857142857129</v>
      </c>
      <c r="BF39" s="95" t="str">
        <f t="shared" si="300"/>
        <v>-</v>
      </c>
      <c r="BG39" s="95" t="str">
        <f t="shared" si="300"/>
        <v>-</v>
      </c>
      <c r="BH39" s="95" t="str">
        <f t="shared" si="300"/>
        <v>-</v>
      </c>
      <c r="BJ39" s="143">
        <f t="shared" si="65"/>
        <v>1.7605601605885833E-2</v>
      </c>
      <c r="BK39" s="143">
        <f t="shared" si="65"/>
        <v>2.6053793657165779E-2</v>
      </c>
      <c r="BL39" s="143">
        <f t="shared" si="65"/>
        <v>4.5373708607265036E-2</v>
      </c>
      <c r="BM39" s="143">
        <f t="shared" si="65"/>
        <v>7.5532950273107788E-2</v>
      </c>
      <c r="BN39" s="143">
        <f t="shared" si="65"/>
        <v>-3.0971738288812049E-3</v>
      </c>
      <c r="BO39" s="143">
        <f t="shared" si="65"/>
        <v>1.4178912090745143E-3</v>
      </c>
      <c r="BP39" s="143">
        <f t="shared" si="65"/>
        <v>8.8734567901234181E-3</v>
      </c>
      <c r="BQ39" s="143">
        <f t="shared" si="65"/>
        <v>9.2201306185170327E-3</v>
      </c>
      <c r="BR39" s="143">
        <f t="shared" si="65"/>
        <v>1.9753799524244279E-2</v>
      </c>
      <c r="BS39" s="143">
        <f t="shared" si="65"/>
        <v>2.1175914994096802E-2</v>
      </c>
      <c r="BT39" s="143" t="str">
        <f t="shared" si="68"/>
        <v>-</v>
      </c>
      <c r="BU39" s="143" t="str">
        <f t="shared" si="68"/>
        <v>-</v>
      </c>
      <c r="BV39" s="143" t="str">
        <f t="shared" si="68"/>
        <v>-</v>
      </c>
      <c r="BX39" s="112">
        <f t="shared" si="280"/>
        <v>1469.7860068672524</v>
      </c>
      <c r="BY39" s="95">
        <f>IFERROR(SUMIFS('01. KE30'!$R:$R,'01. KE30'!$F:$F,'05. BC BH THEO SKU-USD'!$D39,'01. KE30'!$A:$A,'05. BC BH THEO SKU-USD'!BY$4)/CM39/'02. Tỷ giá'!B$5," -")</f>
        <v>1348.9706361081712</v>
      </c>
      <c r="BZ39" s="95">
        <f>IFERROR(SUMIFS('01. KE30'!$R:$R,'01. KE30'!$F:$F,'05. BC BH THEO SKU-USD'!$D39,'01. KE30'!$A:$A,'05. BC BH THEO SKU-USD'!BZ$4)/CN39/'02. Tỷ giá'!C$5," -")</f>
        <v>2095.3599538114504</v>
      </c>
      <c r="CA39" s="95">
        <f>IFERROR(SUMIFS('01. KE30'!$R:$R,'01. KE30'!$F:$F,'05. BC BH THEO SKU-USD'!$D39,'01. KE30'!$A:$A,'05. BC BH THEO SKU-USD'!CA$4)/CO39/'02. Tỷ giá'!D$5," -")</f>
        <v>1677.8938828592372</v>
      </c>
      <c r="CB39" s="95">
        <f>IFERROR(SUMIFS('01. KE30'!$R:$R,'01. KE30'!$F:$F,'05. BC BH THEO SKU-USD'!$D39,'01. KE30'!$A:$A,'05. BC BH THEO SKU-USD'!CB$4)/CP39/'02. Tỷ giá'!E$5," -")</f>
        <v>1565.7895470383276</v>
      </c>
      <c r="CC39" s="95">
        <f>IFERROR(SUMIFS('01. KE30'!$R:$R,'01. KE30'!$F:$F,'05. BC BH THEO SKU-USD'!$D39,'01. KE30'!$A:$A,'05. BC BH THEO SKU-USD'!CC$4)/CQ39/'02. Tỷ giá'!F$5," -")</f>
        <v>1409.4805948112212</v>
      </c>
      <c r="CD39" s="95">
        <f>IFERROR(SUMIFS('01. KE30'!$R:$R,'01. KE30'!$F:$F,'05. BC BH THEO SKU-USD'!$D39,'01. KE30'!$A:$A,'05. BC BH THEO SKU-USD'!CD$4)/CR39/'02. Tỷ giá'!G$5," -")</f>
        <v>1375.2042590254396</v>
      </c>
      <c r="CE39" s="95">
        <f>IFERROR(SUMIFS('01. KE30'!$R:$R,'01. KE30'!$F:$F,'05. BC BH THEO SKU-USD'!$D39,'01. KE30'!$A:$A,'05. BC BH THEO SKU-USD'!CE$4)/CS39/'02. Tỷ giá'!H$5," -")</f>
        <v>1268.9907740485919</v>
      </c>
      <c r="CF39" s="95">
        <f>IFERROR(SUMIFS('01. KE30'!$R:$R,'01. KE30'!$F:$F,'05. BC BH THEO SKU-USD'!$D39,'01. KE30'!$A:$A,'05. BC BH THEO SKU-USD'!CF$4)/CT39/'02. Tỷ giá'!I$5," -")</f>
        <v>1255.8825612889784</v>
      </c>
      <c r="CG39" s="95">
        <f>IFERROR(SUMIFS('01. KE30'!$R:$R,'01. KE30'!$F:$F,'05. BC BH THEO SKU-USD'!$D39,'01. KE30'!$A:$A,'05. BC BH THEO SKU-USD'!CG$4)/CU39/'02. Tỷ giá'!J$5," -")</f>
        <v>1230.5018528138528</v>
      </c>
      <c r="CH39" s="95" t="str">
        <f>IFERROR(SUMIFS('01. KE30'!$R:$R,'01. KE30'!$F:$F,'05. BC BH THEO SKU-USD'!$D39,'01. KE30'!$A:$A,'05. BC BH THEO SKU-USD'!CH$4)/CV39/'02. Tỷ giá'!K$5," -")</f>
        <v xml:space="preserve"> -</v>
      </c>
      <c r="CI39" s="95" t="str">
        <f>IFERROR(SUMIFS('01. KE30'!$R:$R,'01. KE30'!$F:$F,'05. BC BH THEO SKU-USD'!$D39,'01. KE30'!$A:$A,'05. BC BH THEO SKU-USD'!CI$4)/CW39/'02. Tỷ giá'!L$5," -")</f>
        <v xml:space="preserve"> -</v>
      </c>
      <c r="CJ39" s="95" t="str">
        <f>IFERROR(SUMIFS('01. KE30'!$R:$R,'01. KE30'!$F:$F,'05. BC BH THEO SKU-USD'!$D39,'01. KE30'!$A:$A,'05. BC BH THEO SKU-USD'!CJ$4)/CX39/'02. Tỷ giá'!M$5," -")</f>
        <v xml:space="preserve"> -</v>
      </c>
      <c r="CL39" s="112">
        <f>SUM(CM39:CX39)</f>
        <v>275.3</v>
      </c>
      <c r="CM39" s="114">
        <f>SUMIFS('01. KE30'!$I:$I,'01. KE30'!$F:$F,'05. BC BH THEO SKU-USD'!$D39,'01. KE30'!$A:$A,'05. BC BH THEO SKU-USD'!CM$4)/1000</f>
        <v>22</v>
      </c>
      <c r="CN39" s="114">
        <f>SUMIFS('01. KE30'!$I:$I,'01. KE30'!$F:$F,'05. BC BH THEO SKU-USD'!$D39,'01. KE30'!$A:$A,'05. BC BH THEO SKU-USD'!CN$4)/1000</f>
        <v>22</v>
      </c>
      <c r="CO39" s="114">
        <f>SUMIFS('01. KE30'!$I:$I,'01. KE30'!$F:$F,'05. BC BH THEO SKU-USD'!$D39,'01. KE30'!$A:$A,'05. BC BH THEO SKU-USD'!CO$4)/1000</f>
        <v>33.299999999999997</v>
      </c>
      <c r="CP39" s="114">
        <f>SUMIFS('01. KE30'!$I:$I,'01. KE30'!$F:$F,'05. BC BH THEO SKU-USD'!$D39,'01. KE30'!$A:$A,'05. BC BH THEO SKU-USD'!CP$4)/1000</f>
        <v>33</v>
      </c>
      <c r="CQ39" s="114">
        <f>SUMIFS('01. KE30'!$I:$I,'01. KE30'!$F:$F,'05. BC BH THEO SKU-USD'!$D39,'01. KE30'!$A:$A,'05. BC BH THEO SKU-USD'!CQ$4)/1000</f>
        <v>33</v>
      </c>
      <c r="CR39" s="114">
        <f>SUMIFS('01. KE30'!$I:$I,'01. KE30'!$F:$F,'05. BC BH THEO SKU-USD'!$D39,'01. KE30'!$A:$A,'05. BC BH THEO SKU-USD'!CR$4)/1000</f>
        <v>33</v>
      </c>
      <c r="CS39" s="114">
        <f>SUMIFS('01. KE30'!$I:$I,'01. KE30'!$F:$F,'05. BC BH THEO SKU-USD'!$D39,'01. KE30'!$A:$A,'05. BC BH THEO SKU-USD'!CS$4)/1000</f>
        <v>33</v>
      </c>
      <c r="CT39" s="114">
        <f>SUMIFS('01. KE30'!$I:$I,'01. KE30'!$F:$F,'05. BC BH THEO SKU-USD'!$D39,'01. KE30'!$A:$A,'05. BC BH THEO SKU-USD'!CT$4)/1000</f>
        <v>33</v>
      </c>
      <c r="CU39" s="114">
        <f>SUMIFS('01. KE30'!$I:$I,'01. KE30'!$F:$F,'05. BC BH THEO SKU-USD'!$D39,'01. KE30'!$A:$A,'05. BC BH THEO SKU-USD'!CU$4)/1000</f>
        <v>33</v>
      </c>
      <c r="CV39" s="114">
        <f>SUMIFS('01. KE30'!$I:$I,'01. KE30'!$F:$F,'05. BC BH THEO SKU-USD'!$D39,'01. KE30'!$A:$A,'05. BC BH THEO SKU-USD'!CV$4)/1000</f>
        <v>0</v>
      </c>
      <c r="CW39" s="114">
        <f>SUMIFS('01. KE30'!$I:$I,'01. KE30'!$F:$F,'05. BC BH THEO SKU-USD'!$D39,'01. KE30'!$A:$A,'05. BC BH THEO SKU-USD'!CW$4)/1000</f>
        <v>0</v>
      </c>
      <c r="CX39" s="114">
        <f>SUMIFS('01. KE30'!$I:$I,'01. KE30'!$F:$F,'05. BC BH THEO SKU-USD'!$D39,'01. KE30'!$A:$A,'05. BC BH THEO SKU-USD'!CX$4)/1000</f>
        <v>0</v>
      </c>
      <c r="CZ39" s="112">
        <f>SUM(DA39:DL39)</f>
        <v>352984.99587384646</v>
      </c>
      <c r="DA39" s="54">
        <f t="shared" si="283"/>
        <v>30473.797671617824</v>
      </c>
      <c r="DB39" s="54">
        <f t="shared" si="284"/>
        <v>29897.688066167779</v>
      </c>
      <c r="DC39" s="54">
        <f t="shared" si="285"/>
        <v>44769.059055118109</v>
      </c>
      <c r="DD39" s="54">
        <f t="shared" si="286"/>
        <v>41122.241579558649</v>
      </c>
      <c r="DE39" s="54">
        <f t="shared" si="287"/>
        <v>41308.488012374321</v>
      </c>
      <c r="DF39" s="54">
        <f t="shared" si="288"/>
        <v>41616.030092592591</v>
      </c>
      <c r="DG39" s="54">
        <f t="shared" si="289"/>
        <v>41630.330388013826</v>
      </c>
      <c r="DH39" s="54">
        <f t="shared" si="290"/>
        <v>41391.806722689078</v>
      </c>
      <c r="DI39" s="54">
        <f t="shared" si="291"/>
        <v>40775.554285714286</v>
      </c>
      <c r="DJ39" s="54" t="str">
        <f t="shared" si="292"/>
        <v xml:space="preserve"> -</v>
      </c>
      <c r="DK39" s="54" t="str">
        <f t="shared" si="293"/>
        <v xml:space="preserve"> -</v>
      </c>
      <c r="DL39" s="54" t="str">
        <f t="shared" si="294"/>
        <v xml:space="preserve"> -</v>
      </c>
      <c r="DN39" s="112">
        <f t="shared" si="64"/>
        <v>-46157.179841469369</v>
      </c>
      <c r="DO39" s="114">
        <f>IFERROR(SUMIFS('01. KE30'!$X:$X,'01. KE30'!$F:$F,'05. BC BH THEO SKU-USD'!$D39,'01. KE30'!$A:$A,'05. BC BH THEO SKU-USD'!DO$4)-SUMIFS('01. KE30'!$AA:$AA,'01. KE30'!$F:$F,'05. BC BH THEO SKU-USD'!$D39,'01. KE30'!$A:$A,'05. BC BH THEO SKU-USD'!DO$4),"-")</f>
        <v>796.44367723805772</v>
      </c>
      <c r="DP39" s="114">
        <f>IFERROR(SUMIFS('01. KE30'!$X:$X,'01. KE30'!$F:$F,'05. BC BH THEO SKU-USD'!$D39,'01. KE30'!$A:$A,'05. BC BH THEO SKU-USD'!DP$4)-SUMIFS('01. KE30'!$AA:$AA,'01. KE30'!$F:$F,'05. BC BH THEO SKU-USD'!$D39,'01. KE30'!$A:$A,'05. BC BH THEO SKU-USD'!DP$4),"-")</f>
        <v>-16200.230917684126</v>
      </c>
      <c r="DQ39" s="114">
        <f>IFERROR(SUMIFS('01. KE30'!$X:$X,'01. KE30'!$F:$F,'05. BC BH THEO SKU-USD'!$D39,'01. KE30'!$A:$A,'05. BC BH THEO SKU-USD'!DQ$4)-SUMIFS('01. KE30'!$AA:$AA,'01. KE30'!$F:$F,'05. BC BH THEO SKU-USD'!$D39,'01. KE30'!$A:$A,'05. BC BH THEO SKU-USD'!DQ$4),"-")</f>
        <v>-11104.807244094489</v>
      </c>
      <c r="DR39" s="114">
        <f>IFERROR(SUMIFS('01. KE30'!$X:$X,'01. KE30'!$F:$F,'05. BC BH THEO SKU-USD'!$D39,'01. KE30'!$A:$A,'05. BC BH THEO SKU-USD'!DR$4)-SUMIFS('01. KE30'!$AA:$AA,'01. KE30'!$F:$F,'05. BC BH THEO SKU-USD'!$D39,'01. KE30'!$A:$A,'05. BC BH THEO SKU-USD'!DR$4),"-")</f>
        <v>-10548.813472706148</v>
      </c>
      <c r="DS39" s="114">
        <f>IFERROR(SUMIFS('01. KE30'!$X:$X,'01. KE30'!$F:$F,'05. BC BH THEO SKU-USD'!$D39,'01. KE30'!$A:$A,'05. BC BH THEO SKU-USD'!DS$4)-SUMIFS('01. KE30'!$AA:$AA,'01. KE30'!$F:$F,'05. BC BH THEO SKU-USD'!$D39,'01. KE30'!$A:$A,'05. BC BH THEO SKU-USD'!DS$4),"-")</f>
        <v>-5204.3716163959834</v>
      </c>
      <c r="DT39" s="114">
        <f>IFERROR(SUMIFS('01. KE30'!$X:$X,'01. KE30'!$F:$F,'05. BC BH THEO SKU-USD'!$D39,'01. KE30'!$A:$A,'05. BC BH THEO SKU-USD'!DT$4)-SUMIFS('01. KE30'!$AA:$AA,'01. KE30'!$F:$F,'05. BC BH THEO SKU-USD'!$D39,'01. KE30'!$A:$A,'05. BC BH THEO SKU-USD'!DT$4),"-")</f>
        <v>-3765.7104552469173</v>
      </c>
      <c r="DU39" s="114">
        <f>IFERROR(SUMIFS('01. KE30'!$X:$X,'01. KE30'!$F:$F,'05. BC BH THEO SKU-USD'!$D39,'01. KE30'!$A:$A,'05. BC BH THEO SKU-USD'!DU$4)-SUMIFS('01. KE30'!$AA:$AA,'01. KE30'!$F:$F,'05. BC BH THEO SKU-USD'!$D39,'01. KE30'!$A:$A,'05. BC BH THEO SKU-USD'!DU$4),"-")</f>
        <v>-246.36515558970132</v>
      </c>
      <c r="DV39" s="114">
        <f>IFERROR(SUMIFS('01. KE30'!$X:$X,'01. KE30'!$F:$F,'05. BC BH THEO SKU-USD'!$D39,'01. KE30'!$A:$A,'05. BC BH THEO SKU-USD'!DV$4)-SUMIFS('01. KE30'!$AA:$AA,'01. KE30'!$F:$F,'05. BC BH THEO SKU-USD'!$D39,'01. KE30'!$A:$A,'05. BC BH THEO SKU-USD'!DV$4),"-")</f>
        <v>-52.317799847209244</v>
      </c>
      <c r="DW39" s="114">
        <f>IFERROR(SUMIFS('01. KE30'!$X:$X,'01. KE30'!$F:$F,'05. BC BH THEO SKU-USD'!$D39,'01. KE30'!$A:$A,'05. BC BH THEO SKU-USD'!DW$4)-SUMIFS('01. KE30'!$AA:$AA,'01. KE30'!$F:$F,'05. BC BH THEO SKU-USD'!$D39,'01. KE30'!$A:$A,'05. BC BH THEO SKU-USD'!DW$4),"-")</f>
        <v>168.99314285714354</v>
      </c>
      <c r="DX39" s="114">
        <f>IFERROR(SUMIFS('01. KE30'!$X:$X,'01. KE30'!$F:$F,'05. BC BH THEO SKU-USD'!$D39,'01. KE30'!$A:$A,'05. BC BH THEO SKU-USD'!DX$4)-SUMIFS('01. KE30'!$AA:$AA,'01. KE30'!$F:$F,'05. BC BH THEO SKU-USD'!$D39,'01. KE30'!$A:$A,'05. BC BH THEO SKU-USD'!DX$4),"-")</f>
        <v>0</v>
      </c>
      <c r="DY39" s="114">
        <f>IFERROR(SUMIFS('01. KE30'!$X:$X,'01. KE30'!$F:$F,'05. BC BH THEO SKU-USD'!$D39,'01. KE30'!$A:$A,'05. BC BH THEO SKU-USD'!DY$4)-SUMIFS('01. KE30'!$AA:$AA,'01. KE30'!$F:$F,'05. BC BH THEO SKU-USD'!$D39,'01. KE30'!$A:$A,'05. BC BH THEO SKU-USD'!DY$4),"-")</f>
        <v>0</v>
      </c>
      <c r="DZ39" s="114">
        <f>IFERROR(SUMIFS('01. KE30'!$X:$X,'01. KE30'!$F:$F,'05. BC BH THEO SKU-USD'!$D39,'01. KE30'!$A:$A,'05. BC BH THEO SKU-USD'!DZ$4)-SUMIFS('01. KE30'!$AA:$AA,'01. KE30'!$F:$F,'05. BC BH THEO SKU-USD'!$D39,'01. KE30'!$A:$A,'05. BC BH THEO SKU-USD'!DZ$4),"-")</f>
        <v>0</v>
      </c>
      <c r="EB39" s="571">
        <f t="shared" si="252"/>
        <v>-0.13076244140973492</v>
      </c>
      <c r="EC39" s="572">
        <f t="shared" si="253"/>
        <v>2.6135360148427975E-2</v>
      </c>
      <c r="ED39" s="572">
        <f t="shared" si="19"/>
        <v>-0.54185564053751389</v>
      </c>
      <c r="EE39" s="572">
        <f t="shared" si="20"/>
        <v>-0.24804647402623844</v>
      </c>
      <c r="EF39" s="572">
        <f t="shared" si="21"/>
        <v>-0.25652330873786389</v>
      </c>
      <c r="EG39" s="572">
        <f t="shared" si="22"/>
        <v>-0.12598794743678268</v>
      </c>
      <c r="EH39" s="572">
        <f t="shared" si="23"/>
        <v>-9.0487017787820936E-2</v>
      </c>
      <c r="EI39" s="572">
        <f t="shared" si="24"/>
        <v>-5.9179245827132463E-3</v>
      </c>
      <c r="EJ39" s="572">
        <f t="shared" si="25"/>
        <v>-1.2639651174861869E-3</v>
      </c>
      <c r="EK39" s="572">
        <f t="shared" si="26"/>
        <v>4.1444719959662273E-3</v>
      </c>
      <c r="EL39" s="572">
        <f t="shared" si="27"/>
        <v>0</v>
      </c>
      <c r="EM39" s="572">
        <f t="shared" si="28"/>
        <v>0</v>
      </c>
      <c r="EN39" s="572">
        <f t="shared" si="29"/>
        <v>0</v>
      </c>
    </row>
    <row r="40" spans="1:144" ht="15.5" outlineLevel="1" x14ac:dyDescent="0.35">
      <c r="A40" s="107"/>
      <c r="C40" s="180"/>
      <c r="D40" s="463"/>
      <c r="E40" s="108"/>
      <c r="F40" s="92" t="str">
        <f>IFERROR(AVERAGE(G40:R40),"-")</f>
        <v>-</v>
      </c>
      <c r="G40" s="106" t="str">
        <f>IFERROR(SUMIFS('01. KE30'!$K:$K,'01. KE30'!$F:$F,'05. BC BH THEO SKU-USD'!$D40,'01. KE30'!$A:$A,'05. BC BH THEO SKU-USD'!G$4)/'05. BC BH THEO SKU-USD'!CM40/'02. Tỷ giá'!B$5,"-")</f>
        <v>-</v>
      </c>
      <c r="H40" s="106" t="str">
        <f>IFERROR(SUMIFS('01. KE30'!$K:$K,'01. KE30'!$F:$F,'05. BC BH THEO SKU-USD'!$D40,'01. KE30'!$A:$A,'05. BC BH THEO SKU-USD'!H$4)/'05. BC BH THEO SKU-USD'!CN40/'02. Tỷ giá'!C$5,"-")</f>
        <v>-</v>
      </c>
      <c r="I40" s="106" t="str">
        <f>IFERROR(SUMIFS('01. KE30'!$K:$K,'01. KE30'!$F:$F,'05. BC BH THEO SKU-USD'!$D40,'01. KE30'!$A:$A,'05. BC BH THEO SKU-USD'!I$4)/'05. BC BH THEO SKU-USD'!CO40/'02. Tỷ giá'!D$5,"-")</f>
        <v>-</v>
      </c>
      <c r="J40" s="106" t="str">
        <f>IFERROR(SUMIFS('01. KE30'!$K:$K,'01. KE30'!$F:$F,'05. BC BH THEO SKU-USD'!$D40,'01. KE30'!$A:$A,'05. BC BH THEO SKU-USD'!J$4)/'05. BC BH THEO SKU-USD'!CP40/'02. Tỷ giá'!E$5,"-")</f>
        <v>-</v>
      </c>
      <c r="K40" s="106" t="str">
        <f>IFERROR(SUMIFS('01. KE30'!$K:$K,'01. KE30'!$F:$F,'05. BC BH THEO SKU-USD'!$D40,'01. KE30'!$A:$A,'05. BC BH THEO SKU-USD'!K$4)/'05. BC BH THEO SKU-USD'!CQ40/'02. Tỷ giá'!F$5,"-")</f>
        <v>-</v>
      </c>
      <c r="L40" s="106" t="str">
        <f>IFERROR(SUMIFS('01. KE30'!$K:$K,'01. KE30'!$F:$F,'05. BC BH THEO SKU-USD'!$D40,'01. KE30'!$A:$A,'05. BC BH THEO SKU-USD'!L$4)/'05. BC BH THEO SKU-USD'!CR40/'02. Tỷ giá'!G$5,"-")</f>
        <v>-</v>
      </c>
      <c r="M40" s="106" t="str">
        <f>IFERROR(SUMIFS('01. KE30'!$K:$K,'01. KE30'!$F:$F,'05. BC BH THEO SKU-USD'!$D40,'01. KE30'!$A:$A,'05. BC BH THEO SKU-USD'!M$4)/'05. BC BH THEO SKU-USD'!CS40/'02. Tỷ giá'!H$5,"-")</f>
        <v>-</v>
      </c>
      <c r="N40" s="106" t="str">
        <f>IFERROR(SUMIFS('01. KE30'!$K:$K,'01. KE30'!$F:$F,'05. BC BH THEO SKU-USD'!$D40,'01. KE30'!$A:$A,'05. BC BH THEO SKU-USD'!N$4)/'05. BC BH THEO SKU-USD'!CT40/'02. Tỷ giá'!I$5,"-")</f>
        <v>-</v>
      </c>
      <c r="O40" s="106" t="str">
        <f>IFERROR(SUMIFS('01. KE30'!$K:$K,'01. KE30'!$F:$F,'05. BC BH THEO SKU-USD'!$D40,'01. KE30'!$A:$A,'05. BC BH THEO SKU-USD'!O$4)/'05. BC BH THEO SKU-USD'!CU40/'02. Tỷ giá'!J$5,"-")</f>
        <v>-</v>
      </c>
      <c r="P40" s="106" t="str">
        <f>IFERROR(SUMIFS('01. KE30'!$K:$K,'01. KE30'!$F:$F,'05. BC BH THEO SKU-USD'!$D40,'01. KE30'!$A:$A,'05. BC BH THEO SKU-USD'!P$4)/'05. BC BH THEO SKU-USD'!CV40/'02. Tỷ giá'!K$5,"-")</f>
        <v>-</v>
      </c>
      <c r="Q40" s="106" t="str">
        <f>IFERROR(SUMIFS('01. KE30'!$K:$K,'01. KE30'!$F:$F,'05. BC BH THEO SKU-USD'!$D40,'01. KE30'!$A:$A,'05. BC BH THEO SKU-USD'!Q$4)/'05. BC BH THEO SKU-USD'!CW40/'02. Tỷ giá'!L$5,"-")</f>
        <v>-</v>
      </c>
      <c r="R40" s="106" t="str">
        <f>IFERROR(SUMIFS('01. KE30'!$K:$K,'01. KE30'!$F:$F,'05. BC BH THEO SKU-USD'!$D40,'01. KE30'!$A:$A,'05. BC BH THEO SKU-USD'!R$4)/'05. BC BH THEO SKU-USD'!CX40/'02. Tỷ giá'!M$5,"-")</f>
        <v>-</v>
      </c>
      <c r="T40" s="109"/>
      <c r="U40" s="147" t="str">
        <f>IFERROR(SUMIFS('01. KE30'!$O:$O,'01. KE30'!$F:$F,'05. BC BH THEO SKU-USD'!$D40,'01. KE30'!$A:$A,'05. BC BH THEO SKU-USD'!G$4)/'05. BC BH THEO SKU-USD'!CM40/'02. Tỷ giá'!B$5,"-")</f>
        <v>-</v>
      </c>
      <c r="V40" s="147" t="str">
        <f>IFERROR(SUMIFS('01. KE30'!$O:$O,'01. KE30'!$F:$F,'05. BC BH THEO SKU-USD'!$D40,'01. KE30'!$A:$A,'05. BC BH THEO SKU-USD'!H$4)/'05. BC BH THEO SKU-USD'!CN40/'02. Tỷ giá'!C$5,"-")</f>
        <v>-</v>
      </c>
      <c r="W40" s="147" t="str">
        <f>IFERROR(SUMIFS('01. KE30'!$O:$O,'01. KE30'!$F:$F,'05. BC BH THEO SKU-USD'!$D40,'01. KE30'!$A:$A,'05. BC BH THEO SKU-USD'!I$4)/'05. BC BH THEO SKU-USD'!CO40/'02. Tỷ giá'!D$5,"-")</f>
        <v>-</v>
      </c>
      <c r="X40" s="147" t="str">
        <f>IFERROR(SUMIFS('01. KE30'!$O:$O,'01. KE30'!$F:$F,'05. BC BH THEO SKU-USD'!$D40,'01. KE30'!$A:$A,'05. BC BH THEO SKU-USD'!J$4)/'05. BC BH THEO SKU-USD'!CP40/'02. Tỷ giá'!E$5,"-")</f>
        <v>-</v>
      </c>
      <c r="Y40" s="147" t="str">
        <f>IFERROR(SUMIFS('01. KE30'!$O:$O,'01. KE30'!$F:$F,'05. BC BH THEO SKU-USD'!$D40,'01. KE30'!$A:$A,'05. BC BH THEO SKU-USD'!K$4)/'05. BC BH THEO SKU-USD'!CQ40/'02. Tỷ giá'!F$5,"-")</f>
        <v>-</v>
      </c>
      <c r="Z40" s="147" t="str">
        <f>IFERROR(SUMIFS('01. KE30'!$O:$O,'01. KE30'!$F:$F,'05. BC BH THEO SKU-USD'!$D40,'01. KE30'!$A:$A,'05. BC BH THEO SKU-USD'!L$4)/'05. BC BH THEO SKU-USD'!CR40/'02. Tỷ giá'!G$5,"-")</f>
        <v>-</v>
      </c>
      <c r="AA40" s="147" t="str">
        <f>IFERROR(SUMIFS('01. KE30'!$O:$O,'01. KE30'!$F:$F,'05. BC BH THEO SKU-USD'!$D40,'01. KE30'!$A:$A,'05. BC BH THEO SKU-USD'!M$4)/'05. BC BH THEO SKU-USD'!CS40/'02. Tỷ giá'!H$5,"-")</f>
        <v>-</v>
      </c>
      <c r="AB40" s="147" t="str">
        <f>IFERROR(SUMIFS('01. KE30'!$O:$O,'01. KE30'!$F:$F,'05. BC BH THEO SKU-USD'!$D40,'01. KE30'!$A:$A,'05. BC BH THEO SKU-USD'!N$4)/'05. BC BH THEO SKU-USD'!CT40/'02. Tỷ giá'!I$5,"-")</f>
        <v>-</v>
      </c>
      <c r="AC40" s="147" t="str">
        <f>IFERROR(SUMIFS('01. KE30'!$O:$O,'01. KE30'!$F:$F,'05. BC BH THEO SKU-USD'!$D40,'01. KE30'!$A:$A,'05. BC BH THEO SKU-USD'!O$4)/'05. BC BH THEO SKU-USD'!CU40/'02. Tỷ giá'!J$5,"-")</f>
        <v>-</v>
      </c>
      <c r="AD40" s="147" t="str">
        <f>IFERROR(SUMIFS('01. KE30'!$O:$O,'01. KE30'!$F:$F,'05. BC BH THEO SKU-USD'!$D40,'01. KE30'!$A:$A,'05. BC BH THEO SKU-USD'!P$4)/'05. BC BH THEO SKU-USD'!CV40/'02. Tỷ giá'!K$5,"-")</f>
        <v>-</v>
      </c>
      <c r="AE40" s="147" t="str">
        <f>IFERROR(SUMIFS('01. KE30'!$O:$O,'01. KE30'!$F:$F,'05. BC BH THEO SKU-USD'!$D40,'01. KE30'!$A:$A,'05. BC BH THEO SKU-USD'!Q$4)/'05. BC BH THEO SKU-USD'!CW40/'02. Tỷ giá'!L$5,"-")</f>
        <v>-</v>
      </c>
      <c r="AF40" s="147" t="str">
        <f>IFERROR(SUMIFS('01. KE30'!$O:$O,'01. KE30'!$F:$F,'05. BC BH THEO SKU-USD'!$D40,'01. KE30'!$A:$A,'05. BC BH THEO SKU-USD'!R$4)/'05. BC BH THEO SKU-USD'!CX40/'02. Tỷ giá'!M$5,"-")</f>
        <v>-</v>
      </c>
      <c r="AH40" s="111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V40" s="54" t="str">
        <f t="shared" si="299"/>
        <v>-</v>
      </c>
      <c r="AW40" s="95" t="str">
        <f t="shared" si="299"/>
        <v>-</v>
      </c>
      <c r="AX40" s="95" t="str">
        <f t="shared" si="300"/>
        <v>-</v>
      </c>
      <c r="AY40" s="95" t="str">
        <f t="shared" si="300"/>
        <v>-</v>
      </c>
      <c r="AZ40" s="95" t="str">
        <f t="shared" si="300"/>
        <v>-</v>
      </c>
      <c r="BA40" s="95" t="str">
        <f t="shared" si="300"/>
        <v>-</v>
      </c>
      <c r="BB40" s="95" t="str">
        <f t="shared" si="300"/>
        <v>-</v>
      </c>
      <c r="BC40" s="95" t="str">
        <f t="shared" si="300"/>
        <v>-</v>
      </c>
      <c r="BD40" s="95" t="str">
        <f t="shared" si="300"/>
        <v>-</v>
      </c>
      <c r="BE40" s="95" t="str">
        <f t="shared" si="300"/>
        <v>-</v>
      </c>
      <c r="BF40" s="95" t="str">
        <f t="shared" si="300"/>
        <v>-</v>
      </c>
      <c r="BG40" s="95" t="str">
        <f t="shared" si="300"/>
        <v>-</v>
      </c>
      <c r="BH40" s="95" t="str">
        <f t="shared" si="300"/>
        <v>-</v>
      </c>
      <c r="BJ40" s="143" t="str">
        <f t="shared" si="65"/>
        <v>-</v>
      </c>
      <c r="BK40" s="143" t="str">
        <f t="shared" si="65"/>
        <v>-</v>
      </c>
      <c r="BL40" s="143" t="str">
        <f t="shared" si="65"/>
        <v>-</v>
      </c>
      <c r="BM40" s="143" t="str">
        <f t="shared" si="65"/>
        <v>-</v>
      </c>
      <c r="BN40" s="143" t="str">
        <f t="shared" si="65"/>
        <v>-</v>
      </c>
      <c r="BO40" s="143" t="str">
        <f t="shared" si="65"/>
        <v>-</v>
      </c>
      <c r="BP40" s="143" t="str">
        <f t="shared" si="65"/>
        <v>-</v>
      </c>
      <c r="BQ40" s="143" t="str">
        <f t="shared" si="65"/>
        <v>-</v>
      </c>
      <c r="BR40" s="143" t="str">
        <f t="shared" si="65"/>
        <v>-</v>
      </c>
      <c r="BS40" s="143" t="str">
        <f t="shared" si="65"/>
        <v>-</v>
      </c>
      <c r="BT40" s="143" t="str">
        <f t="shared" si="68"/>
        <v>-</v>
      </c>
      <c r="BU40" s="143" t="str">
        <f t="shared" si="68"/>
        <v>-</v>
      </c>
      <c r="BV40" s="143" t="str">
        <f t="shared" si="68"/>
        <v>-</v>
      </c>
      <c r="BX40" s="112" t="str">
        <f t="shared" si="280"/>
        <v>-</v>
      </c>
      <c r="BY40" s="154"/>
      <c r="BZ40" s="154"/>
      <c r="CA40" s="154"/>
      <c r="CB40" s="154"/>
      <c r="CC40" s="154"/>
      <c r="CD40" s="154"/>
      <c r="CE40" s="154"/>
      <c r="CF40" s="154"/>
      <c r="CG40" s="154"/>
      <c r="CH40" s="154"/>
      <c r="CI40" s="154"/>
      <c r="CJ40" s="154"/>
      <c r="CL40" s="117"/>
      <c r="CM40" s="118"/>
      <c r="CN40" s="118"/>
      <c r="CO40" s="118"/>
      <c r="CP40" s="118"/>
      <c r="CQ40" s="118"/>
      <c r="CR40" s="118"/>
      <c r="CS40" s="118"/>
      <c r="CT40" s="118"/>
      <c r="CU40" s="118"/>
      <c r="CV40" s="118"/>
      <c r="CW40" s="118"/>
      <c r="CX40" s="118"/>
      <c r="CZ40" s="117"/>
      <c r="DA40" s="118"/>
      <c r="DB40" s="118"/>
      <c r="DC40" s="118"/>
      <c r="DD40" s="118"/>
      <c r="DE40" s="118"/>
      <c r="DF40" s="118"/>
      <c r="DG40" s="118"/>
      <c r="DH40" s="118"/>
      <c r="DI40" s="118"/>
      <c r="DJ40" s="118"/>
      <c r="DK40" s="118"/>
      <c r="DL40" s="118"/>
      <c r="DN40" s="112">
        <f t="shared" si="64"/>
        <v>0</v>
      </c>
      <c r="DO40" s="114">
        <f>IFERROR(SUMIFS('01. KE30'!$X:$X,'01. KE30'!$F:$F,'05. BC BH THEO SKU-USD'!$D40,'01. KE30'!$A:$A,'05. BC BH THEO SKU-USD'!DO$4)-SUMIFS('01. KE30'!$AA:$AA,'01. KE30'!$F:$F,'05. BC BH THEO SKU-USD'!$D40,'01. KE30'!$A:$A,'05. BC BH THEO SKU-USD'!DO$4),"-")</f>
        <v>0</v>
      </c>
      <c r="DP40" s="114">
        <f>IFERROR(SUMIFS('01. KE30'!$X:$X,'01. KE30'!$F:$F,'05. BC BH THEO SKU-USD'!$D40,'01. KE30'!$A:$A,'05. BC BH THEO SKU-USD'!DP$4)-SUMIFS('01. KE30'!$AA:$AA,'01. KE30'!$F:$F,'05. BC BH THEO SKU-USD'!$D40,'01. KE30'!$A:$A,'05. BC BH THEO SKU-USD'!DP$4),"-")</f>
        <v>0</v>
      </c>
      <c r="DQ40" s="114">
        <f>IFERROR(SUMIFS('01. KE30'!$X:$X,'01. KE30'!$F:$F,'05. BC BH THEO SKU-USD'!$D40,'01. KE30'!$A:$A,'05. BC BH THEO SKU-USD'!DQ$4)-SUMIFS('01. KE30'!$AA:$AA,'01. KE30'!$F:$F,'05. BC BH THEO SKU-USD'!$D40,'01. KE30'!$A:$A,'05. BC BH THEO SKU-USD'!DQ$4),"-")</f>
        <v>0</v>
      </c>
      <c r="DR40" s="114">
        <f>IFERROR(SUMIFS('01. KE30'!$X:$X,'01. KE30'!$F:$F,'05. BC BH THEO SKU-USD'!$D40,'01. KE30'!$A:$A,'05. BC BH THEO SKU-USD'!DR$4)-SUMIFS('01. KE30'!$AA:$AA,'01. KE30'!$F:$F,'05. BC BH THEO SKU-USD'!$D40,'01. KE30'!$A:$A,'05. BC BH THEO SKU-USD'!DR$4),"-")</f>
        <v>0</v>
      </c>
      <c r="DS40" s="114">
        <f>IFERROR(SUMIFS('01. KE30'!$X:$X,'01. KE30'!$F:$F,'05. BC BH THEO SKU-USD'!$D40,'01. KE30'!$A:$A,'05. BC BH THEO SKU-USD'!DS$4)-SUMIFS('01. KE30'!$AA:$AA,'01. KE30'!$F:$F,'05. BC BH THEO SKU-USD'!$D40,'01. KE30'!$A:$A,'05. BC BH THEO SKU-USD'!DS$4),"-")</f>
        <v>0</v>
      </c>
      <c r="DT40" s="114">
        <f>IFERROR(SUMIFS('01. KE30'!$X:$X,'01. KE30'!$F:$F,'05. BC BH THEO SKU-USD'!$D40,'01. KE30'!$A:$A,'05. BC BH THEO SKU-USD'!DT$4)-SUMIFS('01. KE30'!$AA:$AA,'01. KE30'!$F:$F,'05. BC BH THEO SKU-USD'!$D40,'01. KE30'!$A:$A,'05. BC BH THEO SKU-USD'!DT$4),"-")</f>
        <v>0</v>
      </c>
      <c r="DU40" s="114">
        <f>IFERROR(SUMIFS('01. KE30'!$X:$X,'01. KE30'!$F:$F,'05. BC BH THEO SKU-USD'!$D40,'01. KE30'!$A:$A,'05. BC BH THEO SKU-USD'!DU$4)-SUMIFS('01. KE30'!$AA:$AA,'01. KE30'!$F:$F,'05. BC BH THEO SKU-USD'!$D40,'01. KE30'!$A:$A,'05. BC BH THEO SKU-USD'!DU$4),"-")</f>
        <v>0</v>
      </c>
      <c r="DV40" s="114">
        <f>IFERROR(SUMIFS('01. KE30'!$X:$X,'01. KE30'!$F:$F,'05. BC BH THEO SKU-USD'!$D40,'01. KE30'!$A:$A,'05. BC BH THEO SKU-USD'!DV$4)-SUMIFS('01. KE30'!$AA:$AA,'01. KE30'!$F:$F,'05. BC BH THEO SKU-USD'!$D40,'01. KE30'!$A:$A,'05. BC BH THEO SKU-USD'!DV$4),"-")</f>
        <v>0</v>
      </c>
      <c r="DW40" s="114">
        <f>IFERROR(SUMIFS('01. KE30'!$X:$X,'01. KE30'!$F:$F,'05. BC BH THEO SKU-USD'!$D40,'01. KE30'!$A:$A,'05. BC BH THEO SKU-USD'!DW$4)-SUMIFS('01. KE30'!$AA:$AA,'01. KE30'!$F:$F,'05. BC BH THEO SKU-USD'!$D40,'01. KE30'!$A:$A,'05. BC BH THEO SKU-USD'!DW$4),"-")</f>
        <v>0</v>
      </c>
      <c r="DX40" s="114">
        <f>IFERROR(SUMIFS('01. KE30'!$X:$X,'01. KE30'!$F:$F,'05. BC BH THEO SKU-USD'!$D40,'01. KE30'!$A:$A,'05. BC BH THEO SKU-USD'!DX$4)-SUMIFS('01. KE30'!$AA:$AA,'01. KE30'!$F:$F,'05. BC BH THEO SKU-USD'!$D40,'01. KE30'!$A:$A,'05. BC BH THEO SKU-USD'!DX$4),"-")</f>
        <v>0</v>
      </c>
      <c r="DY40" s="114">
        <f>IFERROR(SUMIFS('01. KE30'!$X:$X,'01. KE30'!$F:$F,'05. BC BH THEO SKU-USD'!$D40,'01. KE30'!$A:$A,'05. BC BH THEO SKU-USD'!DY$4)-SUMIFS('01. KE30'!$AA:$AA,'01. KE30'!$F:$F,'05. BC BH THEO SKU-USD'!$D40,'01. KE30'!$A:$A,'05. BC BH THEO SKU-USD'!DY$4),"-")</f>
        <v>0</v>
      </c>
      <c r="DZ40" s="114">
        <f>IFERROR(SUMIFS('01. KE30'!$X:$X,'01. KE30'!$F:$F,'05. BC BH THEO SKU-USD'!$D40,'01. KE30'!$A:$A,'05. BC BH THEO SKU-USD'!DZ$4)-SUMIFS('01. KE30'!$AA:$AA,'01. KE30'!$F:$F,'05. BC BH THEO SKU-USD'!$D40,'01. KE30'!$A:$A,'05. BC BH THEO SKU-USD'!DZ$4),"-")</f>
        <v>0</v>
      </c>
      <c r="EB40" s="576">
        <f t="shared" si="252"/>
        <v>0</v>
      </c>
      <c r="EC40" s="573">
        <f t="shared" si="253"/>
        <v>0</v>
      </c>
      <c r="ED40" s="573">
        <f t="shared" si="19"/>
        <v>0</v>
      </c>
      <c r="EE40" s="572">
        <f t="shared" si="20"/>
        <v>0</v>
      </c>
      <c r="EF40" s="572">
        <f t="shared" si="21"/>
        <v>0</v>
      </c>
      <c r="EG40" s="572">
        <f t="shared" si="22"/>
        <v>0</v>
      </c>
      <c r="EH40" s="572">
        <f t="shared" si="23"/>
        <v>0</v>
      </c>
      <c r="EI40" s="572">
        <f t="shared" si="24"/>
        <v>0</v>
      </c>
      <c r="EJ40" s="572">
        <f t="shared" si="25"/>
        <v>0</v>
      </c>
      <c r="EK40" s="572">
        <f t="shared" si="26"/>
        <v>0</v>
      </c>
      <c r="EL40" s="572">
        <f t="shared" si="27"/>
        <v>0</v>
      </c>
      <c r="EM40" s="572">
        <f t="shared" si="28"/>
        <v>0</v>
      </c>
      <c r="EN40" s="572">
        <f t="shared" si="29"/>
        <v>0</v>
      </c>
    </row>
    <row r="41" spans="1:144" s="14" customFormat="1" ht="15" x14ac:dyDescent="0.3">
      <c r="A41" s="58" t="s">
        <v>31</v>
      </c>
      <c r="B41" s="474"/>
      <c r="C41" s="249"/>
      <c r="D41" s="461" t="s">
        <v>266</v>
      </c>
      <c r="E41" s="61"/>
      <c r="F41" s="145">
        <f t="shared" ref="F41:R41" si="302">IFERROR(AVERAGE(F42:F50),"-")</f>
        <v>870.94579054720623</v>
      </c>
      <c r="G41" s="145">
        <f t="shared" si="302"/>
        <v>985.21672201744457</v>
      </c>
      <c r="H41" s="145">
        <f t="shared" si="302"/>
        <v>894.90980701063404</v>
      </c>
      <c r="I41" s="145">
        <f t="shared" si="302"/>
        <v>897.64173228346453</v>
      </c>
      <c r="J41" s="145">
        <f t="shared" si="302"/>
        <v>754.11163983949928</v>
      </c>
      <c r="K41" s="145">
        <f t="shared" si="302"/>
        <v>764.26484459083065</v>
      </c>
      <c r="L41" s="145">
        <f t="shared" si="302"/>
        <v>743.74142729377115</v>
      </c>
      <c r="M41" s="145">
        <f t="shared" si="302"/>
        <v>761.84578758149325</v>
      </c>
      <c r="N41" s="145">
        <f t="shared" si="302"/>
        <v>805.65740078751264</v>
      </c>
      <c r="O41" s="145">
        <f t="shared" si="302"/>
        <v>737.50172440251993</v>
      </c>
      <c r="P41" s="145" t="str">
        <f t="shared" si="302"/>
        <v>-</v>
      </c>
      <c r="Q41" s="145" t="str">
        <f t="shared" si="302"/>
        <v>-</v>
      </c>
      <c r="R41" s="145" t="str">
        <f t="shared" si="302"/>
        <v>-</v>
      </c>
      <c r="T41" s="698">
        <f>IFERROR(SUMPRODUCT(T42:T50,CL42:CL50)/CL41,0)</f>
        <v>764.17923797222636</v>
      </c>
      <c r="U41" s="698">
        <f t="shared" ref="U41:AF41" si="303">IFERROR(SUMPRODUCT(U42:U50,CM42:CM50)/CM41,0)</f>
        <v>958.37596051668345</v>
      </c>
      <c r="V41" s="698">
        <f t="shared" si="303"/>
        <v>895.51374416249359</v>
      </c>
      <c r="W41" s="698">
        <f t="shared" si="303"/>
        <v>853.38930950938823</v>
      </c>
      <c r="X41" s="698">
        <f t="shared" si="303"/>
        <v>735.09613888849049</v>
      </c>
      <c r="Y41" s="698">
        <f t="shared" si="303"/>
        <v>728.93941533768032</v>
      </c>
      <c r="Z41" s="698">
        <f t="shared" si="303"/>
        <v>720.37371615887866</v>
      </c>
      <c r="AA41" s="698">
        <f t="shared" si="303"/>
        <v>766.63946154533448</v>
      </c>
      <c r="AB41" s="698">
        <f t="shared" si="303"/>
        <v>725.98319409218232</v>
      </c>
      <c r="AC41" s="698">
        <f t="shared" si="303"/>
        <v>703.08123127069018</v>
      </c>
      <c r="AD41" s="698">
        <f t="shared" si="303"/>
        <v>0</v>
      </c>
      <c r="AE41" s="698">
        <f t="shared" si="303"/>
        <v>0</v>
      </c>
      <c r="AF41" s="698">
        <f t="shared" si="303"/>
        <v>0</v>
      </c>
      <c r="AH41" s="71">
        <f t="shared" ref="AH41:AT41" si="304">IFERROR(AVERAGE(AH42:AH50),0)</f>
        <v>790.41666666666663</v>
      </c>
      <c r="AI41" s="71">
        <f t="shared" si="304"/>
        <v>870</v>
      </c>
      <c r="AJ41" s="71">
        <f t="shared" si="304"/>
        <v>800</v>
      </c>
      <c r="AK41" s="71">
        <f t="shared" si="304"/>
        <v>805</v>
      </c>
      <c r="AL41" s="71">
        <f t="shared" si="304"/>
        <v>805</v>
      </c>
      <c r="AM41" s="71">
        <f t="shared" si="304"/>
        <v>765</v>
      </c>
      <c r="AN41" s="71">
        <f t="shared" si="304"/>
        <v>765</v>
      </c>
      <c r="AO41" s="71">
        <f t="shared" si="304"/>
        <v>780</v>
      </c>
      <c r="AP41" s="71">
        <f t="shared" si="304"/>
        <v>760</v>
      </c>
      <c r="AQ41" s="71">
        <f t="shared" si="304"/>
        <v>760</v>
      </c>
      <c r="AR41" s="71">
        <f t="shared" si="304"/>
        <v>0</v>
      </c>
      <c r="AS41" s="71">
        <f t="shared" si="304"/>
        <v>0</v>
      </c>
      <c r="AT41" s="71">
        <f t="shared" si="304"/>
        <v>0</v>
      </c>
      <c r="AU41" s="71">
        <f>IFERROR(AVERAGE(AU42:AU77),0)</f>
        <v>0</v>
      </c>
      <c r="AV41" s="96">
        <f t="shared" si="299"/>
        <v>-26.237428694440268</v>
      </c>
      <c r="AW41" s="96">
        <f t="shared" si="299"/>
        <v>88.375960516683449</v>
      </c>
      <c r="AX41" s="96">
        <f t="shared" si="300"/>
        <v>95.513744162493595</v>
      </c>
      <c r="AY41" s="96">
        <f t="shared" si="300"/>
        <v>48.389309509388227</v>
      </c>
      <c r="AZ41" s="96">
        <f t="shared" si="300"/>
        <v>-69.903861111509514</v>
      </c>
      <c r="BA41" s="96">
        <f t="shared" si="300"/>
        <v>-36.060584662319684</v>
      </c>
      <c r="BB41" s="96">
        <f t="shared" si="300"/>
        <v>-44.626283841121335</v>
      </c>
      <c r="BC41" s="96">
        <f t="shared" si="300"/>
        <v>-13.360538454665516</v>
      </c>
      <c r="BD41" s="96">
        <f t="shared" si="300"/>
        <v>-34.016805907817684</v>
      </c>
      <c r="BE41" s="96">
        <f t="shared" si="300"/>
        <v>-56.918768729309818</v>
      </c>
      <c r="BF41" s="96" t="str">
        <f t="shared" si="300"/>
        <v>-</v>
      </c>
      <c r="BG41" s="96" t="str">
        <f t="shared" si="300"/>
        <v>-</v>
      </c>
      <c r="BH41" s="96" t="str">
        <f t="shared" si="300"/>
        <v>-</v>
      </c>
      <c r="BJ41" s="142">
        <f t="shared" si="65"/>
        <v>-3.3194427446840619E-2</v>
      </c>
      <c r="BK41" s="142">
        <f t="shared" si="65"/>
        <v>0.10158156381227983</v>
      </c>
      <c r="BL41" s="142">
        <f t="shared" si="65"/>
        <v>0.119392180203117</v>
      </c>
      <c r="BM41" s="142">
        <f t="shared" si="65"/>
        <v>6.0110943489923262E-2</v>
      </c>
      <c r="BN41" s="142">
        <f t="shared" si="65"/>
        <v>-8.6837094548459018E-2</v>
      </c>
      <c r="BO41" s="142">
        <f t="shared" si="65"/>
        <v>-4.7138019166430963E-2</v>
      </c>
      <c r="BP41" s="142">
        <f t="shared" si="65"/>
        <v>-5.8335011557021352E-2</v>
      </c>
      <c r="BQ41" s="142">
        <f t="shared" si="65"/>
        <v>-1.712889545469938E-2</v>
      </c>
      <c r="BR41" s="142">
        <f t="shared" si="65"/>
        <v>-4.4758955141865377E-2</v>
      </c>
      <c r="BS41" s="142">
        <f t="shared" si="65"/>
        <v>-7.4893116749091868E-2</v>
      </c>
      <c r="BT41" s="142" t="str">
        <f t="shared" si="68"/>
        <v>-</v>
      </c>
      <c r="BU41" s="142" t="str">
        <f t="shared" si="68"/>
        <v>-</v>
      </c>
      <c r="BV41" s="142" t="str">
        <f t="shared" si="68"/>
        <v>-</v>
      </c>
      <c r="BX41" s="115">
        <f>IFERROR(AVERAGE(BX42:BX50),0)</f>
        <v>954.58495705089751</v>
      </c>
      <c r="BY41" s="115">
        <f t="shared" ref="BY41:CJ41" si="305">IFERROR(AVERAGE(BY42:BY50),0)</f>
        <v>797.25336058294715</v>
      </c>
      <c r="BZ41" s="115">
        <f t="shared" si="305"/>
        <v>1065.2557239350901</v>
      </c>
      <c r="CA41" s="115">
        <f t="shared" si="305"/>
        <v>944.04907372942</v>
      </c>
      <c r="CB41" s="115">
        <f t="shared" si="305"/>
        <v>996.05570103869377</v>
      </c>
      <c r="CC41" s="115">
        <f t="shared" si="305"/>
        <v>1134.6582619430067</v>
      </c>
      <c r="CD41" s="115">
        <f t="shared" si="305"/>
        <v>1057.1756584946688</v>
      </c>
      <c r="CE41" s="115">
        <f t="shared" si="305"/>
        <v>1023.8664483887967</v>
      </c>
      <c r="CF41" s="115">
        <f t="shared" si="305"/>
        <v>1007.463756485147</v>
      </c>
      <c r="CG41" s="115">
        <f t="shared" si="305"/>
        <v>982.89528977668533</v>
      </c>
      <c r="CH41" s="115">
        <f t="shared" si="305"/>
        <v>0</v>
      </c>
      <c r="CI41" s="115">
        <f t="shared" si="305"/>
        <v>0</v>
      </c>
      <c r="CJ41" s="115">
        <f t="shared" si="305"/>
        <v>0</v>
      </c>
      <c r="CL41" s="115">
        <f t="shared" ref="CL41:CX41" si="306">SUM(CL42:CL50)</f>
        <v>521.17499999999995</v>
      </c>
      <c r="CM41" s="115">
        <f t="shared" si="306"/>
        <v>8.5</v>
      </c>
      <c r="CN41" s="115">
        <f t="shared" si="306"/>
        <v>84</v>
      </c>
      <c r="CO41" s="115">
        <f t="shared" si="306"/>
        <v>32.5</v>
      </c>
      <c r="CP41" s="115">
        <f t="shared" si="306"/>
        <v>57.375</v>
      </c>
      <c r="CQ41" s="115">
        <f t="shared" si="306"/>
        <v>63.25</v>
      </c>
      <c r="CR41" s="115">
        <f t="shared" si="306"/>
        <v>56.375</v>
      </c>
      <c r="CS41" s="115">
        <f t="shared" si="306"/>
        <v>31.925000000000001</v>
      </c>
      <c r="CT41" s="115">
        <f t="shared" si="306"/>
        <v>93.75</v>
      </c>
      <c r="CU41" s="115">
        <f t="shared" si="306"/>
        <v>93.5</v>
      </c>
      <c r="CV41" s="115">
        <f t="shared" si="306"/>
        <v>0</v>
      </c>
      <c r="CW41" s="115">
        <f t="shared" si="306"/>
        <v>0</v>
      </c>
      <c r="CX41" s="115">
        <f t="shared" si="306"/>
        <v>0</v>
      </c>
      <c r="CZ41" s="115">
        <f t="shared" ref="CZ41:DL41" si="307">SUM(CZ42:CZ50)</f>
        <v>412828.80573698849</v>
      </c>
      <c r="DA41" s="115">
        <f t="shared" si="307"/>
        <v>8146.1956643918093</v>
      </c>
      <c r="DB41" s="115">
        <f t="shared" si="307"/>
        <v>80735.025600630164</v>
      </c>
      <c r="DC41" s="115">
        <f t="shared" si="307"/>
        <v>27735.152559055117</v>
      </c>
      <c r="DD41" s="115">
        <f t="shared" si="307"/>
        <v>43324.138559814171</v>
      </c>
      <c r="DE41" s="115">
        <f t="shared" si="307"/>
        <v>47611.605181747873</v>
      </c>
      <c r="DF41" s="115">
        <f t="shared" si="307"/>
        <v>41884.216396604941</v>
      </c>
      <c r="DG41" s="115">
        <f t="shared" si="307"/>
        <v>24474.964809834804</v>
      </c>
      <c r="DH41" s="115">
        <f t="shared" si="307"/>
        <v>70350.840412528647</v>
      </c>
      <c r="DI41" s="115">
        <f t="shared" si="307"/>
        <v>68566.66655238095</v>
      </c>
      <c r="DJ41" s="115">
        <f t="shared" si="307"/>
        <v>0</v>
      </c>
      <c r="DK41" s="115">
        <f t="shared" si="307"/>
        <v>0</v>
      </c>
      <c r="DL41" s="115">
        <f t="shared" si="307"/>
        <v>0</v>
      </c>
      <c r="DN41" s="115">
        <f t="shared" ref="DN41:DZ41" si="308">SUM(DN42:DN50)</f>
        <v>-142066.38213895564</v>
      </c>
      <c r="DO41" s="115">
        <f t="shared" si="308"/>
        <v>204.85523885989551</v>
      </c>
      <c r="DP41" s="115">
        <f t="shared" si="308"/>
        <v>-42.370618353681834</v>
      </c>
      <c r="DQ41" s="115">
        <f t="shared" si="308"/>
        <v>-7813.8872440944861</v>
      </c>
      <c r="DR41" s="115">
        <f t="shared" si="308"/>
        <v>-12075.507114896551</v>
      </c>
      <c r="DS41" s="115">
        <f t="shared" si="308"/>
        <v>-22305.559435421495</v>
      </c>
      <c r="DT41" s="115">
        <f t="shared" si="308"/>
        <v>-21307.07337962963</v>
      </c>
      <c r="DU41" s="115">
        <f t="shared" si="308"/>
        <v>-9962.2054552439513</v>
      </c>
      <c r="DV41" s="115">
        <f t="shared" si="308"/>
        <v>-45909.827387318568</v>
      </c>
      <c r="DW41" s="115">
        <f t="shared" si="308"/>
        <v>-22854.806742857145</v>
      </c>
      <c r="DX41" s="115">
        <f t="shared" si="308"/>
        <v>0</v>
      </c>
      <c r="DY41" s="115">
        <f t="shared" si="308"/>
        <v>0</v>
      </c>
      <c r="DZ41" s="115">
        <f t="shared" si="308"/>
        <v>0</v>
      </c>
      <c r="EB41" s="580">
        <f t="shared" si="252"/>
        <v>-0.3441290437214925</v>
      </c>
      <c r="EC41" s="574">
        <f t="shared" si="253"/>
        <v>2.514735065293695E-2</v>
      </c>
      <c r="ED41" s="574">
        <f t="shared" si="19"/>
        <v>-5.2481086168567606E-4</v>
      </c>
      <c r="EE41" s="574">
        <f t="shared" si="20"/>
        <v>-0.28173226116051658</v>
      </c>
      <c r="EF41" s="574">
        <f t="shared" si="21"/>
        <v>-0.27872469058386157</v>
      </c>
      <c r="EG41" s="574">
        <f t="shared" si="22"/>
        <v>-0.46848996899546741</v>
      </c>
      <c r="EH41" s="574">
        <f t="shared" si="23"/>
        <v>-0.50871366860182543</v>
      </c>
      <c r="EI41" s="574">
        <f t="shared" si="24"/>
        <v>-0.40703655889387946</v>
      </c>
      <c r="EJ41" s="574">
        <f t="shared" si="25"/>
        <v>-0.65258392249629149</v>
      </c>
      <c r="EK41" s="574">
        <f t="shared" si="26"/>
        <v>-0.33332241294532527</v>
      </c>
      <c r="EL41" s="574">
        <f t="shared" si="27"/>
        <v>0</v>
      </c>
      <c r="EM41" s="574">
        <f t="shared" si="28"/>
        <v>0</v>
      </c>
      <c r="EN41" s="574">
        <f t="shared" si="29"/>
        <v>0</v>
      </c>
    </row>
    <row r="42" spans="1:144" ht="15.5" outlineLevel="1" x14ac:dyDescent="0.35">
      <c r="A42" s="10">
        <v>1</v>
      </c>
      <c r="B42" s="10" t="s">
        <v>266</v>
      </c>
      <c r="C42" s="246" t="str">
        <f>VLOOKUP(D42,'Quy đổi'!A:C,3,0)</f>
        <v>rHDI3W01</v>
      </c>
      <c r="D42" s="459" t="s">
        <v>48</v>
      </c>
      <c r="E42" s="7" t="s">
        <v>47</v>
      </c>
      <c r="F42" s="92">
        <f t="shared" si="295"/>
        <v>1065.7689048491818</v>
      </c>
      <c r="G42" s="106">
        <f>IFERROR(SUMIFS('01. KE30'!$K:$K,'01. KE30'!$F:$F,'05. BC BH THEO SKU-USD'!$D42,'01. KE30'!$A:$A,'05. BC BH THEO SKU-USD'!G$4)/'05. BC BH THEO SKU-USD'!CM42/'02. Tỷ giá'!B$5,"-")</f>
        <v>1076.4753111200321</v>
      </c>
      <c r="H42" s="106" t="str">
        <f>IFERROR(SUMIFS('01. KE30'!$K:$K,'01. KE30'!$F:$F,'05. BC BH THEO SKU-USD'!$D42,'01. KE30'!$A:$A,'05. BC BH THEO SKU-USD'!H$4)/'05. BC BH THEO SKU-USD'!CN42/'02. Tỷ giá'!C$5,"-")</f>
        <v>-</v>
      </c>
      <c r="I42" s="106">
        <f>IFERROR(SUMIFS('01. KE30'!$K:$K,'01. KE30'!$F:$F,'05. BC BH THEO SKU-USD'!$D42,'01. KE30'!$A:$A,'05. BC BH THEO SKU-USD'!I$4)/'05. BC BH THEO SKU-USD'!CO42/'02. Tỷ giá'!D$5,"-")</f>
        <v>1062.007874015748</v>
      </c>
      <c r="J42" s="106" t="str">
        <f>IFERROR(SUMIFS('01. KE30'!$K:$K,'01. KE30'!$F:$F,'05. BC BH THEO SKU-USD'!$D42,'01. KE30'!$A:$A,'05. BC BH THEO SKU-USD'!J$4)/'05. BC BH THEO SKU-USD'!CP42/'02. Tỷ giá'!E$5,"-")</f>
        <v>-</v>
      </c>
      <c r="K42" s="106" t="str">
        <f>IFERROR(SUMIFS('01. KE30'!$K:$K,'01. KE30'!$F:$F,'05. BC BH THEO SKU-USD'!$D42,'01. KE30'!$A:$A,'05. BC BH THEO SKU-USD'!K$4)/'05. BC BH THEO SKU-USD'!CQ42/'02. Tỷ giá'!F$5,"-")</f>
        <v>-</v>
      </c>
      <c r="L42" s="106" t="str">
        <f>IFERROR(SUMIFS('01. KE30'!$K:$K,'01. KE30'!$F:$F,'05. BC BH THEO SKU-USD'!$D42,'01. KE30'!$A:$A,'05. BC BH THEO SKU-USD'!L$4)/'05. BC BH THEO SKU-USD'!CR42/'02. Tỷ giá'!G$5,"-")</f>
        <v>-</v>
      </c>
      <c r="M42" s="106" t="str">
        <f>IFERROR(SUMIFS('01. KE30'!$K:$K,'01. KE30'!$F:$F,'05. BC BH THEO SKU-USD'!$D42,'01. KE30'!$A:$A,'05. BC BH THEO SKU-USD'!M$4)/'05. BC BH THEO SKU-USD'!CS42/'02. Tỷ giá'!H$5,"-")</f>
        <v>-</v>
      </c>
      <c r="N42" s="106">
        <f>IFERROR(SUMIFS('01. KE30'!$K:$K,'01. KE30'!$F:$F,'05. BC BH THEO SKU-USD'!$D42,'01. KE30'!$A:$A,'05. BC BH THEO SKU-USD'!N$4)/'05. BC BH THEO SKU-USD'!CT42/'02. Tỷ giá'!I$5,"-")</f>
        <v>1058.8235294117646</v>
      </c>
      <c r="O42" s="106" t="str">
        <f>IFERROR(SUMIFS('01. KE30'!$K:$K,'01. KE30'!$F:$F,'05. BC BH THEO SKU-USD'!$D42,'01. KE30'!$A:$A,'05. BC BH THEO SKU-USD'!O$4)/'05. BC BH THEO SKU-USD'!CU42/'02. Tỷ giá'!J$5,"-")</f>
        <v>-</v>
      </c>
      <c r="P42" s="106" t="str">
        <f>IFERROR(SUMIFS('01. KE30'!$K:$K,'01. KE30'!$F:$F,'05. BC BH THEO SKU-USD'!$D42,'01. KE30'!$A:$A,'05. BC BH THEO SKU-USD'!P$4)/'05. BC BH THEO SKU-USD'!CV42/'02. Tỷ giá'!K$5,"-")</f>
        <v>-</v>
      </c>
      <c r="Q42" s="106" t="str">
        <f>IFERROR(SUMIFS('01. KE30'!$K:$K,'01. KE30'!$F:$F,'05. BC BH THEO SKU-USD'!$D42,'01. KE30'!$A:$A,'05. BC BH THEO SKU-USD'!Q$4)/'05. BC BH THEO SKU-USD'!CW42/'02. Tỷ giá'!L$5,"-")</f>
        <v>-</v>
      </c>
      <c r="R42" s="106" t="str">
        <f>IFERROR(SUMIFS('01. KE30'!$K:$K,'01. KE30'!$F:$F,'05. BC BH THEO SKU-USD'!$D42,'01. KE30'!$A:$A,'05. BC BH THEO SKU-USD'!R$4)/'05. BC BH THEO SKU-USD'!CX42/'02. Tỷ giá'!M$5,"-")</f>
        <v>-</v>
      </c>
      <c r="T42" s="92">
        <f t="shared" ref="T42:T71" si="309">IFERROR(SUMPRODUCT(U42:AF42,CM42:CX42)/CL42,0)</f>
        <v>1065.0850810612844</v>
      </c>
      <c r="U42" s="147">
        <f>IFERROR(SUMIFS('01. KE30'!$O:$O,'01. KE30'!$F:$F,'05. BC BH THEO SKU-USD'!$D42,'01. KE30'!$A:$A,'05. BC BH THEO SKU-USD'!G$4)/'05. BC BH THEO SKU-USD'!CM42/'02. Tỷ giá'!B$5,"-")</f>
        <v>1076.4753111200321</v>
      </c>
      <c r="V42" s="147" t="str">
        <f>IFERROR(SUMIFS('01. KE30'!$O:$O,'01. KE30'!$F:$F,'05. BC BH THEO SKU-USD'!$D42,'01. KE30'!$A:$A,'05. BC BH THEO SKU-USD'!H$4)/'05. BC BH THEO SKU-USD'!CN42/'02. Tỷ giá'!C$5,"-")</f>
        <v>-</v>
      </c>
      <c r="W42" s="147">
        <f>IFERROR(SUMIFS('01. KE30'!$O:$O,'01. KE30'!$F:$F,'05. BC BH THEO SKU-USD'!$D42,'01. KE30'!$A:$A,'05. BC BH THEO SKU-USD'!I$4)/'05. BC BH THEO SKU-USD'!CO42/'02. Tỷ giá'!D$5,"-")</f>
        <v>1062.007874015748</v>
      </c>
      <c r="X42" s="147" t="str">
        <f>IFERROR(SUMIFS('01. KE30'!$O:$O,'01. KE30'!$F:$F,'05. BC BH THEO SKU-USD'!$D42,'01. KE30'!$A:$A,'05. BC BH THEO SKU-USD'!J$4)/'05. BC BH THEO SKU-USD'!CP42/'02. Tỷ giá'!E$5,"-")</f>
        <v>-</v>
      </c>
      <c r="Y42" s="147" t="str">
        <f>IFERROR(SUMIFS('01. KE30'!$O:$O,'01. KE30'!$F:$F,'05. BC BH THEO SKU-USD'!$D42,'01. KE30'!$A:$A,'05. BC BH THEO SKU-USD'!K$4)/'05. BC BH THEO SKU-USD'!CQ42/'02. Tỷ giá'!F$5,"-")</f>
        <v>-</v>
      </c>
      <c r="Z42" s="147" t="str">
        <f>IFERROR(SUMIFS('01. KE30'!$O:$O,'01. KE30'!$F:$F,'05. BC BH THEO SKU-USD'!$D42,'01. KE30'!$A:$A,'05. BC BH THEO SKU-USD'!L$4)/'05. BC BH THEO SKU-USD'!CR42/'02. Tỷ giá'!G$5,"-")</f>
        <v>-</v>
      </c>
      <c r="AA42" s="147" t="str">
        <f>IFERROR(SUMIFS('01. KE30'!$O:$O,'01. KE30'!$F:$F,'05. BC BH THEO SKU-USD'!$D42,'01. KE30'!$A:$A,'05. BC BH THEO SKU-USD'!M$4)/'05. BC BH THEO SKU-USD'!CS42/'02. Tỷ giá'!H$5,"-")</f>
        <v>-</v>
      </c>
      <c r="AB42" s="147">
        <f>IFERROR(SUMIFS('01. KE30'!$O:$O,'01. KE30'!$F:$F,'05. BC BH THEO SKU-USD'!$D42,'01. KE30'!$A:$A,'05. BC BH THEO SKU-USD'!N$4)/'05. BC BH THEO SKU-USD'!CT42/'02. Tỷ giá'!I$5,"-")</f>
        <v>1058.8235294117646</v>
      </c>
      <c r="AC42" s="147" t="str">
        <f>IFERROR(SUMIFS('01. KE30'!$O:$O,'01. KE30'!$F:$F,'05. BC BH THEO SKU-USD'!$D42,'01. KE30'!$A:$A,'05. BC BH THEO SKU-USD'!O$4)/'05. BC BH THEO SKU-USD'!CU42/'02. Tỷ giá'!J$5,"-")</f>
        <v>-</v>
      </c>
      <c r="AD42" s="147" t="str">
        <f>IFERROR(SUMIFS('01. KE30'!$O:$O,'01. KE30'!$F:$F,'05. BC BH THEO SKU-USD'!$D42,'01. KE30'!$A:$A,'05. BC BH THEO SKU-USD'!P$4)/'05. BC BH THEO SKU-USD'!CV42/'02. Tỷ giá'!K$5,"-")</f>
        <v>-</v>
      </c>
      <c r="AE42" s="147" t="str">
        <f>IFERROR(SUMIFS('01. KE30'!$O:$O,'01. KE30'!$F:$F,'05. BC BH THEO SKU-USD'!$D42,'01. KE30'!$A:$A,'05. BC BH THEO SKU-USD'!Q$4)/'05. BC BH THEO SKU-USD'!CW42/'02. Tỷ giá'!L$5,"-")</f>
        <v>-</v>
      </c>
      <c r="AF42" s="147" t="str">
        <f>IFERROR(SUMIFS('01. KE30'!$O:$O,'01. KE30'!$F:$F,'05. BC BH THEO SKU-USD'!$D42,'01. KE30'!$A:$A,'05. BC BH THEO SKU-USD'!R$4)/'05. BC BH THEO SKU-USD'!CX42/'02. Tỷ giá'!M$5,"-")</f>
        <v>-</v>
      </c>
      <c r="AH42" s="55">
        <f t="shared" si="296"/>
        <v>790</v>
      </c>
      <c r="AI42" s="4">
        <v>870</v>
      </c>
      <c r="AJ42" s="4">
        <v>800</v>
      </c>
      <c r="AK42" s="4">
        <v>805</v>
      </c>
      <c r="AL42" s="4">
        <v>805</v>
      </c>
      <c r="AM42" s="4">
        <v>765</v>
      </c>
      <c r="AN42" s="4">
        <v>765</v>
      </c>
      <c r="AO42" s="4">
        <v>780</v>
      </c>
      <c r="AP42" s="4">
        <v>760</v>
      </c>
      <c r="AQ42" s="4">
        <v>760</v>
      </c>
      <c r="AR42" s="4"/>
      <c r="AS42" s="4"/>
      <c r="AT42" s="4"/>
      <c r="AV42" s="54">
        <f t="shared" si="299"/>
        <v>275.08508106128443</v>
      </c>
      <c r="AW42" s="95">
        <f t="shared" si="299"/>
        <v>206.47531112003207</v>
      </c>
      <c r="AX42" s="95" t="str">
        <f t="shared" si="300"/>
        <v>-</v>
      </c>
      <c r="AY42" s="95">
        <f t="shared" si="300"/>
        <v>257.00787401574803</v>
      </c>
      <c r="AZ42" s="95" t="str">
        <f t="shared" si="300"/>
        <v>-</v>
      </c>
      <c r="BA42" s="95" t="str">
        <f t="shared" si="300"/>
        <v>-</v>
      </c>
      <c r="BB42" s="95" t="str">
        <f t="shared" si="300"/>
        <v>-</v>
      </c>
      <c r="BC42" s="95" t="str">
        <f t="shared" si="300"/>
        <v>-</v>
      </c>
      <c r="BD42" s="95">
        <f t="shared" si="300"/>
        <v>298.82352941176464</v>
      </c>
      <c r="BE42" s="95" t="str">
        <f t="shared" si="300"/>
        <v>-</v>
      </c>
      <c r="BF42" s="95" t="str">
        <f t="shared" si="300"/>
        <v>-</v>
      </c>
      <c r="BG42" s="95" t="str">
        <f t="shared" si="300"/>
        <v>-</v>
      </c>
      <c r="BH42" s="95" t="str">
        <f t="shared" si="300"/>
        <v>-</v>
      </c>
      <c r="BJ42" s="143">
        <f t="shared" si="65"/>
        <v>0.34820896336871449</v>
      </c>
      <c r="BK42" s="143">
        <f t="shared" si="65"/>
        <v>0.23732794381612882</v>
      </c>
      <c r="BL42" s="143" t="str">
        <f t="shared" si="65"/>
        <v>-</v>
      </c>
      <c r="BM42" s="143">
        <f t="shared" si="65"/>
        <v>0.31926443977111557</v>
      </c>
      <c r="BN42" s="143" t="str">
        <f t="shared" si="65"/>
        <v>-</v>
      </c>
      <c r="BO42" s="143" t="str">
        <f t="shared" si="65"/>
        <v>-</v>
      </c>
      <c r="BP42" s="143" t="str">
        <f t="shared" si="65"/>
        <v>-</v>
      </c>
      <c r="BQ42" s="143" t="str">
        <f t="shared" si="65"/>
        <v>-</v>
      </c>
      <c r="BR42" s="143">
        <f t="shared" si="65"/>
        <v>0.39318885448916402</v>
      </c>
      <c r="BS42" s="143" t="str">
        <f t="shared" si="65"/>
        <v>-</v>
      </c>
      <c r="BT42" s="143" t="str">
        <f t="shared" si="68"/>
        <v>-</v>
      </c>
      <c r="BU42" s="143" t="str">
        <f t="shared" si="68"/>
        <v>-</v>
      </c>
      <c r="BV42" s="143" t="str">
        <f t="shared" si="68"/>
        <v>-</v>
      </c>
      <c r="BX42" s="112">
        <f t="shared" ref="BX42:BX50" si="310">IFERROR(AVERAGE(BY42:CJ42),"-")</f>
        <v>326.15662716339398</v>
      </c>
      <c r="BY42" s="95">
        <f>IFERROR(SUMIFS('01. KE30'!$R:$R,'01. KE30'!$F:$F,'05. BC BH THEO SKU-USD'!$D42,'01. KE30'!$A:$A,'05. BC BH THEO SKU-USD'!BY$4)/CM42/'02. Tỷ giá'!B$5," -")</f>
        <v>331.37861635220122</v>
      </c>
      <c r="BZ42" s="95" t="str">
        <f>IFERROR(SUMIFS('01. KE30'!$R:$R,'01. KE30'!$F:$F,'05. BC BH THEO SKU-USD'!$D42,'01. KE30'!$A:$A,'05. BC BH THEO SKU-USD'!BZ$4)/CN42/'02. Tỷ giá'!C$5," -")</f>
        <v xml:space="preserve"> -</v>
      </c>
      <c r="CA42" s="95">
        <f>IFERROR(SUMIFS('01. KE30'!$R:$R,'01. KE30'!$F:$F,'05. BC BH THEO SKU-USD'!$D42,'01. KE30'!$A:$A,'05. BC BH THEO SKU-USD'!CA$4)/CO42/'02. Tỷ giá'!D$5," -")</f>
        <v>325.5564803149606</v>
      </c>
      <c r="CB42" s="95" t="str">
        <f>IFERROR(SUMIFS('01. KE30'!$R:$R,'01. KE30'!$F:$F,'05. BC BH THEO SKU-USD'!$D42,'01. KE30'!$A:$A,'05. BC BH THEO SKU-USD'!CB$4)/CP42/'02. Tỷ giá'!E$5," -")</f>
        <v xml:space="preserve"> -</v>
      </c>
      <c r="CC42" s="95" t="str">
        <f>IFERROR(SUMIFS('01. KE30'!$R:$R,'01. KE30'!$F:$F,'05. BC BH THEO SKU-USD'!$D42,'01. KE30'!$A:$A,'05. BC BH THEO SKU-USD'!CC$4)/CQ42/'02. Tỷ giá'!F$5," -")</f>
        <v xml:space="preserve"> -</v>
      </c>
      <c r="CD42" s="95" t="str">
        <f>IFERROR(SUMIFS('01. KE30'!$R:$R,'01. KE30'!$F:$F,'05. BC BH THEO SKU-USD'!$D42,'01. KE30'!$A:$A,'05. BC BH THEO SKU-USD'!CD$4)/CR42/'02. Tỷ giá'!G$5," -")</f>
        <v xml:space="preserve"> -</v>
      </c>
      <c r="CE42" s="95" t="str">
        <f>IFERROR(SUMIFS('01. KE30'!$R:$R,'01. KE30'!$F:$F,'05. BC BH THEO SKU-USD'!$D42,'01. KE30'!$A:$A,'05. BC BH THEO SKU-USD'!CE$4)/CS42/'02. Tỷ giá'!H$5," -")</f>
        <v xml:space="preserve"> -</v>
      </c>
      <c r="CF42" s="95">
        <f>IFERROR(SUMIFS('01. KE30'!$R:$R,'01. KE30'!$F:$F,'05. BC BH THEO SKU-USD'!$D42,'01. KE30'!$A:$A,'05. BC BH THEO SKU-USD'!CF$4)/CT42/'02. Tỷ giá'!I$5," -")</f>
        <v>321.53478482302012</v>
      </c>
      <c r="CG42" s="95" t="str">
        <f>IFERROR(SUMIFS('01. KE30'!$R:$R,'01. KE30'!$F:$F,'05. BC BH THEO SKU-USD'!$D42,'01. KE30'!$A:$A,'05. BC BH THEO SKU-USD'!CG$4)/CU42/'02. Tỷ giá'!J$5," -")</f>
        <v xml:space="preserve"> -</v>
      </c>
      <c r="CH42" s="95" t="str">
        <f>IFERROR(SUMIFS('01. KE30'!$R:$R,'01. KE30'!$F:$F,'05. BC BH THEO SKU-USD'!$D42,'01. KE30'!$A:$A,'05. BC BH THEO SKU-USD'!CH$4)/CV42/'02. Tỷ giá'!K$5," -")</f>
        <v xml:space="preserve"> -</v>
      </c>
      <c r="CI42" s="95" t="str">
        <f>IFERROR(SUMIFS('01. KE30'!$R:$R,'01. KE30'!$F:$F,'05. BC BH THEO SKU-USD'!$D42,'01. KE30'!$A:$A,'05. BC BH THEO SKU-USD'!CI$4)/CW42/'02. Tỷ giá'!L$5," -")</f>
        <v xml:space="preserve"> -</v>
      </c>
      <c r="CJ42" s="95" t="str">
        <f>IFERROR(SUMIFS('01. KE30'!$R:$R,'01. KE30'!$F:$F,'05. BC BH THEO SKU-USD'!$D42,'01. KE30'!$A:$A,'05. BC BH THEO SKU-USD'!CJ$4)/CX42/'02. Tỷ giá'!M$5," -")</f>
        <v xml:space="preserve"> -</v>
      </c>
      <c r="CL42" s="112">
        <f t="shared" si="281"/>
        <v>11</v>
      </c>
      <c r="CM42" s="114">
        <f>SUMIFS('01. KE30'!$I:$I,'01. KE30'!$F:$F,'05. BC BH THEO SKU-USD'!$D42,'01. KE30'!$A:$A,'05. BC BH THEO SKU-USD'!CM$4)/1000</f>
        <v>3</v>
      </c>
      <c r="CN42" s="114">
        <f>SUMIFS('01. KE30'!$I:$I,'01. KE30'!$F:$F,'05. BC BH THEO SKU-USD'!$D42,'01. KE30'!$A:$A,'05. BC BH THEO SKU-USD'!CN$4)/1000</f>
        <v>0</v>
      </c>
      <c r="CO42" s="114">
        <f>SUMIFS('01. KE30'!$I:$I,'01. KE30'!$F:$F,'05. BC BH THEO SKU-USD'!$D42,'01. KE30'!$A:$A,'05. BC BH THEO SKU-USD'!CO$4)/1000</f>
        <v>5</v>
      </c>
      <c r="CP42" s="114">
        <f>SUMIFS('01. KE30'!$I:$I,'01. KE30'!$F:$F,'05. BC BH THEO SKU-USD'!$D42,'01. KE30'!$A:$A,'05. BC BH THEO SKU-USD'!CP$4)/1000</f>
        <v>0</v>
      </c>
      <c r="CQ42" s="114">
        <f>SUMIFS('01. KE30'!$I:$I,'01. KE30'!$F:$F,'05. BC BH THEO SKU-USD'!$D42,'01. KE30'!$A:$A,'05. BC BH THEO SKU-USD'!CQ$4)/1000</f>
        <v>0</v>
      </c>
      <c r="CR42" s="114">
        <f>SUMIFS('01. KE30'!$I:$I,'01. KE30'!$F:$F,'05. BC BH THEO SKU-USD'!$D42,'01. KE30'!$A:$A,'05. BC BH THEO SKU-USD'!CR$4)/1000</f>
        <v>0</v>
      </c>
      <c r="CS42" s="114">
        <f>SUMIFS('01. KE30'!$I:$I,'01. KE30'!$F:$F,'05. BC BH THEO SKU-USD'!$D42,'01. KE30'!$A:$A,'05. BC BH THEO SKU-USD'!CS$4)/1000</f>
        <v>0</v>
      </c>
      <c r="CT42" s="114">
        <f>SUMIFS('01. KE30'!$I:$I,'01. KE30'!$F:$F,'05. BC BH THEO SKU-USD'!$D42,'01. KE30'!$A:$A,'05. BC BH THEO SKU-USD'!CT$4)/1000</f>
        <v>3</v>
      </c>
      <c r="CU42" s="114">
        <f>SUMIFS('01. KE30'!$I:$I,'01. KE30'!$F:$F,'05. BC BH THEO SKU-USD'!$D42,'01. KE30'!$A:$A,'05. BC BH THEO SKU-USD'!CU$4)/1000</f>
        <v>0</v>
      </c>
      <c r="CV42" s="114">
        <f>SUMIFS('01. KE30'!$I:$I,'01. KE30'!$F:$F,'05. BC BH THEO SKU-USD'!$D42,'01. KE30'!$A:$A,'05. BC BH THEO SKU-USD'!CV$4)/1000</f>
        <v>0</v>
      </c>
      <c r="CW42" s="114">
        <f>SUMIFS('01. KE30'!$I:$I,'01. KE30'!$F:$F,'05. BC BH THEO SKU-USD'!$D42,'01. KE30'!$A:$A,'05. BC BH THEO SKU-USD'!CW$4)/1000</f>
        <v>0</v>
      </c>
      <c r="CX42" s="114">
        <f>SUMIFS('01. KE30'!$I:$I,'01. KE30'!$F:$F,'05. BC BH THEO SKU-USD'!$D42,'01. KE30'!$A:$A,'05. BC BH THEO SKU-USD'!CX$4)/1000</f>
        <v>0</v>
      </c>
      <c r="CZ42" s="112">
        <f t="shared" ref="CZ42:CZ50" si="311">SUM(DA42:DL42)</f>
        <v>11715.935891674129</v>
      </c>
      <c r="DA42" s="54">
        <f t="shared" ref="DA42:DA50" si="312">IFERROR(G42*CM42," -")</f>
        <v>3229.4259333600962</v>
      </c>
      <c r="DB42" s="54" t="str">
        <f t="shared" ref="DB42:DB50" si="313">IFERROR(H42*CN42," -")</f>
        <v xml:space="preserve"> -</v>
      </c>
      <c r="DC42" s="54">
        <f t="shared" ref="DC42:DC50" si="314">IFERROR(I42*CO42," -")</f>
        <v>5310.0393700787399</v>
      </c>
      <c r="DD42" s="54" t="str">
        <f t="shared" ref="DD42:DD50" si="315">IFERROR(J42*CP42," -")</f>
        <v xml:space="preserve"> -</v>
      </c>
      <c r="DE42" s="54" t="str">
        <f t="shared" ref="DE42:DE50" si="316">IFERROR(K42*CQ42," -")</f>
        <v xml:space="preserve"> -</v>
      </c>
      <c r="DF42" s="54" t="str">
        <f t="shared" ref="DF42:DF50" si="317">IFERROR(L42*CR42," -")</f>
        <v xml:space="preserve"> -</v>
      </c>
      <c r="DG42" s="54" t="str">
        <f t="shared" ref="DG42:DG50" si="318">IFERROR(M42*CS42," -")</f>
        <v xml:space="preserve"> -</v>
      </c>
      <c r="DH42" s="54">
        <f t="shared" ref="DH42:DH50" si="319">IFERROR(N42*CT42," -")</f>
        <v>3176.4705882352937</v>
      </c>
      <c r="DI42" s="54" t="str">
        <f t="shared" ref="DI42:DI50" si="320">IFERROR(O42*CU42," -")</f>
        <v xml:space="preserve"> -</v>
      </c>
      <c r="DJ42" s="54" t="str">
        <f t="shared" ref="DJ42:DJ50" si="321">IFERROR(P42*CV42," -")</f>
        <v xml:space="preserve"> -</v>
      </c>
      <c r="DK42" s="54" t="str">
        <f t="shared" ref="DK42:DK50" si="322">IFERROR(Q42*CW42," -")</f>
        <v xml:space="preserve"> -</v>
      </c>
      <c r="DL42" s="54" t="str">
        <f t="shared" ref="DL42:DL50" si="323">IFERROR(R42*CX42," -")</f>
        <v xml:space="preserve"> -</v>
      </c>
      <c r="DN42" s="112">
        <f t="shared" si="64"/>
        <v>8129.4132865736628</v>
      </c>
      <c r="DO42" s="114">
        <f>IFERROR(SUMIFS('01. KE30'!$X:$X,'01. KE30'!$F:$F,'05. BC BH THEO SKU-USD'!$D42,'01. KE30'!$A:$A,'05. BC BH THEO SKU-USD'!DO$4)-SUMIFS('01. KE30'!$AA:$AA,'01. KE30'!$F:$F,'05. BC BH THEO SKU-USD'!$D42,'01. KE30'!$A:$A,'05. BC BH THEO SKU-USD'!DO$4),"-")</f>
        <v>2235.2900843034922</v>
      </c>
      <c r="DP42" s="114">
        <f>IFERROR(SUMIFS('01. KE30'!$X:$X,'01. KE30'!$F:$F,'05. BC BH THEO SKU-USD'!$D42,'01. KE30'!$A:$A,'05. BC BH THEO SKU-USD'!DP$4)-SUMIFS('01. KE30'!$AA:$AA,'01. KE30'!$F:$F,'05. BC BH THEO SKU-USD'!$D42,'01. KE30'!$A:$A,'05. BC BH THEO SKU-USD'!DP$4),"-")</f>
        <v>0</v>
      </c>
      <c r="DQ42" s="114">
        <f>IFERROR(SUMIFS('01. KE30'!$X:$X,'01. KE30'!$F:$F,'05. BC BH THEO SKU-USD'!$D42,'01. KE30'!$A:$A,'05. BC BH THEO SKU-USD'!DQ$4)-SUMIFS('01. KE30'!$AA:$AA,'01. KE30'!$F:$F,'05. BC BH THEO SKU-USD'!$D42,'01. KE30'!$A:$A,'05. BC BH THEO SKU-USD'!DQ$4),"-")</f>
        <v>3682.2569685039371</v>
      </c>
      <c r="DR42" s="114">
        <f>IFERROR(SUMIFS('01. KE30'!$X:$X,'01. KE30'!$F:$F,'05. BC BH THEO SKU-USD'!$D42,'01. KE30'!$A:$A,'05. BC BH THEO SKU-USD'!DR$4)-SUMIFS('01. KE30'!$AA:$AA,'01. KE30'!$F:$F,'05. BC BH THEO SKU-USD'!$D42,'01. KE30'!$A:$A,'05. BC BH THEO SKU-USD'!DR$4),"-")</f>
        <v>0</v>
      </c>
      <c r="DS42" s="114">
        <f>IFERROR(SUMIFS('01. KE30'!$X:$X,'01. KE30'!$F:$F,'05. BC BH THEO SKU-USD'!$D42,'01. KE30'!$A:$A,'05. BC BH THEO SKU-USD'!DS$4)-SUMIFS('01. KE30'!$AA:$AA,'01. KE30'!$F:$F,'05. BC BH THEO SKU-USD'!$D42,'01. KE30'!$A:$A,'05. BC BH THEO SKU-USD'!DS$4),"-")</f>
        <v>0</v>
      </c>
      <c r="DT42" s="114">
        <f>IFERROR(SUMIFS('01. KE30'!$X:$X,'01. KE30'!$F:$F,'05. BC BH THEO SKU-USD'!$D42,'01. KE30'!$A:$A,'05. BC BH THEO SKU-USD'!DT$4)-SUMIFS('01. KE30'!$AA:$AA,'01. KE30'!$F:$F,'05. BC BH THEO SKU-USD'!$D42,'01. KE30'!$A:$A,'05. BC BH THEO SKU-USD'!DT$4),"-")</f>
        <v>0</v>
      </c>
      <c r="DU42" s="114">
        <f>IFERROR(SUMIFS('01. KE30'!$X:$X,'01. KE30'!$F:$F,'05. BC BH THEO SKU-USD'!$D42,'01. KE30'!$A:$A,'05. BC BH THEO SKU-USD'!DU$4)-SUMIFS('01. KE30'!$AA:$AA,'01. KE30'!$F:$F,'05. BC BH THEO SKU-USD'!$D42,'01. KE30'!$A:$A,'05. BC BH THEO SKU-USD'!DU$4),"-")</f>
        <v>0</v>
      </c>
      <c r="DV42" s="114">
        <f>IFERROR(SUMIFS('01. KE30'!$X:$X,'01. KE30'!$F:$F,'05. BC BH THEO SKU-USD'!$D42,'01. KE30'!$A:$A,'05. BC BH THEO SKU-USD'!DV$4)-SUMIFS('01. KE30'!$AA:$AA,'01. KE30'!$F:$F,'05. BC BH THEO SKU-USD'!$D42,'01. KE30'!$A:$A,'05. BC BH THEO SKU-USD'!DV$4),"-")</f>
        <v>2211.8662337662336</v>
      </c>
      <c r="DW42" s="114">
        <f>IFERROR(SUMIFS('01. KE30'!$X:$X,'01. KE30'!$F:$F,'05. BC BH THEO SKU-USD'!$D42,'01. KE30'!$A:$A,'05. BC BH THEO SKU-USD'!DW$4)-SUMIFS('01. KE30'!$AA:$AA,'01. KE30'!$F:$F,'05. BC BH THEO SKU-USD'!$D42,'01. KE30'!$A:$A,'05. BC BH THEO SKU-USD'!DW$4),"-")</f>
        <v>0</v>
      </c>
      <c r="DX42" s="114">
        <f>IFERROR(SUMIFS('01. KE30'!$X:$X,'01. KE30'!$F:$F,'05. BC BH THEO SKU-USD'!$D42,'01. KE30'!$A:$A,'05. BC BH THEO SKU-USD'!DX$4)-SUMIFS('01. KE30'!$AA:$AA,'01. KE30'!$F:$F,'05. BC BH THEO SKU-USD'!$D42,'01. KE30'!$A:$A,'05. BC BH THEO SKU-USD'!DX$4),"-")</f>
        <v>0</v>
      </c>
      <c r="DY42" s="114">
        <f>IFERROR(SUMIFS('01. KE30'!$X:$X,'01. KE30'!$F:$F,'05. BC BH THEO SKU-USD'!$D42,'01. KE30'!$A:$A,'05. BC BH THEO SKU-USD'!DY$4)-SUMIFS('01. KE30'!$AA:$AA,'01. KE30'!$F:$F,'05. BC BH THEO SKU-USD'!$D42,'01. KE30'!$A:$A,'05. BC BH THEO SKU-USD'!DY$4),"-")</f>
        <v>0</v>
      </c>
      <c r="DZ42" s="114">
        <f>IFERROR(SUMIFS('01. KE30'!$X:$X,'01. KE30'!$F:$F,'05. BC BH THEO SKU-USD'!$D42,'01. KE30'!$A:$A,'05. BC BH THEO SKU-USD'!DZ$4)-SUMIFS('01. KE30'!$AA:$AA,'01. KE30'!$F:$F,'05. BC BH THEO SKU-USD'!$D42,'01. KE30'!$A:$A,'05. BC BH THEO SKU-USD'!DZ$4),"-")</f>
        <v>0</v>
      </c>
      <c r="EB42" s="571">
        <f t="shared" si="252"/>
        <v>0.69387655939213433</v>
      </c>
      <c r="EC42" s="572">
        <f t="shared" si="253"/>
        <v>0.69216329168997448</v>
      </c>
      <c r="ED42" s="573">
        <f t="shared" si="19"/>
        <v>0</v>
      </c>
      <c r="EE42" s="572">
        <f t="shared" si="20"/>
        <v>0.69345191473586654</v>
      </c>
      <c r="EF42" s="572">
        <f t="shared" si="21"/>
        <v>0</v>
      </c>
      <c r="EG42" s="572">
        <f t="shared" si="22"/>
        <v>0</v>
      </c>
      <c r="EH42" s="572">
        <f t="shared" si="23"/>
        <v>0</v>
      </c>
      <c r="EI42" s="572">
        <f t="shared" si="24"/>
        <v>0</v>
      </c>
      <c r="EJ42" s="572">
        <f t="shared" si="25"/>
        <v>0.69632825877825877</v>
      </c>
      <c r="EK42" s="572">
        <f t="shared" si="26"/>
        <v>0</v>
      </c>
      <c r="EL42" s="572">
        <f t="shared" si="27"/>
        <v>0</v>
      </c>
      <c r="EM42" s="572">
        <f t="shared" si="28"/>
        <v>0</v>
      </c>
      <c r="EN42" s="572">
        <f t="shared" si="29"/>
        <v>0</v>
      </c>
    </row>
    <row r="43" spans="1:144" ht="15.5" outlineLevel="1" x14ac:dyDescent="0.35">
      <c r="A43" s="10">
        <f>A42+1</f>
        <v>2</v>
      </c>
      <c r="B43" s="10" t="s">
        <v>266</v>
      </c>
      <c r="C43" s="246" t="str">
        <f>VLOOKUP(D43,'Quy đổi'!A:C,3,0)</f>
        <v>rHDI3G01</v>
      </c>
      <c r="D43" s="464" t="s">
        <v>204</v>
      </c>
      <c r="E43" s="7" t="s">
        <v>205</v>
      </c>
      <c r="F43" s="92">
        <f t="shared" si="295"/>
        <v>738.65140860497604</v>
      </c>
      <c r="G43" s="106" t="str">
        <f>IFERROR(SUMIFS('01. KE30'!$K:$K,'01. KE30'!$F:$F,'05. BC BH THEO SKU-USD'!$D43,'01. KE30'!$A:$A,'05. BC BH THEO SKU-USD'!G$4)/'05. BC BH THEO SKU-USD'!CM43/'02. Tỷ giá'!B$5,"-")</f>
        <v>-</v>
      </c>
      <c r="H43" s="106" t="str">
        <f>IFERROR(SUMIFS('01. KE30'!$K:$K,'01. KE30'!$F:$F,'05. BC BH THEO SKU-USD'!$D43,'01. KE30'!$A:$A,'05. BC BH THEO SKU-USD'!H$4)/'05. BC BH THEO SKU-USD'!CN43/'02. Tỷ giá'!C$5,"-")</f>
        <v>-</v>
      </c>
      <c r="I43" s="106" t="str">
        <f>IFERROR(SUMIFS('01. KE30'!$K:$K,'01. KE30'!$F:$F,'05. BC BH THEO SKU-USD'!$D43,'01. KE30'!$A:$A,'05. BC BH THEO SKU-USD'!I$4)/'05. BC BH THEO SKU-USD'!CO43/'02. Tỷ giá'!D$5,"-")</f>
        <v>-</v>
      </c>
      <c r="J43" s="106">
        <f>IFERROR(SUMIFS('01. KE30'!$K:$K,'01. KE30'!$F:$F,'05. BC BH THEO SKU-USD'!$D43,'01. KE30'!$A:$A,'05. BC BH THEO SKU-USD'!J$4)/'05. BC BH THEO SKU-USD'!CP43/'02. Tỷ giá'!E$5,"-")</f>
        <v>737.7295987179142</v>
      </c>
      <c r="K43" s="106">
        <f>IFERROR(SUMIFS('01. KE30'!$K:$K,'01. KE30'!$F:$F,'05. BC BH THEO SKU-USD'!$D43,'01. KE30'!$A:$A,'05. BC BH THEO SKU-USD'!K$4)/'05. BC BH THEO SKU-USD'!CQ43/'02. Tỷ giá'!F$5,"-")</f>
        <v>736.87376351413479</v>
      </c>
      <c r="L43" s="106">
        <f>IFERROR(SUMIFS('01. KE30'!$K:$K,'01. KE30'!$F:$F,'05. BC BH THEO SKU-USD'!$D43,'01. KE30'!$A:$A,'05. BC BH THEO SKU-USD'!L$4)/'05. BC BH THEO SKU-USD'!CR43/'02. Tỷ giá'!G$5,"-")</f>
        <v>735.16803801907975</v>
      </c>
      <c r="M43" s="106">
        <f>IFERROR(SUMIFS('01. KE30'!$K:$K,'01. KE30'!$F:$F,'05. BC BH THEO SKU-USD'!$D43,'01. KE30'!$A:$A,'05. BC BH THEO SKU-USD'!M$4)/'05. BC BH THEO SKU-USD'!CS43/'02. Tỷ giá'!H$5,"-")</f>
        <v>768.34421820975797</v>
      </c>
      <c r="N43" s="106">
        <f>IFERROR(SUMIFS('01. KE30'!$K:$K,'01. KE30'!$F:$F,'05. BC BH THEO SKU-USD'!$D43,'01. KE30'!$A:$A,'05. BC BH THEO SKU-USD'!N$4)/'05. BC BH THEO SKU-USD'!CT43/'02. Tỷ giá'!I$5,"-")</f>
        <v>727.86690742412668</v>
      </c>
      <c r="O43" s="106">
        <f>IFERROR(SUMIFS('01. KE30'!$K:$K,'01. KE30'!$F:$F,'05. BC BH THEO SKU-USD'!$D43,'01. KE30'!$A:$A,'05. BC BH THEO SKU-USD'!O$4)/'05. BC BH THEO SKU-USD'!CU43/'02. Tỷ giá'!J$5,"-")</f>
        <v>725.92592574484331</v>
      </c>
      <c r="P43" s="106" t="str">
        <f>IFERROR(SUMIFS('01. KE30'!$K:$K,'01. KE30'!$F:$F,'05. BC BH THEO SKU-USD'!$D43,'01. KE30'!$A:$A,'05. BC BH THEO SKU-USD'!P$4)/'05. BC BH THEO SKU-USD'!CV43/'02. Tỷ giá'!K$5,"-")</f>
        <v>-</v>
      </c>
      <c r="Q43" s="106" t="str">
        <f>IFERROR(SUMIFS('01. KE30'!$K:$K,'01. KE30'!$F:$F,'05. BC BH THEO SKU-USD'!$D43,'01. KE30'!$A:$A,'05. BC BH THEO SKU-USD'!Q$4)/'05. BC BH THEO SKU-USD'!CW43/'02. Tỷ giá'!L$5,"-")</f>
        <v>-</v>
      </c>
      <c r="R43" s="106" t="str">
        <f>IFERROR(SUMIFS('01. KE30'!$K:$K,'01. KE30'!$F:$F,'05. BC BH THEO SKU-USD'!$D43,'01. KE30'!$A:$A,'05. BC BH THEO SKU-USD'!R$4)/'05. BC BH THEO SKU-USD'!CX43/'02. Tỷ giá'!M$5,"-")</f>
        <v>-</v>
      </c>
      <c r="T43" s="92">
        <f t="shared" si="309"/>
        <v>695.47268087401562</v>
      </c>
      <c r="U43" s="147" t="str">
        <f>IFERROR(SUMIFS('01. KE30'!$O:$O,'01. KE30'!$F:$F,'05. BC BH THEO SKU-USD'!$D43,'01. KE30'!$A:$A,'05. BC BH THEO SKU-USD'!G$4)/'05. BC BH THEO SKU-USD'!CM43/'02. Tỷ giá'!B$5,"-")</f>
        <v>-</v>
      </c>
      <c r="V43" s="147" t="str">
        <f>IFERROR(SUMIFS('01. KE30'!$O:$O,'01. KE30'!$F:$F,'05. BC BH THEO SKU-USD'!$D43,'01. KE30'!$A:$A,'05. BC BH THEO SKU-USD'!H$4)/'05. BC BH THEO SKU-USD'!CN43/'02. Tỷ giá'!C$5,"-")</f>
        <v>-</v>
      </c>
      <c r="W43" s="147" t="str">
        <f>IFERROR(SUMIFS('01. KE30'!$O:$O,'01. KE30'!$F:$F,'05. BC BH THEO SKU-USD'!$D43,'01. KE30'!$A:$A,'05. BC BH THEO SKU-USD'!I$4)/'05. BC BH THEO SKU-USD'!CO43/'02. Tỷ giá'!D$5,"-")</f>
        <v>-</v>
      </c>
      <c r="X43" s="147">
        <f>IFERROR(SUMIFS('01. KE30'!$O:$O,'01. KE30'!$F:$F,'05. BC BH THEO SKU-USD'!$D43,'01. KE30'!$A:$A,'05. BC BH THEO SKU-USD'!J$4)/'05. BC BH THEO SKU-USD'!CP43/'02. Tỷ giá'!E$5,"-")</f>
        <v>699.01492585689982</v>
      </c>
      <c r="Y43" s="147">
        <f>IFERROR(SUMIFS('01. KE30'!$O:$O,'01. KE30'!$F:$F,'05. BC BH THEO SKU-USD'!$D43,'01. KE30'!$A:$A,'05. BC BH THEO SKU-USD'!K$4)/'05. BC BH THEO SKU-USD'!CQ43/'02. Tỷ giá'!F$5,"-")</f>
        <v>694.74265409764246</v>
      </c>
      <c r="Z43" s="147">
        <f>IFERROR(SUMIFS('01. KE30'!$O:$O,'01. KE30'!$F:$F,'05. BC BH THEO SKU-USD'!$D43,'01. KE30'!$A:$A,'05. BC BH THEO SKU-USD'!L$4)/'05. BC BH THEO SKU-USD'!CR43/'02. Tỷ giá'!G$5,"-")</f>
        <v>696.58779110549949</v>
      </c>
      <c r="AA43" s="147">
        <f>IFERROR(SUMIFS('01. KE30'!$O:$O,'01. KE30'!$F:$F,'05. BC BH THEO SKU-USD'!$D43,'01. KE30'!$A:$A,'05. BC BH THEO SKU-USD'!M$4)/'05. BC BH THEO SKU-USD'!CS43/'02. Tỷ giá'!H$5,"-")</f>
        <v>768.34421820975797</v>
      </c>
      <c r="AB43" s="147">
        <f>IFERROR(SUMIFS('01. KE30'!$O:$O,'01. KE30'!$F:$F,'05. BC BH THEO SKU-USD'!$D43,'01. KE30'!$A:$A,'05. BC BH THEO SKU-USD'!N$4)/'05. BC BH THEO SKU-USD'!CT43/'02. Tỷ giá'!I$5,"-")</f>
        <v>689.66981040350026</v>
      </c>
      <c r="AC43" s="147">
        <f>IFERROR(SUMIFS('01. KE30'!$O:$O,'01. KE30'!$F:$F,'05. BC BH THEO SKU-USD'!$D43,'01. KE30'!$A:$A,'05. BC BH THEO SKU-USD'!O$4)/'05. BC BH THEO SKU-USD'!CU43/'02. Tỷ giá'!J$5,"-")</f>
        <v>687.83068764960524</v>
      </c>
      <c r="AD43" s="147" t="str">
        <f>IFERROR(SUMIFS('01. KE30'!$O:$O,'01. KE30'!$F:$F,'05. BC BH THEO SKU-USD'!$D43,'01. KE30'!$A:$A,'05. BC BH THEO SKU-USD'!P$4)/'05. BC BH THEO SKU-USD'!CV43/'02. Tỷ giá'!K$5,"-")</f>
        <v>-</v>
      </c>
      <c r="AE43" s="147" t="str">
        <f>IFERROR(SUMIFS('01. KE30'!$O:$O,'01. KE30'!$F:$F,'05. BC BH THEO SKU-USD'!$D43,'01. KE30'!$A:$A,'05. BC BH THEO SKU-USD'!Q$4)/'05. BC BH THEO SKU-USD'!CW43/'02. Tỷ giá'!L$5,"-")</f>
        <v>-</v>
      </c>
      <c r="AF43" s="147" t="str">
        <f>IFERROR(SUMIFS('01. KE30'!$O:$O,'01. KE30'!$F:$F,'05. BC BH THEO SKU-USD'!$D43,'01. KE30'!$A:$A,'05. BC BH THEO SKU-USD'!R$4)/'05. BC BH THEO SKU-USD'!CX43/'02. Tỷ giá'!M$5,"-")</f>
        <v>-</v>
      </c>
      <c r="AH43" s="55">
        <f t="shared" si="296"/>
        <v>790</v>
      </c>
      <c r="AI43" s="4">
        <v>870</v>
      </c>
      <c r="AJ43" s="4">
        <v>800</v>
      </c>
      <c r="AK43" s="4">
        <v>805</v>
      </c>
      <c r="AL43" s="4">
        <v>805</v>
      </c>
      <c r="AM43" s="4">
        <v>765</v>
      </c>
      <c r="AN43" s="4">
        <v>765</v>
      </c>
      <c r="AO43" s="4">
        <v>780</v>
      </c>
      <c r="AP43" s="4">
        <v>760</v>
      </c>
      <c r="AQ43" s="4">
        <v>760</v>
      </c>
      <c r="AR43" s="4"/>
      <c r="AS43" s="4"/>
      <c r="AT43" s="4"/>
      <c r="AV43" s="54">
        <f t="shared" si="299"/>
        <v>-94.527319125984377</v>
      </c>
      <c r="AW43" s="95" t="str">
        <f t="shared" si="299"/>
        <v>-</v>
      </c>
      <c r="AX43" s="95" t="str">
        <f t="shared" si="299"/>
        <v>-</v>
      </c>
      <c r="AY43" s="95" t="str">
        <f t="shared" si="299"/>
        <v>-</v>
      </c>
      <c r="AZ43" s="95">
        <f t="shared" si="299"/>
        <v>-105.98507414310018</v>
      </c>
      <c r="BA43" s="95">
        <f t="shared" si="299"/>
        <v>-70.257345902357542</v>
      </c>
      <c r="BB43" s="95">
        <f t="shared" si="299"/>
        <v>-68.412208894500509</v>
      </c>
      <c r="BC43" s="95">
        <f t="shared" si="299"/>
        <v>-11.655781790242031</v>
      </c>
      <c r="BD43" s="95">
        <f t="shared" si="299"/>
        <v>-70.330189596499736</v>
      </c>
      <c r="BE43" s="95">
        <f t="shared" si="299"/>
        <v>-72.169312350394762</v>
      </c>
      <c r="BF43" s="95" t="str">
        <f t="shared" si="299"/>
        <v>-</v>
      </c>
      <c r="BG43" s="95" t="str">
        <f t="shared" si="299"/>
        <v>-</v>
      </c>
      <c r="BH43" s="95" t="str">
        <f t="shared" si="299"/>
        <v>-</v>
      </c>
      <c r="BJ43" s="143">
        <f t="shared" si="65"/>
        <v>-0.11965483433668908</v>
      </c>
      <c r="BK43" s="143" t="str">
        <f t="shared" si="65"/>
        <v>-</v>
      </c>
      <c r="BL43" s="143" t="str">
        <f t="shared" si="65"/>
        <v>-</v>
      </c>
      <c r="BM43" s="143" t="str">
        <f t="shared" si="65"/>
        <v>-</v>
      </c>
      <c r="BN43" s="143">
        <f t="shared" si="65"/>
        <v>-0.13165847719639773</v>
      </c>
      <c r="BO43" s="143">
        <f t="shared" si="65"/>
        <v>-9.1839667846219011E-2</v>
      </c>
      <c r="BP43" s="143">
        <f t="shared" si="65"/>
        <v>-8.9427724045098703E-2</v>
      </c>
      <c r="BQ43" s="143">
        <f t="shared" si="65"/>
        <v>-1.4943309987489783E-2</v>
      </c>
      <c r="BR43" s="143">
        <f t="shared" si="65"/>
        <v>-9.2539723153289122E-2</v>
      </c>
      <c r="BS43" s="143">
        <f t="shared" si="65"/>
        <v>-9.4959621513677317E-2</v>
      </c>
      <c r="BT43" s="143" t="str">
        <f t="shared" si="68"/>
        <v>-</v>
      </c>
      <c r="BU43" s="143" t="str">
        <f t="shared" si="68"/>
        <v>-</v>
      </c>
      <c r="BV43" s="143" t="str">
        <f t="shared" si="68"/>
        <v>-</v>
      </c>
      <c r="BX43" s="112">
        <f t="shared" si="310"/>
        <v>1054.4498546425941</v>
      </c>
      <c r="BY43" s="95" t="str">
        <f>IFERROR(SUMIFS('01. KE30'!$R:$R,'01. KE30'!$F:$F,'05. BC BH THEO SKU-USD'!$D43,'01. KE30'!$A:$A,'05. BC BH THEO SKU-USD'!BY$4)/CM43/'02. Tỷ giá'!B$5," -")</f>
        <v xml:space="preserve"> -</v>
      </c>
      <c r="BZ43" s="95" t="str">
        <f>IFERROR(SUMIFS('01. KE30'!$R:$R,'01. KE30'!$F:$F,'05. BC BH THEO SKU-USD'!$D43,'01. KE30'!$A:$A,'05. BC BH THEO SKU-USD'!BZ$4)/CN43/'02. Tỷ giá'!C$5," -")</f>
        <v xml:space="preserve"> -</v>
      </c>
      <c r="CA43" s="95" t="str">
        <f>IFERROR(SUMIFS('01. KE30'!$R:$R,'01. KE30'!$F:$F,'05. BC BH THEO SKU-USD'!$D43,'01. KE30'!$A:$A,'05. BC BH THEO SKU-USD'!CA$4)/CO43/'02. Tỷ giá'!D$5," -")</f>
        <v xml:space="preserve"> -</v>
      </c>
      <c r="CB43" s="95">
        <f>IFERROR(SUMIFS('01. KE30'!$R:$R,'01. KE30'!$F:$F,'05. BC BH THEO SKU-USD'!$D43,'01. KE30'!$A:$A,'05. BC BH THEO SKU-USD'!CB$4)/CP43/'02. Tỷ giá'!E$5," -")</f>
        <v>1008.4639335908308</v>
      </c>
      <c r="CC43" s="95">
        <f>IFERROR(SUMIFS('01. KE30'!$R:$R,'01. KE30'!$F:$F,'05. BC BH THEO SKU-USD'!$D43,'01. KE30'!$A:$A,'05. BC BH THEO SKU-USD'!CC$4)/CQ43/'02. Tỷ giá'!F$5," -")</f>
        <v>1031.4601939437207</v>
      </c>
      <c r="CD43" s="95">
        <f>IFERROR(SUMIFS('01. KE30'!$R:$R,'01. KE30'!$F:$F,'05. BC BH THEO SKU-USD'!$D43,'01. KE30'!$A:$A,'05. BC BH THEO SKU-USD'!CD$4)/CR43/'02. Tỷ giá'!G$5," -")</f>
        <v>1066.5405338103255</v>
      </c>
      <c r="CE43" s="95">
        <f>IFERROR(SUMIFS('01. KE30'!$R:$R,'01. KE30'!$F:$F,'05. BC BH THEO SKU-USD'!$D43,'01. KE30'!$A:$A,'05. BC BH THEO SKU-USD'!CE$4)/CS43/'02. Tỷ giá'!H$5," -")</f>
        <v>1062.9810079279152</v>
      </c>
      <c r="CF43" s="95">
        <f>IFERROR(SUMIFS('01. KE30'!$R:$R,'01. KE30'!$F:$F,'05. BC BH THEO SKU-USD'!$D43,'01. KE30'!$A:$A,'05. BC BH THEO SKU-USD'!CF$4)/CT43/'02. Tỷ giá'!I$5," -")</f>
        <v>1063.3400166678241</v>
      </c>
      <c r="CG43" s="95">
        <f>IFERROR(SUMIFS('01. KE30'!$R:$R,'01. KE30'!$F:$F,'05. BC BH THEO SKU-USD'!$D43,'01. KE30'!$A:$A,'05. BC BH THEO SKU-USD'!CG$4)/CU43/'02. Tỷ giá'!J$5," -")</f>
        <v>1093.9134419149477</v>
      </c>
      <c r="CH43" s="95" t="str">
        <f>IFERROR(SUMIFS('01. KE30'!$R:$R,'01. KE30'!$F:$F,'05. BC BH THEO SKU-USD'!$D43,'01. KE30'!$A:$A,'05. BC BH THEO SKU-USD'!CH$4)/CV43/'02. Tỷ giá'!K$5," -")</f>
        <v xml:space="preserve"> -</v>
      </c>
      <c r="CI43" s="95" t="str">
        <f>IFERROR(SUMIFS('01. KE30'!$R:$R,'01. KE30'!$F:$F,'05. BC BH THEO SKU-USD'!$D43,'01. KE30'!$A:$A,'05. BC BH THEO SKU-USD'!CI$4)/CW43/'02. Tỷ giá'!L$5," -")</f>
        <v xml:space="preserve"> -</v>
      </c>
      <c r="CJ43" s="95" t="str">
        <f>IFERROR(SUMIFS('01. KE30'!$R:$R,'01. KE30'!$F:$F,'05. BC BH THEO SKU-USD'!$D43,'01. KE30'!$A:$A,'05. BC BH THEO SKU-USD'!CJ$4)/CX43/'02. Tỷ giá'!M$5," -")</f>
        <v xml:space="preserve"> -</v>
      </c>
      <c r="CL43" s="112">
        <f t="shared" si="281"/>
        <v>143.75</v>
      </c>
      <c r="CM43" s="114">
        <f>SUMIFS('01. KE30'!$I:$I,'01. KE30'!$F:$F,'05. BC BH THEO SKU-USD'!$D43,'01. KE30'!$A:$A,'05. BC BH THEO SKU-USD'!CM$4)/1000</f>
        <v>0</v>
      </c>
      <c r="CN43" s="114">
        <f>SUMIFS('01. KE30'!$I:$I,'01. KE30'!$F:$F,'05. BC BH THEO SKU-USD'!$D43,'01. KE30'!$A:$A,'05. BC BH THEO SKU-USD'!CN$4)/1000</f>
        <v>0</v>
      </c>
      <c r="CO43" s="114">
        <f>SUMIFS('01. KE30'!$I:$I,'01. KE30'!$F:$F,'05. BC BH THEO SKU-USD'!$D43,'01. KE30'!$A:$A,'05. BC BH THEO SKU-USD'!CO$4)/1000</f>
        <v>0</v>
      </c>
      <c r="CP43" s="114">
        <f>SUMIFS('01. KE30'!$I:$I,'01. KE30'!$F:$F,'05. BC BH THEO SKU-USD'!$D43,'01. KE30'!$A:$A,'05. BC BH THEO SKU-USD'!CP$4)/1000</f>
        <v>26.875</v>
      </c>
      <c r="CQ43" s="114">
        <f>SUMIFS('01. KE30'!$I:$I,'01. KE30'!$F:$F,'05. BC BH THEO SKU-USD'!$D43,'01. KE30'!$A:$A,'05. BC BH THEO SKU-USD'!CQ$4)/1000</f>
        <v>35.75</v>
      </c>
      <c r="CR43" s="114">
        <f>SUMIFS('01. KE30'!$I:$I,'01. KE30'!$F:$F,'05. BC BH THEO SKU-USD'!$D43,'01. KE30'!$A:$A,'05. BC BH THEO SKU-USD'!CR$4)/1000</f>
        <v>33</v>
      </c>
      <c r="CS43" s="114">
        <f>SUMIFS('01. KE30'!$I:$I,'01. KE30'!$F:$F,'05. BC BH THEO SKU-USD'!$D43,'01. KE30'!$A:$A,'05. BC BH THEO SKU-USD'!CS$4)/1000</f>
        <v>2.75</v>
      </c>
      <c r="CT43" s="114">
        <f>SUMIFS('01. KE30'!$I:$I,'01. KE30'!$F:$F,'05. BC BH THEO SKU-USD'!$D43,'01. KE30'!$A:$A,'05. BC BH THEO SKU-USD'!CT$4)/1000</f>
        <v>22</v>
      </c>
      <c r="CU43" s="114">
        <f>SUMIFS('01. KE30'!$I:$I,'01. KE30'!$F:$F,'05. BC BH THEO SKU-USD'!$D43,'01. KE30'!$A:$A,'05. BC BH THEO SKU-USD'!CU$4)/1000</f>
        <v>23.375</v>
      </c>
      <c r="CV43" s="114">
        <f>SUMIFS('01. KE30'!$I:$I,'01. KE30'!$F:$F,'05. BC BH THEO SKU-USD'!$D43,'01. KE30'!$A:$A,'05. BC BH THEO SKU-USD'!CV$4)/1000</f>
        <v>0</v>
      </c>
      <c r="CW43" s="114">
        <f>SUMIFS('01. KE30'!$I:$I,'01. KE30'!$F:$F,'05. BC BH THEO SKU-USD'!$D43,'01. KE30'!$A:$A,'05. BC BH THEO SKU-USD'!CW$4)/1000</f>
        <v>0</v>
      </c>
      <c r="CX43" s="114">
        <f>SUMIFS('01. KE30'!$I:$I,'01. KE30'!$F:$F,'05. BC BH THEO SKU-USD'!$D43,'01. KE30'!$A:$A,'05. BC BH THEO SKU-USD'!CX$4)/1000</f>
        <v>0</v>
      </c>
      <c r="CZ43" s="112">
        <f t="shared" si="311"/>
        <v>105524.80234349721</v>
      </c>
      <c r="DA43" s="54" t="str">
        <f t="shared" si="312"/>
        <v xml:space="preserve"> -</v>
      </c>
      <c r="DB43" s="54" t="str">
        <f t="shared" si="313"/>
        <v xml:space="preserve"> -</v>
      </c>
      <c r="DC43" s="54" t="str">
        <f t="shared" si="314"/>
        <v xml:space="preserve"> -</v>
      </c>
      <c r="DD43" s="54">
        <f t="shared" si="315"/>
        <v>19826.482965543943</v>
      </c>
      <c r="DE43" s="54">
        <f t="shared" si="316"/>
        <v>26343.237045630318</v>
      </c>
      <c r="DF43" s="54">
        <f t="shared" si="317"/>
        <v>24260.545254629633</v>
      </c>
      <c r="DG43" s="54">
        <f t="shared" si="318"/>
        <v>2112.9466000768343</v>
      </c>
      <c r="DH43" s="54">
        <f t="shared" si="319"/>
        <v>16013.071963330787</v>
      </c>
      <c r="DI43" s="54">
        <f t="shared" si="320"/>
        <v>16968.518514285712</v>
      </c>
      <c r="DJ43" s="54" t="str">
        <f t="shared" si="321"/>
        <v xml:space="preserve"> -</v>
      </c>
      <c r="DK43" s="54" t="str">
        <f t="shared" si="322"/>
        <v xml:space="preserve"> -</v>
      </c>
      <c r="DL43" s="54" t="str">
        <f t="shared" si="323"/>
        <v xml:space="preserve"> -</v>
      </c>
      <c r="DN43" s="112">
        <f t="shared" si="64"/>
        <v>-51085.714732098393</v>
      </c>
      <c r="DO43" s="114">
        <f>IFERROR(SUMIFS('01. KE30'!$X:$X,'01. KE30'!$F:$F,'05. BC BH THEO SKU-USD'!$D43,'01. KE30'!$A:$A,'05. BC BH THEO SKU-USD'!DO$4)-SUMIFS('01. KE30'!$AA:$AA,'01. KE30'!$F:$F,'05. BC BH THEO SKU-USD'!$D43,'01. KE30'!$A:$A,'05. BC BH THEO SKU-USD'!DO$4),"-")</f>
        <v>0</v>
      </c>
      <c r="DP43" s="114">
        <f>IFERROR(SUMIFS('01. KE30'!$X:$X,'01. KE30'!$F:$F,'05. BC BH THEO SKU-USD'!$D43,'01. KE30'!$A:$A,'05. BC BH THEO SKU-USD'!DP$4)-SUMIFS('01. KE30'!$AA:$AA,'01. KE30'!$F:$F,'05. BC BH THEO SKU-USD'!$D43,'01. KE30'!$A:$A,'05. BC BH THEO SKU-USD'!DP$4),"-")</f>
        <v>0</v>
      </c>
      <c r="DQ43" s="114">
        <f>IFERROR(SUMIFS('01. KE30'!$X:$X,'01. KE30'!$F:$F,'05. BC BH THEO SKU-USD'!$D43,'01. KE30'!$A:$A,'05. BC BH THEO SKU-USD'!DQ$4)-SUMIFS('01. KE30'!$AA:$AA,'01. KE30'!$F:$F,'05. BC BH THEO SKU-USD'!$D43,'01. KE30'!$A:$A,'05. BC BH THEO SKU-USD'!DQ$4),"-")</f>
        <v>0</v>
      </c>
      <c r="DR43" s="114">
        <f>IFERROR(SUMIFS('01. KE30'!$X:$X,'01. KE30'!$F:$F,'05. BC BH THEO SKU-USD'!$D43,'01. KE30'!$A:$A,'05. BC BH THEO SKU-USD'!DR$4)-SUMIFS('01. KE30'!$AA:$AA,'01. KE30'!$F:$F,'05. BC BH THEO SKU-USD'!$D43,'01. KE30'!$A:$A,'05. BC BH THEO SKU-USD'!DR$4),"-")</f>
        <v>-8316.4420828494003</v>
      </c>
      <c r="DS43" s="114">
        <f>IFERROR(SUMIFS('01. KE30'!$X:$X,'01. KE30'!$F:$F,'05. BC BH THEO SKU-USD'!$D43,'01. KE30'!$A:$A,'05. BC BH THEO SKU-USD'!DS$4)-SUMIFS('01. KE30'!$AA:$AA,'01. KE30'!$F:$F,'05. BC BH THEO SKU-USD'!$D43,'01. KE30'!$A:$A,'05. BC BH THEO SKU-USD'!DS$4),"-")</f>
        <v>-12037.65204949729</v>
      </c>
      <c r="DT43" s="114">
        <f>IFERROR(SUMIFS('01. KE30'!$X:$X,'01. KE30'!$F:$F,'05. BC BH THEO SKU-USD'!$D43,'01. KE30'!$A:$A,'05. BC BH THEO SKU-USD'!DT$4)-SUMIFS('01. KE30'!$AA:$AA,'01. KE30'!$F:$F,'05. BC BH THEO SKU-USD'!$D43,'01. KE30'!$A:$A,'05. BC BH THEO SKU-USD'!DT$4),"-")</f>
        <v>-12208.440509259257</v>
      </c>
      <c r="DU43" s="114">
        <f>IFERROR(SUMIFS('01. KE30'!$X:$X,'01. KE30'!$F:$F,'05. BC BH THEO SKU-USD'!$D43,'01. KE30'!$A:$A,'05. BC BH THEO SKU-USD'!DU$4)-SUMIFS('01. KE30'!$AA:$AA,'01. KE30'!$F:$F,'05. BC BH THEO SKU-USD'!$D43,'01. KE30'!$A:$A,'05. BC BH THEO SKU-USD'!DU$4),"-")</f>
        <v>-810.25117172493265</v>
      </c>
      <c r="DV43" s="114">
        <f>IFERROR(SUMIFS('01. KE30'!$X:$X,'01. KE30'!$F:$F,'05. BC BH THEO SKU-USD'!$D43,'01. KE30'!$A:$A,'05. BC BH THEO SKU-USD'!DV$4)-SUMIFS('01. KE30'!$AA:$AA,'01. KE30'!$F:$F,'05. BC BH THEO SKU-USD'!$D43,'01. KE30'!$A:$A,'05. BC BH THEO SKU-USD'!DV$4),"-")</f>
        <v>-8220.7445378151278</v>
      </c>
      <c r="DW43" s="114">
        <f>IFERROR(SUMIFS('01. KE30'!$X:$X,'01. KE30'!$F:$F,'05. BC BH THEO SKU-USD'!$D43,'01. KE30'!$A:$A,'05. BC BH THEO SKU-USD'!DW$4)-SUMIFS('01. KE30'!$AA:$AA,'01. KE30'!$F:$F,'05. BC BH THEO SKU-USD'!$D43,'01. KE30'!$A:$A,'05. BC BH THEO SKU-USD'!DW$4),"-")</f>
        <v>-9492.1843809523816</v>
      </c>
      <c r="DX43" s="114">
        <f>IFERROR(SUMIFS('01. KE30'!$X:$X,'01. KE30'!$F:$F,'05. BC BH THEO SKU-USD'!$D43,'01. KE30'!$A:$A,'05. BC BH THEO SKU-USD'!DX$4)-SUMIFS('01. KE30'!$AA:$AA,'01. KE30'!$F:$F,'05. BC BH THEO SKU-USD'!$D43,'01. KE30'!$A:$A,'05. BC BH THEO SKU-USD'!DX$4),"-")</f>
        <v>0</v>
      </c>
      <c r="DY43" s="114">
        <f>IFERROR(SUMIFS('01. KE30'!$X:$X,'01. KE30'!$F:$F,'05. BC BH THEO SKU-USD'!$D43,'01. KE30'!$A:$A,'05. BC BH THEO SKU-USD'!DY$4)-SUMIFS('01. KE30'!$AA:$AA,'01. KE30'!$F:$F,'05. BC BH THEO SKU-USD'!$D43,'01. KE30'!$A:$A,'05. BC BH THEO SKU-USD'!DY$4),"-")</f>
        <v>0</v>
      </c>
      <c r="DZ43" s="114">
        <f>IFERROR(SUMIFS('01. KE30'!$X:$X,'01. KE30'!$F:$F,'05. BC BH THEO SKU-USD'!$D43,'01. KE30'!$A:$A,'05. BC BH THEO SKU-USD'!DZ$4)-SUMIFS('01. KE30'!$AA:$AA,'01. KE30'!$F:$F,'05. BC BH THEO SKU-USD'!$D43,'01. KE30'!$A:$A,'05. BC BH THEO SKU-USD'!DZ$4),"-")</f>
        <v>0</v>
      </c>
      <c r="EB43" s="576">
        <f t="shared" si="252"/>
        <v>-0.48411097294271754</v>
      </c>
      <c r="EC43" s="573">
        <f t="shared" si="253"/>
        <v>0</v>
      </c>
      <c r="ED43" s="573">
        <f t="shared" si="19"/>
        <v>0</v>
      </c>
      <c r="EE43" s="572">
        <f t="shared" si="20"/>
        <v>0</v>
      </c>
      <c r="EF43" s="572">
        <f t="shared" si="21"/>
        <v>-0.41946128808131944</v>
      </c>
      <c r="EG43" s="572">
        <f t="shared" si="22"/>
        <v>-0.45695417114632975</v>
      </c>
      <c r="EH43" s="572">
        <f t="shared" si="23"/>
        <v>-0.50322201669929589</v>
      </c>
      <c r="EI43" s="572">
        <f t="shared" si="24"/>
        <v>-0.38346978181818175</v>
      </c>
      <c r="EJ43" s="572">
        <f t="shared" si="25"/>
        <v>-0.51337710569466388</v>
      </c>
      <c r="EK43" s="572">
        <f t="shared" si="26"/>
        <v>-0.55939971264792254</v>
      </c>
      <c r="EL43" s="572">
        <f t="shared" si="27"/>
        <v>0</v>
      </c>
      <c r="EM43" s="572">
        <f t="shared" si="28"/>
        <v>0</v>
      </c>
      <c r="EN43" s="572">
        <f t="shared" si="29"/>
        <v>0</v>
      </c>
    </row>
    <row r="44" spans="1:144" ht="15.5" outlineLevel="1" x14ac:dyDescent="0.35">
      <c r="A44" s="10">
        <f t="shared" ref="A44:A50" si="324">A43+1</f>
        <v>3</v>
      </c>
      <c r="B44" s="10" t="s">
        <v>266</v>
      </c>
      <c r="C44" s="246" t="str">
        <f>VLOOKUP(D44,'Quy đổi'!A:C,3,0)</f>
        <v>rHDI3R01</v>
      </c>
      <c r="D44" s="464" t="s">
        <v>206</v>
      </c>
      <c r="E44" s="7" t="s">
        <v>207</v>
      </c>
      <c r="F44" s="92">
        <f t="shared" si="295"/>
        <v>778.89067887014164</v>
      </c>
      <c r="G44" s="106" t="str">
        <f>IFERROR(SUMIFS('01. KE30'!$K:$K,'01. KE30'!$F:$F,'05. BC BH THEO SKU-USD'!$D44,'01. KE30'!$A:$A,'05. BC BH THEO SKU-USD'!G$4)/'05. BC BH THEO SKU-USD'!CM44/'02. Tỷ giá'!B$5,"-")</f>
        <v>-</v>
      </c>
      <c r="H44" s="106">
        <f>IFERROR(SUMIFS('01. KE30'!$K:$K,'01. KE30'!$F:$F,'05. BC BH THEO SKU-USD'!$D44,'01. KE30'!$A:$A,'05. BC BH THEO SKU-USD'!H$4)/'05. BC BH THEO SKU-USD'!CN44/'02. Tỷ giá'!C$5,"-")</f>
        <v>887.93619535250093</v>
      </c>
      <c r="I44" s="106" t="str">
        <f>IFERROR(SUMIFS('01. KE30'!$K:$K,'01. KE30'!$F:$F,'05. BC BH THEO SKU-USD'!$D44,'01. KE30'!$A:$A,'05. BC BH THEO SKU-USD'!I$4)/'05. BC BH THEO SKU-USD'!CO44/'02. Tỷ giá'!D$5,"-")</f>
        <v>-</v>
      </c>
      <c r="J44" s="106">
        <f>IFERROR(SUMIFS('01. KE30'!$K:$K,'01. KE30'!$F:$F,'05. BC BH THEO SKU-USD'!$D44,'01. KE30'!$A:$A,'05. BC BH THEO SKU-USD'!J$4)/'05. BC BH THEO SKU-USD'!CP44/'02. Tỷ giá'!E$5,"-")</f>
        <v>769.56166318234614</v>
      </c>
      <c r="K44" s="106">
        <f>IFERROR(SUMIFS('01. KE30'!$K:$K,'01. KE30'!$F:$F,'05. BC BH THEO SKU-USD'!$D44,'01. KE30'!$A:$A,'05. BC BH THEO SKU-USD'!K$4)/'05. BC BH THEO SKU-USD'!CQ44/'02. Tỷ giá'!F$5,"-")</f>
        <v>773.3952049497293</v>
      </c>
      <c r="L44" s="106" t="str">
        <f>IFERROR(SUMIFS('01. KE30'!$K:$K,'01. KE30'!$F:$F,'05. BC BH THEO SKU-USD'!$D44,'01. KE30'!$A:$A,'05. BC BH THEO SKU-USD'!L$4)/'05. BC BH THEO SKU-USD'!CR44/'02. Tỷ giá'!G$5,"-")</f>
        <v>-</v>
      </c>
      <c r="M44" s="106">
        <f>IFERROR(SUMIFS('01. KE30'!$K:$K,'01. KE30'!$F:$F,'05. BC BH THEO SKU-USD'!$D44,'01. KE30'!$A:$A,'05. BC BH THEO SKU-USD'!M$4)/'05. BC BH THEO SKU-USD'!CS44/'02. Tỷ giá'!H$5,"-")</f>
        <v>768.34421820975797</v>
      </c>
      <c r="N44" s="106">
        <f>IFERROR(SUMIFS('01. KE30'!$K:$K,'01. KE30'!$F:$F,'05. BC BH THEO SKU-USD'!$D44,'01. KE30'!$A:$A,'05. BC BH THEO SKU-USD'!N$4)/'05. BC BH THEO SKU-USD'!CT44/'02. Tỷ giá'!I$5,"-")</f>
        <v>740.9850987126631</v>
      </c>
      <c r="O44" s="106">
        <f>IFERROR(SUMIFS('01. KE30'!$K:$K,'01. KE30'!$F:$F,'05. BC BH THEO SKU-USD'!$D44,'01. KE30'!$A:$A,'05. BC BH THEO SKU-USD'!O$4)/'05. BC BH THEO SKU-USD'!CU44/'02. Tỷ giá'!J$5,"-")</f>
        <v>733.12169281385286</v>
      </c>
      <c r="P44" s="106" t="str">
        <f>IFERROR(SUMIFS('01. KE30'!$K:$K,'01. KE30'!$F:$F,'05. BC BH THEO SKU-USD'!$D44,'01. KE30'!$A:$A,'05. BC BH THEO SKU-USD'!P$4)/'05. BC BH THEO SKU-USD'!CV44/'02. Tỷ giá'!K$5,"-")</f>
        <v>-</v>
      </c>
      <c r="Q44" s="106" t="str">
        <f>IFERROR(SUMIFS('01. KE30'!$K:$K,'01. KE30'!$F:$F,'05. BC BH THEO SKU-USD'!$D44,'01. KE30'!$A:$A,'05. BC BH THEO SKU-USD'!Q$4)/'05. BC BH THEO SKU-USD'!CW44/'02. Tỷ giá'!L$5,"-")</f>
        <v>-</v>
      </c>
      <c r="R44" s="106" t="str">
        <f>IFERROR(SUMIFS('01. KE30'!$K:$K,'01. KE30'!$F:$F,'05. BC BH THEO SKU-USD'!$D44,'01. KE30'!$A:$A,'05. BC BH THEO SKU-USD'!R$4)/'05. BC BH THEO SKU-USD'!CX44/'02. Tỷ giá'!M$5,"-")</f>
        <v>-</v>
      </c>
      <c r="T44" s="92">
        <f t="shared" si="309"/>
        <v>745.62044024895408</v>
      </c>
      <c r="U44" s="147" t="str">
        <f>IFERROR(SUMIFS('01. KE30'!$O:$O,'01. KE30'!$F:$F,'05. BC BH THEO SKU-USD'!$D44,'01. KE30'!$A:$A,'05. BC BH THEO SKU-USD'!G$4)/'05. BC BH THEO SKU-USD'!CM44/'02. Tỷ giá'!B$5,"-")</f>
        <v>-</v>
      </c>
      <c r="V44" s="147">
        <f>IFERROR(SUMIFS('01. KE30'!$O:$O,'01. KE30'!$F:$F,'05. BC BH THEO SKU-USD'!$D44,'01. KE30'!$A:$A,'05. BC BH THEO SKU-USD'!H$4)/'05. BC BH THEO SKU-USD'!CN44/'02. Tỷ giá'!C$5,"-")</f>
        <v>769.02645762253428</v>
      </c>
      <c r="W44" s="147" t="str">
        <f>IFERROR(SUMIFS('01. KE30'!$O:$O,'01. KE30'!$F:$F,'05. BC BH THEO SKU-USD'!$D44,'01. KE30'!$A:$A,'05. BC BH THEO SKU-USD'!I$4)/'05. BC BH THEO SKU-USD'!CO44/'02. Tỷ giá'!D$5,"-")</f>
        <v>-</v>
      </c>
      <c r="X44" s="147">
        <f>IFERROR(SUMIFS('01. KE30'!$O:$O,'01. KE30'!$F:$F,'05. BC BH THEO SKU-USD'!$D44,'01. KE30'!$A:$A,'05. BC BH THEO SKU-USD'!J$4)/'05. BC BH THEO SKU-USD'!CP44/'02. Tỷ giá'!E$5,"-")</f>
        <v>765.26003286445564</v>
      </c>
      <c r="Y44" s="147">
        <f>IFERROR(SUMIFS('01. KE30'!$O:$O,'01. KE30'!$F:$F,'05. BC BH THEO SKU-USD'!$D44,'01. KE30'!$A:$A,'05. BC BH THEO SKU-USD'!K$4)/'05. BC BH THEO SKU-USD'!CQ44/'02. Tỷ giá'!F$5,"-")</f>
        <v>773.3952049497293</v>
      </c>
      <c r="Z44" s="147" t="str">
        <f>IFERROR(SUMIFS('01. KE30'!$O:$O,'01. KE30'!$F:$F,'05. BC BH THEO SKU-USD'!$D44,'01. KE30'!$A:$A,'05. BC BH THEO SKU-USD'!L$4)/'05. BC BH THEO SKU-USD'!CR44/'02. Tỷ giá'!G$5,"-")</f>
        <v>-</v>
      </c>
      <c r="AA44" s="147">
        <f>IFERROR(SUMIFS('01. KE30'!$O:$O,'01. KE30'!$F:$F,'05. BC BH THEO SKU-USD'!$D44,'01. KE30'!$A:$A,'05. BC BH THEO SKU-USD'!M$4)/'05. BC BH THEO SKU-USD'!CS44/'02. Tỷ giá'!H$5,"-")</f>
        <v>768.34421820975797</v>
      </c>
      <c r="AB44" s="147">
        <f>IFERROR(SUMIFS('01. KE30'!$O:$O,'01. KE30'!$F:$F,'05. BC BH THEO SKU-USD'!$D44,'01. KE30'!$A:$A,'05. BC BH THEO SKU-USD'!N$4)/'05. BC BH THEO SKU-USD'!CT44/'02. Tỷ giá'!I$5,"-")</f>
        <v>716.67785515408264</v>
      </c>
      <c r="AC44" s="147">
        <f>IFERROR(SUMIFS('01. KE30'!$O:$O,'01. KE30'!$F:$F,'05. BC BH THEO SKU-USD'!$D44,'01. KE30'!$A:$A,'05. BC BH THEO SKU-USD'!O$4)/'05. BC BH THEO SKU-USD'!CU44/'02. Tỷ giá'!J$5,"-")</f>
        <v>702.64550233766238</v>
      </c>
      <c r="AD44" s="147" t="str">
        <f>IFERROR(SUMIFS('01. KE30'!$O:$O,'01. KE30'!$F:$F,'05. BC BH THEO SKU-USD'!$D44,'01. KE30'!$A:$A,'05. BC BH THEO SKU-USD'!P$4)/'05. BC BH THEO SKU-USD'!CV44/'02. Tỷ giá'!K$5,"-")</f>
        <v>-</v>
      </c>
      <c r="AE44" s="147" t="str">
        <f>IFERROR(SUMIFS('01. KE30'!$O:$O,'01. KE30'!$F:$F,'05. BC BH THEO SKU-USD'!$D44,'01. KE30'!$A:$A,'05. BC BH THEO SKU-USD'!Q$4)/'05. BC BH THEO SKU-USD'!CW44/'02. Tỷ giá'!L$5,"-")</f>
        <v>-</v>
      </c>
      <c r="AF44" s="147" t="str">
        <f>IFERROR(SUMIFS('01. KE30'!$O:$O,'01. KE30'!$F:$F,'05. BC BH THEO SKU-USD'!$D44,'01. KE30'!$A:$A,'05. BC BH THEO SKU-USD'!R$4)/'05. BC BH THEO SKU-USD'!CX44/'02. Tỷ giá'!M$5,"-")</f>
        <v>-</v>
      </c>
      <c r="AH44" s="55">
        <f t="shared" si="296"/>
        <v>790</v>
      </c>
      <c r="AI44" s="4">
        <v>870</v>
      </c>
      <c r="AJ44" s="4">
        <v>800</v>
      </c>
      <c r="AK44" s="4">
        <v>805</v>
      </c>
      <c r="AL44" s="4">
        <v>805</v>
      </c>
      <c r="AM44" s="4">
        <v>765</v>
      </c>
      <c r="AN44" s="4">
        <v>765</v>
      </c>
      <c r="AO44" s="4">
        <v>780</v>
      </c>
      <c r="AP44" s="4">
        <v>760</v>
      </c>
      <c r="AQ44" s="4">
        <v>760</v>
      </c>
      <c r="AR44" s="4"/>
      <c r="AS44" s="4"/>
      <c r="AT44" s="4"/>
      <c r="AV44" s="54">
        <f t="shared" si="299"/>
        <v>-44.379559751045917</v>
      </c>
      <c r="AW44" s="95" t="str">
        <f t="shared" si="299"/>
        <v>-</v>
      </c>
      <c r="AX44" s="95">
        <f t="shared" si="299"/>
        <v>-30.973542377465719</v>
      </c>
      <c r="AY44" s="95" t="str">
        <f t="shared" si="299"/>
        <v>-</v>
      </c>
      <c r="AZ44" s="95">
        <f t="shared" si="299"/>
        <v>-39.739967135544362</v>
      </c>
      <c r="BA44" s="95">
        <f t="shared" si="299"/>
        <v>8.3952049497293046</v>
      </c>
      <c r="BB44" s="95" t="str">
        <f t="shared" si="299"/>
        <v>-</v>
      </c>
      <c r="BC44" s="95">
        <f t="shared" si="299"/>
        <v>-11.655781790242031</v>
      </c>
      <c r="BD44" s="95">
        <f t="shared" si="299"/>
        <v>-43.322144845917364</v>
      </c>
      <c r="BE44" s="95">
        <f t="shared" si="299"/>
        <v>-57.354497662337621</v>
      </c>
      <c r="BF44" s="95" t="str">
        <f t="shared" si="299"/>
        <v>-</v>
      </c>
      <c r="BG44" s="95" t="str">
        <f t="shared" si="299"/>
        <v>-</v>
      </c>
      <c r="BH44" s="95" t="str">
        <f t="shared" si="299"/>
        <v>-</v>
      </c>
      <c r="BJ44" s="143">
        <f t="shared" si="65"/>
        <v>-5.6176657912716352E-2</v>
      </c>
      <c r="BK44" s="143" t="str">
        <f t="shared" si="65"/>
        <v>-</v>
      </c>
      <c r="BL44" s="143">
        <f t="shared" si="65"/>
        <v>-3.8716927971832148E-2</v>
      </c>
      <c r="BM44" s="143" t="str">
        <f t="shared" si="65"/>
        <v>-</v>
      </c>
      <c r="BN44" s="143">
        <f t="shared" si="65"/>
        <v>-4.9366418801918464E-2</v>
      </c>
      <c r="BO44" s="143">
        <f t="shared" si="65"/>
        <v>1.0974124117293208E-2</v>
      </c>
      <c r="BP44" s="143" t="str">
        <f t="shared" si="65"/>
        <v>-</v>
      </c>
      <c r="BQ44" s="143">
        <f t="shared" si="65"/>
        <v>-1.4943309987489783E-2</v>
      </c>
      <c r="BR44" s="143">
        <f t="shared" si="65"/>
        <v>-5.7002822165680742E-2</v>
      </c>
      <c r="BS44" s="143">
        <f t="shared" si="65"/>
        <v>-7.5466444292549506E-2</v>
      </c>
      <c r="BT44" s="143" t="str">
        <f t="shared" si="68"/>
        <v>-</v>
      </c>
      <c r="BU44" s="143" t="str">
        <f t="shared" si="68"/>
        <v>-</v>
      </c>
      <c r="BV44" s="143" t="str">
        <f t="shared" si="68"/>
        <v>-</v>
      </c>
      <c r="BX44" s="112">
        <f t="shared" si="310"/>
        <v>829.11282115182269</v>
      </c>
      <c r="BY44" s="95" t="str">
        <f>IFERROR(SUMIFS('01. KE30'!$R:$R,'01. KE30'!$F:$F,'05. BC BH THEO SKU-USD'!$D44,'01. KE30'!$A:$A,'05. BC BH THEO SKU-USD'!BY$4)/CM44/'02. Tỷ giá'!B$5," -")</f>
        <v xml:space="preserve"> -</v>
      </c>
      <c r="BZ44" s="95">
        <f>IFERROR(SUMIFS('01. KE30'!$R:$R,'01. KE30'!$F:$F,'05. BC BH THEO SKU-USD'!$D44,'01. KE30'!$A:$A,'05. BC BH THEO SKU-USD'!BZ$4)/CN44/'02. Tỷ giá'!C$5," -")</f>
        <v>482.69994732771175</v>
      </c>
      <c r="CA44" s="95" t="str">
        <f>IFERROR(SUMIFS('01. KE30'!$R:$R,'01. KE30'!$F:$F,'05. BC BH THEO SKU-USD'!$D44,'01. KE30'!$A:$A,'05. BC BH THEO SKU-USD'!CA$4)/CO44/'02. Tỷ giá'!D$5," -")</f>
        <v xml:space="preserve"> -</v>
      </c>
      <c r="CB44" s="95">
        <f>IFERROR(SUMIFS('01. KE30'!$R:$R,'01. KE30'!$F:$F,'05. BC BH THEO SKU-USD'!$D44,'01. KE30'!$A:$A,'05. BC BH THEO SKU-USD'!CB$4)/CP44/'02. Tỷ giá'!E$5," -")</f>
        <v>501.11339372822306</v>
      </c>
      <c r="CC44" s="95">
        <f>IFERROR(SUMIFS('01. KE30'!$R:$R,'01. KE30'!$F:$F,'05. BC BH THEO SKU-USD'!$D44,'01. KE30'!$A:$A,'05. BC BH THEO SKU-USD'!CC$4)/CQ44/'02. Tỷ giá'!F$5," -")</f>
        <v>1065.608556563313</v>
      </c>
      <c r="CD44" s="95" t="str">
        <f>IFERROR(SUMIFS('01. KE30'!$R:$R,'01. KE30'!$F:$F,'05. BC BH THEO SKU-USD'!$D44,'01. KE30'!$A:$A,'05. BC BH THEO SKU-USD'!CD$4)/CR44/'02. Tỷ giá'!G$5," -")</f>
        <v xml:space="preserve"> -</v>
      </c>
      <c r="CE44" s="95">
        <f>IFERROR(SUMIFS('01. KE30'!$R:$R,'01. KE30'!$F:$F,'05. BC BH THEO SKU-USD'!$D44,'01. KE30'!$A:$A,'05. BC BH THEO SKU-USD'!CE$4)/CS44/'02. Tỷ giá'!H$5," -")</f>
        <v>1058.6489994062795</v>
      </c>
      <c r="CF44" s="95">
        <f>IFERROR(SUMIFS('01. KE30'!$R:$R,'01. KE30'!$F:$F,'05. BC BH THEO SKU-USD'!$D44,'01. KE30'!$A:$A,'05. BC BH THEO SKU-USD'!CF$4)/CT44/'02. Tỷ giá'!I$5," -")</f>
        <v>1052.5812070282659</v>
      </c>
      <c r="CG44" s="95">
        <f>IFERROR(SUMIFS('01. KE30'!$R:$R,'01. KE30'!$F:$F,'05. BC BH THEO SKU-USD'!$D44,'01. KE30'!$A:$A,'05. BC BH THEO SKU-USD'!CG$4)/CU44/'02. Tỷ giá'!J$5," -")</f>
        <v>814.02482285714291</v>
      </c>
      <c r="CH44" s="95" t="str">
        <f>IFERROR(SUMIFS('01. KE30'!$R:$R,'01. KE30'!$F:$F,'05. BC BH THEO SKU-USD'!$D44,'01. KE30'!$A:$A,'05. BC BH THEO SKU-USD'!CH$4)/CV44/'02. Tỷ giá'!K$5," -")</f>
        <v xml:space="preserve"> -</v>
      </c>
      <c r="CI44" s="95" t="str">
        <f>IFERROR(SUMIFS('01. KE30'!$R:$R,'01. KE30'!$F:$F,'05. BC BH THEO SKU-USD'!$D44,'01. KE30'!$A:$A,'05. BC BH THEO SKU-USD'!CI$4)/CW44/'02. Tỷ giá'!L$5," -")</f>
        <v xml:space="preserve"> -</v>
      </c>
      <c r="CJ44" s="95" t="str">
        <f>IFERROR(SUMIFS('01. KE30'!$R:$R,'01. KE30'!$F:$F,'05. BC BH THEO SKU-USD'!$D44,'01. KE30'!$A:$A,'05. BC BH THEO SKU-USD'!CJ$4)/CX44/'02. Tỷ giá'!M$5," -")</f>
        <v xml:space="preserve"> -</v>
      </c>
      <c r="CL44" s="112">
        <f t="shared" si="281"/>
        <v>113.125</v>
      </c>
      <c r="CM44" s="114">
        <f>SUMIFS('01. KE30'!$I:$I,'01. KE30'!$F:$F,'05. BC BH THEO SKU-USD'!$D44,'01. KE30'!$A:$A,'05. BC BH THEO SKU-USD'!CM$4)/1000</f>
        <v>0</v>
      </c>
      <c r="CN44" s="114">
        <f>SUMIFS('01. KE30'!$I:$I,'01. KE30'!$F:$F,'05. BC BH THEO SKU-USD'!$D44,'01. KE30'!$A:$A,'05. BC BH THEO SKU-USD'!CN$4)/1000</f>
        <v>41.5</v>
      </c>
      <c r="CO44" s="114">
        <f>SUMIFS('01. KE30'!$I:$I,'01. KE30'!$F:$F,'05. BC BH THEO SKU-USD'!$D44,'01. KE30'!$A:$A,'05. BC BH THEO SKU-USD'!CO$4)/1000</f>
        <v>0</v>
      </c>
      <c r="CP44" s="114">
        <f>SUMIFS('01. KE30'!$I:$I,'01. KE30'!$F:$F,'05. BC BH THEO SKU-USD'!$D44,'01. KE30'!$A:$A,'05. BC BH THEO SKU-USD'!CP$4)/1000</f>
        <v>12.5</v>
      </c>
      <c r="CQ44" s="114">
        <f>SUMIFS('01. KE30'!$I:$I,'01. KE30'!$F:$F,'05. BC BH THEO SKU-USD'!$D44,'01. KE30'!$A:$A,'05. BC BH THEO SKU-USD'!CQ$4)/1000</f>
        <v>5.5</v>
      </c>
      <c r="CR44" s="114">
        <f>SUMIFS('01. KE30'!$I:$I,'01. KE30'!$F:$F,'05. BC BH THEO SKU-USD'!$D44,'01. KE30'!$A:$A,'05. BC BH THEO SKU-USD'!CR$4)/1000</f>
        <v>0</v>
      </c>
      <c r="CS44" s="114">
        <f>SUMIFS('01. KE30'!$I:$I,'01. KE30'!$F:$F,'05. BC BH THEO SKU-USD'!$D44,'01. KE30'!$A:$A,'05. BC BH THEO SKU-USD'!CS$4)/1000</f>
        <v>11</v>
      </c>
      <c r="CT44" s="114">
        <f>SUMIFS('01. KE30'!$I:$I,'01. KE30'!$F:$F,'05. BC BH THEO SKU-USD'!$D44,'01. KE30'!$A:$A,'05. BC BH THEO SKU-USD'!CT$4)/1000</f>
        <v>15.125</v>
      </c>
      <c r="CU44" s="114">
        <f>SUMIFS('01. KE30'!$I:$I,'01. KE30'!$F:$F,'05. BC BH THEO SKU-USD'!$D44,'01. KE30'!$A:$A,'05. BC BH THEO SKU-USD'!CU$4)/1000</f>
        <v>27.5</v>
      </c>
      <c r="CV44" s="114">
        <f>SUMIFS('01. KE30'!$I:$I,'01. KE30'!$F:$F,'05. BC BH THEO SKU-USD'!$D44,'01. KE30'!$A:$A,'05. BC BH THEO SKU-USD'!CV$4)/1000</f>
        <v>0</v>
      </c>
      <c r="CW44" s="114">
        <f>SUMIFS('01. KE30'!$I:$I,'01. KE30'!$F:$F,'05. BC BH THEO SKU-USD'!$D44,'01. KE30'!$A:$A,'05. BC BH THEO SKU-USD'!CW$4)/1000</f>
        <v>0</v>
      </c>
      <c r="CX44" s="114">
        <f>SUMIFS('01. KE30'!$I:$I,'01. KE30'!$F:$F,'05. BC BH THEO SKU-USD'!$D44,'01. KE30'!$A:$A,'05. BC BH THEO SKU-USD'!CX$4)/1000</f>
        <v>0</v>
      </c>
      <c r="CZ44" s="112">
        <f t="shared" si="311"/>
        <v>90542.579094848945</v>
      </c>
      <c r="DA44" s="54" t="str">
        <f t="shared" si="312"/>
        <v xml:space="preserve"> -</v>
      </c>
      <c r="DB44" s="54">
        <f t="shared" si="313"/>
        <v>36849.352107128791</v>
      </c>
      <c r="DC44" s="54" t="str">
        <f t="shared" si="314"/>
        <v xml:space="preserve"> -</v>
      </c>
      <c r="DD44" s="54">
        <f t="shared" si="315"/>
        <v>9619.5207897793262</v>
      </c>
      <c r="DE44" s="54">
        <f t="shared" si="316"/>
        <v>4253.6736272235112</v>
      </c>
      <c r="DF44" s="54" t="str">
        <f t="shared" si="317"/>
        <v xml:space="preserve"> -</v>
      </c>
      <c r="DG44" s="54">
        <f t="shared" si="318"/>
        <v>8451.7864003073373</v>
      </c>
      <c r="DH44" s="54">
        <f t="shared" si="319"/>
        <v>11207.399618029029</v>
      </c>
      <c r="DI44" s="54">
        <f t="shared" si="320"/>
        <v>20160.846552380954</v>
      </c>
      <c r="DJ44" s="54" t="str">
        <f t="shared" si="321"/>
        <v xml:space="preserve"> -</v>
      </c>
      <c r="DK44" s="54" t="str">
        <f t="shared" si="322"/>
        <v xml:space="preserve"> -</v>
      </c>
      <c r="DL44" s="54" t="str">
        <f t="shared" si="323"/>
        <v xml:space="preserve"> -</v>
      </c>
      <c r="DN44" s="112">
        <f t="shared" si="64"/>
        <v>2240.3876280188524</v>
      </c>
      <c r="DO44" s="114">
        <f>IFERROR(SUMIFS('01. KE30'!$X:$X,'01. KE30'!$F:$F,'05. BC BH THEO SKU-USD'!$D44,'01. KE30'!$A:$A,'05. BC BH THEO SKU-USD'!DO$4)-SUMIFS('01. KE30'!$AA:$AA,'01. KE30'!$F:$F,'05. BC BH THEO SKU-USD'!$D44,'01. KE30'!$A:$A,'05. BC BH THEO SKU-USD'!DO$4),"-")</f>
        <v>0</v>
      </c>
      <c r="DP44" s="114">
        <f>IFERROR(SUMIFS('01. KE30'!$X:$X,'01. KE30'!$F:$F,'05. BC BH THEO SKU-USD'!$D44,'01. KE30'!$A:$A,'05. BC BH THEO SKU-USD'!DP$4)-SUMIFS('01. KE30'!$AA:$AA,'01. KE30'!$F:$F,'05. BC BH THEO SKU-USD'!$D44,'01. KE30'!$A:$A,'05. BC BH THEO SKU-USD'!DP$4),"-")</f>
        <v>11882.550177235131</v>
      </c>
      <c r="DQ44" s="114">
        <f>IFERROR(SUMIFS('01. KE30'!$X:$X,'01. KE30'!$F:$F,'05. BC BH THEO SKU-USD'!$D44,'01. KE30'!$A:$A,'05. BC BH THEO SKU-USD'!DQ$4)-SUMIFS('01. KE30'!$AA:$AA,'01. KE30'!$F:$F,'05. BC BH THEO SKU-USD'!$D44,'01. KE30'!$A:$A,'05. BC BH THEO SKU-USD'!DQ$4),"-")</f>
        <v>0</v>
      </c>
      <c r="DR44" s="114">
        <f>IFERROR(SUMIFS('01. KE30'!$X:$X,'01. KE30'!$F:$F,'05. BC BH THEO SKU-USD'!$D44,'01. KE30'!$A:$A,'05. BC BH THEO SKU-USD'!DR$4)-SUMIFS('01. KE30'!$AA:$AA,'01. KE30'!$F:$F,'05. BC BH THEO SKU-USD'!$D44,'01. KE30'!$A:$A,'05. BC BH THEO SKU-USD'!DR$4),"-")</f>
        <v>3301.8329892029069</v>
      </c>
      <c r="DS44" s="114">
        <f>IFERROR(SUMIFS('01. KE30'!$X:$X,'01. KE30'!$F:$F,'05. BC BH THEO SKU-USD'!$D44,'01. KE30'!$A:$A,'05. BC BH THEO SKU-USD'!DS$4)-SUMIFS('01. KE30'!$AA:$AA,'01. KE30'!$F:$F,'05. BC BH THEO SKU-USD'!$D44,'01. KE30'!$A:$A,'05. BC BH THEO SKU-USD'!DS$4),"-")</f>
        <v>-1607.1734338747101</v>
      </c>
      <c r="DT44" s="114">
        <f>IFERROR(SUMIFS('01. KE30'!$X:$X,'01. KE30'!$F:$F,'05. BC BH THEO SKU-USD'!$D44,'01. KE30'!$A:$A,'05. BC BH THEO SKU-USD'!DT$4)-SUMIFS('01. KE30'!$AA:$AA,'01. KE30'!$F:$F,'05. BC BH THEO SKU-USD'!$D44,'01. KE30'!$A:$A,'05. BC BH THEO SKU-USD'!DT$4),"-")</f>
        <v>0</v>
      </c>
      <c r="DU44" s="114">
        <f>IFERROR(SUMIFS('01. KE30'!$X:$X,'01. KE30'!$F:$F,'05. BC BH THEO SKU-USD'!$D44,'01. KE30'!$A:$A,'05. BC BH THEO SKU-USD'!DU$4)-SUMIFS('01. KE30'!$AA:$AA,'01. KE30'!$F:$F,'05. BC BH THEO SKU-USD'!$D44,'01. KE30'!$A:$A,'05. BC BH THEO SKU-USD'!DU$4),"-")</f>
        <v>-3193.3525931617369</v>
      </c>
      <c r="DV44" s="114">
        <f>IFERROR(SUMIFS('01. KE30'!$X:$X,'01. KE30'!$F:$F,'05. BC BH THEO SKU-USD'!$D44,'01. KE30'!$A:$A,'05. BC BH THEO SKU-USD'!DV$4)-SUMIFS('01. KE30'!$AA:$AA,'01. KE30'!$F:$F,'05. BC BH THEO SKU-USD'!$D44,'01. KE30'!$A:$A,'05. BC BH THEO SKU-USD'!DV$4),"-")</f>
        <v>-5080.5381970970211</v>
      </c>
      <c r="DW44" s="114">
        <f>IFERROR(SUMIFS('01. KE30'!$X:$X,'01. KE30'!$F:$F,'05. BC BH THEO SKU-USD'!$D44,'01. KE30'!$A:$A,'05. BC BH THEO SKU-USD'!DW$4)-SUMIFS('01. KE30'!$AA:$AA,'01. KE30'!$F:$F,'05. BC BH THEO SKU-USD'!$D44,'01. KE30'!$A:$A,'05. BC BH THEO SKU-USD'!DW$4),"-")</f>
        <v>-3062.9313142857172</v>
      </c>
      <c r="DX44" s="114">
        <f>IFERROR(SUMIFS('01. KE30'!$X:$X,'01. KE30'!$F:$F,'05. BC BH THEO SKU-USD'!$D44,'01. KE30'!$A:$A,'05. BC BH THEO SKU-USD'!DX$4)-SUMIFS('01. KE30'!$AA:$AA,'01. KE30'!$F:$F,'05. BC BH THEO SKU-USD'!$D44,'01. KE30'!$A:$A,'05. BC BH THEO SKU-USD'!DX$4),"-")</f>
        <v>0</v>
      </c>
      <c r="DY44" s="114">
        <f>IFERROR(SUMIFS('01. KE30'!$X:$X,'01. KE30'!$F:$F,'05. BC BH THEO SKU-USD'!$D44,'01. KE30'!$A:$A,'05. BC BH THEO SKU-USD'!DY$4)-SUMIFS('01. KE30'!$AA:$AA,'01. KE30'!$F:$F,'05. BC BH THEO SKU-USD'!$D44,'01. KE30'!$A:$A,'05. BC BH THEO SKU-USD'!DY$4),"-")</f>
        <v>0</v>
      </c>
      <c r="DZ44" s="114">
        <f>IFERROR(SUMIFS('01. KE30'!$X:$X,'01. KE30'!$F:$F,'05. BC BH THEO SKU-USD'!$D44,'01. KE30'!$A:$A,'05. BC BH THEO SKU-USD'!DZ$4)-SUMIFS('01. KE30'!$AA:$AA,'01. KE30'!$F:$F,'05. BC BH THEO SKU-USD'!$D44,'01. KE30'!$A:$A,'05. BC BH THEO SKU-USD'!DZ$4),"-")</f>
        <v>0</v>
      </c>
      <c r="EB44" s="571">
        <f t="shared" si="252"/>
        <v>2.4744022651176173E-2</v>
      </c>
      <c r="EC44" s="573">
        <f t="shared" si="253"/>
        <v>0</v>
      </c>
      <c r="ED44" s="572">
        <f t="shared" si="19"/>
        <v>0.32246293347818072</v>
      </c>
      <c r="EE44" s="572">
        <f t="shared" si="20"/>
        <v>0</v>
      </c>
      <c r="EF44" s="572">
        <f t="shared" si="21"/>
        <v>0.34324298074297854</v>
      </c>
      <c r="EG44" s="572">
        <f t="shared" si="22"/>
        <v>-0.37783186363636367</v>
      </c>
      <c r="EH44" s="572">
        <f t="shared" si="23"/>
        <v>0</v>
      </c>
      <c r="EI44" s="572">
        <f t="shared" si="24"/>
        <v>-0.3778316727272728</v>
      </c>
      <c r="EJ44" s="572">
        <f t="shared" si="25"/>
        <v>-0.45331998235559495</v>
      </c>
      <c r="EK44" s="572">
        <f t="shared" si="26"/>
        <v>-0.15192473720425154</v>
      </c>
      <c r="EL44" s="572">
        <f t="shared" si="27"/>
        <v>0</v>
      </c>
      <c r="EM44" s="572">
        <f t="shared" si="28"/>
        <v>0</v>
      </c>
      <c r="EN44" s="572">
        <f t="shared" si="29"/>
        <v>0</v>
      </c>
    </row>
    <row r="45" spans="1:144" ht="15.5" outlineLevel="1" x14ac:dyDescent="0.35">
      <c r="A45" s="10">
        <f t="shared" si="324"/>
        <v>4</v>
      </c>
      <c r="B45" s="10" t="s">
        <v>266</v>
      </c>
      <c r="C45" s="246" t="str">
        <f>VLOOKUP(D45,'Quy đổi'!A:C,3,0)</f>
        <v>rHDI4L01</v>
      </c>
      <c r="D45" s="464" t="s">
        <v>208</v>
      </c>
      <c r="E45" s="7" t="s">
        <v>209</v>
      </c>
      <c r="F45" s="92">
        <f t="shared" si="295"/>
        <v>791.0076775436022</v>
      </c>
      <c r="G45" s="106">
        <f>IFERROR(SUMIFS('01. KE30'!$K:$K,'01. KE30'!$F:$F,'05. BC BH THEO SKU-USD'!$D45,'01. KE30'!$A:$A,'05. BC BH THEO SKU-USD'!G$4)/'05. BC BH THEO SKU-USD'!CM45/'02. Tỷ giá'!B$5,"-")</f>
        <v>893.95813291485706</v>
      </c>
      <c r="H45" s="106">
        <f>IFERROR(SUMIFS('01. KE30'!$K:$K,'01. KE30'!$F:$F,'05. BC BH THEO SKU-USD'!$D45,'01. KE30'!$A:$A,'05. BC BH THEO SKU-USD'!H$4)/'05. BC BH THEO SKU-USD'!CN45/'02. Tỷ giá'!C$5,"-")</f>
        <v>796.16778259157149</v>
      </c>
      <c r="I45" s="106">
        <f>IFERROR(SUMIFS('01. KE30'!$K:$K,'01. KE30'!$F:$F,'05. BC BH THEO SKU-USD'!$D45,'01. KE30'!$A:$A,'05. BC BH THEO SKU-USD'!I$4)/'05. BC BH THEO SKU-USD'!CO45/'02. Tỷ giá'!D$5,"-")</f>
        <v>815.45866141732279</v>
      </c>
      <c r="J45" s="106">
        <f>IFERROR(SUMIFS('01. KE30'!$K:$K,'01. KE30'!$F:$F,'05. BC BH THEO SKU-USD'!$D45,'01. KE30'!$A:$A,'05. BC BH THEO SKU-USD'!J$4)/'05. BC BH THEO SKU-USD'!CP45/'02. Tỷ giá'!E$5,"-")</f>
        <v>774.29345722028654</v>
      </c>
      <c r="K45" s="106">
        <f>IFERROR(SUMIFS('01. KE30'!$K:$K,'01. KE30'!$F:$F,'05. BC BH THEO SKU-USD'!$D45,'01. KE30'!$A:$A,'05. BC BH THEO SKU-USD'!K$4)/'05. BC BH THEO SKU-USD'!CQ45/'02. Tỷ giá'!F$5,"-")</f>
        <v>773.3952049497293</v>
      </c>
      <c r="L45" s="106">
        <f>IFERROR(SUMIFS('01. KE30'!$K:$K,'01. KE30'!$F:$F,'05. BC BH THEO SKU-USD'!$D45,'01. KE30'!$A:$A,'05. BC BH THEO SKU-USD'!L$4)/'05. BC BH THEO SKU-USD'!CR45/'02. Tỷ giá'!G$5,"-")</f>
        <v>771.60493827160496</v>
      </c>
      <c r="M45" s="106">
        <f>IFERROR(SUMIFS('01. KE30'!$K:$K,'01. KE30'!$F:$F,'05. BC BH THEO SKU-USD'!$D45,'01. KE30'!$A:$A,'05. BC BH THEO SKU-USD'!M$4)/'05. BC BH THEO SKU-USD'!CS45/'02. Tỷ giá'!H$5,"-")</f>
        <v>768.34421820975797</v>
      </c>
      <c r="N45" s="106">
        <f>IFERROR(SUMIFS('01. KE30'!$K:$K,'01. KE30'!$F:$F,'05. BC BH THEO SKU-USD'!$D45,'01. KE30'!$A:$A,'05. BC BH THEO SKU-USD'!N$4)/'05. BC BH THEO SKU-USD'!CT45/'02. Tỷ giá'!I$5,"-")</f>
        <v>763.94194041252865</v>
      </c>
      <c r="O45" s="106">
        <f>IFERROR(SUMIFS('01. KE30'!$K:$K,'01. KE30'!$F:$F,'05. BC BH THEO SKU-USD'!$D45,'01. KE30'!$A:$A,'05. BC BH THEO SKU-USD'!O$4)/'05. BC BH THEO SKU-USD'!CU45/'02. Tỷ giá'!J$5,"-")</f>
        <v>761.90476190476193</v>
      </c>
      <c r="P45" s="106" t="str">
        <f>IFERROR(SUMIFS('01. KE30'!$K:$K,'01. KE30'!$F:$F,'05. BC BH THEO SKU-USD'!$D45,'01. KE30'!$A:$A,'05. BC BH THEO SKU-USD'!P$4)/'05. BC BH THEO SKU-USD'!CV45/'02. Tỷ giá'!K$5,"-")</f>
        <v>-</v>
      </c>
      <c r="Q45" s="106" t="str">
        <f>IFERROR(SUMIFS('01. KE30'!$K:$K,'01. KE30'!$F:$F,'05. BC BH THEO SKU-USD'!$D45,'01. KE30'!$A:$A,'05. BC BH THEO SKU-USD'!Q$4)/'05. BC BH THEO SKU-USD'!CW45/'02. Tỷ giá'!L$5,"-")</f>
        <v>-</v>
      </c>
      <c r="R45" s="106" t="str">
        <f>IFERROR(SUMIFS('01. KE30'!$K:$K,'01. KE30'!$F:$F,'05. BC BH THEO SKU-USD'!$D45,'01. KE30'!$A:$A,'05. BC BH THEO SKU-USD'!R$4)/'05. BC BH THEO SKU-USD'!CX45/'02. Tỷ giá'!M$5,"-")</f>
        <v>-</v>
      </c>
      <c r="T45" s="92">
        <f t="shared" si="309"/>
        <v>783.76701205188442</v>
      </c>
      <c r="U45" s="147">
        <f>IFERROR(SUMIFS('01. KE30'!$O:$O,'01. KE30'!$F:$F,'05. BC BH THEO SKU-USD'!$D45,'01. KE30'!$A:$A,'05. BC BH THEO SKU-USD'!G$4)/'05. BC BH THEO SKU-USD'!CM45/'02. Tỷ giá'!B$5,"-")</f>
        <v>893.95813291485706</v>
      </c>
      <c r="V45" s="147">
        <f>IFERROR(SUMIFS('01. KE30'!$O:$O,'01. KE30'!$F:$F,'05. BC BH THEO SKU-USD'!$D45,'01. KE30'!$A:$A,'05. BC BH THEO SKU-USD'!H$4)/'05. BC BH THEO SKU-USD'!CN45/'02. Tỷ giá'!C$5,"-")</f>
        <v>796.16778259157149</v>
      </c>
      <c r="W45" s="147">
        <f>IFERROR(SUMIFS('01. KE30'!$O:$O,'01. KE30'!$F:$F,'05. BC BH THEO SKU-USD'!$D45,'01. KE30'!$A:$A,'05. BC BH THEO SKU-USD'!I$4)/'05. BC BH THEO SKU-USD'!CO45/'02. Tỷ giá'!D$5,"-")</f>
        <v>815.45866141732279</v>
      </c>
      <c r="X45" s="147">
        <f>IFERROR(SUMIFS('01. KE30'!$O:$O,'01. KE30'!$F:$F,'05. BC BH THEO SKU-USD'!$D45,'01. KE30'!$A:$A,'05. BC BH THEO SKU-USD'!J$4)/'05. BC BH THEO SKU-USD'!CP45/'02. Tỷ giá'!E$5,"-")</f>
        <v>774.29345722028654</v>
      </c>
      <c r="Y45" s="147">
        <f>IFERROR(SUMIFS('01. KE30'!$O:$O,'01. KE30'!$F:$F,'05. BC BH THEO SKU-USD'!$D45,'01. KE30'!$A:$A,'05. BC BH THEO SKU-USD'!K$4)/'05. BC BH THEO SKU-USD'!CQ45/'02. Tỷ giá'!F$5,"-")</f>
        <v>773.3952049497293</v>
      </c>
      <c r="Z45" s="147">
        <f>IFERROR(SUMIFS('01. KE30'!$O:$O,'01. KE30'!$F:$F,'05. BC BH THEO SKU-USD'!$D45,'01. KE30'!$A:$A,'05. BC BH THEO SKU-USD'!L$4)/'05. BC BH THEO SKU-USD'!CR45/'02. Tỷ giá'!G$5,"-")</f>
        <v>771.60493827160496</v>
      </c>
      <c r="AA45" s="147">
        <f>IFERROR(SUMIFS('01. KE30'!$O:$O,'01. KE30'!$F:$F,'05. BC BH THEO SKU-USD'!$D45,'01. KE30'!$A:$A,'05. BC BH THEO SKU-USD'!M$4)/'05. BC BH THEO SKU-USD'!CS45/'02. Tỷ giá'!H$5,"-")</f>
        <v>768.34421820975797</v>
      </c>
      <c r="AB45" s="147">
        <f>IFERROR(SUMIFS('01. KE30'!$O:$O,'01. KE30'!$F:$F,'05. BC BH THEO SKU-USD'!$D45,'01. KE30'!$A:$A,'05. BC BH THEO SKU-USD'!N$4)/'05. BC BH THEO SKU-USD'!CT45/'02. Tỷ giá'!I$5,"-")</f>
        <v>763.94194041252865</v>
      </c>
      <c r="AC45" s="147">
        <f>IFERROR(SUMIFS('01. KE30'!$O:$O,'01. KE30'!$F:$F,'05. BC BH THEO SKU-USD'!$D45,'01. KE30'!$A:$A,'05. BC BH THEO SKU-USD'!O$4)/'05. BC BH THEO SKU-USD'!CU45/'02. Tỷ giá'!J$5,"-")</f>
        <v>761.90476190476193</v>
      </c>
      <c r="AD45" s="147" t="str">
        <f>IFERROR(SUMIFS('01. KE30'!$O:$O,'01. KE30'!$F:$F,'05. BC BH THEO SKU-USD'!$D45,'01. KE30'!$A:$A,'05. BC BH THEO SKU-USD'!P$4)/'05. BC BH THEO SKU-USD'!CV45/'02. Tỷ giá'!K$5,"-")</f>
        <v>-</v>
      </c>
      <c r="AE45" s="147" t="str">
        <f>IFERROR(SUMIFS('01. KE30'!$O:$O,'01. KE30'!$F:$F,'05. BC BH THEO SKU-USD'!$D45,'01. KE30'!$A:$A,'05. BC BH THEO SKU-USD'!Q$4)/'05. BC BH THEO SKU-USD'!CW45/'02. Tỷ giá'!L$5,"-")</f>
        <v>-</v>
      </c>
      <c r="AF45" s="147" t="str">
        <f>IFERROR(SUMIFS('01. KE30'!$O:$O,'01. KE30'!$F:$F,'05. BC BH THEO SKU-USD'!$D45,'01. KE30'!$A:$A,'05. BC BH THEO SKU-USD'!R$4)/'05. BC BH THEO SKU-USD'!CX45/'02. Tỷ giá'!M$5,"-")</f>
        <v>-</v>
      </c>
      <c r="AH45" s="55">
        <f t="shared" si="296"/>
        <v>790</v>
      </c>
      <c r="AI45" s="4">
        <v>870</v>
      </c>
      <c r="AJ45" s="4">
        <v>800</v>
      </c>
      <c r="AK45" s="4">
        <v>805</v>
      </c>
      <c r="AL45" s="4">
        <v>805</v>
      </c>
      <c r="AM45" s="4">
        <v>765</v>
      </c>
      <c r="AN45" s="4">
        <v>765</v>
      </c>
      <c r="AO45" s="4">
        <v>780</v>
      </c>
      <c r="AP45" s="4">
        <v>760</v>
      </c>
      <c r="AQ45" s="4">
        <v>760</v>
      </c>
      <c r="AR45" s="4"/>
      <c r="AS45" s="4"/>
      <c r="AT45" s="4"/>
      <c r="AV45" s="54">
        <f t="shared" si="299"/>
        <v>-6.2329879481155785</v>
      </c>
      <c r="AW45" s="95">
        <f t="shared" si="299"/>
        <v>23.95813291485706</v>
      </c>
      <c r="AX45" s="95">
        <f t="shared" si="299"/>
        <v>-3.8322174084285052</v>
      </c>
      <c r="AY45" s="95">
        <f t="shared" si="299"/>
        <v>10.458661417322787</v>
      </c>
      <c r="AZ45" s="95">
        <f t="shared" si="299"/>
        <v>-30.706542779713459</v>
      </c>
      <c r="BA45" s="95">
        <f t="shared" si="299"/>
        <v>8.3952049497293046</v>
      </c>
      <c r="BB45" s="95">
        <f t="shared" si="299"/>
        <v>6.6049382716049649</v>
      </c>
      <c r="BC45" s="95">
        <f t="shared" si="299"/>
        <v>-11.655781790242031</v>
      </c>
      <c r="BD45" s="95">
        <f t="shared" si="299"/>
        <v>3.9419404125286519</v>
      </c>
      <c r="BE45" s="95">
        <f t="shared" si="299"/>
        <v>1.9047619047619264</v>
      </c>
      <c r="BF45" s="95" t="str">
        <f t="shared" si="299"/>
        <v>-</v>
      </c>
      <c r="BG45" s="95" t="str">
        <f t="shared" si="299"/>
        <v>-</v>
      </c>
      <c r="BH45" s="95" t="str">
        <f t="shared" si="299"/>
        <v>-</v>
      </c>
      <c r="BJ45" s="143">
        <f t="shared" si="65"/>
        <v>-7.8898581621716177E-3</v>
      </c>
      <c r="BK45" s="143">
        <f t="shared" si="65"/>
        <v>2.7538083810180528E-2</v>
      </c>
      <c r="BL45" s="143">
        <f t="shared" si="65"/>
        <v>-4.7902717605356315E-3</v>
      </c>
      <c r="BM45" s="143">
        <f t="shared" si="65"/>
        <v>1.2992125984251909E-2</v>
      </c>
      <c r="BN45" s="143">
        <f t="shared" si="65"/>
        <v>-3.8144773639395599E-2</v>
      </c>
      <c r="BO45" s="143">
        <f t="shared" si="65"/>
        <v>1.0974124117293208E-2</v>
      </c>
      <c r="BP45" s="143">
        <f t="shared" si="65"/>
        <v>8.6339062373921114E-3</v>
      </c>
      <c r="BQ45" s="143">
        <f t="shared" si="65"/>
        <v>-1.4943309987489783E-2</v>
      </c>
      <c r="BR45" s="143">
        <f t="shared" si="65"/>
        <v>5.1867637006955949E-3</v>
      </c>
      <c r="BS45" s="143">
        <f t="shared" si="65"/>
        <v>2.5062656641604295E-3</v>
      </c>
      <c r="BT45" s="143" t="str">
        <f t="shared" si="68"/>
        <v>-</v>
      </c>
      <c r="BU45" s="143" t="str">
        <f t="shared" si="68"/>
        <v>-</v>
      </c>
      <c r="BV45" s="143" t="str">
        <f t="shared" si="68"/>
        <v>-</v>
      </c>
      <c r="BX45" s="112">
        <f t="shared" si="310"/>
        <v>1153.935557864088</v>
      </c>
      <c r="BY45" s="95">
        <f>IFERROR(SUMIFS('01. KE30'!$R:$R,'01. KE30'!$F:$F,'05. BC BH THEO SKU-USD'!$D45,'01. KE30'!$A:$A,'05. BC BH THEO SKU-USD'!BY$4)/CM45/'02. Tỷ giá'!B$5," -")</f>
        <v>1263.128104813693</v>
      </c>
      <c r="BZ45" s="95">
        <f>IFERROR(SUMIFS('01. KE30'!$R:$R,'01. KE30'!$F:$F,'05. BC BH THEO SKU-USD'!$D45,'01. KE30'!$A:$A,'05. BC BH THEO SKU-USD'!BZ$4)/CN45/'02. Tỷ giá'!C$5," -")</f>
        <v>1239.2480754771027</v>
      </c>
      <c r="CA45" s="95">
        <f>IFERROR(SUMIFS('01. KE30'!$R:$R,'01. KE30'!$F:$F,'05. BC BH THEO SKU-USD'!$D45,'01. KE30'!$A:$A,'05. BC BH THEO SKU-USD'!CA$4)/CO45/'02. Tỷ giá'!D$5," -")</f>
        <v>1154.3198639942734</v>
      </c>
      <c r="CB45" s="95">
        <f>IFERROR(SUMIFS('01. KE30'!$R:$R,'01. KE30'!$F:$F,'05. BC BH THEO SKU-USD'!$D45,'01. KE30'!$A:$A,'05. BC BH THEO SKU-USD'!CB$4)/CP45/'02. Tỷ giá'!E$5," -")</f>
        <v>1144.8862821009163</v>
      </c>
      <c r="CC45" s="95">
        <f>IFERROR(SUMIFS('01. KE30'!$R:$R,'01. KE30'!$F:$F,'05. BC BH THEO SKU-USD'!$D45,'01. KE30'!$A:$A,'05. BC BH THEO SKU-USD'!CC$4)/CQ45/'02. Tỷ giá'!F$5," -")</f>
        <v>1113.3477114532798</v>
      </c>
      <c r="CD45" s="95">
        <f>IFERROR(SUMIFS('01. KE30'!$R:$R,'01. KE30'!$F:$F,'05. BC BH THEO SKU-USD'!$D45,'01. KE30'!$A:$A,'05. BC BH THEO SKU-USD'!CD$4)/CR45/'02. Tỷ giá'!G$5," -")</f>
        <v>1117.8922208193042</v>
      </c>
      <c r="CE45" s="95">
        <f>IFERROR(SUMIFS('01. KE30'!$R:$R,'01. KE30'!$F:$F,'05. BC BH THEO SKU-USD'!$D45,'01. KE30'!$A:$A,'05. BC BH THEO SKU-USD'!CE$4)/CS45/'02. Tỷ giá'!H$5," -")</f>
        <v>1113.1677924073622</v>
      </c>
      <c r="CF45" s="95">
        <f>IFERROR(SUMIFS('01. KE30'!$R:$R,'01. KE30'!$F:$F,'05. BC BH THEO SKU-USD'!$D45,'01. KE30'!$A:$A,'05. BC BH THEO SKU-USD'!CF$4)/CT45/'02. Tỷ giá'!I$5," -")</f>
        <v>1106.7892909229809</v>
      </c>
      <c r="CG45" s="95">
        <f>IFERROR(SUMIFS('01. KE30'!$R:$R,'01. KE30'!$F:$F,'05. BC BH THEO SKU-USD'!$D45,'01. KE30'!$A:$A,'05. BC BH THEO SKU-USD'!CG$4)/CU45/'02. Tỷ giá'!J$5," -")</f>
        <v>1132.6406787878786</v>
      </c>
      <c r="CH45" s="95" t="str">
        <f>IFERROR(SUMIFS('01. KE30'!$R:$R,'01. KE30'!$F:$F,'05. BC BH THEO SKU-USD'!$D45,'01. KE30'!$A:$A,'05. BC BH THEO SKU-USD'!CH$4)/CV45/'02. Tỷ giá'!K$5," -")</f>
        <v xml:space="preserve"> -</v>
      </c>
      <c r="CI45" s="95" t="str">
        <f>IFERROR(SUMIFS('01. KE30'!$R:$R,'01. KE30'!$F:$F,'05. BC BH THEO SKU-USD'!$D45,'01. KE30'!$A:$A,'05. BC BH THEO SKU-USD'!CI$4)/CW45/'02. Tỷ giá'!L$5," -")</f>
        <v xml:space="preserve"> -</v>
      </c>
      <c r="CJ45" s="95" t="str">
        <f>IFERROR(SUMIFS('01. KE30'!$R:$R,'01. KE30'!$F:$F,'05. BC BH THEO SKU-USD'!$D45,'01. KE30'!$A:$A,'05. BC BH THEO SKU-USD'!CJ$4)/CX45/'02. Tỷ giá'!M$5," -")</f>
        <v xml:space="preserve"> -</v>
      </c>
      <c r="CL45" s="112">
        <f t="shared" si="281"/>
        <v>121</v>
      </c>
      <c r="CM45" s="114">
        <f>SUMIFS('01. KE30'!$I:$I,'01. KE30'!$F:$F,'05. BC BH THEO SKU-USD'!$D45,'01. KE30'!$A:$A,'05. BC BH THEO SKU-USD'!CM$4)/1000</f>
        <v>5.5</v>
      </c>
      <c r="CN45" s="114">
        <f>SUMIFS('01. KE30'!$I:$I,'01. KE30'!$F:$F,'05. BC BH THEO SKU-USD'!$D45,'01. KE30'!$A:$A,'05. BC BH THEO SKU-USD'!CN$4)/1000</f>
        <v>11</v>
      </c>
      <c r="CO45" s="114">
        <f>SUMIFS('01. KE30'!$I:$I,'01. KE30'!$F:$F,'05. BC BH THEO SKU-USD'!$D45,'01. KE30'!$A:$A,'05. BC BH THEO SKU-USD'!CO$4)/1000</f>
        <v>16.5</v>
      </c>
      <c r="CP45" s="114">
        <f>SUMIFS('01. KE30'!$I:$I,'01. KE30'!$F:$F,'05. BC BH THEO SKU-USD'!$D45,'01. KE30'!$A:$A,'05. BC BH THEO SKU-USD'!CP$4)/1000</f>
        <v>16.5</v>
      </c>
      <c r="CQ45" s="114">
        <f>SUMIFS('01. KE30'!$I:$I,'01. KE30'!$F:$F,'05. BC BH THEO SKU-USD'!$D45,'01. KE30'!$A:$A,'05. BC BH THEO SKU-USD'!CQ$4)/1000</f>
        <v>16.5</v>
      </c>
      <c r="CR45" s="114">
        <f>SUMIFS('01. KE30'!$I:$I,'01. KE30'!$F:$F,'05. BC BH THEO SKU-USD'!$D45,'01. KE30'!$A:$A,'05. BC BH THEO SKU-USD'!CR$4)/1000</f>
        <v>16.5</v>
      </c>
      <c r="CS45" s="114">
        <f>SUMIFS('01. KE30'!$I:$I,'01. KE30'!$F:$F,'05. BC BH THEO SKU-USD'!$D45,'01. KE30'!$A:$A,'05. BC BH THEO SKU-USD'!CS$4)/1000</f>
        <v>11</v>
      </c>
      <c r="CT45" s="114">
        <f>SUMIFS('01. KE30'!$I:$I,'01. KE30'!$F:$F,'05. BC BH THEO SKU-USD'!$D45,'01. KE30'!$A:$A,'05. BC BH THEO SKU-USD'!CT$4)/1000</f>
        <v>16.5</v>
      </c>
      <c r="CU45" s="114">
        <f>SUMIFS('01. KE30'!$I:$I,'01. KE30'!$F:$F,'05. BC BH THEO SKU-USD'!$D45,'01. KE30'!$A:$A,'05. BC BH THEO SKU-USD'!CU$4)/1000</f>
        <v>11</v>
      </c>
      <c r="CV45" s="114">
        <f>SUMIFS('01. KE30'!$I:$I,'01. KE30'!$F:$F,'05. BC BH THEO SKU-USD'!$D45,'01. KE30'!$A:$A,'05. BC BH THEO SKU-USD'!CV$4)/1000</f>
        <v>0</v>
      </c>
      <c r="CW45" s="114">
        <f>SUMIFS('01. KE30'!$I:$I,'01. KE30'!$F:$F,'05. BC BH THEO SKU-USD'!$D45,'01. KE30'!$A:$A,'05. BC BH THEO SKU-USD'!CW$4)/1000</f>
        <v>0</v>
      </c>
      <c r="CX45" s="114">
        <f>SUMIFS('01. KE30'!$I:$I,'01. KE30'!$F:$F,'05. BC BH THEO SKU-USD'!$D45,'01. KE30'!$A:$A,'05. BC BH THEO SKU-USD'!CX$4)/1000</f>
        <v>0</v>
      </c>
      <c r="CZ45" s="112">
        <f t="shared" si="311"/>
        <v>94835.808458278014</v>
      </c>
      <c r="DA45" s="54">
        <f t="shared" si="312"/>
        <v>4916.7697310317135</v>
      </c>
      <c r="DB45" s="54">
        <f t="shared" si="313"/>
        <v>8757.8456085072867</v>
      </c>
      <c r="DC45" s="54">
        <f t="shared" si="314"/>
        <v>13455.067913385827</v>
      </c>
      <c r="DD45" s="54">
        <f t="shared" si="315"/>
        <v>12775.842044134728</v>
      </c>
      <c r="DE45" s="54">
        <f t="shared" si="316"/>
        <v>12761.020881670534</v>
      </c>
      <c r="DF45" s="54">
        <f t="shared" si="317"/>
        <v>12731.481481481482</v>
      </c>
      <c r="DG45" s="54">
        <f t="shared" si="318"/>
        <v>8451.7864003073373</v>
      </c>
      <c r="DH45" s="54">
        <f t="shared" si="319"/>
        <v>12605.042016806723</v>
      </c>
      <c r="DI45" s="54">
        <f t="shared" si="320"/>
        <v>8380.9523809523816</v>
      </c>
      <c r="DJ45" s="54" t="str">
        <f t="shared" si="321"/>
        <v xml:space="preserve"> -</v>
      </c>
      <c r="DK45" s="54" t="str">
        <f t="shared" si="322"/>
        <v xml:space="preserve"> -</v>
      </c>
      <c r="DL45" s="54" t="str">
        <f t="shared" si="323"/>
        <v xml:space="preserve"> -</v>
      </c>
      <c r="DN45" s="112">
        <f t="shared" si="64"/>
        <v>-43461.401724890529</v>
      </c>
      <c r="DO45" s="114">
        <f>IFERROR(SUMIFS('01. KE30'!$X:$X,'01. KE30'!$F:$F,'05. BC BH THEO SKU-USD'!$D45,'01. KE30'!$A:$A,'05. BC BH THEO SKU-USD'!DO$4)-SUMIFS('01. KE30'!$AA:$AA,'01. KE30'!$F:$F,'05. BC BH THEO SKU-USD'!$D45,'01. KE30'!$A:$A,'05. BC BH THEO SKU-USD'!DO$4),"-")</f>
        <v>-2030.4348454435967</v>
      </c>
      <c r="DP45" s="114">
        <f>IFERROR(SUMIFS('01. KE30'!$X:$X,'01. KE30'!$F:$F,'05. BC BH THEO SKU-USD'!$D45,'01. KE30'!$A:$A,'05. BC BH THEO SKU-USD'!DP$4)-SUMIFS('01. KE30'!$AA:$AA,'01. KE30'!$F:$F,'05. BC BH THEO SKU-USD'!$D45,'01. KE30'!$A:$A,'05. BC BH THEO SKU-USD'!DP$4),"-")</f>
        <v>-4873.8832217408417</v>
      </c>
      <c r="DQ45" s="114">
        <f>IFERROR(SUMIFS('01. KE30'!$X:$X,'01. KE30'!$F:$F,'05. BC BH THEO SKU-USD'!$D45,'01. KE30'!$A:$A,'05. BC BH THEO SKU-USD'!DQ$4)-SUMIFS('01. KE30'!$AA:$AA,'01. KE30'!$F:$F,'05. BC BH THEO SKU-USD'!$D45,'01. KE30'!$A:$A,'05. BC BH THEO SKU-USD'!DQ$4),"-")</f>
        <v>-5591.2098425196837</v>
      </c>
      <c r="DR45" s="114">
        <f>IFERROR(SUMIFS('01. KE30'!$X:$X,'01. KE30'!$F:$F,'05. BC BH THEO SKU-USD'!$D45,'01. KE30'!$A:$A,'05. BC BH THEO SKU-USD'!DR$4)-SUMIFS('01. KE30'!$AA:$AA,'01. KE30'!$F:$F,'05. BC BH THEO SKU-USD'!$D45,'01. KE30'!$A:$A,'05. BC BH THEO SKU-USD'!DR$4),"-")</f>
        <v>-6114.7816105303937</v>
      </c>
      <c r="DS45" s="114">
        <f>IFERROR(SUMIFS('01. KE30'!$X:$X,'01. KE30'!$F:$F,'05. BC BH THEO SKU-USD'!$D45,'01. KE30'!$A:$A,'05. BC BH THEO SKU-USD'!DS$4)-SUMIFS('01. KE30'!$AA:$AA,'01. KE30'!$F:$F,'05. BC BH THEO SKU-USD'!$D45,'01. KE30'!$A:$A,'05. BC BH THEO SKU-USD'!DS$4),"-")</f>
        <v>-5609.2163573085854</v>
      </c>
      <c r="DT45" s="114">
        <f>IFERROR(SUMIFS('01. KE30'!$X:$X,'01. KE30'!$F:$F,'05. BC BH THEO SKU-USD'!$D45,'01. KE30'!$A:$A,'05. BC BH THEO SKU-USD'!DT$4)-SUMIFS('01. KE30'!$AA:$AA,'01. KE30'!$F:$F,'05. BC BH THEO SKU-USD'!$D45,'01. KE30'!$A:$A,'05. BC BH THEO SKU-USD'!DT$4),"-")</f>
        <v>-5713.7401620370365</v>
      </c>
      <c r="DU45" s="114">
        <f>IFERROR(SUMIFS('01. KE30'!$X:$X,'01. KE30'!$F:$F,'05. BC BH THEO SKU-USD'!$D45,'01. KE30'!$A:$A,'05. BC BH THEO SKU-USD'!DU$4)-SUMIFS('01. KE30'!$AA:$AA,'01. KE30'!$F:$F,'05. BC BH THEO SKU-USD'!$D45,'01. KE30'!$A:$A,'05. BC BH THEO SKU-USD'!DU$4),"-")</f>
        <v>-3793.0593161736469</v>
      </c>
      <c r="DV45" s="114">
        <f>IFERROR(SUMIFS('01. KE30'!$X:$X,'01. KE30'!$F:$F,'05. BC BH THEO SKU-USD'!$D45,'01. KE30'!$A:$A,'05. BC BH THEO SKU-USD'!DV$4)-SUMIFS('01. KE30'!$AA:$AA,'01. KE30'!$F:$F,'05. BC BH THEO SKU-USD'!$D45,'01. KE30'!$A:$A,'05. BC BH THEO SKU-USD'!DV$4),"-")</f>
        <v>-5656.9812834224595</v>
      </c>
      <c r="DW45" s="114">
        <f>IFERROR(SUMIFS('01. KE30'!$X:$X,'01. KE30'!$F:$F,'05. BC BH THEO SKU-USD'!$D45,'01. KE30'!$A:$A,'05. BC BH THEO SKU-USD'!DW$4)-SUMIFS('01. KE30'!$AA:$AA,'01. KE30'!$F:$F,'05. BC BH THEO SKU-USD'!$D45,'01. KE30'!$A:$A,'05. BC BH THEO SKU-USD'!DW$4),"-")</f>
        <v>-4078.0950857142852</v>
      </c>
      <c r="DX45" s="114">
        <f>IFERROR(SUMIFS('01. KE30'!$X:$X,'01. KE30'!$F:$F,'05. BC BH THEO SKU-USD'!$D45,'01. KE30'!$A:$A,'05. BC BH THEO SKU-USD'!DX$4)-SUMIFS('01. KE30'!$AA:$AA,'01. KE30'!$F:$F,'05. BC BH THEO SKU-USD'!$D45,'01. KE30'!$A:$A,'05. BC BH THEO SKU-USD'!DX$4),"-")</f>
        <v>0</v>
      </c>
      <c r="DY45" s="114">
        <f>IFERROR(SUMIFS('01. KE30'!$X:$X,'01. KE30'!$F:$F,'05. BC BH THEO SKU-USD'!$D45,'01. KE30'!$A:$A,'05. BC BH THEO SKU-USD'!DY$4)-SUMIFS('01. KE30'!$AA:$AA,'01. KE30'!$F:$F,'05. BC BH THEO SKU-USD'!$D45,'01. KE30'!$A:$A,'05. BC BH THEO SKU-USD'!DY$4),"-")</f>
        <v>0</v>
      </c>
      <c r="DZ45" s="114">
        <f>IFERROR(SUMIFS('01. KE30'!$X:$X,'01. KE30'!$F:$F,'05. BC BH THEO SKU-USD'!$D45,'01. KE30'!$A:$A,'05. BC BH THEO SKU-USD'!DZ$4)-SUMIFS('01. KE30'!$AA:$AA,'01. KE30'!$F:$F,'05. BC BH THEO SKU-USD'!$D45,'01. KE30'!$A:$A,'05. BC BH THEO SKU-USD'!DZ$4),"-")</f>
        <v>0</v>
      </c>
      <c r="EB45" s="571">
        <f t="shared" si="252"/>
        <v>-0.45828050007092946</v>
      </c>
      <c r="EC45" s="572">
        <f t="shared" si="253"/>
        <v>-0.41296114248115073</v>
      </c>
      <c r="ED45" s="572">
        <f t="shared" si="19"/>
        <v>-0.55651623008818496</v>
      </c>
      <c r="EE45" s="572">
        <f t="shared" si="20"/>
        <v>-0.41554675743830671</v>
      </c>
      <c r="EF45" s="572">
        <f t="shared" si="21"/>
        <v>-0.47862063333333349</v>
      </c>
      <c r="EG45" s="572">
        <f t="shared" si="22"/>
        <v>-0.43955859090909094</v>
      </c>
      <c r="EH45" s="572">
        <f t="shared" si="23"/>
        <v>-0.44878831818181814</v>
      </c>
      <c r="EI45" s="572">
        <f t="shared" si="24"/>
        <v>-0.44878788181818197</v>
      </c>
      <c r="EJ45" s="572">
        <f t="shared" si="25"/>
        <v>-0.44878718181818178</v>
      </c>
      <c r="EK45" s="572">
        <f t="shared" si="26"/>
        <v>-0.4865908909090908</v>
      </c>
      <c r="EL45" s="572">
        <f t="shared" si="27"/>
        <v>0</v>
      </c>
      <c r="EM45" s="572">
        <f t="shared" si="28"/>
        <v>0</v>
      </c>
      <c r="EN45" s="572">
        <f t="shared" si="29"/>
        <v>0</v>
      </c>
    </row>
    <row r="46" spans="1:144" ht="15.5" outlineLevel="1" x14ac:dyDescent="0.35">
      <c r="A46" s="10">
        <f t="shared" si="324"/>
        <v>5</v>
      </c>
      <c r="B46" s="10" t="s">
        <v>266</v>
      </c>
      <c r="C46" s="246" t="str">
        <f>VLOOKUP(D46,'Quy đổi'!A:C,3,0)</f>
        <v>rHDI3Y01</v>
      </c>
      <c r="D46" s="464" t="s">
        <v>210</v>
      </c>
      <c r="E46" s="7" t="s">
        <v>211</v>
      </c>
      <c r="F46" s="92">
        <f t="shared" si="295"/>
        <v>756.31744339271586</v>
      </c>
      <c r="G46" s="106" t="str">
        <f>IFERROR(SUMIFS('01. KE30'!$K:$K,'01. KE30'!$F:$F,'05. BC BH THEO SKU-USD'!$D46,'01. KE30'!$A:$A,'05. BC BH THEO SKU-USD'!G$4)/'05. BC BH THEO SKU-USD'!CM46/'02. Tỷ giá'!B$5,"-")</f>
        <v>-</v>
      </c>
      <c r="H46" s="106">
        <f>IFERROR(SUMIFS('01. KE30'!$K:$K,'01. KE30'!$F:$F,'05. BC BH THEO SKU-USD'!$D46,'01. KE30'!$A:$A,'05. BC BH THEO SKU-USD'!H$4)/'05. BC BH THEO SKU-USD'!CN46/'02. Tỷ giá'!C$5,"-")</f>
        <v>796.16778259157149</v>
      </c>
      <c r="I46" s="106">
        <f>IFERROR(SUMIFS('01. KE30'!$K:$K,'01. KE30'!$F:$F,'05. BC BH THEO SKU-USD'!$D46,'01. KE30'!$A:$A,'05. BC BH THEO SKU-USD'!I$4)/'05. BC BH THEO SKU-USD'!CO46/'02. Tỷ giá'!D$5,"-")</f>
        <v>815.45866141732279</v>
      </c>
      <c r="J46" s="106">
        <f>IFERROR(SUMIFS('01. KE30'!$K:$K,'01. KE30'!$F:$F,'05. BC BH THEO SKU-USD'!$D46,'01. KE30'!$A:$A,'05. BC BH THEO SKU-USD'!J$4)/'05. BC BH THEO SKU-USD'!CP46/'02. Tỷ giá'!E$5,"-")</f>
        <v>734.86184023745</v>
      </c>
      <c r="K46" s="106">
        <f>IFERROR(SUMIFS('01. KE30'!$K:$K,'01. KE30'!$F:$F,'05. BC BH THEO SKU-USD'!$D46,'01. KE30'!$A:$A,'05. BC BH THEO SKU-USD'!K$4)/'05. BC BH THEO SKU-USD'!CQ46/'02. Tỷ giá'!F$5,"-")</f>
        <v>773.3952049497293</v>
      </c>
      <c r="L46" s="106">
        <f>IFERROR(SUMIFS('01. KE30'!$K:$K,'01. KE30'!$F:$F,'05. BC BH THEO SKU-USD'!$D46,'01. KE30'!$A:$A,'05. BC BH THEO SKU-USD'!L$4)/'05. BC BH THEO SKU-USD'!CR46/'02. Tỷ giá'!G$5,"-")</f>
        <v>696.5877946127946</v>
      </c>
      <c r="M46" s="106">
        <f>IFERROR(SUMIFS('01. KE30'!$K:$K,'01. KE30'!$F:$F,'05. BC BH THEO SKU-USD'!$D46,'01. KE30'!$A:$A,'05. BC BH THEO SKU-USD'!M$4)/'05. BC BH THEO SKU-USD'!CS46/'02. Tỷ giá'!H$5,"-")</f>
        <v>768.34421820975797</v>
      </c>
      <c r="N46" s="106">
        <f>IFERROR(SUMIFS('01. KE30'!$K:$K,'01. KE30'!$F:$F,'05. BC BH THEO SKU-USD'!$D46,'01. KE30'!$A:$A,'05. BC BH THEO SKU-USD'!N$4)/'05. BC BH THEO SKU-USD'!CT46/'02. Tỷ giá'!I$5,"-")</f>
        <v>736.6695279764798</v>
      </c>
      <c r="O46" s="106">
        <f>IFERROR(SUMIFS('01. KE30'!$K:$K,'01. KE30'!$F:$F,'05. BC BH THEO SKU-USD'!$D46,'01. KE30'!$A:$A,'05. BC BH THEO SKU-USD'!O$4)/'05. BC BH THEO SKU-USD'!CU46/'02. Tỷ giá'!J$5,"-")</f>
        <v>729.05451714662138</v>
      </c>
      <c r="P46" s="106" t="str">
        <f>IFERROR(SUMIFS('01. KE30'!$K:$K,'01. KE30'!$F:$F,'05. BC BH THEO SKU-USD'!$D46,'01. KE30'!$A:$A,'05. BC BH THEO SKU-USD'!P$4)/'05. BC BH THEO SKU-USD'!CV46/'02. Tỷ giá'!K$5,"-")</f>
        <v>-</v>
      </c>
      <c r="Q46" s="106" t="str">
        <f>IFERROR(SUMIFS('01. KE30'!$K:$K,'01. KE30'!$F:$F,'05. BC BH THEO SKU-USD'!$D46,'01. KE30'!$A:$A,'05. BC BH THEO SKU-USD'!Q$4)/'05. BC BH THEO SKU-USD'!CW46/'02. Tỷ giá'!L$5,"-")</f>
        <v>-</v>
      </c>
      <c r="R46" s="106" t="str">
        <f>IFERROR(SUMIFS('01. KE30'!$K:$K,'01. KE30'!$F:$F,'05. BC BH THEO SKU-USD'!$D46,'01. KE30'!$A:$A,'05. BC BH THEO SKU-USD'!R$4)/'05. BC BH THEO SKU-USD'!CX46/'02. Tỷ giá'!M$5,"-")</f>
        <v>-</v>
      </c>
      <c r="T46" s="92">
        <f t="shared" si="309"/>
        <v>725.72942098550857</v>
      </c>
      <c r="U46" s="147" t="str">
        <f>IFERROR(SUMIFS('01. KE30'!$O:$O,'01. KE30'!$F:$F,'05. BC BH THEO SKU-USD'!$D46,'01. KE30'!$A:$A,'05. BC BH THEO SKU-USD'!G$4)/'05. BC BH THEO SKU-USD'!CM46/'02. Tỷ giá'!B$5,"-")</f>
        <v>-</v>
      </c>
      <c r="V46" s="147">
        <f>IFERROR(SUMIFS('01. KE30'!$O:$O,'01. KE30'!$F:$F,'05. BC BH THEO SKU-USD'!$D46,'01. KE30'!$A:$A,'05. BC BH THEO SKU-USD'!H$4)/'05. BC BH THEO SKU-USD'!CN46/'02. Tỷ giá'!C$5,"-")</f>
        <v>796.16778259157149</v>
      </c>
      <c r="W46" s="147">
        <f>IFERROR(SUMIFS('01. KE30'!$O:$O,'01. KE30'!$F:$F,'05. BC BH THEO SKU-USD'!$D46,'01. KE30'!$A:$A,'05. BC BH THEO SKU-USD'!I$4)/'05. BC BH THEO SKU-USD'!CO46/'02. Tỷ giá'!D$5,"-")</f>
        <v>815.45866141732279</v>
      </c>
      <c r="X46" s="147">
        <f>IFERROR(SUMIFS('01. KE30'!$O:$O,'01. KE30'!$F:$F,'05. BC BH THEO SKU-USD'!$D46,'01. KE30'!$A:$A,'05. BC BH THEO SKU-USD'!J$4)/'05. BC BH THEO SKU-USD'!CP46/'02. Tỷ giá'!E$5,"-")</f>
        <v>699.01492092169599</v>
      </c>
      <c r="Y46" s="147">
        <f>IFERROR(SUMIFS('01. KE30'!$O:$O,'01. KE30'!$F:$F,'05. BC BH THEO SKU-USD'!$D46,'01. KE30'!$A:$A,'05. BC BH THEO SKU-USD'!K$4)/'05. BC BH THEO SKU-USD'!CQ46/'02. Tỷ giá'!F$5,"-")</f>
        <v>773.3952049497293</v>
      </c>
      <c r="Z46" s="147">
        <f>IFERROR(SUMIFS('01. KE30'!$O:$O,'01. KE30'!$F:$F,'05. BC BH THEO SKU-USD'!$D46,'01. KE30'!$A:$A,'05. BC BH THEO SKU-USD'!L$4)/'05. BC BH THEO SKU-USD'!CR46/'02. Tỷ giá'!G$5,"-")</f>
        <v>696.5877946127946</v>
      </c>
      <c r="AA46" s="147">
        <f>IFERROR(SUMIFS('01. KE30'!$O:$O,'01. KE30'!$F:$F,'05. BC BH THEO SKU-USD'!$D46,'01. KE30'!$A:$A,'05. BC BH THEO SKU-USD'!M$4)/'05. BC BH THEO SKU-USD'!CS46/'02. Tỷ giá'!H$5,"-")</f>
        <v>768.34421820975797</v>
      </c>
      <c r="AB46" s="147">
        <f>IFERROR(SUMIFS('01. KE30'!$O:$O,'01. KE30'!$F:$F,'05. BC BH THEO SKU-USD'!$D46,'01. KE30'!$A:$A,'05. BC BH THEO SKU-USD'!N$4)/'05. BC BH THEO SKU-USD'!CT46/'02. Tỷ giá'!I$5,"-")</f>
        <v>707.52655765703889</v>
      </c>
      <c r="AC46" s="147">
        <f>IFERROR(SUMIFS('01. KE30'!$O:$O,'01. KE30'!$F:$F,'05. BC BH THEO SKU-USD'!$D46,'01. KE30'!$A:$A,'05. BC BH THEO SKU-USD'!O$4)/'05. BC BH THEO SKU-USD'!CU46/'02. Tỷ giá'!J$5,"-")</f>
        <v>694.27190845096936</v>
      </c>
      <c r="AD46" s="147" t="str">
        <f>IFERROR(SUMIFS('01. KE30'!$O:$O,'01. KE30'!$F:$F,'05. BC BH THEO SKU-USD'!$D46,'01. KE30'!$A:$A,'05. BC BH THEO SKU-USD'!P$4)/'05. BC BH THEO SKU-USD'!CV46/'02. Tỷ giá'!K$5,"-")</f>
        <v>-</v>
      </c>
      <c r="AE46" s="147" t="str">
        <f>IFERROR(SUMIFS('01. KE30'!$O:$O,'01. KE30'!$F:$F,'05. BC BH THEO SKU-USD'!$D46,'01. KE30'!$A:$A,'05. BC BH THEO SKU-USD'!Q$4)/'05. BC BH THEO SKU-USD'!CW46/'02. Tỷ giá'!L$5,"-")</f>
        <v>-</v>
      </c>
      <c r="AF46" s="147" t="str">
        <f>IFERROR(SUMIFS('01. KE30'!$O:$O,'01. KE30'!$F:$F,'05. BC BH THEO SKU-USD'!$D46,'01. KE30'!$A:$A,'05. BC BH THEO SKU-USD'!R$4)/'05. BC BH THEO SKU-USD'!CX46/'02. Tỷ giá'!M$5,"-")</f>
        <v>-</v>
      </c>
      <c r="AH46" s="55">
        <f t="shared" si="296"/>
        <v>790</v>
      </c>
      <c r="AI46" s="4">
        <v>870</v>
      </c>
      <c r="AJ46" s="4">
        <v>800</v>
      </c>
      <c r="AK46" s="4">
        <v>805</v>
      </c>
      <c r="AL46" s="4">
        <v>805</v>
      </c>
      <c r="AM46" s="4">
        <v>765</v>
      </c>
      <c r="AN46" s="4">
        <v>765</v>
      </c>
      <c r="AO46" s="4">
        <v>780</v>
      </c>
      <c r="AP46" s="4">
        <v>760</v>
      </c>
      <c r="AQ46" s="4">
        <v>760</v>
      </c>
      <c r="AR46" s="4"/>
      <c r="AS46" s="4"/>
      <c r="AT46" s="4"/>
      <c r="AV46" s="54">
        <f t="shared" si="299"/>
        <v>-64.270579014491432</v>
      </c>
      <c r="AW46" s="95" t="str">
        <f t="shared" si="299"/>
        <v>-</v>
      </c>
      <c r="AX46" s="95">
        <f t="shared" si="299"/>
        <v>-3.8322174084285052</v>
      </c>
      <c r="AY46" s="95">
        <f t="shared" si="299"/>
        <v>10.458661417322787</v>
      </c>
      <c r="AZ46" s="95">
        <f t="shared" si="299"/>
        <v>-105.98507907830401</v>
      </c>
      <c r="BA46" s="95">
        <f t="shared" si="299"/>
        <v>8.3952049497293046</v>
      </c>
      <c r="BB46" s="95">
        <f t="shared" si="299"/>
        <v>-68.412205387205404</v>
      </c>
      <c r="BC46" s="95">
        <f t="shared" si="299"/>
        <v>-11.655781790242031</v>
      </c>
      <c r="BD46" s="95">
        <f t="shared" si="299"/>
        <v>-52.473442342961107</v>
      </c>
      <c r="BE46" s="95">
        <f t="shared" si="299"/>
        <v>-65.728091549030637</v>
      </c>
      <c r="BF46" s="95" t="str">
        <f t="shared" si="299"/>
        <v>-</v>
      </c>
      <c r="BG46" s="95" t="str">
        <f t="shared" si="299"/>
        <v>-</v>
      </c>
      <c r="BH46" s="95" t="str">
        <f t="shared" si="299"/>
        <v>-</v>
      </c>
      <c r="BJ46" s="143">
        <f t="shared" si="65"/>
        <v>-8.1355163309482822E-2</v>
      </c>
      <c r="BK46" s="143" t="str">
        <f t="shared" si="65"/>
        <v>-</v>
      </c>
      <c r="BL46" s="143">
        <f t="shared" si="65"/>
        <v>-4.7902717605356315E-3</v>
      </c>
      <c r="BM46" s="143">
        <f t="shared" si="65"/>
        <v>1.2992125984251909E-2</v>
      </c>
      <c r="BN46" s="143">
        <f t="shared" si="65"/>
        <v>-0.13165848332708574</v>
      </c>
      <c r="BO46" s="143">
        <f t="shared" si="65"/>
        <v>1.0974124117293208E-2</v>
      </c>
      <c r="BP46" s="143">
        <f t="shared" si="65"/>
        <v>-8.9427719460399221E-2</v>
      </c>
      <c r="BQ46" s="143">
        <f t="shared" si="65"/>
        <v>-1.4943309987489783E-2</v>
      </c>
      <c r="BR46" s="143">
        <f t="shared" si="65"/>
        <v>-6.9044003082843558E-2</v>
      </c>
      <c r="BS46" s="143">
        <f t="shared" si="65"/>
        <v>-8.6484330985566626E-2</v>
      </c>
      <c r="BT46" s="143" t="str">
        <f t="shared" si="68"/>
        <v>-</v>
      </c>
      <c r="BU46" s="143" t="str">
        <f t="shared" si="68"/>
        <v>-</v>
      </c>
      <c r="BV46" s="143" t="str">
        <f t="shared" si="68"/>
        <v>-</v>
      </c>
      <c r="BX46" s="112">
        <f t="shared" si="310"/>
        <v>1308.9210121724702</v>
      </c>
      <c r="BY46" s="95" t="str">
        <f>IFERROR(SUMIFS('01. KE30'!$R:$R,'01. KE30'!$F:$F,'05. BC BH THEO SKU-USD'!$D46,'01. KE30'!$A:$A,'05. BC BH THEO SKU-USD'!BY$4)/CM46/'02. Tỷ giá'!B$5," -")</f>
        <v xml:space="preserve"> -</v>
      </c>
      <c r="BZ46" s="95">
        <f>IFERROR(SUMIFS('01. KE30'!$R:$R,'01. KE30'!$F:$F,'05. BC BH THEO SKU-USD'!$D46,'01. KE30'!$A:$A,'05. BC BH THEO SKU-USD'!BZ$4)/CN46/'02. Tỷ giá'!C$5," -")</f>
        <v>1583.9578359411364</v>
      </c>
      <c r="CA46" s="95">
        <f>IFERROR(SUMIFS('01. KE30'!$R:$R,'01. KE30'!$F:$F,'05. BC BH THEO SKU-USD'!$D46,'01. KE30'!$A:$A,'05. BC BH THEO SKU-USD'!CA$4)/CO46/'02. Tỷ giá'!D$5," -")</f>
        <v>1352.2708768790264</v>
      </c>
      <c r="CB46" s="95">
        <f>IFERROR(SUMIFS('01. KE30'!$R:$R,'01. KE30'!$F:$F,'05. BC BH THEO SKU-USD'!$D46,'01. KE30'!$A:$A,'05. BC BH THEO SKU-USD'!CB$4)/CP46/'02. Tỷ giá'!E$5," -")</f>
        <v>1329.7591947348044</v>
      </c>
      <c r="CC46" s="95">
        <f>IFERROR(SUMIFS('01. KE30'!$R:$R,'01. KE30'!$F:$F,'05. BC BH THEO SKU-USD'!$D46,'01. KE30'!$A:$A,'05. BC BH THEO SKU-USD'!CC$4)/CQ46/'02. Tỷ giá'!F$5," -")</f>
        <v>1328.2165858117132</v>
      </c>
      <c r="CD46" s="95">
        <f>IFERROR(SUMIFS('01. KE30'!$R:$R,'01. KE30'!$F:$F,'05. BC BH THEO SKU-USD'!$D46,'01. KE30'!$A:$A,'05. BC BH THEO SKU-USD'!CD$4)/CR46/'02. Tỷ giá'!G$5," -")</f>
        <v>1325.1421296296296</v>
      </c>
      <c r="CE46" s="95">
        <f>IFERROR(SUMIFS('01. KE30'!$R:$R,'01. KE30'!$F:$F,'05. BC BH THEO SKU-USD'!$D46,'01. KE30'!$A:$A,'05. BC BH THEO SKU-USD'!CE$4)/CS46/'02. Tỷ giá'!H$5," -")</f>
        <v>1167.9457758530368</v>
      </c>
      <c r="CF46" s="95">
        <f>IFERROR(SUMIFS('01. KE30'!$R:$R,'01. KE30'!$F:$F,'05. BC BH THEO SKU-USD'!$D46,'01. KE30'!$A:$A,'05. BC BH THEO SKU-USD'!CF$4)/CT46/'02. Tỷ giá'!I$5," -")</f>
        <v>1493.0734829836433</v>
      </c>
      <c r="CG46" s="95">
        <f>IFERROR(SUMIFS('01. KE30'!$R:$R,'01. KE30'!$F:$F,'05. BC BH THEO SKU-USD'!$D46,'01. KE30'!$A:$A,'05. BC BH THEO SKU-USD'!CG$4)/CU46/'02. Tỷ giá'!J$5," -")</f>
        <v>891.00221554677205</v>
      </c>
      <c r="CH46" s="95" t="str">
        <f>IFERROR(SUMIFS('01. KE30'!$R:$R,'01. KE30'!$F:$F,'05. BC BH THEO SKU-USD'!$D46,'01. KE30'!$A:$A,'05. BC BH THEO SKU-USD'!CH$4)/CV46/'02. Tỷ giá'!K$5," -")</f>
        <v xml:space="preserve"> -</v>
      </c>
      <c r="CI46" s="95" t="str">
        <f>IFERROR(SUMIFS('01. KE30'!$R:$R,'01. KE30'!$F:$F,'05. BC BH THEO SKU-USD'!$D46,'01. KE30'!$A:$A,'05. BC BH THEO SKU-USD'!CI$4)/CW46/'02. Tỷ giá'!L$5," -")</f>
        <v xml:space="preserve"> -</v>
      </c>
      <c r="CJ46" s="95" t="str">
        <f>IFERROR(SUMIFS('01. KE30'!$R:$R,'01. KE30'!$F:$F,'05. BC BH THEO SKU-USD'!$D46,'01. KE30'!$A:$A,'05. BC BH THEO SKU-USD'!CJ$4)/CX46/'02. Tỷ giá'!M$5," -")</f>
        <v xml:space="preserve"> -</v>
      </c>
      <c r="CL46" s="112">
        <f t="shared" si="281"/>
        <v>103.25</v>
      </c>
      <c r="CM46" s="114">
        <f>SUMIFS('01. KE30'!$I:$I,'01. KE30'!$F:$F,'05. BC BH THEO SKU-USD'!$D46,'01. KE30'!$A:$A,'05. BC BH THEO SKU-USD'!CM$4)/1000</f>
        <v>0</v>
      </c>
      <c r="CN46" s="114">
        <f>SUMIFS('01. KE30'!$I:$I,'01. KE30'!$F:$F,'05. BC BH THEO SKU-USD'!$D46,'01. KE30'!$A:$A,'05. BC BH THEO SKU-USD'!CN$4)/1000</f>
        <v>5.5</v>
      </c>
      <c r="CO46" s="114">
        <f>SUMIFS('01. KE30'!$I:$I,'01. KE30'!$F:$F,'05. BC BH THEO SKU-USD'!$D46,'01. KE30'!$A:$A,'05. BC BH THEO SKU-USD'!CO$4)/1000</f>
        <v>11</v>
      </c>
      <c r="CP46" s="114">
        <f>SUMIFS('01. KE30'!$I:$I,'01. KE30'!$F:$F,'05. BC BH THEO SKU-USD'!$D46,'01. KE30'!$A:$A,'05. BC BH THEO SKU-USD'!CP$4)/1000</f>
        <v>1.5</v>
      </c>
      <c r="CQ46" s="114">
        <f>SUMIFS('01. KE30'!$I:$I,'01. KE30'!$F:$F,'05. BC BH THEO SKU-USD'!$D46,'01. KE30'!$A:$A,'05. BC BH THEO SKU-USD'!CQ$4)/1000</f>
        <v>5.5</v>
      </c>
      <c r="CR46" s="114">
        <f>SUMIFS('01. KE30'!$I:$I,'01. KE30'!$F:$F,'05. BC BH THEO SKU-USD'!$D46,'01. KE30'!$A:$A,'05. BC BH THEO SKU-USD'!CR$4)/1000</f>
        <v>5.5</v>
      </c>
      <c r="CS46" s="114">
        <f>SUMIFS('01. KE30'!$I:$I,'01. KE30'!$F:$F,'05. BC BH THEO SKU-USD'!$D46,'01. KE30'!$A:$A,'05. BC BH THEO SKU-USD'!CS$4)/1000</f>
        <v>5.5</v>
      </c>
      <c r="CT46" s="114">
        <f>SUMIFS('01. KE30'!$I:$I,'01. KE30'!$F:$F,'05. BC BH THEO SKU-USD'!$D46,'01. KE30'!$A:$A,'05. BC BH THEO SKU-USD'!CT$4)/1000</f>
        <v>37.125</v>
      </c>
      <c r="CU46" s="114">
        <f>SUMIFS('01. KE30'!$I:$I,'01. KE30'!$F:$F,'05. BC BH THEO SKU-USD'!$D46,'01. KE30'!$A:$A,'05. BC BH THEO SKU-USD'!CU$4)/1000</f>
        <v>31.625</v>
      </c>
      <c r="CV46" s="114">
        <f>SUMIFS('01. KE30'!$I:$I,'01. KE30'!$F:$F,'05. BC BH THEO SKU-USD'!$D46,'01. KE30'!$A:$A,'05. BC BH THEO SKU-USD'!CV$4)/1000</f>
        <v>0</v>
      </c>
      <c r="CW46" s="114">
        <f>SUMIFS('01. KE30'!$I:$I,'01. KE30'!$F:$F,'05. BC BH THEO SKU-USD'!$D46,'01. KE30'!$A:$A,'05. BC BH THEO SKU-USD'!CW$4)/1000</f>
        <v>0</v>
      </c>
      <c r="CX46" s="114">
        <f>SUMIFS('01. KE30'!$I:$I,'01. KE30'!$F:$F,'05. BC BH THEO SKU-USD'!$D46,'01. KE30'!$A:$A,'05. BC BH THEO SKU-USD'!CX$4)/1000</f>
        <v>0</v>
      </c>
      <c r="CZ46" s="112">
        <f t="shared" si="311"/>
        <v>77167.265868836635</v>
      </c>
      <c r="DA46" s="54" t="str">
        <f t="shared" si="312"/>
        <v xml:space="preserve"> -</v>
      </c>
      <c r="DB46" s="54">
        <f t="shared" si="313"/>
        <v>4378.9228042536433</v>
      </c>
      <c r="DC46" s="54">
        <f t="shared" si="314"/>
        <v>8970.0452755905499</v>
      </c>
      <c r="DD46" s="54">
        <f t="shared" si="315"/>
        <v>1102.292760356175</v>
      </c>
      <c r="DE46" s="54">
        <f t="shared" si="316"/>
        <v>4253.6736272235112</v>
      </c>
      <c r="DF46" s="54">
        <f t="shared" si="317"/>
        <v>3831.2328703703702</v>
      </c>
      <c r="DG46" s="54">
        <f t="shared" si="318"/>
        <v>4225.8932001536687</v>
      </c>
      <c r="DH46" s="54">
        <f t="shared" si="319"/>
        <v>27348.856226126813</v>
      </c>
      <c r="DI46" s="54">
        <f t="shared" si="320"/>
        <v>23056.349104761903</v>
      </c>
      <c r="DJ46" s="54" t="str">
        <f t="shared" si="321"/>
        <v xml:space="preserve"> -</v>
      </c>
      <c r="DK46" s="54" t="str">
        <f t="shared" si="322"/>
        <v xml:space="preserve"> -</v>
      </c>
      <c r="DL46" s="54" t="str">
        <f t="shared" si="323"/>
        <v xml:space="preserve"> -</v>
      </c>
      <c r="DN46" s="112">
        <f t="shared" si="64"/>
        <v>-55275.296643247508</v>
      </c>
      <c r="DO46" s="114">
        <f>IFERROR(SUMIFS('01. KE30'!$X:$X,'01. KE30'!$F:$F,'05. BC BH THEO SKU-USD'!$D46,'01. KE30'!$A:$A,'05. BC BH THEO SKU-USD'!DO$4)-SUMIFS('01. KE30'!$AA:$AA,'01. KE30'!$F:$F,'05. BC BH THEO SKU-USD'!$D46,'01. KE30'!$A:$A,'05. BC BH THEO SKU-USD'!DO$4),"-")</f>
        <v>0</v>
      </c>
      <c r="DP46" s="114">
        <f>IFERROR(SUMIFS('01. KE30'!$X:$X,'01. KE30'!$F:$F,'05. BC BH THEO SKU-USD'!$D46,'01. KE30'!$A:$A,'05. BC BH THEO SKU-USD'!DP$4)-SUMIFS('01. KE30'!$AA:$AA,'01. KE30'!$F:$F,'05. BC BH THEO SKU-USD'!$D46,'01. KE30'!$A:$A,'05. BC BH THEO SKU-USD'!DP$4),"-")</f>
        <v>-4332.8452934226079</v>
      </c>
      <c r="DQ46" s="114">
        <f>IFERROR(SUMIFS('01. KE30'!$X:$X,'01. KE30'!$F:$F,'05. BC BH THEO SKU-USD'!$D46,'01. KE30'!$A:$A,'05. BC BH THEO SKU-USD'!DQ$4)-SUMIFS('01. KE30'!$AA:$AA,'01. KE30'!$F:$F,'05. BC BH THEO SKU-USD'!$D46,'01. KE30'!$A:$A,'05. BC BH THEO SKU-USD'!DQ$4),"-")</f>
        <v>-5904.9343700787394</v>
      </c>
      <c r="DR46" s="114">
        <f>IFERROR(SUMIFS('01. KE30'!$X:$X,'01. KE30'!$F:$F,'05. BC BH THEO SKU-USD'!$D46,'01. KE30'!$A:$A,'05. BC BH THEO SKU-USD'!DR$4)-SUMIFS('01. KE30'!$AA:$AA,'01. KE30'!$F:$F,'05. BC BH THEO SKU-USD'!$D46,'01. KE30'!$A:$A,'05. BC BH THEO SKU-USD'!DR$4),"-")</f>
        <v>-946.11641071966278</v>
      </c>
      <c r="DS46" s="114">
        <f>IFERROR(SUMIFS('01. KE30'!$X:$X,'01. KE30'!$F:$F,'05. BC BH THEO SKU-USD'!$D46,'01. KE30'!$A:$A,'05. BC BH THEO SKU-USD'!DS$4)-SUMIFS('01. KE30'!$AA:$AA,'01. KE30'!$F:$F,'05. BC BH THEO SKU-USD'!$D46,'01. KE30'!$A:$A,'05. BC BH THEO SKU-USD'!DS$4),"-")</f>
        <v>-3051.5175947409125</v>
      </c>
      <c r="DT46" s="114">
        <f>IFERROR(SUMIFS('01. KE30'!$X:$X,'01. KE30'!$F:$F,'05. BC BH THEO SKU-USD'!$D46,'01. KE30'!$A:$A,'05. BC BH THEO SKU-USD'!DT$4)-SUMIFS('01. KE30'!$AA:$AA,'01. KE30'!$F:$F,'05. BC BH THEO SKU-USD'!$D46,'01. KE30'!$A:$A,'05. BC BH THEO SKU-USD'!DT$4),"-")</f>
        <v>-3457.0488425925928</v>
      </c>
      <c r="DU46" s="114">
        <f>IFERROR(SUMIFS('01. KE30'!$X:$X,'01. KE30'!$F:$F,'05. BC BH THEO SKU-USD'!$D46,'01. KE30'!$A:$A,'05. BC BH THEO SKU-USD'!DU$4)-SUMIFS('01. KE30'!$AA:$AA,'01. KE30'!$F:$F,'05. BC BH THEO SKU-USD'!$D46,'01. KE30'!$A:$A,'05. BC BH THEO SKU-USD'!DU$4),"-")</f>
        <v>-2197.8085670380333</v>
      </c>
      <c r="DV46" s="114">
        <f>IFERROR(SUMIFS('01. KE30'!$X:$X,'01. KE30'!$F:$F,'05. BC BH THEO SKU-USD'!$D46,'01. KE30'!$A:$A,'05. BC BH THEO SKU-USD'!DV$4)-SUMIFS('01. KE30'!$AA:$AA,'01. KE30'!$F:$F,'05. BC BH THEO SKU-USD'!$D46,'01. KE30'!$A:$A,'05. BC BH THEO SKU-USD'!DV$4),"-")</f>
        <v>-29163.429602750188</v>
      </c>
      <c r="DW46" s="114">
        <f>IFERROR(SUMIFS('01. KE30'!$X:$X,'01. KE30'!$F:$F,'05. BC BH THEO SKU-USD'!$D46,'01. KE30'!$A:$A,'05. BC BH THEO SKU-USD'!DW$4)-SUMIFS('01. KE30'!$AA:$AA,'01. KE30'!$F:$F,'05. BC BH THEO SKU-USD'!$D46,'01. KE30'!$A:$A,'05. BC BH THEO SKU-USD'!DW$4),"-")</f>
        <v>-6221.5959619047608</v>
      </c>
      <c r="DX46" s="114">
        <f>IFERROR(SUMIFS('01. KE30'!$X:$X,'01. KE30'!$F:$F,'05. BC BH THEO SKU-USD'!$D46,'01. KE30'!$A:$A,'05. BC BH THEO SKU-USD'!DX$4)-SUMIFS('01. KE30'!$AA:$AA,'01. KE30'!$F:$F,'05. BC BH THEO SKU-USD'!$D46,'01. KE30'!$A:$A,'05. BC BH THEO SKU-USD'!DX$4),"-")</f>
        <v>0</v>
      </c>
      <c r="DY46" s="114">
        <f>IFERROR(SUMIFS('01. KE30'!$X:$X,'01. KE30'!$F:$F,'05. BC BH THEO SKU-USD'!$D46,'01. KE30'!$A:$A,'05. BC BH THEO SKU-USD'!DY$4)-SUMIFS('01. KE30'!$AA:$AA,'01. KE30'!$F:$F,'05. BC BH THEO SKU-USD'!$D46,'01. KE30'!$A:$A,'05. BC BH THEO SKU-USD'!DY$4),"-")</f>
        <v>0</v>
      </c>
      <c r="DZ46" s="114">
        <f>IFERROR(SUMIFS('01. KE30'!$X:$X,'01. KE30'!$F:$F,'05. BC BH THEO SKU-USD'!$D46,'01. KE30'!$A:$A,'05. BC BH THEO SKU-USD'!DZ$4)-SUMIFS('01. KE30'!$AA:$AA,'01. KE30'!$F:$F,'05. BC BH THEO SKU-USD'!$D46,'01. KE30'!$A:$A,'05. BC BH THEO SKU-USD'!DZ$4),"-")</f>
        <v>0</v>
      </c>
      <c r="EB46" s="571">
        <f t="shared" si="252"/>
        <v>-0.71630497751728661</v>
      </c>
      <c r="EC46" s="573">
        <f t="shared" si="253"/>
        <v>0</v>
      </c>
      <c r="ED46" s="572">
        <f t="shared" si="19"/>
        <v>-0.98947743248949804</v>
      </c>
      <c r="EE46" s="572">
        <f t="shared" si="20"/>
        <v>-0.65829482334357381</v>
      </c>
      <c r="EF46" s="572">
        <f t="shared" si="21"/>
        <v>-0.85831681450393615</v>
      </c>
      <c r="EG46" s="572">
        <f t="shared" si="22"/>
        <v>-0.71738404545454548</v>
      </c>
      <c r="EH46" s="572">
        <f t="shared" si="23"/>
        <v>-0.90233325917836871</v>
      </c>
      <c r="EI46" s="572">
        <f t="shared" si="24"/>
        <v>-0.52008142727272733</v>
      </c>
      <c r="EJ46" s="572">
        <f t="shared" si="25"/>
        <v>-1.0663491504587999</v>
      </c>
      <c r="EK46" s="572">
        <f t="shared" si="26"/>
        <v>-0.26984306724518647</v>
      </c>
      <c r="EL46" s="572">
        <f t="shared" si="27"/>
        <v>0</v>
      </c>
      <c r="EM46" s="572">
        <f t="shared" si="28"/>
        <v>0</v>
      </c>
      <c r="EN46" s="572">
        <f t="shared" si="29"/>
        <v>0</v>
      </c>
    </row>
    <row r="47" spans="1:144" ht="15.5" outlineLevel="1" x14ac:dyDescent="0.35">
      <c r="A47" s="10">
        <f t="shared" si="324"/>
        <v>6</v>
      </c>
      <c r="B47" s="10" t="s">
        <v>266</v>
      </c>
      <c r="C47" s="246" t="str">
        <f>VLOOKUP(D47,'Quy đổi'!A:C,3,0)</f>
        <v>rHDI7DL02</v>
      </c>
      <c r="D47" s="464" t="s">
        <v>540</v>
      </c>
      <c r="E47" s="7" t="s">
        <v>541</v>
      </c>
      <c r="F47" s="92">
        <f t="shared" ref="F47:F48" si="325">IFERROR(AVERAGE(G47:R47),"-")</f>
        <v>1198.1094919259551</v>
      </c>
      <c r="G47" s="106" t="str">
        <f>IFERROR(SUMIFS('01. KE30'!$K:$K,'01. KE30'!$F:$F,'05. BC BH THEO SKU-USD'!$D47,'01. KE30'!$A:$A,'05. BC BH THEO SKU-USD'!G$4)/'05. BC BH THEO SKU-USD'!CM47/'02. Tỷ giá'!B$5,"-")</f>
        <v>-</v>
      </c>
      <c r="H47" s="106">
        <f>IFERROR(SUMIFS('01. KE30'!$K:$K,'01. KE30'!$F:$F,'05. BC BH THEO SKU-USD'!$D47,'01. KE30'!$A:$A,'05. BC BH THEO SKU-USD'!H$4)/'05. BC BH THEO SKU-USD'!CN47/'02. Tỷ giá'!C$5,"-")</f>
        <v>1198.1094919259551</v>
      </c>
      <c r="I47" s="106" t="str">
        <f>IFERROR(SUMIFS('01. KE30'!$K:$K,'01. KE30'!$F:$F,'05. BC BH THEO SKU-USD'!$D47,'01. KE30'!$A:$A,'05. BC BH THEO SKU-USD'!I$4)/'05. BC BH THEO SKU-USD'!CO47/'02. Tỷ giá'!D$5,"-")</f>
        <v>-</v>
      </c>
      <c r="J47" s="106" t="str">
        <f>IFERROR(SUMIFS('01. KE30'!$K:$K,'01. KE30'!$F:$F,'05. BC BH THEO SKU-USD'!$D47,'01. KE30'!$A:$A,'05. BC BH THEO SKU-USD'!J$4)/'05. BC BH THEO SKU-USD'!CP47/'02. Tỷ giá'!E$5,"-")</f>
        <v>-</v>
      </c>
      <c r="K47" s="106" t="str">
        <f>IFERROR(SUMIFS('01. KE30'!$K:$K,'01. KE30'!$F:$F,'05. BC BH THEO SKU-USD'!$D47,'01. KE30'!$A:$A,'05. BC BH THEO SKU-USD'!K$4)/'05. BC BH THEO SKU-USD'!CQ47/'02. Tỷ giá'!F$5,"-")</f>
        <v>-</v>
      </c>
      <c r="L47" s="106" t="str">
        <f>IFERROR(SUMIFS('01. KE30'!$K:$K,'01. KE30'!$F:$F,'05. BC BH THEO SKU-USD'!$D47,'01. KE30'!$A:$A,'05. BC BH THEO SKU-USD'!L$4)/'05. BC BH THEO SKU-USD'!CR47/'02. Tỷ giá'!G$5,"-")</f>
        <v>-</v>
      </c>
      <c r="M47" s="106" t="str">
        <f>IFERROR(SUMIFS('01. KE30'!$K:$K,'01. KE30'!$F:$F,'05. BC BH THEO SKU-USD'!$D47,'01. KE30'!$A:$A,'05. BC BH THEO SKU-USD'!M$4)/'05. BC BH THEO SKU-USD'!CS47/'02. Tỷ giá'!H$5,"-")</f>
        <v>-</v>
      </c>
      <c r="N47" s="106" t="str">
        <f>IFERROR(SUMIFS('01. KE30'!$K:$K,'01. KE30'!$F:$F,'05. BC BH THEO SKU-USD'!$D47,'01. KE30'!$A:$A,'05. BC BH THEO SKU-USD'!N$4)/'05. BC BH THEO SKU-USD'!CT47/'02. Tỷ giá'!I$5,"-")</f>
        <v>-</v>
      </c>
      <c r="O47" s="106" t="str">
        <f>IFERROR(SUMIFS('01. KE30'!$K:$K,'01. KE30'!$F:$F,'05. BC BH THEO SKU-USD'!$D47,'01. KE30'!$A:$A,'05. BC BH THEO SKU-USD'!O$4)/'05. BC BH THEO SKU-USD'!CU47/'02. Tỷ giá'!J$5,"-")</f>
        <v>-</v>
      </c>
      <c r="P47" s="106" t="str">
        <f>IFERROR(SUMIFS('01. KE30'!$K:$K,'01. KE30'!$F:$F,'05. BC BH THEO SKU-USD'!$D47,'01. KE30'!$A:$A,'05. BC BH THEO SKU-USD'!P$4)/'05. BC BH THEO SKU-USD'!CV47/'02. Tỷ giá'!K$5,"-")</f>
        <v>-</v>
      </c>
      <c r="Q47" s="106" t="str">
        <f>IFERROR(SUMIFS('01. KE30'!$K:$K,'01. KE30'!$F:$F,'05. BC BH THEO SKU-USD'!$D47,'01. KE30'!$A:$A,'05. BC BH THEO SKU-USD'!Q$4)/'05. BC BH THEO SKU-USD'!CW47/'02. Tỷ giá'!L$5,"-")</f>
        <v>-</v>
      </c>
      <c r="R47" s="106" t="str">
        <f>IFERROR(SUMIFS('01. KE30'!$K:$K,'01. KE30'!$F:$F,'05. BC BH THEO SKU-USD'!$D47,'01. KE30'!$A:$A,'05. BC BH THEO SKU-USD'!R$4)/'05. BC BH THEO SKU-USD'!CX47/'02. Tỷ giá'!M$5,"-")</f>
        <v>-</v>
      </c>
      <c r="T47" s="92">
        <f t="shared" si="309"/>
        <v>1175.0248129184718</v>
      </c>
      <c r="U47" s="147" t="str">
        <f>IFERROR(SUMIFS('01. KE30'!$O:$O,'01. KE30'!$F:$F,'05. BC BH THEO SKU-USD'!$D47,'01. KE30'!$A:$A,'05. BC BH THEO SKU-USD'!G$4)/'05. BC BH THEO SKU-USD'!CM47/'02. Tỷ giá'!B$5,"-")</f>
        <v>-</v>
      </c>
      <c r="V47" s="147">
        <f>IFERROR(SUMIFS('01. KE30'!$O:$O,'01. KE30'!$F:$F,'05. BC BH THEO SKU-USD'!$D47,'01. KE30'!$A:$A,'05. BC BH THEO SKU-USD'!H$4)/'05. BC BH THEO SKU-USD'!CN47/'02. Tỷ giá'!C$5,"-")</f>
        <v>1175.0248129184718</v>
      </c>
      <c r="W47" s="147" t="str">
        <f>IFERROR(SUMIFS('01. KE30'!$O:$O,'01. KE30'!$F:$F,'05. BC BH THEO SKU-USD'!$D47,'01. KE30'!$A:$A,'05. BC BH THEO SKU-USD'!I$4)/'05. BC BH THEO SKU-USD'!CO47/'02. Tỷ giá'!D$5,"-")</f>
        <v>-</v>
      </c>
      <c r="X47" s="147" t="str">
        <f>IFERROR(SUMIFS('01. KE30'!$O:$O,'01. KE30'!$F:$F,'05. BC BH THEO SKU-USD'!$D47,'01. KE30'!$A:$A,'05. BC BH THEO SKU-USD'!J$4)/'05. BC BH THEO SKU-USD'!CP47/'02. Tỷ giá'!E$5,"-")</f>
        <v>-</v>
      </c>
      <c r="Y47" s="147" t="str">
        <f>IFERROR(SUMIFS('01. KE30'!$O:$O,'01. KE30'!$F:$F,'05. BC BH THEO SKU-USD'!$D47,'01. KE30'!$A:$A,'05. BC BH THEO SKU-USD'!K$4)/'05. BC BH THEO SKU-USD'!CQ47/'02. Tỷ giá'!F$5,"-")</f>
        <v>-</v>
      </c>
      <c r="Z47" s="147" t="str">
        <f>IFERROR(SUMIFS('01. KE30'!$O:$O,'01. KE30'!$F:$F,'05. BC BH THEO SKU-USD'!$D47,'01. KE30'!$A:$A,'05. BC BH THEO SKU-USD'!L$4)/'05. BC BH THEO SKU-USD'!CR47/'02. Tỷ giá'!G$5,"-")</f>
        <v>-</v>
      </c>
      <c r="AA47" s="147" t="str">
        <f>IFERROR(SUMIFS('01. KE30'!$O:$O,'01. KE30'!$F:$F,'05. BC BH THEO SKU-USD'!$D47,'01. KE30'!$A:$A,'05. BC BH THEO SKU-USD'!M$4)/'05. BC BH THEO SKU-USD'!CS47/'02. Tỷ giá'!H$5,"-")</f>
        <v>-</v>
      </c>
      <c r="AB47" s="147" t="str">
        <f>IFERROR(SUMIFS('01. KE30'!$O:$O,'01. KE30'!$F:$F,'05. BC BH THEO SKU-USD'!$D47,'01. KE30'!$A:$A,'05. BC BH THEO SKU-USD'!N$4)/'05. BC BH THEO SKU-USD'!CT47/'02. Tỷ giá'!I$5,"-")</f>
        <v>-</v>
      </c>
      <c r="AC47" s="147" t="str">
        <f>IFERROR(SUMIFS('01. KE30'!$O:$O,'01. KE30'!$F:$F,'05. BC BH THEO SKU-USD'!$D47,'01. KE30'!$A:$A,'05. BC BH THEO SKU-USD'!O$4)/'05. BC BH THEO SKU-USD'!CU47/'02. Tỷ giá'!J$5,"-")</f>
        <v>-</v>
      </c>
      <c r="AD47" s="147" t="str">
        <f>IFERROR(SUMIFS('01. KE30'!$O:$O,'01. KE30'!$F:$F,'05. BC BH THEO SKU-USD'!$D47,'01. KE30'!$A:$A,'05. BC BH THEO SKU-USD'!P$4)/'05. BC BH THEO SKU-USD'!CV47/'02. Tỷ giá'!K$5,"-")</f>
        <v>-</v>
      </c>
      <c r="AE47" s="147" t="str">
        <f>IFERROR(SUMIFS('01. KE30'!$O:$O,'01. KE30'!$F:$F,'05. BC BH THEO SKU-USD'!$D47,'01. KE30'!$A:$A,'05. BC BH THEO SKU-USD'!Q$4)/'05. BC BH THEO SKU-USD'!CW47/'02. Tỷ giá'!L$5,"-")</f>
        <v>-</v>
      </c>
      <c r="AF47" s="147" t="str">
        <f>IFERROR(SUMIFS('01. KE30'!$O:$O,'01. KE30'!$F:$F,'05. BC BH THEO SKU-USD'!$D47,'01. KE30'!$A:$A,'05. BC BH THEO SKU-USD'!R$4)/'05. BC BH THEO SKU-USD'!CX47/'02. Tỷ giá'!M$5,"-")</f>
        <v>-</v>
      </c>
      <c r="AH47" s="55">
        <f t="shared" ref="AH47:AH48" si="326">IFERROR(AVERAGE(AI47:AT47),"-")</f>
        <v>790</v>
      </c>
      <c r="AI47" s="4">
        <v>870</v>
      </c>
      <c r="AJ47" s="4">
        <v>800</v>
      </c>
      <c r="AK47" s="4">
        <v>805</v>
      </c>
      <c r="AL47" s="4">
        <v>805</v>
      </c>
      <c r="AM47" s="4">
        <v>765</v>
      </c>
      <c r="AN47" s="4">
        <v>765</v>
      </c>
      <c r="AO47" s="4">
        <v>780</v>
      </c>
      <c r="AP47" s="4">
        <v>760</v>
      </c>
      <c r="AQ47" s="4">
        <v>760</v>
      </c>
      <c r="AR47" s="4"/>
      <c r="AS47" s="4"/>
      <c r="AT47" s="4"/>
      <c r="AV47" s="54">
        <f t="shared" ref="AV47:AV48" si="327">IF(F47&lt;&gt;"-",T47-AH47,"-")</f>
        <v>385.02481291847175</v>
      </c>
      <c r="AW47" s="95" t="str">
        <f t="shared" ref="AW47:AW48" si="328">IF(G47&lt;&gt;"-",U47-AI47,"-")</f>
        <v>-</v>
      </c>
      <c r="AX47" s="95">
        <f t="shared" ref="AX47:AX48" si="329">IF(H47&lt;&gt;"-",V47-AJ47,"-")</f>
        <v>375.02481291847175</v>
      </c>
      <c r="AY47" s="95" t="str">
        <f t="shared" ref="AY47:AY48" si="330">IF(I47&lt;&gt;"-",W47-AK47,"-")</f>
        <v>-</v>
      </c>
      <c r="AZ47" s="95" t="str">
        <f t="shared" ref="AZ47:AZ48" si="331">IF(J47&lt;&gt;"-",X47-AL47,"-")</f>
        <v>-</v>
      </c>
      <c r="BA47" s="95" t="str">
        <f t="shared" ref="BA47:BA48" si="332">IF(K47&lt;&gt;"-",Y47-AM47,"-")</f>
        <v>-</v>
      </c>
      <c r="BB47" s="95" t="str">
        <f t="shared" ref="BB47:BB48" si="333">IF(L47&lt;&gt;"-",Z47-AN47,"-")</f>
        <v>-</v>
      </c>
      <c r="BC47" s="95" t="str">
        <f t="shared" ref="BC47:BC48" si="334">IF(M47&lt;&gt;"-",AA47-AO47,"-")</f>
        <v>-</v>
      </c>
      <c r="BD47" s="95" t="str">
        <f t="shared" ref="BD47:BD48" si="335">IF(N47&lt;&gt;"-",AB47-AP47,"-")</f>
        <v>-</v>
      </c>
      <c r="BE47" s="95" t="str">
        <f t="shared" ref="BE47:BE48" si="336">IF(O47&lt;&gt;"-",AC47-AQ47,"-")</f>
        <v>-</v>
      </c>
      <c r="BF47" s="95" t="str">
        <f t="shared" ref="BF47:BF48" si="337">IF(P47&lt;&gt;"-",AD47-AR47,"-")</f>
        <v>-</v>
      </c>
      <c r="BG47" s="95" t="str">
        <f t="shared" ref="BG47:BG48" si="338">IF(Q47&lt;&gt;"-",AE47-AS47,"-")</f>
        <v>-</v>
      </c>
      <c r="BH47" s="95" t="str">
        <f t="shared" ref="BH47:BH48" si="339">IF(R47&lt;&gt;"-",AF47-AT47,"-")</f>
        <v>-</v>
      </c>
      <c r="BJ47" s="143">
        <f t="shared" ref="BJ47:BJ48" si="340">IFERROR(IF(AV47&lt;&gt;"-",AV47/AH47,"-"),"-")</f>
        <v>0.48737318090945791</v>
      </c>
      <c r="BK47" s="143" t="str">
        <f t="shared" ref="BK47:BK48" si="341">IFERROR(IF(AW47&lt;&gt;"-",AW47/AI47,"-"),"-")</f>
        <v>-</v>
      </c>
      <c r="BL47" s="143">
        <f t="shared" ref="BL47:BL48" si="342">IFERROR(IF(AX47&lt;&gt;"-",AX47/AJ47,"-"),"-")</f>
        <v>0.4687810161480897</v>
      </c>
      <c r="BM47" s="143" t="str">
        <f t="shared" ref="BM47:BM48" si="343">IFERROR(IF(AY47&lt;&gt;"-",AY47/AK47,"-"),"-")</f>
        <v>-</v>
      </c>
      <c r="BN47" s="143" t="str">
        <f t="shared" ref="BN47:BN48" si="344">IFERROR(IF(AZ47&lt;&gt;"-",AZ47/AL47,"-"),"-")</f>
        <v>-</v>
      </c>
      <c r="BO47" s="143" t="str">
        <f t="shared" ref="BO47:BO48" si="345">IFERROR(IF(BA47&lt;&gt;"-",BA47/AM47,"-"),"-")</f>
        <v>-</v>
      </c>
      <c r="BP47" s="143" t="str">
        <f t="shared" ref="BP47:BP48" si="346">IFERROR(IF(BB47&lt;&gt;"-",BB47/AN47,"-"),"-")</f>
        <v>-</v>
      </c>
      <c r="BQ47" s="143" t="str">
        <f t="shared" ref="BQ47:BQ48" si="347">IFERROR(IF(BC47&lt;&gt;"-",BC47/AO47,"-"),"-")</f>
        <v>-</v>
      </c>
      <c r="BR47" s="143" t="str">
        <f t="shared" ref="BR47:BR48" si="348">IFERROR(IF(BD47&lt;&gt;"-",BD47/AP47,"-"),"-")</f>
        <v>-</v>
      </c>
      <c r="BS47" s="143" t="str">
        <f t="shared" ref="BS47:BS48" si="349">IFERROR(IF(BE47&lt;&gt;"-",BE47/AQ47,"-"),"-")</f>
        <v>-</v>
      </c>
      <c r="BT47" s="143" t="str">
        <f t="shared" ref="BT47:BT48" si="350">IFERROR(IF(BF47&lt;&gt;"-",BF47/AR47,"-"),"-")</f>
        <v>-</v>
      </c>
      <c r="BU47" s="143" t="str">
        <f t="shared" ref="BU47:BU48" si="351">IFERROR(IF(BG47&lt;&gt;"-",BG47/AS47,"-"),"-")</f>
        <v>-</v>
      </c>
      <c r="BV47" s="143" t="str">
        <f t="shared" ref="BV47:BV48" si="352">IFERROR(IF(BH47&lt;&gt;"-",BH47/AT47,"-"),"-")</f>
        <v>-</v>
      </c>
      <c r="BX47" s="112">
        <f t="shared" ref="BX47:BX48" si="353">IFERROR(AVERAGE(BY47:CJ47),"-")</f>
        <v>1286.2336510437178</v>
      </c>
      <c r="BY47" s="95" t="str">
        <f>IFERROR(SUMIFS('01. KE30'!$R:$R,'01. KE30'!$F:$F,'05. BC BH THEO SKU-USD'!$D47,'01. KE30'!$A:$A,'05. BC BH THEO SKU-USD'!BY$4)/CM47/'02. Tỷ giá'!B$5," -")</f>
        <v xml:space="preserve"> -</v>
      </c>
      <c r="BZ47" s="95">
        <f>IFERROR(SUMIFS('01. KE30'!$R:$R,'01. KE30'!$F:$F,'05. BC BH THEO SKU-USD'!$D47,'01. KE30'!$A:$A,'05. BC BH THEO SKU-USD'!BZ$4)/CN47/'02. Tỷ giá'!C$5," -")</f>
        <v>1286.2336510437178</v>
      </c>
      <c r="CA47" s="95" t="str">
        <f>IFERROR(SUMIFS('01. KE30'!$R:$R,'01. KE30'!$F:$F,'05. BC BH THEO SKU-USD'!$D47,'01. KE30'!$A:$A,'05. BC BH THEO SKU-USD'!CA$4)/CO47/'02. Tỷ giá'!D$5," -")</f>
        <v xml:space="preserve"> -</v>
      </c>
      <c r="CB47" s="95" t="str">
        <f>IFERROR(SUMIFS('01. KE30'!$R:$R,'01. KE30'!$F:$F,'05. BC BH THEO SKU-USD'!$D47,'01. KE30'!$A:$A,'05. BC BH THEO SKU-USD'!CB$4)/CP47/'02. Tỷ giá'!E$5," -")</f>
        <v xml:space="preserve"> -</v>
      </c>
      <c r="CC47" s="95" t="str">
        <f>IFERROR(SUMIFS('01. KE30'!$R:$R,'01. KE30'!$F:$F,'05. BC BH THEO SKU-USD'!$D47,'01. KE30'!$A:$A,'05. BC BH THEO SKU-USD'!CC$4)/CQ47/'02. Tỷ giá'!F$5," -")</f>
        <v xml:space="preserve"> -</v>
      </c>
      <c r="CD47" s="95" t="str">
        <f>IFERROR(SUMIFS('01. KE30'!$R:$R,'01. KE30'!$F:$F,'05. BC BH THEO SKU-USD'!$D47,'01. KE30'!$A:$A,'05. BC BH THEO SKU-USD'!CD$4)/CR47/'02. Tỷ giá'!G$5," -")</f>
        <v xml:space="preserve"> -</v>
      </c>
      <c r="CE47" s="95" t="str">
        <f>IFERROR(SUMIFS('01. KE30'!$R:$R,'01. KE30'!$F:$F,'05. BC BH THEO SKU-USD'!$D47,'01. KE30'!$A:$A,'05. BC BH THEO SKU-USD'!CE$4)/CS47/'02. Tỷ giá'!H$5," -")</f>
        <v xml:space="preserve"> -</v>
      </c>
      <c r="CF47" s="95" t="str">
        <f>IFERROR(SUMIFS('01. KE30'!$R:$R,'01. KE30'!$F:$F,'05. BC BH THEO SKU-USD'!$D47,'01. KE30'!$A:$A,'05. BC BH THEO SKU-USD'!CF$4)/CT47/'02. Tỷ giá'!I$5," -")</f>
        <v xml:space="preserve"> -</v>
      </c>
      <c r="CG47" s="95" t="str">
        <f>IFERROR(SUMIFS('01. KE30'!$R:$R,'01. KE30'!$F:$F,'05. BC BH THEO SKU-USD'!$D47,'01. KE30'!$A:$A,'05. BC BH THEO SKU-USD'!CG$4)/CU47/'02. Tỷ giá'!J$5," -")</f>
        <v xml:space="preserve"> -</v>
      </c>
      <c r="CH47" s="95" t="str">
        <f>IFERROR(SUMIFS('01. KE30'!$R:$R,'01. KE30'!$F:$F,'05. BC BH THEO SKU-USD'!$D47,'01. KE30'!$A:$A,'05. BC BH THEO SKU-USD'!CH$4)/CV47/'02. Tỷ giá'!K$5," -")</f>
        <v xml:space="preserve"> -</v>
      </c>
      <c r="CI47" s="95" t="str">
        <f>IFERROR(SUMIFS('01. KE30'!$R:$R,'01. KE30'!$F:$F,'05. BC BH THEO SKU-USD'!$D47,'01. KE30'!$A:$A,'05. BC BH THEO SKU-USD'!CI$4)/CW47/'02. Tỷ giá'!L$5," -")</f>
        <v xml:space="preserve"> -</v>
      </c>
      <c r="CJ47" s="95" t="str">
        <f>IFERROR(SUMIFS('01. KE30'!$R:$R,'01. KE30'!$F:$F,'05. BC BH THEO SKU-USD'!$D47,'01. KE30'!$A:$A,'05. BC BH THEO SKU-USD'!CJ$4)/CX47/'02. Tỷ giá'!M$5," -")</f>
        <v xml:space="preserve"> -</v>
      </c>
      <c r="CL47" s="112">
        <f t="shared" ref="CL47:CL48" si="354">SUM(CM47:CX47)</f>
        <v>25</v>
      </c>
      <c r="CM47" s="114">
        <f>SUMIFS('01. KE30'!$I:$I,'01. KE30'!$F:$F,'05. BC BH THEO SKU-USD'!$D47,'01. KE30'!$A:$A,'05. BC BH THEO SKU-USD'!CM$4)/1000</f>
        <v>0</v>
      </c>
      <c r="CN47" s="114">
        <f>SUMIFS('01. KE30'!$I:$I,'01. KE30'!$F:$F,'05. BC BH THEO SKU-USD'!$D47,'01. KE30'!$A:$A,'05. BC BH THEO SKU-USD'!CN$4)/1000</f>
        <v>25</v>
      </c>
      <c r="CO47" s="114">
        <f>SUMIFS('01. KE30'!$I:$I,'01. KE30'!$F:$F,'05. BC BH THEO SKU-USD'!$D47,'01. KE30'!$A:$A,'05. BC BH THEO SKU-USD'!CO$4)/1000</f>
        <v>0</v>
      </c>
      <c r="CP47" s="114">
        <f>SUMIFS('01. KE30'!$I:$I,'01. KE30'!$F:$F,'05. BC BH THEO SKU-USD'!$D47,'01. KE30'!$A:$A,'05. BC BH THEO SKU-USD'!CP$4)/1000</f>
        <v>0</v>
      </c>
      <c r="CQ47" s="114">
        <f>SUMIFS('01. KE30'!$I:$I,'01. KE30'!$F:$F,'05. BC BH THEO SKU-USD'!$D47,'01. KE30'!$A:$A,'05. BC BH THEO SKU-USD'!CQ$4)/1000</f>
        <v>0</v>
      </c>
      <c r="CR47" s="114">
        <f>SUMIFS('01. KE30'!$I:$I,'01. KE30'!$F:$F,'05. BC BH THEO SKU-USD'!$D47,'01. KE30'!$A:$A,'05. BC BH THEO SKU-USD'!CR$4)/1000</f>
        <v>0</v>
      </c>
      <c r="CS47" s="114">
        <f>SUMIFS('01. KE30'!$I:$I,'01. KE30'!$F:$F,'05. BC BH THEO SKU-USD'!$D47,'01. KE30'!$A:$A,'05. BC BH THEO SKU-USD'!CS$4)/1000</f>
        <v>0</v>
      </c>
      <c r="CT47" s="114">
        <f>SUMIFS('01. KE30'!$I:$I,'01. KE30'!$F:$F,'05. BC BH THEO SKU-USD'!$D47,'01. KE30'!$A:$A,'05. BC BH THEO SKU-USD'!CT$4)/1000</f>
        <v>0</v>
      </c>
      <c r="CU47" s="114">
        <f>SUMIFS('01. KE30'!$I:$I,'01. KE30'!$F:$F,'05. BC BH THEO SKU-USD'!$D47,'01. KE30'!$A:$A,'05. BC BH THEO SKU-USD'!CU$4)/1000</f>
        <v>0</v>
      </c>
      <c r="CV47" s="114">
        <f>SUMIFS('01. KE30'!$I:$I,'01. KE30'!$F:$F,'05. BC BH THEO SKU-USD'!$D47,'01. KE30'!$A:$A,'05. BC BH THEO SKU-USD'!CV$4)/1000</f>
        <v>0</v>
      </c>
      <c r="CW47" s="114">
        <f>SUMIFS('01. KE30'!$I:$I,'01. KE30'!$F:$F,'05. BC BH THEO SKU-USD'!$D47,'01. KE30'!$A:$A,'05. BC BH THEO SKU-USD'!CW$4)/1000</f>
        <v>0</v>
      </c>
      <c r="CX47" s="114">
        <f>SUMIFS('01. KE30'!$I:$I,'01. KE30'!$F:$F,'05. BC BH THEO SKU-USD'!$D47,'01. KE30'!$A:$A,'05. BC BH THEO SKU-USD'!CX$4)/1000</f>
        <v>0</v>
      </c>
      <c r="CZ47" s="112">
        <f t="shared" ref="CZ47:CZ48" si="355">SUM(DA47:DL47)</f>
        <v>29952.737298148877</v>
      </c>
      <c r="DA47" s="54" t="str">
        <f t="shared" ref="DA47:DA48" si="356">IFERROR(G47*CM47," -")</f>
        <v xml:space="preserve"> -</v>
      </c>
      <c r="DB47" s="54">
        <f t="shared" ref="DB47:DB48" si="357">IFERROR(H47*CN47," -")</f>
        <v>29952.737298148877</v>
      </c>
      <c r="DC47" s="54" t="str">
        <f t="shared" ref="DC47:DC48" si="358">IFERROR(I47*CO47," -")</f>
        <v xml:space="preserve"> -</v>
      </c>
      <c r="DD47" s="54" t="str">
        <f t="shared" ref="DD47:DD48" si="359">IFERROR(J47*CP47," -")</f>
        <v xml:space="preserve"> -</v>
      </c>
      <c r="DE47" s="54" t="str">
        <f t="shared" ref="DE47:DE48" si="360">IFERROR(K47*CQ47," -")</f>
        <v xml:space="preserve"> -</v>
      </c>
      <c r="DF47" s="54" t="str">
        <f t="shared" ref="DF47:DF48" si="361">IFERROR(L47*CR47," -")</f>
        <v xml:space="preserve"> -</v>
      </c>
      <c r="DG47" s="54" t="str">
        <f t="shared" ref="DG47:DG48" si="362">IFERROR(M47*CS47," -")</f>
        <v xml:space="preserve"> -</v>
      </c>
      <c r="DH47" s="54" t="str">
        <f t="shared" ref="DH47:DH48" si="363">IFERROR(N47*CT47," -")</f>
        <v xml:space="preserve"> -</v>
      </c>
      <c r="DI47" s="54" t="str">
        <f t="shared" ref="DI47:DI48" si="364">IFERROR(O47*CU47," -")</f>
        <v xml:space="preserve"> -</v>
      </c>
      <c r="DJ47" s="54" t="str">
        <f t="shared" ref="DJ47:DJ48" si="365">IFERROR(P47*CV47," -")</f>
        <v xml:space="preserve"> -</v>
      </c>
      <c r="DK47" s="54" t="str">
        <f t="shared" ref="DK47:DK48" si="366">IFERROR(Q47*CW47," -")</f>
        <v xml:space="preserve"> -</v>
      </c>
      <c r="DL47" s="54" t="str">
        <f t="shared" ref="DL47:DL48" si="367">IFERROR(R47*CX47," -")</f>
        <v xml:space="preserve"> -</v>
      </c>
      <c r="DN47" s="112">
        <f t="shared" ref="DN47:DN48" si="368">SUM(DO47:DZ47)</f>
        <v>-2780.2209531311528</v>
      </c>
      <c r="DO47" s="114">
        <f>IFERROR(SUMIFS('01. KE30'!$X:$X,'01. KE30'!$F:$F,'05. BC BH THEO SKU-USD'!$D47,'01. KE30'!$A:$A,'05. BC BH THEO SKU-USD'!DO$4)-SUMIFS('01. KE30'!$AA:$AA,'01. KE30'!$F:$F,'05. BC BH THEO SKU-USD'!$D47,'01. KE30'!$A:$A,'05. BC BH THEO SKU-USD'!DO$4),"-")</f>
        <v>0</v>
      </c>
      <c r="DP47" s="114">
        <f>IFERROR(SUMIFS('01. KE30'!$X:$X,'01. KE30'!$F:$F,'05. BC BH THEO SKU-USD'!$D47,'01. KE30'!$A:$A,'05. BC BH THEO SKU-USD'!DP$4)-SUMIFS('01. KE30'!$AA:$AA,'01. KE30'!$F:$F,'05. BC BH THEO SKU-USD'!$D47,'01. KE30'!$A:$A,'05. BC BH THEO SKU-USD'!DP$4),"-")</f>
        <v>-2780.2209531311528</v>
      </c>
      <c r="DQ47" s="114">
        <f>IFERROR(SUMIFS('01. KE30'!$X:$X,'01. KE30'!$F:$F,'05. BC BH THEO SKU-USD'!$D47,'01. KE30'!$A:$A,'05. BC BH THEO SKU-USD'!DQ$4)-SUMIFS('01. KE30'!$AA:$AA,'01. KE30'!$F:$F,'05. BC BH THEO SKU-USD'!$D47,'01. KE30'!$A:$A,'05. BC BH THEO SKU-USD'!DQ$4),"-")</f>
        <v>0</v>
      </c>
      <c r="DR47" s="114">
        <f>IFERROR(SUMIFS('01. KE30'!$X:$X,'01. KE30'!$F:$F,'05. BC BH THEO SKU-USD'!$D47,'01. KE30'!$A:$A,'05. BC BH THEO SKU-USD'!DR$4)-SUMIFS('01. KE30'!$AA:$AA,'01. KE30'!$F:$F,'05. BC BH THEO SKU-USD'!$D47,'01. KE30'!$A:$A,'05. BC BH THEO SKU-USD'!DR$4),"-")</f>
        <v>0</v>
      </c>
      <c r="DS47" s="114">
        <f>IFERROR(SUMIFS('01. KE30'!$X:$X,'01. KE30'!$F:$F,'05. BC BH THEO SKU-USD'!$D47,'01. KE30'!$A:$A,'05. BC BH THEO SKU-USD'!DS$4)-SUMIFS('01. KE30'!$AA:$AA,'01. KE30'!$F:$F,'05. BC BH THEO SKU-USD'!$D47,'01. KE30'!$A:$A,'05. BC BH THEO SKU-USD'!DS$4),"-")</f>
        <v>0</v>
      </c>
      <c r="DT47" s="114">
        <f>IFERROR(SUMIFS('01. KE30'!$X:$X,'01. KE30'!$F:$F,'05. BC BH THEO SKU-USD'!$D47,'01. KE30'!$A:$A,'05. BC BH THEO SKU-USD'!DT$4)-SUMIFS('01. KE30'!$AA:$AA,'01. KE30'!$F:$F,'05. BC BH THEO SKU-USD'!$D47,'01. KE30'!$A:$A,'05. BC BH THEO SKU-USD'!DT$4),"-")</f>
        <v>0</v>
      </c>
      <c r="DU47" s="114">
        <f>IFERROR(SUMIFS('01. KE30'!$X:$X,'01. KE30'!$F:$F,'05. BC BH THEO SKU-USD'!$D47,'01. KE30'!$A:$A,'05. BC BH THEO SKU-USD'!DU$4)-SUMIFS('01. KE30'!$AA:$AA,'01. KE30'!$F:$F,'05. BC BH THEO SKU-USD'!$D47,'01. KE30'!$A:$A,'05. BC BH THEO SKU-USD'!DU$4),"-")</f>
        <v>0</v>
      </c>
      <c r="DV47" s="114">
        <f>IFERROR(SUMIFS('01. KE30'!$X:$X,'01. KE30'!$F:$F,'05. BC BH THEO SKU-USD'!$D47,'01. KE30'!$A:$A,'05. BC BH THEO SKU-USD'!DV$4)-SUMIFS('01. KE30'!$AA:$AA,'01. KE30'!$F:$F,'05. BC BH THEO SKU-USD'!$D47,'01. KE30'!$A:$A,'05. BC BH THEO SKU-USD'!DV$4),"-")</f>
        <v>0</v>
      </c>
      <c r="DW47" s="114">
        <f>IFERROR(SUMIFS('01. KE30'!$X:$X,'01. KE30'!$F:$F,'05. BC BH THEO SKU-USD'!$D47,'01. KE30'!$A:$A,'05. BC BH THEO SKU-USD'!DW$4)-SUMIFS('01. KE30'!$AA:$AA,'01. KE30'!$F:$F,'05. BC BH THEO SKU-USD'!$D47,'01. KE30'!$A:$A,'05. BC BH THEO SKU-USD'!DW$4),"-")</f>
        <v>0</v>
      </c>
      <c r="DX47" s="114">
        <f>IFERROR(SUMIFS('01. KE30'!$X:$X,'01. KE30'!$F:$F,'05. BC BH THEO SKU-USD'!$D47,'01. KE30'!$A:$A,'05. BC BH THEO SKU-USD'!DX$4)-SUMIFS('01. KE30'!$AA:$AA,'01. KE30'!$F:$F,'05. BC BH THEO SKU-USD'!$D47,'01. KE30'!$A:$A,'05. BC BH THEO SKU-USD'!DX$4),"-")</f>
        <v>0</v>
      </c>
      <c r="DY47" s="114">
        <f>IFERROR(SUMIFS('01. KE30'!$X:$X,'01. KE30'!$F:$F,'05. BC BH THEO SKU-USD'!$D47,'01. KE30'!$A:$A,'05. BC BH THEO SKU-USD'!DY$4)-SUMIFS('01. KE30'!$AA:$AA,'01. KE30'!$F:$F,'05. BC BH THEO SKU-USD'!$D47,'01. KE30'!$A:$A,'05. BC BH THEO SKU-USD'!DY$4),"-")</f>
        <v>0</v>
      </c>
      <c r="DZ47" s="114">
        <f>IFERROR(SUMIFS('01. KE30'!$X:$X,'01. KE30'!$F:$F,'05. BC BH THEO SKU-USD'!$D47,'01. KE30'!$A:$A,'05. BC BH THEO SKU-USD'!DZ$4)-SUMIFS('01. KE30'!$AA:$AA,'01. KE30'!$F:$F,'05. BC BH THEO SKU-USD'!$D47,'01. KE30'!$A:$A,'05. BC BH THEO SKU-USD'!DZ$4),"-")</f>
        <v>0</v>
      </c>
      <c r="EB47" s="571">
        <f t="shared" si="252"/>
        <v>-9.2820262984878332E-2</v>
      </c>
      <c r="EC47" s="573">
        <f t="shared" si="253"/>
        <v>0</v>
      </c>
      <c r="ED47" s="572">
        <f t="shared" si="19"/>
        <v>-9.2820262984878332E-2</v>
      </c>
      <c r="EE47" s="572">
        <f t="shared" si="20"/>
        <v>0</v>
      </c>
      <c r="EF47" s="572">
        <f t="shared" si="21"/>
        <v>0</v>
      </c>
      <c r="EG47" s="572">
        <f t="shared" si="22"/>
        <v>0</v>
      </c>
      <c r="EH47" s="572">
        <f t="shared" si="23"/>
        <v>0</v>
      </c>
      <c r="EI47" s="572">
        <f t="shared" si="24"/>
        <v>0</v>
      </c>
      <c r="EJ47" s="572">
        <f t="shared" si="25"/>
        <v>0</v>
      </c>
      <c r="EK47" s="572">
        <f t="shared" si="26"/>
        <v>0</v>
      </c>
      <c r="EL47" s="572">
        <f t="shared" si="27"/>
        <v>0</v>
      </c>
      <c r="EM47" s="572">
        <f t="shared" si="28"/>
        <v>0</v>
      </c>
      <c r="EN47" s="572">
        <f t="shared" si="29"/>
        <v>0</v>
      </c>
    </row>
    <row r="48" spans="1:144" ht="15.5" outlineLevel="1" x14ac:dyDescent="0.35">
      <c r="A48" s="10">
        <f t="shared" si="324"/>
        <v>7</v>
      </c>
      <c r="B48" s="10" t="s">
        <v>266</v>
      </c>
      <c r="C48" s="246" t="str">
        <f>VLOOKUP(D48,'Quy đổi'!A:C,3,0)</f>
        <v>rHDI3Gy01</v>
      </c>
      <c r="D48" s="464" t="s">
        <v>216</v>
      </c>
      <c r="E48" s="7" t="s">
        <v>217</v>
      </c>
      <c r="F48" s="92">
        <f t="shared" si="325"/>
        <v>767.87492864387025</v>
      </c>
      <c r="G48" s="106" t="str">
        <f>IFERROR(SUMIFS('01. KE30'!$K:$K,'01. KE30'!$F:$F,'05. BC BH THEO SKU-USD'!$D48,'01. KE30'!$A:$A,'05. BC BH THEO SKU-USD'!G$4)/'05. BC BH THEO SKU-USD'!CM48/'02. Tỷ giá'!B$5,"-")</f>
        <v>-</v>
      </c>
      <c r="H48" s="106">
        <f>IFERROR(SUMIFS('01. KE30'!$K:$K,'01. KE30'!$F:$F,'05. BC BH THEO SKU-USD'!$D48,'01. KE30'!$A:$A,'05. BC BH THEO SKU-USD'!H$4)/'05. BC BH THEO SKU-USD'!CN48/'02. Tỷ giá'!C$5,"-")</f>
        <v>796.16778259157149</v>
      </c>
      <c r="I48" s="106" t="str">
        <f>IFERROR(SUMIFS('01. KE30'!$K:$K,'01. KE30'!$F:$F,'05. BC BH THEO SKU-USD'!$D48,'01. KE30'!$A:$A,'05. BC BH THEO SKU-USD'!I$4)/'05. BC BH THEO SKU-USD'!CO48/'02. Tỷ giá'!D$5,"-")</f>
        <v>-</v>
      </c>
      <c r="J48" s="106" t="str">
        <f>IFERROR(SUMIFS('01. KE30'!$K:$K,'01. KE30'!$F:$F,'05. BC BH THEO SKU-USD'!$D48,'01. KE30'!$A:$A,'05. BC BH THEO SKU-USD'!J$4)/'05. BC BH THEO SKU-USD'!CP48/'02. Tỷ giá'!E$5,"-")</f>
        <v>-</v>
      </c>
      <c r="K48" s="106" t="str">
        <f>IFERROR(SUMIFS('01. KE30'!$K:$K,'01. KE30'!$F:$F,'05. BC BH THEO SKU-USD'!$D48,'01. KE30'!$A:$A,'05. BC BH THEO SKU-USD'!K$4)/'05. BC BH THEO SKU-USD'!CQ48/'02. Tỷ giá'!F$5,"-")</f>
        <v>-</v>
      </c>
      <c r="L48" s="106">
        <f>IFERROR(SUMIFS('01. KE30'!$K:$K,'01. KE30'!$F:$F,'05. BC BH THEO SKU-USD'!$D48,'01. KE30'!$A:$A,'05. BC BH THEO SKU-USD'!L$4)/'05. BC BH THEO SKU-USD'!CR48/'02. Tỷ giá'!G$5,"-")</f>
        <v>771.60493827160496</v>
      </c>
      <c r="M48" s="106">
        <f>IFERROR(SUMIFS('01. KE30'!$K:$K,'01. KE30'!$F:$F,'05. BC BH THEO SKU-USD'!$D48,'01. KE30'!$A:$A,'05. BC BH THEO SKU-USD'!M$4)/'05. BC BH THEO SKU-USD'!CS48/'02. Tỷ giá'!H$5,"-")</f>
        <v>735.85206506843429</v>
      </c>
      <c r="N48" s="106" t="str">
        <f>IFERROR(SUMIFS('01. KE30'!$K:$K,'01. KE30'!$F:$F,'05. BC BH THEO SKU-USD'!$D48,'01. KE30'!$A:$A,'05. BC BH THEO SKU-USD'!N$4)/'05. BC BH THEO SKU-USD'!CT48/'02. Tỷ giá'!I$5,"-")</f>
        <v>-</v>
      </c>
      <c r="O48" s="106" t="str">
        <f>IFERROR(SUMIFS('01. KE30'!$K:$K,'01. KE30'!$F:$F,'05. BC BH THEO SKU-USD'!$D48,'01. KE30'!$A:$A,'05. BC BH THEO SKU-USD'!O$4)/'05. BC BH THEO SKU-USD'!CU48/'02. Tỷ giá'!J$5,"-")</f>
        <v>-</v>
      </c>
      <c r="P48" s="106" t="str">
        <f>IFERROR(SUMIFS('01. KE30'!$K:$K,'01. KE30'!$F:$F,'05. BC BH THEO SKU-USD'!$D48,'01. KE30'!$A:$A,'05. BC BH THEO SKU-USD'!P$4)/'05. BC BH THEO SKU-USD'!CV48/'02. Tỷ giá'!K$5,"-")</f>
        <v>-</v>
      </c>
      <c r="Q48" s="106" t="str">
        <f>IFERROR(SUMIFS('01. KE30'!$K:$K,'01. KE30'!$F:$F,'05. BC BH THEO SKU-USD'!$D48,'01. KE30'!$A:$A,'05. BC BH THEO SKU-USD'!Q$4)/'05. BC BH THEO SKU-USD'!CW48/'02. Tỷ giá'!L$5,"-")</f>
        <v>-</v>
      </c>
      <c r="R48" s="106" t="str">
        <f>IFERROR(SUMIFS('01. KE30'!$K:$K,'01. KE30'!$F:$F,'05. BC BH THEO SKU-USD'!$D48,'01. KE30'!$A:$A,'05. BC BH THEO SKU-USD'!R$4)/'05. BC BH THEO SKU-USD'!CX48/'02. Tỷ giá'!M$5,"-")</f>
        <v>-</v>
      </c>
      <c r="T48" s="92">
        <f t="shared" si="309"/>
        <v>762.88315597645828</v>
      </c>
      <c r="U48" s="147" t="str">
        <f>IFERROR(SUMIFS('01. KE30'!$O:$O,'01. KE30'!$F:$F,'05. BC BH THEO SKU-USD'!$D48,'01. KE30'!$A:$A,'05. BC BH THEO SKU-USD'!G$4)/'05. BC BH THEO SKU-USD'!CM48/'02. Tỷ giá'!B$5,"-")</f>
        <v>-</v>
      </c>
      <c r="V48" s="147">
        <f>IFERROR(SUMIFS('01. KE30'!$O:$O,'01. KE30'!$F:$F,'05. BC BH THEO SKU-USD'!$D48,'01. KE30'!$A:$A,'05. BC BH THEO SKU-USD'!H$4)/'05. BC BH THEO SKU-USD'!CN48/'02. Tỷ giá'!C$5,"-")</f>
        <v>796.16778259157149</v>
      </c>
      <c r="W48" s="147" t="str">
        <f>IFERROR(SUMIFS('01. KE30'!$O:$O,'01. KE30'!$F:$F,'05. BC BH THEO SKU-USD'!$D48,'01. KE30'!$A:$A,'05. BC BH THEO SKU-USD'!I$4)/'05. BC BH THEO SKU-USD'!CO48/'02. Tỷ giá'!D$5,"-")</f>
        <v>-</v>
      </c>
      <c r="X48" s="147" t="str">
        <f>IFERROR(SUMIFS('01. KE30'!$O:$O,'01. KE30'!$F:$F,'05. BC BH THEO SKU-USD'!$D48,'01. KE30'!$A:$A,'05. BC BH THEO SKU-USD'!J$4)/'05. BC BH THEO SKU-USD'!CP48/'02. Tỷ giá'!E$5,"-")</f>
        <v>-</v>
      </c>
      <c r="Y48" s="147" t="str">
        <f>IFERROR(SUMIFS('01. KE30'!$O:$O,'01. KE30'!$F:$F,'05. BC BH THEO SKU-USD'!$D48,'01. KE30'!$A:$A,'05. BC BH THEO SKU-USD'!K$4)/'05. BC BH THEO SKU-USD'!CQ48/'02. Tỷ giá'!F$5,"-")</f>
        <v>-</v>
      </c>
      <c r="Z48" s="147">
        <f>IFERROR(SUMIFS('01. KE30'!$O:$O,'01. KE30'!$F:$F,'05. BC BH THEO SKU-USD'!$D48,'01. KE30'!$A:$A,'05. BC BH THEO SKU-USD'!L$4)/'05. BC BH THEO SKU-USD'!CR48/'02. Tỷ giá'!G$5,"-")</f>
        <v>771.60493827160496</v>
      </c>
      <c r="AA48" s="147">
        <f>IFERROR(SUMIFS('01. KE30'!$O:$O,'01. KE30'!$F:$F,'05. BC BH THEO SKU-USD'!$D48,'01. KE30'!$A:$A,'05. BC BH THEO SKU-USD'!M$4)/'05. BC BH THEO SKU-USD'!CS48/'02. Tỷ giá'!H$5,"-")</f>
        <v>735.85206506843429</v>
      </c>
      <c r="AB48" s="147" t="str">
        <f>IFERROR(SUMIFS('01. KE30'!$O:$O,'01. KE30'!$F:$F,'05. BC BH THEO SKU-USD'!$D48,'01. KE30'!$A:$A,'05. BC BH THEO SKU-USD'!N$4)/'05. BC BH THEO SKU-USD'!CT48/'02. Tỷ giá'!I$5,"-")</f>
        <v>-</v>
      </c>
      <c r="AC48" s="147" t="str">
        <f>IFERROR(SUMIFS('01. KE30'!$O:$O,'01. KE30'!$F:$F,'05. BC BH THEO SKU-USD'!$D48,'01. KE30'!$A:$A,'05. BC BH THEO SKU-USD'!O$4)/'05. BC BH THEO SKU-USD'!CU48/'02. Tỷ giá'!J$5,"-")</f>
        <v>-</v>
      </c>
      <c r="AD48" s="147" t="str">
        <f>IFERROR(SUMIFS('01. KE30'!$O:$O,'01. KE30'!$F:$F,'05. BC BH THEO SKU-USD'!$D48,'01. KE30'!$A:$A,'05. BC BH THEO SKU-USD'!P$4)/'05. BC BH THEO SKU-USD'!CV48/'02. Tỷ giá'!K$5,"-")</f>
        <v>-</v>
      </c>
      <c r="AE48" s="147" t="str">
        <f>IFERROR(SUMIFS('01. KE30'!$O:$O,'01. KE30'!$F:$F,'05. BC BH THEO SKU-USD'!$D48,'01. KE30'!$A:$A,'05. BC BH THEO SKU-USD'!Q$4)/'05. BC BH THEO SKU-USD'!CW48/'02. Tỷ giá'!L$5,"-")</f>
        <v>-</v>
      </c>
      <c r="AF48" s="147" t="str">
        <f>IFERROR(SUMIFS('01. KE30'!$O:$O,'01. KE30'!$F:$F,'05. BC BH THEO SKU-USD'!$D48,'01. KE30'!$A:$A,'05. BC BH THEO SKU-USD'!R$4)/'05. BC BH THEO SKU-USD'!CX48/'02. Tỷ giá'!M$5,"-")</f>
        <v>-</v>
      </c>
      <c r="AH48" s="55">
        <f t="shared" si="326"/>
        <v>790</v>
      </c>
      <c r="AI48" s="4">
        <v>870</v>
      </c>
      <c r="AJ48" s="4">
        <v>800</v>
      </c>
      <c r="AK48" s="4">
        <v>805</v>
      </c>
      <c r="AL48" s="4">
        <v>805</v>
      </c>
      <c r="AM48" s="4">
        <v>765</v>
      </c>
      <c r="AN48" s="4">
        <v>765</v>
      </c>
      <c r="AO48" s="4">
        <v>780</v>
      </c>
      <c r="AP48" s="4">
        <v>760</v>
      </c>
      <c r="AQ48" s="4">
        <v>760</v>
      </c>
      <c r="AR48" s="4"/>
      <c r="AS48" s="4"/>
      <c r="AT48" s="4"/>
      <c r="AV48" s="54">
        <f t="shared" si="327"/>
        <v>-27.116844023541717</v>
      </c>
      <c r="AW48" s="95" t="str">
        <f t="shared" si="328"/>
        <v>-</v>
      </c>
      <c r="AX48" s="95">
        <f t="shared" si="329"/>
        <v>-3.8322174084285052</v>
      </c>
      <c r="AY48" s="95" t="str">
        <f t="shared" si="330"/>
        <v>-</v>
      </c>
      <c r="AZ48" s="95" t="str">
        <f t="shared" si="331"/>
        <v>-</v>
      </c>
      <c r="BA48" s="95" t="str">
        <f t="shared" si="332"/>
        <v>-</v>
      </c>
      <c r="BB48" s="95">
        <f t="shared" si="333"/>
        <v>6.6049382716049649</v>
      </c>
      <c r="BC48" s="95">
        <f t="shared" si="334"/>
        <v>-44.147934931565715</v>
      </c>
      <c r="BD48" s="95" t="str">
        <f t="shared" si="335"/>
        <v>-</v>
      </c>
      <c r="BE48" s="95" t="str">
        <f t="shared" si="336"/>
        <v>-</v>
      </c>
      <c r="BF48" s="95" t="str">
        <f t="shared" si="337"/>
        <v>-</v>
      </c>
      <c r="BG48" s="95" t="str">
        <f t="shared" si="338"/>
        <v>-</v>
      </c>
      <c r="BH48" s="95" t="str">
        <f t="shared" si="339"/>
        <v>-</v>
      </c>
      <c r="BJ48" s="143">
        <f t="shared" si="340"/>
        <v>-3.4325119017141414E-2</v>
      </c>
      <c r="BK48" s="143" t="str">
        <f t="shared" si="341"/>
        <v>-</v>
      </c>
      <c r="BL48" s="143">
        <f t="shared" si="342"/>
        <v>-4.7902717605356315E-3</v>
      </c>
      <c r="BM48" s="143" t="str">
        <f t="shared" si="343"/>
        <v>-</v>
      </c>
      <c r="BN48" s="143" t="str">
        <f t="shared" si="344"/>
        <v>-</v>
      </c>
      <c r="BO48" s="143" t="str">
        <f t="shared" si="345"/>
        <v>-</v>
      </c>
      <c r="BP48" s="143">
        <f t="shared" si="346"/>
        <v>8.6339062373921114E-3</v>
      </c>
      <c r="BQ48" s="143">
        <f t="shared" si="347"/>
        <v>-5.6599916578930404E-2</v>
      </c>
      <c r="BR48" s="143" t="str">
        <f t="shared" si="348"/>
        <v>-</v>
      </c>
      <c r="BS48" s="143" t="str">
        <f t="shared" si="349"/>
        <v>-</v>
      </c>
      <c r="BT48" s="143" t="str">
        <f t="shared" si="350"/>
        <v>-</v>
      </c>
      <c r="BU48" s="143" t="str">
        <f t="shared" si="351"/>
        <v>-</v>
      </c>
      <c r="BV48" s="143" t="str">
        <f t="shared" si="352"/>
        <v>-</v>
      </c>
      <c r="BX48" s="112">
        <f t="shared" si="353"/>
        <v>723.28517531819614</v>
      </c>
      <c r="BY48" s="95" t="str">
        <f>IFERROR(SUMIFS('01. KE30'!$R:$R,'01. KE30'!$F:$F,'05. BC BH THEO SKU-USD'!$D48,'01. KE30'!$A:$A,'05. BC BH THEO SKU-USD'!BY$4)/CM48/'02. Tỷ giá'!B$5," -")</f>
        <v xml:space="preserve"> -</v>
      </c>
      <c r="BZ48" s="95">
        <f>IFERROR(SUMIFS('01. KE30'!$R:$R,'01. KE30'!$F:$F,'05. BC BH THEO SKU-USD'!$D48,'01. KE30'!$A:$A,'05. BC BH THEO SKU-USD'!BZ$4)/CN48/'02. Tỷ giá'!C$5," -")</f>
        <v>734.13910988578175</v>
      </c>
      <c r="CA48" s="95" t="str">
        <f>IFERROR(SUMIFS('01. KE30'!$R:$R,'01. KE30'!$F:$F,'05. BC BH THEO SKU-USD'!$D48,'01. KE30'!$A:$A,'05. BC BH THEO SKU-USD'!CA$4)/CO48/'02. Tỷ giá'!D$5," -")</f>
        <v xml:space="preserve"> -</v>
      </c>
      <c r="CB48" s="95" t="str">
        <f>IFERROR(SUMIFS('01. KE30'!$R:$R,'01. KE30'!$F:$F,'05. BC BH THEO SKU-USD'!$D48,'01. KE30'!$A:$A,'05. BC BH THEO SKU-USD'!CB$4)/CP48/'02. Tỷ giá'!E$5," -")</f>
        <v xml:space="preserve"> -</v>
      </c>
      <c r="CC48" s="95" t="str">
        <f>IFERROR(SUMIFS('01. KE30'!$R:$R,'01. KE30'!$F:$F,'05. BC BH THEO SKU-USD'!$D48,'01. KE30'!$A:$A,'05. BC BH THEO SKU-USD'!CC$4)/CQ48/'02. Tỷ giá'!F$5," -")</f>
        <v xml:space="preserve"> -</v>
      </c>
      <c r="CD48" s="95">
        <f>IFERROR(SUMIFS('01. KE30'!$R:$R,'01. KE30'!$F:$F,'05. BC BH THEO SKU-USD'!$D48,'01. KE30'!$A:$A,'05. BC BH THEO SKU-USD'!CD$4)/CR48/'02. Tỷ giá'!G$5," -")</f>
        <v>719.12774971941644</v>
      </c>
      <c r="CE48" s="95">
        <f>IFERROR(SUMIFS('01. KE30'!$R:$R,'01. KE30'!$F:$F,'05. BC BH THEO SKU-USD'!$D48,'01. KE30'!$A:$A,'05. BC BH THEO SKU-USD'!CE$4)/CS48/'02. Tỷ giá'!H$5," -")</f>
        <v>716.58866634939022</v>
      </c>
      <c r="CF48" s="95" t="str">
        <f>IFERROR(SUMIFS('01. KE30'!$R:$R,'01. KE30'!$F:$F,'05. BC BH THEO SKU-USD'!$D48,'01. KE30'!$A:$A,'05. BC BH THEO SKU-USD'!CF$4)/CT48/'02. Tỷ giá'!I$5," -")</f>
        <v xml:space="preserve"> -</v>
      </c>
      <c r="CG48" s="95" t="str">
        <f>IFERROR(SUMIFS('01. KE30'!$R:$R,'01. KE30'!$F:$F,'05. BC BH THEO SKU-USD'!$D48,'01. KE30'!$A:$A,'05. BC BH THEO SKU-USD'!CG$4)/CU48/'02. Tỷ giá'!J$5," -")</f>
        <v xml:space="preserve"> -</v>
      </c>
      <c r="CH48" s="95" t="str">
        <f>IFERROR(SUMIFS('01. KE30'!$R:$R,'01. KE30'!$F:$F,'05. BC BH THEO SKU-USD'!$D48,'01. KE30'!$A:$A,'05. BC BH THEO SKU-USD'!CH$4)/CV48/'02. Tỷ giá'!K$5," -")</f>
        <v xml:space="preserve"> -</v>
      </c>
      <c r="CI48" s="95" t="str">
        <f>IFERROR(SUMIFS('01. KE30'!$R:$R,'01. KE30'!$F:$F,'05. BC BH THEO SKU-USD'!$D48,'01. KE30'!$A:$A,'05. BC BH THEO SKU-USD'!CI$4)/CW48/'02. Tỷ giá'!L$5," -")</f>
        <v xml:space="preserve"> -</v>
      </c>
      <c r="CJ48" s="95" t="str">
        <f>IFERROR(SUMIFS('01. KE30'!$R:$R,'01. KE30'!$F:$F,'05. BC BH THEO SKU-USD'!$D48,'01. KE30'!$A:$A,'05. BC BH THEO SKU-USD'!CJ$4)/CX48/'02. Tỷ giá'!M$5," -")</f>
        <v xml:space="preserve"> -</v>
      </c>
      <c r="CL48" s="112">
        <f t="shared" si="354"/>
        <v>4.05</v>
      </c>
      <c r="CM48" s="114">
        <f>SUMIFS('01. KE30'!$I:$I,'01. KE30'!$F:$F,'05. BC BH THEO SKU-USD'!$D48,'01. KE30'!$A:$A,'05. BC BH THEO SKU-USD'!CM$4)/1000</f>
        <v>0</v>
      </c>
      <c r="CN48" s="114">
        <f>SUMIFS('01. KE30'!$I:$I,'01. KE30'!$F:$F,'05. BC BH THEO SKU-USD'!$D48,'01. KE30'!$A:$A,'05. BC BH THEO SKU-USD'!CN$4)/1000</f>
        <v>1</v>
      </c>
      <c r="CO48" s="114">
        <f>SUMIFS('01. KE30'!$I:$I,'01. KE30'!$F:$F,'05. BC BH THEO SKU-USD'!$D48,'01. KE30'!$A:$A,'05. BC BH THEO SKU-USD'!CO$4)/1000</f>
        <v>0</v>
      </c>
      <c r="CP48" s="114">
        <f>SUMIFS('01. KE30'!$I:$I,'01. KE30'!$F:$F,'05. BC BH THEO SKU-USD'!$D48,'01. KE30'!$A:$A,'05. BC BH THEO SKU-USD'!CP$4)/1000</f>
        <v>0</v>
      </c>
      <c r="CQ48" s="114">
        <f>SUMIFS('01. KE30'!$I:$I,'01. KE30'!$F:$F,'05. BC BH THEO SKU-USD'!$D48,'01. KE30'!$A:$A,'05. BC BH THEO SKU-USD'!CQ$4)/1000</f>
        <v>0</v>
      </c>
      <c r="CR48" s="114">
        <f>SUMIFS('01. KE30'!$I:$I,'01. KE30'!$F:$F,'05. BC BH THEO SKU-USD'!$D48,'01. KE30'!$A:$A,'05. BC BH THEO SKU-USD'!CR$4)/1000</f>
        <v>1.375</v>
      </c>
      <c r="CS48" s="114">
        <f>SUMIFS('01. KE30'!$I:$I,'01. KE30'!$F:$F,'05. BC BH THEO SKU-USD'!$D48,'01. KE30'!$A:$A,'05. BC BH THEO SKU-USD'!CS$4)/1000</f>
        <v>1.675</v>
      </c>
      <c r="CT48" s="114">
        <f>SUMIFS('01. KE30'!$I:$I,'01. KE30'!$F:$F,'05. BC BH THEO SKU-USD'!$D48,'01. KE30'!$A:$A,'05. BC BH THEO SKU-USD'!CT$4)/1000</f>
        <v>0</v>
      </c>
      <c r="CU48" s="114">
        <f>SUMIFS('01. KE30'!$I:$I,'01. KE30'!$F:$F,'05. BC BH THEO SKU-USD'!$D48,'01. KE30'!$A:$A,'05. BC BH THEO SKU-USD'!CU$4)/1000</f>
        <v>0</v>
      </c>
      <c r="CV48" s="114">
        <f>SUMIFS('01. KE30'!$I:$I,'01. KE30'!$F:$F,'05. BC BH THEO SKU-USD'!$D48,'01. KE30'!$A:$A,'05. BC BH THEO SKU-USD'!CV$4)/1000</f>
        <v>0</v>
      </c>
      <c r="CW48" s="114">
        <f>SUMIFS('01. KE30'!$I:$I,'01. KE30'!$F:$F,'05. BC BH THEO SKU-USD'!$D48,'01. KE30'!$A:$A,'05. BC BH THEO SKU-USD'!CW$4)/1000</f>
        <v>0</v>
      </c>
      <c r="CX48" s="114">
        <f>SUMIFS('01. KE30'!$I:$I,'01. KE30'!$F:$F,'05. BC BH THEO SKU-USD'!$D48,'01. KE30'!$A:$A,'05. BC BH THEO SKU-USD'!CX$4)/1000</f>
        <v>0</v>
      </c>
      <c r="CZ48" s="112">
        <f t="shared" si="355"/>
        <v>3089.6767817046557</v>
      </c>
      <c r="DA48" s="54" t="str">
        <f t="shared" si="356"/>
        <v xml:space="preserve"> -</v>
      </c>
      <c r="DB48" s="54">
        <f t="shared" si="357"/>
        <v>796.16778259157149</v>
      </c>
      <c r="DC48" s="54" t="str">
        <f t="shared" si="358"/>
        <v xml:space="preserve"> -</v>
      </c>
      <c r="DD48" s="54" t="str">
        <f t="shared" si="359"/>
        <v xml:space="preserve"> -</v>
      </c>
      <c r="DE48" s="54" t="str">
        <f t="shared" si="360"/>
        <v xml:space="preserve"> -</v>
      </c>
      <c r="DF48" s="54">
        <f t="shared" si="361"/>
        <v>1060.9567901234568</v>
      </c>
      <c r="DG48" s="54">
        <f t="shared" si="362"/>
        <v>1232.5522089896274</v>
      </c>
      <c r="DH48" s="54" t="str">
        <f t="shared" si="363"/>
        <v xml:space="preserve"> -</v>
      </c>
      <c r="DI48" s="54" t="str">
        <f t="shared" si="364"/>
        <v xml:space="preserve"> -</v>
      </c>
      <c r="DJ48" s="54" t="str">
        <f t="shared" si="365"/>
        <v xml:space="preserve"> -</v>
      </c>
      <c r="DK48" s="54" t="str">
        <f t="shared" si="366"/>
        <v xml:space="preserve"> -</v>
      </c>
      <c r="DL48" s="54" t="str">
        <f t="shared" si="367"/>
        <v xml:space="preserve"> -</v>
      </c>
      <c r="DN48" s="112">
        <f t="shared" si="368"/>
        <v>166.4509998194477</v>
      </c>
      <c r="DO48" s="114">
        <f>IFERROR(SUMIFS('01. KE30'!$X:$X,'01. KE30'!$F:$F,'05. BC BH THEO SKU-USD'!$D48,'01. KE30'!$A:$A,'05. BC BH THEO SKU-USD'!DO$4)-SUMIFS('01. KE30'!$AA:$AA,'01. KE30'!$F:$F,'05. BC BH THEO SKU-USD'!$D48,'01. KE30'!$A:$A,'05. BC BH THEO SKU-USD'!DO$4),"-")</f>
        <v>0</v>
      </c>
      <c r="DP48" s="114">
        <f>IFERROR(SUMIFS('01. KE30'!$X:$X,'01. KE30'!$F:$F,'05. BC BH THEO SKU-USD'!$D48,'01. KE30'!$A:$A,'05. BC BH THEO SKU-USD'!DP$4)-SUMIFS('01. KE30'!$AA:$AA,'01. KE30'!$F:$F,'05. BC BH THEO SKU-USD'!$D48,'01. KE30'!$A:$A,'05. BC BH THEO SKU-USD'!DP$4),"-")</f>
        <v>62.028672705789745</v>
      </c>
      <c r="DQ48" s="114">
        <f>IFERROR(SUMIFS('01. KE30'!$X:$X,'01. KE30'!$F:$F,'05. BC BH THEO SKU-USD'!$D48,'01. KE30'!$A:$A,'05. BC BH THEO SKU-USD'!DQ$4)-SUMIFS('01. KE30'!$AA:$AA,'01. KE30'!$F:$F,'05. BC BH THEO SKU-USD'!$D48,'01. KE30'!$A:$A,'05. BC BH THEO SKU-USD'!DQ$4),"-")</f>
        <v>0</v>
      </c>
      <c r="DR48" s="114">
        <f>IFERROR(SUMIFS('01. KE30'!$X:$X,'01. KE30'!$F:$F,'05. BC BH THEO SKU-USD'!$D48,'01. KE30'!$A:$A,'05. BC BH THEO SKU-USD'!DR$4)-SUMIFS('01. KE30'!$AA:$AA,'01. KE30'!$F:$F,'05. BC BH THEO SKU-USD'!$D48,'01. KE30'!$A:$A,'05. BC BH THEO SKU-USD'!DR$4),"-")</f>
        <v>0</v>
      </c>
      <c r="DS48" s="114">
        <f>IFERROR(SUMIFS('01. KE30'!$X:$X,'01. KE30'!$F:$F,'05. BC BH THEO SKU-USD'!$D48,'01. KE30'!$A:$A,'05. BC BH THEO SKU-USD'!DS$4)-SUMIFS('01. KE30'!$AA:$AA,'01. KE30'!$F:$F,'05. BC BH THEO SKU-USD'!$D48,'01. KE30'!$A:$A,'05. BC BH THEO SKU-USD'!DS$4),"-")</f>
        <v>0</v>
      </c>
      <c r="DT48" s="114">
        <f>IFERROR(SUMIFS('01. KE30'!$X:$X,'01. KE30'!$F:$F,'05. BC BH THEO SKU-USD'!$D48,'01. KE30'!$A:$A,'05. BC BH THEO SKU-USD'!DT$4)-SUMIFS('01. KE30'!$AA:$AA,'01. KE30'!$F:$F,'05. BC BH THEO SKU-USD'!$D48,'01. KE30'!$A:$A,'05. BC BH THEO SKU-USD'!DT$4),"-")</f>
        <v>72.156134259259261</v>
      </c>
      <c r="DU48" s="114">
        <f>IFERROR(SUMIFS('01. KE30'!$X:$X,'01. KE30'!$F:$F,'05. BC BH THEO SKU-USD'!$D48,'01. KE30'!$A:$A,'05. BC BH THEO SKU-USD'!DU$4)-SUMIFS('01. KE30'!$AA:$AA,'01. KE30'!$F:$F,'05. BC BH THEO SKU-USD'!$D48,'01. KE30'!$A:$A,'05. BC BH THEO SKU-USD'!DU$4),"-")</f>
        <v>32.266192854398696</v>
      </c>
      <c r="DV48" s="114">
        <f>IFERROR(SUMIFS('01. KE30'!$X:$X,'01. KE30'!$F:$F,'05. BC BH THEO SKU-USD'!$D48,'01. KE30'!$A:$A,'05. BC BH THEO SKU-USD'!DV$4)-SUMIFS('01. KE30'!$AA:$AA,'01. KE30'!$F:$F,'05. BC BH THEO SKU-USD'!$D48,'01. KE30'!$A:$A,'05. BC BH THEO SKU-USD'!DV$4),"-")</f>
        <v>0</v>
      </c>
      <c r="DW48" s="114">
        <f>IFERROR(SUMIFS('01. KE30'!$X:$X,'01. KE30'!$F:$F,'05. BC BH THEO SKU-USD'!$D48,'01. KE30'!$A:$A,'05. BC BH THEO SKU-USD'!DW$4)-SUMIFS('01. KE30'!$AA:$AA,'01. KE30'!$F:$F,'05. BC BH THEO SKU-USD'!$D48,'01. KE30'!$A:$A,'05. BC BH THEO SKU-USD'!DW$4),"-")</f>
        <v>0</v>
      </c>
      <c r="DX48" s="114">
        <f>IFERROR(SUMIFS('01. KE30'!$X:$X,'01. KE30'!$F:$F,'05. BC BH THEO SKU-USD'!$D48,'01. KE30'!$A:$A,'05. BC BH THEO SKU-USD'!DX$4)-SUMIFS('01. KE30'!$AA:$AA,'01. KE30'!$F:$F,'05. BC BH THEO SKU-USD'!$D48,'01. KE30'!$A:$A,'05. BC BH THEO SKU-USD'!DX$4),"-")</f>
        <v>0</v>
      </c>
      <c r="DY48" s="114">
        <f>IFERROR(SUMIFS('01. KE30'!$X:$X,'01. KE30'!$F:$F,'05. BC BH THEO SKU-USD'!$D48,'01. KE30'!$A:$A,'05. BC BH THEO SKU-USD'!DY$4)-SUMIFS('01. KE30'!$AA:$AA,'01. KE30'!$F:$F,'05. BC BH THEO SKU-USD'!$D48,'01. KE30'!$A:$A,'05. BC BH THEO SKU-USD'!DY$4),"-")</f>
        <v>0</v>
      </c>
      <c r="DZ48" s="114">
        <f>IFERROR(SUMIFS('01. KE30'!$X:$X,'01. KE30'!$F:$F,'05. BC BH THEO SKU-USD'!$D48,'01. KE30'!$A:$A,'05. BC BH THEO SKU-USD'!DZ$4)-SUMIFS('01. KE30'!$AA:$AA,'01. KE30'!$F:$F,'05. BC BH THEO SKU-USD'!$D48,'01. KE30'!$A:$A,'05. BC BH THEO SKU-USD'!DZ$4),"-")</f>
        <v>0</v>
      </c>
      <c r="EB48" s="571">
        <f t="shared" si="252"/>
        <v>5.387327270123457E-2</v>
      </c>
      <c r="EC48" s="573">
        <f t="shared" si="253"/>
        <v>0</v>
      </c>
      <c r="ED48" s="572">
        <f t="shared" si="19"/>
        <v>7.7909046387035261E-2</v>
      </c>
      <c r="EE48" s="572">
        <f t="shared" si="20"/>
        <v>0</v>
      </c>
      <c r="EF48" s="572">
        <f t="shared" si="21"/>
        <v>0</v>
      </c>
      <c r="EG48" s="572">
        <f t="shared" si="22"/>
        <v>0</v>
      </c>
      <c r="EH48" s="572">
        <f t="shared" si="23"/>
        <v>6.8010436363636365E-2</v>
      </c>
      <c r="EI48" s="572">
        <f t="shared" si="24"/>
        <v>2.6178357897592503E-2</v>
      </c>
      <c r="EJ48" s="572">
        <f t="shared" si="25"/>
        <v>0</v>
      </c>
      <c r="EK48" s="572">
        <f t="shared" si="26"/>
        <v>0</v>
      </c>
      <c r="EL48" s="572">
        <f t="shared" si="27"/>
        <v>0</v>
      </c>
      <c r="EM48" s="572">
        <f t="shared" si="28"/>
        <v>0</v>
      </c>
      <c r="EN48" s="572">
        <f t="shared" si="29"/>
        <v>0</v>
      </c>
    </row>
    <row r="49" spans="1:144" ht="15.5" outlineLevel="1" x14ac:dyDescent="0.35">
      <c r="A49" s="10">
        <f t="shared" si="324"/>
        <v>8</v>
      </c>
      <c r="B49" s="10" t="s">
        <v>266</v>
      </c>
      <c r="C49" s="246" t="str">
        <f>VLOOKUP(D49,'Quy đổi'!A:C,3,0)</f>
        <v>rHDI4DL01</v>
      </c>
      <c r="D49" s="464" t="s">
        <v>224</v>
      </c>
      <c r="E49" s="7" t="s">
        <v>225</v>
      </c>
      <c r="F49" s="92" t="str">
        <f t="shared" si="295"/>
        <v>-</v>
      </c>
      <c r="G49" s="106" t="str">
        <f>IFERROR(SUMIFS('01. KE30'!$K:$K,'01. KE30'!$F:$F,'05. BC BH THEO SKU-USD'!$D49,'01. KE30'!$A:$A,'05. BC BH THEO SKU-USD'!G$4)/'05. BC BH THEO SKU-USD'!CM49/'02. Tỷ giá'!B$5,"-")</f>
        <v>-</v>
      </c>
      <c r="H49" s="106" t="str">
        <f>IFERROR(SUMIFS('01. KE30'!$K:$K,'01. KE30'!$F:$F,'05. BC BH THEO SKU-USD'!$D49,'01. KE30'!$A:$A,'05. BC BH THEO SKU-USD'!H$4)/'05. BC BH THEO SKU-USD'!CN49/'02. Tỷ giá'!C$5,"-")</f>
        <v>-</v>
      </c>
      <c r="I49" s="106" t="str">
        <f>IFERROR(SUMIFS('01. KE30'!$K:$K,'01. KE30'!$F:$F,'05. BC BH THEO SKU-USD'!$D49,'01. KE30'!$A:$A,'05. BC BH THEO SKU-USD'!I$4)/'05. BC BH THEO SKU-USD'!CO49/'02. Tỷ giá'!D$5,"-")</f>
        <v>-</v>
      </c>
      <c r="J49" s="106" t="str">
        <f>IFERROR(SUMIFS('01. KE30'!$K:$K,'01. KE30'!$F:$F,'05. BC BH THEO SKU-USD'!$D49,'01. KE30'!$A:$A,'05. BC BH THEO SKU-USD'!J$4)/'05. BC BH THEO SKU-USD'!CP49/'02. Tỷ giá'!E$5,"-")</f>
        <v>-</v>
      </c>
      <c r="K49" s="106" t="str">
        <f>IFERROR(SUMIFS('01. KE30'!$K:$K,'01. KE30'!$F:$F,'05. BC BH THEO SKU-USD'!$D49,'01. KE30'!$A:$A,'05. BC BH THEO SKU-USD'!K$4)/'05. BC BH THEO SKU-USD'!CQ49/'02. Tỷ giá'!F$5,"-")</f>
        <v>-</v>
      </c>
      <c r="L49" s="106" t="str">
        <f>IFERROR(SUMIFS('01. KE30'!$K:$K,'01. KE30'!$F:$F,'05. BC BH THEO SKU-USD'!$D49,'01. KE30'!$A:$A,'05. BC BH THEO SKU-USD'!L$4)/'05. BC BH THEO SKU-USD'!CR49/'02. Tỷ giá'!G$5,"-")</f>
        <v>-</v>
      </c>
      <c r="M49" s="106" t="str">
        <f>IFERROR(SUMIFS('01. KE30'!$K:$K,'01. KE30'!$F:$F,'05. BC BH THEO SKU-USD'!$D49,'01. KE30'!$A:$A,'05. BC BH THEO SKU-USD'!M$4)/'05. BC BH THEO SKU-USD'!CS49/'02. Tỷ giá'!H$5,"-")</f>
        <v>-</v>
      </c>
      <c r="N49" s="106" t="str">
        <f>IFERROR(SUMIFS('01. KE30'!$K:$K,'01. KE30'!$F:$F,'05. BC BH THEO SKU-USD'!$D49,'01. KE30'!$A:$A,'05. BC BH THEO SKU-USD'!N$4)/'05. BC BH THEO SKU-USD'!CT49/'02. Tỷ giá'!I$5,"-")</f>
        <v>-</v>
      </c>
      <c r="O49" s="106" t="str">
        <f>IFERROR(SUMIFS('01. KE30'!$K:$K,'01. KE30'!$F:$F,'05. BC BH THEO SKU-USD'!$D49,'01. KE30'!$A:$A,'05. BC BH THEO SKU-USD'!O$4)/'05. BC BH THEO SKU-USD'!CU49/'02. Tỷ giá'!J$5,"-")</f>
        <v>-</v>
      </c>
      <c r="P49" s="106" t="str">
        <f>IFERROR(SUMIFS('01. KE30'!$K:$K,'01. KE30'!$F:$F,'05. BC BH THEO SKU-USD'!$D49,'01. KE30'!$A:$A,'05. BC BH THEO SKU-USD'!P$4)/'05. BC BH THEO SKU-USD'!CV49/'02. Tỷ giá'!K$5,"-")</f>
        <v>-</v>
      </c>
      <c r="Q49" s="106" t="str">
        <f>IFERROR(SUMIFS('01. KE30'!$K:$K,'01. KE30'!$F:$F,'05. BC BH THEO SKU-USD'!$D49,'01. KE30'!$A:$A,'05. BC BH THEO SKU-USD'!Q$4)/'05. BC BH THEO SKU-USD'!CW49/'02. Tỷ giá'!L$5,"-")</f>
        <v>-</v>
      </c>
      <c r="R49" s="106" t="str">
        <f>IFERROR(SUMIFS('01. KE30'!$K:$K,'01. KE30'!$F:$F,'05. BC BH THEO SKU-USD'!$D49,'01. KE30'!$A:$A,'05. BC BH THEO SKU-USD'!R$4)/'05. BC BH THEO SKU-USD'!CX49/'02. Tỷ giá'!M$5,"-")</f>
        <v>-</v>
      </c>
      <c r="T49" s="92">
        <f t="shared" si="309"/>
        <v>0</v>
      </c>
      <c r="U49" s="147" t="str">
        <f>IFERROR(SUMIFS('01. KE30'!$O:$O,'01. KE30'!$F:$F,'05. BC BH THEO SKU-USD'!$D49,'01. KE30'!$A:$A,'05. BC BH THEO SKU-USD'!G$4)/'05. BC BH THEO SKU-USD'!CM49/'02. Tỷ giá'!B$5,"-")</f>
        <v>-</v>
      </c>
      <c r="V49" s="147" t="str">
        <f>IFERROR(SUMIFS('01. KE30'!$O:$O,'01. KE30'!$F:$F,'05. BC BH THEO SKU-USD'!$D49,'01. KE30'!$A:$A,'05. BC BH THEO SKU-USD'!H$4)/'05. BC BH THEO SKU-USD'!CN49/'02. Tỷ giá'!C$5,"-")</f>
        <v>-</v>
      </c>
      <c r="W49" s="147" t="str">
        <f>IFERROR(SUMIFS('01. KE30'!$O:$O,'01. KE30'!$F:$F,'05. BC BH THEO SKU-USD'!$D49,'01. KE30'!$A:$A,'05. BC BH THEO SKU-USD'!I$4)/'05. BC BH THEO SKU-USD'!CO49/'02. Tỷ giá'!D$5,"-")</f>
        <v>-</v>
      </c>
      <c r="X49" s="147" t="str">
        <f>IFERROR(SUMIFS('01. KE30'!$O:$O,'01. KE30'!$F:$F,'05. BC BH THEO SKU-USD'!$D49,'01. KE30'!$A:$A,'05. BC BH THEO SKU-USD'!J$4)/'05. BC BH THEO SKU-USD'!CP49/'02. Tỷ giá'!E$5,"-")</f>
        <v>-</v>
      </c>
      <c r="Y49" s="147" t="str">
        <f>IFERROR(SUMIFS('01. KE30'!$O:$O,'01. KE30'!$F:$F,'05. BC BH THEO SKU-USD'!$D49,'01. KE30'!$A:$A,'05. BC BH THEO SKU-USD'!K$4)/'05. BC BH THEO SKU-USD'!CQ49/'02. Tỷ giá'!F$5,"-")</f>
        <v>-</v>
      </c>
      <c r="Z49" s="147" t="str">
        <f>IFERROR(SUMIFS('01. KE30'!$O:$O,'01. KE30'!$F:$F,'05. BC BH THEO SKU-USD'!$D49,'01. KE30'!$A:$A,'05. BC BH THEO SKU-USD'!L$4)/'05. BC BH THEO SKU-USD'!CR49/'02. Tỷ giá'!G$5,"-")</f>
        <v>-</v>
      </c>
      <c r="AA49" s="147" t="str">
        <f>IFERROR(SUMIFS('01. KE30'!$O:$O,'01. KE30'!$F:$F,'05. BC BH THEO SKU-USD'!$D49,'01. KE30'!$A:$A,'05. BC BH THEO SKU-USD'!M$4)/'05. BC BH THEO SKU-USD'!CS49/'02. Tỷ giá'!H$5,"-")</f>
        <v>-</v>
      </c>
      <c r="AB49" s="147" t="str">
        <f>IFERROR(SUMIFS('01. KE30'!$O:$O,'01. KE30'!$F:$F,'05. BC BH THEO SKU-USD'!$D49,'01. KE30'!$A:$A,'05. BC BH THEO SKU-USD'!N$4)/'05. BC BH THEO SKU-USD'!CT49/'02. Tỷ giá'!I$5,"-")</f>
        <v>-</v>
      </c>
      <c r="AC49" s="147" t="str">
        <f>IFERROR(SUMIFS('01. KE30'!$O:$O,'01. KE30'!$F:$F,'05. BC BH THEO SKU-USD'!$D49,'01. KE30'!$A:$A,'05. BC BH THEO SKU-USD'!O$4)/'05. BC BH THEO SKU-USD'!CU49/'02. Tỷ giá'!J$5,"-")</f>
        <v>-</v>
      </c>
      <c r="AD49" s="147" t="str">
        <f>IFERROR(SUMIFS('01. KE30'!$O:$O,'01. KE30'!$F:$F,'05. BC BH THEO SKU-USD'!$D49,'01. KE30'!$A:$A,'05. BC BH THEO SKU-USD'!P$4)/'05. BC BH THEO SKU-USD'!CV49/'02. Tỷ giá'!K$5,"-")</f>
        <v>-</v>
      </c>
      <c r="AE49" s="147" t="str">
        <f>IFERROR(SUMIFS('01. KE30'!$O:$O,'01. KE30'!$F:$F,'05. BC BH THEO SKU-USD'!$D49,'01. KE30'!$A:$A,'05. BC BH THEO SKU-USD'!Q$4)/'05. BC BH THEO SKU-USD'!CW49/'02. Tỷ giá'!L$5,"-")</f>
        <v>-</v>
      </c>
      <c r="AF49" s="147" t="str">
        <f>IFERROR(SUMIFS('01. KE30'!$O:$O,'01. KE30'!$F:$F,'05. BC BH THEO SKU-USD'!$D49,'01. KE30'!$A:$A,'05. BC BH THEO SKU-USD'!R$4)/'05. BC BH THEO SKU-USD'!CX49/'02. Tỷ giá'!M$5,"-")</f>
        <v>-</v>
      </c>
      <c r="AH49" s="55">
        <f t="shared" si="296"/>
        <v>790</v>
      </c>
      <c r="AI49" s="4">
        <v>870</v>
      </c>
      <c r="AJ49" s="4">
        <v>800</v>
      </c>
      <c r="AK49" s="4">
        <v>805</v>
      </c>
      <c r="AL49" s="4">
        <v>805</v>
      </c>
      <c r="AM49" s="4">
        <v>765</v>
      </c>
      <c r="AN49" s="4">
        <v>765</v>
      </c>
      <c r="AO49" s="4">
        <v>780</v>
      </c>
      <c r="AP49" s="4">
        <v>760</v>
      </c>
      <c r="AQ49" s="4">
        <v>760</v>
      </c>
      <c r="AR49" s="4"/>
      <c r="AS49" s="4"/>
      <c r="AT49" s="4"/>
      <c r="AV49" s="54" t="str">
        <f t="shared" si="299"/>
        <v>-</v>
      </c>
      <c r="AW49" s="95" t="str">
        <f t="shared" si="299"/>
        <v>-</v>
      </c>
      <c r="AX49" s="95" t="str">
        <f t="shared" si="299"/>
        <v>-</v>
      </c>
      <c r="AY49" s="95" t="str">
        <f t="shared" si="299"/>
        <v>-</v>
      </c>
      <c r="AZ49" s="95" t="str">
        <f t="shared" si="299"/>
        <v>-</v>
      </c>
      <c r="BA49" s="95" t="str">
        <f t="shared" si="299"/>
        <v>-</v>
      </c>
      <c r="BB49" s="95" t="str">
        <f t="shared" si="299"/>
        <v>-</v>
      </c>
      <c r="BC49" s="95" t="str">
        <f t="shared" si="299"/>
        <v>-</v>
      </c>
      <c r="BD49" s="95" t="str">
        <f t="shared" si="299"/>
        <v>-</v>
      </c>
      <c r="BE49" s="95" t="str">
        <f t="shared" si="299"/>
        <v>-</v>
      </c>
      <c r="BF49" s="95" t="str">
        <f t="shared" si="299"/>
        <v>-</v>
      </c>
      <c r="BG49" s="95" t="str">
        <f t="shared" si="299"/>
        <v>-</v>
      </c>
      <c r="BH49" s="95" t="str">
        <f t="shared" si="299"/>
        <v>-</v>
      </c>
      <c r="BJ49" s="143" t="str">
        <f t="shared" si="65"/>
        <v>-</v>
      </c>
      <c r="BK49" s="143" t="str">
        <f t="shared" si="65"/>
        <v>-</v>
      </c>
      <c r="BL49" s="143" t="str">
        <f t="shared" si="65"/>
        <v>-</v>
      </c>
      <c r="BM49" s="143" t="str">
        <f t="shared" si="65"/>
        <v>-</v>
      </c>
      <c r="BN49" s="143" t="str">
        <f t="shared" si="65"/>
        <v>-</v>
      </c>
      <c r="BO49" s="143" t="str">
        <f t="shared" si="65"/>
        <v>-</v>
      </c>
      <c r="BP49" s="143" t="str">
        <f t="shared" si="65"/>
        <v>-</v>
      </c>
      <c r="BQ49" s="143" t="str">
        <f t="shared" si="65"/>
        <v>-</v>
      </c>
      <c r="BR49" s="143" t="str">
        <f t="shared" si="65"/>
        <v>-</v>
      </c>
      <c r="BS49" s="143" t="str">
        <f t="shared" si="65"/>
        <v>-</v>
      </c>
      <c r="BT49" s="143" t="str">
        <f t="shared" si="68"/>
        <v>-</v>
      </c>
      <c r="BU49" s="143" t="str">
        <f t="shared" si="68"/>
        <v>-</v>
      </c>
      <c r="BV49" s="143" t="str">
        <f t="shared" si="68"/>
        <v>-</v>
      </c>
      <c r="BX49" s="112" t="str">
        <f t="shared" si="310"/>
        <v>-</v>
      </c>
      <c r="BY49" s="95" t="str">
        <f>IFERROR(SUMIFS('01. KE30'!$R:$R,'01. KE30'!$F:$F,'05. BC BH THEO SKU-USD'!$D49,'01. KE30'!$A:$A,'05. BC BH THEO SKU-USD'!BY$4)/CM49/'02. Tỷ giá'!B$5," -")</f>
        <v xml:space="preserve"> -</v>
      </c>
      <c r="BZ49" s="95" t="str">
        <f>IFERROR(SUMIFS('01. KE30'!$R:$R,'01. KE30'!$F:$F,'05. BC BH THEO SKU-USD'!$D49,'01. KE30'!$A:$A,'05. BC BH THEO SKU-USD'!BZ$4)/CN49/'02. Tỷ giá'!C$5," -")</f>
        <v xml:space="preserve"> -</v>
      </c>
      <c r="CA49" s="95" t="str">
        <f>IFERROR(SUMIFS('01. KE30'!$R:$R,'01. KE30'!$F:$F,'05. BC BH THEO SKU-USD'!$D49,'01. KE30'!$A:$A,'05. BC BH THEO SKU-USD'!CA$4)/CO49/'02. Tỷ giá'!D$5," -")</f>
        <v xml:space="preserve"> -</v>
      </c>
      <c r="CB49" s="95" t="str">
        <f>IFERROR(SUMIFS('01. KE30'!$R:$R,'01. KE30'!$F:$F,'05. BC BH THEO SKU-USD'!$D49,'01. KE30'!$A:$A,'05. BC BH THEO SKU-USD'!CB$4)/CP49/'02. Tỷ giá'!E$5," -")</f>
        <v xml:space="preserve"> -</v>
      </c>
      <c r="CC49" s="95" t="str">
        <f>IFERROR(SUMIFS('01. KE30'!$R:$R,'01. KE30'!$F:$F,'05. BC BH THEO SKU-USD'!$D49,'01. KE30'!$A:$A,'05. BC BH THEO SKU-USD'!CC$4)/CQ49/'02. Tỷ giá'!F$5," -")</f>
        <v xml:space="preserve"> -</v>
      </c>
      <c r="CD49" s="95" t="str">
        <f>IFERROR(SUMIFS('01. KE30'!$R:$R,'01. KE30'!$F:$F,'05. BC BH THEO SKU-USD'!$D49,'01. KE30'!$A:$A,'05. BC BH THEO SKU-USD'!CD$4)/CR49/'02. Tỷ giá'!G$5," -")</f>
        <v xml:space="preserve"> -</v>
      </c>
      <c r="CE49" s="95" t="str">
        <f>IFERROR(SUMIFS('01. KE30'!$R:$R,'01. KE30'!$F:$F,'05. BC BH THEO SKU-USD'!$D49,'01. KE30'!$A:$A,'05. BC BH THEO SKU-USD'!CE$4)/CS49/'02. Tỷ giá'!H$5," -")</f>
        <v xml:space="preserve"> -</v>
      </c>
      <c r="CF49" s="95" t="str">
        <f>IFERROR(SUMIFS('01. KE30'!$R:$R,'01. KE30'!$F:$F,'05. BC BH THEO SKU-USD'!$D49,'01. KE30'!$A:$A,'05. BC BH THEO SKU-USD'!CF$4)/CT49/'02. Tỷ giá'!I$5," -")</f>
        <v xml:space="preserve"> -</v>
      </c>
      <c r="CG49" s="95" t="str">
        <f>IFERROR(SUMIFS('01. KE30'!$R:$R,'01. KE30'!$F:$F,'05. BC BH THEO SKU-USD'!$D49,'01. KE30'!$A:$A,'05. BC BH THEO SKU-USD'!CG$4)/CU49/'02. Tỷ giá'!J$5," -")</f>
        <v xml:space="preserve"> -</v>
      </c>
      <c r="CH49" s="95" t="str">
        <f>IFERROR(SUMIFS('01. KE30'!$R:$R,'01. KE30'!$F:$F,'05. BC BH THEO SKU-USD'!$D49,'01. KE30'!$A:$A,'05. BC BH THEO SKU-USD'!CH$4)/CV49/'02. Tỷ giá'!K$5," -")</f>
        <v xml:space="preserve"> -</v>
      </c>
      <c r="CI49" s="95" t="str">
        <f>IFERROR(SUMIFS('01. KE30'!$R:$R,'01. KE30'!$F:$F,'05. BC BH THEO SKU-USD'!$D49,'01. KE30'!$A:$A,'05. BC BH THEO SKU-USD'!CI$4)/CW49/'02. Tỷ giá'!L$5," -")</f>
        <v xml:space="preserve"> -</v>
      </c>
      <c r="CJ49" s="95" t="str">
        <f>IFERROR(SUMIFS('01. KE30'!$R:$R,'01. KE30'!$F:$F,'05. BC BH THEO SKU-USD'!$D49,'01. KE30'!$A:$A,'05. BC BH THEO SKU-USD'!CJ$4)/CX49/'02. Tỷ giá'!M$5," -")</f>
        <v xml:space="preserve"> -</v>
      </c>
      <c r="CL49" s="112">
        <f t="shared" si="281"/>
        <v>0</v>
      </c>
      <c r="CM49" s="114">
        <f>SUMIFS('01. KE30'!$I:$I,'01. KE30'!$F:$F,'05. BC BH THEO SKU-USD'!$D49,'01. KE30'!$A:$A,'05. BC BH THEO SKU-USD'!CM$4)/1000</f>
        <v>0</v>
      </c>
      <c r="CN49" s="114">
        <f>SUMIFS('01. KE30'!$I:$I,'01. KE30'!$F:$F,'05. BC BH THEO SKU-USD'!$D49,'01. KE30'!$A:$A,'05. BC BH THEO SKU-USD'!CN$4)/1000</f>
        <v>0</v>
      </c>
      <c r="CO49" s="114">
        <f>SUMIFS('01. KE30'!$I:$I,'01. KE30'!$F:$F,'05. BC BH THEO SKU-USD'!$D49,'01. KE30'!$A:$A,'05. BC BH THEO SKU-USD'!CO$4)/1000</f>
        <v>0</v>
      </c>
      <c r="CP49" s="114">
        <f>SUMIFS('01. KE30'!$I:$I,'01. KE30'!$F:$F,'05. BC BH THEO SKU-USD'!$D49,'01. KE30'!$A:$A,'05. BC BH THEO SKU-USD'!CP$4)/1000</f>
        <v>0</v>
      </c>
      <c r="CQ49" s="114">
        <f>SUMIFS('01. KE30'!$I:$I,'01. KE30'!$F:$F,'05. BC BH THEO SKU-USD'!$D49,'01. KE30'!$A:$A,'05. BC BH THEO SKU-USD'!CQ$4)/1000</f>
        <v>0</v>
      </c>
      <c r="CR49" s="114">
        <f>SUMIFS('01. KE30'!$I:$I,'01. KE30'!$F:$F,'05. BC BH THEO SKU-USD'!$D49,'01. KE30'!$A:$A,'05. BC BH THEO SKU-USD'!CR$4)/1000</f>
        <v>0</v>
      </c>
      <c r="CS49" s="114">
        <f>SUMIFS('01. KE30'!$I:$I,'01. KE30'!$F:$F,'05. BC BH THEO SKU-USD'!$D49,'01. KE30'!$A:$A,'05. BC BH THEO SKU-USD'!CS$4)/1000</f>
        <v>0</v>
      </c>
      <c r="CT49" s="114">
        <f>SUMIFS('01. KE30'!$I:$I,'01. KE30'!$F:$F,'05. BC BH THEO SKU-USD'!$D49,'01. KE30'!$A:$A,'05. BC BH THEO SKU-USD'!CT$4)/1000</f>
        <v>0</v>
      </c>
      <c r="CU49" s="114">
        <f>SUMIFS('01. KE30'!$I:$I,'01. KE30'!$F:$F,'05. BC BH THEO SKU-USD'!$D49,'01. KE30'!$A:$A,'05. BC BH THEO SKU-USD'!CU$4)/1000</f>
        <v>0</v>
      </c>
      <c r="CV49" s="114">
        <f>SUMIFS('01. KE30'!$I:$I,'01. KE30'!$F:$F,'05. BC BH THEO SKU-USD'!$D49,'01. KE30'!$A:$A,'05. BC BH THEO SKU-USD'!CV$4)/1000</f>
        <v>0</v>
      </c>
      <c r="CW49" s="114">
        <f>SUMIFS('01. KE30'!$I:$I,'01. KE30'!$F:$F,'05. BC BH THEO SKU-USD'!$D49,'01. KE30'!$A:$A,'05. BC BH THEO SKU-USD'!CW$4)/1000</f>
        <v>0</v>
      </c>
      <c r="CX49" s="114">
        <f>SUMIFS('01. KE30'!$I:$I,'01. KE30'!$F:$F,'05. BC BH THEO SKU-USD'!$D49,'01. KE30'!$A:$A,'05. BC BH THEO SKU-USD'!CX$4)/1000</f>
        <v>0</v>
      </c>
      <c r="CZ49" s="112">
        <f t="shared" si="311"/>
        <v>0</v>
      </c>
      <c r="DA49" s="54" t="str">
        <f t="shared" si="312"/>
        <v xml:space="preserve"> -</v>
      </c>
      <c r="DB49" s="54" t="str">
        <f t="shared" si="313"/>
        <v xml:space="preserve"> -</v>
      </c>
      <c r="DC49" s="54" t="str">
        <f t="shared" si="314"/>
        <v xml:space="preserve"> -</v>
      </c>
      <c r="DD49" s="54" t="str">
        <f t="shared" si="315"/>
        <v xml:space="preserve"> -</v>
      </c>
      <c r="DE49" s="54" t="str">
        <f t="shared" si="316"/>
        <v xml:space="preserve"> -</v>
      </c>
      <c r="DF49" s="54" t="str">
        <f t="shared" si="317"/>
        <v xml:space="preserve"> -</v>
      </c>
      <c r="DG49" s="54" t="str">
        <f t="shared" si="318"/>
        <v xml:space="preserve"> -</v>
      </c>
      <c r="DH49" s="54" t="str">
        <f t="shared" si="319"/>
        <v xml:space="preserve"> -</v>
      </c>
      <c r="DI49" s="54" t="str">
        <f t="shared" si="320"/>
        <v xml:space="preserve"> -</v>
      </c>
      <c r="DJ49" s="54" t="str">
        <f t="shared" si="321"/>
        <v xml:space="preserve"> -</v>
      </c>
      <c r="DK49" s="54" t="str">
        <f t="shared" si="322"/>
        <v xml:space="preserve"> -</v>
      </c>
      <c r="DL49" s="54" t="str">
        <f t="shared" si="323"/>
        <v xml:space="preserve"> -</v>
      </c>
      <c r="DN49" s="112">
        <f t="shared" si="64"/>
        <v>0</v>
      </c>
      <c r="DO49" s="114">
        <f>IFERROR(SUMIFS('01. KE30'!$X:$X,'01. KE30'!$F:$F,'05. BC BH THEO SKU-USD'!$D49,'01. KE30'!$A:$A,'05. BC BH THEO SKU-USD'!DO$4)-SUMIFS('01. KE30'!$AA:$AA,'01. KE30'!$F:$F,'05. BC BH THEO SKU-USD'!$D49,'01. KE30'!$A:$A,'05. BC BH THEO SKU-USD'!DO$4),"-")</f>
        <v>0</v>
      </c>
      <c r="DP49" s="114">
        <f>IFERROR(SUMIFS('01. KE30'!$X:$X,'01. KE30'!$F:$F,'05. BC BH THEO SKU-USD'!$D49,'01. KE30'!$A:$A,'05. BC BH THEO SKU-USD'!DP$4)-SUMIFS('01. KE30'!$AA:$AA,'01. KE30'!$F:$F,'05. BC BH THEO SKU-USD'!$D49,'01. KE30'!$A:$A,'05. BC BH THEO SKU-USD'!DP$4),"-")</f>
        <v>0</v>
      </c>
      <c r="DQ49" s="114">
        <f>IFERROR(SUMIFS('01. KE30'!$X:$X,'01. KE30'!$F:$F,'05. BC BH THEO SKU-USD'!$D49,'01. KE30'!$A:$A,'05. BC BH THEO SKU-USD'!DQ$4)-SUMIFS('01. KE30'!$AA:$AA,'01. KE30'!$F:$F,'05. BC BH THEO SKU-USD'!$D49,'01. KE30'!$A:$A,'05. BC BH THEO SKU-USD'!DQ$4),"-")</f>
        <v>0</v>
      </c>
      <c r="DR49" s="114">
        <f>IFERROR(SUMIFS('01. KE30'!$X:$X,'01. KE30'!$F:$F,'05. BC BH THEO SKU-USD'!$D49,'01. KE30'!$A:$A,'05. BC BH THEO SKU-USD'!DR$4)-SUMIFS('01. KE30'!$AA:$AA,'01. KE30'!$F:$F,'05. BC BH THEO SKU-USD'!$D49,'01. KE30'!$A:$A,'05. BC BH THEO SKU-USD'!DR$4),"-")</f>
        <v>0</v>
      </c>
      <c r="DS49" s="114">
        <f>IFERROR(SUMIFS('01. KE30'!$X:$X,'01. KE30'!$F:$F,'05. BC BH THEO SKU-USD'!$D49,'01. KE30'!$A:$A,'05. BC BH THEO SKU-USD'!DS$4)-SUMIFS('01. KE30'!$AA:$AA,'01. KE30'!$F:$F,'05. BC BH THEO SKU-USD'!$D49,'01. KE30'!$A:$A,'05. BC BH THEO SKU-USD'!DS$4),"-")</f>
        <v>0</v>
      </c>
      <c r="DT49" s="114">
        <f>IFERROR(SUMIFS('01. KE30'!$X:$X,'01. KE30'!$F:$F,'05. BC BH THEO SKU-USD'!$D49,'01. KE30'!$A:$A,'05. BC BH THEO SKU-USD'!DT$4)-SUMIFS('01. KE30'!$AA:$AA,'01. KE30'!$F:$F,'05. BC BH THEO SKU-USD'!$D49,'01. KE30'!$A:$A,'05. BC BH THEO SKU-USD'!DT$4),"-")</f>
        <v>0</v>
      </c>
      <c r="DU49" s="114">
        <f>IFERROR(SUMIFS('01. KE30'!$X:$X,'01. KE30'!$F:$F,'05. BC BH THEO SKU-USD'!$D49,'01. KE30'!$A:$A,'05. BC BH THEO SKU-USD'!DU$4)-SUMIFS('01. KE30'!$AA:$AA,'01. KE30'!$F:$F,'05. BC BH THEO SKU-USD'!$D49,'01. KE30'!$A:$A,'05. BC BH THEO SKU-USD'!DU$4),"-")</f>
        <v>0</v>
      </c>
      <c r="DV49" s="114">
        <f>IFERROR(SUMIFS('01. KE30'!$X:$X,'01. KE30'!$F:$F,'05. BC BH THEO SKU-USD'!$D49,'01. KE30'!$A:$A,'05. BC BH THEO SKU-USD'!DV$4)-SUMIFS('01. KE30'!$AA:$AA,'01. KE30'!$F:$F,'05. BC BH THEO SKU-USD'!$D49,'01. KE30'!$A:$A,'05. BC BH THEO SKU-USD'!DV$4),"-")</f>
        <v>0</v>
      </c>
      <c r="DW49" s="114">
        <f>IFERROR(SUMIFS('01. KE30'!$X:$X,'01. KE30'!$F:$F,'05. BC BH THEO SKU-USD'!$D49,'01. KE30'!$A:$A,'05. BC BH THEO SKU-USD'!DW$4)-SUMIFS('01. KE30'!$AA:$AA,'01. KE30'!$F:$F,'05. BC BH THEO SKU-USD'!$D49,'01. KE30'!$A:$A,'05. BC BH THEO SKU-USD'!DW$4),"-")</f>
        <v>0</v>
      </c>
      <c r="DX49" s="114">
        <f>IFERROR(SUMIFS('01. KE30'!$X:$X,'01. KE30'!$F:$F,'05. BC BH THEO SKU-USD'!$D49,'01. KE30'!$A:$A,'05. BC BH THEO SKU-USD'!DX$4)-SUMIFS('01. KE30'!$AA:$AA,'01. KE30'!$F:$F,'05. BC BH THEO SKU-USD'!$D49,'01. KE30'!$A:$A,'05. BC BH THEO SKU-USD'!DX$4),"-")</f>
        <v>0</v>
      </c>
      <c r="DY49" s="114">
        <f>IFERROR(SUMIFS('01. KE30'!$X:$X,'01. KE30'!$F:$F,'05. BC BH THEO SKU-USD'!$D49,'01. KE30'!$A:$A,'05. BC BH THEO SKU-USD'!DY$4)-SUMIFS('01. KE30'!$AA:$AA,'01. KE30'!$F:$F,'05. BC BH THEO SKU-USD'!$D49,'01. KE30'!$A:$A,'05. BC BH THEO SKU-USD'!DY$4),"-")</f>
        <v>0</v>
      </c>
      <c r="DZ49" s="114">
        <f>IFERROR(SUMIFS('01. KE30'!$X:$X,'01. KE30'!$F:$F,'05. BC BH THEO SKU-USD'!$D49,'01. KE30'!$A:$A,'05. BC BH THEO SKU-USD'!DZ$4)-SUMIFS('01. KE30'!$AA:$AA,'01. KE30'!$F:$F,'05. BC BH THEO SKU-USD'!$D49,'01. KE30'!$A:$A,'05. BC BH THEO SKU-USD'!DZ$4),"-")</f>
        <v>0</v>
      </c>
      <c r="EB49" s="576">
        <f t="shared" si="252"/>
        <v>0</v>
      </c>
      <c r="EC49" s="573">
        <f t="shared" si="253"/>
        <v>0</v>
      </c>
      <c r="ED49" s="573">
        <f t="shared" si="19"/>
        <v>0</v>
      </c>
      <c r="EE49" s="572">
        <f t="shared" si="20"/>
        <v>0</v>
      </c>
      <c r="EF49" s="572">
        <f t="shared" si="21"/>
        <v>0</v>
      </c>
      <c r="EG49" s="572">
        <f t="shared" si="22"/>
        <v>0</v>
      </c>
      <c r="EH49" s="572">
        <f t="shared" si="23"/>
        <v>0</v>
      </c>
      <c r="EI49" s="572">
        <f t="shared" si="24"/>
        <v>0</v>
      </c>
      <c r="EJ49" s="572">
        <f t="shared" si="25"/>
        <v>0</v>
      </c>
      <c r="EK49" s="572">
        <f t="shared" si="26"/>
        <v>0</v>
      </c>
      <c r="EL49" s="572">
        <f t="shared" si="27"/>
        <v>0</v>
      </c>
      <c r="EM49" s="572">
        <f t="shared" si="28"/>
        <v>0</v>
      </c>
      <c r="EN49" s="572">
        <f t="shared" si="29"/>
        <v>0</v>
      </c>
    </row>
    <row r="50" spans="1:144" ht="15.5" outlineLevel="1" x14ac:dyDescent="0.35">
      <c r="A50" s="10">
        <f t="shared" si="324"/>
        <v>9</v>
      </c>
      <c r="B50" s="10" t="s">
        <v>266</v>
      </c>
      <c r="C50" s="246"/>
      <c r="D50" s="464"/>
      <c r="E50" s="7"/>
      <c r="F50" s="92" t="str">
        <f t="shared" si="295"/>
        <v>-</v>
      </c>
      <c r="G50" s="106" t="str">
        <f>IFERROR(SUMIFS('01. KE30'!$K:$K,'01. KE30'!$F:$F,'05. BC BH THEO SKU-USD'!$D50,'01. KE30'!$A:$A,'05. BC BH THEO SKU-USD'!G$4)/'05. BC BH THEO SKU-USD'!CM50/'02. Tỷ giá'!B$5,"-")</f>
        <v>-</v>
      </c>
      <c r="H50" s="106" t="str">
        <f>IFERROR(SUMIFS('01. KE30'!$K:$K,'01. KE30'!$F:$F,'05. BC BH THEO SKU-USD'!$D50,'01. KE30'!$A:$A,'05. BC BH THEO SKU-USD'!H$4)/'05. BC BH THEO SKU-USD'!CN50/'02. Tỷ giá'!C$5,"-")</f>
        <v>-</v>
      </c>
      <c r="I50" s="106" t="str">
        <f>IFERROR(SUMIFS('01. KE30'!$K:$K,'01. KE30'!$F:$F,'05. BC BH THEO SKU-USD'!$D50,'01. KE30'!$A:$A,'05. BC BH THEO SKU-USD'!I$4)/'05. BC BH THEO SKU-USD'!CO50/'02. Tỷ giá'!D$5,"-")</f>
        <v>-</v>
      </c>
      <c r="J50" s="106" t="str">
        <f>IFERROR(SUMIFS('01. KE30'!$K:$K,'01. KE30'!$F:$F,'05. BC BH THEO SKU-USD'!$D50,'01. KE30'!$A:$A,'05. BC BH THEO SKU-USD'!J$4)/'05. BC BH THEO SKU-USD'!CP50/'02. Tỷ giá'!E$5,"-")</f>
        <v>-</v>
      </c>
      <c r="K50" s="106" t="str">
        <f>IFERROR(SUMIFS('01. KE30'!$K:$K,'01. KE30'!$F:$F,'05. BC BH THEO SKU-USD'!$D50,'01. KE30'!$A:$A,'05. BC BH THEO SKU-USD'!K$4)/'05. BC BH THEO SKU-USD'!CQ50/'02. Tỷ giá'!F$5,"-")</f>
        <v>-</v>
      </c>
      <c r="L50" s="106" t="str">
        <f>IFERROR(SUMIFS('01. KE30'!$K:$K,'01. KE30'!$F:$F,'05. BC BH THEO SKU-USD'!$D50,'01. KE30'!$A:$A,'05. BC BH THEO SKU-USD'!L$4)/'05. BC BH THEO SKU-USD'!CR50/'02. Tỷ giá'!G$5,"-")</f>
        <v>-</v>
      </c>
      <c r="M50" s="106" t="str">
        <f>IFERROR(SUMIFS('01. KE30'!$K:$K,'01. KE30'!$F:$F,'05. BC BH THEO SKU-USD'!$D50,'01. KE30'!$A:$A,'05. BC BH THEO SKU-USD'!M$4)/'05. BC BH THEO SKU-USD'!CS50/'02. Tỷ giá'!H$5,"-")</f>
        <v>-</v>
      </c>
      <c r="N50" s="106" t="str">
        <f>IFERROR(SUMIFS('01. KE30'!$K:$K,'01. KE30'!$F:$F,'05. BC BH THEO SKU-USD'!$D50,'01. KE30'!$A:$A,'05. BC BH THEO SKU-USD'!N$4)/'05. BC BH THEO SKU-USD'!CT50/'02. Tỷ giá'!I$5,"-")</f>
        <v>-</v>
      </c>
      <c r="O50" s="106" t="str">
        <f>IFERROR(SUMIFS('01. KE30'!$K:$K,'01. KE30'!$F:$F,'05. BC BH THEO SKU-USD'!$D50,'01. KE30'!$A:$A,'05. BC BH THEO SKU-USD'!O$4)/'05. BC BH THEO SKU-USD'!CU50/'02. Tỷ giá'!J$5,"-")</f>
        <v>-</v>
      </c>
      <c r="P50" s="106" t="str">
        <f>IFERROR(SUMIFS('01. KE30'!$K:$K,'01. KE30'!$F:$F,'05. BC BH THEO SKU-USD'!$D50,'01. KE30'!$A:$A,'05. BC BH THEO SKU-USD'!P$4)/'05. BC BH THEO SKU-USD'!CV50/'02. Tỷ giá'!K$5,"-")</f>
        <v>-</v>
      </c>
      <c r="Q50" s="106" t="str">
        <f>IFERROR(SUMIFS('01. KE30'!$K:$K,'01. KE30'!$F:$F,'05. BC BH THEO SKU-USD'!$D50,'01. KE30'!$A:$A,'05. BC BH THEO SKU-USD'!Q$4)/'05. BC BH THEO SKU-USD'!CW50/'02. Tỷ giá'!L$5,"-")</f>
        <v>-</v>
      </c>
      <c r="R50" s="106" t="str">
        <f>IFERROR(SUMIFS('01. KE30'!$K:$K,'01. KE30'!$F:$F,'05. BC BH THEO SKU-USD'!$D50,'01. KE30'!$A:$A,'05. BC BH THEO SKU-USD'!R$4)/'05. BC BH THEO SKU-USD'!CX50/'02. Tỷ giá'!M$5,"-")</f>
        <v>-</v>
      </c>
      <c r="T50" s="92">
        <f t="shared" si="309"/>
        <v>0</v>
      </c>
      <c r="U50" s="147" t="str">
        <f>IFERROR(SUMIFS('01. KE30'!$O:$O,'01. KE30'!$F:$F,'05. BC BH THEO SKU-USD'!$D50,'01. KE30'!$A:$A,'05. BC BH THEO SKU-USD'!G$4)/'05. BC BH THEO SKU-USD'!CM50/'02. Tỷ giá'!B$5,"-")</f>
        <v>-</v>
      </c>
      <c r="V50" s="147" t="str">
        <f>IFERROR(SUMIFS('01. KE30'!$O:$O,'01. KE30'!$F:$F,'05. BC BH THEO SKU-USD'!$D50,'01. KE30'!$A:$A,'05. BC BH THEO SKU-USD'!H$4)/'05. BC BH THEO SKU-USD'!CN50/'02. Tỷ giá'!C$5,"-")</f>
        <v>-</v>
      </c>
      <c r="W50" s="147" t="str">
        <f>IFERROR(SUMIFS('01. KE30'!$O:$O,'01. KE30'!$F:$F,'05. BC BH THEO SKU-USD'!$D50,'01. KE30'!$A:$A,'05. BC BH THEO SKU-USD'!I$4)/'05. BC BH THEO SKU-USD'!CO50/'02. Tỷ giá'!D$5,"-")</f>
        <v>-</v>
      </c>
      <c r="X50" s="147" t="str">
        <f>IFERROR(SUMIFS('01. KE30'!$O:$O,'01. KE30'!$F:$F,'05. BC BH THEO SKU-USD'!$D50,'01. KE30'!$A:$A,'05. BC BH THEO SKU-USD'!J$4)/'05. BC BH THEO SKU-USD'!CP50/'02. Tỷ giá'!E$5,"-")</f>
        <v>-</v>
      </c>
      <c r="Y50" s="147" t="str">
        <f>IFERROR(SUMIFS('01. KE30'!$O:$O,'01. KE30'!$F:$F,'05. BC BH THEO SKU-USD'!$D50,'01. KE30'!$A:$A,'05. BC BH THEO SKU-USD'!K$4)/'05. BC BH THEO SKU-USD'!CQ50/'02. Tỷ giá'!F$5,"-")</f>
        <v>-</v>
      </c>
      <c r="Z50" s="147" t="str">
        <f>IFERROR(SUMIFS('01. KE30'!$O:$O,'01. KE30'!$F:$F,'05. BC BH THEO SKU-USD'!$D50,'01. KE30'!$A:$A,'05. BC BH THEO SKU-USD'!L$4)/'05. BC BH THEO SKU-USD'!CR50/'02. Tỷ giá'!G$5,"-")</f>
        <v>-</v>
      </c>
      <c r="AA50" s="147" t="str">
        <f>IFERROR(SUMIFS('01. KE30'!$O:$O,'01. KE30'!$F:$F,'05. BC BH THEO SKU-USD'!$D50,'01. KE30'!$A:$A,'05. BC BH THEO SKU-USD'!M$4)/'05. BC BH THEO SKU-USD'!CS50/'02. Tỷ giá'!H$5,"-")</f>
        <v>-</v>
      </c>
      <c r="AB50" s="147" t="str">
        <f>IFERROR(SUMIFS('01. KE30'!$O:$O,'01. KE30'!$F:$F,'05. BC BH THEO SKU-USD'!$D50,'01. KE30'!$A:$A,'05. BC BH THEO SKU-USD'!N$4)/'05. BC BH THEO SKU-USD'!CT50/'02. Tỷ giá'!I$5,"-")</f>
        <v>-</v>
      </c>
      <c r="AC50" s="147" t="str">
        <f>IFERROR(SUMIFS('01. KE30'!$O:$O,'01. KE30'!$F:$F,'05. BC BH THEO SKU-USD'!$D50,'01. KE30'!$A:$A,'05. BC BH THEO SKU-USD'!O$4)/'05. BC BH THEO SKU-USD'!CU50/'02. Tỷ giá'!J$5,"-")</f>
        <v>-</v>
      </c>
      <c r="AD50" s="147" t="str">
        <f>IFERROR(SUMIFS('01. KE30'!$O:$O,'01. KE30'!$F:$F,'05. BC BH THEO SKU-USD'!$D50,'01. KE30'!$A:$A,'05. BC BH THEO SKU-USD'!P$4)/'05. BC BH THEO SKU-USD'!CV50/'02. Tỷ giá'!K$5,"-")</f>
        <v>-</v>
      </c>
      <c r="AE50" s="147" t="str">
        <f>IFERROR(SUMIFS('01. KE30'!$O:$O,'01. KE30'!$F:$F,'05. BC BH THEO SKU-USD'!$D50,'01. KE30'!$A:$A,'05. BC BH THEO SKU-USD'!Q$4)/'05. BC BH THEO SKU-USD'!CW50/'02. Tỷ giá'!L$5,"-")</f>
        <v>-</v>
      </c>
      <c r="AF50" s="147" t="str">
        <f>IFERROR(SUMIFS('01. KE30'!$O:$O,'01. KE30'!$F:$F,'05. BC BH THEO SKU-USD'!$D50,'01. KE30'!$A:$A,'05. BC BH THEO SKU-USD'!R$4)/'05. BC BH THEO SKU-USD'!CX50/'02. Tỷ giá'!M$5,"-")</f>
        <v>-</v>
      </c>
      <c r="AH50" s="55">
        <f t="shared" si="296"/>
        <v>793.75</v>
      </c>
      <c r="AI50" s="4">
        <v>870</v>
      </c>
      <c r="AJ50" s="4">
        <v>800</v>
      </c>
      <c r="AK50" s="4">
        <v>805</v>
      </c>
      <c r="AL50" s="4">
        <v>805</v>
      </c>
      <c r="AM50" s="4">
        <v>765</v>
      </c>
      <c r="AN50" s="4">
        <v>765</v>
      </c>
      <c r="AO50" s="4">
        <v>780</v>
      </c>
      <c r="AP50" s="4">
        <v>760</v>
      </c>
      <c r="AQ50" s="4"/>
      <c r="AR50" s="4"/>
      <c r="AS50" s="4"/>
      <c r="AT50" s="4"/>
      <c r="AV50" s="54" t="str">
        <f t="shared" si="299"/>
        <v>-</v>
      </c>
      <c r="AW50" s="95" t="str">
        <f t="shared" si="299"/>
        <v>-</v>
      </c>
      <c r="AX50" s="95" t="str">
        <f t="shared" si="299"/>
        <v>-</v>
      </c>
      <c r="AY50" s="95" t="str">
        <f t="shared" si="299"/>
        <v>-</v>
      </c>
      <c r="AZ50" s="95" t="str">
        <f t="shared" si="299"/>
        <v>-</v>
      </c>
      <c r="BA50" s="95" t="str">
        <f t="shared" si="299"/>
        <v>-</v>
      </c>
      <c r="BB50" s="95" t="str">
        <f t="shared" si="299"/>
        <v>-</v>
      </c>
      <c r="BC50" s="95" t="str">
        <f t="shared" si="299"/>
        <v>-</v>
      </c>
      <c r="BD50" s="95" t="str">
        <f t="shared" si="299"/>
        <v>-</v>
      </c>
      <c r="BE50" s="95" t="str">
        <f t="shared" si="299"/>
        <v>-</v>
      </c>
      <c r="BF50" s="95" t="str">
        <f t="shared" si="299"/>
        <v>-</v>
      </c>
      <c r="BG50" s="95" t="str">
        <f t="shared" si="299"/>
        <v>-</v>
      </c>
      <c r="BH50" s="95" t="str">
        <f t="shared" si="299"/>
        <v>-</v>
      </c>
      <c r="BJ50" s="143" t="str">
        <f t="shared" si="65"/>
        <v>-</v>
      </c>
      <c r="BK50" s="143" t="str">
        <f t="shared" si="65"/>
        <v>-</v>
      </c>
      <c r="BL50" s="143" t="str">
        <f t="shared" si="65"/>
        <v>-</v>
      </c>
      <c r="BM50" s="143" t="str">
        <f t="shared" si="65"/>
        <v>-</v>
      </c>
      <c r="BN50" s="143" t="str">
        <f t="shared" si="65"/>
        <v>-</v>
      </c>
      <c r="BO50" s="143" t="str">
        <f t="shared" si="65"/>
        <v>-</v>
      </c>
      <c r="BP50" s="143" t="str">
        <f t="shared" si="65"/>
        <v>-</v>
      </c>
      <c r="BQ50" s="143" t="str">
        <f t="shared" si="65"/>
        <v>-</v>
      </c>
      <c r="BR50" s="143" t="str">
        <f t="shared" si="65"/>
        <v>-</v>
      </c>
      <c r="BS50" s="143" t="str">
        <f t="shared" si="65"/>
        <v>-</v>
      </c>
      <c r="BT50" s="143" t="str">
        <f t="shared" si="68"/>
        <v>-</v>
      </c>
      <c r="BU50" s="143" t="str">
        <f t="shared" si="68"/>
        <v>-</v>
      </c>
      <c r="BV50" s="143" t="str">
        <f t="shared" si="68"/>
        <v>-</v>
      </c>
      <c r="BX50" s="112" t="str">
        <f t="shared" si="310"/>
        <v>-</v>
      </c>
      <c r="BY50" s="95" t="str">
        <f>IFERROR(SUMIFS('01. KE30'!$R:$R,'01. KE30'!$F:$F,'05. BC BH THEO SKU-USD'!$D50,'01. KE30'!$A:$A,'05. BC BH THEO SKU-USD'!BY$4)/CM50/'02. Tỷ giá'!B$5," -")</f>
        <v xml:space="preserve"> -</v>
      </c>
      <c r="BZ50" s="95" t="str">
        <f>IFERROR(SUMIFS('01. KE30'!$R:$R,'01. KE30'!$F:$F,'05. BC BH THEO SKU-USD'!$D50,'01. KE30'!$A:$A,'05. BC BH THEO SKU-USD'!BZ$4)/CN50/'02. Tỷ giá'!C$5," -")</f>
        <v xml:space="preserve"> -</v>
      </c>
      <c r="CA50" s="95" t="str">
        <f>IFERROR(SUMIFS('01. KE30'!$R:$R,'01. KE30'!$F:$F,'05. BC BH THEO SKU-USD'!$D50,'01. KE30'!$A:$A,'05. BC BH THEO SKU-USD'!CA$4)/CO50/'02. Tỷ giá'!D$5," -")</f>
        <v xml:space="preserve"> -</v>
      </c>
      <c r="CB50" s="95" t="str">
        <f>IFERROR(SUMIFS('01. KE30'!$R:$R,'01. KE30'!$F:$F,'05. BC BH THEO SKU-USD'!$D50,'01. KE30'!$A:$A,'05. BC BH THEO SKU-USD'!CB$4)/CP50/'02. Tỷ giá'!E$5," -")</f>
        <v xml:space="preserve"> -</v>
      </c>
      <c r="CC50" s="95" t="str">
        <f>IFERROR(SUMIFS('01. KE30'!$R:$R,'01. KE30'!$F:$F,'05. BC BH THEO SKU-USD'!$D50,'01. KE30'!$A:$A,'05. BC BH THEO SKU-USD'!CC$4)/CQ50/'02. Tỷ giá'!F$5," -")</f>
        <v xml:space="preserve"> -</v>
      </c>
      <c r="CD50" s="95" t="str">
        <f>IFERROR(SUMIFS('01. KE30'!$R:$R,'01. KE30'!$F:$F,'05. BC BH THEO SKU-USD'!$D50,'01. KE30'!$A:$A,'05. BC BH THEO SKU-USD'!CD$4)/CR50/'02. Tỷ giá'!G$5," -")</f>
        <v xml:space="preserve"> -</v>
      </c>
      <c r="CE50" s="95" t="str">
        <f>IFERROR(SUMIFS('01. KE30'!$R:$R,'01. KE30'!$F:$F,'05. BC BH THEO SKU-USD'!$D50,'01. KE30'!$A:$A,'05. BC BH THEO SKU-USD'!CE$4)/CS50/'02. Tỷ giá'!H$5," -")</f>
        <v xml:space="preserve"> -</v>
      </c>
      <c r="CF50" s="95" t="str">
        <f>IFERROR(SUMIFS('01. KE30'!$R:$R,'01. KE30'!$F:$F,'05. BC BH THEO SKU-USD'!$D50,'01. KE30'!$A:$A,'05. BC BH THEO SKU-USD'!CF$4)/CT50/'02. Tỷ giá'!I$5," -")</f>
        <v xml:space="preserve"> -</v>
      </c>
      <c r="CG50" s="95" t="str">
        <f>IFERROR(SUMIFS('01. KE30'!$R:$R,'01. KE30'!$F:$F,'05. BC BH THEO SKU-USD'!$D50,'01. KE30'!$A:$A,'05. BC BH THEO SKU-USD'!CG$4)/CU50/'02. Tỷ giá'!J$5," -")</f>
        <v xml:space="preserve"> -</v>
      </c>
      <c r="CH50" s="95" t="str">
        <f>IFERROR(SUMIFS('01. KE30'!$R:$R,'01. KE30'!$F:$F,'05. BC BH THEO SKU-USD'!$D50,'01. KE30'!$A:$A,'05. BC BH THEO SKU-USD'!CH$4)/CV50/'02. Tỷ giá'!K$5," -")</f>
        <v xml:space="preserve"> -</v>
      </c>
      <c r="CI50" s="95" t="str">
        <f>IFERROR(SUMIFS('01. KE30'!$R:$R,'01. KE30'!$F:$F,'05. BC BH THEO SKU-USD'!$D50,'01. KE30'!$A:$A,'05. BC BH THEO SKU-USD'!CI$4)/CW50/'02. Tỷ giá'!L$5," -")</f>
        <v xml:space="preserve"> -</v>
      </c>
      <c r="CJ50" s="95" t="str">
        <f>IFERROR(SUMIFS('01. KE30'!$R:$R,'01. KE30'!$F:$F,'05. BC BH THEO SKU-USD'!$D50,'01. KE30'!$A:$A,'05. BC BH THEO SKU-USD'!CJ$4)/CX50/'02. Tỷ giá'!M$5," -")</f>
        <v xml:space="preserve"> -</v>
      </c>
      <c r="CL50" s="112">
        <f t="shared" si="281"/>
        <v>0</v>
      </c>
      <c r="CM50" s="114">
        <f>SUMIFS('01. KE30'!$I:$I,'01. KE30'!$F:$F,'05. BC BH THEO SKU-USD'!$D50,'01. KE30'!$A:$A,'05. BC BH THEO SKU-USD'!CM$4)/1000</f>
        <v>0</v>
      </c>
      <c r="CN50" s="114">
        <f>SUMIFS('01. KE30'!$I:$I,'01. KE30'!$F:$F,'05. BC BH THEO SKU-USD'!$D50,'01. KE30'!$A:$A,'05. BC BH THEO SKU-USD'!CN$4)/1000</f>
        <v>0</v>
      </c>
      <c r="CO50" s="114">
        <f>SUMIFS('01. KE30'!$I:$I,'01. KE30'!$F:$F,'05. BC BH THEO SKU-USD'!$D50,'01. KE30'!$A:$A,'05. BC BH THEO SKU-USD'!CO$4)/1000</f>
        <v>0</v>
      </c>
      <c r="CP50" s="114">
        <f>SUMIFS('01. KE30'!$I:$I,'01. KE30'!$F:$F,'05. BC BH THEO SKU-USD'!$D50,'01. KE30'!$A:$A,'05. BC BH THEO SKU-USD'!CP$4)/1000</f>
        <v>0</v>
      </c>
      <c r="CQ50" s="114">
        <f>SUMIFS('01. KE30'!$I:$I,'01. KE30'!$F:$F,'05. BC BH THEO SKU-USD'!$D50,'01. KE30'!$A:$A,'05. BC BH THEO SKU-USD'!CQ$4)/1000</f>
        <v>0</v>
      </c>
      <c r="CR50" s="114">
        <f>SUMIFS('01. KE30'!$I:$I,'01. KE30'!$F:$F,'05. BC BH THEO SKU-USD'!$D50,'01. KE30'!$A:$A,'05. BC BH THEO SKU-USD'!CR$4)/1000</f>
        <v>0</v>
      </c>
      <c r="CS50" s="114">
        <f>SUMIFS('01. KE30'!$I:$I,'01. KE30'!$F:$F,'05. BC BH THEO SKU-USD'!$D50,'01. KE30'!$A:$A,'05. BC BH THEO SKU-USD'!CS$4)/1000</f>
        <v>0</v>
      </c>
      <c r="CT50" s="114">
        <f>SUMIFS('01. KE30'!$I:$I,'01. KE30'!$F:$F,'05. BC BH THEO SKU-USD'!$D50,'01. KE30'!$A:$A,'05. BC BH THEO SKU-USD'!CT$4)/1000</f>
        <v>0</v>
      </c>
      <c r="CU50" s="114">
        <f>SUMIFS('01. KE30'!$I:$I,'01. KE30'!$F:$F,'05. BC BH THEO SKU-USD'!$D50,'01. KE30'!$A:$A,'05. BC BH THEO SKU-USD'!CU$4)/1000</f>
        <v>0</v>
      </c>
      <c r="CV50" s="114">
        <f>SUMIFS('01. KE30'!$I:$I,'01. KE30'!$F:$F,'05. BC BH THEO SKU-USD'!$D50,'01. KE30'!$A:$A,'05. BC BH THEO SKU-USD'!CV$4)/1000</f>
        <v>0</v>
      </c>
      <c r="CW50" s="114">
        <f>SUMIFS('01. KE30'!$I:$I,'01. KE30'!$F:$F,'05. BC BH THEO SKU-USD'!$D50,'01. KE30'!$A:$A,'05. BC BH THEO SKU-USD'!CW$4)/1000</f>
        <v>0</v>
      </c>
      <c r="CX50" s="114">
        <f>SUMIFS('01. KE30'!$I:$I,'01. KE30'!$F:$F,'05. BC BH THEO SKU-USD'!$D50,'01. KE30'!$A:$A,'05. BC BH THEO SKU-USD'!CX$4)/1000</f>
        <v>0</v>
      </c>
      <c r="CZ50" s="112">
        <f t="shared" si="311"/>
        <v>0</v>
      </c>
      <c r="DA50" s="54" t="str">
        <f t="shared" si="312"/>
        <v xml:space="preserve"> -</v>
      </c>
      <c r="DB50" s="54" t="str">
        <f t="shared" si="313"/>
        <v xml:space="preserve"> -</v>
      </c>
      <c r="DC50" s="54" t="str">
        <f t="shared" si="314"/>
        <v xml:space="preserve"> -</v>
      </c>
      <c r="DD50" s="54" t="str">
        <f t="shared" si="315"/>
        <v xml:space="preserve"> -</v>
      </c>
      <c r="DE50" s="54" t="str">
        <f t="shared" si="316"/>
        <v xml:space="preserve"> -</v>
      </c>
      <c r="DF50" s="54" t="str">
        <f t="shared" si="317"/>
        <v xml:space="preserve"> -</v>
      </c>
      <c r="DG50" s="54" t="str">
        <f t="shared" si="318"/>
        <v xml:space="preserve"> -</v>
      </c>
      <c r="DH50" s="54" t="str">
        <f t="shared" si="319"/>
        <v xml:space="preserve"> -</v>
      </c>
      <c r="DI50" s="54" t="str">
        <f t="shared" si="320"/>
        <v xml:space="preserve"> -</v>
      </c>
      <c r="DJ50" s="54" t="str">
        <f t="shared" si="321"/>
        <v xml:space="preserve"> -</v>
      </c>
      <c r="DK50" s="54" t="str">
        <f t="shared" si="322"/>
        <v xml:space="preserve"> -</v>
      </c>
      <c r="DL50" s="54" t="str">
        <f t="shared" si="323"/>
        <v xml:space="preserve"> -</v>
      </c>
      <c r="DN50" s="112">
        <f t="shared" si="64"/>
        <v>0</v>
      </c>
      <c r="DO50" s="114">
        <f>IFERROR(SUMIFS('01. KE30'!$X:$X,'01. KE30'!$F:$F,'05. BC BH THEO SKU-USD'!$D50,'01. KE30'!$A:$A,'05. BC BH THEO SKU-USD'!DO$4)-SUMIFS('01. KE30'!$AA:$AA,'01. KE30'!$F:$F,'05. BC BH THEO SKU-USD'!$D50,'01. KE30'!$A:$A,'05. BC BH THEO SKU-USD'!DO$4),"-")</f>
        <v>0</v>
      </c>
      <c r="DP50" s="114">
        <f>IFERROR(SUMIFS('01. KE30'!$X:$X,'01. KE30'!$F:$F,'05. BC BH THEO SKU-USD'!$D50,'01. KE30'!$A:$A,'05. BC BH THEO SKU-USD'!DP$4)-SUMIFS('01. KE30'!$AA:$AA,'01. KE30'!$F:$F,'05. BC BH THEO SKU-USD'!$D50,'01. KE30'!$A:$A,'05. BC BH THEO SKU-USD'!DP$4),"-")</f>
        <v>0</v>
      </c>
      <c r="DQ50" s="114">
        <f>IFERROR(SUMIFS('01. KE30'!$X:$X,'01. KE30'!$F:$F,'05. BC BH THEO SKU-USD'!$D50,'01. KE30'!$A:$A,'05. BC BH THEO SKU-USD'!DQ$4)-SUMIFS('01. KE30'!$AA:$AA,'01. KE30'!$F:$F,'05. BC BH THEO SKU-USD'!$D50,'01. KE30'!$A:$A,'05. BC BH THEO SKU-USD'!DQ$4),"-")</f>
        <v>0</v>
      </c>
      <c r="DR50" s="114">
        <f>IFERROR(SUMIFS('01. KE30'!$X:$X,'01. KE30'!$F:$F,'05. BC BH THEO SKU-USD'!$D50,'01. KE30'!$A:$A,'05. BC BH THEO SKU-USD'!DR$4)-SUMIFS('01. KE30'!$AA:$AA,'01. KE30'!$F:$F,'05. BC BH THEO SKU-USD'!$D50,'01. KE30'!$A:$A,'05. BC BH THEO SKU-USD'!DR$4),"-")</f>
        <v>0</v>
      </c>
      <c r="DS50" s="114">
        <f>IFERROR(SUMIFS('01. KE30'!$X:$X,'01. KE30'!$F:$F,'05. BC BH THEO SKU-USD'!$D50,'01. KE30'!$A:$A,'05. BC BH THEO SKU-USD'!DS$4)-SUMIFS('01. KE30'!$AA:$AA,'01. KE30'!$F:$F,'05. BC BH THEO SKU-USD'!$D50,'01. KE30'!$A:$A,'05. BC BH THEO SKU-USD'!DS$4),"-")</f>
        <v>0</v>
      </c>
      <c r="DT50" s="114">
        <f>IFERROR(SUMIFS('01. KE30'!$X:$X,'01. KE30'!$F:$F,'05. BC BH THEO SKU-USD'!$D50,'01. KE30'!$A:$A,'05. BC BH THEO SKU-USD'!DT$4)-SUMIFS('01. KE30'!$AA:$AA,'01. KE30'!$F:$F,'05. BC BH THEO SKU-USD'!$D50,'01. KE30'!$A:$A,'05. BC BH THEO SKU-USD'!DT$4),"-")</f>
        <v>0</v>
      </c>
      <c r="DU50" s="114">
        <f>IFERROR(SUMIFS('01. KE30'!$X:$X,'01. KE30'!$F:$F,'05. BC BH THEO SKU-USD'!$D50,'01. KE30'!$A:$A,'05. BC BH THEO SKU-USD'!DU$4)-SUMIFS('01. KE30'!$AA:$AA,'01. KE30'!$F:$F,'05. BC BH THEO SKU-USD'!$D50,'01. KE30'!$A:$A,'05. BC BH THEO SKU-USD'!DU$4),"-")</f>
        <v>0</v>
      </c>
      <c r="DV50" s="114">
        <f>IFERROR(SUMIFS('01. KE30'!$X:$X,'01. KE30'!$F:$F,'05. BC BH THEO SKU-USD'!$D50,'01. KE30'!$A:$A,'05. BC BH THEO SKU-USD'!DV$4)-SUMIFS('01. KE30'!$AA:$AA,'01. KE30'!$F:$F,'05. BC BH THEO SKU-USD'!$D50,'01. KE30'!$A:$A,'05. BC BH THEO SKU-USD'!DV$4),"-")</f>
        <v>0</v>
      </c>
      <c r="DW50" s="114">
        <f>IFERROR(SUMIFS('01. KE30'!$X:$X,'01. KE30'!$F:$F,'05. BC BH THEO SKU-USD'!$D50,'01. KE30'!$A:$A,'05. BC BH THEO SKU-USD'!DW$4)-SUMIFS('01. KE30'!$AA:$AA,'01. KE30'!$F:$F,'05. BC BH THEO SKU-USD'!$D50,'01. KE30'!$A:$A,'05. BC BH THEO SKU-USD'!DW$4),"-")</f>
        <v>0</v>
      </c>
      <c r="DX50" s="114">
        <f>IFERROR(SUMIFS('01. KE30'!$X:$X,'01. KE30'!$F:$F,'05. BC BH THEO SKU-USD'!$D50,'01. KE30'!$A:$A,'05. BC BH THEO SKU-USD'!DX$4)-SUMIFS('01. KE30'!$AA:$AA,'01. KE30'!$F:$F,'05. BC BH THEO SKU-USD'!$D50,'01. KE30'!$A:$A,'05. BC BH THEO SKU-USD'!DX$4),"-")</f>
        <v>0</v>
      </c>
      <c r="DY50" s="114">
        <f>IFERROR(SUMIFS('01. KE30'!$X:$X,'01. KE30'!$F:$F,'05. BC BH THEO SKU-USD'!$D50,'01. KE30'!$A:$A,'05. BC BH THEO SKU-USD'!DY$4)-SUMIFS('01. KE30'!$AA:$AA,'01. KE30'!$F:$F,'05. BC BH THEO SKU-USD'!$D50,'01. KE30'!$A:$A,'05. BC BH THEO SKU-USD'!DY$4),"-")</f>
        <v>0</v>
      </c>
      <c r="DZ50" s="114">
        <f>IFERROR(SUMIFS('01. KE30'!$X:$X,'01. KE30'!$F:$F,'05. BC BH THEO SKU-USD'!$D50,'01. KE30'!$A:$A,'05. BC BH THEO SKU-USD'!DZ$4)-SUMIFS('01. KE30'!$AA:$AA,'01. KE30'!$F:$F,'05. BC BH THEO SKU-USD'!$D50,'01. KE30'!$A:$A,'05. BC BH THEO SKU-USD'!DZ$4),"-")</f>
        <v>0</v>
      </c>
      <c r="EB50" s="576">
        <f t="shared" si="252"/>
        <v>0</v>
      </c>
      <c r="EC50" s="573">
        <f t="shared" si="253"/>
        <v>0</v>
      </c>
      <c r="ED50" s="573">
        <f t="shared" si="19"/>
        <v>0</v>
      </c>
      <c r="EE50" s="572">
        <f t="shared" si="20"/>
        <v>0</v>
      </c>
      <c r="EF50" s="572">
        <f t="shared" si="21"/>
        <v>0</v>
      </c>
      <c r="EG50" s="572">
        <f t="shared" si="22"/>
        <v>0</v>
      </c>
      <c r="EH50" s="572">
        <f t="shared" si="23"/>
        <v>0</v>
      </c>
      <c r="EI50" s="572">
        <f t="shared" si="24"/>
        <v>0</v>
      </c>
      <c r="EJ50" s="572">
        <f t="shared" si="25"/>
        <v>0</v>
      </c>
      <c r="EK50" s="572">
        <f t="shared" si="26"/>
        <v>0</v>
      </c>
      <c r="EL50" s="572">
        <f t="shared" si="27"/>
        <v>0</v>
      </c>
      <c r="EM50" s="572">
        <f t="shared" si="28"/>
        <v>0</v>
      </c>
      <c r="EN50" s="572">
        <f t="shared" si="29"/>
        <v>0</v>
      </c>
    </row>
    <row r="51" spans="1:144" s="14" customFormat="1" ht="15" x14ac:dyDescent="0.3">
      <c r="A51" s="58" t="s">
        <v>268</v>
      </c>
      <c r="B51" s="474"/>
      <c r="C51" s="249"/>
      <c r="D51" s="465" t="s">
        <v>267</v>
      </c>
      <c r="E51" s="61"/>
      <c r="F51" s="145">
        <f t="shared" ref="F51:R51" si="369">IFERROR(AVERAGE(F52:F58),"-")</f>
        <v>598.83060175845458</v>
      </c>
      <c r="G51" s="145">
        <f t="shared" si="369"/>
        <v>631.90448615014043</v>
      </c>
      <c r="H51" s="145">
        <f t="shared" si="369"/>
        <v>630.74242877773406</v>
      </c>
      <c r="I51" s="145">
        <f t="shared" si="369"/>
        <v>605.04325570850153</v>
      </c>
      <c r="J51" s="145">
        <f t="shared" si="369"/>
        <v>595.65828508956406</v>
      </c>
      <c r="K51" s="145">
        <f t="shared" si="369"/>
        <v>627.70562401034363</v>
      </c>
      <c r="L51" s="145">
        <f t="shared" si="369"/>
        <v>581.20427430096277</v>
      </c>
      <c r="M51" s="145">
        <f t="shared" si="369"/>
        <v>610.52751720043295</v>
      </c>
      <c r="N51" s="145">
        <f t="shared" si="369"/>
        <v>582.03584015211618</v>
      </c>
      <c r="O51" s="145">
        <f t="shared" si="369"/>
        <v>592.24664146663599</v>
      </c>
      <c r="P51" s="145" t="str">
        <f t="shared" si="369"/>
        <v>-</v>
      </c>
      <c r="Q51" s="145" t="str">
        <f t="shared" si="369"/>
        <v>-</v>
      </c>
      <c r="R51" s="145" t="str">
        <f t="shared" si="369"/>
        <v>-</v>
      </c>
      <c r="T51" s="698">
        <f t="shared" ref="T51:AF51" si="370">IFERROR(SUMPRODUCT(T52:T58,CL52:CL58)/CL51,0)</f>
        <v>586.44856707352324</v>
      </c>
      <c r="U51" s="698">
        <f t="shared" si="370"/>
        <v>631.90448815736647</v>
      </c>
      <c r="V51" s="698">
        <f t="shared" si="370"/>
        <v>628.41225727141432</v>
      </c>
      <c r="W51" s="698">
        <f t="shared" si="370"/>
        <v>592.11928956336544</v>
      </c>
      <c r="X51" s="698">
        <f t="shared" si="370"/>
        <v>603.3000522453583</v>
      </c>
      <c r="Y51" s="698">
        <f t="shared" si="370"/>
        <v>613.81708466836085</v>
      </c>
      <c r="Z51" s="698">
        <f t="shared" si="370"/>
        <v>570.17823462436013</v>
      </c>
      <c r="AA51" s="698">
        <f t="shared" si="370"/>
        <v>623.02409901257386</v>
      </c>
      <c r="AB51" s="698">
        <f t="shared" si="370"/>
        <v>602.48719672220818</v>
      </c>
      <c r="AC51" s="698">
        <f t="shared" si="370"/>
        <v>565.05643240473898</v>
      </c>
      <c r="AD51" s="698">
        <f t="shared" si="370"/>
        <v>0</v>
      </c>
      <c r="AE51" s="698">
        <f t="shared" si="370"/>
        <v>0</v>
      </c>
      <c r="AF51" s="698">
        <f t="shared" si="370"/>
        <v>0</v>
      </c>
      <c r="AH51" s="71">
        <f t="shared" ref="AH51:AT51" si="371">IFERROR(AVERAGE(AH52:AH58),0)</f>
        <v>735.17006802721085</v>
      </c>
      <c r="AI51" s="71">
        <f t="shared" si="371"/>
        <v>825</v>
      </c>
      <c r="AJ51" s="71">
        <f t="shared" si="371"/>
        <v>750</v>
      </c>
      <c r="AK51" s="71">
        <f t="shared" si="371"/>
        <v>750</v>
      </c>
      <c r="AL51" s="71">
        <f t="shared" si="371"/>
        <v>750</v>
      </c>
      <c r="AM51" s="71">
        <f t="shared" si="371"/>
        <v>720</v>
      </c>
      <c r="AN51" s="71">
        <f t="shared" si="371"/>
        <v>720</v>
      </c>
      <c r="AO51" s="71">
        <f t="shared" si="371"/>
        <v>720</v>
      </c>
      <c r="AP51" s="71">
        <f t="shared" si="371"/>
        <v>700</v>
      </c>
      <c r="AQ51" s="71">
        <f t="shared" si="371"/>
        <v>700</v>
      </c>
      <c r="AR51" s="71">
        <f t="shared" si="371"/>
        <v>0</v>
      </c>
      <c r="AS51" s="71">
        <f t="shared" si="371"/>
        <v>0</v>
      </c>
      <c r="AT51" s="71">
        <f t="shared" si="371"/>
        <v>0</v>
      </c>
      <c r="AU51" s="71">
        <f>IFERROR(AVERAGE(AU52:AU89),0)</f>
        <v>0</v>
      </c>
      <c r="AV51" s="96">
        <f t="shared" si="299"/>
        <v>-148.72150095368761</v>
      </c>
      <c r="AW51" s="96">
        <f t="shared" si="299"/>
        <v>-193.09551184263353</v>
      </c>
      <c r="AX51" s="96">
        <f t="shared" si="299"/>
        <v>-121.58774272858568</v>
      </c>
      <c r="AY51" s="96">
        <f t="shared" si="299"/>
        <v>-157.88071043663456</v>
      </c>
      <c r="AZ51" s="96">
        <f t="shared" si="299"/>
        <v>-146.6999477546417</v>
      </c>
      <c r="BA51" s="96">
        <f t="shared" si="299"/>
        <v>-106.18291533163915</v>
      </c>
      <c r="BB51" s="96">
        <f t="shared" si="299"/>
        <v>-149.82176537563987</v>
      </c>
      <c r="BC51" s="96">
        <f t="shared" si="299"/>
        <v>-96.975900987426144</v>
      </c>
      <c r="BD51" s="96">
        <f t="shared" si="299"/>
        <v>-97.512803277791818</v>
      </c>
      <c r="BE51" s="96">
        <f t="shared" si="299"/>
        <v>-134.94356759526102</v>
      </c>
      <c r="BF51" s="96" t="str">
        <f t="shared" si="299"/>
        <v>-</v>
      </c>
      <c r="BG51" s="96" t="str">
        <f t="shared" si="299"/>
        <v>-</v>
      </c>
      <c r="BH51" s="96" t="str">
        <f t="shared" si="299"/>
        <v>-</v>
      </c>
      <c r="BJ51" s="142">
        <f t="shared" si="65"/>
        <v>-0.20229537003971573</v>
      </c>
      <c r="BK51" s="142">
        <f t="shared" si="65"/>
        <v>-0.23405516586985883</v>
      </c>
      <c r="BL51" s="142">
        <f t="shared" si="65"/>
        <v>-0.16211699030478091</v>
      </c>
      <c r="BM51" s="142">
        <f t="shared" si="65"/>
        <v>-0.21050761391551273</v>
      </c>
      <c r="BN51" s="142">
        <f t="shared" si="65"/>
        <v>-0.19559993033952228</v>
      </c>
      <c r="BO51" s="142">
        <f t="shared" si="65"/>
        <v>-0.14747627129394328</v>
      </c>
      <c r="BP51" s="142">
        <f t="shared" si="65"/>
        <v>-0.20808578524394428</v>
      </c>
      <c r="BQ51" s="142">
        <f t="shared" si="65"/>
        <v>-0.13468875137142519</v>
      </c>
      <c r="BR51" s="142">
        <f t="shared" si="65"/>
        <v>-0.13930400468255974</v>
      </c>
      <c r="BS51" s="142">
        <f t="shared" si="65"/>
        <v>-0.19277652513608717</v>
      </c>
      <c r="BT51" s="142" t="str">
        <f t="shared" si="68"/>
        <v>-</v>
      </c>
      <c r="BU51" s="142" t="str">
        <f t="shared" si="68"/>
        <v>-</v>
      </c>
      <c r="BV51" s="142" t="str">
        <f t="shared" si="68"/>
        <v>-</v>
      </c>
      <c r="BX51" s="115">
        <f>IFERROR(AVERAGE(BX52:BX58),0)</f>
        <v>908.72265991311656</v>
      </c>
      <c r="BY51" s="113">
        <f t="shared" ref="BY51:CJ51" si="372">SUM(BY52:BY58)</f>
        <v>2099.692807440118</v>
      </c>
      <c r="BZ51" s="113">
        <f t="shared" si="372"/>
        <v>5012.4147152047117</v>
      </c>
      <c r="CA51" s="113">
        <f t="shared" si="372"/>
        <v>6584.3879615025362</v>
      </c>
      <c r="CB51" s="113">
        <f t="shared" si="372"/>
        <v>6406.3547684409505</v>
      </c>
      <c r="CC51" s="113">
        <f t="shared" si="372"/>
        <v>3878.6716081791283</v>
      </c>
      <c r="CD51" s="113">
        <f t="shared" si="372"/>
        <v>3699.0350561250734</v>
      </c>
      <c r="CE51" s="113">
        <f t="shared" si="372"/>
        <v>2745.200173958453</v>
      </c>
      <c r="CF51" s="113">
        <f t="shared" si="372"/>
        <v>5475.3760463513017</v>
      </c>
      <c r="CG51" s="113">
        <f t="shared" si="372"/>
        <v>3720.7706830159459</v>
      </c>
      <c r="CH51" s="113">
        <f t="shared" si="372"/>
        <v>0</v>
      </c>
      <c r="CI51" s="113">
        <f t="shared" si="372"/>
        <v>0</v>
      </c>
      <c r="CJ51" s="113">
        <f t="shared" si="372"/>
        <v>0</v>
      </c>
      <c r="CL51" s="115">
        <f t="shared" ref="CL51:CX51" si="373">SUM(CL52:CL58)</f>
        <v>680.3</v>
      </c>
      <c r="CM51" s="115">
        <f t="shared" si="373"/>
        <v>7.5</v>
      </c>
      <c r="CN51" s="115">
        <f t="shared" si="373"/>
        <v>16.5</v>
      </c>
      <c r="CO51" s="115">
        <f t="shared" si="373"/>
        <v>82.55</v>
      </c>
      <c r="CP51" s="115">
        <f t="shared" si="373"/>
        <v>57.224999999999987</v>
      </c>
      <c r="CQ51" s="115">
        <f t="shared" si="373"/>
        <v>94.5</v>
      </c>
      <c r="CR51" s="115">
        <f t="shared" si="373"/>
        <v>82</v>
      </c>
      <c r="CS51" s="115">
        <f t="shared" si="373"/>
        <v>27.75</v>
      </c>
      <c r="CT51" s="115">
        <f t="shared" si="373"/>
        <v>52.024999999999999</v>
      </c>
      <c r="CU51" s="115">
        <f t="shared" si="373"/>
        <v>260.25</v>
      </c>
      <c r="CV51" s="115">
        <f t="shared" si="373"/>
        <v>0</v>
      </c>
      <c r="CW51" s="115">
        <f t="shared" si="373"/>
        <v>0</v>
      </c>
      <c r="CX51" s="115">
        <f t="shared" si="373"/>
        <v>0</v>
      </c>
      <c r="CZ51" s="115">
        <f t="shared" ref="CZ51:DL51" si="374">SUM(CZ52:CZ58)</f>
        <v>402053.34847882122</v>
      </c>
      <c r="DA51" s="115">
        <f t="shared" si="374"/>
        <v>4739.2836611802486</v>
      </c>
      <c r="DB51" s="115">
        <f t="shared" si="374"/>
        <v>10368.802244978337</v>
      </c>
      <c r="DC51" s="115">
        <f t="shared" si="374"/>
        <v>49274.023031496065</v>
      </c>
      <c r="DD51" s="115">
        <f t="shared" si="374"/>
        <v>34779.362330623313</v>
      </c>
      <c r="DE51" s="115">
        <f t="shared" si="374"/>
        <v>59815.459280742456</v>
      </c>
      <c r="DF51" s="115">
        <f t="shared" si="374"/>
        <v>46986.096720679008</v>
      </c>
      <c r="DG51" s="115">
        <f t="shared" si="374"/>
        <v>17288.918747598924</v>
      </c>
      <c r="DH51" s="115">
        <f t="shared" si="374"/>
        <v>31745.465928189464</v>
      </c>
      <c r="DI51" s="115">
        <f t="shared" si="374"/>
        <v>147055.93653333333</v>
      </c>
      <c r="DJ51" s="115">
        <f t="shared" si="374"/>
        <v>0</v>
      </c>
      <c r="DK51" s="115">
        <f t="shared" si="374"/>
        <v>0</v>
      </c>
      <c r="DL51" s="115">
        <f t="shared" si="374"/>
        <v>0</v>
      </c>
      <c r="DN51" s="115">
        <f t="shared" ref="DN51:DZ51" si="375">SUM(DN52:DN58)</f>
        <v>-265147.4488276937</v>
      </c>
      <c r="DO51" s="115">
        <f t="shared" si="375"/>
        <v>-3397.4830991569656</v>
      </c>
      <c r="DP51" s="115">
        <f t="shared" si="375"/>
        <v>-7314.2426939740062</v>
      </c>
      <c r="DQ51" s="115">
        <f t="shared" si="375"/>
        <v>-34096.737882764661</v>
      </c>
      <c r="DR51" s="115">
        <f t="shared" si="375"/>
        <v>-23987.036082075105</v>
      </c>
      <c r="DS51" s="115">
        <f t="shared" si="375"/>
        <v>-33730.228074245941</v>
      </c>
      <c r="DT51" s="115">
        <f t="shared" si="375"/>
        <v>-27894.083371913584</v>
      </c>
      <c r="DU51" s="115">
        <f t="shared" si="375"/>
        <v>-6257.7370726085264</v>
      </c>
      <c r="DV51" s="115">
        <f t="shared" si="375"/>
        <v>-12130.37803666921</v>
      </c>
      <c r="DW51" s="115">
        <f t="shared" si="375"/>
        <v>-116339.52251428569</v>
      </c>
      <c r="DX51" s="115">
        <f t="shared" si="375"/>
        <v>0</v>
      </c>
      <c r="DY51" s="115">
        <f t="shared" si="375"/>
        <v>0</v>
      </c>
      <c r="DZ51" s="115">
        <f t="shared" si="375"/>
        <v>0</v>
      </c>
      <c r="EB51" s="574">
        <f t="shared" si="252"/>
        <v>-0.65948324975002848</v>
      </c>
      <c r="EC51" s="574">
        <f t="shared" si="253"/>
        <v>-0.71687692530116942</v>
      </c>
      <c r="ED51" s="574">
        <f t="shared" si="19"/>
        <v>-0.70540864037756446</v>
      </c>
      <c r="EE51" s="574">
        <f t="shared" si="20"/>
        <v>-0.69198201780621704</v>
      </c>
      <c r="EF51" s="574">
        <f t="shared" si="21"/>
        <v>-0.68969165834746948</v>
      </c>
      <c r="EG51" s="574">
        <f t="shared" si="22"/>
        <v>-0.56390485803902146</v>
      </c>
      <c r="EH51" s="574">
        <f t="shared" si="23"/>
        <v>-0.59366675077815401</v>
      </c>
      <c r="EI51" s="574">
        <f t="shared" si="24"/>
        <v>-0.3619507479886559</v>
      </c>
      <c r="EJ51" s="574">
        <f t="shared" si="25"/>
        <v>-0.38211371866801391</v>
      </c>
      <c r="EK51" s="574">
        <f t="shared" si="26"/>
        <v>-0.79112428411154212</v>
      </c>
      <c r="EL51" s="574">
        <f t="shared" si="27"/>
        <v>0</v>
      </c>
      <c r="EM51" s="574">
        <f t="shared" si="28"/>
        <v>0</v>
      </c>
      <c r="EN51" s="574">
        <f t="shared" si="29"/>
        <v>0</v>
      </c>
    </row>
    <row r="52" spans="1:144" ht="15.5" outlineLevel="1" x14ac:dyDescent="0.35">
      <c r="A52" s="10">
        <v>1</v>
      </c>
      <c r="B52" s="10" t="s">
        <v>295</v>
      </c>
      <c r="C52" s="246" t="str">
        <f>VLOOKUP(D52,'Quy đổi'!A:C,3,0)</f>
        <v>Vảy HD Ép Lá</v>
      </c>
      <c r="D52" s="464" t="s">
        <v>41</v>
      </c>
      <c r="E52" s="20" t="s">
        <v>40</v>
      </c>
      <c r="F52" s="92">
        <f t="shared" si="295"/>
        <v>609.11348009150197</v>
      </c>
      <c r="G52" s="106" t="str">
        <f>IFERROR(SUMIFS('01. KE30'!$K:$K,'01. KE30'!$F:$F,'05. BC BH THEO SKU-USD'!$D52,'01. KE30'!$A:$A,'05. BC BH THEO SKU-USD'!G$4)/'05. BC BH THEO SKU-USD'!CM52/'02. Tỷ giá'!B$5,"-")</f>
        <v>-</v>
      </c>
      <c r="H52" s="106">
        <f>IFERROR(SUMIFS('01. KE30'!$K:$K,'01. KE30'!$F:$F,'05. BC BH THEO SKU-USD'!$D52,'01. KE30'!$A:$A,'05. BC BH THEO SKU-USD'!H$4)/'05. BC BH THEO SKU-USD'!CN52/'02. Tỷ giá'!C$5,"-")</f>
        <v>650.95617697256137</v>
      </c>
      <c r="I52" s="106">
        <f>IFERROR(SUMIFS('01. KE30'!$K:$K,'01. KE30'!$F:$F,'05. BC BH THEO SKU-USD'!$D52,'01. KE30'!$A:$A,'05. BC BH THEO SKU-USD'!I$4)/'05. BC BH THEO SKU-USD'!CO52/'02. Tỷ giá'!D$5,"-")</f>
        <v>590.72549314911521</v>
      </c>
      <c r="J52" s="106">
        <f>IFERROR(SUMIFS('01. KE30'!$K:$K,'01. KE30'!$F:$F,'05. BC BH THEO SKU-USD'!$D52,'01. KE30'!$A:$A,'05. BC BH THEO SKU-USD'!J$4)/'05. BC BH THEO SKU-USD'!CP52/'02. Tỷ giá'!E$5,"-")</f>
        <v>600.64113074427735</v>
      </c>
      <c r="K52" s="106">
        <f>IFERROR(SUMIFS('01. KE30'!$K:$K,'01. KE30'!$F:$F,'05. BC BH THEO SKU-USD'!$D52,'01. KE30'!$A:$A,'05. BC BH THEO SKU-USD'!K$4)/'05. BC BH THEO SKU-USD'!CQ52/'02. Tỷ giá'!F$5,"-")</f>
        <v>599.38128383604021</v>
      </c>
      <c r="L52" s="106">
        <f>IFERROR(SUMIFS('01. KE30'!$K:$K,'01. KE30'!$F:$F,'05. BC BH THEO SKU-USD'!$D52,'01. KE30'!$A:$A,'05. BC BH THEO SKU-USD'!L$4)/'05. BC BH THEO SKU-USD'!CR52/'02. Tỷ giá'!G$5,"-")</f>
        <v>597.99382716049388</v>
      </c>
      <c r="M52" s="106">
        <f>IFERROR(SUMIFS('01. KE30'!$K:$K,'01. KE30'!$F:$F,'05. BC BH THEO SKU-USD'!$D52,'01. KE30'!$A:$A,'05. BC BH THEO SKU-USD'!M$4)/'05. BC BH THEO SKU-USD'!CS52/'02. Tỷ giá'!H$5,"-")</f>
        <v>614.67537456780633</v>
      </c>
      <c r="N52" s="106">
        <f>IFERROR(SUMIFS('01. KE30'!$K:$K,'01. KE30'!$F:$F,'05. BC BH THEO SKU-USD'!$D52,'01. KE30'!$A:$A,'05. BC BH THEO SKU-USD'!N$4)/'05. BC BH THEO SKU-USD'!CT52/'02. Tỷ giá'!I$5,"-")</f>
        <v>601.25060690943042</v>
      </c>
      <c r="O52" s="106">
        <f>IFERROR(SUMIFS('01. KE30'!$K:$K,'01. KE30'!$F:$F,'05. BC BH THEO SKU-USD'!$D52,'01. KE30'!$A:$A,'05. BC BH THEO SKU-USD'!O$4)/'05. BC BH THEO SKU-USD'!CU52/'02. Tỷ giá'!J$5,"-")</f>
        <v>617.28394739229032</v>
      </c>
      <c r="P52" s="106" t="str">
        <f>IFERROR(SUMIFS('01. KE30'!$K:$K,'01. KE30'!$F:$F,'05. BC BH THEO SKU-USD'!$D52,'01. KE30'!$A:$A,'05. BC BH THEO SKU-USD'!P$4)/'05. BC BH THEO SKU-USD'!CV52/'02. Tỷ giá'!K$5,"-")</f>
        <v>-</v>
      </c>
      <c r="Q52" s="106" t="str">
        <f>IFERROR(SUMIFS('01. KE30'!$K:$K,'01. KE30'!$F:$F,'05. BC BH THEO SKU-USD'!$D52,'01. KE30'!$A:$A,'05. BC BH THEO SKU-USD'!Q$4)/'05. BC BH THEO SKU-USD'!CW52/'02. Tỷ giá'!L$5,"-")</f>
        <v>-</v>
      </c>
      <c r="R52" s="106" t="str">
        <f>IFERROR(SUMIFS('01. KE30'!$K:$K,'01. KE30'!$F:$F,'05. BC BH THEO SKU-USD'!$D52,'01. KE30'!$A:$A,'05. BC BH THEO SKU-USD'!R$4)/'05. BC BH THEO SKU-USD'!CX52/'02. Tỷ giá'!M$5,"-")</f>
        <v>-</v>
      </c>
      <c r="T52" s="92">
        <f t="shared" si="309"/>
        <v>600.45035058473275</v>
      </c>
      <c r="U52" s="147" t="str">
        <f>IFERROR(SUMIFS('01. KE30'!$O:$O,'01. KE30'!$F:$F,'05. BC BH THEO SKU-USD'!$D52,'01. KE30'!$A:$A,'05. BC BH THEO SKU-USD'!G$4)/'05. BC BH THEO SKU-USD'!CM52/'02. Tỷ giá'!B$5,"-")</f>
        <v>-</v>
      </c>
      <c r="V52" s="147">
        <f>IFERROR(SUMIFS('01. KE30'!$O:$O,'01. KE30'!$F:$F,'05. BC BH THEO SKU-USD'!$D52,'01. KE30'!$A:$A,'05. BC BH THEO SKU-USD'!H$4)/'05. BC BH THEO SKU-USD'!CN52/'02. Tỷ giá'!C$5,"-")</f>
        <v>650.95617697256137</v>
      </c>
      <c r="W52" s="147">
        <f>IFERROR(SUMIFS('01. KE30'!$O:$O,'01. KE30'!$F:$F,'05. BC BH THEO SKU-USD'!$D52,'01. KE30'!$A:$A,'05. BC BH THEO SKU-USD'!I$4)/'05. BC BH THEO SKU-USD'!CO52/'02. Tỷ giá'!D$5,"-")</f>
        <v>590.64364267356393</v>
      </c>
      <c r="X52" s="147">
        <f>IFERROR(SUMIFS('01. KE30'!$O:$O,'01. KE30'!$F:$F,'05. BC BH THEO SKU-USD'!$D52,'01. KE30'!$A:$A,'05. BC BH THEO SKU-USD'!J$4)/'05. BC BH THEO SKU-USD'!CP52/'02. Tỷ giá'!E$5,"-")</f>
        <v>600.64113074427735</v>
      </c>
      <c r="Y52" s="147">
        <f>IFERROR(SUMIFS('01. KE30'!$O:$O,'01. KE30'!$F:$F,'05. BC BH THEO SKU-USD'!$D52,'01. KE30'!$A:$A,'05. BC BH THEO SKU-USD'!K$4)/'05. BC BH THEO SKU-USD'!CQ52/'02. Tỷ giá'!F$5,"-")</f>
        <v>599.38128383604021</v>
      </c>
      <c r="Z52" s="147">
        <f>IFERROR(SUMIFS('01. KE30'!$O:$O,'01. KE30'!$F:$F,'05. BC BH THEO SKU-USD'!$D52,'01. KE30'!$A:$A,'05. BC BH THEO SKU-USD'!L$4)/'05. BC BH THEO SKU-USD'!CR52/'02. Tỷ giá'!G$5,"-")</f>
        <v>597.99382716049388</v>
      </c>
      <c r="AA52" s="147">
        <f>IFERROR(SUMIFS('01. KE30'!$O:$O,'01. KE30'!$F:$F,'05. BC BH THEO SKU-USD'!$D52,'01. KE30'!$A:$A,'05. BC BH THEO SKU-USD'!M$4)/'05. BC BH THEO SKU-USD'!CS52/'02. Tỷ giá'!H$5,"-")</f>
        <v>614.67537456780633</v>
      </c>
      <c r="AB52" s="147">
        <f>IFERROR(SUMIFS('01. KE30'!$O:$O,'01. KE30'!$F:$F,'05. BC BH THEO SKU-USD'!$D52,'01. KE30'!$A:$A,'05. BC BH THEO SKU-USD'!N$4)/'05. BC BH THEO SKU-USD'!CT52/'02. Tỷ giá'!I$5,"-")</f>
        <v>601.25060690943042</v>
      </c>
      <c r="AC52" s="147">
        <f>IFERROR(SUMIFS('01. KE30'!$O:$O,'01. KE30'!$F:$F,'05. BC BH THEO SKU-USD'!$D52,'01. KE30'!$A:$A,'05. BC BH THEO SKU-USD'!O$4)/'05. BC BH THEO SKU-USD'!CU52/'02. Tỷ giá'!J$5,"-")</f>
        <v>617.28394739229032</v>
      </c>
      <c r="AD52" s="147" t="str">
        <f>IFERROR(SUMIFS('01. KE30'!$O:$O,'01. KE30'!$F:$F,'05. BC BH THEO SKU-USD'!$D52,'01. KE30'!$A:$A,'05. BC BH THEO SKU-USD'!P$4)/'05. BC BH THEO SKU-USD'!CV52/'02. Tỷ giá'!K$5,"-")</f>
        <v>-</v>
      </c>
      <c r="AE52" s="147" t="str">
        <f>IFERROR(SUMIFS('01. KE30'!$O:$O,'01. KE30'!$F:$F,'05. BC BH THEO SKU-USD'!$D52,'01. KE30'!$A:$A,'05. BC BH THEO SKU-USD'!Q$4)/'05. BC BH THEO SKU-USD'!CW52/'02. Tỷ giá'!L$5,"-")</f>
        <v>-</v>
      </c>
      <c r="AF52" s="147" t="str">
        <f>IFERROR(SUMIFS('01. KE30'!$O:$O,'01. KE30'!$F:$F,'05. BC BH THEO SKU-USD'!$D52,'01. KE30'!$A:$A,'05. BC BH THEO SKU-USD'!R$4)/'05. BC BH THEO SKU-USD'!CX52/'02. Tỷ giá'!M$5,"-")</f>
        <v>-</v>
      </c>
      <c r="AH52" s="55">
        <f t="shared" si="296"/>
        <v>737.22222222222217</v>
      </c>
      <c r="AI52" s="4">
        <v>825</v>
      </c>
      <c r="AJ52" s="4">
        <v>750</v>
      </c>
      <c r="AK52" s="4">
        <v>750</v>
      </c>
      <c r="AL52" s="4">
        <v>750</v>
      </c>
      <c r="AM52" s="4">
        <v>720</v>
      </c>
      <c r="AN52" s="4">
        <v>720</v>
      </c>
      <c r="AO52" s="4">
        <v>720</v>
      </c>
      <c r="AP52" s="4">
        <v>700</v>
      </c>
      <c r="AQ52" s="4">
        <v>700</v>
      </c>
      <c r="AR52" s="4"/>
      <c r="AS52" s="4"/>
      <c r="AT52" s="4"/>
      <c r="AV52" s="95">
        <f t="shared" si="299"/>
        <v>-136.77187163748943</v>
      </c>
      <c r="AW52" s="95" t="str">
        <f t="shared" si="299"/>
        <v>-</v>
      </c>
      <c r="AX52" s="95">
        <f t="shared" si="299"/>
        <v>-99.043823027438634</v>
      </c>
      <c r="AY52" s="95">
        <f t="shared" si="299"/>
        <v>-159.35635732643607</v>
      </c>
      <c r="AZ52" s="95">
        <f t="shared" si="299"/>
        <v>-149.35886925572265</v>
      </c>
      <c r="BA52" s="95">
        <f t="shared" si="299"/>
        <v>-120.61871616395979</v>
      </c>
      <c r="BB52" s="95">
        <f t="shared" si="299"/>
        <v>-122.00617283950612</v>
      </c>
      <c r="BC52" s="95">
        <f t="shared" si="299"/>
        <v>-105.32462543219367</v>
      </c>
      <c r="BD52" s="95">
        <f t="shared" si="299"/>
        <v>-98.749393090569583</v>
      </c>
      <c r="BE52" s="95">
        <f t="shared" si="299"/>
        <v>-82.716052607709685</v>
      </c>
      <c r="BF52" s="95" t="str">
        <f t="shared" si="299"/>
        <v>-</v>
      </c>
      <c r="BG52" s="95" t="str">
        <f t="shared" si="299"/>
        <v>-</v>
      </c>
      <c r="BH52" s="95" t="str">
        <f t="shared" si="299"/>
        <v>-</v>
      </c>
      <c r="BJ52" s="143">
        <f t="shared" ref="BJ52:BJ71" si="376">IFERROR(IF(AV52&lt;&gt;"-",AV52/AH52,"-"),"-")</f>
        <v>-0.18552326220608967</v>
      </c>
      <c r="BK52" s="143" t="str">
        <f t="shared" ref="BK52:BV71" si="377">IFERROR(IF(AW52&lt;&gt;"-",AW52/AI52,"-"),"-")</f>
        <v>-</v>
      </c>
      <c r="BL52" s="143">
        <f t="shared" si="377"/>
        <v>-0.13205843070325152</v>
      </c>
      <c r="BM52" s="143">
        <f t="shared" si="377"/>
        <v>-0.21247514310191476</v>
      </c>
      <c r="BN52" s="143">
        <f t="shared" si="377"/>
        <v>-0.19914515900763019</v>
      </c>
      <c r="BO52" s="143">
        <f t="shared" si="377"/>
        <v>-0.16752599467216636</v>
      </c>
      <c r="BP52" s="143">
        <f t="shared" si="377"/>
        <v>-0.16945301783264738</v>
      </c>
      <c r="BQ52" s="143">
        <f t="shared" si="377"/>
        <v>-0.14628420198915787</v>
      </c>
      <c r="BR52" s="143">
        <f t="shared" si="377"/>
        <v>-0.14107056155795655</v>
      </c>
      <c r="BS52" s="143">
        <f t="shared" si="377"/>
        <v>-0.11816578943958526</v>
      </c>
      <c r="BT52" s="143" t="str">
        <f t="shared" si="68"/>
        <v>-</v>
      </c>
      <c r="BU52" s="143" t="str">
        <f t="shared" si="68"/>
        <v>-</v>
      </c>
      <c r="BV52" s="143" t="str">
        <f t="shared" si="68"/>
        <v>-</v>
      </c>
      <c r="BX52" s="112">
        <f t="shared" ref="BX52:BX58" si="378">IFERROR(AVERAGE(BY52:CJ52),"-")</f>
        <v>975.37876973479592</v>
      </c>
      <c r="BY52" s="95" t="str">
        <f>IFERROR(SUMIFS('01. KE30'!$R:$R,'01. KE30'!$F:$F,'05. BC BH THEO SKU-USD'!$D52,'01. KE30'!$A:$A,'05. BC BH THEO SKU-USD'!BY$4)/CM52/'02. Tỷ giá'!B$5," -")</f>
        <v xml:space="preserve"> -</v>
      </c>
      <c r="BZ52" s="95">
        <f>IFERROR(SUMIFS('01. KE30'!$R:$R,'01. KE30'!$F:$F,'05. BC BH THEO SKU-USD'!$D52,'01. KE30'!$A:$A,'05. BC BH THEO SKU-USD'!BZ$4)/CN52/'02. Tỷ giá'!C$5," -")</f>
        <v>968.19745306551135</v>
      </c>
      <c r="CA52" s="95">
        <f>IFERROR(SUMIFS('01. KE30'!$R:$R,'01. KE30'!$F:$F,'05. BC BH THEO SKU-USD'!$D52,'01. KE30'!$A:$A,'05. BC BH THEO SKU-USD'!CA$4)/CO52/'02. Tỷ giá'!D$5," -")</f>
        <v>969.09213908032802</v>
      </c>
      <c r="CB52" s="95">
        <f>IFERROR(SUMIFS('01. KE30'!$R:$R,'01. KE30'!$F:$F,'05. BC BH THEO SKU-USD'!$D52,'01. KE30'!$A:$A,'05. BC BH THEO SKU-USD'!CB$4)/CP52/'02. Tỷ giá'!E$5," -")</f>
        <v>963.76568264410378</v>
      </c>
      <c r="CC52" s="95">
        <f>IFERROR(SUMIFS('01. KE30'!$R:$R,'01. KE30'!$F:$F,'05. BC BH THEO SKU-USD'!$D52,'01. KE30'!$A:$A,'05. BC BH THEO SKU-USD'!CC$4)/CQ52/'02. Tỷ giá'!F$5," -")</f>
        <v>964.40629028100034</v>
      </c>
      <c r="CD52" s="95">
        <f>IFERROR(SUMIFS('01. KE30'!$R:$R,'01. KE30'!$F:$F,'05. BC BH THEO SKU-USD'!$D52,'01. KE30'!$A:$A,'05. BC BH THEO SKU-USD'!CD$4)/CR52/'02. Tỷ giá'!G$5," -")</f>
        <v>977.93134920634918</v>
      </c>
      <c r="CE52" s="95">
        <f>IFERROR(SUMIFS('01. KE30'!$R:$R,'01. KE30'!$F:$F,'05. BC BH THEO SKU-USD'!$D52,'01. KE30'!$A:$A,'05. BC BH THEO SKU-USD'!CE$4)/CS52/'02. Tỷ giá'!H$5," -")</f>
        <v>971.73628962918247</v>
      </c>
      <c r="CF52" s="95">
        <f>IFERROR(SUMIFS('01. KE30'!$R:$R,'01. KE30'!$F:$F,'05. BC BH THEO SKU-USD'!$D52,'01. KE30'!$A:$A,'05. BC BH THEO SKU-USD'!CF$4)/CT52/'02. Tỷ giá'!I$5," -")</f>
        <v>992.18653764536123</v>
      </c>
      <c r="CG52" s="95">
        <f>IFERROR(SUMIFS('01. KE30'!$R:$R,'01. KE30'!$F:$F,'05. BC BH THEO SKU-USD'!$D52,'01. KE30'!$A:$A,'05. BC BH THEO SKU-USD'!CG$4)/CU52/'02. Tỷ giá'!J$5," -")</f>
        <v>995.71441632653068</v>
      </c>
      <c r="CH52" s="95" t="str">
        <f>IFERROR(SUMIFS('01. KE30'!$R:$R,'01. KE30'!$F:$F,'05. BC BH THEO SKU-USD'!$D52,'01. KE30'!$A:$A,'05. BC BH THEO SKU-USD'!CH$4)/CV52/'02. Tỷ giá'!K$5," -")</f>
        <v xml:space="preserve"> -</v>
      </c>
      <c r="CI52" s="95" t="str">
        <f>IFERROR(SUMIFS('01. KE30'!$R:$R,'01. KE30'!$F:$F,'05. BC BH THEO SKU-USD'!$D52,'01. KE30'!$A:$A,'05. BC BH THEO SKU-USD'!CI$4)/CW52/'02. Tỷ giá'!L$5," -")</f>
        <v xml:space="preserve"> -</v>
      </c>
      <c r="CJ52" s="95" t="str">
        <f>IFERROR(SUMIFS('01. KE30'!$R:$R,'01. KE30'!$F:$F,'05. BC BH THEO SKU-USD'!$D52,'01. KE30'!$A:$A,'05. BC BH THEO SKU-USD'!CJ$4)/CX52/'02. Tỷ giá'!M$5," -")</f>
        <v xml:space="preserve"> -</v>
      </c>
      <c r="CL52" s="112">
        <f t="shared" si="281"/>
        <v>95.375</v>
      </c>
      <c r="CM52" s="114">
        <f>SUMIFS('01. KE30'!$I:$I,'01. KE30'!$F:$F,'05. BC BH THEO SKU-USD'!$D52,'01. KE30'!$A:$A,'05. BC BH THEO SKU-USD'!CM$4)/1000</f>
        <v>0</v>
      </c>
      <c r="CN52" s="114">
        <f>SUMIFS('01. KE30'!$I:$I,'01. KE30'!$F:$F,'05. BC BH THEO SKU-USD'!$D52,'01. KE30'!$A:$A,'05. BC BH THEO SKU-USD'!CN$4)/1000</f>
        <v>1.5</v>
      </c>
      <c r="CO52" s="114">
        <f>SUMIFS('01. KE30'!$I:$I,'01. KE30'!$F:$F,'05. BC BH THEO SKU-USD'!$D52,'01. KE30'!$A:$A,'05. BC BH THEO SKU-USD'!CO$4)/1000</f>
        <v>24.05</v>
      </c>
      <c r="CP52" s="114">
        <f>SUMIFS('01. KE30'!$I:$I,'01. KE30'!$F:$F,'05. BC BH THEO SKU-USD'!$D52,'01. KE30'!$A:$A,'05. BC BH THEO SKU-USD'!CP$4)/1000</f>
        <v>9.8249999999999993</v>
      </c>
      <c r="CQ52" s="114">
        <f>SUMIFS('01. KE30'!$I:$I,'01. KE30'!$F:$F,'05. BC BH THEO SKU-USD'!$D52,'01. KE30'!$A:$A,'05. BC BH THEO SKU-USD'!CQ$4)/1000</f>
        <v>15.75</v>
      </c>
      <c r="CR52" s="114">
        <f>SUMIFS('01. KE30'!$I:$I,'01. KE30'!$F:$F,'05. BC BH THEO SKU-USD'!$D52,'01. KE30'!$A:$A,'05. BC BH THEO SKU-USD'!CR$4)/1000</f>
        <v>26.25</v>
      </c>
      <c r="CS52" s="114">
        <f>SUMIFS('01. KE30'!$I:$I,'01. KE30'!$F:$F,'05. BC BH THEO SKU-USD'!$D52,'01. KE30'!$A:$A,'05. BC BH THEO SKU-USD'!CS$4)/1000</f>
        <v>10.5</v>
      </c>
      <c r="CT52" s="114">
        <f>SUMIFS('01. KE30'!$I:$I,'01. KE30'!$F:$F,'05. BC BH THEO SKU-USD'!$D52,'01. KE30'!$A:$A,'05. BC BH THEO SKU-USD'!CT$4)/1000</f>
        <v>2.25</v>
      </c>
      <c r="CU52" s="114">
        <f>SUMIFS('01. KE30'!$I:$I,'01. KE30'!$F:$F,'05. BC BH THEO SKU-USD'!$D52,'01. KE30'!$A:$A,'05. BC BH THEO SKU-USD'!CU$4)/1000</f>
        <v>5.25</v>
      </c>
      <c r="CV52" s="114">
        <f>SUMIFS('01. KE30'!$I:$I,'01. KE30'!$F:$F,'05. BC BH THEO SKU-USD'!$D52,'01. KE30'!$A:$A,'05. BC BH THEO SKU-USD'!CV$4)/1000</f>
        <v>0</v>
      </c>
      <c r="CW52" s="114">
        <f>SUMIFS('01. KE30'!$I:$I,'01. KE30'!$F:$F,'05. BC BH THEO SKU-USD'!$D52,'01. KE30'!$A:$A,'05. BC BH THEO SKU-USD'!CW$4)/1000</f>
        <v>0</v>
      </c>
      <c r="CX52" s="114">
        <f>SUMIFS('01. KE30'!$I:$I,'01. KE30'!$F:$F,'05. BC BH THEO SKU-USD'!$D52,'01. KE30'!$A:$A,'05. BC BH THEO SKU-USD'!CX$4)/1000</f>
        <v>0</v>
      </c>
      <c r="CZ52" s="112">
        <f t="shared" ref="CZ52:CZ57" si="379">SUM(DA52:DL52)</f>
        <v>57269.9206909559</v>
      </c>
      <c r="DA52" s="54" t="str">
        <f t="shared" ref="DA52:DA57" si="380">IFERROR(G52*CM52," -")</f>
        <v xml:space="preserve"> -</v>
      </c>
      <c r="DB52" s="54">
        <f t="shared" ref="DB52:DB57" si="381">IFERROR(H52*CN52," -")</f>
        <v>976.43426545884199</v>
      </c>
      <c r="DC52" s="54">
        <f t="shared" ref="DC52:DC57" si="382">IFERROR(I52*CO52," -")</f>
        <v>14206.948110236221</v>
      </c>
      <c r="DD52" s="54">
        <f t="shared" ref="DD52:DD57" si="383">IFERROR(J52*CP52," -")</f>
        <v>5901.2991095625248</v>
      </c>
      <c r="DE52" s="54">
        <f t="shared" ref="DE52:DE57" si="384">IFERROR(K52*CQ52," -")</f>
        <v>9440.2552204176336</v>
      </c>
      <c r="DF52" s="54">
        <f t="shared" ref="DF52:DF57" si="385">IFERROR(L52*CR52," -")</f>
        <v>15697.337962962964</v>
      </c>
      <c r="DG52" s="54">
        <f t="shared" ref="DG52:DG57" si="386">IFERROR(M52*CS52," -")</f>
        <v>6454.0914329619663</v>
      </c>
      <c r="DH52" s="54">
        <f t="shared" ref="DH52:DH57" si="387">IFERROR(N52*CT52," -")</f>
        <v>1352.8138655462185</v>
      </c>
      <c r="DI52" s="54">
        <f t="shared" ref="DI52:DI57" si="388">IFERROR(O52*CU52," -")</f>
        <v>3240.7407238095243</v>
      </c>
      <c r="DJ52" s="54" t="str">
        <f t="shared" ref="DJ52:DJ57" si="389">IFERROR(P52*CV52," -")</f>
        <v xml:space="preserve"> -</v>
      </c>
      <c r="DK52" s="54" t="str">
        <f t="shared" ref="DK52:DK57" si="390">IFERROR(Q52*CW52," -")</f>
        <v xml:space="preserve"> -</v>
      </c>
      <c r="DL52" s="54" t="str">
        <f t="shared" ref="DL52:DL57" si="391">IFERROR(R52*CX52," -")</f>
        <v xml:space="preserve"> -</v>
      </c>
      <c r="DN52" s="112">
        <f t="shared" si="64"/>
        <v>-35483.256194554771</v>
      </c>
      <c r="DO52" s="114">
        <f>IFERROR(SUMIFS('01. KE30'!$X:$X,'01. KE30'!$F:$F,'05. BC BH THEO SKU-USD'!$D52,'01. KE30'!$A:$A,'05. BC BH THEO SKU-USD'!DO$4)-SUMIFS('01. KE30'!$AA:$AA,'01. KE30'!$F:$F,'05. BC BH THEO SKU-USD'!$D52,'01. KE30'!$A:$A,'05. BC BH THEO SKU-USD'!DO$4),"-")</f>
        <v>0</v>
      </c>
      <c r="DP52" s="114">
        <f>IFERROR(SUMIFS('01. KE30'!$X:$X,'01. KE30'!$F:$F,'05. BC BH THEO SKU-USD'!$D52,'01. KE30'!$A:$A,'05. BC BH THEO SKU-USD'!DP$4)-SUMIFS('01. KE30'!$AA:$AA,'01. KE30'!$F:$F,'05. BC BH THEO SKU-USD'!$D52,'01. KE30'!$A:$A,'05. BC BH THEO SKU-USD'!DP$4),"-")</f>
        <v>-475.86191413942515</v>
      </c>
      <c r="DQ52" s="114">
        <f>IFERROR(SUMIFS('01. KE30'!$X:$X,'01. KE30'!$F:$F,'05. BC BH THEO SKU-USD'!$D52,'01. KE30'!$A:$A,'05. BC BH THEO SKU-USD'!DQ$4)-SUMIFS('01. KE30'!$AA:$AA,'01. KE30'!$F:$F,'05. BC BH THEO SKU-USD'!$D52,'01. KE30'!$A:$A,'05. BC BH THEO SKU-USD'!DQ$4),"-")</f>
        <v>-9101.6863385826764</v>
      </c>
      <c r="DR52" s="114">
        <f>IFERROR(SUMIFS('01. KE30'!$X:$X,'01. KE30'!$F:$F,'05. BC BH THEO SKU-USD'!$D52,'01. KE30'!$A:$A,'05. BC BH THEO SKU-USD'!DR$4)-SUMIFS('01. KE30'!$AA:$AA,'01. KE30'!$F:$F,'05. BC BH THEO SKU-USD'!$D52,'01. KE30'!$A:$A,'05. BC BH THEO SKU-USD'!DR$4),"-")</f>
        <v>-3567.6987224157947</v>
      </c>
      <c r="DS52" s="114">
        <f>IFERROR(SUMIFS('01. KE30'!$X:$X,'01. KE30'!$F:$F,'05. BC BH THEO SKU-USD'!$D52,'01. KE30'!$A:$A,'05. BC BH THEO SKU-USD'!DS$4)-SUMIFS('01. KE30'!$AA:$AA,'01. KE30'!$F:$F,'05. BC BH THEO SKU-USD'!$D52,'01. KE30'!$A:$A,'05. BC BH THEO SKU-USD'!DS$4),"-")</f>
        <v>-5749.1438515081209</v>
      </c>
      <c r="DT52" s="114">
        <f>IFERROR(SUMIFS('01. KE30'!$X:$X,'01. KE30'!$F:$F,'05. BC BH THEO SKU-USD'!$D52,'01. KE30'!$A:$A,'05. BC BH THEO SKU-USD'!DT$4)-SUMIFS('01. KE30'!$AA:$AA,'01. KE30'!$F:$F,'05. BC BH THEO SKU-USD'!$D52,'01. KE30'!$A:$A,'05. BC BH THEO SKU-USD'!DT$4),"-")</f>
        <v>-9973.3599537037044</v>
      </c>
      <c r="DU52" s="114">
        <f>IFERROR(SUMIFS('01. KE30'!$X:$X,'01. KE30'!$F:$F,'05. BC BH THEO SKU-USD'!$D52,'01. KE30'!$A:$A,'05. BC BH THEO SKU-USD'!DU$4)-SUMIFS('01. KE30'!$AA:$AA,'01. KE30'!$F:$F,'05. BC BH THEO SKU-USD'!$D52,'01. KE30'!$A:$A,'05. BC BH THEO SKU-USD'!DU$4),"-")</f>
        <v>-3749.1396081444482</v>
      </c>
      <c r="DV52" s="114">
        <f>IFERROR(SUMIFS('01. KE30'!$X:$X,'01. KE30'!$F:$F,'05. BC BH THEO SKU-USD'!$D52,'01. KE30'!$A:$A,'05. BC BH THEO SKU-USD'!DV$4)-SUMIFS('01. KE30'!$AA:$AA,'01. KE30'!$F:$F,'05. BC BH THEO SKU-USD'!$D52,'01. KE30'!$A:$A,'05. BC BH THEO SKU-USD'!DV$4),"-")</f>
        <v>-879.60584415584435</v>
      </c>
      <c r="DW52" s="114">
        <f>IFERROR(SUMIFS('01. KE30'!$X:$X,'01. KE30'!$F:$F,'05. BC BH THEO SKU-USD'!$D52,'01. KE30'!$A:$A,'05. BC BH THEO SKU-USD'!DW$4)-SUMIFS('01. KE30'!$AA:$AA,'01. KE30'!$F:$F,'05. BC BH THEO SKU-USD'!$D52,'01. KE30'!$A:$A,'05. BC BH THEO SKU-USD'!DW$4),"-")</f>
        <v>-1986.7599619047614</v>
      </c>
      <c r="DX52" s="114">
        <f>IFERROR(SUMIFS('01. KE30'!$X:$X,'01. KE30'!$F:$F,'05. BC BH THEO SKU-USD'!$D52,'01. KE30'!$A:$A,'05. BC BH THEO SKU-USD'!DX$4)-SUMIFS('01. KE30'!$AA:$AA,'01. KE30'!$F:$F,'05. BC BH THEO SKU-USD'!$D52,'01. KE30'!$A:$A,'05. BC BH THEO SKU-USD'!DX$4),"-")</f>
        <v>0</v>
      </c>
      <c r="DY52" s="114">
        <f>IFERROR(SUMIFS('01. KE30'!$X:$X,'01. KE30'!$F:$F,'05. BC BH THEO SKU-USD'!$D52,'01. KE30'!$A:$A,'05. BC BH THEO SKU-USD'!DY$4)-SUMIFS('01. KE30'!$AA:$AA,'01. KE30'!$F:$F,'05. BC BH THEO SKU-USD'!$D52,'01. KE30'!$A:$A,'05. BC BH THEO SKU-USD'!DY$4),"-")</f>
        <v>0</v>
      </c>
      <c r="DZ52" s="114">
        <f>IFERROR(SUMIFS('01. KE30'!$X:$X,'01. KE30'!$F:$F,'05. BC BH THEO SKU-USD'!$D52,'01. KE30'!$A:$A,'05. BC BH THEO SKU-USD'!DZ$4)-SUMIFS('01. KE30'!$AA:$AA,'01. KE30'!$F:$F,'05. BC BH THEO SKU-USD'!$D52,'01. KE30'!$A:$A,'05. BC BH THEO SKU-USD'!DZ$4),"-")</f>
        <v>0</v>
      </c>
      <c r="EB52" s="571">
        <f t="shared" si="252"/>
        <v>-0.61957927942718993</v>
      </c>
      <c r="EC52" s="573">
        <f t="shared" si="253"/>
        <v>0</v>
      </c>
      <c r="ED52" s="572">
        <f t="shared" si="19"/>
        <v>-0.48734659461772378</v>
      </c>
      <c r="EE52" s="572">
        <f t="shared" si="20"/>
        <v>-0.64065035417598504</v>
      </c>
      <c r="EF52" s="572">
        <f t="shared" si="21"/>
        <v>-0.60456158147189309</v>
      </c>
      <c r="EG52" s="572">
        <f t="shared" si="22"/>
        <v>-0.60900301075268815</v>
      </c>
      <c r="EH52" s="572">
        <f t="shared" si="23"/>
        <v>-0.6353535852534562</v>
      </c>
      <c r="EI52" s="572">
        <f t="shared" si="24"/>
        <v>-0.58089347619047615</v>
      </c>
      <c r="EJ52" s="572">
        <f t="shared" si="25"/>
        <v>-0.65020463388042715</v>
      </c>
      <c r="EK52" s="572">
        <f t="shared" si="26"/>
        <v>-0.61305736287638113</v>
      </c>
      <c r="EL52" s="572">
        <f t="shared" si="27"/>
        <v>0</v>
      </c>
      <c r="EM52" s="572">
        <f t="shared" si="28"/>
        <v>0</v>
      </c>
      <c r="EN52" s="572">
        <f t="shared" si="29"/>
        <v>0</v>
      </c>
    </row>
    <row r="53" spans="1:144" ht="15.5" outlineLevel="1" x14ac:dyDescent="0.35">
      <c r="A53" s="10">
        <f>A52+1</f>
        <v>2</v>
      </c>
      <c r="B53" s="10" t="s">
        <v>295</v>
      </c>
      <c r="C53" s="246" t="str">
        <f>VLOOKUP(D53,'Quy đổi'!A:C,3,0)</f>
        <v>Vảy HD Ép Đỏ</v>
      </c>
      <c r="D53" s="464" t="s">
        <v>37</v>
      </c>
      <c r="E53" s="20" t="s">
        <v>36</v>
      </c>
      <c r="F53" s="92">
        <f t="shared" si="295"/>
        <v>621.76378156794794</v>
      </c>
      <c r="G53" s="106">
        <f>IFERROR(SUMIFS('01. KE30'!$K:$K,'01. KE30'!$F:$F,'05. BC BH THEO SKU-USD'!$D53,'01. KE30'!$A:$A,'05. BC BH THEO SKU-USD'!G$4)/'05. BC BH THEO SKU-USD'!CM53/'02. Tỷ giá'!B$5,"-")</f>
        <v>631.90448949551717</v>
      </c>
      <c r="H53" s="106">
        <f>IFERROR(SUMIFS('01. KE30'!$K:$K,'01. KE30'!$F:$F,'05. BC BH THEO SKU-USD'!$D53,'01. KE30'!$A:$A,'05. BC BH THEO SKU-USD'!H$4)/'05. BC BH THEO SKU-USD'!CN53/'02. Tỷ giá'!C$5,"-")</f>
        <v>626.47044768281478</v>
      </c>
      <c r="I53" s="106">
        <f>IFERROR(SUMIFS('01. KE30'!$K:$K,'01. KE30'!$F:$F,'05. BC BH THEO SKU-USD'!$D53,'01. KE30'!$A:$A,'05. BC BH THEO SKU-USD'!I$4)/'05. BC BH THEO SKU-USD'!CO53/'02. Tỷ giá'!D$5,"-")</f>
        <v>619.9053934254722</v>
      </c>
      <c r="J53" s="106">
        <f>IFERROR(SUMIFS('01. KE30'!$K:$K,'01. KE30'!$F:$F,'05. BC BH THEO SKU-USD'!$D53,'01. KE30'!$A:$A,'05. BC BH THEO SKU-USD'!J$4)/'05. BC BH THEO SKU-USD'!CP53/'02. Tỷ giá'!E$5,"-")</f>
        <v>617.55027832576729</v>
      </c>
      <c r="K53" s="106">
        <f>IFERROR(SUMIFS('01. KE30'!$K:$K,'01. KE30'!$F:$F,'05. BC BH THEO SKU-USD'!$D53,'01. KE30'!$A:$A,'05. BC BH THEO SKU-USD'!K$4)/'05. BC BH THEO SKU-USD'!CQ53/'02. Tỷ giá'!F$5,"-")</f>
        <v>634.84413172377469</v>
      </c>
      <c r="L53" s="106">
        <f>IFERROR(SUMIFS('01. KE30'!$K:$K,'01. KE30'!$F:$F,'05. BC BH THEO SKU-USD'!$D53,'01. KE30'!$A:$A,'05. BC BH THEO SKU-USD'!L$4)/'05. BC BH THEO SKU-USD'!CR53/'02. Tỷ giá'!G$5,"-")</f>
        <v>628.71513374485596</v>
      </c>
      <c r="M53" s="106">
        <f>IFERROR(SUMIFS('01. KE30'!$K:$K,'01. KE30'!$F:$F,'05. BC BH THEO SKU-USD'!$D53,'01. KE30'!$A:$A,'05. BC BH THEO SKU-USD'!M$4)/'05. BC BH THEO SKU-USD'!CS53/'02. Tỷ giá'!H$5,"-")</f>
        <v>629.97758297535472</v>
      </c>
      <c r="N53" s="106">
        <f>IFERROR(SUMIFS('01. KE30'!$K:$K,'01. KE30'!$F:$F,'05. BC BH THEO SKU-USD'!$D53,'01. KE30'!$A:$A,'05. BC BH THEO SKU-USD'!N$4)/'05. BC BH THEO SKU-USD'!CT53/'02. Tỷ giá'!I$5,"-")</f>
        <v>603.92365405492342</v>
      </c>
      <c r="O53" s="106">
        <f>IFERROR(SUMIFS('01. KE30'!$K:$K,'01. KE30'!$F:$F,'05. BC BH THEO SKU-USD'!$D53,'01. KE30'!$A:$A,'05. BC BH THEO SKU-USD'!O$4)/'05. BC BH THEO SKU-USD'!CU53/'02. Tỷ giá'!J$5,"-")</f>
        <v>602.58292268305172</v>
      </c>
      <c r="P53" s="106" t="str">
        <f>IFERROR(SUMIFS('01. KE30'!$K:$K,'01. KE30'!$F:$F,'05. BC BH THEO SKU-USD'!$D53,'01. KE30'!$A:$A,'05. BC BH THEO SKU-USD'!P$4)/'05. BC BH THEO SKU-USD'!CV53/'02. Tỷ giá'!K$5,"-")</f>
        <v>-</v>
      </c>
      <c r="Q53" s="106" t="str">
        <f>IFERROR(SUMIFS('01. KE30'!$K:$K,'01. KE30'!$F:$F,'05. BC BH THEO SKU-USD'!$D53,'01. KE30'!$A:$A,'05. BC BH THEO SKU-USD'!Q$4)/'05. BC BH THEO SKU-USD'!CW53/'02. Tỷ giá'!L$5,"-")</f>
        <v>-</v>
      </c>
      <c r="R53" s="106" t="str">
        <f>IFERROR(SUMIFS('01. KE30'!$K:$K,'01. KE30'!$F:$F,'05. BC BH THEO SKU-USD'!$D53,'01. KE30'!$A:$A,'05. BC BH THEO SKU-USD'!R$4)/'05. BC BH THEO SKU-USD'!CX53/'02. Tỷ giá'!M$5,"-")</f>
        <v>-</v>
      </c>
      <c r="T53" s="92">
        <f t="shared" si="309"/>
        <v>613.5598027142106</v>
      </c>
      <c r="U53" s="147">
        <f>IFERROR(SUMIFS('01. KE30'!$O:$O,'01. KE30'!$F:$F,'05. BC BH THEO SKU-USD'!$D53,'01. KE30'!$A:$A,'05. BC BH THEO SKU-USD'!G$4)/'05. BC BH THEO SKU-USD'!CM53/'02. Tỷ giá'!B$5,"-")</f>
        <v>631.90448949551717</v>
      </c>
      <c r="V53" s="147">
        <f>IFERROR(SUMIFS('01. KE30'!$O:$O,'01. KE30'!$F:$F,'05. BC BH THEO SKU-USD'!$D53,'01. KE30'!$A:$A,'05. BC BH THEO SKU-USD'!H$4)/'05. BC BH THEO SKU-USD'!CN53/'02. Tỷ giá'!C$5,"-")</f>
        <v>626.47044768281478</v>
      </c>
      <c r="W53" s="147">
        <f>IFERROR(SUMIFS('01. KE30'!$O:$O,'01. KE30'!$F:$F,'05. BC BH THEO SKU-USD'!$D53,'01. KE30'!$A:$A,'05. BC BH THEO SKU-USD'!I$4)/'05. BC BH THEO SKU-USD'!CO53/'02. Tỷ giá'!D$5,"-")</f>
        <v>619.76773580749955</v>
      </c>
      <c r="X53" s="147">
        <f>IFERROR(SUMIFS('01. KE30'!$O:$O,'01. KE30'!$F:$F,'05. BC BH THEO SKU-USD'!$D53,'01. KE30'!$A:$A,'05. BC BH THEO SKU-USD'!J$4)/'05. BC BH THEO SKU-USD'!CP53/'02. Tỷ giá'!E$5,"-")</f>
        <v>608.82211979860438</v>
      </c>
      <c r="Y53" s="147">
        <f>IFERROR(SUMIFS('01. KE30'!$O:$O,'01. KE30'!$F:$F,'05. BC BH THEO SKU-USD'!$D53,'01. KE30'!$A:$A,'05. BC BH THEO SKU-USD'!K$4)/'05. BC BH THEO SKU-USD'!CQ53/'02. Tỷ giá'!F$5,"-")</f>
        <v>618.03119248573705</v>
      </c>
      <c r="Z53" s="147">
        <f>IFERROR(SUMIFS('01. KE30'!$O:$O,'01. KE30'!$F:$F,'05. BC BH THEO SKU-USD'!$D53,'01. KE30'!$A:$A,'05. BC BH THEO SKU-USD'!L$4)/'05. BC BH THEO SKU-USD'!CR53/'02. Tỷ giá'!G$5,"-")</f>
        <v>618.42706790123452</v>
      </c>
      <c r="AA53" s="147">
        <f>IFERROR(SUMIFS('01. KE30'!$O:$O,'01. KE30'!$F:$F,'05. BC BH THEO SKU-USD'!$D53,'01. KE30'!$A:$A,'05. BC BH THEO SKU-USD'!M$4)/'05. BC BH THEO SKU-USD'!CS53/'02. Tỷ giá'!H$5,"-")</f>
        <v>629.97758297535472</v>
      </c>
      <c r="AB53" s="147">
        <f>IFERROR(SUMIFS('01. KE30'!$O:$O,'01. KE30'!$F:$F,'05. BC BH THEO SKU-USD'!$D53,'01. KE30'!$A:$A,'05. BC BH THEO SKU-USD'!N$4)/'05. BC BH THEO SKU-USD'!CT53/'02. Tỷ giá'!I$5,"-")</f>
        <v>596.88734670901852</v>
      </c>
      <c r="AC53" s="147">
        <f>IFERROR(SUMIFS('01. KE30'!$O:$O,'01. KE30'!$F:$F,'05. BC BH THEO SKU-USD'!$D53,'01. KE30'!$A:$A,'05. BC BH THEO SKU-USD'!O$4)/'05. BC BH THEO SKU-USD'!CU53/'02. Tỷ giá'!J$5,"-")</f>
        <v>602.58292268305172</v>
      </c>
      <c r="AD53" s="147" t="str">
        <f>IFERROR(SUMIFS('01. KE30'!$O:$O,'01. KE30'!$F:$F,'05. BC BH THEO SKU-USD'!$D53,'01. KE30'!$A:$A,'05. BC BH THEO SKU-USD'!P$4)/'05. BC BH THEO SKU-USD'!CV53/'02. Tỷ giá'!K$5,"-")</f>
        <v>-</v>
      </c>
      <c r="AE53" s="147" t="str">
        <f>IFERROR(SUMIFS('01. KE30'!$O:$O,'01. KE30'!$F:$F,'05. BC BH THEO SKU-USD'!$D53,'01. KE30'!$A:$A,'05. BC BH THEO SKU-USD'!Q$4)/'05. BC BH THEO SKU-USD'!CW53/'02. Tỷ giá'!L$5,"-")</f>
        <v>-</v>
      </c>
      <c r="AF53" s="147" t="str">
        <f>IFERROR(SUMIFS('01. KE30'!$O:$O,'01. KE30'!$F:$F,'05. BC BH THEO SKU-USD'!$D53,'01. KE30'!$A:$A,'05. BC BH THEO SKU-USD'!R$4)/'05. BC BH THEO SKU-USD'!CX53/'02. Tỷ giá'!M$5,"-")</f>
        <v>-</v>
      </c>
      <c r="AH53" s="55">
        <f t="shared" si="296"/>
        <v>737.22222222222217</v>
      </c>
      <c r="AI53" s="4">
        <v>825</v>
      </c>
      <c r="AJ53" s="4">
        <v>750</v>
      </c>
      <c r="AK53" s="4">
        <v>750</v>
      </c>
      <c r="AL53" s="4">
        <v>750</v>
      </c>
      <c r="AM53" s="4">
        <v>720</v>
      </c>
      <c r="AN53" s="4">
        <v>720</v>
      </c>
      <c r="AO53" s="4">
        <v>720</v>
      </c>
      <c r="AP53" s="4">
        <v>700</v>
      </c>
      <c r="AQ53" s="4">
        <v>700</v>
      </c>
      <c r="AR53" s="4"/>
      <c r="AS53" s="4"/>
      <c r="AT53" s="4"/>
      <c r="AV53" s="95">
        <f t="shared" si="299"/>
        <v>-123.66241950801157</v>
      </c>
      <c r="AW53" s="95">
        <f t="shared" si="299"/>
        <v>-193.09551050448283</v>
      </c>
      <c r="AX53" s="95">
        <f t="shared" si="299"/>
        <v>-123.52955231718522</v>
      </c>
      <c r="AY53" s="95">
        <f t="shared" si="299"/>
        <v>-130.23226419250045</v>
      </c>
      <c r="AZ53" s="95">
        <f t="shared" si="299"/>
        <v>-141.17788020139562</v>
      </c>
      <c r="BA53" s="95">
        <f t="shared" si="299"/>
        <v>-101.96880751426295</v>
      </c>
      <c r="BB53" s="95">
        <f t="shared" si="299"/>
        <v>-101.57293209876548</v>
      </c>
      <c r="BC53" s="95">
        <f t="shared" si="299"/>
        <v>-90.022417024645279</v>
      </c>
      <c r="BD53" s="95">
        <f t="shared" si="299"/>
        <v>-103.11265329098148</v>
      </c>
      <c r="BE53" s="95">
        <f t="shared" si="299"/>
        <v>-97.41707731694828</v>
      </c>
      <c r="BF53" s="95" t="str">
        <f t="shared" si="299"/>
        <v>-</v>
      </c>
      <c r="BG53" s="95" t="str">
        <f t="shared" si="299"/>
        <v>-</v>
      </c>
      <c r="BH53" s="95" t="str">
        <f t="shared" si="299"/>
        <v>-</v>
      </c>
      <c r="BJ53" s="143">
        <f t="shared" si="376"/>
        <v>-0.16774103625804132</v>
      </c>
      <c r="BK53" s="143">
        <f t="shared" si="377"/>
        <v>-0.23405516424785797</v>
      </c>
      <c r="BL53" s="143">
        <f t="shared" si="377"/>
        <v>-0.16470606975624696</v>
      </c>
      <c r="BM53" s="143">
        <f t="shared" si="377"/>
        <v>-0.17364301892333395</v>
      </c>
      <c r="BN53" s="143">
        <f t="shared" si="377"/>
        <v>-0.18823717360186082</v>
      </c>
      <c r="BO53" s="143">
        <f t="shared" si="377"/>
        <v>-0.14162334376980965</v>
      </c>
      <c r="BP53" s="143">
        <f t="shared" si="377"/>
        <v>-0.14107351680384095</v>
      </c>
      <c r="BQ53" s="143">
        <f t="shared" si="377"/>
        <v>-0.12503113475645178</v>
      </c>
      <c r="BR53" s="143">
        <f t="shared" si="377"/>
        <v>-0.14730379041568784</v>
      </c>
      <c r="BS53" s="143">
        <f t="shared" si="377"/>
        <v>-0.1391672533099261</v>
      </c>
      <c r="BT53" s="143" t="str">
        <f t="shared" si="68"/>
        <v>-</v>
      </c>
      <c r="BU53" s="143" t="str">
        <f t="shared" si="68"/>
        <v>-</v>
      </c>
      <c r="BV53" s="143" t="str">
        <f t="shared" si="68"/>
        <v>-</v>
      </c>
      <c r="BX53" s="112">
        <f t="shared" si="378"/>
        <v>953.99623131425551</v>
      </c>
      <c r="BY53" s="95">
        <f>IFERROR(SUMIFS('01. KE30'!$R:$R,'01. KE30'!$F:$F,'05. BC BH THEO SKU-USD'!$D53,'01. KE30'!$A:$A,'05. BC BH THEO SKU-USD'!BY$4)/CM53/'02. Tỷ giá'!B$5," -")</f>
        <v>1108.2727887060084</v>
      </c>
      <c r="BZ53" s="95">
        <f>IFERROR(SUMIFS('01. KE30'!$R:$R,'01. KE30'!$F:$F,'05. BC BH THEO SKU-USD'!$D53,'01. KE30'!$A:$A,'05. BC BH THEO SKU-USD'!BZ$4)/CN53/'02. Tỷ giá'!C$5," -")</f>
        <v>1129.3803184605863</v>
      </c>
      <c r="CA53" s="95">
        <f>IFERROR(SUMIFS('01. KE30'!$R:$R,'01. KE30'!$F:$F,'05. BC BH THEO SKU-USD'!$D53,'01. KE30'!$A:$A,'05. BC BH THEO SKU-USD'!CA$4)/CO53/'02. Tỷ giá'!D$5," -")</f>
        <v>1202.3194069709816</v>
      </c>
      <c r="CB53" s="95">
        <f>IFERROR(SUMIFS('01. KE30'!$R:$R,'01. KE30'!$F:$F,'05. BC BH THEO SKU-USD'!$D53,'01. KE30'!$A:$A,'05. BC BH THEO SKU-USD'!CB$4)/CP53/'02. Tỷ giá'!E$5," -")</f>
        <v>1080.6671830827129</v>
      </c>
      <c r="CC53" s="95">
        <f>IFERROR(SUMIFS('01. KE30'!$R:$R,'01. KE30'!$F:$F,'05. BC BH THEO SKU-USD'!$D53,'01. KE30'!$A:$A,'05. BC BH THEO SKU-USD'!CC$4)/CQ53/'02. Tỷ giá'!F$5," -")</f>
        <v>974.3456426465807</v>
      </c>
      <c r="CD53" s="95">
        <f>IFERROR(SUMIFS('01. KE30'!$R:$R,'01. KE30'!$F:$F,'05. BC BH THEO SKU-USD'!$D53,'01. KE30'!$A:$A,'05. BC BH THEO SKU-USD'!CD$4)/CR53/'02. Tỷ giá'!G$5," -")</f>
        <v>942.66224279835387</v>
      </c>
      <c r="CE53" s="95">
        <f>IFERROR(SUMIFS('01. KE30'!$R:$R,'01. KE30'!$F:$F,'05. BC BH THEO SKU-USD'!$D53,'01. KE30'!$A:$A,'05. BC BH THEO SKU-USD'!CE$4)/CS53/'02. Tỷ giá'!H$5," -")</f>
        <v>762.75091211771962</v>
      </c>
      <c r="CF53" s="95">
        <f>IFERROR(SUMIFS('01. KE30'!$R:$R,'01. KE30'!$F:$F,'05. BC BH THEO SKU-USD'!$D53,'01. KE30'!$A:$A,'05. BC BH THEO SKU-USD'!CF$4)/CT53/'02. Tỷ giá'!I$5," -")</f>
        <v>668.93641858657338</v>
      </c>
      <c r="CG53" s="95">
        <f>IFERROR(SUMIFS('01. KE30'!$R:$R,'01. KE30'!$F:$F,'05. BC BH THEO SKU-USD'!$D53,'01. KE30'!$A:$A,'05. BC BH THEO SKU-USD'!CG$4)/CU53/'02. Tỷ giá'!J$5," -")</f>
        <v>716.6311684587813</v>
      </c>
      <c r="CH53" s="95" t="str">
        <f>IFERROR(SUMIFS('01. KE30'!$R:$R,'01. KE30'!$F:$F,'05. BC BH THEO SKU-USD'!$D53,'01. KE30'!$A:$A,'05. BC BH THEO SKU-USD'!CH$4)/CV53/'02. Tỷ giá'!K$5," -")</f>
        <v xml:space="preserve"> -</v>
      </c>
      <c r="CI53" s="95" t="str">
        <f>IFERROR(SUMIFS('01. KE30'!$R:$R,'01. KE30'!$F:$F,'05. BC BH THEO SKU-USD'!$D53,'01. KE30'!$A:$A,'05. BC BH THEO SKU-USD'!CI$4)/CW53/'02. Tỷ giá'!L$5," -")</f>
        <v xml:space="preserve"> -</v>
      </c>
      <c r="CJ53" s="95" t="str">
        <f>IFERROR(SUMIFS('01. KE30'!$R:$R,'01. KE30'!$F:$F,'05. BC BH THEO SKU-USD'!$D53,'01. KE30'!$A:$A,'05. BC BH THEO SKU-USD'!CJ$4)/CX53/'02. Tỷ giá'!M$5," -")</f>
        <v xml:space="preserve"> -</v>
      </c>
      <c r="CL53" s="112">
        <f t="shared" si="281"/>
        <v>185.32499999999999</v>
      </c>
      <c r="CM53" s="114">
        <f>SUMIFS('01. KE30'!$I:$I,'01. KE30'!$F:$F,'05. BC BH THEO SKU-USD'!$D53,'01. KE30'!$A:$A,'05. BC BH THEO SKU-USD'!CM$4)/1000</f>
        <v>6</v>
      </c>
      <c r="CN53" s="114">
        <f>SUMIFS('01. KE30'!$I:$I,'01. KE30'!$F:$F,'05. BC BH THEO SKU-USD'!$D53,'01. KE30'!$A:$A,'05. BC BH THEO SKU-USD'!CN$4)/1000</f>
        <v>10.5</v>
      </c>
      <c r="CO53" s="114">
        <f>SUMIFS('01. KE30'!$I:$I,'01. KE30'!$F:$F,'05. BC BH THEO SKU-USD'!$D53,'01. KE30'!$A:$A,'05. BC BH THEO SKU-USD'!CO$4)/1000</f>
        <v>14.3</v>
      </c>
      <c r="CP53" s="114">
        <f>SUMIFS('01. KE30'!$I:$I,'01. KE30'!$F:$F,'05. BC BH THEO SKU-USD'!$D53,'01. KE30'!$A:$A,'05. BC BH THEO SKU-USD'!CP$4)/1000</f>
        <v>29.274999999999999</v>
      </c>
      <c r="CQ53" s="114">
        <f>SUMIFS('01. KE30'!$I:$I,'01. KE30'!$F:$F,'05. BC BH THEO SKU-USD'!$D53,'01. KE30'!$A:$A,'05. BC BH THEO SKU-USD'!CQ$4)/1000</f>
        <v>34.5</v>
      </c>
      <c r="CR53" s="114">
        <f>SUMIFS('01. KE30'!$I:$I,'01. KE30'!$F:$F,'05. BC BH THEO SKU-USD'!$D53,'01. KE30'!$A:$A,'05. BC BH THEO SKU-USD'!CR$4)/1000</f>
        <v>22.5</v>
      </c>
      <c r="CS53" s="114">
        <f>SUMIFS('01. KE30'!$I:$I,'01. KE30'!$F:$F,'05. BC BH THEO SKU-USD'!$D53,'01. KE30'!$A:$A,'05. BC BH THEO SKU-USD'!CS$4)/1000</f>
        <v>16.5</v>
      </c>
      <c r="CT53" s="114">
        <f>SUMIFS('01. KE30'!$I:$I,'01. KE30'!$F:$F,'05. BC BH THEO SKU-USD'!$D53,'01. KE30'!$A:$A,'05. BC BH THEO SKU-USD'!CT$4)/1000</f>
        <v>28.5</v>
      </c>
      <c r="CU53" s="114">
        <f>SUMIFS('01. KE30'!$I:$I,'01. KE30'!$F:$F,'05. BC BH THEO SKU-USD'!$D53,'01. KE30'!$A:$A,'05. BC BH THEO SKU-USD'!CU$4)/1000</f>
        <v>23.25</v>
      </c>
      <c r="CV53" s="114">
        <f>SUMIFS('01. KE30'!$I:$I,'01. KE30'!$F:$F,'05. BC BH THEO SKU-USD'!$D53,'01. KE30'!$A:$A,'05. BC BH THEO SKU-USD'!CV$4)/1000</f>
        <v>0</v>
      </c>
      <c r="CW53" s="114">
        <f>SUMIFS('01. KE30'!$I:$I,'01. KE30'!$F:$F,'05. BC BH THEO SKU-USD'!$D53,'01. KE30'!$A:$A,'05. BC BH THEO SKU-USD'!CW$4)/1000</f>
        <v>0</v>
      </c>
      <c r="CX53" s="114">
        <f>SUMIFS('01. KE30'!$I:$I,'01. KE30'!$F:$F,'05. BC BH THEO SKU-USD'!$D53,'01. KE30'!$A:$A,'05. BC BH THEO SKU-USD'!CX$4)/1000</f>
        <v>0</v>
      </c>
      <c r="CZ53" s="112">
        <f t="shared" si="379"/>
        <v>114977.51842738288</v>
      </c>
      <c r="DA53" s="54">
        <f t="shared" si="380"/>
        <v>3791.4269369731028</v>
      </c>
      <c r="DB53" s="54">
        <f t="shared" si="381"/>
        <v>6577.9397006695554</v>
      </c>
      <c r="DC53" s="54">
        <f t="shared" si="382"/>
        <v>8864.6471259842529</v>
      </c>
      <c r="DD53" s="54">
        <f t="shared" si="383"/>
        <v>18078.784397986838</v>
      </c>
      <c r="DE53" s="54">
        <f t="shared" si="384"/>
        <v>21902.122544470229</v>
      </c>
      <c r="DF53" s="54">
        <f t="shared" si="385"/>
        <v>14146.090509259258</v>
      </c>
      <c r="DG53" s="54">
        <f t="shared" si="386"/>
        <v>10394.630119093354</v>
      </c>
      <c r="DH53" s="54">
        <f t="shared" si="387"/>
        <v>17211.824140565317</v>
      </c>
      <c r="DI53" s="54">
        <f t="shared" si="388"/>
        <v>14010.052952380953</v>
      </c>
      <c r="DJ53" s="54" t="str">
        <f t="shared" si="389"/>
        <v xml:space="preserve"> -</v>
      </c>
      <c r="DK53" s="54" t="str">
        <f t="shared" si="390"/>
        <v xml:space="preserve"> -</v>
      </c>
      <c r="DL53" s="54" t="str">
        <f t="shared" si="391"/>
        <v xml:space="preserve"> -</v>
      </c>
      <c r="DN53" s="112">
        <f t="shared" si="64"/>
        <v>-56766.436723088955</v>
      </c>
      <c r="DO53" s="114">
        <f>IFERROR(SUMIFS('01. KE30'!$X:$X,'01. KE30'!$F:$F,'05. BC BH THEO SKU-USD'!$D53,'01. KE30'!$A:$A,'05. BC BH THEO SKU-USD'!DO$4)-SUMIFS('01. KE30'!$AA:$AA,'01. KE30'!$F:$F,'05. BC BH THEO SKU-USD'!$D53,'01. KE30'!$A:$A,'05. BC BH THEO SKU-USD'!DO$4),"-")</f>
        <v>-2858.209795262947</v>
      </c>
      <c r="DP53" s="114">
        <f>IFERROR(SUMIFS('01. KE30'!$X:$X,'01. KE30'!$F:$F,'05. BC BH THEO SKU-USD'!$D53,'01. KE30'!$A:$A,'05. BC BH THEO SKU-USD'!DP$4)-SUMIFS('01. KE30'!$AA:$AA,'01. KE30'!$F:$F,'05. BC BH THEO SKU-USD'!$D53,'01. KE30'!$A:$A,'05. BC BH THEO SKU-USD'!DP$4),"-")</f>
        <v>-5280.5536431666023</v>
      </c>
      <c r="DQ53" s="114">
        <f>IFERROR(SUMIFS('01. KE30'!$X:$X,'01. KE30'!$F:$F,'05. BC BH THEO SKU-USD'!$D53,'01. KE30'!$A:$A,'05. BC BH THEO SKU-USD'!DQ$4)-SUMIFS('01. KE30'!$AA:$AA,'01. KE30'!$F:$F,'05. BC BH THEO SKU-USD'!$D53,'01. KE30'!$A:$A,'05. BC BH THEO SKU-USD'!DQ$4),"-")</f>
        <v>-8330.488897637797</v>
      </c>
      <c r="DR53" s="114">
        <f>IFERROR(SUMIFS('01. KE30'!$X:$X,'01. KE30'!$F:$F,'05. BC BH THEO SKU-USD'!$D53,'01. KE30'!$A:$A,'05. BC BH THEO SKU-USD'!DR$4)-SUMIFS('01. KE30'!$AA:$AA,'01. KE30'!$F:$F,'05. BC BH THEO SKU-USD'!$D53,'01. KE30'!$A:$A,'05. BC BH THEO SKU-USD'!DR$4),"-")</f>
        <v>-13813.264227642274</v>
      </c>
      <c r="DS53" s="114">
        <f>IFERROR(SUMIFS('01. KE30'!$X:$X,'01. KE30'!$F:$F,'05. BC BH THEO SKU-USD'!$D53,'01. KE30'!$A:$A,'05. BC BH THEO SKU-USD'!DS$4)-SUMIFS('01. KE30'!$AA:$AA,'01. KE30'!$F:$F,'05. BC BH THEO SKU-USD'!$D53,'01. KE30'!$A:$A,'05. BC BH THEO SKU-USD'!DS$4),"-")</f>
        <v>-12292.848530549112</v>
      </c>
      <c r="DT53" s="114">
        <f>IFERROR(SUMIFS('01. KE30'!$X:$X,'01. KE30'!$F:$F,'05. BC BH THEO SKU-USD'!$D53,'01. KE30'!$A:$A,'05. BC BH THEO SKU-USD'!DT$4)-SUMIFS('01. KE30'!$AA:$AA,'01. KE30'!$F:$F,'05. BC BH THEO SKU-USD'!$D53,'01. KE30'!$A:$A,'05. BC BH THEO SKU-USD'!DT$4),"-")</f>
        <v>-7295.2914351851869</v>
      </c>
      <c r="DU53" s="114">
        <f>IFERROR(SUMIFS('01. KE30'!$X:$X,'01. KE30'!$F:$F,'05. BC BH THEO SKU-USD'!$D53,'01. KE30'!$A:$A,'05. BC BH THEO SKU-USD'!DU$4)-SUMIFS('01. KE30'!$AA:$AA,'01. KE30'!$F:$F,'05. BC BH THEO SKU-USD'!$D53,'01. KE30'!$A:$A,'05. BC BH THEO SKU-USD'!DU$4),"-")</f>
        <v>-2190.7599308490189</v>
      </c>
      <c r="DV53" s="114">
        <f>IFERROR(SUMIFS('01. KE30'!$X:$X,'01. KE30'!$F:$F,'05. BC BH THEO SKU-USD'!$D53,'01. KE30'!$A:$A,'05. BC BH THEO SKU-USD'!DV$4)-SUMIFS('01. KE30'!$AA:$AA,'01. KE30'!$F:$F,'05. BC BH THEO SKU-USD'!$D53,'01. KE30'!$A:$A,'05. BC BH THEO SKU-USD'!DV$4),"-")</f>
        <v>-2053.3985485103112</v>
      </c>
      <c r="DW53" s="114">
        <f>IFERROR(SUMIFS('01. KE30'!$X:$X,'01. KE30'!$F:$F,'05. BC BH THEO SKU-USD'!$D53,'01. KE30'!$A:$A,'05. BC BH THEO SKU-USD'!DW$4)-SUMIFS('01. KE30'!$AA:$AA,'01. KE30'!$F:$F,'05. BC BH THEO SKU-USD'!$D53,'01. KE30'!$A:$A,'05. BC BH THEO SKU-USD'!DW$4),"-")</f>
        <v>-2651.6217142857131</v>
      </c>
      <c r="DX53" s="114">
        <f>IFERROR(SUMIFS('01. KE30'!$X:$X,'01. KE30'!$F:$F,'05. BC BH THEO SKU-USD'!$D53,'01. KE30'!$A:$A,'05. BC BH THEO SKU-USD'!DX$4)-SUMIFS('01. KE30'!$AA:$AA,'01. KE30'!$F:$F,'05. BC BH THEO SKU-USD'!$D53,'01. KE30'!$A:$A,'05. BC BH THEO SKU-USD'!DX$4),"-")</f>
        <v>0</v>
      </c>
      <c r="DY53" s="114">
        <f>IFERROR(SUMIFS('01. KE30'!$X:$X,'01. KE30'!$F:$F,'05. BC BH THEO SKU-USD'!$D53,'01. KE30'!$A:$A,'05. BC BH THEO SKU-USD'!DY$4)-SUMIFS('01. KE30'!$AA:$AA,'01. KE30'!$F:$F,'05. BC BH THEO SKU-USD'!$D53,'01. KE30'!$A:$A,'05. BC BH THEO SKU-USD'!DY$4),"-")</f>
        <v>0</v>
      </c>
      <c r="DZ53" s="114">
        <f>IFERROR(SUMIFS('01. KE30'!$X:$X,'01. KE30'!$F:$F,'05. BC BH THEO SKU-USD'!$D53,'01. KE30'!$A:$A,'05. BC BH THEO SKU-USD'!DZ$4)-SUMIFS('01. KE30'!$AA:$AA,'01. KE30'!$F:$F,'05. BC BH THEO SKU-USD'!$D53,'01. KE30'!$A:$A,'05. BC BH THEO SKU-USD'!DZ$4),"-")</f>
        <v>0</v>
      </c>
      <c r="EB53" s="571">
        <f t="shared" si="252"/>
        <v>-0.49371770672665294</v>
      </c>
      <c r="EC53" s="572">
        <f t="shared" si="253"/>
        <v>-0.75386123556552231</v>
      </c>
      <c r="ED53" s="572">
        <f t="shared" si="19"/>
        <v>-0.80276710998568523</v>
      </c>
      <c r="EE53" s="572">
        <f t="shared" si="20"/>
        <v>-0.93974286615642943</v>
      </c>
      <c r="EF53" s="572">
        <f t="shared" si="21"/>
        <v>-0.76405934843608458</v>
      </c>
      <c r="EG53" s="572">
        <f t="shared" si="22"/>
        <v>-0.5612628869914148</v>
      </c>
      <c r="EH53" s="572">
        <f t="shared" si="23"/>
        <v>-0.51571078457401975</v>
      </c>
      <c r="EI53" s="572">
        <f t="shared" si="24"/>
        <v>-0.21075881544115035</v>
      </c>
      <c r="EJ53" s="572">
        <f t="shared" si="25"/>
        <v>-0.11930162263689431</v>
      </c>
      <c r="EK53" s="572">
        <f t="shared" si="26"/>
        <v>-0.18926564541178845</v>
      </c>
      <c r="EL53" s="572">
        <f t="shared" si="27"/>
        <v>0</v>
      </c>
      <c r="EM53" s="572">
        <f t="shared" si="28"/>
        <v>0</v>
      </c>
      <c r="EN53" s="572">
        <f t="shared" si="29"/>
        <v>0</v>
      </c>
    </row>
    <row r="54" spans="1:144" ht="15.5" outlineLevel="1" x14ac:dyDescent="0.35">
      <c r="A54" s="10">
        <f t="shared" ref="A54:A56" si="392">A53+1</f>
        <v>3</v>
      </c>
      <c r="B54" s="10" t="s">
        <v>295</v>
      </c>
      <c r="C54" s="246" t="str">
        <f>VLOOKUP(D54,'Quy đổi'!A:C,3,0)</f>
        <v>Vảy HD Ép Vàng</v>
      </c>
      <c r="D54" s="466" t="s">
        <v>39</v>
      </c>
      <c r="E54" s="7" t="s">
        <v>38</v>
      </c>
      <c r="F54" s="92">
        <f t="shared" si="295"/>
        <v>615.16506718946857</v>
      </c>
      <c r="G54" s="106">
        <f>IFERROR(SUMIFS('01. KE30'!$K:$K,'01. KE30'!$F:$F,'05. BC BH THEO SKU-USD'!$D54,'01. KE30'!$A:$A,'05. BC BH THEO SKU-USD'!G$4)/'05. BC BH THEO SKU-USD'!CM54/'02. Tỷ giá'!B$5,"-")</f>
        <v>631.9044828047638</v>
      </c>
      <c r="H54" s="106">
        <f>IFERROR(SUMIFS('01. KE30'!$K:$K,'01. KE30'!$F:$F,'05. BC BH THEO SKU-USD'!$D54,'01. KE30'!$A:$A,'05. BC BH THEO SKU-USD'!H$4)/'05. BC BH THEO SKU-USD'!CN54/'02. Tỷ giá'!C$5,"-")</f>
        <v>619.95827753708807</v>
      </c>
      <c r="I54" s="106">
        <f>IFERROR(SUMIFS('01. KE30'!$K:$K,'01. KE30'!$F:$F,'05. BC BH THEO SKU-USD'!$D54,'01. KE30'!$A:$A,'05. BC BH THEO SKU-USD'!I$4)/'05. BC BH THEO SKU-USD'!CO54/'02. Tỷ giá'!D$5,"-")</f>
        <v>594.27964645444956</v>
      </c>
      <c r="J54" s="106">
        <f>IFERROR(SUMIFS('01. KE30'!$K:$K,'01. KE30'!$F:$F,'05. BC BH THEO SKU-USD'!$D54,'01. KE30'!$A:$A,'05. BC BH THEO SKU-USD'!J$4)/'05. BC BH THEO SKU-USD'!CP54/'02. Tỷ giá'!E$5,"-")</f>
        <v>595.0792970298213</v>
      </c>
      <c r="K54" s="106">
        <f>IFERROR(SUMIFS('01. KE30'!$K:$K,'01. KE30'!$F:$F,'05. BC BH THEO SKU-USD'!$D54,'01. KE30'!$A:$A,'05. BC BH THEO SKU-USD'!K$4)/'05. BC BH THEO SKU-USD'!CQ54/'02. Tỷ giá'!F$5,"-")</f>
        <v>656.20999986431661</v>
      </c>
      <c r="L54" s="106" t="str">
        <f>IFERROR(SUMIFS('01. KE30'!$K:$K,'01. KE30'!$F:$F,'05. BC BH THEO SKU-USD'!$D54,'01. KE30'!$A:$A,'05. BC BH THEO SKU-USD'!L$4)/'05. BC BH THEO SKU-USD'!CR54/'02. Tỷ giá'!G$5,"-")</f>
        <v>-</v>
      </c>
      <c r="M54" s="106" t="str">
        <f>IFERROR(SUMIFS('01. KE30'!$K:$K,'01. KE30'!$F:$F,'05. BC BH THEO SKU-USD'!$D54,'01. KE30'!$A:$A,'05. BC BH THEO SKU-USD'!M$4)/'05. BC BH THEO SKU-USD'!CS54/'02. Tỷ giá'!H$5,"-")</f>
        <v>-</v>
      </c>
      <c r="N54" s="106">
        <f>IFERROR(SUMIFS('01. KE30'!$K:$K,'01. KE30'!$F:$F,'05. BC BH THEO SKU-USD'!$D54,'01. KE30'!$A:$A,'05. BC BH THEO SKU-USD'!N$4)/'05. BC BH THEO SKU-USD'!CT54/'02. Tỷ giá'!I$5,"-")</f>
        <v>617.68617265087858</v>
      </c>
      <c r="O54" s="106">
        <f>IFERROR(SUMIFS('01. KE30'!$K:$K,'01. KE30'!$F:$F,'05. BC BH THEO SKU-USD'!$D54,'01. KE30'!$A:$A,'05. BC BH THEO SKU-USD'!O$4)/'05. BC BH THEO SKU-USD'!CU54/'02. Tỷ giá'!J$5,"-")</f>
        <v>591.03759398496243</v>
      </c>
      <c r="P54" s="106" t="str">
        <f>IFERROR(SUMIFS('01. KE30'!$K:$K,'01. KE30'!$F:$F,'05. BC BH THEO SKU-USD'!$D54,'01. KE30'!$A:$A,'05. BC BH THEO SKU-USD'!P$4)/'05. BC BH THEO SKU-USD'!CV54/'02. Tỷ giá'!K$5,"-")</f>
        <v>-</v>
      </c>
      <c r="Q54" s="106" t="str">
        <f>IFERROR(SUMIFS('01. KE30'!$K:$K,'01. KE30'!$F:$F,'05. BC BH THEO SKU-USD'!$D54,'01. KE30'!$A:$A,'05. BC BH THEO SKU-USD'!Q$4)/'05. BC BH THEO SKU-USD'!CW54/'02. Tỷ giá'!L$5,"-")</f>
        <v>-</v>
      </c>
      <c r="R54" s="106" t="str">
        <f>IFERROR(SUMIFS('01. KE30'!$K:$K,'01. KE30'!$F:$F,'05. BC BH THEO SKU-USD'!$D54,'01. KE30'!$A:$A,'05. BC BH THEO SKU-USD'!R$4)/'05. BC BH THEO SKU-USD'!CX54/'02. Tỷ giá'!M$5,"-")</f>
        <v>-</v>
      </c>
      <c r="T54" s="92">
        <f t="shared" si="309"/>
        <v>604.576327471887</v>
      </c>
      <c r="U54" s="147">
        <f>IFERROR(SUMIFS('01. KE30'!$O:$O,'01. KE30'!$F:$F,'05. BC BH THEO SKU-USD'!$D54,'01. KE30'!$A:$A,'05. BC BH THEO SKU-USD'!G$4)/'05. BC BH THEO SKU-USD'!CM54/'02. Tỷ giá'!B$5,"-")</f>
        <v>631.9044828047638</v>
      </c>
      <c r="V54" s="147">
        <f>IFERROR(SUMIFS('01. KE30'!$O:$O,'01. KE30'!$F:$F,'05. BC BH THEO SKU-USD'!$D54,'01. KE30'!$A:$A,'05. BC BH THEO SKU-USD'!H$4)/'05. BC BH THEO SKU-USD'!CN54/'02. Tỷ giá'!C$5,"-")</f>
        <v>619.95827753708807</v>
      </c>
      <c r="W54" s="147">
        <f>IFERROR(SUMIFS('01. KE30'!$O:$O,'01. KE30'!$F:$F,'05. BC BH THEO SKU-USD'!$D54,'01. KE30'!$A:$A,'05. BC BH THEO SKU-USD'!I$4)/'05. BC BH THEO SKU-USD'!CO54/'02. Tỷ giá'!D$5,"-")</f>
        <v>594.16748098795335</v>
      </c>
      <c r="X54" s="147">
        <f>IFERROR(SUMIFS('01. KE30'!$O:$O,'01. KE30'!$F:$F,'05. BC BH THEO SKU-USD'!$D54,'01. KE30'!$A:$A,'05. BC BH THEO SKU-USD'!J$4)/'05. BC BH THEO SKU-USD'!CP54/'02. Tỷ giá'!E$5,"-")</f>
        <v>595.0792970298213</v>
      </c>
      <c r="Y54" s="147">
        <f>IFERROR(SUMIFS('01. KE30'!$O:$O,'01. KE30'!$F:$F,'05. BC BH THEO SKU-USD'!$D54,'01. KE30'!$A:$A,'05. BC BH THEO SKU-USD'!K$4)/'05. BC BH THEO SKU-USD'!CQ54/'02. Tỷ giá'!F$5,"-")</f>
        <v>620.186065317974</v>
      </c>
      <c r="Z54" s="147" t="str">
        <f>IFERROR(SUMIFS('01. KE30'!$O:$O,'01. KE30'!$F:$F,'05. BC BH THEO SKU-USD'!$D54,'01. KE30'!$A:$A,'05. BC BH THEO SKU-USD'!L$4)/'05. BC BH THEO SKU-USD'!CR54/'02. Tỷ giá'!G$5,"-")</f>
        <v>-</v>
      </c>
      <c r="AA54" s="147" t="str">
        <f>IFERROR(SUMIFS('01. KE30'!$O:$O,'01. KE30'!$F:$F,'05. BC BH THEO SKU-USD'!$D54,'01. KE30'!$A:$A,'05. BC BH THEO SKU-USD'!M$4)/'05. BC BH THEO SKU-USD'!CS54/'02. Tỷ giá'!H$5,"-")</f>
        <v>-</v>
      </c>
      <c r="AB54" s="147">
        <f>IFERROR(SUMIFS('01. KE30'!$O:$O,'01. KE30'!$F:$F,'05. BC BH THEO SKU-USD'!$D54,'01. KE30'!$A:$A,'05. BC BH THEO SKU-USD'!N$4)/'05. BC BH THEO SKU-USD'!CT54/'02. Tỷ giá'!I$5,"-")</f>
        <v>601.95795623062054</v>
      </c>
      <c r="AC54" s="147">
        <f>IFERROR(SUMIFS('01. KE30'!$O:$O,'01. KE30'!$F:$F,'05. BC BH THEO SKU-USD'!$D54,'01. KE30'!$A:$A,'05. BC BH THEO SKU-USD'!O$4)/'05. BC BH THEO SKU-USD'!CU54/'02. Tỷ giá'!J$5,"-")</f>
        <v>591.03759398496243</v>
      </c>
      <c r="AD54" s="147" t="str">
        <f>IFERROR(SUMIFS('01. KE30'!$O:$O,'01. KE30'!$F:$F,'05. BC BH THEO SKU-USD'!$D54,'01. KE30'!$A:$A,'05. BC BH THEO SKU-USD'!P$4)/'05. BC BH THEO SKU-USD'!CV54/'02. Tỷ giá'!K$5,"-")</f>
        <v>-</v>
      </c>
      <c r="AE54" s="147" t="str">
        <f>IFERROR(SUMIFS('01. KE30'!$O:$O,'01. KE30'!$F:$F,'05. BC BH THEO SKU-USD'!$D54,'01. KE30'!$A:$A,'05. BC BH THEO SKU-USD'!Q$4)/'05. BC BH THEO SKU-USD'!CW54/'02. Tỷ giá'!L$5,"-")</f>
        <v>-</v>
      </c>
      <c r="AF54" s="147" t="str">
        <f>IFERROR(SUMIFS('01. KE30'!$O:$O,'01. KE30'!$F:$F,'05. BC BH THEO SKU-USD'!$D54,'01. KE30'!$A:$A,'05. BC BH THEO SKU-USD'!R$4)/'05. BC BH THEO SKU-USD'!CX54/'02. Tỷ giá'!M$5,"-")</f>
        <v>-</v>
      </c>
      <c r="AH54" s="55">
        <f t="shared" si="296"/>
        <v>737.22222222222217</v>
      </c>
      <c r="AI54" s="4">
        <v>825</v>
      </c>
      <c r="AJ54" s="4">
        <v>750</v>
      </c>
      <c r="AK54" s="4">
        <v>750</v>
      </c>
      <c r="AL54" s="4">
        <v>750</v>
      </c>
      <c r="AM54" s="4">
        <v>720</v>
      </c>
      <c r="AN54" s="4">
        <v>720</v>
      </c>
      <c r="AO54" s="4">
        <v>720</v>
      </c>
      <c r="AP54" s="4">
        <v>700</v>
      </c>
      <c r="AQ54" s="4">
        <v>700</v>
      </c>
      <c r="AR54" s="4"/>
      <c r="AS54" s="4"/>
      <c r="AT54" s="4"/>
      <c r="AV54" s="95">
        <f t="shared" si="299"/>
        <v>-132.64589475033517</v>
      </c>
      <c r="AW54" s="95">
        <f t="shared" si="299"/>
        <v>-193.0955171952362</v>
      </c>
      <c r="AX54" s="95">
        <f t="shared" si="299"/>
        <v>-130.04172246291193</v>
      </c>
      <c r="AY54" s="95">
        <f t="shared" si="299"/>
        <v>-155.83251901204665</v>
      </c>
      <c r="AZ54" s="95">
        <f t="shared" si="299"/>
        <v>-154.9207029701787</v>
      </c>
      <c r="BA54" s="95">
        <f t="shared" si="299"/>
        <v>-99.813934682026002</v>
      </c>
      <c r="BB54" s="95" t="str">
        <f t="shared" si="299"/>
        <v>-</v>
      </c>
      <c r="BC54" s="95" t="str">
        <f t="shared" si="299"/>
        <v>-</v>
      </c>
      <c r="BD54" s="95">
        <f t="shared" si="299"/>
        <v>-98.042043769379461</v>
      </c>
      <c r="BE54" s="95">
        <f t="shared" si="299"/>
        <v>-108.96240601503757</v>
      </c>
      <c r="BF54" s="95" t="str">
        <f t="shared" si="299"/>
        <v>-</v>
      </c>
      <c r="BG54" s="95" t="str">
        <f t="shared" si="299"/>
        <v>-</v>
      </c>
      <c r="BH54" s="95" t="str">
        <f t="shared" si="299"/>
        <v>-</v>
      </c>
      <c r="BJ54" s="143">
        <f t="shared" si="376"/>
        <v>-0.17992660930716151</v>
      </c>
      <c r="BK54" s="143">
        <f t="shared" si="377"/>
        <v>-0.23405517235786205</v>
      </c>
      <c r="BL54" s="143">
        <f t="shared" si="377"/>
        <v>-0.17338896328388259</v>
      </c>
      <c r="BM54" s="143">
        <f t="shared" si="377"/>
        <v>-0.20777669201606219</v>
      </c>
      <c r="BN54" s="143">
        <f t="shared" si="377"/>
        <v>-0.20656093729357158</v>
      </c>
      <c r="BO54" s="143">
        <f t="shared" si="377"/>
        <v>-0.13863046483614722</v>
      </c>
      <c r="BP54" s="143" t="str">
        <f t="shared" si="377"/>
        <v>-</v>
      </c>
      <c r="BQ54" s="143" t="str">
        <f t="shared" si="377"/>
        <v>-</v>
      </c>
      <c r="BR54" s="143">
        <f t="shared" si="377"/>
        <v>-0.14006006252768494</v>
      </c>
      <c r="BS54" s="143">
        <f t="shared" si="377"/>
        <v>-0.15566058002148225</v>
      </c>
      <c r="BT54" s="143" t="str">
        <f t="shared" si="68"/>
        <v>-</v>
      </c>
      <c r="BU54" s="143" t="str">
        <f t="shared" si="68"/>
        <v>-</v>
      </c>
      <c r="BV54" s="143" t="str">
        <f t="shared" si="68"/>
        <v>-</v>
      </c>
      <c r="BX54" s="112">
        <f t="shared" si="378"/>
        <v>980.93485284124756</v>
      </c>
      <c r="BY54" s="95">
        <f>IFERROR(SUMIFS('01. KE30'!$R:$R,'01. KE30'!$F:$F,'05. BC BH THEO SKU-USD'!$D54,'01. KE30'!$A:$A,'05. BC BH THEO SKU-USD'!BY$4)/CM54/'02. Tỷ giá'!B$5," -")</f>
        <v>991.42001873410948</v>
      </c>
      <c r="BZ54" s="95">
        <f>IFERROR(SUMIFS('01. KE30'!$R:$R,'01. KE30'!$F:$F,'05. BC BH THEO SKU-USD'!$D54,'01. KE30'!$A:$A,'05. BC BH THEO SKU-USD'!BZ$4)/CN54/'02. Tỷ giá'!C$5," -")</f>
        <v>978.18193514507016</v>
      </c>
      <c r="CA54" s="95">
        <f>IFERROR(SUMIFS('01. KE30'!$R:$R,'01. KE30'!$F:$F,'05. BC BH THEO SKU-USD'!$D54,'01. KE30'!$A:$A,'05. BC BH THEO SKU-USD'!CA$4)/CO54/'02. Tỷ giá'!D$5," -")</f>
        <v>981.00494649707241</v>
      </c>
      <c r="CB54" s="95">
        <f>IFERROR(SUMIFS('01. KE30'!$R:$R,'01. KE30'!$F:$F,'05. BC BH THEO SKU-USD'!$D54,'01. KE30'!$A:$A,'05. BC BH THEO SKU-USD'!CB$4)/CP54/'02. Tỷ giá'!E$5," -")</f>
        <v>971.39538164299188</v>
      </c>
      <c r="CC54" s="95">
        <f>IFERROR(SUMIFS('01. KE30'!$R:$R,'01. KE30'!$F:$F,'05. BC BH THEO SKU-USD'!$D54,'01. KE30'!$A:$A,'05. BC BH THEO SKU-USD'!CC$4)/CQ54/'02. Tỷ giá'!F$5," -")</f>
        <v>970.8144272126566</v>
      </c>
      <c r="CD54" s="95" t="str">
        <f>IFERROR(SUMIFS('01. KE30'!$R:$R,'01. KE30'!$F:$F,'05. BC BH THEO SKU-USD'!$D54,'01. KE30'!$A:$A,'05. BC BH THEO SKU-USD'!CD$4)/CR54/'02. Tỷ giá'!G$5," -")</f>
        <v xml:space="preserve"> -</v>
      </c>
      <c r="CE54" s="95" t="str">
        <f>IFERROR(SUMIFS('01. KE30'!$R:$R,'01. KE30'!$F:$F,'05. BC BH THEO SKU-USD'!$D54,'01. KE30'!$A:$A,'05. BC BH THEO SKU-USD'!CE$4)/CS54/'02. Tỷ giá'!H$5," -")</f>
        <v xml:space="preserve"> -</v>
      </c>
      <c r="CF54" s="95">
        <f>IFERROR(SUMIFS('01. KE30'!$R:$R,'01. KE30'!$F:$F,'05. BC BH THEO SKU-USD'!$D54,'01. KE30'!$A:$A,'05. BC BH THEO SKU-USD'!CF$4)/CT54/'02. Tỷ giá'!I$5," -")</f>
        <v>1012.7128686768824</v>
      </c>
      <c r="CG54" s="95">
        <f>IFERROR(SUMIFS('01. KE30'!$R:$R,'01. KE30'!$F:$F,'05. BC BH THEO SKU-USD'!$D54,'01. KE30'!$A:$A,'05. BC BH THEO SKU-USD'!CG$4)/CU54/'02. Tỷ giá'!J$5," -")</f>
        <v>961.01439197994978</v>
      </c>
      <c r="CH54" s="95" t="str">
        <f>IFERROR(SUMIFS('01. KE30'!$R:$R,'01. KE30'!$F:$F,'05. BC BH THEO SKU-USD'!$D54,'01. KE30'!$A:$A,'05. BC BH THEO SKU-USD'!CH$4)/CV54/'02. Tỷ giá'!K$5," -")</f>
        <v xml:space="preserve"> -</v>
      </c>
      <c r="CI54" s="95" t="str">
        <f>IFERROR(SUMIFS('01. KE30'!$R:$R,'01. KE30'!$F:$F,'05. BC BH THEO SKU-USD'!$D54,'01. KE30'!$A:$A,'05. BC BH THEO SKU-USD'!CI$4)/CW54/'02. Tỷ giá'!L$5," -")</f>
        <v xml:space="preserve"> -</v>
      </c>
      <c r="CJ54" s="95" t="str">
        <f>IFERROR(SUMIFS('01. KE30'!$R:$R,'01. KE30'!$F:$F,'05. BC BH THEO SKU-USD'!$D54,'01. KE30'!$A:$A,'05. BC BH THEO SKU-USD'!CJ$4)/CX54/'02. Tỷ giá'!M$5," -")</f>
        <v xml:space="preserve"> -</v>
      </c>
      <c r="CL54" s="112">
        <f t="shared" si="281"/>
        <v>86.575000000000003</v>
      </c>
      <c r="CM54" s="114">
        <f>SUMIFS('01. KE30'!$I:$I,'01. KE30'!$F:$F,'05. BC BH THEO SKU-USD'!$D54,'01. KE30'!$A:$A,'05. BC BH THEO SKU-USD'!CM$4)/1000</f>
        <v>1.5</v>
      </c>
      <c r="CN54" s="114">
        <f>SUMIFS('01. KE30'!$I:$I,'01. KE30'!$F:$F,'05. BC BH THEO SKU-USD'!$D54,'01. KE30'!$A:$A,'05. BC BH THEO SKU-USD'!CN$4)/1000</f>
        <v>1.5</v>
      </c>
      <c r="CO54" s="114">
        <f>SUMIFS('01. KE30'!$I:$I,'01. KE30'!$F:$F,'05. BC BH THEO SKU-USD'!$D54,'01. KE30'!$A:$A,'05. BC BH THEO SKU-USD'!CO$4)/1000</f>
        <v>17.55</v>
      </c>
      <c r="CP54" s="114">
        <f>SUMIFS('01. KE30'!$I:$I,'01. KE30'!$F:$F,'05. BC BH THEO SKU-USD'!$D54,'01. KE30'!$A:$A,'05. BC BH THEO SKU-USD'!CP$4)/1000</f>
        <v>10.525</v>
      </c>
      <c r="CQ54" s="114">
        <f>SUMIFS('01. KE30'!$I:$I,'01. KE30'!$F:$F,'05. BC BH THEO SKU-USD'!$D54,'01. KE30'!$A:$A,'05. BC BH THEO SKU-USD'!CQ$4)/1000</f>
        <v>28.5</v>
      </c>
      <c r="CR54" s="114">
        <f>SUMIFS('01. KE30'!$I:$I,'01. KE30'!$F:$F,'05. BC BH THEO SKU-USD'!$D54,'01. KE30'!$A:$A,'05. BC BH THEO SKU-USD'!CR$4)/1000</f>
        <v>0</v>
      </c>
      <c r="CS54" s="114">
        <f>SUMIFS('01. KE30'!$I:$I,'01. KE30'!$F:$F,'05. BC BH THEO SKU-USD'!$D54,'01. KE30'!$A:$A,'05. BC BH THEO SKU-USD'!CS$4)/1000</f>
        <v>0</v>
      </c>
      <c r="CT54" s="114">
        <f>SUMIFS('01. KE30'!$I:$I,'01. KE30'!$F:$F,'05. BC BH THEO SKU-USD'!$D54,'01. KE30'!$A:$A,'05. BC BH THEO SKU-USD'!CT$4)/1000</f>
        <v>12.75</v>
      </c>
      <c r="CU54" s="114">
        <f>SUMIFS('01. KE30'!$I:$I,'01. KE30'!$F:$F,'05. BC BH THEO SKU-USD'!$D54,'01. KE30'!$A:$A,'05. BC BH THEO SKU-USD'!CU$4)/1000</f>
        <v>14.25</v>
      </c>
      <c r="CV54" s="114">
        <f>SUMIFS('01. KE30'!$I:$I,'01. KE30'!$F:$F,'05. BC BH THEO SKU-USD'!$D54,'01. KE30'!$A:$A,'05. BC BH THEO SKU-USD'!CV$4)/1000</f>
        <v>0</v>
      </c>
      <c r="CW54" s="114">
        <f>SUMIFS('01. KE30'!$I:$I,'01. KE30'!$F:$F,'05. BC BH THEO SKU-USD'!$D54,'01. KE30'!$A:$A,'05. BC BH THEO SKU-USD'!CW$4)/1000</f>
        <v>0</v>
      </c>
      <c r="CX54" s="114">
        <f>SUMIFS('01. KE30'!$I:$I,'01. KE30'!$F:$F,'05. BC BH THEO SKU-USD'!$D54,'01. KE30'!$A:$A,'05. BC BH THEO SKU-USD'!CX$4)/1000</f>
        <v>0</v>
      </c>
      <c r="CZ54" s="112">
        <f t="shared" si="379"/>
        <v>53570.380948744671</v>
      </c>
      <c r="DA54" s="54">
        <f t="shared" si="380"/>
        <v>947.8567242071457</v>
      </c>
      <c r="DB54" s="54">
        <f t="shared" si="381"/>
        <v>929.93741630563204</v>
      </c>
      <c r="DC54" s="54">
        <f t="shared" si="382"/>
        <v>10429.60779527559</v>
      </c>
      <c r="DD54" s="54">
        <f t="shared" si="383"/>
        <v>6263.2096012388693</v>
      </c>
      <c r="DE54" s="54">
        <f t="shared" si="384"/>
        <v>18701.984996133022</v>
      </c>
      <c r="DF54" s="54" t="str">
        <f t="shared" si="385"/>
        <v xml:space="preserve"> -</v>
      </c>
      <c r="DG54" s="54" t="str">
        <f t="shared" si="386"/>
        <v xml:space="preserve"> -</v>
      </c>
      <c r="DH54" s="54">
        <f t="shared" si="387"/>
        <v>7875.4987012987021</v>
      </c>
      <c r="DI54" s="54">
        <f t="shared" si="388"/>
        <v>8422.2857142857138</v>
      </c>
      <c r="DJ54" s="54" t="str">
        <f t="shared" si="389"/>
        <v xml:space="preserve"> -</v>
      </c>
      <c r="DK54" s="54" t="str">
        <f t="shared" si="390"/>
        <v xml:space="preserve"> -</v>
      </c>
      <c r="DL54" s="54" t="str">
        <f t="shared" si="391"/>
        <v xml:space="preserve"> -</v>
      </c>
      <c r="DN54" s="112">
        <f t="shared" si="64"/>
        <v>-32328.535919661514</v>
      </c>
      <c r="DO54" s="114">
        <f>IFERROR(SUMIFS('01. KE30'!$X:$X,'01. KE30'!$F:$F,'05. BC BH THEO SKU-USD'!$D54,'01. KE30'!$A:$A,'05. BC BH THEO SKU-USD'!DO$4)-SUMIFS('01. KE30'!$AA:$AA,'01. KE30'!$F:$F,'05. BC BH THEO SKU-USD'!$D54,'01. KE30'!$A:$A,'05. BC BH THEO SKU-USD'!DO$4),"-")</f>
        <v>-539.27330389401857</v>
      </c>
      <c r="DP54" s="114">
        <f>IFERROR(SUMIFS('01. KE30'!$X:$X,'01. KE30'!$F:$F,'05. BC BH THEO SKU-USD'!$D54,'01. KE30'!$A:$A,'05. BC BH THEO SKU-USD'!DP$4)-SUMIFS('01. KE30'!$AA:$AA,'01. KE30'!$F:$F,'05. BC BH THEO SKU-USD'!$D54,'01. KE30'!$A:$A,'05. BC BH THEO SKU-USD'!DP$4),"-")</f>
        <v>-537.33548641197319</v>
      </c>
      <c r="DQ54" s="114">
        <f>IFERROR(SUMIFS('01. KE30'!$X:$X,'01. KE30'!$F:$F,'05. BC BH THEO SKU-USD'!$D54,'01. KE30'!$A:$A,'05. BC BH THEO SKU-USD'!DQ$4)-SUMIFS('01. KE30'!$AA:$AA,'01. KE30'!$F:$F,'05. BC BH THEO SKU-USD'!$D54,'01. KE30'!$A:$A,'05. BC BH THEO SKU-USD'!DQ$4),"-")</f>
        <v>-6788.9975196850392</v>
      </c>
      <c r="DR54" s="114">
        <f>IFERROR(SUMIFS('01. KE30'!$X:$X,'01. KE30'!$F:$F,'05. BC BH THEO SKU-USD'!$D54,'01. KE30'!$A:$A,'05. BC BH THEO SKU-USD'!DR$4)-SUMIFS('01. KE30'!$AA:$AA,'01. KE30'!$F:$F,'05. BC BH THEO SKU-USD'!$D54,'01. KE30'!$A:$A,'05. BC BH THEO SKU-USD'!DR$4),"-")</f>
        <v>-3960.72679055362</v>
      </c>
      <c r="DS54" s="114">
        <f>IFERROR(SUMIFS('01. KE30'!$X:$X,'01. KE30'!$F:$F,'05. BC BH THEO SKU-USD'!$D54,'01. KE30'!$A:$A,'05. BC BH THEO SKU-USD'!DS$4)-SUMIFS('01. KE30'!$AA:$AA,'01. KE30'!$F:$F,'05. BC BH THEO SKU-USD'!$D54,'01. KE30'!$A:$A,'05. BC BH THEO SKU-USD'!DS$4),"-")</f>
        <v>-9992.9083139984541</v>
      </c>
      <c r="DT54" s="114">
        <f>IFERROR(SUMIFS('01. KE30'!$X:$X,'01. KE30'!$F:$F,'05. BC BH THEO SKU-USD'!$D54,'01. KE30'!$A:$A,'05. BC BH THEO SKU-USD'!DT$4)-SUMIFS('01. KE30'!$AA:$AA,'01. KE30'!$F:$F,'05. BC BH THEO SKU-USD'!$D54,'01. KE30'!$A:$A,'05. BC BH THEO SKU-USD'!DT$4),"-")</f>
        <v>0</v>
      </c>
      <c r="DU54" s="114">
        <f>IFERROR(SUMIFS('01. KE30'!$X:$X,'01. KE30'!$F:$F,'05. BC BH THEO SKU-USD'!$D54,'01. KE30'!$A:$A,'05. BC BH THEO SKU-USD'!DU$4)-SUMIFS('01. KE30'!$AA:$AA,'01. KE30'!$F:$F,'05. BC BH THEO SKU-USD'!$D54,'01. KE30'!$A:$A,'05. BC BH THEO SKU-USD'!DU$4),"-")</f>
        <v>0</v>
      </c>
      <c r="DV54" s="114">
        <f>IFERROR(SUMIFS('01. KE30'!$X:$X,'01. KE30'!$F:$F,'05. BC BH THEO SKU-USD'!$D54,'01. KE30'!$A:$A,'05. BC BH THEO SKU-USD'!DV$4)-SUMIFS('01. KE30'!$AA:$AA,'01. KE30'!$F:$F,'05. BC BH THEO SKU-USD'!$D54,'01. KE30'!$A:$A,'05. BC BH THEO SKU-USD'!DV$4),"-")</f>
        <v>-5237.1251336898385</v>
      </c>
      <c r="DW54" s="114">
        <f>IFERROR(SUMIFS('01. KE30'!$X:$X,'01. KE30'!$F:$F,'05. BC BH THEO SKU-USD'!$D54,'01. KE30'!$A:$A,'05. BC BH THEO SKU-USD'!DW$4)-SUMIFS('01. KE30'!$AA:$AA,'01. KE30'!$F:$F,'05. BC BH THEO SKU-USD'!$D54,'01. KE30'!$A:$A,'05. BC BH THEO SKU-USD'!DW$4),"-")</f>
        <v>-5272.169371428572</v>
      </c>
      <c r="DX54" s="114">
        <f>IFERROR(SUMIFS('01. KE30'!$X:$X,'01. KE30'!$F:$F,'05. BC BH THEO SKU-USD'!$D54,'01. KE30'!$A:$A,'05. BC BH THEO SKU-USD'!DX$4)-SUMIFS('01. KE30'!$AA:$AA,'01. KE30'!$F:$F,'05. BC BH THEO SKU-USD'!$D54,'01. KE30'!$A:$A,'05. BC BH THEO SKU-USD'!DX$4),"-")</f>
        <v>0</v>
      </c>
      <c r="DY54" s="114">
        <f>IFERROR(SUMIFS('01. KE30'!$X:$X,'01. KE30'!$F:$F,'05. BC BH THEO SKU-USD'!$D54,'01. KE30'!$A:$A,'05. BC BH THEO SKU-USD'!DY$4)-SUMIFS('01. KE30'!$AA:$AA,'01. KE30'!$F:$F,'05. BC BH THEO SKU-USD'!$D54,'01. KE30'!$A:$A,'05. BC BH THEO SKU-USD'!DY$4),"-")</f>
        <v>0</v>
      </c>
      <c r="DZ54" s="114">
        <f>IFERROR(SUMIFS('01. KE30'!$X:$X,'01. KE30'!$F:$F,'05. BC BH THEO SKU-USD'!$D54,'01. KE30'!$A:$A,'05. BC BH THEO SKU-USD'!DZ$4)-SUMIFS('01. KE30'!$AA:$AA,'01. KE30'!$F:$F,'05. BC BH THEO SKU-USD'!$D54,'01. KE30'!$A:$A,'05. BC BH THEO SKU-USD'!DZ$4),"-")</f>
        <v>0</v>
      </c>
      <c r="EB54" s="571">
        <f t="shared" si="252"/>
        <v>-0.60347780521839045</v>
      </c>
      <c r="EC54" s="572">
        <f t="shared" si="253"/>
        <v>-0.56893968267736328</v>
      </c>
      <c r="ED54" s="572">
        <f t="shared" si="19"/>
        <v>-0.57781897683679517</v>
      </c>
      <c r="EE54" s="572">
        <f t="shared" si="20"/>
        <v>-0.65093507377720605</v>
      </c>
      <c r="EF54" s="572">
        <f t="shared" si="21"/>
        <v>-0.63237972904023265</v>
      </c>
      <c r="EG54" s="572">
        <f t="shared" si="22"/>
        <v>-0.53432340556709201</v>
      </c>
      <c r="EH54" s="572">
        <f t="shared" si="23"/>
        <v>0</v>
      </c>
      <c r="EI54" s="572">
        <f t="shared" si="24"/>
        <v>0</v>
      </c>
      <c r="EJ54" s="572">
        <f t="shared" si="25"/>
        <v>-0.6649896511094866</v>
      </c>
      <c r="EK54" s="572">
        <f t="shared" si="26"/>
        <v>-0.62597845172671152</v>
      </c>
      <c r="EL54" s="572">
        <f t="shared" si="27"/>
        <v>0</v>
      </c>
      <c r="EM54" s="572">
        <f t="shared" si="28"/>
        <v>0</v>
      </c>
      <c r="EN54" s="572">
        <f t="shared" si="29"/>
        <v>0</v>
      </c>
    </row>
    <row r="55" spans="1:144" ht="15.5" outlineLevel="1" x14ac:dyDescent="0.35">
      <c r="A55" s="10">
        <f>A54+1</f>
        <v>4</v>
      </c>
      <c r="B55" s="10" t="s">
        <v>295</v>
      </c>
      <c r="C55" s="246" t="str">
        <f>VLOOKUP(D55,'Quy đổi'!A:C,3,0)</f>
        <v>Vảy HD Ép dương</v>
      </c>
      <c r="D55" s="464" t="s">
        <v>43</v>
      </c>
      <c r="E55" s="20" t="s">
        <v>42</v>
      </c>
      <c r="F55" s="92">
        <f t="shared" si="295"/>
        <v>608.47529079691242</v>
      </c>
      <c r="G55" s="106" t="str">
        <f>IFERROR(SUMIFS('01. KE30'!$K:$K,'01. KE30'!$F:$F,'05. BC BH THEO SKU-USD'!$D55,'01. KE30'!$A:$A,'05. BC BH THEO SKU-USD'!G$4)/'05. BC BH THEO SKU-USD'!CM55/'02. Tỷ giá'!B$5,"-")</f>
        <v>-</v>
      </c>
      <c r="H55" s="106">
        <f>IFERROR(SUMIFS('01. KE30'!$K:$K,'01. KE30'!$F:$F,'05. BC BH THEO SKU-USD'!$D55,'01. KE30'!$A:$A,'05. BC BH THEO SKU-USD'!H$4)/'05. BC BH THEO SKU-USD'!CN55/'02. Tỷ giá'!C$5,"-")</f>
        <v>605.37103846658783</v>
      </c>
      <c r="I55" s="106">
        <f>IFERROR(SUMIFS('01. KE30'!$K:$K,'01. KE30'!$F:$F,'05. BC BH THEO SKU-USD'!$D55,'01. KE30'!$A:$A,'05. BC BH THEO SKU-USD'!I$4)/'05. BC BH THEO SKU-USD'!CO55/'02. Tỷ giá'!D$5,"-")</f>
        <v>625.93174511945131</v>
      </c>
      <c r="J55" s="106">
        <f>IFERROR(SUMIFS('01. KE30'!$K:$K,'01. KE30'!$F:$F,'05. BC BH THEO SKU-USD'!$D55,'01. KE30'!$A:$A,'05. BC BH THEO SKU-USD'!J$4)/'05. BC BH THEO SKU-USD'!CP55/'02. Tỷ giá'!E$5,"-")</f>
        <v>599.91745135869303</v>
      </c>
      <c r="K55" s="106">
        <f>IFERROR(SUMIFS('01. KE30'!$K:$K,'01. KE30'!$F:$F,'05. BC BH THEO SKU-USD'!$D55,'01. KE30'!$A:$A,'05. BC BH THEO SKU-USD'!K$4)/'05. BC BH THEO SKU-USD'!CQ55/'02. Tỷ giá'!F$5,"-")</f>
        <v>620.38708061724299</v>
      </c>
      <c r="L55" s="106">
        <f>IFERROR(SUMIFS('01. KE30'!$K:$K,'01. KE30'!$F:$F,'05. BC BH THEO SKU-USD'!$D55,'01. KE30'!$A:$A,'05. BC BH THEO SKU-USD'!L$4)/'05. BC BH THEO SKU-USD'!CR55/'02. Tỷ giá'!G$5,"-")</f>
        <v>597.99382716049388</v>
      </c>
      <c r="M55" s="106" t="str">
        <f>IFERROR(SUMIFS('01. KE30'!$K:$K,'01. KE30'!$F:$F,'05. BC BH THEO SKU-USD'!$D55,'01. KE30'!$A:$A,'05. BC BH THEO SKU-USD'!M$4)/'05. BC BH THEO SKU-USD'!CS55/'02. Tỷ giá'!H$5,"-")</f>
        <v>-</v>
      </c>
      <c r="N55" s="106">
        <f>IFERROR(SUMIFS('01. KE30'!$K:$K,'01. KE30'!$F:$F,'05. BC BH THEO SKU-USD'!$D55,'01. KE30'!$A:$A,'05. BC BH THEO SKU-USD'!N$4)/'05. BC BH THEO SKU-USD'!CT55/'02. Tỷ giá'!I$5,"-")</f>
        <v>601.25060205900536</v>
      </c>
      <c r="O55" s="106" t="str">
        <f>IFERROR(SUMIFS('01. KE30'!$K:$K,'01. KE30'!$F:$F,'05. BC BH THEO SKU-USD'!$D55,'01. KE30'!$A:$A,'05. BC BH THEO SKU-USD'!O$4)/'05. BC BH THEO SKU-USD'!CU55/'02. Tỷ giá'!J$5,"-")</f>
        <v>-</v>
      </c>
      <c r="P55" s="106" t="str">
        <f>IFERROR(SUMIFS('01. KE30'!$K:$K,'01. KE30'!$F:$F,'05. BC BH THEO SKU-USD'!$D55,'01. KE30'!$A:$A,'05. BC BH THEO SKU-USD'!P$4)/'05. BC BH THEO SKU-USD'!CV55/'02. Tỷ giá'!K$5,"-")</f>
        <v>-</v>
      </c>
      <c r="Q55" s="106" t="str">
        <f>IFERROR(SUMIFS('01. KE30'!$K:$K,'01. KE30'!$F:$F,'05. BC BH THEO SKU-USD'!$D55,'01. KE30'!$A:$A,'05. BC BH THEO SKU-USD'!Q$4)/'05. BC BH THEO SKU-USD'!CW55/'02. Tỷ giá'!L$5,"-")</f>
        <v>-</v>
      </c>
      <c r="R55" s="106" t="str">
        <f>IFERROR(SUMIFS('01. KE30'!$K:$K,'01. KE30'!$F:$F,'05. BC BH THEO SKU-USD'!$D55,'01. KE30'!$A:$A,'05. BC BH THEO SKU-USD'!R$4)/'05. BC BH THEO SKU-USD'!CX55/'02. Tỷ giá'!M$5,"-")</f>
        <v>-</v>
      </c>
      <c r="T55" s="92">
        <f t="shared" si="309"/>
        <v>605.26224225492626</v>
      </c>
      <c r="U55" s="147" t="str">
        <f>IFERROR(SUMIFS('01. KE30'!$O:$O,'01. KE30'!$F:$F,'05. BC BH THEO SKU-USD'!$D55,'01. KE30'!$A:$A,'05. BC BH THEO SKU-USD'!G$4)/'05. BC BH THEO SKU-USD'!CM55/'02. Tỷ giá'!B$5,"-")</f>
        <v>-</v>
      </c>
      <c r="V55" s="147">
        <f>IFERROR(SUMIFS('01. KE30'!$O:$O,'01. KE30'!$F:$F,'05. BC BH THEO SKU-USD'!$D55,'01. KE30'!$A:$A,'05. BC BH THEO SKU-USD'!H$4)/'05. BC BH THEO SKU-USD'!CN55/'02. Tỷ giá'!C$5,"-")</f>
        <v>605.37103846658783</v>
      </c>
      <c r="W55" s="147">
        <f>IFERROR(SUMIFS('01. KE30'!$O:$O,'01. KE30'!$F:$F,'05. BC BH THEO SKU-USD'!$D55,'01. KE30'!$A:$A,'05. BC BH THEO SKU-USD'!I$4)/'05. BC BH THEO SKU-USD'!CO55/'02. Tỷ giá'!D$5,"-")</f>
        <v>607.20993692698391</v>
      </c>
      <c r="X55" s="147">
        <f>IFERROR(SUMIFS('01. KE30'!$O:$O,'01. KE30'!$F:$F,'05. BC BH THEO SKU-USD'!$D55,'01. KE30'!$A:$A,'05. BC BH THEO SKU-USD'!J$4)/'05. BC BH THEO SKU-USD'!CP55/'02. Tỷ giá'!E$5,"-")</f>
        <v>599.91745135869303</v>
      </c>
      <c r="Y55" s="147">
        <f>IFERROR(SUMIFS('01. KE30'!$O:$O,'01. KE30'!$F:$F,'05. BC BH THEO SKU-USD'!$D55,'01. KE30'!$A:$A,'05. BC BH THEO SKU-USD'!K$4)/'05. BC BH THEO SKU-USD'!CQ55/'02. Tỷ giá'!F$5,"-")</f>
        <v>607.49716053474754</v>
      </c>
      <c r="Z55" s="147">
        <f>IFERROR(SUMIFS('01. KE30'!$O:$O,'01. KE30'!$F:$F,'05. BC BH THEO SKU-USD'!$D55,'01. KE30'!$A:$A,'05. BC BH THEO SKU-USD'!L$4)/'05. BC BH THEO SKU-USD'!CR55/'02. Tỷ giá'!G$5,"-")</f>
        <v>597.99382716049388</v>
      </c>
      <c r="AA55" s="147" t="str">
        <f>IFERROR(SUMIFS('01. KE30'!$O:$O,'01. KE30'!$F:$F,'05. BC BH THEO SKU-USD'!$D55,'01. KE30'!$A:$A,'05. BC BH THEO SKU-USD'!M$4)/'05. BC BH THEO SKU-USD'!CS55/'02. Tỷ giá'!H$5,"-")</f>
        <v>-</v>
      </c>
      <c r="AB55" s="147">
        <f>IFERROR(SUMIFS('01. KE30'!$O:$O,'01. KE30'!$F:$F,'05. BC BH THEO SKU-USD'!$D55,'01. KE30'!$A:$A,'05. BC BH THEO SKU-USD'!N$4)/'05. BC BH THEO SKU-USD'!CT55/'02. Tỷ giá'!I$5,"-")</f>
        <v>601.25060205900536</v>
      </c>
      <c r="AC55" s="147" t="str">
        <f>IFERROR(SUMIFS('01. KE30'!$O:$O,'01. KE30'!$F:$F,'05. BC BH THEO SKU-USD'!$D55,'01. KE30'!$A:$A,'05. BC BH THEO SKU-USD'!O$4)/'05. BC BH THEO SKU-USD'!CU55/'02. Tỷ giá'!J$5,"-")</f>
        <v>-</v>
      </c>
      <c r="AD55" s="147" t="str">
        <f>IFERROR(SUMIFS('01. KE30'!$O:$O,'01. KE30'!$F:$F,'05. BC BH THEO SKU-USD'!$D55,'01. KE30'!$A:$A,'05. BC BH THEO SKU-USD'!P$4)/'05. BC BH THEO SKU-USD'!CV55/'02. Tỷ giá'!K$5,"-")</f>
        <v>-</v>
      </c>
      <c r="AE55" s="147" t="str">
        <f>IFERROR(SUMIFS('01. KE30'!$O:$O,'01. KE30'!$F:$F,'05. BC BH THEO SKU-USD'!$D55,'01. KE30'!$A:$A,'05. BC BH THEO SKU-USD'!Q$4)/'05. BC BH THEO SKU-USD'!CW55/'02. Tỷ giá'!L$5,"-")</f>
        <v>-</v>
      </c>
      <c r="AF55" s="147" t="str">
        <f>IFERROR(SUMIFS('01. KE30'!$O:$O,'01. KE30'!$F:$F,'05. BC BH THEO SKU-USD'!$D55,'01. KE30'!$A:$A,'05. BC BH THEO SKU-USD'!R$4)/'05. BC BH THEO SKU-USD'!CX55/'02. Tỷ giá'!M$5,"-")</f>
        <v>-</v>
      </c>
      <c r="AH55" s="55">
        <f t="shared" si="296"/>
        <v>737.22222222222217</v>
      </c>
      <c r="AI55" s="4">
        <v>825</v>
      </c>
      <c r="AJ55" s="4">
        <v>750</v>
      </c>
      <c r="AK55" s="4">
        <v>750</v>
      </c>
      <c r="AL55" s="4">
        <v>750</v>
      </c>
      <c r="AM55" s="4">
        <v>720</v>
      </c>
      <c r="AN55" s="4">
        <v>720</v>
      </c>
      <c r="AO55" s="4">
        <v>720</v>
      </c>
      <c r="AP55" s="4">
        <v>700</v>
      </c>
      <c r="AQ55" s="4">
        <v>700</v>
      </c>
      <c r="AR55" s="4"/>
      <c r="AS55" s="4"/>
      <c r="AT55" s="4"/>
      <c r="AV55" s="95">
        <f t="shared" si="299"/>
        <v>-131.95997996729591</v>
      </c>
      <c r="AW55" s="95" t="str">
        <f t="shared" si="299"/>
        <v>-</v>
      </c>
      <c r="AX55" s="95">
        <f t="shared" si="299"/>
        <v>-144.62896153341217</v>
      </c>
      <c r="AY55" s="95">
        <f t="shared" si="299"/>
        <v>-142.79006307301609</v>
      </c>
      <c r="AZ55" s="95">
        <f t="shared" si="299"/>
        <v>-150.08254864130697</v>
      </c>
      <c r="BA55" s="95">
        <f t="shared" si="299"/>
        <v>-112.50283946525246</v>
      </c>
      <c r="BB55" s="95">
        <f t="shared" si="299"/>
        <v>-122.00617283950612</v>
      </c>
      <c r="BC55" s="95" t="str">
        <f t="shared" si="299"/>
        <v>-</v>
      </c>
      <c r="BD55" s="95">
        <f t="shared" si="299"/>
        <v>-98.749397940994641</v>
      </c>
      <c r="BE55" s="95" t="str">
        <f t="shared" si="299"/>
        <v>-</v>
      </c>
      <c r="BF55" s="95" t="str">
        <f t="shared" si="299"/>
        <v>-</v>
      </c>
      <c r="BG55" s="95" t="str">
        <f t="shared" si="299"/>
        <v>-</v>
      </c>
      <c r="BH55" s="95" t="str">
        <f t="shared" si="299"/>
        <v>-</v>
      </c>
      <c r="BJ55" s="143">
        <f t="shared" si="376"/>
        <v>-0.17899620492926349</v>
      </c>
      <c r="BK55" s="143" t="str">
        <f t="shared" si="377"/>
        <v>-</v>
      </c>
      <c r="BL55" s="143">
        <f t="shared" si="377"/>
        <v>-0.19283861537788288</v>
      </c>
      <c r="BM55" s="143">
        <f t="shared" si="377"/>
        <v>-0.19038675076402145</v>
      </c>
      <c r="BN55" s="143">
        <f t="shared" si="377"/>
        <v>-0.20011006485507596</v>
      </c>
      <c r="BO55" s="143">
        <f t="shared" si="377"/>
        <v>-0.15625394370173953</v>
      </c>
      <c r="BP55" s="143">
        <f t="shared" si="377"/>
        <v>-0.16945301783264738</v>
      </c>
      <c r="BQ55" s="143" t="str">
        <f t="shared" si="377"/>
        <v>-</v>
      </c>
      <c r="BR55" s="143">
        <f t="shared" si="377"/>
        <v>-0.1410705684871352</v>
      </c>
      <c r="BS55" s="143" t="str">
        <f t="shared" si="377"/>
        <v>-</v>
      </c>
      <c r="BT55" s="143" t="str">
        <f t="shared" si="68"/>
        <v>-</v>
      </c>
      <c r="BU55" s="143" t="str">
        <f t="shared" si="68"/>
        <v>-</v>
      </c>
      <c r="BV55" s="143" t="str">
        <f t="shared" si="68"/>
        <v>-</v>
      </c>
      <c r="BX55" s="112">
        <f t="shared" si="378"/>
        <v>973.09421334559772</v>
      </c>
      <c r="BY55" s="95" t="str">
        <f>IFERROR(SUMIFS('01. KE30'!$R:$R,'01. KE30'!$F:$F,'05. BC BH THEO SKU-USD'!$D55,'01. KE30'!$A:$A,'05. BC BH THEO SKU-USD'!BY$4)/CM55/'02. Tỷ giá'!B$5," -")</f>
        <v xml:space="preserve"> -</v>
      </c>
      <c r="BZ55" s="95">
        <f>IFERROR(SUMIFS('01. KE30'!$R:$R,'01. KE30'!$F:$F,'05. BC BH THEO SKU-USD'!$D55,'01. KE30'!$A:$A,'05. BC BH THEO SKU-USD'!BZ$4)/CN55/'02. Tỷ giá'!C$5," -")</f>
        <v>982.78240777208873</v>
      </c>
      <c r="CA55" s="95">
        <f>IFERROR(SUMIFS('01. KE30'!$R:$R,'01. KE30'!$F:$F,'05. BC BH THEO SKU-USD'!$D55,'01. KE30'!$A:$A,'05. BC BH THEO SKU-USD'!CA$4)/CO55/'02. Tỷ giá'!D$5," -")</f>
        <v>983.85560281242203</v>
      </c>
      <c r="CB55" s="95">
        <f>IFERROR(SUMIFS('01. KE30'!$R:$R,'01. KE30'!$F:$F,'05. BC BH THEO SKU-USD'!$D55,'01. KE30'!$A:$A,'05. BC BH THEO SKU-USD'!CB$4)/CP55/'02. Tỷ giá'!E$5," -")</f>
        <v>968.66379346201961</v>
      </c>
      <c r="CC55" s="95">
        <f>IFERROR(SUMIFS('01. KE30'!$R:$R,'01. KE30'!$F:$F,'05. BC BH THEO SKU-USD'!$D55,'01. KE30'!$A:$A,'05. BC BH THEO SKU-USD'!CC$4)/CQ55/'02. Tỷ giá'!F$5," -")</f>
        <v>969.10524803889064</v>
      </c>
      <c r="CD55" s="95">
        <f>IFERROR(SUMIFS('01. KE30'!$R:$R,'01. KE30'!$F:$F,'05. BC BH THEO SKU-USD'!$D55,'01. KE30'!$A:$A,'05. BC BH THEO SKU-USD'!CD$4)/CR55/'02. Tỷ giá'!G$5," -")</f>
        <v>968.27519841269839</v>
      </c>
      <c r="CE55" s="95" t="str">
        <f>IFERROR(SUMIFS('01. KE30'!$R:$R,'01. KE30'!$F:$F,'05. BC BH THEO SKU-USD'!$D55,'01. KE30'!$A:$A,'05. BC BH THEO SKU-USD'!CE$4)/CS55/'02. Tỷ giá'!H$5," -")</f>
        <v xml:space="preserve"> -</v>
      </c>
      <c r="CF55" s="95">
        <f>IFERROR(SUMIFS('01. KE30'!$R:$R,'01. KE30'!$F:$F,'05. BC BH THEO SKU-USD'!$D55,'01. KE30'!$A:$A,'05. BC BH THEO SKU-USD'!CF$4)/CT55/'02. Tỷ giá'!I$5," -")</f>
        <v>965.88302957546648</v>
      </c>
      <c r="CG55" s="95" t="str">
        <f>IFERROR(SUMIFS('01. KE30'!$R:$R,'01. KE30'!$F:$F,'05. BC BH THEO SKU-USD'!$D55,'01. KE30'!$A:$A,'05. BC BH THEO SKU-USD'!CG$4)/CU55/'02. Tỷ giá'!J$5," -")</f>
        <v xml:space="preserve"> -</v>
      </c>
      <c r="CH55" s="95" t="str">
        <f>IFERROR(SUMIFS('01. KE30'!$R:$R,'01. KE30'!$F:$F,'05. BC BH THEO SKU-USD'!$D55,'01. KE30'!$A:$A,'05. BC BH THEO SKU-USD'!CH$4)/CV55/'02. Tỷ giá'!K$5," -")</f>
        <v xml:space="preserve"> -</v>
      </c>
      <c r="CI55" s="95" t="str">
        <f>IFERROR(SUMIFS('01. KE30'!$R:$R,'01. KE30'!$F:$F,'05. BC BH THEO SKU-USD'!$D55,'01. KE30'!$A:$A,'05. BC BH THEO SKU-USD'!CI$4)/CW55/'02. Tỷ giá'!L$5," -")</f>
        <v xml:space="preserve"> -</v>
      </c>
      <c r="CJ55" s="95" t="str">
        <f>IFERROR(SUMIFS('01. KE30'!$R:$R,'01. KE30'!$F:$F,'05. BC BH THEO SKU-USD'!$D55,'01. KE30'!$A:$A,'05. BC BH THEO SKU-USD'!CJ$4)/CX55/'02. Tỷ giá'!M$5," -")</f>
        <v xml:space="preserve"> -</v>
      </c>
      <c r="CL55" s="112">
        <f t="shared" si="281"/>
        <v>51.325000000000003</v>
      </c>
      <c r="CM55" s="114">
        <f>SUMIFS('01. KE30'!$I:$I,'01. KE30'!$F:$F,'05. BC BH THEO SKU-USD'!$D55,'01. KE30'!$A:$A,'05. BC BH THEO SKU-USD'!CM$4)/1000</f>
        <v>0</v>
      </c>
      <c r="CN55" s="114">
        <f>SUMIFS('01. KE30'!$I:$I,'01. KE30'!$F:$F,'05. BC BH THEO SKU-USD'!$D55,'01. KE30'!$A:$A,'05. BC BH THEO SKU-USD'!CN$4)/1000</f>
        <v>1.5</v>
      </c>
      <c r="CO55" s="114">
        <f>SUMIFS('01. KE30'!$I:$I,'01. KE30'!$F:$F,'05. BC BH THEO SKU-USD'!$D55,'01. KE30'!$A:$A,'05. BC BH THEO SKU-USD'!CO$4)/1000</f>
        <v>20.55</v>
      </c>
      <c r="CP55" s="114">
        <f>SUMIFS('01. KE30'!$I:$I,'01. KE30'!$F:$F,'05. BC BH THEO SKU-USD'!$D55,'01. KE30'!$A:$A,'05. BC BH THEO SKU-USD'!CP$4)/1000</f>
        <v>3.0249999999999999</v>
      </c>
      <c r="CQ55" s="114">
        <f>SUMIFS('01. KE30'!$I:$I,'01. KE30'!$F:$F,'05. BC BH THEO SKU-USD'!$D55,'01. KE30'!$A:$A,'05. BC BH THEO SKU-USD'!CQ$4)/1000</f>
        <v>15.75</v>
      </c>
      <c r="CR55" s="114">
        <f>SUMIFS('01. KE30'!$I:$I,'01. KE30'!$F:$F,'05. BC BH THEO SKU-USD'!$D55,'01. KE30'!$A:$A,'05. BC BH THEO SKU-USD'!CR$4)/1000</f>
        <v>5.25</v>
      </c>
      <c r="CS55" s="114">
        <f>SUMIFS('01. KE30'!$I:$I,'01. KE30'!$F:$F,'05. BC BH THEO SKU-USD'!$D55,'01. KE30'!$A:$A,'05. BC BH THEO SKU-USD'!CS$4)/1000</f>
        <v>0</v>
      </c>
      <c r="CT55" s="114">
        <f>SUMIFS('01. KE30'!$I:$I,'01. KE30'!$F:$F,'05. BC BH THEO SKU-USD'!$D55,'01. KE30'!$A:$A,'05. BC BH THEO SKU-USD'!CT$4)/1000</f>
        <v>5.25</v>
      </c>
      <c r="CU55" s="114">
        <f>SUMIFS('01. KE30'!$I:$I,'01. KE30'!$F:$F,'05. BC BH THEO SKU-USD'!$D55,'01. KE30'!$A:$A,'05. BC BH THEO SKU-USD'!CU$4)/1000</f>
        <v>0</v>
      </c>
      <c r="CV55" s="114">
        <f>SUMIFS('01. KE30'!$I:$I,'01. KE30'!$F:$F,'05. BC BH THEO SKU-USD'!$D55,'01. KE30'!$A:$A,'05. BC BH THEO SKU-USD'!CV$4)/1000</f>
        <v>0</v>
      </c>
      <c r="CW55" s="114">
        <f>SUMIFS('01. KE30'!$I:$I,'01. KE30'!$F:$F,'05. BC BH THEO SKU-USD'!$D55,'01. KE30'!$A:$A,'05. BC BH THEO SKU-USD'!CW$4)/1000</f>
        <v>0</v>
      </c>
      <c r="CX55" s="114">
        <f>SUMIFS('01. KE30'!$I:$I,'01. KE30'!$F:$F,'05. BC BH THEO SKU-USD'!$D55,'01. KE30'!$A:$A,'05. BC BH THEO SKU-USD'!CX$4)/1000</f>
        <v>0</v>
      </c>
      <c r="CZ55" s="112">
        <f t="shared" si="379"/>
        <v>31652.833983388598</v>
      </c>
      <c r="DA55" s="54" t="str">
        <f t="shared" si="380"/>
        <v xml:space="preserve"> -</v>
      </c>
      <c r="DB55" s="54">
        <f t="shared" si="381"/>
        <v>908.05655769988175</v>
      </c>
      <c r="DC55" s="54">
        <f t="shared" si="382"/>
        <v>12862.897362204725</v>
      </c>
      <c r="DD55" s="54">
        <f t="shared" si="383"/>
        <v>1814.7502903600464</v>
      </c>
      <c r="DE55" s="54">
        <f t="shared" si="384"/>
        <v>9771.0965197215774</v>
      </c>
      <c r="DF55" s="54">
        <f t="shared" si="385"/>
        <v>3139.4675925925931</v>
      </c>
      <c r="DG55" s="54" t="str">
        <f t="shared" si="386"/>
        <v xml:space="preserve"> -</v>
      </c>
      <c r="DH55" s="54">
        <f t="shared" si="387"/>
        <v>3156.5656608097779</v>
      </c>
      <c r="DI55" s="54" t="str">
        <f t="shared" si="388"/>
        <v xml:space="preserve"> -</v>
      </c>
      <c r="DJ55" s="54" t="str">
        <f t="shared" si="389"/>
        <v xml:space="preserve"> -</v>
      </c>
      <c r="DK55" s="54" t="str">
        <f t="shared" si="390"/>
        <v xml:space="preserve"> -</v>
      </c>
      <c r="DL55" s="54" t="str">
        <f t="shared" si="391"/>
        <v xml:space="preserve"> -</v>
      </c>
      <c r="DN55" s="112">
        <f t="shared" ref="DN55:DN57" si="393">SUM(DO55:DZ55)</f>
        <v>-18975.267994492326</v>
      </c>
      <c r="DO55" s="114">
        <f>IFERROR(SUMIFS('01. KE30'!$X:$X,'01. KE30'!$F:$F,'05. BC BH THEO SKU-USD'!$D55,'01. KE30'!$A:$A,'05. BC BH THEO SKU-USD'!DO$4)-SUMIFS('01. KE30'!$AA:$AA,'01. KE30'!$F:$F,'05. BC BH THEO SKU-USD'!$D55,'01. KE30'!$A:$A,'05. BC BH THEO SKU-USD'!DO$4),"-")</f>
        <v>0</v>
      </c>
      <c r="DP55" s="114">
        <f>IFERROR(SUMIFS('01. KE30'!$X:$X,'01. KE30'!$F:$F,'05. BC BH THEO SKU-USD'!$D55,'01. KE30'!$A:$A,'05. BC BH THEO SKU-USD'!DP$4)-SUMIFS('01. KE30'!$AA:$AA,'01. KE30'!$F:$F,'05. BC BH THEO SKU-USD'!$D55,'01. KE30'!$A:$A,'05. BC BH THEO SKU-USD'!DP$4),"-")</f>
        <v>-566.11705395825129</v>
      </c>
      <c r="DQ55" s="114">
        <f>IFERROR(SUMIFS('01. KE30'!$X:$X,'01. KE30'!$F:$F,'05. BC BH THEO SKU-USD'!$D55,'01. KE30'!$A:$A,'05. BC BH THEO SKU-USD'!DQ$4)-SUMIFS('01. KE30'!$AA:$AA,'01. KE30'!$F:$F,'05. BC BH THEO SKU-USD'!$D55,'01. KE30'!$A:$A,'05. BC BH THEO SKU-USD'!DQ$4),"-")</f>
        <v>-7740.0684339457584</v>
      </c>
      <c r="DR55" s="114">
        <f>IFERROR(SUMIFS('01. KE30'!$X:$X,'01. KE30'!$F:$F,'05. BC BH THEO SKU-USD'!$D55,'01. KE30'!$A:$A,'05. BC BH THEO SKU-USD'!DR$4)-SUMIFS('01. KE30'!$AA:$AA,'01. KE30'!$F:$F,'05. BC BH THEO SKU-USD'!$D55,'01. KE30'!$A:$A,'05. BC BH THEO SKU-USD'!DR$4),"-")</f>
        <v>-1115.4576848625629</v>
      </c>
      <c r="DS55" s="114">
        <f>IFERROR(SUMIFS('01. KE30'!$X:$X,'01. KE30'!$F:$F,'05. BC BH THEO SKU-USD'!$D55,'01. KE30'!$A:$A,'05. BC BH THEO SKU-USD'!DS$4)-SUMIFS('01. KE30'!$AA:$AA,'01. KE30'!$F:$F,'05. BC BH THEO SKU-USD'!$D55,'01. KE30'!$A:$A,'05. BC BH THEO SKU-USD'!DS$4),"-")</f>
        <v>-5695.3273781902553</v>
      </c>
      <c r="DT55" s="114">
        <f>IFERROR(SUMIFS('01. KE30'!$X:$X,'01. KE30'!$F:$F,'05. BC BH THEO SKU-USD'!$D55,'01. KE30'!$A:$A,'05. BC BH THEO SKU-USD'!DT$4)-SUMIFS('01. KE30'!$AA:$AA,'01. KE30'!$F:$F,'05. BC BH THEO SKU-USD'!$D55,'01. KE30'!$A:$A,'05. BC BH THEO SKU-USD'!DT$4),"-")</f>
        <v>-1943.9771990740742</v>
      </c>
      <c r="DU55" s="114">
        <f>IFERROR(SUMIFS('01. KE30'!$X:$X,'01. KE30'!$F:$F,'05. BC BH THEO SKU-USD'!$D55,'01. KE30'!$A:$A,'05. BC BH THEO SKU-USD'!DU$4)-SUMIFS('01. KE30'!$AA:$AA,'01. KE30'!$F:$F,'05. BC BH THEO SKU-USD'!$D55,'01. KE30'!$A:$A,'05. BC BH THEO SKU-USD'!DU$4),"-")</f>
        <v>0</v>
      </c>
      <c r="DV55" s="114">
        <f>IFERROR(SUMIFS('01. KE30'!$X:$X,'01. KE30'!$F:$F,'05. BC BH THEO SKU-USD'!$D55,'01. KE30'!$A:$A,'05. BC BH THEO SKU-USD'!DV$4)-SUMIFS('01. KE30'!$AA:$AA,'01. KE30'!$F:$F,'05. BC BH THEO SKU-USD'!$D55,'01. KE30'!$A:$A,'05. BC BH THEO SKU-USD'!DV$4),"-")</f>
        <v>-1914.3202444614212</v>
      </c>
      <c r="DW55" s="114">
        <f>IFERROR(SUMIFS('01. KE30'!$X:$X,'01. KE30'!$F:$F,'05. BC BH THEO SKU-USD'!$D55,'01. KE30'!$A:$A,'05. BC BH THEO SKU-USD'!DW$4)-SUMIFS('01. KE30'!$AA:$AA,'01. KE30'!$F:$F,'05. BC BH THEO SKU-USD'!$D55,'01. KE30'!$A:$A,'05. BC BH THEO SKU-USD'!DW$4),"-")</f>
        <v>0</v>
      </c>
      <c r="DX55" s="114">
        <f>IFERROR(SUMIFS('01. KE30'!$X:$X,'01. KE30'!$F:$F,'05. BC BH THEO SKU-USD'!$D55,'01. KE30'!$A:$A,'05. BC BH THEO SKU-USD'!DX$4)-SUMIFS('01. KE30'!$AA:$AA,'01. KE30'!$F:$F,'05. BC BH THEO SKU-USD'!$D55,'01. KE30'!$A:$A,'05. BC BH THEO SKU-USD'!DX$4),"-")</f>
        <v>0</v>
      </c>
      <c r="DY55" s="114">
        <f>IFERROR(SUMIFS('01. KE30'!$X:$X,'01. KE30'!$F:$F,'05. BC BH THEO SKU-USD'!$D55,'01. KE30'!$A:$A,'05. BC BH THEO SKU-USD'!DY$4)-SUMIFS('01. KE30'!$AA:$AA,'01. KE30'!$F:$F,'05. BC BH THEO SKU-USD'!$D55,'01. KE30'!$A:$A,'05. BC BH THEO SKU-USD'!DY$4),"-")</f>
        <v>0</v>
      </c>
      <c r="DZ55" s="114">
        <f>IFERROR(SUMIFS('01. KE30'!$X:$X,'01. KE30'!$F:$F,'05. BC BH THEO SKU-USD'!$D55,'01. KE30'!$A:$A,'05. BC BH THEO SKU-USD'!DZ$4)-SUMIFS('01. KE30'!$AA:$AA,'01. KE30'!$F:$F,'05. BC BH THEO SKU-USD'!$D55,'01. KE30'!$A:$A,'05. BC BH THEO SKU-USD'!DZ$4),"-")</f>
        <v>0</v>
      </c>
      <c r="EB55" s="571">
        <f t="shared" si="252"/>
        <v>-0.5994808554725477</v>
      </c>
      <c r="EC55" s="573">
        <f t="shared" si="253"/>
        <v>0</v>
      </c>
      <c r="ED55" s="572">
        <f t="shared" si="19"/>
        <v>-0.62343809882528978</v>
      </c>
      <c r="EE55" s="572">
        <f t="shared" si="20"/>
        <v>-0.60173600208367795</v>
      </c>
      <c r="EF55" s="572">
        <f t="shared" si="21"/>
        <v>-0.6146618026666667</v>
      </c>
      <c r="EG55" s="572">
        <f t="shared" si="22"/>
        <v>-0.58287494824097197</v>
      </c>
      <c r="EH55" s="572">
        <f t="shared" si="23"/>
        <v>-0.61920600921658975</v>
      </c>
      <c r="EI55" s="572">
        <f t="shared" si="24"/>
        <v>0</v>
      </c>
      <c r="EJ55" s="572">
        <f t="shared" si="25"/>
        <v>-0.6064566526299745</v>
      </c>
      <c r="EK55" s="572">
        <f t="shared" si="26"/>
        <v>0</v>
      </c>
      <c r="EL55" s="572">
        <f t="shared" si="27"/>
        <v>0</v>
      </c>
      <c r="EM55" s="572">
        <f t="shared" si="28"/>
        <v>0</v>
      </c>
      <c r="EN55" s="572">
        <f t="shared" si="29"/>
        <v>0</v>
      </c>
    </row>
    <row r="56" spans="1:144" ht="15.5" outlineLevel="1" x14ac:dyDescent="0.35">
      <c r="A56" s="10">
        <f t="shared" si="392"/>
        <v>5</v>
      </c>
      <c r="B56" s="10" t="s">
        <v>295</v>
      </c>
      <c r="C56" s="246" t="str">
        <f>VLOOKUP(D56,'Quy đổi'!A:C,3,0)</f>
        <v>Vảy HD Ép Trắng</v>
      </c>
      <c r="D56" s="464" t="s">
        <v>536</v>
      </c>
      <c r="E56" s="20" t="s">
        <v>537</v>
      </c>
      <c r="F56" s="92">
        <f t="shared" ref="F56" si="394">IFERROR(AVERAGE(G56:R56),"-")</f>
        <v>606.38321372198391</v>
      </c>
      <c r="G56" s="106" t="str">
        <f>IFERROR(SUMIFS('01. KE30'!$K:$K,'01. KE30'!$F:$F,'05. BC BH THEO SKU-USD'!$D56,'01. KE30'!$A:$A,'05. BC BH THEO SKU-USD'!G$4)/'05. BC BH THEO SKU-USD'!CM56/'02. Tỷ giá'!B$5,"-")</f>
        <v>-</v>
      </c>
      <c r="H56" s="106">
        <f>IFERROR(SUMIFS('01. KE30'!$K:$K,'01. KE30'!$F:$F,'05. BC BH THEO SKU-USD'!$D56,'01. KE30'!$A:$A,'05. BC BH THEO SKU-USD'!H$4)/'05. BC BH THEO SKU-USD'!CN56/'02. Tỷ giá'!C$5,"-")</f>
        <v>650.95620322961793</v>
      </c>
      <c r="I56" s="106">
        <f>IFERROR(SUMIFS('01. KE30'!$K:$K,'01. KE30'!$F:$F,'05. BC BH THEO SKU-USD'!$D56,'01. KE30'!$A:$A,'05. BC BH THEO SKU-USD'!I$4)/'05. BC BH THEO SKU-USD'!CO56/'02. Tỷ giá'!D$5,"-")</f>
        <v>674.39527559055114</v>
      </c>
      <c r="J56" s="106">
        <f>IFERROR(SUMIFS('01. KE30'!$K:$K,'01. KE30'!$F:$F,'05. BC BH THEO SKU-USD'!$D56,'01. KE30'!$A:$A,'05. BC BH THEO SKU-USD'!J$4)/'05. BC BH THEO SKU-USD'!CP56/'02. Tỷ giá'!E$5,"-")</f>
        <v>594.97965233795981</v>
      </c>
      <c r="K56" s="106" t="str">
        <f>IFERROR(SUMIFS('01. KE30'!$K:$K,'01. KE30'!$F:$F,'05. BC BH THEO SKU-USD'!$D56,'01. KE30'!$A:$A,'05. BC BH THEO SKU-USD'!K$4)/'05. BC BH THEO SKU-USD'!CQ56/'02. Tỷ giá'!F$5,"-")</f>
        <v>-</v>
      </c>
      <c r="L56" s="106" t="str">
        <f>IFERROR(SUMIFS('01. KE30'!$K:$K,'01. KE30'!$F:$F,'05. BC BH THEO SKU-USD'!$D56,'01. KE30'!$A:$A,'05. BC BH THEO SKU-USD'!L$4)/'05. BC BH THEO SKU-USD'!CR56/'02. Tỷ giá'!G$5,"-")</f>
        <v>-</v>
      </c>
      <c r="M56" s="106">
        <f>IFERROR(SUMIFS('01. KE30'!$K:$K,'01. KE30'!$F:$F,'05. BC BH THEO SKU-USD'!$D56,'01. KE30'!$A:$A,'05. BC BH THEO SKU-USD'!M$4)/'05. BC BH THEO SKU-USD'!CS56/'02. Tỷ giá'!H$5,"-")</f>
        <v>586.92959405813804</v>
      </c>
      <c r="N56" s="106">
        <f>IFERROR(SUMIFS('01. KE30'!$K:$K,'01. KE30'!$F:$F,'05. BC BH THEO SKU-USD'!$D56,'01. KE30'!$A:$A,'05. BC BH THEO SKU-USD'!N$4)/'05. BC BH THEO SKU-USD'!CT56/'02. Tỷ giá'!I$5,"-")</f>
        <v>572.95645530939646</v>
      </c>
      <c r="O56" s="106">
        <f>IFERROR(SUMIFS('01. KE30'!$K:$K,'01. KE30'!$F:$F,'05. BC BH THEO SKU-USD'!$D56,'01. KE30'!$A:$A,'05. BC BH THEO SKU-USD'!O$4)/'05. BC BH THEO SKU-USD'!CU56/'02. Tỷ giá'!J$5,"-")</f>
        <v>558.08210180623973</v>
      </c>
      <c r="P56" s="106" t="str">
        <f>IFERROR(SUMIFS('01. KE30'!$K:$K,'01. KE30'!$F:$F,'05. BC BH THEO SKU-USD'!$D56,'01. KE30'!$A:$A,'05. BC BH THEO SKU-USD'!P$4)/'05. BC BH THEO SKU-USD'!CV56/'02. Tỷ giá'!K$5,"-")</f>
        <v>-</v>
      </c>
      <c r="Q56" s="106" t="str">
        <f>IFERROR(SUMIFS('01. KE30'!$K:$K,'01. KE30'!$F:$F,'05. BC BH THEO SKU-USD'!$D56,'01. KE30'!$A:$A,'05. BC BH THEO SKU-USD'!Q$4)/'05. BC BH THEO SKU-USD'!CW56/'02. Tỷ giá'!L$5,"-")</f>
        <v>-</v>
      </c>
      <c r="R56" s="106" t="str">
        <f>IFERROR(SUMIFS('01. KE30'!$K:$K,'01. KE30'!$F:$F,'05. BC BH THEO SKU-USD'!$D56,'01. KE30'!$A:$A,'05. BC BH THEO SKU-USD'!R$4)/'05. BC BH THEO SKU-USD'!CX56/'02. Tỷ giá'!M$5,"-")</f>
        <v>-</v>
      </c>
      <c r="T56" s="92">
        <f t="shared" si="309"/>
        <v>559.95371187640899</v>
      </c>
      <c r="U56" s="147" t="str">
        <f>IFERROR(SUMIFS('01. KE30'!$O:$O,'01. KE30'!$F:$F,'05. BC BH THEO SKU-USD'!$D56,'01. KE30'!$A:$A,'05. BC BH THEO SKU-USD'!G$4)/'05. BC BH THEO SKU-USD'!CM56/'02. Tỷ giá'!B$5,"-")</f>
        <v>-</v>
      </c>
      <c r="V56" s="147">
        <f>IFERROR(SUMIFS('01. KE30'!$O:$O,'01. KE30'!$F:$F,'05. BC BH THEO SKU-USD'!$D56,'01. KE30'!$A:$A,'05. BC BH THEO SKU-USD'!H$4)/'05. BC BH THEO SKU-USD'!CN56/'02. Tỷ giá'!C$5,"-")</f>
        <v>650.95620322961793</v>
      </c>
      <c r="W56" s="147">
        <f>IFERROR(SUMIFS('01. KE30'!$O:$O,'01. KE30'!$F:$F,'05. BC BH THEO SKU-USD'!$D56,'01. KE30'!$A:$A,'05. BC BH THEO SKU-USD'!I$4)/'05. BC BH THEO SKU-USD'!CO56/'02. Tỷ giá'!D$5,"-")</f>
        <v>635.02519685039374</v>
      </c>
      <c r="X56" s="147">
        <f>IFERROR(SUMIFS('01. KE30'!$O:$O,'01. KE30'!$F:$F,'05. BC BH THEO SKU-USD'!$D56,'01. KE30'!$A:$A,'05. BC BH THEO SKU-USD'!J$4)/'05. BC BH THEO SKU-USD'!CP56/'02. Tỷ giá'!E$5,"-")</f>
        <v>594.97965233795981</v>
      </c>
      <c r="Y56" s="147" t="str">
        <f>IFERROR(SUMIFS('01. KE30'!$O:$O,'01. KE30'!$F:$F,'05. BC BH THEO SKU-USD'!$D56,'01. KE30'!$A:$A,'05. BC BH THEO SKU-USD'!K$4)/'05. BC BH THEO SKU-USD'!CQ56/'02. Tỷ giá'!F$5,"-")</f>
        <v>-</v>
      </c>
      <c r="Z56" s="147" t="str">
        <f>IFERROR(SUMIFS('01. KE30'!$O:$O,'01. KE30'!$F:$F,'05. BC BH THEO SKU-USD'!$D56,'01. KE30'!$A:$A,'05. BC BH THEO SKU-USD'!L$4)/'05. BC BH THEO SKU-USD'!CR56/'02. Tỷ giá'!G$5,"-")</f>
        <v>-</v>
      </c>
      <c r="AA56" s="147">
        <f>IFERROR(SUMIFS('01. KE30'!$O:$O,'01. KE30'!$F:$F,'05. BC BH THEO SKU-USD'!$D56,'01. KE30'!$A:$A,'05. BC BH THEO SKU-USD'!M$4)/'05. BC BH THEO SKU-USD'!CS56/'02. Tỷ giá'!H$5,"-")</f>
        <v>586.92959405813804</v>
      </c>
      <c r="AB56" s="147">
        <f>IFERROR(SUMIFS('01. KE30'!$O:$O,'01. KE30'!$F:$F,'05. BC BH THEO SKU-USD'!$D56,'01. KE30'!$A:$A,'05. BC BH THEO SKU-USD'!N$4)/'05. BC BH THEO SKU-USD'!CT56/'02. Tỷ giá'!I$5,"-")</f>
        <v>572.95645530939646</v>
      </c>
      <c r="AC56" s="147">
        <f>IFERROR(SUMIFS('01. KE30'!$O:$O,'01. KE30'!$F:$F,'05. BC BH THEO SKU-USD'!$D56,'01. KE30'!$A:$A,'05. BC BH THEO SKU-USD'!O$4)/'05. BC BH THEO SKU-USD'!CU56/'02. Tỷ giá'!J$5,"-")</f>
        <v>558.08210180623973</v>
      </c>
      <c r="AD56" s="147" t="str">
        <f>IFERROR(SUMIFS('01. KE30'!$O:$O,'01. KE30'!$F:$F,'05. BC BH THEO SKU-USD'!$D56,'01. KE30'!$A:$A,'05. BC BH THEO SKU-USD'!P$4)/'05. BC BH THEO SKU-USD'!CV56/'02. Tỷ giá'!K$5,"-")</f>
        <v>-</v>
      </c>
      <c r="AE56" s="147" t="str">
        <f>IFERROR(SUMIFS('01. KE30'!$O:$O,'01. KE30'!$F:$F,'05. BC BH THEO SKU-USD'!$D56,'01. KE30'!$A:$A,'05. BC BH THEO SKU-USD'!Q$4)/'05. BC BH THEO SKU-USD'!CW56/'02. Tỷ giá'!L$5,"-")</f>
        <v>-</v>
      </c>
      <c r="AF56" s="147" t="str">
        <f>IFERROR(SUMIFS('01. KE30'!$O:$O,'01. KE30'!$F:$F,'05. BC BH THEO SKU-USD'!$D56,'01. KE30'!$A:$A,'05. BC BH THEO SKU-USD'!R$4)/'05. BC BH THEO SKU-USD'!CX56/'02. Tỷ giá'!M$5,"-")</f>
        <v>-</v>
      </c>
      <c r="AH56" s="55">
        <f t="shared" ref="AH56" si="395">IFERROR(AVERAGE(AI56:AT56),"-")</f>
        <v>737.22222222222217</v>
      </c>
      <c r="AI56" s="4">
        <v>825</v>
      </c>
      <c r="AJ56" s="4">
        <v>750</v>
      </c>
      <c r="AK56" s="4">
        <v>750</v>
      </c>
      <c r="AL56" s="4">
        <v>750</v>
      </c>
      <c r="AM56" s="4">
        <v>720</v>
      </c>
      <c r="AN56" s="4">
        <v>720</v>
      </c>
      <c r="AO56" s="4">
        <v>720</v>
      </c>
      <c r="AP56" s="4">
        <v>700</v>
      </c>
      <c r="AQ56" s="4">
        <v>700</v>
      </c>
      <c r="AR56" s="4"/>
      <c r="AS56" s="4"/>
      <c r="AT56" s="4"/>
      <c r="AV56" s="95">
        <f t="shared" ref="AV56" si="396">IF(F56&lt;&gt;"-",T56-AH56,"-")</f>
        <v>-177.26851034581318</v>
      </c>
      <c r="AW56" s="95" t="str">
        <f t="shared" ref="AW56" si="397">IF(G56&lt;&gt;"-",U56-AI56,"-")</f>
        <v>-</v>
      </c>
      <c r="AX56" s="95">
        <f t="shared" ref="AX56" si="398">IF(H56&lt;&gt;"-",V56-AJ56,"-")</f>
        <v>-99.043796770382073</v>
      </c>
      <c r="AY56" s="95">
        <f t="shared" ref="AY56" si="399">IF(I56&lt;&gt;"-",W56-AK56,"-")</f>
        <v>-114.97480314960626</v>
      </c>
      <c r="AZ56" s="95">
        <f t="shared" ref="AZ56" si="400">IF(J56&lt;&gt;"-",X56-AL56,"-")</f>
        <v>-155.02034766204019</v>
      </c>
      <c r="BA56" s="95" t="str">
        <f t="shared" ref="BA56" si="401">IF(K56&lt;&gt;"-",Y56-AM56,"-")</f>
        <v>-</v>
      </c>
      <c r="BB56" s="95" t="str">
        <f t="shared" ref="BB56" si="402">IF(L56&lt;&gt;"-",Z56-AN56,"-")</f>
        <v>-</v>
      </c>
      <c r="BC56" s="95">
        <f t="shared" ref="BC56" si="403">IF(M56&lt;&gt;"-",AA56-AO56,"-")</f>
        <v>-133.07040594186196</v>
      </c>
      <c r="BD56" s="95">
        <f t="shared" ref="BD56" si="404">IF(N56&lt;&gt;"-",AB56-AP56,"-")</f>
        <v>-127.04354469060354</v>
      </c>
      <c r="BE56" s="95">
        <f t="shared" ref="BE56" si="405">IF(O56&lt;&gt;"-",AC56-AQ56,"-")</f>
        <v>-141.91789819376027</v>
      </c>
      <c r="BF56" s="95" t="str">
        <f t="shared" ref="BF56" si="406">IF(P56&lt;&gt;"-",AD56-AR56,"-")</f>
        <v>-</v>
      </c>
      <c r="BG56" s="95" t="str">
        <f t="shared" ref="BG56" si="407">IF(Q56&lt;&gt;"-",AE56-AS56,"-")</f>
        <v>-</v>
      </c>
      <c r="BH56" s="95" t="str">
        <f t="shared" ref="BH56" si="408">IF(R56&lt;&gt;"-",AF56-AT56,"-")</f>
        <v>-</v>
      </c>
      <c r="BJ56" s="143">
        <f t="shared" si="376"/>
        <v>-0.24045464854744819</v>
      </c>
      <c r="BK56" s="143" t="str">
        <f t="shared" si="377"/>
        <v>-</v>
      </c>
      <c r="BL56" s="143">
        <f t="shared" si="377"/>
        <v>-0.13205839569384276</v>
      </c>
      <c r="BM56" s="143">
        <f t="shared" si="377"/>
        <v>-0.15329973753280834</v>
      </c>
      <c r="BN56" s="143">
        <f t="shared" si="377"/>
        <v>-0.20669379688272027</v>
      </c>
      <c r="BO56" s="143" t="str">
        <f t="shared" si="377"/>
        <v>-</v>
      </c>
      <c r="BP56" s="143" t="str">
        <f t="shared" si="377"/>
        <v>-</v>
      </c>
      <c r="BQ56" s="143">
        <f t="shared" si="377"/>
        <v>-0.18482000825258607</v>
      </c>
      <c r="BR56" s="143">
        <f t="shared" si="377"/>
        <v>-0.18149077812943362</v>
      </c>
      <c r="BS56" s="143">
        <f t="shared" si="377"/>
        <v>-0.20273985456251467</v>
      </c>
      <c r="BT56" s="143" t="str">
        <f t="shared" ref="BT56" si="409">IFERROR(IF(BF56&lt;&gt;"-",BF56/AR56,"-"),"-")</f>
        <v>-</v>
      </c>
      <c r="BU56" s="143" t="str">
        <f t="shared" ref="BU56" si="410">IFERROR(IF(BG56&lt;&gt;"-",BG56/AS56,"-"),"-")</f>
        <v>-</v>
      </c>
      <c r="BV56" s="143" t="str">
        <f t="shared" ref="BV56" si="411">IFERROR(IF(BH56&lt;&gt;"-",BH56/AT56,"-"),"-")</f>
        <v>-</v>
      </c>
      <c r="BX56" s="112">
        <f t="shared" si="378"/>
        <v>986.62079873641107</v>
      </c>
      <c r="BY56" s="95" t="str">
        <f>IFERROR(SUMIFS('01. KE30'!$R:$R,'01. KE30'!$F:$F,'05. BC BH THEO SKU-USD'!$D56,'01. KE30'!$A:$A,'05. BC BH THEO SKU-USD'!BY$4)/CM56/'02. Tỷ giá'!B$5," -")</f>
        <v xml:space="preserve"> -</v>
      </c>
      <c r="BZ56" s="95">
        <f>IFERROR(SUMIFS('01. KE30'!$R:$R,'01. KE30'!$F:$F,'05. BC BH THEO SKU-USD'!$D56,'01. KE30'!$A:$A,'05. BC BH THEO SKU-USD'!BZ$4)/CN56/'02. Tỷ giá'!C$5," -")</f>
        <v>953.87260076145458</v>
      </c>
      <c r="CA56" s="95">
        <f>IFERROR(SUMIFS('01. KE30'!$R:$R,'01. KE30'!$F:$F,'05. BC BH THEO SKU-USD'!$D56,'01. KE30'!$A:$A,'05. BC BH THEO SKU-USD'!CA$4)/CO56/'02. Tỷ giá'!D$5," -")</f>
        <v>942.94330708661414</v>
      </c>
      <c r="CB56" s="95">
        <f>IFERROR(SUMIFS('01. KE30'!$R:$R,'01. KE30'!$F:$F,'05. BC BH THEO SKU-USD'!$D56,'01. KE30'!$A:$A,'05. BC BH THEO SKU-USD'!CB$4)/CP56/'02. Tỷ giá'!E$5," -")</f>
        <v>931.2580044190338</v>
      </c>
      <c r="CC56" s="95" t="str">
        <f>IFERROR(SUMIFS('01. KE30'!$R:$R,'01. KE30'!$F:$F,'05. BC BH THEO SKU-USD'!$D56,'01. KE30'!$A:$A,'05. BC BH THEO SKU-USD'!CC$4)/CQ56/'02. Tỷ giá'!F$5," -")</f>
        <v xml:space="preserve"> -</v>
      </c>
      <c r="CD56" s="95" t="str">
        <f>IFERROR(SUMIFS('01. KE30'!$R:$R,'01. KE30'!$F:$F,'05. BC BH THEO SKU-USD'!$D56,'01. KE30'!$A:$A,'05. BC BH THEO SKU-USD'!CD$4)/CR56/'02. Tỷ giá'!G$5," -")</f>
        <v xml:space="preserve"> -</v>
      </c>
      <c r="CE56" s="95">
        <f>IFERROR(SUMIFS('01. KE30'!$R:$R,'01. KE30'!$F:$F,'05. BC BH THEO SKU-USD'!$D56,'01. KE30'!$A:$A,'05. BC BH THEO SKU-USD'!CE$4)/CS56/'02. Tỷ giá'!H$5," -")</f>
        <v>1010.7129722115508</v>
      </c>
      <c r="CF56" s="95">
        <f>IFERROR(SUMIFS('01. KE30'!$R:$R,'01. KE30'!$F:$F,'05. BC BH THEO SKU-USD'!$D56,'01. KE30'!$A:$A,'05. BC BH THEO SKU-USD'!CF$4)/CT56/'02. Tỷ giá'!I$5," -")</f>
        <v>1033.5272016891292</v>
      </c>
      <c r="CG56" s="95">
        <f>IFERROR(SUMIFS('01. KE30'!$R:$R,'01. KE30'!$F:$F,'05. BC BH THEO SKU-USD'!$D56,'01. KE30'!$A:$A,'05. BC BH THEO SKU-USD'!CG$4)/CU56/'02. Tỷ giá'!J$5," -")</f>
        <v>1047.4107062506841</v>
      </c>
      <c r="CH56" s="95" t="str">
        <f>IFERROR(SUMIFS('01. KE30'!$R:$R,'01. KE30'!$F:$F,'05. BC BH THEO SKU-USD'!$D56,'01. KE30'!$A:$A,'05. BC BH THEO SKU-USD'!CH$4)/CV56/'02. Tỷ giá'!K$5," -")</f>
        <v xml:space="preserve"> -</v>
      </c>
      <c r="CI56" s="95" t="str">
        <f>IFERROR(SUMIFS('01. KE30'!$R:$R,'01. KE30'!$F:$F,'05. BC BH THEO SKU-USD'!$D56,'01. KE30'!$A:$A,'05. BC BH THEO SKU-USD'!CI$4)/CW56/'02. Tỷ giá'!L$5," -")</f>
        <v xml:space="preserve"> -</v>
      </c>
      <c r="CJ56" s="95" t="str">
        <f>IFERROR(SUMIFS('01. KE30'!$R:$R,'01. KE30'!$F:$F,'05. BC BH THEO SKU-USD'!$D56,'01. KE30'!$A:$A,'05. BC BH THEO SKU-USD'!CJ$4)/CX56/'02. Tỷ giá'!M$5," -")</f>
        <v xml:space="preserve"> -</v>
      </c>
      <c r="CL56" s="112">
        <f t="shared" ref="CL56" si="412">SUM(CM56:CX56)</f>
        <v>231.1</v>
      </c>
      <c r="CM56" s="114">
        <f>SUMIFS('01. KE30'!$I:$I,'01. KE30'!$F:$F,'05. BC BH THEO SKU-USD'!$D56,'01. KE30'!$A:$A,'05. BC BH THEO SKU-USD'!CM$4)/1000</f>
        <v>0</v>
      </c>
      <c r="CN56" s="114">
        <f>SUMIFS('01. KE30'!$I:$I,'01. KE30'!$F:$F,'05. BC BH THEO SKU-USD'!$D56,'01. KE30'!$A:$A,'05. BC BH THEO SKU-USD'!CN$4)/1000</f>
        <v>1.5</v>
      </c>
      <c r="CO56" s="114">
        <f>SUMIFS('01. KE30'!$I:$I,'01. KE30'!$F:$F,'05. BC BH THEO SKU-USD'!$D56,'01. KE30'!$A:$A,'05. BC BH THEO SKU-USD'!CO$4)/1000</f>
        <v>0.05</v>
      </c>
      <c r="CP56" s="114">
        <f>SUMIFS('01. KE30'!$I:$I,'01. KE30'!$F:$F,'05. BC BH THEO SKU-USD'!$D56,'01. KE30'!$A:$A,'05. BC BH THEO SKU-USD'!CP$4)/1000</f>
        <v>4.5250000000000004</v>
      </c>
      <c r="CQ56" s="114">
        <f>SUMIFS('01. KE30'!$I:$I,'01. KE30'!$F:$F,'05. BC BH THEO SKU-USD'!$D56,'01. KE30'!$A:$A,'05. BC BH THEO SKU-USD'!CQ$4)/1000</f>
        <v>0</v>
      </c>
      <c r="CR56" s="114">
        <f>SUMIFS('01. KE30'!$I:$I,'01. KE30'!$F:$F,'05. BC BH THEO SKU-USD'!$D56,'01. KE30'!$A:$A,'05. BC BH THEO SKU-USD'!CR$4)/1000</f>
        <v>0</v>
      </c>
      <c r="CS56" s="114">
        <f>SUMIFS('01. KE30'!$I:$I,'01. KE30'!$F:$F,'05. BC BH THEO SKU-USD'!$D56,'01. KE30'!$A:$A,'05. BC BH THEO SKU-USD'!CS$4)/1000</f>
        <v>0.75</v>
      </c>
      <c r="CT56" s="114">
        <f>SUMIFS('01. KE30'!$I:$I,'01. KE30'!$F:$F,'05. BC BH THEO SKU-USD'!$D56,'01. KE30'!$A:$A,'05. BC BH THEO SKU-USD'!CT$4)/1000</f>
        <v>6.7750000000000004</v>
      </c>
      <c r="CU56" s="114">
        <f>SUMIFS('01. KE30'!$I:$I,'01. KE30'!$F:$F,'05. BC BH THEO SKU-USD'!$D56,'01. KE30'!$A:$A,'05. BC BH THEO SKU-USD'!CU$4)/1000</f>
        <v>217.5</v>
      </c>
      <c r="CV56" s="114">
        <f>SUMIFS('01. KE30'!$I:$I,'01. KE30'!$F:$F,'05. BC BH THEO SKU-USD'!$D56,'01. KE30'!$A:$A,'05. BC BH THEO SKU-USD'!CV$4)/1000</f>
        <v>0</v>
      </c>
      <c r="CW56" s="114">
        <f>SUMIFS('01. KE30'!$I:$I,'01. KE30'!$F:$F,'05. BC BH THEO SKU-USD'!$D56,'01. KE30'!$A:$A,'05. BC BH THEO SKU-USD'!CW$4)/1000</f>
        <v>0</v>
      </c>
      <c r="CX56" s="114">
        <f>SUMIFS('01. KE30'!$I:$I,'01. KE30'!$F:$F,'05. BC BH THEO SKU-USD'!$D56,'01. KE30'!$A:$A,'05. BC BH THEO SKU-USD'!CX$4)/1000</f>
        <v>0</v>
      </c>
      <c r="CZ56" s="112">
        <f t="shared" ref="CZ56" si="413">SUM(DA56:DL56)</f>
        <v>129407.27131857513</v>
      </c>
      <c r="DA56" s="54" t="str">
        <f t="shared" ref="DA56" si="414">IFERROR(G56*CM56," -")</f>
        <v xml:space="preserve"> -</v>
      </c>
      <c r="DB56" s="54">
        <f t="shared" ref="DB56" si="415">IFERROR(H56*CN56," -")</f>
        <v>976.43430484442683</v>
      </c>
      <c r="DC56" s="54">
        <f t="shared" ref="DC56" si="416">IFERROR(I56*CO56," -")</f>
        <v>33.719763779527561</v>
      </c>
      <c r="DD56" s="54">
        <f t="shared" ref="DD56" si="417">IFERROR(J56*CP56," -")</f>
        <v>2692.2829268292685</v>
      </c>
      <c r="DE56" s="54" t="str">
        <f t="shared" ref="DE56" si="418">IFERROR(K56*CQ56," -")</f>
        <v xml:space="preserve"> -</v>
      </c>
      <c r="DF56" s="54" t="str">
        <f t="shared" ref="DF56" si="419">IFERROR(L56*CR56," -")</f>
        <v xml:space="preserve"> -</v>
      </c>
      <c r="DG56" s="54">
        <f t="shared" ref="DG56" si="420">IFERROR(M56*CS56," -")</f>
        <v>440.19719554360353</v>
      </c>
      <c r="DH56" s="54">
        <f t="shared" ref="DH56" si="421">IFERROR(N56*CT56," -")</f>
        <v>3881.7799847211613</v>
      </c>
      <c r="DI56" s="54">
        <f t="shared" ref="DI56" si="422">IFERROR(O56*CU56," -")</f>
        <v>121382.85714285714</v>
      </c>
      <c r="DJ56" s="54" t="str">
        <f t="shared" ref="DJ56" si="423">IFERROR(P56*CV56," -")</f>
        <v xml:space="preserve"> -</v>
      </c>
      <c r="DK56" s="54" t="str">
        <f t="shared" ref="DK56" si="424">IFERROR(Q56*CW56," -")</f>
        <v xml:space="preserve"> -</v>
      </c>
      <c r="DL56" s="54" t="str">
        <f t="shared" ref="DL56" si="425">IFERROR(R56*CX56," -")</f>
        <v xml:space="preserve"> -</v>
      </c>
      <c r="DN56" s="112">
        <f t="shared" ref="DN56" si="426">SUM(DO56:DZ56)</f>
        <v>-111858.60585198083</v>
      </c>
      <c r="DO56" s="114">
        <f>IFERROR(SUMIFS('01. KE30'!$X:$X,'01. KE30'!$F:$F,'05. BC BH THEO SKU-USD'!$D56,'01. KE30'!$A:$A,'05. BC BH THEO SKU-USD'!DO$4)-SUMIFS('01. KE30'!$AA:$AA,'01. KE30'!$F:$F,'05. BC BH THEO SKU-USD'!$D56,'01. KE30'!$A:$A,'05. BC BH THEO SKU-USD'!DO$4),"-")</f>
        <v>0</v>
      </c>
      <c r="DP56" s="114">
        <f>IFERROR(SUMIFS('01. KE30'!$X:$X,'01. KE30'!$F:$F,'05. BC BH THEO SKU-USD'!$D56,'01. KE30'!$A:$A,'05. BC BH THEO SKU-USD'!DP$4)-SUMIFS('01. KE30'!$AA:$AA,'01. KE30'!$F:$F,'05. BC BH THEO SKU-USD'!$D56,'01. KE30'!$A:$A,'05. BC BH THEO SKU-USD'!DP$4),"-")</f>
        <v>-454.37459629775492</v>
      </c>
      <c r="DQ56" s="114">
        <f>IFERROR(SUMIFS('01. KE30'!$X:$X,'01. KE30'!$F:$F,'05. BC BH THEO SKU-USD'!$D56,'01. KE30'!$A:$A,'05. BC BH THEO SKU-USD'!DQ$4)-SUMIFS('01. KE30'!$AA:$AA,'01. KE30'!$F:$F,'05. BC BH THEO SKU-USD'!$D56,'01. KE30'!$A:$A,'05. BC BH THEO SKU-USD'!DQ$4),"-")</f>
        <v>-15.395905511811026</v>
      </c>
      <c r="DR56" s="114">
        <f>IFERROR(SUMIFS('01. KE30'!$X:$X,'01. KE30'!$F:$F,'05. BC BH THEO SKU-USD'!$D56,'01. KE30'!$A:$A,'05. BC BH THEO SKU-USD'!DR$4)-SUMIFS('01. KE30'!$AA:$AA,'01. KE30'!$F:$F,'05. BC BH THEO SKU-USD'!$D56,'01. KE30'!$A:$A,'05. BC BH THEO SKU-USD'!DR$4),"-")</f>
        <v>-1521.6595431668597</v>
      </c>
      <c r="DS56" s="114">
        <f>IFERROR(SUMIFS('01. KE30'!$X:$X,'01. KE30'!$F:$F,'05. BC BH THEO SKU-USD'!$D56,'01. KE30'!$A:$A,'05. BC BH THEO SKU-USD'!DS$4)-SUMIFS('01. KE30'!$AA:$AA,'01. KE30'!$F:$F,'05. BC BH THEO SKU-USD'!$D56,'01. KE30'!$A:$A,'05. BC BH THEO SKU-USD'!DS$4),"-")</f>
        <v>0</v>
      </c>
      <c r="DT56" s="114">
        <f>IFERROR(SUMIFS('01. KE30'!$X:$X,'01. KE30'!$F:$F,'05. BC BH THEO SKU-USD'!$D56,'01. KE30'!$A:$A,'05. BC BH THEO SKU-USD'!DT$4)-SUMIFS('01. KE30'!$AA:$AA,'01. KE30'!$F:$F,'05. BC BH THEO SKU-USD'!$D56,'01. KE30'!$A:$A,'05. BC BH THEO SKU-USD'!DT$4),"-")</f>
        <v>0</v>
      </c>
      <c r="DU56" s="114">
        <f>IFERROR(SUMIFS('01. KE30'!$X:$X,'01. KE30'!$F:$F,'05. BC BH THEO SKU-USD'!$D56,'01. KE30'!$A:$A,'05. BC BH THEO SKU-USD'!DU$4)-SUMIFS('01. KE30'!$AA:$AA,'01. KE30'!$F:$F,'05. BC BH THEO SKU-USD'!$D56,'01. KE30'!$A:$A,'05. BC BH THEO SKU-USD'!DU$4),"-")</f>
        <v>-317.8375336150595</v>
      </c>
      <c r="DV56" s="114">
        <f>IFERROR(SUMIFS('01. KE30'!$X:$X,'01. KE30'!$F:$F,'05. BC BH THEO SKU-USD'!$D56,'01. KE30'!$A:$A,'05. BC BH THEO SKU-USD'!DV$4)-SUMIFS('01. KE30'!$AA:$AA,'01. KE30'!$F:$F,'05. BC BH THEO SKU-USD'!$D56,'01. KE30'!$A:$A,'05. BC BH THEO SKU-USD'!DV$4),"-")</f>
        <v>-3120.3668067226886</v>
      </c>
      <c r="DW56" s="114">
        <f>IFERROR(SUMIFS('01. KE30'!$X:$X,'01. KE30'!$F:$F,'05. BC BH THEO SKU-USD'!$D56,'01. KE30'!$A:$A,'05. BC BH THEO SKU-USD'!DW$4)-SUMIFS('01. KE30'!$AA:$AA,'01. KE30'!$F:$F,'05. BC BH THEO SKU-USD'!$D56,'01. KE30'!$A:$A,'05. BC BH THEO SKU-USD'!DW$4),"-")</f>
        <v>-106428.97146666666</v>
      </c>
      <c r="DX56" s="114">
        <f>IFERROR(SUMIFS('01. KE30'!$X:$X,'01. KE30'!$F:$F,'05. BC BH THEO SKU-USD'!$D56,'01. KE30'!$A:$A,'05. BC BH THEO SKU-USD'!DX$4)-SUMIFS('01. KE30'!$AA:$AA,'01. KE30'!$F:$F,'05. BC BH THEO SKU-USD'!$D56,'01. KE30'!$A:$A,'05. BC BH THEO SKU-USD'!DX$4),"-")</f>
        <v>0</v>
      </c>
      <c r="DY56" s="114">
        <f>IFERROR(SUMIFS('01. KE30'!$X:$X,'01. KE30'!$F:$F,'05. BC BH THEO SKU-USD'!$D56,'01. KE30'!$A:$A,'05. BC BH THEO SKU-USD'!DY$4)-SUMIFS('01. KE30'!$AA:$AA,'01. KE30'!$F:$F,'05. BC BH THEO SKU-USD'!$D56,'01. KE30'!$A:$A,'05. BC BH THEO SKU-USD'!DY$4),"-")</f>
        <v>0</v>
      </c>
      <c r="DZ56" s="114">
        <f>IFERROR(SUMIFS('01. KE30'!$X:$X,'01. KE30'!$F:$F,'05. BC BH THEO SKU-USD'!$D56,'01. KE30'!$A:$A,'05. BC BH THEO SKU-USD'!DZ$4)-SUMIFS('01. KE30'!$AA:$AA,'01. KE30'!$F:$F,'05. BC BH THEO SKU-USD'!$D56,'01. KE30'!$A:$A,'05. BC BH THEO SKU-USD'!DZ$4),"-")</f>
        <v>0</v>
      </c>
      <c r="EB56" s="576">
        <f t="shared" si="252"/>
        <v>-0.86439196740812996</v>
      </c>
      <c r="EC56" s="573">
        <f t="shared" si="253"/>
        <v>0</v>
      </c>
      <c r="ED56" s="573">
        <f t="shared" si="19"/>
        <v>-0.46534067273491525</v>
      </c>
      <c r="EE56" s="572">
        <f t="shared" si="20"/>
        <v>-0.4565840262842652</v>
      </c>
      <c r="EF56" s="572">
        <f t="shared" si="21"/>
        <v>-0.56519302930726345</v>
      </c>
      <c r="EG56" s="572">
        <f t="shared" si="22"/>
        <v>0</v>
      </c>
      <c r="EH56" s="572">
        <f t="shared" si="23"/>
        <v>0</v>
      </c>
      <c r="EI56" s="572">
        <f t="shared" si="24"/>
        <v>-0.72203443555009261</v>
      </c>
      <c r="EJ56" s="572">
        <f t="shared" si="25"/>
        <v>-0.80384947601475998</v>
      </c>
      <c r="EK56" s="572">
        <f t="shared" si="26"/>
        <v>-0.87680397357436513</v>
      </c>
      <c r="EL56" s="572">
        <f t="shared" si="27"/>
        <v>0</v>
      </c>
      <c r="EM56" s="572">
        <f t="shared" si="28"/>
        <v>0</v>
      </c>
      <c r="EN56" s="572">
        <f t="shared" si="29"/>
        <v>0</v>
      </c>
    </row>
    <row r="57" spans="1:144" ht="15.5" outlineLevel="1" x14ac:dyDescent="0.35">
      <c r="A57" s="10">
        <f>A56+1</f>
        <v>6</v>
      </c>
      <c r="B57" s="10" t="s">
        <v>295</v>
      </c>
      <c r="C57" s="246" t="str">
        <f>VLOOKUP(D57,'Quy đổi'!A:C,3,0)</f>
        <v>Vảy HD Ép Đen</v>
      </c>
      <c r="D57" s="464" t="s">
        <v>657</v>
      </c>
      <c r="E57" s="20" t="s">
        <v>658</v>
      </c>
      <c r="F57" s="92">
        <f t="shared" si="295"/>
        <v>512.47026161761835</v>
      </c>
      <c r="G57" s="106" t="str">
        <f>IFERROR(SUMIFS('01. KE30'!$K:$K,'01. KE30'!$F:$F,'05. BC BH THEO SKU-USD'!$D57,'01. KE30'!$A:$A,'05. BC BH THEO SKU-USD'!G$4)/'05. BC BH THEO SKU-USD'!CM57/'02. Tỷ giá'!B$5,"-")</f>
        <v>-</v>
      </c>
      <c r="H57" s="106" t="str">
        <f>IFERROR(SUMIFS('01. KE30'!$K:$K,'01. KE30'!$F:$F,'05. BC BH THEO SKU-USD'!$D57,'01. KE30'!$A:$A,'05. BC BH THEO SKU-USD'!H$4)/'05. BC BH THEO SKU-USD'!CN57/'02. Tỷ giá'!C$5,"-")</f>
        <v>-</v>
      </c>
      <c r="I57" s="106">
        <f>IFERROR(SUMIFS('01. KE30'!$K:$K,'01. KE30'!$F:$F,'05. BC BH THEO SKU-USD'!$D57,'01. KE30'!$A:$A,'05. BC BH THEO SKU-USD'!I$4)/'05. BC BH THEO SKU-USD'!CO57/'02. Tỷ giá'!D$5,"-")</f>
        <v>473.89909448818895</v>
      </c>
      <c r="J57" s="106">
        <f>IFERROR(SUMIFS('01. KE30'!$K:$K,'01. KE30'!$F:$F,'05. BC BH THEO SKU-USD'!$D57,'01. KE30'!$A:$A,'05. BC BH THEO SKU-USD'!J$4)/'05. BC BH THEO SKU-USD'!CP57/'02. Tỷ giá'!E$5,"-")</f>
        <v>580.72009291521488</v>
      </c>
      <c r="K57" s="106" t="str">
        <f>IFERROR(SUMIFS('01. KE30'!$K:$K,'01. KE30'!$F:$F,'05. BC BH THEO SKU-USD'!$D57,'01. KE30'!$A:$A,'05. BC BH THEO SKU-USD'!K$4)/'05. BC BH THEO SKU-USD'!CQ57/'02. Tỷ giá'!F$5,"-")</f>
        <v>-</v>
      </c>
      <c r="L57" s="106">
        <f>IFERROR(SUMIFS('01. KE30'!$K:$K,'01. KE30'!$F:$F,'05. BC BH THEO SKU-USD'!$D57,'01. KE30'!$A:$A,'05. BC BH THEO SKU-USD'!L$4)/'05. BC BH THEO SKU-USD'!CR57/'02. Tỷ giá'!G$5,"-")</f>
        <v>500.11430913800706</v>
      </c>
      <c r="M57" s="106" t="str">
        <f>IFERROR(SUMIFS('01. KE30'!$K:$K,'01. KE30'!$F:$F,'05. BC BH THEO SKU-USD'!$D57,'01. KE30'!$A:$A,'05. BC BH THEO SKU-USD'!M$4)/'05. BC BH THEO SKU-USD'!CS57/'02. Tỷ giá'!H$5,"-")</f>
        <v>-</v>
      </c>
      <c r="N57" s="106">
        <f>IFERROR(SUMIFS('01. KE30'!$K:$K,'01. KE30'!$F:$F,'05. BC BH THEO SKU-USD'!$D57,'01. KE30'!$A:$A,'05. BC BH THEO SKU-USD'!N$4)/'05. BC BH THEO SKU-USD'!CT57/'02. Tỷ giá'!I$5,"-")</f>
        <v>495.14754992906251</v>
      </c>
      <c r="O57" s="106" t="str">
        <f>IFERROR(SUMIFS('01. KE30'!$K:$K,'01. KE30'!$F:$F,'05. BC BH THEO SKU-USD'!$D57,'01. KE30'!$A:$A,'05. BC BH THEO SKU-USD'!O$4)/'05. BC BH THEO SKU-USD'!CU57/'02. Tỷ giá'!J$5,"-")</f>
        <v>-</v>
      </c>
      <c r="P57" s="106" t="str">
        <f>IFERROR(SUMIFS('01. KE30'!$K:$K,'01. KE30'!$F:$F,'05. BC BH THEO SKU-USD'!$D57,'01. KE30'!$A:$A,'05. BC BH THEO SKU-USD'!P$4)/'05. BC BH THEO SKU-USD'!CV57/'02. Tỷ giá'!K$5,"-")</f>
        <v>-</v>
      </c>
      <c r="Q57" s="106" t="str">
        <f>IFERROR(SUMIFS('01. KE30'!$K:$K,'01. KE30'!$F:$F,'05. BC BH THEO SKU-USD'!$D57,'01. KE30'!$A:$A,'05. BC BH THEO SKU-USD'!Q$4)/'05. BC BH THEO SKU-USD'!CW57/'02. Tỷ giá'!L$5,"-")</f>
        <v>-</v>
      </c>
      <c r="R57" s="106" t="str">
        <f>IFERROR(SUMIFS('01. KE30'!$K:$K,'01. KE30'!$F:$F,'05. BC BH THEO SKU-USD'!$D57,'01. KE30'!$A:$A,'05. BC BH THEO SKU-USD'!R$4)/'05. BC BH THEO SKU-USD'!CX57/'02. Tỷ giá'!M$5,"-")</f>
        <v>-</v>
      </c>
      <c r="T57" s="92">
        <f t="shared" si="309"/>
        <v>495.59694677688765</v>
      </c>
      <c r="U57" s="147" t="str">
        <f>IFERROR(SUMIFS('01. KE30'!$O:$O,'01. KE30'!$F:$F,'05. BC BH THEO SKU-USD'!$D57,'01. KE30'!$A:$A,'05. BC BH THEO SKU-USD'!G$4)/'05. BC BH THEO SKU-USD'!CM57/'02. Tỷ giá'!B$5,"-")</f>
        <v>-</v>
      </c>
      <c r="V57" s="147" t="str">
        <f>IFERROR(SUMIFS('01. KE30'!$O:$O,'01. KE30'!$F:$F,'05. BC BH THEO SKU-USD'!$D57,'01. KE30'!$A:$A,'05. BC BH THEO SKU-USD'!H$4)/'05. BC BH THEO SKU-USD'!CN57/'02. Tỷ giá'!C$5,"-")</f>
        <v>-</v>
      </c>
      <c r="W57" s="147">
        <f>IFERROR(SUMIFS('01. KE30'!$O:$O,'01. KE30'!$F:$F,'05. BC BH THEO SKU-USD'!$D57,'01. KE30'!$A:$A,'05. BC BH THEO SKU-USD'!I$4)/'05. BC BH THEO SKU-USD'!CO57/'02. Tỷ giá'!D$5,"-")</f>
        <v>473.89909448818895</v>
      </c>
      <c r="X57" s="147">
        <f>IFERROR(SUMIFS('01. KE30'!$O:$O,'01. KE30'!$F:$F,'05. BC BH THEO SKU-USD'!$D57,'01. KE30'!$A:$A,'05. BC BH THEO SKU-USD'!J$4)/'05. BC BH THEO SKU-USD'!CP57/'02. Tỷ giá'!E$5,"-")</f>
        <v>580.72009291521488</v>
      </c>
      <c r="Y57" s="147" t="str">
        <f>IFERROR(SUMIFS('01. KE30'!$O:$O,'01. KE30'!$F:$F,'05. BC BH THEO SKU-USD'!$D57,'01. KE30'!$A:$A,'05. BC BH THEO SKU-USD'!K$4)/'05. BC BH THEO SKU-USD'!CQ57/'02. Tỷ giá'!F$5,"-")</f>
        <v>-</v>
      </c>
      <c r="Z57" s="147">
        <f>IFERROR(SUMIFS('01. KE30'!$O:$O,'01. KE30'!$F:$F,'05. BC BH THEO SKU-USD'!$D57,'01. KE30'!$A:$A,'05. BC BH THEO SKU-USD'!L$4)/'05. BC BH THEO SKU-USD'!CR57/'02. Tỷ giá'!G$5,"-")</f>
        <v>500.11430913800706</v>
      </c>
      <c r="AA57" s="147" t="str">
        <f>IFERROR(SUMIFS('01. KE30'!$O:$O,'01. KE30'!$F:$F,'05. BC BH THEO SKU-USD'!$D57,'01. KE30'!$A:$A,'05. BC BH THEO SKU-USD'!M$4)/'05. BC BH THEO SKU-USD'!CS57/'02. Tỷ giá'!H$5,"-")</f>
        <v>-</v>
      </c>
      <c r="AB57" s="147">
        <f>IFERROR(SUMIFS('01. KE30'!$O:$O,'01. KE30'!$F:$F,'05. BC BH THEO SKU-USD'!$D57,'01. KE30'!$A:$A,'05. BC BH THEO SKU-USD'!N$4)/'05. BC BH THEO SKU-USD'!CT57/'02. Tỷ giá'!I$5,"-")</f>
        <v>495.14754992906251</v>
      </c>
      <c r="AC57" s="147" t="str">
        <f>IFERROR(SUMIFS('01. KE30'!$O:$O,'01. KE30'!$F:$F,'05. BC BH THEO SKU-USD'!$D57,'01. KE30'!$A:$A,'05. BC BH THEO SKU-USD'!O$4)/'05. BC BH THEO SKU-USD'!CU57/'02. Tỷ giá'!J$5,"-")</f>
        <v>-</v>
      </c>
      <c r="AD57" s="147" t="str">
        <f>IFERROR(SUMIFS('01. KE30'!$O:$O,'01. KE30'!$F:$F,'05. BC BH THEO SKU-USD'!$D57,'01. KE30'!$A:$A,'05. BC BH THEO SKU-USD'!P$4)/'05. BC BH THEO SKU-USD'!CV57/'02. Tỷ giá'!K$5,"-")</f>
        <v>-</v>
      </c>
      <c r="AE57" s="147" t="str">
        <f>IFERROR(SUMIFS('01. KE30'!$O:$O,'01. KE30'!$F:$F,'05. BC BH THEO SKU-USD'!$D57,'01. KE30'!$A:$A,'05. BC BH THEO SKU-USD'!Q$4)/'05. BC BH THEO SKU-USD'!CW57/'02. Tỷ giá'!L$5,"-")</f>
        <v>-</v>
      </c>
      <c r="AF57" s="147" t="str">
        <f>IFERROR(SUMIFS('01. KE30'!$O:$O,'01. KE30'!$F:$F,'05. BC BH THEO SKU-USD'!$D57,'01. KE30'!$A:$A,'05. BC BH THEO SKU-USD'!R$4)/'05. BC BH THEO SKU-USD'!CX57/'02. Tỷ giá'!M$5,"-")</f>
        <v>-</v>
      </c>
      <c r="AH57" s="55">
        <f t="shared" si="296"/>
        <v>737.22222222222217</v>
      </c>
      <c r="AI57" s="4">
        <v>825</v>
      </c>
      <c r="AJ57" s="4">
        <v>750</v>
      </c>
      <c r="AK57" s="4">
        <v>750</v>
      </c>
      <c r="AL57" s="4">
        <v>750</v>
      </c>
      <c r="AM57" s="4">
        <v>720</v>
      </c>
      <c r="AN57" s="4">
        <v>720</v>
      </c>
      <c r="AO57" s="4">
        <v>720</v>
      </c>
      <c r="AP57" s="4">
        <v>700</v>
      </c>
      <c r="AQ57" s="4">
        <v>700</v>
      </c>
      <c r="AR57" s="4"/>
      <c r="AS57" s="4"/>
      <c r="AT57" s="4"/>
      <c r="AV57" s="95">
        <f t="shared" si="299"/>
        <v>-241.62527544533452</v>
      </c>
      <c r="AW57" s="95" t="str">
        <f t="shared" si="299"/>
        <v>-</v>
      </c>
      <c r="AX57" s="95" t="str">
        <f t="shared" si="299"/>
        <v>-</v>
      </c>
      <c r="AY57" s="95">
        <f t="shared" si="299"/>
        <v>-276.10090551181105</v>
      </c>
      <c r="AZ57" s="95">
        <f t="shared" si="299"/>
        <v>-169.27990708478512</v>
      </c>
      <c r="BA57" s="95" t="str">
        <f t="shared" si="299"/>
        <v>-</v>
      </c>
      <c r="BB57" s="95">
        <f t="shared" si="299"/>
        <v>-219.88569086199294</v>
      </c>
      <c r="BC57" s="95" t="str">
        <f t="shared" si="299"/>
        <v>-</v>
      </c>
      <c r="BD57" s="95">
        <f t="shared" si="299"/>
        <v>-204.85245007093749</v>
      </c>
      <c r="BE57" s="95" t="str">
        <f t="shared" si="299"/>
        <v>-</v>
      </c>
      <c r="BF57" s="95" t="str">
        <f t="shared" si="299"/>
        <v>-</v>
      </c>
      <c r="BG57" s="95" t="str">
        <f t="shared" si="299"/>
        <v>-</v>
      </c>
      <c r="BH57" s="95" t="str">
        <f t="shared" si="299"/>
        <v>-</v>
      </c>
      <c r="BJ57" s="143">
        <f t="shared" si="376"/>
        <v>-0.32775093881055173</v>
      </c>
      <c r="BK57" s="143" t="str">
        <f t="shared" si="377"/>
        <v>-</v>
      </c>
      <c r="BL57" s="143" t="str">
        <f t="shared" si="377"/>
        <v>-</v>
      </c>
      <c r="BM57" s="143">
        <f t="shared" si="377"/>
        <v>-0.36813454068241475</v>
      </c>
      <c r="BN57" s="143">
        <f t="shared" si="377"/>
        <v>-0.2257065427797135</v>
      </c>
      <c r="BO57" s="143" t="str">
        <f t="shared" si="377"/>
        <v>-</v>
      </c>
      <c r="BP57" s="143">
        <f t="shared" si="377"/>
        <v>-0.30539679286387911</v>
      </c>
      <c r="BQ57" s="143" t="str">
        <f t="shared" si="377"/>
        <v>-</v>
      </c>
      <c r="BR57" s="143">
        <f t="shared" si="377"/>
        <v>-0.29264635724419641</v>
      </c>
      <c r="BS57" s="143" t="str">
        <f t="shared" si="377"/>
        <v>-</v>
      </c>
      <c r="BT57" s="143" t="str">
        <f t="shared" si="68"/>
        <v>-</v>
      </c>
      <c r="BU57" s="143" t="str">
        <f t="shared" si="68"/>
        <v>-</v>
      </c>
      <c r="BV57" s="143" t="str">
        <f t="shared" si="68"/>
        <v>-</v>
      </c>
      <c r="BX57" s="112">
        <f t="shared" si="378"/>
        <v>813.00301564587608</v>
      </c>
      <c r="BY57" s="95" t="str">
        <f>IFERROR(SUMIFS('01. KE30'!$R:$R,'01. KE30'!$F:$F,'05. BC BH THEO SKU-USD'!$D57,'01. KE30'!$A:$A,'05. BC BH THEO SKU-USD'!BY$4)/CM57/'02. Tỷ giá'!B$5," -")</f>
        <v xml:space="preserve"> -</v>
      </c>
      <c r="BZ57" s="95" t="str">
        <f>IFERROR(SUMIFS('01. KE30'!$R:$R,'01. KE30'!$F:$F,'05. BC BH THEO SKU-USD'!$D57,'01. KE30'!$A:$A,'05. BC BH THEO SKU-USD'!BZ$4)/CN57/'02. Tỷ giá'!C$5," -")</f>
        <v xml:space="preserve"> -</v>
      </c>
      <c r="CA57" s="95">
        <f>IFERROR(SUMIFS('01. KE30'!$R:$R,'01. KE30'!$F:$F,'05. BC BH THEO SKU-USD'!$D57,'01. KE30'!$A:$A,'05. BC BH THEO SKU-USD'!CA$4)/CO57/'02. Tỷ giá'!D$5," -")</f>
        <v>826.73555118110232</v>
      </c>
      <c r="CB57" s="95">
        <f>IFERROR(SUMIFS('01. KE30'!$R:$R,'01. KE30'!$F:$F,'05. BC BH THEO SKU-USD'!$D57,'01. KE30'!$A:$A,'05. BC BH THEO SKU-USD'!CB$4)/CP57/'02. Tỷ giá'!E$5," -")</f>
        <v>812.98025551684088</v>
      </c>
      <c r="CC57" s="95" t="str">
        <f>IFERROR(SUMIFS('01. KE30'!$R:$R,'01. KE30'!$F:$F,'05. BC BH THEO SKU-USD'!$D57,'01. KE30'!$A:$A,'05. BC BH THEO SKU-USD'!CC$4)/CQ57/'02. Tỷ giá'!F$5," -")</f>
        <v xml:space="preserve"> -</v>
      </c>
      <c r="CD57" s="95">
        <f>IFERROR(SUMIFS('01. KE30'!$R:$R,'01. KE30'!$F:$F,'05. BC BH THEO SKU-USD'!$D57,'01. KE30'!$A:$A,'05. BC BH THEO SKU-USD'!CD$4)/CR57/'02. Tỷ giá'!G$5," -")</f>
        <v>810.16626570767198</v>
      </c>
      <c r="CE57" s="95" t="str">
        <f>IFERROR(SUMIFS('01. KE30'!$R:$R,'01. KE30'!$F:$F,'05. BC BH THEO SKU-USD'!$D57,'01. KE30'!$A:$A,'05. BC BH THEO SKU-USD'!CE$4)/CS57/'02. Tỷ giá'!H$5," -")</f>
        <v xml:space="preserve"> -</v>
      </c>
      <c r="CF57" s="95">
        <f>IFERROR(SUMIFS('01. KE30'!$R:$R,'01. KE30'!$F:$F,'05. BC BH THEO SKU-USD'!$D57,'01. KE30'!$A:$A,'05. BC BH THEO SKU-USD'!CF$4)/CT57/'02. Tỷ giá'!I$5," -")</f>
        <v>802.12999017788934</v>
      </c>
      <c r="CG57" s="95" t="str">
        <f>IFERROR(SUMIFS('01. KE30'!$R:$R,'01. KE30'!$F:$F,'05. BC BH THEO SKU-USD'!$D57,'01. KE30'!$A:$A,'05. BC BH THEO SKU-USD'!CG$4)/CU57/'02. Tỷ giá'!J$5," -")</f>
        <v xml:space="preserve"> -</v>
      </c>
      <c r="CH57" s="95" t="str">
        <f>IFERROR(SUMIFS('01. KE30'!$R:$R,'01. KE30'!$F:$F,'05. BC BH THEO SKU-USD'!$D57,'01. KE30'!$A:$A,'05. BC BH THEO SKU-USD'!CH$4)/CV57/'02. Tỷ giá'!K$5," -")</f>
        <v xml:space="preserve"> -</v>
      </c>
      <c r="CI57" s="95" t="str">
        <f>IFERROR(SUMIFS('01. KE30'!$R:$R,'01. KE30'!$F:$F,'05. BC BH THEO SKU-USD'!$D57,'01. KE30'!$A:$A,'05. BC BH THEO SKU-USD'!CI$4)/CW57/'02. Tỷ giá'!L$5," -")</f>
        <v xml:space="preserve"> -</v>
      </c>
      <c r="CJ57" s="95" t="str">
        <f>IFERROR(SUMIFS('01. KE30'!$R:$R,'01. KE30'!$F:$F,'05. BC BH THEO SKU-USD'!$D57,'01. KE30'!$A:$A,'05. BC BH THEO SKU-USD'!CJ$4)/CX57/'02. Tỷ giá'!M$5," -")</f>
        <v xml:space="preserve"> -</v>
      </c>
      <c r="CL57" s="112">
        <f t="shared" si="281"/>
        <v>30.524999999999999</v>
      </c>
      <c r="CM57" s="114">
        <f>SUMIFS('01. KE30'!$I:$I,'01. KE30'!$F:$F,'05. BC BH THEO SKU-USD'!$D57,'01. KE30'!$A:$A,'05. BC BH THEO SKU-USD'!CM$4)/1000</f>
        <v>0</v>
      </c>
      <c r="CN57" s="114">
        <f>SUMIFS('01. KE30'!$I:$I,'01. KE30'!$F:$F,'05. BC BH THEO SKU-USD'!$D57,'01. KE30'!$A:$A,'05. BC BH THEO SKU-USD'!CN$4)/1000</f>
        <v>0</v>
      </c>
      <c r="CO57" s="114">
        <f>SUMIFS('01. KE30'!$I:$I,'01. KE30'!$F:$F,'05. BC BH THEO SKU-USD'!$D57,'01. KE30'!$A:$A,'05. BC BH THEO SKU-USD'!CO$4)/1000</f>
        <v>6</v>
      </c>
      <c r="CP57" s="114">
        <f>SUMIFS('01. KE30'!$I:$I,'01. KE30'!$F:$F,'05. BC BH THEO SKU-USD'!$D57,'01. KE30'!$A:$A,'05. BC BH THEO SKU-USD'!CP$4)/1000</f>
        <v>2.5000000000000001E-2</v>
      </c>
      <c r="CQ57" s="114">
        <f>SUMIFS('01. KE30'!$I:$I,'01. KE30'!$F:$F,'05. BC BH THEO SKU-USD'!$D57,'01. KE30'!$A:$A,'05. BC BH THEO SKU-USD'!CQ$4)/1000</f>
        <v>0</v>
      </c>
      <c r="CR57" s="114">
        <f>SUMIFS('01. KE30'!$I:$I,'01. KE30'!$F:$F,'05. BC BH THEO SKU-USD'!$D57,'01. KE30'!$A:$A,'05. BC BH THEO SKU-USD'!CR$4)/1000</f>
        <v>28</v>
      </c>
      <c r="CS57" s="114">
        <f>SUMIFS('01. KE30'!$I:$I,'01. KE30'!$F:$F,'05. BC BH THEO SKU-USD'!$D57,'01. KE30'!$A:$A,'05. BC BH THEO SKU-USD'!CS$4)/1000</f>
        <v>0</v>
      </c>
      <c r="CT57" s="114">
        <f>SUMIFS('01. KE30'!$I:$I,'01. KE30'!$F:$F,'05. BC BH THEO SKU-USD'!$D57,'01. KE30'!$A:$A,'05. BC BH THEO SKU-USD'!CT$4)/1000</f>
        <v>-3.5</v>
      </c>
      <c r="CU57" s="114">
        <f>SUMIFS('01. KE30'!$I:$I,'01. KE30'!$F:$F,'05. BC BH THEO SKU-USD'!$D57,'01. KE30'!$A:$A,'05. BC BH THEO SKU-USD'!CU$4)/1000</f>
        <v>0</v>
      </c>
      <c r="CV57" s="114">
        <f>SUMIFS('01. KE30'!$I:$I,'01. KE30'!$F:$F,'05. BC BH THEO SKU-USD'!$D57,'01. KE30'!$A:$A,'05. BC BH THEO SKU-USD'!CV$4)/1000</f>
        <v>0</v>
      </c>
      <c r="CW57" s="114">
        <f>SUMIFS('01. KE30'!$I:$I,'01. KE30'!$F:$F,'05. BC BH THEO SKU-USD'!$D57,'01. KE30'!$A:$A,'05. BC BH THEO SKU-USD'!CW$4)/1000</f>
        <v>0</v>
      </c>
      <c r="CX57" s="114">
        <f>SUMIFS('01. KE30'!$I:$I,'01. KE30'!$F:$F,'05. BC BH THEO SKU-USD'!$D57,'01. KE30'!$A:$A,'05. BC BH THEO SKU-USD'!CX$4)/1000</f>
        <v>0</v>
      </c>
      <c r="CZ57" s="112">
        <f t="shared" si="379"/>
        <v>15128.096800364494</v>
      </c>
      <c r="DA57" s="54" t="str">
        <f t="shared" si="380"/>
        <v xml:space="preserve"> -</v>
      </c>
      <c r="DB57" s="54" t="str">
        <f t="shared" si="381"/>
        <v xml:space="preserve"> -</v>
      </c>
      <c r="DC57" s="54">
        <f t="shared" si="382"/>
        <v>2843.3945669291338</v>
      </c>
      <c r="DD57" s="54">
        <f t="shared" si="383"/>
        <v>14.518002322880372</v>
      </c>
      <c r="DE57" s="54" t="str">
        <f t="shared" si="384"/>
        <v xml:space="preserve"> -</v>
      </c>
      <c r="DF57" s="54">
        <f t="shared" si="385"/>
        <v>14003.200655864197</v>
      </c>
      <c r="DG57" s="54" t="str">
        <f t="shared" si="386"/>
        <v xml:space="preserve"> -</v>
      </c>
      <c r="DH57" s="54">
        <f t="shared" si="387"/>
        <v>-1733.0164247517187</v>
      </c>
      <c r="DI57" s="54" t="str">
        <f t="shared" si="388"/>
        <v xml:space="preserve"> -</v>
      </c>
      <c r="DJ57" s="54" t="str">
        <f t="shared" si="389"/>
        <v xml:space="preserve"> -</v>
      </c>
      <c r="DK57" s="54" t="str">
        <f t="shared" si="390"/>
        <v xml:space="preserve"> -</v>
      </c>
      <c r="DL57" s="54" t="str">
        <f t="shared" si="391"/>
        <v xml:space="preserve"> -</v>
      </c>
      <c r="DN57" s="112">
        <f t="shared" si="393"/>
        <v>-9729.8414873022466</v>
      </c>
      <c r="DO57" s="114">
        <f>IFERROR(SUMIFS('01. KE30'!$X:$X,'01. KE30'!$F:$F,'05. BC BH THEO SKU-USD'!$D57,'01. KE30'!$A:$A,'05. BC BH THEO SKU-USD'!DO$4)-SUMIFS('01. KE30'!$AA:$AA,'01. KE30'!$F:$F,'05. BC BH THEO SKU-USD'!$D57,'01. KE30'!$A:$A,'05. BC BH THEO SKU-USD'!DO$4),"-")</f>
        <v>0</v>
      </c>
      <c r="DP57" s="114">
        <f>IFERROR(SUMIFS('01. KE30'!$X:$X,'01. KE30'!$F:$F,'05. BC BH THEO SKU-USD'!$D57,'01. KE30'!$A:$A,'05. BC BH THEO SKU-USD'!DP$4)-SUMIFS('01. KE30'!$AA:$AA,'01. KE30'!$F:$F,'05. BC BH THEO SKU-USD'!$D57,'01. KE30'!$A:$A,'05. BC BH THEO SKU-USD'!DP$4),"-")</f>
        <v>0</v>
      </c>
      <c r="DQ57" s="114">
        <f>IFERROR(SUMIFS('01. KE30'!$X:$X,'01. KE30'!$F:$F,'05. BC BH THEO SKU-USD'!$D57,'01. KE30'!$A:$A,'05. BC BH THEO SKU-USD'!DQ$4)-SUMIFS('01. KE30'!$AA:$AA,'01. KE30'!$F:$F,'05. BC BH THEO SKU-USD'!$D57,'01. KE30'!$A:$A,'05. BC BH THEO SKU-USD'!DQ$4),"-")</f>
        <v>-2117.0187401574808</v>
      </c>
      <c r="DR57" s="114">
        <f>IFERROR(SUMIFS('01. KE30'!$X:$X,'01. KE30'!$F:$F,'05. BC BH THEO SKU-USD'!$D57,'01. KE30'!$A:$A,'05. BC BH THEO SKU-USD'!DR$4)-SUMIFS('01. KE30'!$AA:$AA,'01. KE30'!$F:$F,'05. BC BH THEO SKU-USD'!$D57,'01. KE30'!$A:$A,'05. BC BH THEO SKU-USD'!DR$4),"-")</f>
        <v>-5.8065040650406505</v>
      </c>
      <c r="DS57" s="114">
        <f>IFERROR(SUMIFS('01. KE30'!$X:$X,'01. KE30'!$F:$F,'05. BC BH THEO SKU-USD'!$D57,'01. KE30'!$A:$A,'05. BC BH THEO SKU-USD'!DS$4)-SUMIFS('01. KE30'!$AA:$AA,'01. KE30'!$F:$F,'05. BC BH THEO SKU-USD'!$D57,'01. KE30'!$A:$A,'05. BC BH THEO SKU-USD'!DS$4),"-")</f>
        <v>0</v>
      </c>
      <c r="DT57" s="114">
        <f>IFERROR(SUMIFS('01. KE30'!$X:$X,'01. KE30'!$F:$F,'05. BC BH THEO SKU-USD'!$D57,'01. KE30'!$A:$A,'05. BC BH THEO SKU-USD'!DT$4)-SUMIFS('01. KE30'!$AA:$AA,'01. KE30'!$F:$F,'05. BC BH THEO SKU-USD'!$D57,'01. KE30'!$A:$A,'05. BC BH THEO SKU-USD'!DT$4),"-")</f>
        <v>-8681.4547839506176</v>
      </c>
      <c r="DU57" s="114">
        <f>IFERROR(SUMIFS('01. KE30'!$X:$X,'01. KE30'!$F:$F,'05. BC BH THEO SKU-USD'!$D57,'01. KE30'!$A:$A,'05. BC BH THEO SKU-USD'!DU$4)-SUMIFS('01. KE30'!$AA:$AA,'01. KE30'!$F:$F,'05. BC BH THEO SKU-USD'!$D57,'01. KE30'!$A:$A,'05. BC BH THEO SKU-USD'!DU$4),"-")</f>
        <v>0</v>
      </c>
      <c r="DV57" s="114">
        <f>IFERROR(SUMIFS('01. KE30'!$X:$X,'01. KE30'!$F:$F,'05. BC BH THEO SKU-USD'!$D57,'01. KE30'!$A:$A,'05. BC BH THEO SKU-USD'!DV$4)-SUMIFS('01. KE30'!$AA:$AA,'01. KE30'!$F:$F,'05. BC BH THEO SKU-USD'!$D57,'01. KE30'!$A:$A,'05. BC BH THEO SKU-USD'!DV$4),"-")</f>
        <v>1074.4385408708938</v>
      </c>
      <c r="DW57" s="114">
        <f>IFERROR(SUMIFS('01. KE30'!$X:$X,'01. KE30'!$F:$F,'05. BC BH THEO SKU-USD'!$D57,'01. KE30'!$A:$A,'05. BC BH THEO SKU-USD'!DW$4)-SUMIFS('01. KE30'!$AA:$AA,'01. KE30'!$F:$F,'05. BC BH THEO SKU-USD'!$D57,'01. KE30'!$A:$A,'05. BC BH THEO SKU-USD'!DW$4),"-")</f>
        <v>0</v>
      </c>
      <c r="DX57" s="114">
        <f>IFERROR(SUMIFS('01. KE30'!$X:$X,'01. KE30'!$F:$F,'05. BC BH THEO SKU-USD'!$D57,'01. KE30'!$A:$A,'05. BC BH THEO SKU-USD'!DX$4)-SUMIFS('01. KE30'!$AA:$AA,'01. KE30'!$F:$F,'05. BC BH THEO SKU-USD'!$D57,'01. KE30'!$A:$A,'05. BC BH THEO SKU-USD'!DX$4),"-")</f>
        <v>0</v>
      </c>
      <c r="DY57" s="114">
        <f>IFERROR(SUMIFS('01. KE30'!$X:$X,'01. KE30'!$F:$F,'05. BC BH THEO SKU-USD'!$D57,'01. KE30'!$A:$A,'05. BC BH THEO SKU-USD'!DY$4)-SUMIFS('01. KE30'!$AA:$AA,'01. KE30'!$F:$F,'05. BC BH THEO SKU-USD'!$D57,'01. KE30'!$A:$A,'05. BC BH THEO SKU-USD'!DY$4),"-")</f>
        <v>0</v>
      </c>
      <c r="DZ57" s="114">
        <f>IFERROR(SUMIFS('01. KE30'!$X:$X,'01. KE30'!$F:$F,'05. BC BH THEO SKU-USD'!$D57,'01. KE30'!$A:$A,'05. BC BH THEO SKU-USD'!DZ$4)-SUMIFS('01. KE30'!$AA:$AA,'01. KE30'!$F:$F,'05. BC BH THEO SKU-USD'!$D57,'01. KE30'!$A:$A,'05. BC BH THEO SKU-USD'!DZ$4),"-")</f>
        <v>0</v>
      </c>
      <c r="EB57" s="576">
        <f t="shared" si="252"/>
        <v>-0.64316361903949593</v>
      </c>
      <c r="EC57" s="573">
        <f t="shared" si="253"/>
        <v>0</v>
      </c>
      <c r="ED57" s="573">
        <f t="shared" si="19"/>
        <v>0</v>
      </c>
      <c r="EE57" s="572">
        <f t="shared" si="20"/>
        <v>-0.7445392084447362</v>
      </c>
      <c r="EF57" s="572">
        <f t="shared" si="21"/>
        <v>-0.39995199999999997</v>
      </c>
      <c r="EG57" s="572">
        <f t="shared" si="22"/>
        <v>0</v>
      </c>
      <c r="EH57" s="572">
        <f t="shared" si="23"/>
        <v>-0.61996217845489754</v>
      </c>
      <c r="EI57" s="572">
        <f t="shared" si="24"/>
        <v>0</v>
      </c>
      <c r="EJ57" s="572">
        <f t="shared" si="25"/>
        <v>-0.61998174138760609</v>
      </c>
      <c r="EK57" s="572">
        <f t="shared" si="26"/>
        <v>0</v>
      </c>
      <c r="EL57" s="572">
        <f t="shared" si="27"/>
        <v>0</v>
      </c>
      <c r="EM57" s="572">
        <f t="shared" si="28"/>
        <v>0</v>
      </c>
      <c r="EN57" s="572">
        <f t="shared" si="29"/>
        <v>0</v>
      </c>
    </row>
    <row r="58" spans="1:144" ht="15.5" outlineLevel="1" x14ac:dyDescent="0.35">
      <c r="A58" s="10">
        <f>A57+1</f>
        <v>7</v>
      </c>
      <c r="B58" s="10" t="s">
        <v>295</v>
      </c>
      <c r="C58" s="246" t="str">
        <f>VLOOKUP(D58,'Quy đổi'!A:C,3,0)</f>
        <v>Vảy HD Ép Đồng</v>
      </c>
      <c r="D58" s="464" t="s">
        <v>653</v>
      </c>
      <c r="E58" s="20" t="s">
        <v>654</v>
      </c>
      <c r="F58" s="92">
        <f t="shared" si="295"/>
        <v>618.44311732374922</v>
      </c>
      <c r="G58" s="106" t="str">
        <f>IFERROR(SUMIFS('01. KE30'!$K:$K,'01. KE30'!$F:$F,'05. BC BH THEO SKU-USD'!$D58,'01. KE30'!$A:$A,'05. BC BH THEO SKU-USD'!G$4)/'05. BC BH THEO SKU-USD'!CM58/'02. Tỷ giá'!B$5,"-")</f>
        <v>-</v>
      </c>
      <c r="H58" s="106" t="str">
        <f>IFERROR(SUMIFS('01. KE30'!$K:$K,'01. KE30'!$F:$F,'05. BC BH THEO SKU-USD'!$D58,'01. KE30'!$A:$A,'05. BC BH THEO SKU-USD'!H$4)/'05. BC BH THEO SKU-USD'!CN58/'02. Tỷ giá'!C$5,"-")</f>
        <v>-</v>
      </c>
      <c r="I58" s="106">
        <f>IFERROR(SUMIFS('01. KE30'!$K:$K,'01. KE30'!$F:$F,'05. BC BH THEO SKU-USD'!$D58,'01. KE30'!$A:$A,'05. BC BH THEO SKU-USD'!I$4)/'05. BC BH THEO SKU-USD'!CO58/'02. Tỷ giá'!D$5,"-")</f>
        <v>656.16614173228345</v>
      </c>
      <c r="J58" s="106">
        <f>IFERROR(SUMIFS('01. KE30'!$K:$K,'01. KE30'!$F:$F,'05. BC BH THEO SKU-USD'!$D58,'01. KE30'!$A:$A,'05. BC BH THEO SKU-USD'!J$4)/'05. BC BH THEO SKU-USD'!CP58/'02. Tỷ giá'!E$5,"-")</f>
        <v>580.72009291521488</v>
      </c>
      <c r="K58" s="106" t="str">
        <f>IFERROR(SUMIFS('01. KE30'!$K:$K,'01. KE30'!$F:$F,'05. BC BH THEO SKU-USD'!$D58,'01. KE30'!$A:$A,'05. BC BH THEO SKU-USD'!K$4)/'05. BC BH THEO SKU-USD'!CQ58/'02. Tỷ giá'!F$5,"-")</f>
        <v>-</v>
      </c>
      <c r="L58" s="106" t="str">
        <f>IFERROR(SUMIFS('01. KE30'!$K:$K,'01. KE30'!$F:$F,'05. BC BH THEO SKU-USD'!$D58,'01. KE30'!$A:$A,'05. BC BH THEO SKU-USD'!L$4)/'05. BC BH THEO SKU-USD'!CR58/'02. Tỷ giá'!G$5,"-")</f>
        <v>-</v>
      </c>
      <c r="M58" s="106" t="str">
        <f>IFERROR(SUMIFS('01. KE30'!$K:$K,'01. KE30'!$F:$F,'05. BC BH THEO SKU-USD'!$D58,'01. KE30'!$A:$A,'05. BC BH THEO SKU-USD'!M$4)/'05. BC BH THEO SKU-USD'!CS58/'02. Tỷ giá'!H$5,"-")</f>
        <v>-</v>
      </c>
      <c r="N58" s="106" t="str">
        <f>IFERROR(SUMIFS('01. KE30'!$K:$K,'01. KE30'!$F:$F,'05. BC BH THEO SKU-USD'!$D58,'01. KE30'!$A:$A,'05. BC BH THEO SKU-USD'!N$4)/'05. BC BH THEO SKU-USD'!CT58/'02. Tỷ giá'!I$5,"-")</f>
        <v>-</v>
      </c>
      <c r="O58" s="106" t="str">
        <f>IFERROR(SUMIFS('01. KE30'!$K:$K,'01. KE30'!$F:$F,'05. BC BH THEO SKU-USD'!$D58,'01. KE30'!$A:$A,'05. BC BH THEO SKU-USD'!O$4)/'05. BC BH THEO SKU-USD'!CU58/'02. Tỷ giá'!J$5,"-")</f>
        <v>-</v>
      </c>
      <c r="P58" s="106" t="str">
        <f>IFERROR(SUMIFS('01. KE30'!$K:$K,'01. KE30'!$F:$F,'05. BC BH THEO SKU-USD'!$D58,'01. KE30'!$A:$A,'05. BC BH THEO SKU-USD'!P$4)/'05. BC BH THEO SKU-USD'!CV58/'02. Tỷ giá'!K$5,"-")</f>
        <v>-</v>
      </c>
      <c r="Q58" s="106" t="str">
        <f>IFERROR(SUMIFS('01. KE30'!$K:$K,'01. KE30'!$F:$F,'05. BC BH THEO SKU-USD'!$D58,'01. KE30'!$A:$A,'05. BC BH THEO SKU-USD'!Q$4)/'05. BC BH THEO SKU-USD'!CW58/'02. Tỷ giá'!L$5,"-")</f>
        <v>-</v>
      </c>
      <c r="R58" s="106" t="str">
        <f>IFERROR(SUMIFS('01. KE30'!$K:$K,'01. KE30'!$F:$F,'05. BC BH THEO SKU-USD'!$D58,'01. KE30'!$A:$A,'05. BC BH THEO SKU-USD'!R$4)/'05. BC BH THEO SKU-USD'!CX58/'02. Tỷ giá'!M$5,"-")</f>
        <v>-</v>
      </c>
      <c r="T58" s="92">
        <f t="shared" si="309"/>
        <v>604.77073963315547</v>
      </c>
      <c r="U58" s="147" t="str">
        <f>IFERROR(SUMIFS('01. KE30'!$O:$O,'01. KE30'!$F:$F,'05. BC BH THEO SKU-USD'!$D58,'01. KE30'!$A:$A,'05. BC BH THEO SKU-USD'!G$4)/'05. BC BH THEO SKU-USD'!CM58/'02. Tỷ giá'!B$5,"-")</f>
        <v>-</v>
      </c>
      <c r="V58" s="147" t="str">
        <f>IFERROR(SUMIFS('01. KE30'!$O:$O,'01. KE30'!$F:$F,'05. BC BH THEO SKU-USD'!$D58,'01. KE30'!$A:$A,'05. BC BH THEO SKU-USD'!H$4)/'05. BC BH THEO SKU-USD'!CN58/'02. Tỷ giá'!C$5,"-")</f>
        <v>-</v>
      </c>
      <c r="W58" s="147">
        <f>IFERROR(SUMIFS('01. KE30'!$O:$O,'01. KE30'!$F:$F,'05. BC BH THEO SKU-USD'!$D58,'01. KE30'!$A:$A,'05. BC BH THEO SKU-USD'!I$4)/'05. BC BH THEO SKU-USD'!CO58/'02. Tỷ giá'!D$5,"-")</f>
        <v>616.79606299212594</v>
      </c>
      <c r="X58" s="147">
        <f>IFERROR(SUMIFS('01. KE30'!$O:$O,'01. KE30'!$F:$F,'05. BC BH THEO SKU-USD'!$D58,'01. KE30'!$A:$A,'05. BC BH THEO SKU-USD'!J$4)/'05. BC BH THEO SKU-USD'!CP58/'02. Tỷ giá'!E$5,"-")</f>
        <v>580.72009291521488</v>
      </c>
      <c r="Y58" s="147" t="str">
        <f>IFERROR(SUMIFS('01. KE30'!$O:$O,'01. KE30'!$F:$F,'05. BC BH THEO SKU-USD'!$D58,'01. KE30'!$A:$A,'05. BC BH THEO SKU-USD'!K$4)/'05. BC BH THEO SKU-USD'!CQ58/'02. Tỷ giá'!F$5,"-")</f>
        <v>-</v>
      </c>
      <c r="Z58" s="147" t="str">
        <f>IFERROR(SUMIFS('01. KE30'!$O:$O,'01. KE30'!$F:$F,'05. BC BH THEO SKU-USD'!$D58,'01. KE30'!$A:$A,'05. BC BH THEO SKU-USD'!L$4)/'05. BC BH THEO SKU-USD'!CR58/'02. Tỷ giá'!G$5,"-")</f>
        <v>-</v>
      </c>
      <c r="AA58" s="147" t="str">
        <f>IFERROR(SUMIFS('01. KE30'!$O:$O,'01. KE30'!$F:$F,'05. BC BH THEO SKU-USD'!$D58,'01. KE30'!$A:$A,'05. BC BH THEO SKU-USD'!M$4)/'05. BC BH THEO SKU-USD'!CS58/'02. Tỷ giá'!H$5,"-")</f>
        <v>-</v>
      </c>
      <c r="AB58" s="147" t="str">
        <f>IFERROR(SUMIFS('01. KE30'!$O:$O,'01. KE30'!$F:$F,'05. BC BH THEO SKU-USD'!$D58,'01. KE30'!$A:$A,'05. BC BH THEO SKU-USD'!N$4)/'05. BC BH THEO SKU-USD'!CT58/'02. Tỷ giá'!I$5,"-")</f>
        <v>-</v>
      </c>
      <c r="AC58" s="147" t="str">
        <f>IFERROR(SUMIFS('01. KE30'!$O:$O,'01. KE30'!$F:$F,'05. BC BH THEO SKU-USD'!$D58,'01. KE30'!$A:$A,'05. BC BH THEO SKU-USD'!O$4)/'05. BC BH THEO SKU-USD'!CU58/'02. Tỷ giá'!J$5,"-")</f>
        <v>-</v>
      </c>
      <c r="AD58" s="147" t="str">
        <f>IFERROR(SUMIFS('01. KE30'!$O:$O,'01. KE30'!$F:$F,'05. BC BH THEO SKU-USD'!$D58,'01. KE30'!$A:$A,'05. BC BH THEO SKU-USD'!P$4)/'05. BC BH THEO SKU-USD'!CV58/'02. Tỷ giá'!K$5,"-")</f>
        <v>-</v>
      </c>
      <c r="AE58" s="147" t="str">
        <f>IFERROR(SUMIFS('01. KE30'!$O:$O,'01. KE30'!$F:$F,'05. BC BH THEO SKU-USD'!$D58,'01. KE30'!$A:$A,'05. BC BH THEO SKU-USD'!Q$4)/'05. BC BH THEO SKU-USD'!CW58/'02. Tỷ giá'!L$5,"-")</f>
        <v>-</v>
      </c>
      <c r="AF58" s="147" t="str">
        <f>IFERROR(SUMIFS('01. KE30'!$O:$O,'01. KE30'!$F:$F,'05. BC BH THEO SKU-USD'!$D58,'01. KE30'!$A:$A,'05. BC BH THEO SKU-USD'!R$4)/'05. BC BH THEO SKU-USD'!CX58/'02. Tỷ giá'!M$5,"-")</f>
        <v>-</v>
      </c>
      <c r="AH58" s="55">
        <f t="shared" si="296"/>
        <v>722.85714285714289</v>
      </c>
      <c r="AI58" s="4"/>
      <c r="AJ58" s="4"/>
      <c r="AK58" s="4">
        <v>750</v>
      </c>
      <c r="AL58" s="4">
        <v>750</v>
      </c>
      <c r="AM58" s="4">
        <v>720</v>
      </c>
      <c r="AN58" s="4">
        <v>720</v>
      </c>
      <c r="AO58" s="4">
        <v>720</v>
      </c>
      <c r="AP58" s="4">
        <v>700</v>
      </c>
      <c r="AQ58" s="4">
        <v>700</v>
      </c>
      <c r="AR58" s="4"/>
      <c r="AS58" s="4"/>
      <c r="AT58" s="4"/>
      <c r="AV58" s="95">
        <f t="shared" ref="AV58:BH71" si="427">IF(F58&lt;&gt;"-",T58-AH58,"-")</f>
        <v>-118.08640322398742</v>
      </c>
      <c r="AW58" s="95" t="str">
        <f t="shared" si="427"/>
        <v>-</v>
      </c>
      <c r="AX58" s="95" t="str">
        <f t="shared" ref="AX58:BH70" si="428">IF(H58&lt;&gt;"-",V58-AJ58,"-")</f>
        <v>-</v>
      </c>
      <c r="AY58" s="95">
        <f t="shared" si="428"/>
        <v>-133.20393700787406</v>
      </c>
      <c r="AZ58" s="95">
        <f t="shared" si="428"/>
        <v>-169.27990708478512</v>
      </c>
      <c r="BA58" s="95" t="str">
        <f t="shared" si="428"/>
        <v>-</v>
      </c>
      <c r="BB58" s="95" t="str">
        <f t="shared" si="428"/>
        <v>-</v>
      </c>
      <c r="BC58" s="95" t="str">
        <f t="shared" si="428"/>
        <v>-</v>
      </c>
      <c r="BD58" s="95" t="str">
        <f t="shared" si="428"/>
        <v>-</v>
      </c>
      <c r="BE58" s="95" t="str">
        <f t="shared" si="428"/>
        <v>-</v>
      </c>
      <c r="BF58" s="95" t="str">
        <f t="shared" si="428"/>
        <v>-</v>
      </c>
      <c r="BG58" s="95" t="str">
        <f t="shared" si="428"/>
        <v>-</v>
      </c>
      <c r="BH58" s="95" t="str">
        <f t="shared" si="428"/>
        <v>-</v>
      </c>
      <c r="BJ58" s="143">
        <f t="shared" si="376"/>
        <v>-0.16336063687112884</v>
      </c>
      <c r="BK58" s="143" t="str">
        <f t="shared" si="377"/>
        <v>-</v>
      </c>
      <c r="BL58" s="143" t="str">
        <f t="shared" si="377"/>
        <v>-</v>
      </c>
      <c r="BM58" s="143">
        <f t="shared" si="377"/>
        <v>-0.17760524934383207</v>
      </c>
      <c r="BN58" s="143">
        <f t="shared" si="377"/>
        <v>-0.2257065427797135</v>
      </c>
      <c r="BO58" s="143" t="str">
        <f t="shared" si="377"/>
        <v>-</v>
      </c>
      <c r="BP58" s="143" t="str">
        <f t="shared" si="377"/>
        <v>-</v>
      </c>
      <c r="BQ58" s="143" t="str">
        <f t="shared" si="377"/>
        <v>-</v>
      </c>
      <c r="BR58" s="143" t="str">
        <f t="shared" si="377"/>
        <v>-</v>
      </c>
      <c r="BS58" s="143" t="str">
        <f t="shared" si="377"/>
        <v>-</v>
      </c>
      <c r="BT58" s="143" t="str">
        <f t="shared" si="68"/>
        <v>-</v>
      </c>
      <c r="BU58" s="143" t="str">
        <f t="shared" si="68"/>
        <v>-</v>
      </c>
      <c r="BV58" s="143" t="str">
        <f t="shared" si="68"/>
        <v>-</v>
      </c>
      <c r="BX58" s="112">
        <f t="shared" si="378"/>
        <v>678.03073777363193</v>
      </c>
      <c r="BY58" s="95" t="str">
        <f>IFERROR(SUMIFS('01. KE30'!$R:$R,'01. KE30'!$F:$F,'05. BC BH THEO SKU-USD'!$D58,'01. KE30'!$A:$A,'05. BC BH THEO SKU-USD'!BY$4)/CM58/'02. Tỷ giá'!B$5," -")</f>
        <v xml:space="preserve"> -</v>
      </c>
      <c r="BZ58" s="95" t="str">
        <f>IFERROR(SUMIFS('01. KE30'!$R:$R,'01. KE30'!$F:$F,'05. BC BH THEO SKU-USD'!$D58,'01. KE30'!$A:$A,'05. BC BH THEO SKU-USD'!BZ$4)/CN58/'02. Tỷ giá'!C$5," -")</f>
        <v xml:space="preserve"> -</v>
      </c>
      <c r="CA58" s="95">
        <f>IFERROR(SUMIFS('01. KE30'!$R:$R,'01. KE30'!$F:$F,'05. BC BH THEO SKU-USD'!$D58,'01. KE30'!$A:$A,'05. BC BH THEO SKU-USD'!CA$4)/CO58/'02. Tỷ giá'!D$5," -")</f>
        <v>678.43700787401576</v>
      </c>
      <c r="CB58" s="95">
        <f>IFERROR(SUMIFS('01. KE30'!$R:$R,'01. KE30'!$F:$F,'05. BC BH THEO SKU-USD'!$D58,'01. KE30'!$A:$A,'05. BC BH THEO SKU-USD'!CB$4)/CP58/'02. Tỷ giá'!E$5," -")</f>
        <v>677.6244676732482</v>
      </c>
      <c r="CC58" s="95" t="str">
        <f>IFERROR(SUMIFS('01. KE30'!$R:$R,'01. KE30'!$F:$F,'05. BC BH THEO SKU-USD'!$D58,'01. KE30'!$A:$A,'05. BC BH THEO SKU-USD'!CC$4)/CQ58/'02. Tỷ giá'!F$5," -")</f>
        <v xml:space="preserve"> -</v>
      </c>
      <c r="CD58" s="95" t="str">
        <f>IFERROR(SUMIFS('01. KE30'!$R:$R,'01. KE30'!$F:$F,'05. BC BH THEO SKU-USD'!$D58,'01. KE30'!$A:$A,'05. BC BH THEO SKU-USD'!CD$4)/CR58/'02. Tỷ giá'!G$5," -")</f>
        <v xml:space="preserve"> -</v>
      </c>
      <c r="CE58" s="95" t="str">
        <f>IFERROR(SUMIFS('01. KE30'!$R:$R,'01. KE30'!$F:$F,'05. BC BH THEO SKU-USD'!$D58,'01. KE30'!$A:$A,'05. BC BH THEO SKU-USD'!CE$4)/CS58/'02. Tỷ giá'!H$5," -")</f>
        <v xml:space="preserve"> -</v>
      </c>
      <c r="CF58" s="95" t="str">
        <f>IFERROR(SUMIFS('01. KE30'!$R:$R,'01. KE30'!$F:$F,'05. BC BH THEO SKU-USD'!$D58,'01. KE30'!$A:$A,'05. BC BH THEO SKU-USD'!CF$4)/CT58/'02. Tỷ giá'!I$5," -")</f>
        <v xml:space="preserve"> -</v>
      </c>
      <c r="CG58" s="95" t="str">
        <f>IFERROR(SUMIFS('01. KE30'!$R:$R,'01. KE30'!$F:$F,'05. BC BH THEO SKU-USD'!$D58,'01. KE30'!$A:$A,'05. BC BH THEO SKU-USD'!CG$4)/CU58/'02. Tỷ giá'!J$5," -")</f>
        <v xml:space="preserve"> -</v>
      </c>
      <c r="CH58" s="95" t="str">
        <f>IFERROR(SUMIFS('01. KE30'!$R:$R,'01. KE30'!$F:$F,'05. BC BH THEO SKU-USD'!$D58,'01. KE30'!$A:$A,'05. BC BH THEO SKU-USD'!CH$4)/CV58/'02. Tỷ giá'!K$5," -")</f>
        <v xml:space="preserve"> -</v>
      </c>
      <c r="CI58" s="95" t="str">
        <f>IFERROR(SUMIFS('01. KE30'!$R:$R,'01. KE30'!$F:$F,'05. BC BH THEO SKU-USD'!$D58,'01. KE30'!$A:$A,'05. BC BH THEO SKU-USD'!CI$4)/CW58/'02. Tỷ giá'!L$5," -")</f>
        <v xml:space="preserve"> -</v>
      </c>
      <c r="CJ58" s="95" t="str">
        <f>IFERROR(SUMIFS('01. KE30'!$R:$R,'01. KE30'!$F:$F,'05. BC BH THEO SKU-USD'!$D58,'01. KE30'!$A:$A,'05. BC BH THEO SKU-USD'!CJ$4)/CX58/'02. Tỷ giá'!M$5," -")</f>
        <v xml:space="preserve"> -</v>
      </c>
      <c r="CL58" s="112">
        <f t="shared" si="281"/>
        <v>7.5000000000000011E-2</v>
      </c>
      <c r="CM58" s="114">
        <f>SUMIFS('01. KE30'!$I:$I,'01. KE30'!$F:$F,'05. BC BH THEO SKU-USD'!$D58,'01. KE30'!$A:$A,'05. BC BH THEO SKU-USD'!CM$4)/1000</f>
        <v>0</v>
      </c>
      <c r="CN58" s="114">
        <f>SUMIFS('01. KE30'!$I:$I,'01. KE30'!$F:$F,'05. BC BH THEO SKU-USD'!$D58,'01. KE30'!$A:$A,'05. BC BH THEO SKU-USD'!CN$4)/1000</f>
        <v>0</v>
      </c>
      <c r="CO58" s="114">
        <f>SUMIFS('01. KE30'!$I:$I,'01. KE30'!$F:$F,'05. BC BH THEO SKU-USD'!$D58,'01. KE30'!$A:$A,'05. BC BH THEO SKU-USD'!CO$4)/1000</f>
        <v>0.05</v>
      </c>
      <c r="CP58" s="114">
        <f>SUMIFS('01. KE30'!$I:$I,'01. KE30'!$F:$F,'05. BC BH THEO SKU-USD'!$D58,'01. KE30'!$A:$A,'05. BC BH THEO SKU-USD'!CP$4)/1000</f>
        <v>2.5000000000000001E-2</v>
      </c>
      <c r="CQ58" s="114">
        <f>SUMIFS('01. KE30'!$I:$I,'01. KE30'!$F:$F,'05. BC BH THEO SKU-USD'!$D58,'01. KE30'!$A:$A,'05. BC BH THEO SKU-USD'!CQ$4)/1000</f>
        <v>0</v>
      </c>
      <c r="CR58" s="114">
        <f>SUMIFS('01. KE30'!$I:$I,'01. KE30'!$F:$F,'05. BC BH THEO SKU-USD'!$D58,'01. KE30'!$A:$A,'05. BC BH THEO SKU-USD'!CR$4)/1000</f>
        <v>0</v>
      </c>
      <c r="CS58" s="114">
        <f>SUMIFS('01. KE30'!$I:$I,'01. KE30'!$F:$F,'05. BC BH THEO SKU-USD'!$D58,'01. KE30'!$A:$A,'05. BC BH THEO SKU-USD'!CS$4)/1000</f>
        <v>0</v>
      </c>
      <c r="CT58" s="114">
        <f>SUMIFS('01. KE30'!$I:$I,'01. KE30'!$F:$F,'05. BC BH THEO SKU-USD'!$D58,'01. KE30'!$A:$A,'05. BC BH THEO SKU-USD'!CT$4)/1000</f>
        <v>0</v>
      </c>
      <c r="CU58" s="114">
        <f>SUMIFS('01. KE30'!$I:$I,'01. KE30'!$F:$F,'05. BC BH THEO SKU-USD'!$D58,'01. KE30'!$A:$A,'05. BC BH THEO SKU-USD'!CU$4)/1000</f>
        <v>0</v>
      </c>
      <c r="CV58" s="114">
        <f>SUMIFS('01. KE30'!$I:$I,'01. KE30'!$F:$F,'05. BC BH THEO SKU-USD'!$D58,'01. KE30'!$A:$A,'05. BC BH THEO SKU-USD'!CV$4)/1000</f>
        <v>0</v>
      </c>
      <c r="CW58" s="114">
        <f>SUMIFS('01. KE30'!$I:$I,'01. KE30'!$F:$F,'05. BC BH THEO SKU-USD'!$D58,'01. KE30'!$A:$A,'05. BC BH THEO SKU-USD'!CW$4)/1000</f>
        <v>0</v>
      </c>
      <c r="CX58" s="114">
        <f>SUMIFS('01. KE30'!$I:$I,'01. KE30'!$F:$F,'05. BC BH THEO SKU-USD'!$D58,'01. KE30'!$A:$A,'05. BC BH THEO SKU-USD'!CX$4)/1000</f>
        <v>0</v>
      </c>
      <c r="CZ58" s="112">
        <f t="shared" ref="CZ58" si="429">SUM(DA58:DL58)</f>
        <v>47.326309409494542</v>
      </c>
      <c r="DA58" s="54" t="str">
        <f t="shared" ref="DA58" si="430">IFERROR(G58*CM58," -")</f>
        <v xml:space="preserve"> -</v>
      </c>
      <c r="DB58" s="54" t="str">
        <f t="shared" ref="DB58" si="431">IFERROR(H58*CN58," -")</f>
        <v xml:space="preserve"> -</v>
      </c>
      <c r="DC58" s="54">
        <f t="shared" ref="DC58" si="432">IFERROR(I58*CO58," -")</f>
        <v>32.808307086614171</v>
      </c>
      <c r="DD58" s="54">
        <f t="shared" ref="DD58" si="433">IFERROR(J58*CP58," -")</f>
        <v>14.518002322880372</v>
      </c>
      <c r="DE58" s="54" t="str">
        <f t="shared" ref="DE58" si="434">IFERROR(K58*CQ58," -")</f>
        <v xml:space="preserve"> -</v>
      </c>
      <c r="DF58" s="54" t="str">
        <f t="shared" ref="DF58" si="435">IFERROR(L58*CR58," -")</f>
        <v xml:space="preserve"> -</v>
      </c>
      <c r="DG58" s="54" t="str">
        <f t="shared" ref="DG58" si="436">IFERROR(M58*CS58," -")</f>
        <v xml:space="preserve"> -</v>
      </c>
      <c r="DH58" s="54" t="str">
        <f t="shared" ref="DH58" si="437">IFERROR(N58*CT58," -")</f>
        <v xml:space="preserve"> -</v>
      </c>
      <c r="DI58" s="54" t="str">
        <f t="shared" ref="DI58" si="438">IFERROR(O58*CU58," -")</f>
        <v xml:space="preserve"> -</v>
      </c>
      <c r="DJ58" s="54" t="str">
        <f t="shared" ref="DJ58" si="439">IFERROR(P58*CV58," -")</f>
        <v xml:space="preserve"> -</v>
      </c>
      <c r="DK58" s="54" t="str">
        <f t="shared" ref="DK58" si="440">IFERROR(Q58*CW58," -")</f>
        <v xml:space="preserve"> -</v>
      </c>
      <c r="DL58" s="54" t="str">
        <f t="shared" ref="DL58" si="441">IFERROR(R58*CX58," -")</f>
        <v xml:space="preserve"> -</v>
      </c>
      <c r="DN58" s="112">
        <f t="shared" ref="DN58" si="442">SUM(DO58:DZ58)</f>
        <v>-5.5046566130453183</v>
      </c>
      <c r="DO58" s="114">
        <f>IFERROR(SUMIFS('01. KE30'!$X:$X,'01. KE30'!$F:$F,'05. BC BH THEO SKU-USD'!$D58,'01. KE30'!$A:$A,'05. BC BH THEO SKU-USD'!DO$4)-SUMIFS('01. KE30'!$AA:$AA,'01. KE30'!$F:$F,'05. BC BH THEO SKU-USD'!$D58,'01. KE30'!$A:$A,'05. BC BH THEO SKU-USD'!DO$4),"-")</f>
        <v>0</v>
      </c>
      <c r="DP58" s="114">
        <f>IFERROR(SUMIFS('01. KE30'!$X:$X,'01. KE30'!$F:$F,'05. BC BH THEO SKU-USD'!$D58,'01. KE30'!$A:$A,'05. BC BH THEO SKU-USD'!DP$4)-SUMIFS('01. KE30'!$AA:$AA,'01. KE30'!$F:$F,'05. BC BH THEO SKU-USD'!$D58,'01. KE30'!$A:$A,'05. BC BH THEO SKU-USD'!DP$4),"-")</f>
        <v>0</v>
      </c>
      <c r="DQ58" s="114">
        <f>IFERROR(SUMIFS('01. KE30'!$X:$X,'01. KE30'!$F:$F,'05. BC BH THEO SKU-USD'!$D58,'01. KE30'!$A:$A,'05. BC BH THEO SKU-USD'!DQ$4)-SUMIFS('01. KE30'!$AA:$AA,'01. KE30'!$F:$F,'05. BC BH THEO SKU-USD'!$D58,'01. KE30'!$A:$A,'05. BC BH THEO SKU-USD'!DQ$4),"-")</f>
        <v>-3.0820472440944862</v>
      </c>
      <c r="DR58" s="114">
        <f>IFERROR(SUMIFS('01. KE30'!$X:$X,'01. KE30'!$F:$F,'05. BC BH THEO SKU-USD'!$D58,'01. KE30'!$A:$A,'05. BC BH THEO SKU-USD'!DR$4)-SUMIFS('01. KE30'!$AA:$AA,'01. KE30'!$F:$F,'05. BC BH THEO SKU-USD'!$D58,'01. KE30'!$A:$A,'05. BC BH THEO SKU-USD'!DR$4),"-")</f>
        <v>-2.4226093689508321</v>
      </c>
      <c r="DS58" s="114">
        <f>IFERROR(SUMIFS('01. KE30'!$X:$X,'01. KE30'!$F:$F,'05. BC BH THEO SKU-USD'!$D58,'01. KE30'!$A:$A,'05. BC BH THEO SKU-USD'!DS$4)-SUMIFS('01. KE30'!$AA:$AA,'01. KE30'!$F:$F,'05. BC BH THEO SKU-USD'!$D58,'01. KE30'!$A:$A,'05. BC BH THEO SKU-USD'!DS$4),"-")</f>
        <v>0</v>
      </c>
      <c r="DT58" s="114">
        <f>IFERROR(SUMIFS('01. KE30'!$X:$X,'01. KE30'!$F:$F,'05. BC BH THEO SKU-USD'!$D58,'01. KE30'!$A:$A,'05. BC BH THEO SKU-USD'!DT$4)-SUMIFS('01. KE30'!$AA:$AA,'01. KE30'!$F:$F,'05. BC BH THEO SKU-USD'!$D58,'01. KE30'!$A:$A,'05. BC BH THEO SKU-USD'!DT$4),"-")</f>
        <v>0</v>
      </c>
      <c r="DU58" s="114">
        <f>IFERROR(SUMIFS('01. KE30'!$X:$X,'01. KE30'!$F:$F,'05. BC BH THEO SKU-USD'!$D58,'01. KE30'!$A:$A,'05. BC BH THEO SKU-USD'!DU$4)-SUMIFS('01. KE30'!$AA:$AA,'01. KE30'!$F:$F,'05. BC BH THEO SKU-USD'!$D58,'01. KE30'!$A:$A,'05. BC BH THEO SKU-USD'!DU$4),"-")</f>
        <v>0</v>
      </c>
      <c r="DV58" s="114">
        <f>IFERROR(SUMIFS('01. KE30'!$X:$X,'01. KE30'!$F:$F,'05. BC BH THEO SKU-USD'!$D58,'01. KE30'!$A:$A,'05. BC BH THEO SKU-USD'!DV$4)-SUMIFS('01. KE30'!$AA:$AA,'01. KE30'!$F:$F,'05. BC BH THEO SKU-USD'!$D58,'01. KE30'!$A:$A,'05. BC BH THEO SKU-USD'!DV$4),"-")</f>
        <v>0</v>
      </c>
      <c r="DW58" s="114">
        <f>IFERROR(SUMIFS('01. KE30'!$X:$X,'01. KE30'!$F:$F,'05. BC BH THEO SKU-USD'!$D58,'01. KE30'!$A:$A,'05. BC BH THEO SKU-USD'!DW$4)-SUMIFS('01. KE30'!$AA:$AA,'01. KE30'!$F:$F,'05. BC BH THEO SKU-USD'!$D58,'01. KE30'!$A:$A,'05. BC BH THEO SKU-USD'!DW$4),"-")</f>
        <v>0</v>
      </c>
      <c r="DX58" s="114">
        <f>IFERROR(SUMIFS('01. KE30'!$X:$X,'01. KE30'!$F:$F,'05. BC BH THEO SKU-USD'!$D58,'01. KE30'!$A:$A,'05. BC BH THEO SKU-USD'!DX$4)-SUMIFS('01. KE30'!$AA:$AA,'01. KE30'!$F:$F,'05. BC BH THEO SKU-USD'!$D58,'01. KE30'!$A:$A,'05. BC BH THEO SKU-USD'!DX$4),"-")</f>
        <v>0</v>
      </c>
      <c r="DY58" s="114">
        <f>IFERROR(SUMIFS('01. KE30'!$X:$X,'01. KE30'!$F:$F,'05. BC BH THEO SKU-USD'!$D58,'01. KE30'!$A:$A,'05. BC BH THEO SKU-USD'!DY$4)-SUMIFS('01. KE30'!$AA:$AA,'01. KE30'!$F:$F,'05. BC BH THEO SKU-USD'!$D58,'01. KE30'!$A:$A,'05. BC BH THEO SKU-USD'!DY$4),"-")</f>
        <v>0</v>
      </c>
      <c r="DZ58" s="114">
        <f>IFERROR(SUMIFS('01. KE30'!$X:$X,'01. KE30'!$F:$F,'05. BC BH THEO SKU-USD'!$D58,'01. KE30'!$A:$A,'05. BC BH THEO SKU-USD'!DZ$4)-SUMIFS('01. KE30'!$AA:$AA,'01. KE30'!$F:$F,'05. BC BH THEO SKU-USD'!$D58,'01. KE30'!$A:$A,'05. BC BH THEO SKU-USD'!DZ$4),"-")</f>
        <v>0</v>
      </c>
      <c r="EB58" s="571">
        <f t="shared" ref="EB58" si="443">IFERROR(DN58/CZ58,0)</f>
        <v>-0.11631282222781947</v>
      </c>
      <c r="EC58" s="573">
        <f t="shared" ref="EC58" si="444">IFERROR(DO58/DA58,0)</f>
        <v>0</v>
      </c>
      <c r="ED58" s="573">
        <f t="shared" ref="ED58" si="445">IFERROR(DP58/DB58,0)</f>
        <v>0</v>
      </c>
      <c r="EE58" s="572">
        <f t="shared" ref="EE58" si="446">IFERROR(DQ58/DC58,0)</f>
        <v>-9.3941063034976444E-2</v>
      </c>
      <c r="EF58" s="572">
        <f t="shared" ref="EF58" si="447">IFERROR(DR58/DD58,0)</f>
        <v>-0.16686933333333331</v>
      </c>
      <c r="EG58" s="572">
        <f t="shared" ref="EG58" si="448">IFERROR(DS58/DE58,0)</f>
        <v>0</v>
      </c>
      <c r="EH58" s="572">
        <f t="shared" ref="EH58" si="449">IFERROR(DT58/DF58,0)</f>
        <v>0</v>
      </c>
      <c r="EI58" s="572">
        <f t="shared" ref="EI58" si="450">IFERROR(DU58/DG58,0)</f>
        <v>0</v>
      </c>
      <c r="EJ58" s="572">
        <f t="shared" ref="EJ58" si="451">IFERROR(DV58/DH58,0)</f>
        <v>0</v>
      </c>
      <c r="EK58" s="572">
        <f t="shared" ref="EK58" si="452">IFERROR(DW58/DI58,0)</f>
        <v>0</v>
      </c>
      <c r="EL58" s="572">
        <f t="shared" ref="EL58" si="453">IFERROR(DX58/DJ58,0)</f>
        <v>0</v>
      </c>
      <c r="EM58" s="572">
        <f t="shared" ref="EM58" si="454">IFERROR(DY58/DK58,0)</f>
        <v>0</v>
      </c>
      <c r="EN58" s="572">
        <f t="shared" ref="EN58" si="455">IFERROR(DZ58/DL58,0)</f>
        <v>0</v>
      </c>
    </row>
    <row r="59" spans="1:144" s="14" customFormat="1" ht="15" x14ac:dyDescent="0.3">
      <c r="A59" s="19" t="s">
        <v>31</v>
      </c>
      <c r="B59" s="19"/>
      <c r="C59" s="251"/>
      <c r="D59" s="465" t="s">
        <v>490</v>
      </c>
      <c r="E59" s="17"/>
      <c r="F59" s="145">
        <f t="shared" ref="F59:R59" si="456">IFERROR(AVERAGE(F60:F67),"-")</f>
        <v>925.53256913743007</v>
      </c>
      <c r="G59" s="145" t="str">
        <f t="shared" si="456"/>
        <v>-</v>
      </c>
      <c r="H59" s="145">
        <f t="shared" si="456"/>
        <v>921.04498745194792</v>
      </c>
      <c r="I59" s="145">
        <f t="shared" si="456"/>
        <v>1001.1697283672875</v>
      </c>
      <c r="J59" s="145">
        <f t="shared" si="456"/>
        <v>745.38994177616848</v>
      </c>
      <c r="K59" s="145" t="str">
        <f t="shared" si="456"/>
        <v>-</v>
      </c>
      <c r="L59" s="145">
        <f t="shared" si="456"/>
        <v>1077.0833333333333</v>
      </c>
      <c r="M59" s="145">
        <f t="shared" si="456"/>
        <v>922.95698669367505</v>
      </c>
      <c r="N59" s="145">
        <f t="shared" si="456"/>
        <v>1048.2132231404958</v>
      </c>
      <c r="O59" s="145">
        <f t="shared" si="456"/>
        <v>865.86904732667131</v>
      </c>
      <c r="P59" s="145" t="str">
        <f t="shared" si="456"/>
        <v>-</v>
      </c>
      <c r="Q59" s="145" t="str">
        <f t="shared" si="456"/>
        <v>-</v>
      </c>
      <c r="R59" s="145" t="str">
        <f t="shared" si="456"/>
        <v>-</v>
      </c>
      <c r="T59" s="698">
        <f t="shared" ref="T59:AF59" si="457">IFERROR(SUMPRODUCT(T60:T67,CL60:CL67)/CL59,0)</f>
        <v>915.36045801611704</v>
      </c>
      <c r="U59" s="698">
        <f t="shared" si="457"/>
        <v>0</v>
      </c>
      <c r="V59" s="698">
        <f t="shared" si="457"/>
        <v>1074.4171662801041</v>
      </c>
      <c r="W59" s="698">
        <f t="shared" si="457"/>
        <v>909.31464517381062</v>
      </c>
      <c r="X59" s="698">
        <f t="shared" si="457"/>
        <v>752.55687544189288</v>
      </c>
      <c r="Y59" s="698">
        <f t="shared" si="457"/>
        <v>0</v>
      </c>
      <c r="Z59" s="698">
        <f t="shared" si="457"/>
        <v>1052.8554912551442</v>
      </c>
      <c r="AA59" s="698">
        <f t="shared" si="457"/>
        <v>948.79458722293907</v>
      </c>
      <c r="AB59" s="698">
        <f t="shared" si="457"/>
        <v>744.56720034896694</v>
      </c>
      <c r="AC59" s="698">
        <f t="shared" si="457"/>
        <v>906.32058376457053</v>
      </c>
      <c r="AD59" s="698">
        <f t="shared" si="457"/>
        <v>0</v>
      </c>
      <c r="AE59" s="698">
        <f t="shared" si="457"/>
        <v>0</v>
      </c>
      <c r="AF59" s="698">
        <f t="shared" si="457"/>
        <v>0</v>
      </c>
      <c r="AH59" s="94">
        <f t="shared" ref="AH59:AT59" si="458">IFERROR(AVERAGE(AH60:AH67),0)</f>
        <v>812.32539682539675</v>
      </c>
      <c r="AI59" s="94">
        <f t="shared" si="458"/>
        <v>900</v>
      </c>
      <c r="AJ59" s="94">
        <f t="shared" si="458"/>
        <v>805.71428571428567</v>
      </c>
      <c r="AK59" s="94">
        <f t="shared" si="458"/>
        <v>825.71428571428567</v>
      </c>
      <c r="AL59" s="94">
        <f t="shared" si="458"/>
        <v>835</v>
      </c>
      <c r="AM59" s="94">
        <f t="shared" si="458"/>
        <v>815</v>
      </c>
      <c r="AN59" s="94">
        <f t="shared" si="458"/>
        <v>815</v>
      </c>
      <c r="AO59" s="94">
        <f t="shared" si="458"/>
        <v>790</v>
      </c>
      <c r="AP59" s="94">
        <f t="shared" si="458"/>
        <v>769.5</v>
      </c>
      <c r="AQ59" s="94">
        <f t="shared" si="458"/>
        <v>755</v>
      </c>
      <c r="AR59" s="94">
        <f t="shared" si="458"/>
        <v>0</v>
      </c>
      <c r="AS59" s="94">
        <f t="shared" si="458"/>
        <v>0</v>
      </c>
      <c r="AT59" s="94">
        <f t="shared" si="458"/>
        <v>0</v>
      </c>
      <c r="AV59" s="96">
        <f t="shared" si="427"/>
        <v>103.03506119072028</v>
      </c>
      <c r="AW59" s="96" t="str">
        <f t="shared" si="427"/>
        <v>-</v>
      </c>
      <c r="AX59" s="96">
        <f t="shared" si="428"/>
        <v>268.70288056581842</v>
      </c>
      <c r="AY59" s="96">
        <f t="shared" si="428"/>
        <v>83.600359459524952</v>
      </c>
      <c r="AZ59" s="96">
        <f t="shared" si="428"/>
        <v>-82.443124558107115</v>
      </c>
      <c r="BA59" s="96" t="str">
        <f t="shared" si="428"/>
        <v>-</v>
      </c>
      <c r="BB59" s="96">
        <f t="shared" si="428"/>
        <v>237.85549125514422</v>
      </c>
      <c r="BC59" s="96">
        <f t="shared" si="428"/>
        <v>158.79458722293907</v>
      </c>
      <c r="BD59" s="96">
        <f t="shared" si="428"/>
        <v>-24.932799651033065</v>
      </c>
      <c r="BE59" s="96">
        <f t="shared" si="428"/>
        <v>151.32058376457053</v>
      </c>
      <c r="BF59" s="96" t="str">
        <f t="shared" si="428"/>
        <v>-</v>
      </c>
      <c r="BG59" s="96" t="str">
        <f t="shared" si="428"/>
        <v>-</v>
      </c>
      <c r="BH59" s="96" t="str">
        <f t="shared" si="428"/>
        <v>-</v>
      </c>
      <c r="BJ59" s="142">
        <f t="shared" si="376"/>
        <v>0.12683964036257617</v>
      </c>
      <c r="BK59" s="142" t="str">
        <f t="shared" si="377"/>
        <v>-</v>
      </c>
      <c r="BL59" s="142">
        <f t="shared" si="377"/>
        <v>0.33349648297176049</v>
      </c>
      <c r="BM59" s="142">
        <f t="shared" si="377"/>
        <v>0.10124611007208904</v>
      </c>
      <c r="BN59" s="142">
        <f t="shared" si="377"/>
        <v>-9.8734280907912711E-2</v>
      </c>
      <c r="BO59" s="142" t="str">
        <f t="shared" si="377"/>
        <v>-</v>
      </c>
      <c r="BP59" s="142">
        <f t="shared" si="377"/>
        <v>0.29184722853391926</v>
      </c>
      <c r="BQ59" s="142">
        <f t="shared" si="377"/>
        <v>0.20100580661131529</v>
      </c>
      <c r="BR59" s="142">
        <f t="shared" si="377"/>
        <v>-3.2401299091660903E-2</v>
      </c>
      <c r="BS59" s="142">
        <f t="shared" si="377"/>
        <v>0.2004246142577093</v>
      </c>
      <c r="BT59" s="142" t="str">
        <f t="shared" si="68"/>
        <v>-</v>
      </c>
      <c r="BU59" s="142" t="str">
        <f t="shared" si="68"/>
        <v>-</v>
      </c>
      <c r="BV59" s="142" t="str">
        <f t="shared" si="68"/>
        <v>-</v>
      </c>
      <c r="BX59" s="115">
        <f>IFERROR(AVERAGE(BX60:BX67),0)</f>
        <v>1077.7192859407673</v>
      </c>
      <c r="BY59" s="115">
        <f t="shared" ref="BY59:CJ59" si="459">IFERROR(AVERAGE(BY60:BY67),0)</f>
        <v>0</v>
      </c>
      <c r="BZ59" s="115">
        <f t="shared" si="459"/>
        <v>1146.851581445158</v>
      </c>
      <c r="CA59" s="115">
        <f t="shared" si="459"/>
        <v>906.42795786637782</v>
      </c>
      <c r="CB59" s="115">
        <f t="shared" si="459"/>
        <v>912.27000599697874</v>
      </c>
      <c r="CC59" s="115">
        <f t="shared" si="459"/>
        <v>0</v>
      </c>
      <c r="CD59" s="115">
        <f t="shared" si="459"/>
        <v>1067.295167824074</v>
      </c>
      <c r="CE59" s="115">
        <f t="shared" si="459"/>
        <v>1148.5014177503037</v>
      </c>
      <c r="CF59" s="115">
        <f t="shared" si="459"/>
        <v>1229.3866611107253</v>
      </c>
      <c r="CG59" s="115">
        <f t="shared" si="459"/>
        <v>1077.5993796199646</v>
      </c>
      <c r="CH59" s="115">
        <f t="shared" si="459"/>
        <v>0</v>
      </c>
      <c r="CI59" s="115">
        <f t="shared" si="459"/>
        <v>0</v>
      </c>
      <c r="CJ59" s="115">
        <f t="shared" si="459"/>
        <v>0</v>
      </c>
      <c r="CL59" s="113">
        <f t="shared" ref="CL59:CX59" si="460">SUM(CL60:CL67)</f>
        <v>176.02499999999998</v>
      </c>
      <c r="CM59" s="113">
        <f t="shared" si="460"/>
        <v>0</v>
      </c>
      <c r="CN59" s="113">
        <f t="shared" si="460"/>
        <v>0.67500000000000004</v>
      </c>
      <c r="CO59" s="113">
        <f t="shared" si="460"/>
        <v>47.674999999999997</v>
      </c>
      <c r="CP59" s="113">
        <f t="shared" si="460"/>
        <v>6.4749999999999996</v>
      </c>
      <c r="CQ59" s="113">
        <f t="shared" si="460"/>
        <v>0</v>
      </c>
      <c r="CR59" s="113">
        <f t="shared" si="460"/>
        <v>24</v>
      </c>
      <c r="CS59" s="113">
        <f t="shared" si="460"/>
        <v>35.1</v>
      </c>
      <c r="CT59" s="113">
        <f t="shared" si="460"/>
        <v>16.55</v>
      </c>
      <c r="CU59" s="113">
        <f t="shared" si="460"/>
        <v>45.55</v>
      </c>
      <c r="CV59" s="113">
        <f t="shared" si="460"/>
        <v>0</v>
      </c>
      <c r="CW59" s="113">
        <f t="shared" si="460"/>
        <v>0</v>
      </c>
      <c r="CX59" s="113">
        <f t="shared" si="460"/>
        <v>0</v>
      </c>
      <c r="CZ59" s="113">
        <f t="shared" ref="CZ59:DL59" si="461">SUM(CZ60:CZ67)</f>
        <v>163777.82430973218</v>
      </c>
      <c r="DA59" s="113">
        <f t="shared" si="461"/>
        <v>0</v>
      </c>
      <c r="DB59" s="113">
        <f t="shared" si="461"/>
        <v>725.23158723907034</v>
      </c>
      <c r="DC59" s="113">
        <f t="shared" si="461"/>
        <v>44039.262952755911</v>
      </c>
      <c r="DD59" s="113">
        <f t="shared" si="461"/>
        <v>4872.8057684862561</v>
      </c>
      <c r="DE59" s="113">
        <f t="shared" si="461"/>
        <v>0</v>
      </c>
      <c r="DF59" s="113">
        <f t="shared" si="461"/>
        <v>25849.999999999996</v>
      </c>
      <c r="DG59" s="113">
        <f t="shared" si="461"/>
        <v>33972.258778332689</v>
      </c>
      <c r="DH59" s="113">
        <f t="shared" si="461"/>
        <v>12322.587165775403</v>
      </c>
      <c r="DI59" s="113">
        <f t="shared" si="461"/>
        <v>41995.678057142861</v>
      </c>
      <c r="DJ59" s="113">
        <f t="shared" si="461"/>
        <v>0</v>
      </c>
      <c r="DK59" s="113">
        <f t="shared" si="461"/>
        <v>0</v>
      </c>
      <c r="DL59" s="113">
        <f t="shared" si="461"/>
        <v>0</v>
      </c>
      <c r="DN59" s="113">
        <f t="shared" ref="DN59:DZ59" si="462">SUM(DN60:DN67)</f>
        <v>-26397.54132777355</v>
      </c>
      <c r="DO59" s="113">
        <f t="shared" si="462"/>
        <v>0</v>
      </c>
      <c r="DP59" s="113">
        <f t="shared" si="462"/>
        <v>123.19499803072088</v>
      </c>
      <c r="DQ59" s="113">
        <f t="shared" si="462"/>
        <v>-6358.5431889763777</v>
      </c>
      <c r="DR59" s="113">
        <f t="shared" si="462"/>
        <v>-1553.285017421603</v>
      </c>
      <c r="DS59" s="113">
        <f t="shared" si="462"/>
        <v>0</v>
      </c>
      <c r="DT59" s="113">
        <f t="shared" si="462"/>
        <v>-575.54131944444543</v>
      </c>
      <c r="DU59" s="113">
        <f t="shared" si="462"/>
        <v>-3421.5946600076859</v>
      </c>
      <c r="DV59" s="113">
        <f t="shared" si="462"/>
        <v>-5549.7667685255938</v>
      </c>
      <c r="DW59" s="113">
        <f t="shared" si="462"/>
        <v>-9062.0053714285696</v>
      </c>
      <c r="DX59" s="113">
        <f t="shared" si="462"/>
        <v>0</v>
      </c>
      <c r="DY59" s="113">
        <f t="shared" si="462"/>
        <v>0</v>
      </c>
      <c r="DZ59" s="113">
        <f t="shared" si="462"/>
        <v>0</v>
      </c>
      <c r="EB59" s="570">
        <f t="shared" si="252"/>
        <v>-0.16117897181153923</v>
      </c>
      <c r="EC59" s="578">
        <f t="shared" si="253"/>
        <v>0</v>
      </c>
      <c r="ED59" s="570">
        <f t="shared" si="19"/>
        <v>0.16986987356648331</v>
      </c>
      <c r="EE59" s="570">
        <f t="shared" si="20"/>
        <v>-0.14438350604999101</v>
      </c>
      <c r="EF59" s="570">
        <f t="shared" si="21"/>
        <v>-0.31876604388114843</v>
      </c>
      <c r="EG59" s="570">
        <f t="shared" si="22"/>
        <v>0</v>
      </c>
      <c r="EH59" s="570">
        <f t="shared" si="23"/>
        <v>-2.2264654523963076E-2</v>
      </c>
      <c r="EI59" s="570">
        <f t="shared" si="24"/>
        <v>-0.10071731415721934</v>
      </c>
      <c r="EJ59" s="570">
        <f t="shared" si="25"/>
        <v>-0.45037350467598602</v>
      </c>
      <c r="EK59" s="570">
        <f t="shared" si="26"/>
        <v>-0.21578423758506865</v>
      </c>
      <c r="EL59" s="570">
        <f t="shared" si="27"/>
        <v>0</v>
      </c>
      <c r="EM59" s="570">
        <f t="shared" si="28"/>
        <v>0</v>
      </c>
      <c r="EN59" s="570">
        <f t="shared" si="29"/>
        <v>0</v>
      </c>
    </row>
    <row r="60" spans="1:144" ht="15" customHeight="1" outlineLevel="1" x14ac:dyDescent="0.35">
      <c r="A60" s="10">
        <v>1</v>
      </c>
      <c r="B60" s="10" t="s">
        <v>490</v>
      </c>
      <c r="C60" s="246" t="str">
        <f>VLOOKUP(D60,'Quy đổi'!A:C,3,0)</f>
        <v>rPP20R02</v>
      </c>
      <c r="D60" s="464" t="s">
        <v>538</v>
      </c>
      <c r="E60" s="105" t="s">
        <v>539</v>
      </c>
      <c r="F60" s="92">
        <f t="shared" ref="F60:F67" si="463">IFERROR(AVERAGE(G60:R60),"-")</f>
        <v>759.68158957417279</v>
      </c>
      <c r="G60" s="106" t="str">
        <f>IFERROR(SUMIFS('01. KE30'!$K:$K,'01. KE30'!$F:$F,'05. BC BH THEO SKU-USD'!$D60,'01. KE30'!$A:$A,'05. BC BH THEO SKU-USD'!G$4)/'05. BC BH THEO SKU-USD'!CM60/'02. Tỷ giá'!B$5,"-")</f>
        <v>-</v>
      </c>
      <c r="H60" s="106">
        <f>IFERROR(SUMIFS('01. KE30'!$K:$K,'01. KE30'!$F:$F,'05. BC BH THEO SKU-USD'!$D60,'01. KE30'!$A:$A,'05. BC BH THEO SKU-USD'!H$4)/'05. BC BH THEO SKU-USD'!CN60/'02. Tỷ giá'!C$5,"-")</f>
        <v>827.09728239464357</v>
      </c>
      <c r="I60" s="106">
        <f>IFERROR(SUMIFS('01. KE30'!$K:$K,'01. KE30'!$F:$F,'05. BC BH THEO SKU-USD'!$D60,'01. KE30'!$A:$A,'05. BC BH THEO SKU-USD'!I$4)/'05. BC BH THEO SKU-USD'!CO60/'02. Tỷ giá'!D$5,"-")</f>
        <v>765.52930716993717</v>
      </c>
      <c r="J60" s="106">
        <f>IFERROR(SUMIFS('01. KE30'!$K:$K,'01. KE30'!$F:$F,'05. BC BH THEO SKU-USD'!$D60,'01. KE30'!$A:$A,'05. BC BH THEO SKU-USD'!J$4)/'05. BC BH THEO SKU-USD'!CP60/'02. Tỷ giá'!E$5,"-")</f>
        <v>752.78530360653747</v>
      </c>
      <c r="K60" s="106" t="str">
        <f>IFERROR(SUMIFS('01. KE30'!$K:$K,'01. KE30'!$F:$F,'05. BC BH THEO SKU-USD'!$D60,'01. KE30'!$A:$A,'05. BC BH THEO SKU-USD'!K$4)/'05. BC BH THEO SKU-USD'!CQ60/'02. Tỷ giá'!F$5,"-")</f>
        <v>-</v>
      </c>
      <c r="L60" s="106" t="str">
        <f>IFERROR(SUMIFS('01. KE30'!$K:$K,'01. KE30'!$F:$F,'05. BC BH THEO SKU-USD'!$D60,'01. KE30'!$A:$A,'05. BC BH THEO SKU-USD'!L$4)/'05. BC BH THEO SKU-USD'!CR60/'02. Tỷ giá'!G$5,"-")</f>
        <v>-</v>
      </c>
      <c r="M60" s="106">
        <f>IFERROR(SUMIFS('01. KE30'!$K:$K,'01. KE30'!$F:$F,'05. BC BH THEO SKU-USD'!$D60,'01. KE30'!$A:$A,'05. BC BH THEO SKU-USD'!M$4)/'05. BC BH THEO SKU-USD'!CS60/'02. Tỷ giá'!H$5,"-")</f>
        <v>729.21557643278732</v>
      </c>
      <c r="N60" s="106">
        <f>IFERROR(SUMIFS('01. KE30'!$K:$K,'01. KE30'!$F:$F,'05. BC BH THEO SKU-USD'!$D60,'01. KE30'!$A:$A,'05. BC BH THEO SKU-USD'!N$4)/'05. BC BH THEO SKU-USD'!CT60/'02. Tỷ giá'!I$5,"-")</f>
        <v>742.721327869991</v>
      </c>
      <c r="O60" s="106">
        <f>IFERROR(SUMIFS('01. KE30'!$K:$K,'01. KE30'!$F:$F,'05. BC BH THEO SKU-USD'!$D60,'01. KE30'!$A:$A,'05. BC BH THEO SKU-USD'!O$4)/'05. BC BH THEO SKU-USD'!CU60/'02. Tỷ giá'!J$5,"-")</f>
        <v>740.74073997113999</v>
      </c>
      <c r="P60" s="106" t="str">
        <f>IFERROR(SUMIFS('01. KE30'!$K:$K,'01. KE30'!$F:$F,'05. BC BH THEO SKU-USD'!$D60,'01. KE30'!$A:$A,'05. BC BH THEO SKU-USD'!P$4)/'05. BC BH THEO SKU-USD'!CV60/'02. Tỷ giá'!K$5,"-")</f>
        <v>-</v>
      </c>
      <c r="Q60" s="106" t="str">
        <f>IFERROR(SUMIFS('01. KE30'!$K:$K,'01. KE30'!$F:$F,'05. BC BH THEO SKU-USD'!$D60,'01. KE30'!$A:$A,'05. BC BH THEO SKU-USD'!Q$4)/'05. BC BH THEO SKU-USD'!CW60/'02. Tỷ giá'!L$5,"-")</f>
        <v>-</v>
      </c>
      <c r="R60" s="106" t="str">
        <f>IFERROR(SUMIFS('01. KE30'!$K:$K,'01. KE30'!$F:$F,'05. BC BH THEO SKU-USD'!$D60,'01. KE30'!$A:$A,'05. BC BH THEO SKU-USD'!R$4)/'05. BC BH THEO SKU-USD'!CX60/'02. Tỷ giá'!M$5,"-")</f>
        <v>-</v>
      </c>
      <c r="T60" s="92">
        <f t="shared" si="309"/>
        <v>748.42601363330516</v>
      </c>
      <c r="U60" s="147" t="str">
        <f>IFERROR(SUMIFS('01. KE30'!$O:$O,'01. KE30'!$F:$F,'05. BC BH THEO SKU-USD'!$D60,'01. KE30'!$A:$A,'05. BC BH THEO SKU-USD'!G$4)/'05. BC BH THEO SKU-USD'!CM60/'02. Tỷ giá'!B$5,"-")</f>
        <v>-</v>
      </c>
      <c r="V60" s="147">
        <f>IFERROR(SUMIFS('01. KE30'!$O:$O,'01. KE30'!$F:$F,'05. BC BH THEO SKU-USD'!$D60,'01. KE30'!$A:$A,'05. BC BH THEO SKU-USD'!H$4)/'05. BC BH THEO SKU-USD'!CN60/'02. Tỷ giá'!C$5,"-")</f>
        <v>827.09728239464357</v>
      </c>
      <c r="W60" s="147">
        <f>IFERROR(SUMIFS('01. KE30'!$O:$O,'01. KE30'!$F:$F,'05. BC BH THEO SKU-USD'!$D60,'01. KE30'!$A:$A,'05. BC BH THEO SKU-USD'!I$4)/'05. BC BH THEO SKU-USD'!CO60/'02. Tỷ giá'!D$5,"-")</f>
        <v>765.52930716993717</v>
      </c>
      <c r="X60" s="147">
        <f>IFERROR(SUMIFS('01. KE30'!$O:$O,'01. KE30'!$F:$F,'05. BC BH THEO SKU-USD'!$D60,'01. KE30'!$A:$A,'05. BC BH THEO SKU-USD'!J$4)/'05. BC BH THEO SKU-USD'!CP60/'02. Tỷ giá'!E$5,"-")</f>
        <v>752.78530360653747</v>
      </c>
      <c r="Y60" s="147" t="str">
        <f>IFERROR(SUMIFS('01. KE30'!$O:$O,'01. KE30'!$F:$F,'05. BC BH THEO SKU-USD'!$D60,'01. KE30'!$A:$A,'05. BC BH THEO SKU-USD'!K$4)/'05. BC BH THEO SKU-USD'!CQ60/'02. Tỷ giá'!F$5,"-")</f>
        <v>-</v>
      </c>
      <c r="Z60" s="147" t="str">
        <f>IFERROR(SUMIFS('01. KE30'!$O:$O,'01. KE30'!$F:$F,'05. BC BH THEO SKU-USD'!$D60,'01. KE30'!$A:$A,'05. BC BH THEO SKU-USD'!L$4)/'05. BC BH THEO SKU-USD'!CR60/'02. Tỷ giá'!G$5,"-")</f>
        <v>-</v>
      </c>
      <c r="AA60" s="147">
        <f>IFERROR(SUMIFS('01. KE30'!$O:$O,'01. KE30'!$F:$F,'05. BC BH THEO SKU-USD'!$D60,'01. KE30'!$A:$A,'05. BC BH THEO SKU-USD'!M$4)/'05. BC BH THEO SKU-USD'!CS60/'02. Tỷ giá'!H$5,"-")</f>
        <v>729.21557643278732</v>
      </c>
      <c r="AB60" s="147">
        <f>IFERROR(SUMIFS('01. KE30'!$O:$O,'01. KE30'!$F:$F,'05. BC BH THEO SKU-USD'!$D60,'01. KE30'!$A:$A,'05. BC BH THEO SKU-USD'!N$4)/'05. BC BH THEO SKU-USD'!CT60/'02. Tỷ giá'!I$5,"-")</f>
        <v>742.721327869991</v>
      </c>
      <c r="AC60" s="147">
        <f>IFERROR(SUMIFS('01. KE30'!$O:$O,'01. KE30'!$F:$F,'05. BC BH THEO SKU-USD'!$D60,'01. KE30'!$A:$A,'05. BC BH THEO SKU-USD'!O$4)/'05. BC BH THEO SKU-USD'!CU60/'02. Tỷ giá'!J$5,"-")</f>
        <v>740.74073997113999</v>
      </c>
      <c r="AD60" s="147" t="str">
        <f>IFERROR(SUMIFS('01. KE30'!$O:$O,'01. KE30'!$F:$F,'05. BC BH THEO SKU-USD'!$D60,'01. KE30'!$A:$A,'05. BC BH THEO SKU-USD'!P$4)/'05. BC BH THEO SKU-USD'!CV60/'02. Tỷ giá'!K$5,"-")</f>
        <v>-</v>
      </c>
      <c r="AE60" s="147" t="str">
        <f>IFERROR(SUMIFS('01. KE30'!$O:$O,'01. KE30'!$F:$F,'05. BC BH THEO SKU-USD'!$D60,'01. KE30'!$A:$A,'05. BC BH THEO SKU-USD'!Q$4)/'05. BC BH THEO SKU-USD'!CW60/'02. Tỷ giá'!L$5,"-")</f>
        <v>-</v>
      </c>
      <c r="AF60" s="147" t="str">
        <f>IFERROR(SUMIFS('01. KE30'!$O:$O,'01. KE30'!$F:$F,'05. BC BH THEO SKU-USD'!$D60,'01. KE30'!$A:$A,'05. BC BH THEO SKU-USD'!R$4)/'05. BC BH THEO SKU-USD'!CX60/'02. Tỷ giá'!M$5,"-")</f>
        <v>-</v>
      </c>
      <c r="AH60" s="92">
        <f>IFERROR(AVERAGE(AI60:AT60),"-")</f>
        <v>815.5</v>
      </c>
      <c r="AI60" s="4">
        <v>900</v>
      </c>
      <c r="AJ60" s="4">
        <v>820</v>
      </c>
      <c r="AK60" s="4">
        <v>840</v>
      </c>
      <c r="AL60" s="4">
        <v>835</v>
      </c>
      <c r="AM60" s="4">
        <v>815</v>
      </c>
      <c r="AN60" s="4">
        <v>815</v>
      </c>
      <c r="AO60" s="4">
        <v>790</v>
      </c>
      <c r="AP60" s="4">
        <v>769.5</v>
      </c>
      <c r="AQ60" s="4">
        <v>755</v>
      </c>
      <c r="AR60" s="4"/>
      <c r="AS60" s="4"/>
      <c r="AT60" s="4"/>
      <c r="AV60" s="95">
        <f t="shared" si="427"/>
        <v>-67.073986366694839</v>
      </c>
      <c r="AW60" s="95" t="str">
        <f t="shared" si="427"/>
        <v>-</v>
      </c>
      <c r="AX60" s="95">
        <f t="shared" si="428"/>
        <v>7.097282394643571</v>
      </c>
      <c r="AY60" s="95">
        <f t="shared" si="428"/>
        <v>-74.470692830062831</v>
      </c>
      <c r="AZ60" s="95">
        <f t="shared" si="428"/>
        <v>-82.214696393462532</v>
      </c>
      <c r="BA60" s="95" t="str">
        <f t="shared" si="428"/>
        <v>-</v>
      </c>
      <c r="BB60" s="95" t="str">
        <f t="shared" si="428"/>
        <v>-</v>
      </c>
      <c r="BC60" s="95">
        <f t="shared" si="428"/>
        <v>-60.784423567212684</v>
      </c>
      <c r="BD60" s="95">
        <f t="shared" si="428"/>
        <v>-26.778672130008999</v>
      </c>
      <c r="BE60" s="95">
        <f t="shared" si="428"/>
        <v>-14.259260028860012</v>
      </c>
      <c r="BF60" s="95" t="str">
        <f t="shared" si="428"/>
        <v>-</v>
      </c>
      <c r="BG60" s="95" t="str">
        <f t="shared" si="428"/>
        <v>-</v>
      </c>
      <c r="BH60" s="95" t="str">
        <f t="shared" si="428"/>
        <v>-</v>
      </c>
      <c r="BJ60" s="143">
        <f t="shared" si="376"/>
        <v>-8.2248910320901092E-2</v>
      </c>
      <c r="BK60" s="143" t="str">
        <f t="shared" si="377"/>
        <v>-</v>
      </c>
      <c r="BL60" s="143">
        <f t="shared" si="377"/>
        <v>8.655222432492159E-3</v>
      </c>
      <c r="BM60" s="143">
        <f t="shared" si="377"/>
        <v>-8.8655586702455755E-2</v>
      </c>
      <c r="BN60" s="143">
        <f t="shared" si="377"/>
        <v>-9.8460714243667702E-2</v>
      </c>
      <c r="BO60" s="143" t="str">
        <f t="shared" si="377"/>
        <v>-</v>
      </c>
      <c r="BP60" s="143" t="str">
        <f t="shared" si="377"/>
        <v>-</v>
      </c>
      <c r="BQ60" s="143">
        <f t="shared" si="377"/>
        <v>-7.6942308312927449E-2</v>
      </c>
      <c r="BR60" s="143">
        <f t="shared" si="377"/>
        <v>-3.4800093736204026E-2</v>
      </c>
      <c r="BS60" s="143">
        <f t="shared" si="377"/>
        <v>-1.8886437124317899E-2</v>
      </c>
      <c r="BT60" s="143" t="str">
        <f t="shared" si="68"/>
        <v>-</v>
      </c>
      <c r="BU60" s="143" t="str">
        <f t="shared" si="68"/>
        <v>-</v>
      </c>
      <c r="BV60" s="143" t="str">
        <f t="shared" si="68"/>
        <v>-</v>
      </c>
      <c r="BX60" s="112">
        <f t="shared" ref="BX60:BX67" si="464">IFERROR(AVERAGE(BY60:CJ60),"-")</f>
        <v>994.91819833208626</v>
      </c>
      <c r="BY60" s="95" t="str">
        <f>IFERROR(SUMIFS('01. KE30'!$R:$R,'01. KE30'!$F:$F,'05. BC BH THEO SKU-USD'!$D60,'01. KE30'!$A:$A,'05. BC BH THEO SKU-USD'!BY$4)/CM60/'02. Tỷ giá'!B$5," -")</f>
        <v xml:space="preserve"> -</v>
      </c>
      <c r="BZ60" s="95">
        <f>IFERROR(SUMIFS('01. KE30'!$R:$R,'01. KE30'!$F:$F,'05. BC BH THEO SKU-USD'!$D60,'01. KE30'!$A:$A,'05. BC BH THEO SKU-USD'!BZ$4)/CN60/'02. Tỷ giá'!C$5," -")</f>
        <v>864.83654982276482</v>
      </c>
      <c r="CA60" s="95">
        <f>IFERROR(SUMIFS('01. KE30'!$R:$R,'01. KE30'!$F:$F,'05. BC BH THEO SKU-USD'!$D60,'01. KE30'!$A:$A,'05. BC BH THEO SKU-USD'!CA$4)/CO60/'02. Tỷ giá'!D$5," -")</f>
        <v>956.03283422905463</v>
      </c>
      <c r="CB60" s="95">
        <f>IFERROR(SUMIFS('01. KE30'!$R:$R,'01. KE30'!$F:$F,'05. BC BH THEO SKU-USD'!$D60,'01. KE30'!$A:$A,'05. BC BH THEO SKU-USD'!CB$4)/CP60/'02. Tỷ giá'!E$5," -")</f>
        <v>995.00187804118934</v>
      </c>
      <c r="CC60" s="95" t="str">
        <f>IFERROR(SUMIFS('01. KE30'!$R:$R,'01. KE30'!$F:$F,'05. BC BH THEO SKU-USD'!$D60,'01. KE30'!$A:$A,'05. BC BH THEO SKU-USD'!CC$4)/CQ60/'02. Tỷ giá'!F$5," -")</f>
        <v xml:space="preserve"> -</v>
      </c>
      <c r="CD60" s="95" t="str">
        <f>IFERROR(SUMIFS('01. KE30'!$R:$R,'01. KE30'!$F:$F,'05. BC BH THEO SKU-USD'!$D60,'01. KE30'!$A:$A,'05. BC BH THEO SKU-USD'!CD$4)/CR60/'02. Tỷ giá'!G$5," -")</f>
        <v xml:space="preserve"> -</v>
      </c>
      <c r="CE60" s="95">
        <f>IFERROR(SUMIFS('01. KE30'!$R:$R,'01. KE30'!$F:$F,'05. BC BH THEO SKU-USD'!$D60,'01. KE30'!$A:$A,'05. BC BH THEO SKU-USD'!CE$4)/CS60/'02. Tỷ giá'!H$5," -")</f>
        <v>997.98415464673633</v>
      </c>
      <c r="CF60" s="95">
        <f>IFERROR(SUMIFS('01. KE30'!$R:$R,'01. KE30'!$F:$F,'05. BC BH THEO SKU-USD'!$D60,'01. KE30'!$A:$A,'05. BC BH THEO SKU-USD'!CF$4)/CT60/'02. Tỷ giá'!I$5," -")</f>
        <v>1078.9918096164085</v>
      </c>
      <c r="CG60" s="95">
        <f>IFERROR(SUMIFS('01. KE30'!$R:$R,'01. KE30'!$F:$F,'05. BC BH THEO SKU-USD'!$D60,'01. KE30'!$A:$A,'05. BC BH THEO SKU-USD'!CG$4)/CU60/'02. Tỷ giá'!J$5," -")</f>
        <v>1076.6619636363637</v>
      </c>
      <c r="CH60" s="95" t="str">
        <f>IFERROR(SUMIFS('01. KE30'!$R:$R,'01. KE30'!$F:$F,'05. BC BH THEO SKU-USD'!$D60,'01. KE30'!$A:$A,'05. BC BH THEO SKU-USD'!CH$4)/CV60/'02. Tỷ giá'!K$5," -")</f>
        <v xml:space="preserve"> -</v>
      </c>
      <c r="CI60" s="95" t="str">
        <f>IFERROR(SUMIFS('01. KE30'!$R:$R,'01. KE30'!$F:$F,'05. BC BH THEO SKU-USD'!$D60,'01. KE30'!$A:$A,'05. BC BH THEO SKU-USD'!CI$4)/CW60/'02. Tỷ giá'!L$5," -")</f>
        <v xml:space="preserve"> -</v>
      </c>
      <c r="CJ60" s="95" t="str">
        <f>IFERROR(SUMIFS('01. KE30'!$R:$R,'01. KE30'!$F:$F,'05. BC BH THEO SKU-USD'!$D60,'01. KE30'!$A:$A,'05. BC BH THEO SKU-USD'!CJ$4)/CX60/'02. Tỷ giá'!M$5," -")</f>
        <v xml:space="preserve"> -</v>
      </c>
      <c r="CL60" s="112">
        <f t="shared" ref="CL60:CL71" si="465">SUM(CM60:CX60)</f>
        <v>74.004999999999995</v>
      </c>
      <c r="CM60" s="114">
        <f>SUMIFS('01. KE30'!$I:$I,'01. KE30'!$F:$F,'05. BC BH THEO SKU-USD'!$D60,'01. KE30'!$A:$A,'05. BC BH THEO SKU-USD'!CM$4)/1000</f>
        <v>0</v>
      </c>
      <c r="CN60" s="114">
        <f>SUMIFS('01. KE30'!$I:$I,'01. KE30'!$F:$F,'05. BC BH THEO SKU-USD'!$D60,'01. KE30'!$A:$A,'05. BC BH THEO SKU-USD'!CN$4)/1000</f>
        <v>5.0000000000000001E-3</v>
      </c>
      <c r="CO60" s="114">
        <f>SUMIFS('01. KE30'!$I:$I,'01. KE30'!$F:$F,'05. BC BH THEO SKU-USD'!$D60,'01. KE30'!$A:$A,'05. BC BH THEO SKU-USD'!CO$4)/1000</f>
        <v>23.625</v>
      </c>
      <c r="CP60" s="114">
        <f>SUMIFS('01. KE30'!$I:$I,'01. KE30'!$F:$F,'05. BC BH THEO SKU-USD'!$D60,'01. KE30'!$A:$A,'05. BC BH THEO SKU-USD'!CP$4)/1000</f>
        <v>6.375</v>
      </c>
      <c r="CQ60" s="114">
        <f>SUMIFS('01. KE30'!$I:$I,'01. KE30'!$F:$F,'05. BC BH THEO SKU-USD'!$D60,'01. KE30'!$A:$A,'05. BC BH THEO SKU-USD'!CQ$4)/1000</f>
        <v>0</v>
      </c>
      <c r="CR60" s="114">
        <f>SUMIFS('01. KE30'!$I:$I,'01. KE30'!$F:$F,'05. BC BH THEO SKU-USD'!$D60,'01. KE30'!$A:$A,'05. BC BH THEO SKU-USD'!CR$4)/1000</f>
        <v>0</v>
      </c>
      <c r="CS60" s="114">
        <f>SUMIFS('01. KE30'!$I:$I,'01. KE30'!$F:$F,'05. BC BH THEO SKU-USD'!$D60,'01. KE30'!$A:$A,'05. BC BH THEO SKU-USD'!CS$4)/1000</f>
        <v>11</v>
      </c>
      <c r="CT60" s="114">
        <f>SUMIFS('01. KE30'!$I:$I,'01. KE30'!$F:$F,'05. BC BH THEO SKU-USD'!$D60,'01. KE30'!$A:$A,'05. BC BH THEO SKU-USD'!CT$4)/1000</f>
        <v>16.5</v>
      </c>
      <c r="CU60" s="114">
        <f>SUMIFS('01. KE30'!$I:$I,'01. KE30'!$F:$F,'05. BC BH THEO SKU-USD'!$D60,'01. KE30'!$A:$A,'05. BC BH THEO SKU-USD'!CU$4)/1000</f>
        <v>16.5</v>
      </c>
      <c r="CV60" s="114">
        <f>SUMIFS('01. KE30'!$I:$I,'01. KE30'!$F:$F,'05. BC BH THEO SKU-USD'!$D60,'01. KE30'!$A:$A,'05. BC BH THEO SKU-USD'!CV$4)/1000</f>
        <v>0</v>
      </c>
      <c r="CW60" s="114">
        <f>SUMIFS('01. KE30'!$I:$I,'01. KE30'!$F:$F,'05. BC BH THEO SKU-USD'!$D60,'01. KE30'!$A:$A,'05. BC BH THEO SKU-USD'!CW$4)/1000</f>
        <v>0</v>
      </c>
      <c r="CX60" s="114">
        <f>SUMIFS('01. KE30'!$I:$I,'01. KE30'!$F:$F,'05. BC BH THEO SKU-USD'!$D60,'01. KE30'!$A:$A,'05. BC BH THEO SKU-USD'!CX$4)/1000</f>
        <v>0</v>
      </c>
      <c r="CZ60" s="112">
        <f t="shared" ref="CZ60:CZ67" si="466">SUM(DA60:DL60)</f>
        <v>55387.267138932744</v>
      </c>
      <c r="DA60" s="54" t="str">
        <f t="shared" ref="DA60:DA67" si="467">IFERROR(G60*CM60," -")</f>
        <v xml:space="preserve"> -</v>
      </c>
      <c r="DB60" s="54">
        <f t="shared" ref="DB60:DB67" si="468">IFERROR(H60*CN60," -")</f>
        <v>4.1354864119732175</v>
      </c>
      <c r="DC60" s="54">
        <f t="shared" ref="DC60:DC67" si="469">IFERROR(I60*CO60," -")</f>
        <v>18085.629881889767</v>
      </c>
      <c r="DD60" s="54">
        <f t="shared" ref="DD60:DD67" si="470">IFERROR(J60*CP60," -")</f>
        <v>4799.0063104916762</v>
      </c>
      <c r="DE60" s="54" t="str">
        <f t="shared" ref="DE60:DE67" si="471">IFERROR(K60*CQ60," -")</f>
        <v xml:space="preserve"> -</v>
      </c>
      <c r="DF60" s="54" t="str">
        <f t="shared" ref="DF60:DF67" si="472">IFERROR(L60*CR60," -")</f>
        <v xml:space="preserve"> -</v>
      </c>
      <c r="DG60" s="54">
        <f t="shared" ref="DG60:DG67" si="473">IFERROR(M60*CS60," -")</f>
        <v>8021.3713407606601</v>
      </c>
      <c r="DH60" s="54">
        <f t="shared" ref="DH60:DH67" si="474">IFERROR(N60*CT60," -")</f>
        <v>12254.901909854852</v>
      </c>
      <c r="DI60" s="54">
        <f t="shared" ref="DI60:DI67" si="475">IFERROR(O60*CU60," -")</f>
        <v>12222.22220952381</v>
      </c>
      <c r="DJ60" s="54" t="str">
        <f t="shared" ref="DJ60:DJ67" si="476">IFERROR(P60*CV60," -")</f>
        <v xml:space="preserve"> -</v>
      </c>
      <c r="DK60" s="54" t="str">
        <f t="shared" ref="DK60:DK67" si="477">IFERROR(Q60*CW60," -")</f>
        <v xml:space="preserve"> -</v>
      </c>
      <c r="DL60" s="54" t="str">
        <f t="shared" ref="DL60:DL67" si="478">IFERROR(R60*CX60," -")</f>
        <v xml:space="preserve"> -</v>
      </c>
      <c r="DN60" s="112">
        <f t="shared" ref="DN60:DN67" si="479">SUM(DO60:DZ60)</f>
        <v>-20092.582684775221</v>
      </c>
      <c r="DO60" s="114">
        <f>IFERROR(SUMIFS('01. KE30'!$X:$X,'01. KE30'!$F:$F,'05. BC BH THEO SKU-USD'!$D60,'01. KE30'!$A:$A,'05. BC BH THEO SKU-USD'!DO$4)-SUMIFS('01. KE30'!$AA:$AA,'01. KE30'!$F:$F,'05. BC BH THEO SKU-USD'!$D60,'01. KE30'!$A:$A,'05. BC BH THEO SKU-USD'!DO$4),"-")</f>
        <v>0</v>
      </c>
      <c r="DP60" s="114">
        <f>IFERROR(SUMIFS('01. KE30'!$X:$X,'01. KE30'!$F:$F,'05. BC BH THEO SKU-USD'!$D60,'01. KE30'!$A:$A,'05. BC BH THEO SKU-USD'!DP$4)-SUMIFS('01. KE30'!$AA:$AA,'01. KE30'!$F:$F,'05. BC BH THEO SKU-USD'!$D60,'01. KE30'!$A:$A,'05. BC BH THEO SKU-USD'!DP$4),"-")</f>
        <v>-0.18869633714060718</v>
      </c>
      <c r="DQ60" s="114">
        <f>IFERROR(SUMIFS('01. KE30'!$X:$X,'01. KE30'!$F:$F,'05. BC BH THEO SKU-USD'!$D60,'01. KE30'!$A:$A,'05. BC BH THEO SKU-USD'!DQ$4)-SUMIFS('01. KE30'!$AA:$AA,'01. KE30'!$F:$F,'05. BC BH THEO SKU-USD'!$D60,'01. KE30'!$A:$A,'05. BC BH THEO SKU-USD'!DQ$4),"-")</f>
        <v>-4500.6458267716553</v>
      </c>
      <c r="DR60" s="114">
        <f>IFERROR(SUMIFS('01. KE30'!$X:$X,'01. KE30'!$F:$F,'05. BC BH THEO SKU-USD'!$D60,'01. KE30'!$A:$A,'05. BC BH THEO SKU-USD'!DR$4)-SUMIFS('01. KE30'!$AA:$AA,'01. KE30'!$F:$F,'05. BC BH THEO SKU-USD'!$D60,'01. KE30'!$A:$A,'05. BC BH THEO SKU-USD'!DR$4),"-")</f>
        <v>-1544.1306620209061</v>
      </c>
      <c r="DS60" s="114">
        <f>IFERROR(SUMIFS('01. KE30'!$X:$X,'01. KE30'!$F:$F,'05. BC BH THEO SKU-USD'!$D60,'01. KE30'!$A:$A,'05. BC BH THEO SKU-USD'!DS$4)-SUMIFS('01. KE30'!$AA:$AA,'01. KE30'!$F:$F,'05. BC BH THEO SKU-USD'!$D60,'01. KE30'!$A:$A,'05. BC BH THEO SKU-USD'!DS$4),"-")</f>
        <v>0</v>
      </c>
      <c r="DT60" s="114">
        <f>IFERROR(SUMIFS('01. KE30'!$X:$X,'01. KE30'!$F:$F,'05. BC BH THEO SKU-USD'!$D60,'01. KE30'!$A:$A,'05. BC BH THEO SKU-USD'!DT$4)-SUMIFS('01. KE30'!$AA:$AA,'01. KE30'!$F:$F,'05. BC BH THEO SKU-USD'!$D60,'01. KE30'!$A:$A,'05. BC BH THEO SKU-USD'!DT$4),"-")</f>
        <v>0</v>
      </c>
      <c r="DU60" s="114">
        <f>IFERROR(SUMIFS('01. KE30'!$X:$X,'01. KE30'!$F:$F,'05. BC BH THEO SKU-USD'!$D60,'01. KE30'!$A:$A,'05. BC BH THEO SKU-USD'!DU$4)-SUMIFS('01. KE30'!$AA:$AA,'01. KE30'!$F:$F,'05. BC BH THEO SKU-USD'!$D60,'01. KE30'!$A:$A,'05. BC BH THEO SKU-USD'!DU$4),"-")</f>
        <v>-2956.4543603534385</v>
      </c>
      <c r="DV60" s="114">
        <f>IFERROR(SUMIFS('01. KE30'!$X:$X,'01. KE30'!$F:$F,'05. BC BH THEO SKU-USD'!$D60,'01. KE30'!$A:$A,'05. BC BH THEO SKU-USD'!DV$4)-SUMIFS('01. KE30'!$AA:$AA,'01. KE30'!$F:$F,'05. BC BH THEO SKU-USD'!$D60,'01. KE30'!$A:$A,'05. BC BH THEO SKU-USD'!DV$4),"-")</f>
        <v>-5548.4629488158917</v>
      </c>
      <c r="DW60" s="114">
        <f>IFERROR(SUMIFS('01. KE30'!$X:$X,'01. KE30'!$F:$F,'05. BC BH THEO SKU-USD'!$D60,'01. KE30'!$A:$A,'05. BC BH THEO SKU-USD'!DW$4)-SUMIFS('01. KE30'!$AA:$AA,'01. KE30'!$F:$F,'05. BC BH THEO SKU-USD'!$D60,'01. KE30'!$A:$A,'05. BC BH THEO SKU-USD'!DW$4),"-")</f>
        <v>-5542.7001904761892</v>
      </c>
      <c r="DX60" s="114">
        <f>IFERROR(SUMIFS('01. KE30'!$X:$X,'01. KE30'!$F:$F,'05. BC BH THEO SKU-USD'!$D60,'01. KE30'!$A:$A,'05. BC BH THEO SKU-USD'!DX$4)-SUMIFS('01. KE30'!$AA:$AA,'01. KE30'!$F:$F,'05. BC BH THEO SKU-USD'!$D60,'01. KE30'!$A:$A,'05. BC BH THEO SKU-USD'!DX$4),"-")</f>
        <v>0</v>
      </c>
      <c r="DY60" s="114">
        <f>IFERROR(SUMIFS('01. KE30'!$X:$X,'01. KE30'!$F:$F,'05. BC BH THEO SKU-USD'!$D60,'01. KE30'!$A:$A,'05. BC BH THEO SKU-USD'!DY$4)-SUMIFS('01. KE30'!$AA:$AA,'01. KE30'!$F:$F,'05. BC BH THEO SKU-USD'!$D60,'01. KE30'!$A:$A,'05. BC BH THEO SKU-USD'!DY$4),"-")</f>
        <v>0</v>
      </c>
      <c r="DZ60" s="114">
        <f>IFERROR(SUMIFS('01. KE30'!$X:$X,'01. KE30'!$F:$F,'05. BC BH THEO SKU-USD'!$D60,'01. KE30'!$A:$A,'05. BC BH THEO SKU-USD'!DZ$4)-SUMIFS('01. KE30'!$AA:$AA,'01. KE30'!$F:$F,'05. BC BH THEO SKU-USD'!$D60,'01. KE30'!$A:$A,'05. BC BH THEO SKU-USD'!DZ$4),"-")</f>
        <v>0</v>
      </c>
      <c r="EB60" s="571">
        <f t="shared" si="252"/>
        <v>-0.36276537411342635</v>
      </c>
      <c r="EC60" s="573">
        <f t="shared" si="253"/>
        <v>0</v>
      </c>
      <c r="ED60" s="573">
        <f t="shared" si="19"/>
        <v>-4.5628571428571588E-2</v>
      </c>
      <c r="EE60" s="572">
        <f t="shared" si="20"/>
        <v>-0.24885203646008613</v>
      </c>
      <c r="EF60" s="572">
        <f t="shared" si="21"/>
        <v>-0.32176049834422998</v>
      </c>
      <c r="EG60" s="572">
        <f t="shared" si="22"/>
        <v>0</v>
      </c>
      <c r="EH60" s="572">
        <f t="shared" si="23"/>
        <v>0</v>
      </c>
      <c r="EI60" s="572">
        <f t="shared" si="24"/>
        <v>-0.36857218482458143</v>
      </c>
      <c r="EJ60" s="572">
        <f t="shared" si="25"/>
        <v>-0.45275457850495415</v>
      </c>
      <c r="EK60" s="572">
        <f t="shared" si="26"/>
        <v>-0.45349365241921402</v>
      </c>
      <c r="EL60" s="572">
        <f t="shared" si="27"/>
        <v>0</v>
      </c>
      <c r="EM60" s="572">
        <f t="shared" si="28"/>
        <v>0</v>
      </c>
      <c r="EN60" s="572">
        <f t="shared" si="29"/>
        <v>0</v>
      </c>
    </row>
    <row r="61" spans="1:144" ht="15" customHeight="1" outlineLevel="1" x14ac:dyDescent="0.35">
      <c r="A61" s="10">
        <f>A60+1</f>
        <v>2</v>
      </c>
      <c r="B61" s="10" t="s">
        <v>490</v>
      </c>
      <c r="C61" s="246" t="str">
        <f>VLOOKUP(D61,'Quy đổi'!A:C,3,0)</f>
        <v>rPP20L04</v>
      </c>
      <c r="D61" s="464" t="s">
        <v>660</v>
      </c>
      <c r="E61" s="105" t="s">
        <v>661</v>
      </c>
      <c r="F61" s="92">
        <f t="shared" si="463"/>
        <v>1080.8503937007874</v>
      </c>
      <c r="G61" s="106" t="str">
        <f>IFERROR(SUMIFS('01. KE30'!$K:$K,'01. KE30'!$F:$F,'05. BC BH THEO SKU-USD'!$D61,'01. KE30'!$A:$A,'05. BC BH THEO SKU-USD'!G$4)/'05. BC BH THEO SKU-USD'!CM61/'02. Tỷ giá'!B$5,"-")</f>
        <v>-</v>
      </c>
      <c r="H61" s="106" t="str">
        <f>IFERROR(SUMIFS('01. KE30'!$K:$K,'01. KE30'!$F:$F,'05. BC BH THEO SKU-USD'!$D61,'01. KE30'!$A:$A,'05. BC BH THEO SKU-USD'!H$4)/'05. BC BH THEO SKU-USD'!CN61/'02. Tỷ giá'!C$5,"-")</f>
        <v>-</v>
      </c>
      <c r="I61" s="106">
        <f>IFERROR(SUMIFS('01. KE30'!$K:$K,'01. KE30'!$F:$F,'05. BC BH THEO SKU-USD'!$D61,'01. KE30'!$A:$A,'05. BC BH THEO SKU-USD'!I$4)/'05. BC BH THEO SKU-USD'!CO61/'02. Tỷ giá'!D$5,"-")</f>
        <v>1080.8503937007874</v>
      </c>
      <c r="J61" s="106" t="str">
        <f>IFERROR(SUMIFS('01. KE30'!$K:$K,'01. KE30'!$F:$F,'05. BC BH THEO SKU-USD'!$D61,'01. KE30'!$A:$A,'05. BC BH THEO SKU-USD'!J$4)/'05. BC BH THEO SKU-USD'!CP61/'02. Tỷ giá'!E$5,"-")</f>
        <v>-</v>
      </c>
      <c r="K61" s="106" t="str">
        <f>IFERROR(SUMIFS('01. KE30'!$K:$K,'01. KE30'!$F:$F,'05. BC BH THEO SKU-USD'!$D61,'01. KE30'!$A:$A,'05. BC BH THEO SKU-USD'!K$4)/'05. BC BH THEO SKU-USD'!CQ61/'02. Tỷ giá'!F$5,"-")</f>
        <v>-</v>
      </c>
      <c r="L61" s="106" t="str">
        <f>IFERROR(SUMIFS('01. KE30'!$K:$K,'01. KE30'!$F:$F,'05. BC BH THEO SKU-USD'!$D61,'01. KE30'!$A:$A,'05. BC BH THEO SKU-USD'!L$4)/'05. BC BH THEO SKU-USD'!CR61/'02. Tỷ giá'!G$5,"-")</f>
        <v>-</v>
      </c>
      <c r="M61" s="106" t="str">
        <f>IFERROR(SUMIFS('01. KE30'!$K:$K,'01. KE30'!$F:$F,'05. BC BH THEO SKU-USD'!$D61,'01. KE30'!$A:$A,'05. BC BH THEO SKU-USD'!M$4)/'05. BC BH THEO SKU-USD'!CS61/'02. Tỷ giá'!H$5,"-")</f>
        <v>-</v>
      </c>
      <c r="N61" s="106" t="str">
        <f>IFERROR(SUMIFS('01. KE30'!$K:$K,'01. KE30'!$F:$F,'05. BC BH THEO SKU-USD'!$D61,'01. KE30'!$A:$A,'05. BC BH THEO SKU-USD'!N$4)/'05. BC BH THEO SKU-USD'!CT61/'02. Tỷ giá'!I$5,"-")</f>
        <v>-</v>
      </c>
      <c r="O61" s="106" t="str">
        <f>IFERROR(SUMIFS('01. KE30'!$K:$K,'01. KE30'!$F:$F,'05. BC BH THEO SKU-USD'!$D61,'01. KE30'!$A:$A,'05. BC BH THEO SKU-USD'!O$4)/'05. BC BH THEO SKU-USD'!CU61/'02. Tỷ giá'!J$5,"-")</f>
        <v>-</v>
      </c>
      <c r="P61" s="106" t="str">
        <f>IFERROR(SUMIFS('01. KE30'!$K:$K,'01. KE30'!$F:$F,'05. BC BH THEO SKU-USD'!$D61,'01. KE30'!$A:$A,'05. BC BH THEO SKU-USD'!P$4)/'05. BC BH THEO SKU-USD'!CV61/'02. Tỷ giá'!K$5,"-")</f>
        <v>-</v>
      </c>
      <c r="Q61" s="106" t="str">
        <f>IFERROR(SUMIFS('01. KE30'!$K:$K,'01. KE30'!$F:$F,'05. BC BH THEO SKU-USD'!$D61,'01. KE30'!$A:$A,'05. BC BH THEO SKU-USD'!Q$4)/'05. BC BH THEO SKU-USD'!CW61/'02. Tỷ giá'!L$5,"-")</f>
        <v>-</v>
      </c>
      <c r="R61" s="106" t="str">
        <f>IFERROR(SUMIFS('01. KE30'!$K:$K,'01. KE30'!$F:$F,'05. BC BH THEO SKU-USD'!$D61,'01. KE30'!$A:$A,'05. BC BH THEO SKU-USD'!R$4)/'05. BC BH THEO SKU-USD'!CX61/'02. Tỷ giá'!M$5,"-")</f>
        <v>-</v>
      </c>
      <c r="T61" s="92">
        <f t="shared" si="309"/>
        <v>1052.2563294972742</v>
      </c>
      <c r="U61" s="147" t="str">
        <f>IFERROR(SUMIFS('01. KE30'!$O:$O,'01. KE30'!$F:$F,'05. BC BH THEO SKU-USD'!$D61,'01. KE30'!$A:$A,'05. BC BH THEO SKU-USD'!G$4)/'05. BC BH THEO SKU-USD'!CM61/'02. Tỷ giá'!B$5,"-")</f>
        <v>-</v>
      </c>
      <c r="V61" s="147" t="str">
        <f>IFERROR(SUMIFS('01. KE30'!$O:$O,'01. KE30'!$F:$F,'05. BC BH THEO SKU-USD'!$D61,'01. KE30'!$A:$A,'05. BC BH THEO SKU-USD'!H$4)/'05. BC BH THEO SKU-USD'!CN61/'02. Tỷ giá'!C$5,"-")</f>
        <v>-</v>
      </c>
      <c r="W61" s="147">
        <f>IFERROR(SUMIFS('01. KE30'!$O:$O,'01. KE30'!$F:$F,'05. BC BH THEO SKU-USD'!$D61,'01. KE30'!$A:$A,'05. BC BH THEO SKU-USD'!I$4)/'05. BC BH THEO SKU-USD'!CO61/'02. Tỷ giá'!D$5,"-")</f>
        <v>1052.2563294972742</v>
      </c>
      <c r="X61" s="147" t="str">
        <f>IFERROR(SUMIFS('01. KE30'!$O:$O,'01. KE30'!$F:$F,'05. BC BH THEO SKU-USD'!$D61,'01. KE30'!$A:$A,'05. BC BH THEO SKU-USD'!J$4)/'05. BC BH THEO SKU-USD'!CP61/'02. Tỷ giá'!E$5,"-")</f>
        <v>-</v>
      </c>
      <c r="Y61" s="147" t="str">
        <f>IFERROR(SUMIFS('01. KE30'!$O:$O,'01. KE30'!$F:$F,'05. BC BH THEO SKU-USD'!$D61,'01. KE30'!$A:$A,'05. BC BH THEO SKU-USD'!K$4)/'05. BC BH THEO SKU-USD'!CQ61/'02. Tỷ giá'!F$5,"-")</f>
        <v>-</v>
      </c>
      <c r="Z61" s="147" t="str">
        <f>IFERROR(SUMIFS('01. KE30'!$O:$O,'01. KE30'!$F:$F,'05. BC BH THEO SKU-USD'!$D61,'01. KE30'!$A:$A,'05. BC BH THEO SKU-USD'!L$4)/'05. BC BH THEO SKU-USD'!CR61/'02. Tỷ giá'!G$5,"-")</f>
        <v>-</v>
      </c>
      <c r="AA61" s="147" t="str">
        <f>IFERROR(SUMIFS('01. KE30'!$O:$O,'01. KE30'!$F:$F,'05. BC BH THEO SKU-USD'!$D61,'01. KE30'!$A:$A,'05. BC BH THEO SKU-USD'!M$4)/'05. BC BH THEO SKU-USD'!CS61/'02. Tỷ giá'!H$5,"-")</f>
        <v>-</v>
      </c>
      <c r="AB61" s="147" t="str">
        <f>IFERROR(SUMIFS('01. KE30'!$O:$O,'01. KE30'!$F:$F,'05. BC BH THEO SKU-USD'!$D61,'01. KE30'!$A:$A,'05. BC BH THEO SKU-USD'!N$4)/'05. BC BH THEO SKU-USD'!CT61/'02. Tỷ giá'!I$5,"-")</f>
        <v>-</v>
      </c>
      <c r="AC61" s="147" t="str">
        <f>IFERROR(SUMIFS('01. KE30'!$O:$O,'01. KE30'!$F:$F,'05. BC BH THEO SKU-USD'!$D61,'01. KE30'!$A:$A,'05. BC BH THEO SKU-USD'!O$4)/'05. BC BH THEO SKU-USD'!CU61/'02. Tỷ giá'!J$5,"-")</f>
        <v>-</v>
      </c>
      <c r="AD61" s="147" t="str">
        <f>IFERROR(SUMIFS('01. KE30'!$O:$O,'01. KE30'!$F:$F,'05. BC BH THEO SKU-USD'!$D61,'01. KE30'!$A:$A,'05. BC BH THEO SKU-USD'!P$4)/'05. BC BH THEO SKU-USD'!CV61/'02. Tỷ giá'!K$5,"-")</f>
        <v>-</v>
      </c>
      <c r="AE61" s="147" t="str">
        <f>IFERROR(SUMIFS('01. KE30'!$O:$O,'01. KE30'!$F:$F,'05. BC BH THEO SKU-USD'!$D61,'01. KE30'!$A:$A,'05. BC BH THEO SKU-USD'!Q$4)/'05. BC BH THEO SKU-USD'!CW61/'02. Tỷ giá'!L$5,"-")</f>
        <v>-</v>
      </c>
      <c r="AF61" s="147" t="str">
        <f>IFERROR(SUMIFS('01. KE30'!$O:$O,'01. KE30'!$F:$F,'05. BC BH THEO SKU-USD'!$D61,'01. KE30'!$A:$A,'05. BC BH THEO SKU-USD'!R$4)/'05. BC BH THEO SKU-USD'!CX61/'02. Tỷ giá'!M$5,"-")</f>
        <v>-</v>
      </c>
      <c r="AH61" s="92">
        <f t="shared" ref="AH61:AH71" si="480">IFERROR(AVERAGE(AI61:AT61),"-")</f>
        <v>815.5</v>
      </c>
      <c r="AI61" s="4">
        <v>900</v>
      </c>
      <c r="AJ61" s="4">
        <v>820</v>
      </c>
      <c r="AK61" s="4">
        <v>840</v>
      </c>
      <c r="AL61" s="4">
        <v>835</v>
      </c>
      <c r="AM61" s="4">
        <v>815</v>
      </c>
      <c r="AN61" s="4">
        <v>815</v>
      </c>
      <c r="AO61" s="4">
        <v>790</v>
      </c>
      <c r="AP61" s="4">
        <v>769.5</v>
      </c>
      <c r="AQ61" s="4">
        <v>755</v>
      </c>
      <c r="AR61" s="4"/>
      <c r="AS61" s="4"/>
      <c r="AT61" s="4"/>
      <c r="AV61" s="95">
        <f t="shared" si="427"/>
        <v>236.75632949727424</v>
      </c>
      <c r="AW61" s="95" t="str">
        <f t="shared" si="427"/>
        <v>-</v>
      </c>
      <c r="AX61" s="95" t="str">
        <f t="shared" si="428"/>
        <v>-</v>
      </c>
      <c r="AY61" s="95">
        <f t="shared" si="428"/>
        <v>212.25632949727424</v>
      </c>
      <c r="AZ61" s="95" t="str">
        <f t="shared" si="428"/>
        <v>-</v>
      </c>
      <c r="BA61" s="95" t="str">
        <f t="shared" si="428"/>
        <v>-</v>
      </c>
      <c r="BB61" s="95" t="str">
        <f t="shared" si="428"/>
        <v>-</v>
      </c>
      <c r="BC61" s="95" t="str">
        <f t="shared" si="428"/>
        <v>-</v>
      </c>
      <c r="BD61" s="95" t="str">
        <f t="shared" si="428"/>
        <v>-</v>
      </c>
      <c r="BE61" s="95" t="str">
        <f t="shared" si="428"/>
        <v>-</v>
      </c>
      <c r="BF61" s="95" t="str">
        <f t="shared" si="428"/>
        <v>-</v>
      </c>
      <c r="BG61" s="95" t="str">
        <f t="shared" si="428"/>
        <v>-</v>
      </c>
      <c r="BH61" s="95" t="str">
        <f t="shared" si="428"/>
        <v>-</v>
      </c>
      <c r="BJ61" s="143">
        <f t="shared" si="376"/>
        <v>0.29032045309291754</v>
      </c>
      <c r="BK61" s="143" t="str">
        <f t="shared" si="377"/>
        <v>-</v>
      </c>
      <c r="BL61" s="143" t="str">
        <f t="shared" si="377"/>
        <v>-</v>
      </c>
      <c r="BM61" s="143">
        <f t="shared" si="377"/>
        <v>0.25268610654437407</v>
      </c>
      <c r="BN61" s="143" t="str">
        <f t="shared" si="377"/>
        <v>-</v>
      </c>
      <c r="BO61" s="143" t="str">
        <f t="shared" si="377"/>
        <v>-</v>
      </c>
      <c r="BP61" s="143" t="str">
        <f t="shared" si="377"/>
        <v>-</v>
      </c>
      <c r="BQ61" s="143" t="str">
        <f t="shared" si="377"/>
        <v>-</v>
      </c>
      <c r="BR61" s="143" t="str">
        <f t="shared" si="377"/>
        <v>-</v>
      </c>
      <c r="BS61" s="143" t="str">
        <f t="shared" si="377"/>
        <v>-</v>
      </c>
      <c r="BT61" s="143" t="str">
        <f t="shared" si="68"/>
        <v>-</v>
      </c>
      <c r="BU61" s="143" t="str">
        <f t="shared" si="68"/>
        <v>-</v>
      </c>
      <c r="BV61" s="143" t="str">
        <f t="shared" si="68"/>
        <v>-</v>
      </c>
      <c r="BX61" s="112">
        <f t="shared" si="464"/>
        <v>674.59685039370083</v>
      </c>
      <c r="BY61" s="95" t="str">
        <f>IFERROR(SUMIFS('01. KE30'!$R:$R,'01. KE30'!$F:$F,'05. BC BH THEO SKU-USD'!$D61,'01. KE30'!$A:$A,'05. BC BH THEO SKU-USD'!BY$4)/CM61/'02. Tỷ giá'!B$5," -")</f>
        <v xml:space="preserve"> -</v>
      </c>
      <c r="BZ61" s="95" t="str">
        <f>IFERROR(SUMIFS('01. KE30'!$R:$R,'01. KE30'!$F:$F,'05. BC BH THEO SKU-USD'!$D61,'01. KE30'!$A:$A,'05. BC BH THEO SKU-USD'!BZ$4)/CN61/'02. Tỷ giá'!C$5," -")</f>
        <v xml:space="preserve"> -</v>
      </c>
      <c r="CA61" s="95">
        <f>IFERROR(SUMIFS('01. KE30'!$R:$R,'01. KE30'!$F:$F,'05. BC BH THEO SKU-USD'!$D61,'01. KE30'!$A:$A,'05. BC BH THEO SKU-USD'!CA$4)/CO61/'02. Tỷ giá'!D$5," -")</f>
        <v>674.59685039370083</v>
      </c>
      <c r="CB61" s="95" t="str">
        <f>IFERROR(SUMIFS('01. KE30'!$R:$R,'01. KE30'!$F:$F,'05. BC BH THEO SKU-USD'!$D61,'01. KE30'!$A:$A,'05. BC BH THEO SKU-USD'!CB$4)/CP61/'02. Tỷ giá'!E$5," -")</f>
        <v xml:space="preserve"> -</v>
      </c>
      <c r="CC61" s="95" t="str">
        <f>IFERROR(SUMIFS('01. KE30'!$R:$R,'01. KE30'!$F:$F,'05. BC BH THEO SKU-USD'!$D61,'01. KE30'!$A:$A,'05. BC BH THEO SKU-USD'!CC$4)/CQ61/'02. Tỷ giá'!F$5," -")</f>
        <v xml:space="preserve"> -</v>
      </c>
      <c r="CD61" s="95" t="str">
        <f>IFERROR(SUMIFS('01. KE30'!$R:$R,'01. KE30'!$F:$F,'05. BC BH THEO SKU-USD'!$D61,'01. KE30'!$A:$A,'05. BC BH THEO SKU-USD'!CD$4)/CR61/'02. Tỷ giá'!G$5," -")</f>
        <v xml:space="preserve"> -</v>
      </c>
      <c r="CE61" s="95" t="str">
        <f>IFERROR(SUMIFS('01. KE30'!$R:$R,'01. KE30'!$F:$F,'05. BC BH THEO SKU-USD'!$D61,'01. KE30'!$A:$A,'05. BC BH THEO SKU-USD'!CE$4)/CS61/'02. Tỷ giá'!H$5," -")</f>
        <v xml:space="preserve"> -</v>
      </c>
      <c r="CF61" s="95" t="str">
        <f>IFERROR(SUMIFS('01. KE30'!$R:$R,'01. KE30'!$F:$F,'05. BC BH THEO SKU-USD'!$D61,'01. KE30'!$A:$A,'05. BC BH THEO SKU-USD'!CF$4)/CT61/'02. Tỷ giá'!I$5," -")</f>
        <v xml:space="preserve"> -</v>
      </c>
      <c r="CG61" s="95" t="str">
        <f>IFERROR(SUMIFS('01. KE30'!$R:$R,'01. KE30'!$F:$F,'05. BC BH THEO SKU-USD'!$D61,'01. KE30'!$A:$A,'05. BC BH THEO SKU-USD'!CG$4)/CU61/'02. Tỷ giá'!J$5," -")</f>
        <v xml:space="preserve"> -</v>
      </c>
      <c r="CH61" s="95" t="str">
        <f>IFERROR(SUMIFS('01. KE30'!$R:$R,'01. KE30'!$F:$F,'05. BC BH THEO SKU-USD'!$D61,'01. KE30'!$A:$A,'05. BC BH THEO SKU-USD'!CH$4)/CV61/'02. Tỷ giá'!K$5," -")</f>
        <v xml:space="preserve"> -</v>
      </c>
      <c r="CI61" s="95" t="str">
        <f>IFERROR(SUMIFS('01. KE30'!$R:$R,'01. KE30'!$F:$F,'05. BC BH THEO SKU-USD'!$D61,'01. KE30'!$A:$A,'05. BC BH THEO SKU-USD'!CI$4)/CW61/'02. Tỷ giá'!L$5," -")</f>
        <v xml:space="preserve"> -</v>
      </c>
      <c r="CJ61" s="95" t="str">
        <f>IFERROR(SUMIFS('01. KE30'!$R:$R,'01. KE30'!$F:$F,'05. BC BH THEO SKU-USD'!$D61,'01. KE30'!$A:$A,'05. BC BH THEO SKU-USD'!CJ$4)/CX61/'02. Tỷ giá'!M$5," -")</f>
        <v xml:space="preserve"> -</v>
      </c>
      <c r="CL61" s="112">
        <f t="shared" si="465"/>
        <v>0.05</v>
      </c>
      <c r="CM61" s="114">
        <f>SUMIFS('01. KE30'!$I:$I,'01. KE30'!$F:$F,'05. BC BH THEO SKU-USD'!$D61,'01. KE30'!$A:$A,'05. BC BH THEO SKU-USD'!CM$4)/1000</f>
        <v>0</v>
      </c>
      <c r="CN61" s="114">
        <f>SUMIFS('01. KE30'!$I:$I,'01. KE30'!$F:$F,'05. BC BH THEO SKU-USD'!$D61,'01. KE30'!$A:$A,'05. BC BH THEO SKU-USD'!CN$4)/1000</f>
        <v>0</v>
      </c>
      <c r="CO61" s="114">
        <f>SUMIFS('01. KE30'!$I:$I,'01. KE30'!$F:$F,'05. BC BH THEO SKU-USD'!$D61,'01. KE30'!$A:$A,'05. BC BH THEO SKU-USD'!CO$4)/1000</f>
        <v>0.05</v>
      </c>
      <c r="CP61" s="114">
        <f>SUMIFS('01. KE30'!$I:$I,'01. KE30'!$F:$F,'05. BC BH THEO SKU-USD'!$D61,'01. KE30'!$A:$A,'05. BC BH THEO SKU-USD'!CP$4)/1000</f>
        <v>0</v>
      </c>
      <c r="CQ61" s="114">
        <f>SUMIFS('01. KE30'!$I:$I,'01. KE30'!$F:$F,'05. BC BH THEO SKU-USD'!$D61,'01. KE30'!$A:$A,'05. BC BH THEO SKU-USD'!CQ$4)/1000</f>
        <v>0</v>
      </c>
      <c r="CR61" s="114">
        <f>SUMIFS('01. KE30'!$I:$I,'01. KE30'!$F:$F,'05. BC BH THEO SKU-USD'!$D61,'01. KE30'!$A:$A,'05. BC BH THEO SKU-USD'!CR$4)/1000</f>
        <v>0</v>
      </c>
      <c r="CS61" s="114">
        <f>SUMIFS('01. KE30'!$I:$I,'01. KE30'!$F:$F,'05. BC BH THEO SKU-USD'!$D61,'01. KE30'!$A:$A,'05. BC BH THEO SKU-USD'!CS$4)/1000</f>
        <v>0</v>
      </c>
      <c r="CT61" s="114">
        <f>SUMIFS('01. KE30'!$I:$I,'01. KE30'!$F:$F,'05. BC BH THEO SKU-USD'!$D61,'01. KE30'!$A:$A,'05. BC BH THEO SKU-USD'!CT$4)/1000</f>
        <v>0</v>
      </c>
      <c r="CU61" s="114">
        <f>SUMIFS('01. KE30'!$I:$I,'01. KE30'!$F:$F,'05. BC BH THEO SKU-USD'!$D61,'01. KE30'!$A:$A,'05. BC BH THEO SKU-USD'!CU$4)/1000</f>
        <v>0</v>
      </c>
      <c r="CV61" s="114">
        <f>SUMIFS('01. KE30'!$I:$I,'01. KE30'!$F:$F,'05. BC BH THEO SKU-USD'!$D61,'01. KE30'!$A:$A,'05. BC BH THEO SKU-USD'!CV$4)/1000</f>
        <v>0</v>
      </c>
      <c r="CW61" s="114">
        <f>SUMIFS('01. KE30'!$I:$I,'01. KE30'!$F:$F,'05. BC BH THEO SKU-USD'!$D61,'01. KE30'!$A:$A,'05. BC BH THEO SKU-USD'!CW$4)/1000</f>
        <v>0</v>
      </c>
      <c r="CX61" s="114">
        <f>SUMIFS('01. KE30'!$I:$I,'01. KE30'!$F:$F,'05. BC BH THEO SKU-USD'!$D61,'01. KE30'!$A:$A,'05. BC BH THEO SKU-USD'!CX$4)/1000</f>
        <v>0</v>
      </c>
      <c r="CZ61" s="112">
        <f t="shared" si="466"/>
        <v>54.042519685039373</v>
      </c>
      <c r="DA61" s="54" t="str">
        <f t="shared" si="467"/>
        <v xml:space="preserve"> -</v>
      </c>
      <c r="DB61" s="54" t="str">
        <f t="shared" si="468"/>
        <v xml:space="preserve"> -</v>
      </c>
      <c r="DC61" s="54">
        <f t="shared" si="469"/>
        <v>54.042519685039373</v>
      </c>
      <c r="DD61" s="54" t="str">
        <f t="shared" si="470"/>
        <v xml:space="preserve"> -</v>
      </c>
      <c r="DE61" s="54" t="str">
        <f t="shared" si="471"/>
        <v xml:space="preserve"> -</v>
      </c>
      <c r="DF61" s="54" t="str">
        <f t="shared" si="472"/>
        <v xml:space="preserve"> -</v>
      </c>
      <c r="DG61" s="54" t="str">
        <f t="shared" si="473"/>
        <v xml:space="preserve"> -</v>
      </c>
      <c r="DH61" s="54" t="str">
        <f t="shared" si="474"/>
        <v xml:space="preserve"> -</v>
      </c>
      <c r="DI61" s="54" t="str">
        <f t="shared" si="475"/>
        <v xml:space="preserve"> -</v>
      </c>
      <c r="DJ61" s="54" t="str">
        <f t="shared" si="476"/>
        <v xml:space="preserve"> -</v>
      </c>
      <c r="DK61" s="54" t="str">
        <f t="shared" si="477"/>
        <v xml:space="preserve"> -</v>
      </c>
      <c r="DL61" s="54" t="str">
        <f t="shared" si="478"/>
        <v xml:space="preserve"> -</v>
      </c>
      <c r="DN61" s="112">
        <f t="shared" si="479"/>
        <v>18.882973955178684</v>
      </c>
      <c r="DO61" s="114">
        <f>IFERROR(SUMIFS('01. KE30'!$X:$X,'01. KE30'!$F:$F,'05. BC BH THEO SKU-USD'!$D61,'01. KE30'!$A:$A,'05. BC BH THEO SKU-USD'!DO$4)-SUMIFS('01. KE30'!$AA:$AA,'01. KE30'!$F:$F,'05. BC BH THEO SKU-USD'!$D61,'01. KE30'!$A:$A,'05. BC BH THEO SKU-USD'!DO$4),"-")</f>
        <v>0</v>
      </c>
      <c r="DP61" s="114">
        <f>IFERROR(SUMIFS('01. KE30'!$X:$X,'01. KE30'!$F:$F,'05. BC BH THEO SKU-USD'!$D61,'01. KE30'!$A:$A,'05. BC BH THEO SKU-USD'!DP$4)-SUMIFS('01. KE30'!$AA:$AA,'01. KE30'!$F:$F,'05. BC BH THEO SKU-USD'!$D61,'01. KE30'!$A:$A,'05. BC BH THEO SKU-USD'!DP$4),"-")</f>
        <v>0</v>
      </c>
      <c r="DQ61" s="114">
        <f>IFERROR(SUMIFS('01. KE30'!$X:$X,'01. KE30'!$F:$F,'05. BC BH THEO SKU-USD'!$D61,'01. KE30'!$A:$A,'05. BC BH THEO SKU-USD'!DQ$4)-SUMIFS('01. KE30'!$AA:$AA,'01. KE30'!$F:$F,'05. BC BH THEO SKU-USD'!$D61,'01. KE30'!$A:$A,'05. BC BH THEO SKU-USD'!DQ$4),"-")</f>
        <v>18.882973955178684</v>
      </c>
      <c r="DR61" s="114">
        <f>IFERROR(SUMIFS('01. KE30'!$X:$X,'01. KE30'!$F:$F,'05. BC BH THEO SKU-USD'!$D61,'01. KE30'!$A:$A,'05. BC BH THEO SKU-USD'!DR$4)-SUMIFS('01. KE30'!$AA:$AA,'01. KE30'!$F:$F,'05. BC BH THEO SKU-USD'!$D61,'01. KE30'!$A:$A,'05. BC BH THEO SKU-USD'!DR$4),"-")</f>
        <v>0</v>
      </c>
      <c r="DS61" s="114">
        <f>IFERROR(SUMIFS('01. KE30'!$X:$X,'01. KE30'!$F:$F,'05. BC BH THEO SKU-USD'!$D61,'01. KE30'!$A:$A,'05. BC BH THEO SKU-USD'!DS$4)-SUMIFS('01. KE30'!$AA:$AA,'01. KE30'!$F:$F,'05. BC BH THEO SKU-USD'!$D61,'01. KE30'!$A:$A,'05. BC BH THEO SKU-USD'!DS$4),"-")</f>
        <v>0</v>
      </c>
      <c r="DT61" s="114">
        <f>IFERROR(SUMIFS('01. KE30'!$X:$X,'01. KE30'!$F:$F,'05. BC BH THEO SKU-USD'!$D61,'01. KE30'!$A:$A,'05. BC BH THEO SKU-USD'!DT$4)-SUMIFS('01. KE30'!$AA:$AA,'01. KE30'!$F:$F,'05. BC BH THEO SKU-USD'!$D61,'01. KE30'!$A:$A,'05. BC BH THEO SKU-USD'!DT$4),"-")</f>
        <v>0</v>
      </c>
      <c r="DU61" s="114">
        <f>IFERROR(SUMIFS('01. KE30'!$X:$X,'01. KE30'!$F:$F,'05. BC BH THEO SKU-USD'!$D61,'01. KE30'!$A:$A,'05. BC BH THEO SKU-USD'!DU$4)-SUMIFS('01. KE30'!$AA:$AA,'01. KE30'!$F:$F,'05. BC BH THEO SKU-USD'!$D61,'01. KE30'!$A:$A,'05. BC BH THEO SKU-USD'!DU$4),"-")</f>
        <v>0</v>
      </c>
      <c r="DV61" s="114">
        <f>IFERROR(SUMIFS('01. KE30'!$X:$X,'01. KE30'!$F:$F,'05. BC BH THEO SKU-USD'!$D61,'01. KE30'!$A:$A,'05. BC BH THEO SKU-USD'!DV$4)-SUMIFS('01. KE30'!$AA:$AA,'01. KE30'!$F:$F,'05. BC BH THEO SKU-USD'!$D61,'01. KE30'!$A:$A,'05. BC BH THEO SKU-USD'!DV$4),"-")</f>
        <v>0</v>
      </c>
      <c r="DW61" s="114">
        <f>IFERROR(SUMIFS('01. KE30'!$X:$X,'01. KE30'!$F:$F,'05. BC BH THEO SKU-USD'!$D61,'01. KE30'!$A:$A,'05. BC BH THEO SKU-USD'!DW$4)-SUMIFS('01. KE30'!$AA:$AA,'01. KE30'!$F:$F,'05. BC BH THEO SKU-USD'!$D61,'01. KE30'!$A:$A,'05. BC BH THEO SKU-USD'!DW$4),"-")</f>
        <v>0</v>
      </c>
      <c r="DX61" s="114">
        <f>IFERROR(SUMIFS('01. KE30'!$X:$X,'01. KE30'!$F:$F,'05. BC BH THEO SKU-USD'!$D61,'01. KE30'!$A:$A,'05. BC BH THEO SKU-USD'!DX$4)-SUMIFS('01. KE30'!$AA:$AA,'01. KE30'!$F:$F,'05. BC BH THEO SKU-USD'!$D61,'01. KE30'!$A:$A,'05. BC BH THEO SKU-USD'!DX$4),"-")</f>
        <v>0</v>
      </c>
      <c r="DY61" s="114">
        <f>IFERROR(SUMIFS('01. KE30'!$X:$X,'01. KE30'!$F:$F,'05. BC BH THEO SKU-USD'!$D61,'01. KE30'!$A:$A,'05. BC BH THEO SKU-USD'!DY$4)-SUMIFS('01. KE30'!$AA:$AA,'01. KE30'!$F:$F,'05. BC BH THEO SKU-USD'!$D61,'01. KE30'!$A:$A,'05. BC BH THEO SKU-USD'!DY$4),"-")</f>
        <v>0</v>
      </c>
      <c r="DZ61" s="114">
        <f>IFERROR(SUMIFS('01. KE30'!$X:$X,'01. KE30'!$F:$F,'05. BC BH THEO SKU-USD'!$D61,'01. KE30'!$A:$A,'05. BC BH THEO SKU-USD'!DZ$4)-SUMIFS('01. KE30'!$AA:$AA,'01. KE30'!$F:$F,'05. BC BH THEO SKU-USD'!$D61,'01. KE30'!$A:$A,'05. BC BH THEO SKU-USD'!DZ$4),"-")</f>
        <v>0</v>
      </c>
      <c r="EB61" s="571">
        <f t="shared" si="252"/>
        <v>0.34940957722232319</v>
      </c>
      <c r="EC61" s="573">
        <f t="shared" si="253"/>
        <v>0</v>
      </c>
      <c r="ED61" s="573">
        <f t="shared" si="19"/>
        <v>0</v>
      </c>
      <c r="EE61" s="572">
        <f t="shared" si="20"/>
        <v>0.34940957722232319</v>
      </c>
      <c r="EF61" s="572">
        <f t="shared" si="21"/>
        <v>0</v>
      </c>
      <c r="EG61" s="572">
        <f t="shared" si="22"/>
        <v>0</v>
      </c>
      <c r="EH61" s="572">
        <f t="shared" si="23"/>
        <v>0</v>
      </c>
      <c r="EI61" s="572">
        <f t="shared" si="24"/>
        <v>0</v>
      </c>
      <c r="EJ61" s="572">
        <f t="shared" si="25"/>
        <v>0</v>
      </c>
      <c r="EK61" s="572">
        <f t="shared" si="26"/>
        <v>0</v>
      </c>
      <c r="EL61" s="572">
        <f t="shared" si="27"/>
        <v>0</v>
      </c>
      <c r="EM61" s="572">
        <f t="shared" si="28"/>
        <v>0</v>
      </c>
      <c r="EN61" s="572">
        <f t="shared" si="29"/>
        <v>0</v>
      </c>
    </row>
    <row r="62" spans="1:144" ht="15.5" outlineLevel="1" x14ac:dyDescent="0.35">
      <c r="A62" s="10">
        <f t="shared" ref="A62:A67" si="481">A61+1</f>
        <v>3</v>
      </c>
      <c r="B62" s="10" t="s">
        <v>490</v>
      </c>
      <c r="C62" s="246" t="str">
        <f>VLOOKUP(D62,'Quy đổi'!A:C,3,0)</f>
        <v>rPP20W01</v>
      </c>
      <c r="D62" s="466" t="s">
        <v>231</v>
      </c>
      <c r="E62" s="7" t="s">
        <v>232</v>
      </c>
      <c r="F62" s="92">
        <f t="shared" si="463"/>
        <v>995.85460997529663</v>
      </c>
      <c r="G62" s="106" t="str">
        <f>IFERROR(SUMIFS('01. KE30'!$K:$K,'01. KE30'!$F:$F,'05. BC BH THEO SKU-USD'!$D62,'01. KE30'!$A:$A,'05. BC BH THEO SKU-USD'!G$4)/'05. BC BH THEO SKU-USD'!CM62/'02. Tỷ giá'!B$5,"-")</f>
        <v>-</v>
      </c>
      <c r="H62" s="106">
        <f>IFERROR(SUMIFS('01. KE30'!$K:$K,'01. KE30'!$F:$F,'05. BC BH THEO SKU-USD'!$D62,'01. KE30'!$A:$A,'05. BC BH THEO SKU-USD'!H$4)/'05. BC BH THEO SKU-USD'!CN62/'02. Tỷ giá'!C$5,"-")</f>
        <v>827.09728239464357</v>
      </c>
      <c r="I62" s="106" t="str">
        <f>IFERROR(SUMIFS('01. KE30'!$K:$K,'01. KE30'!$F:$F,'05. BC BH THEO SKU-USD'!$D62,'01. KE30'!$A:$A,'05. BC BH THEO SKU-USD'!I$4)/'05. BC BH THEO SKU-USD'!CO62/'02. Tỷ giá'!D$5,"-")</f>
        <v>-</v>
      </c>
      <c r="J62" s="106" t="str">
        <f>IFERROR(SUMIFS('01. KE30'!$K:$K,'01. KE30'!$F:$F,'05. BC BH THEO SKU-USD'!$D62,'01. KE30'!$A:$A,'05. BC BH THEO SKU-USD'!J$4)/'05. BC BH THEO SKU-USD'!CP62/'02. Tỷ giá'!E$5,"-")</f>
        <v>-</v>
      </c>
      <c r="K62" s="106" t="str">
        <f>IFERROR(SUMIFS('01. KE30'!$K:$K,'01. KE30'!$F:$F,'05. BC BH THEO SKU-USD'!$D62,'01. KE30'!$A:$A,'05. BC BH THEO SKU-USD'!K$4)/'05. BC BH THEO SKU-USD'!CQ62/'02. Tỷ giá'!F$5,"-")</f>
        <v>-</v>
      </c>
      <c r="L62" s="106" t="str">
        <f>IFERROR(SUMIFS('01. KE30'!$K:$K,'01. KE30'!$F:$F,'05. BC BH THEO SKU-USD'!$D62,'01. KE30'!$A:$A,'05. BC BH THEO SKU-USD'!L$4)/'05. BC BH THEO SKU-USD'!CR62/'02. Tỷ giá'!G$5,"-")</f>
        <v>-</v>
      </c>
      <c r="M62" s="106">
        <f>IFERROR(SUMIFS('01. KE30'!$K:$K,'01. KE30'!$F:$F,'05. BC BH THEO SKU-USD'!$D62,'01. KE30'!$A:$A,'05. BC BH THEO SKU-USD'!M$4)/'05. BC BH THEO SKU-USD'!CS62/'02. Tỷ giá'!H$5,"-")</f>
        <v>806.76142912024591</v>
      </c>
      <c r="N62" s="106">
        <f>IFERROR(SUMIFS('01. KE30'!$K:$K,'01. KE30'!$F:$F,'05. BC BH THEO SKU-USD'!$D62,'01. KE30'!$A:$A,'05. BC BH THEO SKU-USD'!N$4)/'05. BC BH THEO SKU-USD'!CT62/'02. Tỷ giá'!I$5,"-")</f>
        <v>1353.7051184110007</v>
      </c>
      <c r="O62" s="106" t="str">
        <f>IFERROR(SUMIFS('01. KE30'!$K:$K,'01. KE30'!$F:$F,'05. BC BH THEO SKU-USD'!$D62,'01. KE30'!$A:$A,'05. BC BH THEO SKU-USD'!O$4)/'05. BC BH THEO SKU-USD'!CU62/'02. Tỷ giá'!J$5,"-")</f>
        <v>-</v>
      </c>
      <c r="P62" s="106" t="str">
        <f>IFERROR(SUMIFS('01. KE30'!$K:$K,'01. KE30'!$F:$F,'05. BC BH THEO SKU-USD'!$D62,'01. KE30'!$A:$A,'05. BC BH THEO SKU-USD'!P$4)/'05. BC BH THEO SKU-USD'!CV62/'02. Tỷ giá'!K$5,"-")</f>
        <v>-</v>
      </c>
      <c r="Q62" s="106" t="str">
        <f>IFERROR(SUMIFS('01. KE30'!$K:$K,'01. KE30'!$F:$F,'05. BC BH THEO SKU-USD'!$D62,'01. KE30'!$A:$A,'05. BC BH THEO SKU-USD'!Q$4)/'05. BC BH THEO SKU-USD'!CW62/'02. Tỷ giá'!L$5,"-")</f>
        <v>-</v>
      </c>
      <c r="R62" s="106" t="str">
        <f>IFERROR(SUMIFS('01. KE30'!$K:$K,'01. KE30'!$F:$F,'05. BC BH THEO SKU-USD'!$D62,'01. KE30'!$A:$A,'05. BC BH THEO SKU-USD'!R$4)/'05. BC BH THEO SKU-USD'!CX62/'02. Tỷ giá'!M$5,"-")</f>
        <v>-</v>
      </c>
      <c r="T62" s="92">
        <f t="shared" si="309"/>
        <v>983.85087254546988</v>
      </c>
      <c r="U62" s="147" t="str">
        <f>IFERROR(SUMIFS('01. KE30'!$O:$O,'01. KE30'!$F:$F,'05. BC BH THEO SKU-USD'!$D62,'01. KE30'!$A:$A,'05. BC BH THEO SKU-USD'!G$4)/'05. BC BH THEO SKU-USD'!CM62/'02. Tỷ giá'!B$5,"-")</f>
        <v>-</v>
      </c>
      <c r="V62" s="147">
        <f>IFERROR(SUMIFS('01. KE30'!$O:$O,'01. KE30'!$F:$F,'05. BC BH THEO SKU-USD'!$D62,'01. KE30'!$A:$A,'05. BC BH THEO SKU-USD'!H$4)/'05. BC BH THEO SKU-USD'!CN62/'02. Tỷ giá'!C$5,"-")</f>
        <v>827.09728239464357</v>
      </c>
      <c r="W62" s="147" t="str">
        <f>IFERROR(SUMIFS('01. KE30'!$O:$O,'01. KE30'!$F:$F,'05. BC BH THEO SKU-USD'!$D62,'01. KE30'!$A:$A,'05. BC BH THEO SKU-USD'!I$4)/'05. BC BH THEO SKU-USD'!CO62/'02. Tỷ giá'!D$5,"-")</f>
        <v>-</v>
      </c>
      <c r="X62" s="147" t="str">
        <f>IFERROR(SUMIFS('01. KE30'!$O:$O,'01. KE30'!$F:$F,'05. BC BH THEO SKU-USD'!$D62,'01. KE30'!$A:$A,'05. BC BH THEO SKU-USD'!J$4)/'05. BC BH THEO SKU-USD'!CP62/'02. Tỷ giá'!E$5,"-")</f>
        <v>-</v>
      </c>
      <c r="Y62" s="147" t="str">
        <f>IFERROR(SUMIFS('01. KE30'!$O:$O,'01. KE30'!$F:$F,'05. BC BH THEO SKU-USD'!$D62,'01. KE30'!$A:$A,'05. BC BH THEO SKU-USD'!K$4)/'05. BC BH THEO SKU-USD'!CQ62/'02. Tỷ giá'!F$5,"-")</f>
        <v>-</v>
      </c>
      <c r="Z62" s="147" t="str">
        <f>IFERROR(SUMIFS('01. KE30'!$O:$O,'01. KE30'!$F:$F,'05. BC BH THEO SKU-USD'!$D62,'01. KE30'!$A:$A,'05. BC BH THEO SKU-USD'!L$4)/'05. BC BH THEO SKU-USD'!CR62/'02. Tỷ giá'!G$5,"-")</f>
        <v>-</v>
      </c>
      <c r="AA62" s="147">
        <f>IFERROR(SUMIFS('01. KE30'!$O:$O,'01. KE30'!$F:$F,'05. BC BH THEO SKU-USD'!$D62,'01. KE30'!$A:$A,'05. BC BH THEO SKU-USD'!M$4)/'05. BC BH THEO SKU-USD'!CS62/'02. Tỷ giá'!H$5,"-")</f>
        <v>806.76142912024591</v>
      </c>
      <c r="AB62" s="147">
        <f>IFERROR(SUMIFS('01. KE30'!$O:$O,'01. KE30'!$F:$F,'05. BC BH THEO SKU-USD'!$D62,'01. KE30'!$A:$A,'05. BC BH THEO SKU-USD'!N$4)/'05. BC BH THEO SKU-USD'!CT62/'02. Tỷ giá'!I$5,"-")</f>
        <v>1353.7051184110007</v>
      </c>
      <c r="AC62" s="147" t="str">
        <f>IFERROR(SUMIFS('01. KE30'!$O:$O,'01. KE30'!$F:$F,'05. BC BH THEO SKU-USD'!$D62,'01. KE30'!$A:$A,'05. BC BH THEO SKU-USD'!O$4)/'05. BC BH THEO SKU-USD'!CU62/'02. Tỷ giá'!J$5,"-")</f>
        <v>-</v>
      </c>
      <c r="AD62" s="147" t="str">
        <f>IFERROR(SUMIFS('01. KE30'!$O:$O,'01. KE30'!$F:$F,'05. BC BH THEO SKU-USD'!$D62,'01. KE30'!$A:$A,'05. BC BH THEO SKU-USD'!P$4)/'05. BC BH THEO SKU-USD'!CV62/'02. Tỷ giá'!K$5,"-")</f>
        <v>-</v>
      </c>
      <c r="AE62" s="147" t="str">
        <f>IFERROR(SUMIFS('01. KE30'!$O:$O,'01. KE30'!$F:$F,'05. BC BH THEO SKU-USD'!$D62,'01. KE30'!$A:$A,'05. BC BH THEO SKU-USD'!Q$4)/'05. BC BH THEO SKU-USD'!CW62/'02. Tỷ giá'!L$5,"-")</f>
        <v>-</v>
      </c>
      <c r="AF62" s="147" t="str">
        <f>IFERROR(SUMIFS('01. KE30'!$O:$O,'01. KE30'!$F:$F,'05. BC BH THEO SKU-USD'!$D62,'01. KE30'!$A:$A,'05. BC BH THEO SKU-USD'!R$4)/'05. BC BH THEO SKU-USD'!CX62/'02. Tỷ giá'!M$5,"-")</f>
        <v>-</v>
      </c>
      <c r="AH62" s="92">
        <f t="shared" si="480"/>
        <v>815.5</v>
      </c>
      <c r="AI62" s="4">
        <v>900</v>
      </c>
      <c r="AJ62" s="4">
        <v>820</v>
      </c>
      <c r="AK62" s="4">
        <v>840</v>
      </c>
      <c r="AL62" s="4">
        <v>835</v>
      </c>
      <c r="AM62" s="4">
        <v>815</v>
      </c>
      <c r="AN62" s="4">
        <v>815</v>
      </c>
      <c r="AO62" s="4">
        <v>790</v>
      </c>
      <c r="AP62" s="4">
        <v>769.5</v>
      </c>
      <c r="AQ62" s="4">
        <v>755</v>
      </c>
      <c r="AR62" s="4"/>
      <c r="AS62" s="4"/>
      <c r="AT62" s="4"/>
      <c r="AV62" s="95">
        <f t="shared" si="427"/>
        <v>168.35087254546988</v>
      </c>
      <c r="AW62" s="95" t="str">
        <f t="shared" si="427"/>
        <v>-</v>
      </c>
      <c r="AX62" s="95">
        <f t="shared" si="428"/>
        <v>7.097282394643571</v>
      </c>
      <c r="AY62" s="95" t="str">
        <f t="shared" si="428"/>
        <v>-</v>
      </c>
      <c r="AZ62" s="95" t="str">
        <f t="shared" si="428"/>
        <v>-</v>
      </c>
      <c r="BA62" s="95" t="str">
        <f t="shared" si="428"/>
        <v>-</v>
      </c>
      <c r="BB62" s="95" t="str">
        <f t="shared" si="428"/>
        <v>-</v>
      </c>
      <c r="BC62" s="95">
        <f t="shared" si="428"/>
        <v>16.761429120245907</v>
      </c>
      <c r="BD62" s="95">
        <f t="shared" si="428"/>
        <v>584.20511841100074</v>
      </c>
      <c r="BE62" s="95" t="str">
        <f t="shared" si="428"/>
        <v>-</v>
      </c>
      <c r="BF62" s="95" t="str">
        <f t="shared" si="428"/>
        <v>-</v>
      </c>
      <c r="BG62" s="95" t="str">
        <f t="shared" si="428"/>
        <v>-</v>
      </c>
      <c r="BH62" s="95" t="str">
        <f t="shared" si="428"/>
        <v>-</v>
      </c>
      <c r="BJ62" s="143">
        <f t="shared" si="376"/>
        <v>0.20643883819186987</v>
      </c>
      <c r="BK62" s="143" t="str">
        <f t="shared" si="377"/>
        <v>-</v>
      </c>
      <c r="BL62" s="143">
        <f t="shared" si="377"/>
        <v>8.655222432492159E-3</v>
      </c>
      <c r="BM62" s="143" t="str">
        <f t="shared" si="377"/>
        <v>-</v>
      </c>
      <c r="BN62" s="143" t="str">
        <f t="shared" si="377"/>
        <v>-</v>
      </c>
      <c r="BO62" s="143" t="str">
        <f t="shared" si="377"/>
        <v>-</v>
      </c>
      <c r="BP62" s="143" t="str">
        <f t="shared" si="377"/>
        <v>-</v>
      </c>
      <c r="BQ62" s="143">
        <f t="shared" si="377"/>
        <v>2.1216998886387225E-2</v>
      </c>
      <c r="BR62" s="143">
        <f t="shared" si="377"/>
        <v>0.75920093360753838</v>
      </c>
      <c r="BS62" s="143" t="str">
        <f t="shared" si="377"/>
        <v>-</v>
      </c>
      <c r="BT62" s="143" t="str">
        <f t="shared" si="68"/>
        <v>-</v>
      </c>
      <c r="BU62" s="143" t="str">
        <f t="shared" si="68"/>
        <v>-</v>
      </c>
      <c r="BV62" s="143" t="str">
        <f t="shared" si="68"/>
        <v>-</v>
      </c>
      <c r="BX62" s="112">
        <f t="shared" si="464"/>
        <v>1436.2895362549095</v>
      </c>
      <c r="BY62" s="95" t="str">
        <f>IFERROR(SUMIFS('01. KE30'!$R:$R,'01. KE30'!$F:$F,'05. BC BH THEO SKU-USD'!$D62,'01. KE30'!$A:$A,'05. BC BH THEO SKU-USD'!BY$4)/CM62/'02. Tỷ giá'!B$5," -")</f>
        <v xml:space="preserve"> -</v>
      </c>
      <c r="BZ62" s="95">
        <f>IFERROR(SUMIFS('01. KE30'!$R:$R,'01. KE30'!$F:$F,'05. BC BH THEO SKU-USD'!$D62,'01. KE30'!$A:$A,'05. BC BH THEO SKU-USD'!BZ$4)/CN62/'02. Tỷ giá'!C$5," -")</f>
        <v>1541.3548641197322</v>
      </c>
      <c r="CA62" s="95" t="str">
        <f>IFERROR(SUMIFS('01. KE30'!$R:$R,'01. KE30'!$F:$F,'05. BC BH THEO SKU-USD'!$D62,'01. KE30'!$A:$A,'05. BC BH THEO SKU-USD'!CA$4)/CO62/'02. Tỷ giá'!D$5," -")</f>
        <v xml:space="preserve"> -</v>
      </c>
      <c r="CB62" s="95" t="str">
        <f>IFERROR(SUMIFS('01. KE30'!$R:$R,'01. KE30'!$F:$F,'05. BC BH THEO SKU-USD'!$D62,'01. KE30'!$A:$A,'05. BC BH THEO SKU-USD'!CB$4)/CP62/'02. Tỷ giá'!E$5," -")</f>
        <v xml:space="preserve"> -</v>
      </c>
      <c r="CC62" s="95" t="str">
        <f>IFERROR(SUMIFS('01. KE30'!$R:$R,'01. KE30'!$F:$F,'05. BC BH THEO SKU-USD'!$D62,'01. KE30'!$A:$A,'05. BC BH THEO SKU-USD'!CC$4)/CQ62/'02. Tỷ giá'!F$5," -")</f>
        <v xml:space="preserve"> -</v>
      </c>
      <c r="CD62" s="95" t="str">
        <f>IFERROR(SUMIFS('01. KE30'!$R:$R,'01. KE30'!$F:$F,'05. BC BH THEO SKU-USD'!$D62,'01. KE30'!$A:$A,'05. BC BH THEO SKU-USD'!CD$4)/CR62/'02. Tỷ giá'!G$5," -")</f>
        <v xml:space="preserve"> -</v>
      </c>
      <c r="CE62" s="95">
        <f>IFERROR(SUMIFS('01. KE30'!$R:$R,'01. KE30'!$F:$F,'05. BC BH THEO SKU-USD'!$D62,'01. KE30'!$A:$A,'05. BC BH THEO SKU-USD'!CE$4)/CS62/'02. Tỷ giá'!H$5," -")</f>
        <v>1387.7322320399539</v>
      </c>
      <c r="CF62" s="95">
        <f>IFERROR(SUMIFS('01. KE30'!$R:$R,'01. KE30'!$F:$F,'05. BC BH THEO SKU-USD'!$D62,'01. KE30'!$A:$A,'05. BC BH THEO SKU-USD'!CF$4)/CT62/'02. Tỷ giá'!I$5," -")</f>
        <v>1379.7815126050421</v>
      </c>
      <c r="CG62" s="95" t="str">
        <f>IFERROR(SUMIFS('01. KE30'!$R:$R,'01. KE30'!$F:$F,'05. BC BH THEO SKU-USD'!$D62,'01. KE30'!$A:$A,'05. BC BH THEO SKU-USD'!CG$4)/CU62/'02. Tỷ giá'!J$5," -")</f>
        <v xml:space="preserve"> -</v>
      </c>
      <c r="CH62" s="95" t="str">
        <f>IFERROR(SUMIFS('01. KE30'!$R:$R,'01. KE30'!$F:$F,'05. BC BH THEO SKU-USD'!$D62,'01. KE30'!$A:$A,'05. BC BH THEO SKU-USD'!CH$4)/CV62/'02. Tỷ giá'!K$5," -")</f>
        <v xml:space="preserve"> -</v>
      </c>
      <c r="CI62" s="95" t="str">
        <f>IFERROR(SUMIFS('01. KE30'!$R:$R,'01. KE30'!$F:$F,'05. BC BH THEO SKU-USD'!$D62,'01. KE30'!$A:$A,'05. BC BH THEO SKU-USD'!CI$4)/CW62/'02. Tỷ giá'!L$5," -")</f>
        <v xml:space="preserve"> -</v>
      </c>
      <c r="CJ62" s="95" t="str">
        <f>IFERROR(SUMIFS('01. KE30'!$R:$R,'01. KE30'!$F:$F,'05. BC BH THEO SKU-USD'!$D62,'01. KE30'!$A:$A,'05. BC BH THEO SKU-USD'!CJ$4)/CX62/'02. Tỷ giá'!M$5," -")</f>
        <v xml:space="preserve"> -</v>
      </c>
      <c r="CL62" s="112">
        <f t="shared" si="465"/>
        <v>0.15500000000000003</v>
      </c>
      <c r="CM62" s="114">
        <f>SUMIFS('01. KE30'!$I:$I,'01. KE30'!$F:$F,'05. BC BH THEO SKU-USD'!$D62,'01. KE30'!$A:$A,'05. BC BH THEO SKU-USD'!CM$4)/1000</f>
        <v>0</v>
      </c>
      <c r="CN62" s="912">
        <f>SUMIFS('01. KE30'!$I:$I,'01. KE30'!$F:$F,'05. BC BH THEO SKU-USD'!$D62,'01. KE30'!$A:$A,'05. BC BH THEO SKU-USD'!CN$4)/1000</f>
        <v>5.0000000000000001E-3</v>
      </c>
      <c r="CO62" s="114">
        <f>SUMIFS('01. KE30'!$I:$I,'01. KE30'!$F:$F,'05. BC BH THEO SKU-USD'!$D62,'01. KE30'!$A:$A,'05. BC BH THEO SKU-USD'!CO$4)/1000</f>
        <v>0</v>
      </c>
      <c r="CP62" s="114">
        <f>SUMIFS('01. KE30'!$I:$I,'01. KE30'!$F:$F,'05. BC BH THEO SKU-USD'!$D62,'01. KE30'!$A:$A,'05. BC BH THEO SKU-USD'!CP$4)/1000</f>
        <v>0</v>
      </c>
      <c r="CQ62" s="114">
        <f>SUMIFS('01. KE30'!$I:$I,'01. KE30'!$F:$F,'05. BC BH THEO SKU-USD'!$D62,'01. KE30'!$A:$A,'05. BC BH THEO SKU-USD'!CQ$4)/1000</f>
        <v>0</v>
      </c>
      <c r="CR62" s="114">
        <f>SUMIFS('01. KE30'!$I:$I,'01. KE30'!$F:$F,'05. BC BH THEO SKU-USD'!$D62,'01. KE30'!$A:$A,'05. BC BH THEO SKU-USD'!CR$4)/1000</f>
        <v>0</v>
      </c>
      <c r="CS62" s="114">
        <f>SUMIFS('01. KE30'!$I:$I,'01. KE30'!$F:$F,'05. BC BH THEO SKU-USD'!$D62,'01. KE30'!$A:$A,'05. BC BH THEO SKU-USD'!CS$4)/1000</f>
        <v>0.1</v>
      </c>
      <c r="CT62" s="114">
        <f>SUMIFS('01. KE30'!$I:$I,'01. KE30'!$F:$F,'05. BC BH THEO SKU-USD'!$D62,'01. KE30'!$A:$A,'05. BC BH THEO SKU-USD'!CT$4)/1000</f>
        <v>0.05</v>
      </c>
      <c r="CU62" s="114">
        <f>SUMIFS('01. KE30'!$I:$I,'01. KE30'!$F:$F,'05. BC BH THEO SKU-USD'!$D62,'01. KE30'!$A:$A,'05. BC BH THEO SKU-USD'!CU$4)/1000</f>
        <v>0</v>
      </c>
      <c r="CV62" s="114">
        <f>SUMIFS('01. KE30'!$I:$I,'01. KE30'!$F:$F,'05. BC BH THEO SKU-USD'!$D62,'01. KE30'!$A:$A,'05. BC BH THEO SKU-USD'!CV$4)/1000</f>
        <v>0</v>
      </c>
      <c r="CW62" s="114">
        <f>SUMIFS('01. KE30'!$I:$I,'01. KE30'!$F:$F,'05. BC BH THEO SKU-USD'!$D62,'01. KE30'!$A:$A,'05. BC BH THEO SKU-USD'!CW$4)/1000</f>
        <v>0</v>
      </c>
      <c r="CX62" s="114">
        <f>SUMIFS('01. KE30'!$I:$I,'01. KE30'!$F:$F,'05. BC BH THEO SKU-USD'!$D62,'01. KE30'!$A:$A,'05. BC BH THEO SKU-USD'!CX$4)/1000</f>
        <v>0</v>
      </c>
      <c r="CZ62" s="112">
        <f t="shared" si="466"/>
        <v>152.49688524454785</v>
      </c>
      <c r="DA62" s="54" t="str">
        <f t="shared" si="467"/>
        <v xml:space="preserve"> -</v>
      </c>
      <c r="DB62" s="54">
        <f t="shared" si="468"/>
        <v>4.1354864119732175</v>
      </c>
      <c r="DC62" s="54" t="str">
        <f t="shared" si="469"/>
        <v xml:space="preserve"> -</v>
      </c>
      <c r="DD62" s="54" t="str">
        <f t="shared" si="470"/>
        <v xml:space="preserve"> -</v>
      </c>
      <c r="DE62" s="54" t="str">
        <f t="shared" si="471"/>
        <v xml:space="preserve"> -</v>
      </c>
      <c r="DF62" s="54" t="str">
        <f t="shared" si="472"/>
        <v xml:space="preserve"> -</v>
      </c>
      <c r="DG62" s="54">
        <f t="shared" si="473"/>
        <v>80.676142912024602</v>
      </c>
      <c r="DH62" s="54">
        <f t="shared" si="474"/>
        <v>67.685255920550034</v>
      </c>
      <c r="DI62" s="54" t="str">
        <f t="shared" si="475"/>
        <v xml:space="preserve"> -</v>
      </c>
      <c r="DJ62" s="54" t="str">
        <f t="shared" si="476"/>
        <v xml:space="preserve"> -</v>
      </c>
      <c r="DK62" s="54" t="str">
        <f t="shared" si="477"/>
        <v xml:space="preserve"> -</v>
      </c>
      <c r="DL62" s="54" t="str">
        <f t="shared" si="478"/>
        <v xml:space="preserve"> -</v>
      </c>
      <c r="DN62" s="112">
        <f t="shared" si="479"/>
        <v>-62.972187910298324</v>
      </c>
      <c r="DO62" s="114">
        <f>IFERROR(SUMIFS('01. KE30'!$X:$X,'01. KE30'!$F:$F,'05. BC BH THEO SKU-USD'!$D62,'01. KE30'!$A:$A,'05. BC BH THEO SKU-USD'!DO$4)-SUMIFS('01. KE30'!$AA:$AA,'01. KE30'!$F:$F,'05. BC BH THEO SKU-USD'!$D62,'01. KE30'!$A:$A,'05. BC BH THEO SKU-USD'!DO$4),"-")</f>
        <v>0</v>
      </c>
      <c r="DP62" s="114">
        <f>IFERROR(SUMIFS('01. KE30'!$X:$X,'01. KE30'!$F:$F,'05. BC BH THEO SKU-USD'!$D62,'01. KE30'!$A:$A,'05. BC BH THEO SKU-USD'!DP$4)-SUMIFS('01. KE30'!$AA:$AA,'01. KE30'!$F:$F,'05. BC BH THEO SKU-USD'!$D62,'01. KE30'!$A:$A,'05. BC BH THEO SKU-USD'!DP$4),"-")</f>
        <v>-3.5712879086254432</v>
      </c>
      <c r="DQ62" s="114">
        <f>IFERROR(SUMIFS('01. KE30'!$X:$X,'01. KE30'!$F:$F,'05. BC BH THEO SKU-USD'!$D62,'01. KE30'!$A:$A,'05. BC BH THEO SKU-USD'!DQ$4)-SUMIFS('01. KE30'!$AA:$AA,'01. KE30'!$F:$F,'05. BC BH THEO SKU-USD'!$D62,'01. KE30'!$A:$A,'05. BC BH THEO SKU-USD'!DQ$4),"-")</f>
        <v>0</v>
      </c>
      <c r="DR62" s="114">
        <f>IFERROR(SUMIFS('01. KE30'!$X:$X,'01. KE30'!$F:$F,'05. BC BH THEO SKU-USD'!$D62,'01. KE30'!$A:$A,'05. BC BH THEO SKU-USD'!DR$4)-SUMIFS('01. KE30'!$AA:$AA,'01. KE30'!$F:$F,'05. BC BH THEO SKU-USD'!$D62,'01. KE30'!$A:$A,'05. BC BH THEO SKU-USD'!DR$4),"-")</f>
        <v>0</v>
      </c>
      <c r="DS62" s="114">
        <f>IFERROR(SUMIFS('01. KE30'!$X:$X,'01. KE30'!$F:$F,'05. BC BH THEO SKU-USD'!$D62,'01. KE30'!$A:$A,'05. BC BH THEO SKU-USD'!DS$4)-SUMIFS('01. KE30'!$AA:$AA,'01. KE30'!$F:$F,'05. BC BH THEO SKU-USD'!$D62,'01. KE30'!$A:$A,'05. BC BH THEO SKU-USD'!DS$4),"-")</f>
        <v>0</v>
      </c>
      <c r="DT62" s="114">
        <f>IFERROR(SUMIFS('01. KE30'!$X:$X,'01. KE30'!$F:$F,'05. BC BH THEO SKU-USD'!$D62,'01. KE30'!$A:$A,'05. BC BH THEO SKU-USD'!DT$4)-SUMIFS('01. KE30'!$AA:$AA,'01. KE30'!$F:$F,'05. BC BH THEO SKU-USD'!$D62,'01. KE30'!$A:$A,'05. BC BH THEO SKU-USD'!DT$4),"-")</f>
        <v>0</v>
      </c>
      <c r="DU62" s="114">
        <f>IFERROR(SUMIFS('01. KE30'!$X:$X,'01. KE30'!$F:$F,'05. BC BH THEO SKU-USD'!$D62,'01. KE30'!$A:$A,'05. BC BH THEO SKU-USD'!DU$4)-SUMIFS('01. KE30'!$AA:$AA,'01. KE30'!$F:$F,'05. BC BH THEO SKU-USD'!$D62,'01. KE30'!$A:$A,'05. BC BH THEO SKU-USD'!DU$4),"-")</f>
        <v>-58.097080291970812</v>
      </c>
      <c r="DV62" s="114">
        <f>IFERROR(SUMIFS('01. KE30'!$X:$X,'01. KE30'!$F:$F,'05. BC BH THEO SKU-USD'!$D62,'01. KE30'!$A:$A,'05. BC BH THEO SKU-USD'!DV$4)-SUMIFS('01. KE30'!$AA:$AA,'01. KE30'!$F:$F,'05. BC BH THEO SKU-USD'!$D62,'01. KE30'!$A:$A,'05. BC BH THEO SKU-USD'!DV$4),"-")</f>
        <v>-1.3038197097020685</v>
      </c>
      <c r="DW62" s="114">
        <f>IFERROR(SUMIFS('01. KE30'!$X:$X,'01. KE30'!$F:$F,'05. BC BH THEO SKU-USD'!$D62,'01. KE30'!$A:$A,'05. BC BH THEO SKU-USD'!DW$4)-SUMIFS('01. KE30'!$AA:$AA,'01. KE30'!$F:$F,'05. BC BH THEO SKU-USD'!$D62,'01. KE30'!$A:$A,'05. BC BH THEO SKU-USD'!DW$4),"-")</f>
        <v>0</v>
      </c>
      <c r="DX62" s="114">
        <f>IFERROR(SUMIFS('01. KE30'!$X:$X,'01. KE30'!$F:$F,'05. BC BH THEO SKU-USD'!$D62,'01. KE30'!$A:$A,'05. BC BH THEO SKU-USD'!DX$4)-SUMIFS('01. KE30'!$AA:$AA,'01. KE30'!$F:$F,'05. BC BH THEO SKU-USD'!$D62,'01. KE30'!$A:$A,'05. BC BH THEO SKU-USD'!DX$4),"-")</f>
        <v>0</v>
      </c>
      <c r="DY62" s="114">
        <f>IFERROR(SUMIFS('01. KE30'!$X:$X,'01. KE30'!$F:$F,'05. BC BH THEO SKU-USD'!$D62,'01. KE30'!$A:$A,'05. BC BH THEO SKU-USD'!DY$4)-SUMIFS('01. KE30'!$AA:$AA,'01. KE30'!$F:$F,'05. BC BH THEO SKU-USD'!$D62,'01. KE30'!$A:$A,'05. BC BH THEO SKU-USD'!DY$4),"-")</f>
        <v>0</v>
      </c>
      <c r="DZ62" s="114">
        <f>IFERROR(SUMIFS('01. KE30'!$X:$X,'01. KE30'!$F:$F,'05. BC BH THEO SKU-USD'!$D62,'01. KE30'!$A:$A,'05. BC BH THEO SKU-USD'!DZ$4)-SUMIFS('01. KE30'!$AA:$AA,'01. KE30'!$F:$F,'05. BC BH THEO SKU-USD'!$D62,'01. KE30'!$A:$A,'05. BC BH THEO SKU-USD'!DZ$4),"-")</f>
        <v>0</v>
      </c>
      <c r="EB62" s="571">
        <f t="shared" si="252"/>
        <v>-0.41294081390131038</v>
      </c>
      <c r="EC62" s="573">
        <f t="shared" si="253"/>
        <v>0</v>
      </c>
      <c r="ED62" s="572">
        <f t="shared" si="19"/>
        <v>-0.86357142857142866</v>
      </c>
      <c r="EE62" s="572">
        <f t="shared" si="20"/>
        <v>0</v>
      </c>
      <c r="EF62" s="572">
        <f t="shared" si="21"/>
        <v>0</v>
      </c>
      <c r="EG62" s="572">
        <f t="shared" si="22"/>
        <v>0</v>
      </c>
      <c r="EH62" s="572">
        <f t="shared" si="23"/>
        <v>0</v>
      </c>
      <c r="EI62" s="572">
        <f t="shared" si="24"/>
        <v>-0.72012714285714285</v>
      </c>
      <c r="EJ62" s="572">
        <f t="shared" si="25"/>
        <v>-1.9262979683972999E-2</v>
      </c>
      <c r="EK62" s="572">
        <f t="shared" si="26"/>
        <v>0</v>
      </c>
      <c r="EL62" s="572">
        <f t="shared" si="27"/>
        <v>0</v>
      </c>
      <c r="EM62" s="572">
        <f t="shared" si="28"/>
        <v>0</v>
      </c>
      <c r="EN62" s="572">
        <f t="shared" si="29"/>
        <v>0</v>
      </c>
    </row>
    <row r="63" spans="1:144" ht="15.5" outlineLevel="1" x14ac:dyDescent="0.35">
      <c r="A63" s="10">
        <f t="shared" si="481"/>
        <v>4</v>
      </c>
      <c r="B63" s="10" t="s">
        <v>490</v>
      </c>
      <c r="C63" s="246" t="str">
        <f>VLOOKUP(D63,'Quy đổi'!A:C,3,0)</f>
        <v>rPP20L03</v>
      </c>
      <c r="D63" s="464" t="s">
        <v>15</v>
      </c>
      <c r="E63" s="7" t="s">
        <v>14</v>
      </c>
      <c r="F63" s="92">
        <f t="shared" si="463"/>
        <v>827.09728239464357</v>
      </c>
      <c r="G63" s="106" t="str">
        <f>IFERROR(SUMIFS('01. KE30'!$K:$K,'01. KE30'!$F:$F,'05. BC BH THEO SKU-USD'!$D63,'01. KE30'!$A:$A,'05. BC BH THEO SKU-USD'!G$4)/'05. BC BH THEO SKU-USD'!CM63/'02. Tỷ giá'!B$5,"-")</f>
        <v>-</v>
      </c>
      <c r="H63" s="106">
        <f>IFERROR(SUMIFS('01. KE30'!$K:$K,'01. KE30'!$F:$F,'05. BC BH THEO SKU-USD'!$D63,'01. KE30'!$A:$A,'05. BC BH THEO SKU-USD'!H$4)/'05. BC BH THEO SKU-USD'!CN63/'02. Tỷ giá'!C$5,"-")</f>
        <v>827.09728239464357</v>
      </c>
      <c r="I63" s="106" t="str">
        <f>IFERROR(SUMIFS('01. KE30'!$K:$K,'01. KE30'!$F:$F,'05. BC BH THEO SKU-USD'!$D63,'01. KE30'!$A:$A,'05. BC BH THEO SKU-USD'!I$4)/'05. BC BH THEO SKU-USD'!CO63/'02. Tỷ giá'!D$5,"-")</f>
        <v>-</v>
      </c>
      <c r="J63" s="106" t="str">
        <f>IFERROR(SUMIFS('01. KE30'!$K:$K,'01. KE30'!$F:$F,'05. BC BH THEO SKU-USD'!$D63,'01. KE30'!$A:$A,'05. BC BH THEO SKU-USD'!J$4)/'05. BC BH THEO SKU-USD'!CP63/'02. Tỷ giá'!E$5,"-")</f>
        <v>-</v>
      </c>
      <c r="K63" s="106" t="str">
        <f>IFERROR(SUMIFS('01. KE30'!$K:$K,'01. KE30'!$F:$F,'05. BC BH THEO SKU-USD'!$D63,'01. KE30'!$A:$A,'05. BC BH THEO SKU-USD'!K$4)/'05. BC BH THEO SKU-USD'!CQ63/'02. Tỷ giá'!F$5,"-")</f>
        <v>-</v>
      </c>
      <c r="L63" s="106" t="str">
        <f>IFERROR(SUMIFS('01. KE30'!$K:$K,'01. KE30'!$F:$F,'05. BC BH THEO SKU-USD'!$D63,'01. KE30'!$A:$A,'05. BC BH THEO SKU-USD'!L$4)/'05. BC BH THEO SKU-USD'!CR63/'02. Tỷ giá'!G$5,"-")</f>
        <v>-</v>
      </c>
      <c r="M63" s="106" t="str">
        <f>IFERROR(SUMIFS('01. KE30'!$K:$K,'01. KE30'!$F:$F,'05. BC BH THEO SKU-USD'!$D63,'01. KE30'!$A:$A,'05. BC BH THEO SKU-USD'!M$4)/'05. BC BH THEO SKU-USD'!CS63/'02. Tỷ giá'!H$5,"-")</f>
        <v>-</v>
      </c>
      <c r="N63" s="106" t="str">
        <f>IFERROR(SUMIFS('01. KE30'!$K:$K,'01. KE30'!$F:$F,'05. BC BH THEO SKU-USD'!$D63,'01. KE30'!$A:$A,'05. BC BH THEO SKU-USD'!N$4)/'05. BC BH THEO SKU-USD'!CT63/'02. Tỷ giá'!I$5,"-")</f>
        <v>-</v>
      </c>
      <c r="O63" s="106" t="str">
        <f>IFERROR(SUMIFS('01. KE30'!$K:$K,'01. KE30'!$F:$F,'05. BC BH THEO SKU-USD'!$D63,'01. KE30'!$A:$A,'05. BC BH THEO SKU-USD'!O$4)/'05. BC BH THEO SKU-USD'!CU63/'02. Tỷ giá'!J$5,"-")</f>
        <v>-</v>
      </c>
      <c r="P63" s="106" t="str">
        <f>IFERROR(SUMIFS('01. KE30'!$K:$K,'01. KE30'!$F:$F,'05. BC BH THEO SKU-USD'!$D63,'01. KE30'!$A:$A,'05. BC BH THEO SKU-USD'!P$4)/'05. BC BH THEO SKU-USD'!CV63/'02. Tỷ giá'!K$5,"-")</f>
        <v>-</v>
      </c>
      <c r="Q63" s="106" t="str">
        <f>IFERROR(SUMIFS('01. KE30'!$K:$K,'01. KE30'!$F:$F,'05. BC BH THEO SKU-USD'!$D63,'01. KE30'!$A:$A,'05. BC BH THEO SKU-USD'!Q$4)/'05. BC BH THEO SKU-USD'!CW63/'02. Tỷ giá'!L$5,"-")</f>
        <v>-</v>
      </c>
      <c r="R63" s="106" t="str">
        <f>IFERROR(SUMIFS('01. KE30'!$K:$K,'01. KE30'!$F:$F,'05. BC BH THEO SKU-USD'!$D63,'01. KE30'!$A:$A,'05. BC BH THEO SKU-USD'!R$4)/'05. BC BH THEO SKU-USD'!CX63/'02. Tỷ giá'!M$5,"-")</f>
        <v>-</v>
      </c>
      <c r="T63" s="92">
        <f t="shared" si="309"/>
        <v>827.09728239464346</v>
      </c>
      <c r="U63" s="147" t="str">
        <f>IFERROR(SUMIFS('01. KE30'!$O:$O,'01. KE30'!$F:$F,'05. BC BH THEO SKU-USD'!$D63,'01. KE30'!$A:$A,'05. BC BH THEO SKU-USD'!G$4)/'05. BC BH THEO SKU-USD'!CM63/'02. Tỷ giá'!B$5,"-")</f>
        <v>-</v>
      </c>
      <c r="V63" s="147">
        <f>IFERROR(SUMIFS('01. KE30'!$O:$O,'01. KE30'!$F:$F,'05. BC BH THEO SKU-USD'!$D63,'01. KE30'!$A:$A,'05. BC BH THEO SKU-USD'!H$4)/'05. BC BH THEO SKU-USD'!CN63/'02. Tỷ giá'!C$5,"-")</f>
        <v>827.09728239464357</v>
      </c>
      <c r="W63" s="147" t="str">
        <f>IFERROR(SUMIFS('01. KE30'!$O:$O,'01. KE30'!$F:$F,'05. BC BH THEO SKU-USD'!$D63,'01. KE30'!$A:$A,'05. BC BH THEO SKU-USD'!I$4)/'05. BC BH THEO SKU-USD'!CO63/'02. Tỷ giá'!D$5,"-")</f>
        <v>-</v>
      </c>
      <c r="X63" s="147" t="str">
        <f>IFERROR(SUMIFS('01. KE30'!$O:$O,'01. KE30'!$F:$F,'05. BC BH THEO SKU-USD'!$D63,'01. KE30'!$A:$A,'05. BC BH THEO SKU-USD'!J$4)/'05. BC BH THEO SKU-USD'!CP63/'02. Tỷ giá'!E$5,"-")</f>
        <v>-</v>
      </c>
      <c r="Y63" s="147" t="str">
        <f>IFERROR(SUMIFS('01. KE30'!$O:$O,'01. KE30'!$F:$F,'05. BC BH THEO SKU-USD'!$D63,'01. KE30'!$A:$A,'05. BC BH THEO SKU-USD'!K$4)/'05. BC BH THEO SKU-USD'!CQ63/'02. Tỷ giá'!F$5,"-")</f>
        <v>-</v>
      </c>
      <c r="Z63" s="147" t="str">
        <f>IFERROR(SUMIFS('01. KE30'!$O:$O,'01. KE30'!$F:$F,'05. BC BH THEO SKU-USD'!$D63,'01. KE30'!$A:$A,'05. BC BH THEO SKU-USD'!L$4)/'05. BC BH THEO SKU-USD'!CR63/'02. Tỷ giá'!G$5,"-")</f>
        <v>-</v>
      </c>
      <c r="AA63" s="147" t="str">
        <f>IFERROR(SUMIFS('01. KE30'!$O:$O,'01. KE30'!$F:$F,'05. BC BH THEO SKU-USD'!$D63,'01. KE30'!$A:$A,'05. BC BH THEO SKU-USD'!M$4)/'05. BC BH THEO SKU-USD'!CS63/'02. Tỷ giá'!H$5,"-")</f>
        <v>-</v>
      </c>
      <c r="AB63" s="147" t="str">
        <f>IFERROR(SUMIFS('01. KE30'!$O:$O,'01. KE30'!$F:$F,'05. BC BH THEO SKU-USD'!$D63,'01. KE30'!$A:$A,'05. BC BH THEO SKU-USD'!N$4)/'05. BC BH THEO SKU-USD'!CT63/'02. Tỷ giá'!I$5,"-")</f>
        <v>-</v>
      </c>
      <c r="AC63" s="147" t="str">
        <f>IFERROR(SUMIFS('01. KE30'!$O:$O,'01. KE30'!$F:$F,'05. BC BH THEO SKU-USD'!$D63,'01. KE30'!$A:$A,'05. BC BH THEO SKU-USD'!O$4)/'05. BC BH THEO SKU-USD'!CU63/'02. Tỷ giá'!J$5,"-")</f>
        <v>-</v>
      </c>
      <c r="AD63" s="147" t="str">
        <f>IFERROR(SUMIFS('01. KE30'!$O:$O,'01. KE30'!$F:$F,'05. BC BH THEO SKU-USD'!$D63,'01. KE30'!$A:$A,'05. BC BH THEO SKU-USD'!P$4)/'05. BC BH THEO SKU-USD'!CV63/'02. Tỷ giá'!K$5,"-")</f>
        <v>-</v>
      </c>
      <c r="AE63" s="147" t="str">
        <f>IFERROR(SUMIFS('01. KE30'!$O:$O,'01. KE30'!$F:$F,'05. BC BH THEO SKU-USD'!$D63,'01. KE30'!$A:$A,'05. BC BH THEO SKU-USD'!Q$4)/'05. BC BH THEO SKU-USD'!CW63/'02. Tỷ giá'!L$5,"-")</f>
        <v>-</v>
      </c>
      <c r="AF63" s="147" t="str">
        <f>IFERROR(SUMIFS('01. KE30'!$O:$O,'01. KE30'!$F:$F,'05. BC BH THEO SKU-USD'!$D63,'01. KE30'!$A:$A,'05. BC BH THEO SKU-USD'!R$4)/'05. BC BH THEO SKU-USD'!CX63/'02. Tỷ giá'!M$5,"-")</f>
        <v>-</v>
      </c>
      <c r="AH63" s="92">
        <f t="shared" si="480"/>
        <v>815.5</v>
      </c>
      <c r="AI63" s="4">
        <v>900</v>
      </c>
      <c r="AJ63" s="4">
        <v>820</v>
      </c>
      <c r="AK63" s="4">
        <v>840</v>
      </c>
      <c r="AL63" s="4">
        <v>835</v>
      </c>
      <c r="AM63" s="4">
        <v>815</v>
      </c>
      <c r="AN63" s="4">
        <v>815</v>
      </c>
      <c r="AO63" s="4">
        <v>790</v>
      </c>
      <c r="AP63" s="4">
        <v>769.5</v>
      </c>
      <c r="AQ63" s="4">
        <v>755</v>
      </c>
      <c r="AR63" s="4"/>
      <c r="AS63" s="4"/>
      <c r="AT63" s="4"/>
      <c r="AV63" s="95">
        <f t="shared" si="427"/>
        <v>11.597282394643457</v>
      </c>
      <c r="AW63" s="95" t="str">
        <f t="shared" si="427"/>
        <v>-</v>
      </c>
      <c r="AX63" s="95">
        <f t="shared" si="428"/>
        <v>7.097282394643571</v>
      </c>
      <c r="AY63" s="95" t="str">
        <f t="shared" si="428"/>
        <v>-</v>
      </c>
      <c r="AZ63" s="95" t="str">
        <f t="shared" si="428"/>
        <v>-</v>
      </c>
      <c r="BA63" s="95" t="str">
        <f t="shared" si="428"/>
        <v>-</v>
      </c>
      <c r="BB63" s="95" t="str">
        <f t="shared" si="428"/>
        <v>-</v>
      </c>
      <c r="BC63" s="95" t="str">
        <f t="shared" si="428"/>
        <v>-</v>
      </c>
      <c r="BD63" s="95" t="str">
        <f t="shared" si="428"/>
        <v>-</v>
      </c>
      <c r="BE63" s="95" t="str">
        <f t="shared" si="428"/>
        <v>-</v>
      </c>
      <c r="BF63" s="95" t="str">
        <f t="shared" si="428"/>
        <v>-</v>
      </c>
      <c r="BG63" s="95" t="str">
        <f t="shared" si="428"/>
        <v>-</v>
      </c>
      <c r="BH63" s="95" t="str">
        <f t="shared" si="428"/>
        <v>-</v>
      </c>
      <c r="BJ63" s="143">
        <f t="shared" si="376"/>
        <v>1.4221069766576895E-2</v>
      </c>
      <c r="BK63" s="143" t="str">
        <f t="shared" si="377"/>
        <v>-</v>
      </c>
      <c r="BL63" s="143">
        <f t="shared" si="377"/>
        <v>8.655222432492159E-3</v>
      </c>
      <c r="BM63" s="143" t="str">
        <f t="shared" si="377"/>
        <v>-</v>
      </c>
      <c r="BN63" s="143" t="str">
        <f t="shared" si="377"/>
        <v>-</v>
      </c>
      <c r="BO63" s="143" t="str">
        <f t="shared" si="377"/>
        <v>-</v>
      </c>
      <c r="BP63" s="143" t="str">
        <f t="shared" si="377"/>
        <v>-</v>
      </c>
      <c r="BQ63" s="143" t="str">
        <f t="shared" si="377"/>
        <v>-</v>
      </c>
      <c r="BR63" s="143" t="str">
        <f t="shared" si="377"/>
        <v>-</v>
      </c>
      <c r="BS63" s="143" t="str">
        <f t="shared" si="377"/>
        <v>-</v>
      </c>
      <c r="BT63" s="143" t="str">
        <f t="shared" si="377"/>
        <v>-</v>
      </c>
      <c r="BU63" s="143" t="str">
        <f t="shared" si="377"/>
        <v>-</v>
      </c>
      <c r="BV63" s="143" t="str">
        <f t="shared" si="377"/>
        <v>-</v>
      </c>
      <c r="BX63" s="112">
        <f t="shared" si="464"/>
        <v>1143.8125246159905</v>
      </c>
      <c r="BY63" s="95" t="str">
        <f>IFERROR(SUMIFS('01. KE30'!$R:$R,'01. KE30'!$F:$F,'05. BC BH THEO SKU-USD'!$D63,'01. KE30'!$A:$A,'05. BC BH THEO SKU-USD'!BY$4)/CM63/'02. Tỷ giá'!B$5," -")</f>
        <v xml:space="preserve"> -</v>
      </c>
      <c r="BZ63" s="95">
        <f>IFERROR(SUMIFS('01. KE30'!$R:$R,'01. KE30'!$F:$F,'05. BC BH THEO SKU-USD'!$D63,'01. KE30'!$A:$A,'05. BC BH THEO SKU-USD'!BZ$4)/CN63/'02. Tỷ giá'!C$5," -")</f>
        <v>1143.8125246159905</v>
      </c>
      <c r="CA63" s="95" t="str">
        <f>IFERROR(SUMIFS('01. KE30'!$R:$R,'01. KE30'!$F:$F,'05. BC BH THEO SKU-USD'!$D63,'01. KE30'!$A:$A,'05. BC BH THEO SKU-USD'!CA$4)/CO63/'02. Tỷ giá'!D$5," -")</f>
        <v xml:space="preserve"> -</v>
      </c>
      <c r="CB63" s="95" t="str">
        <f>IFERROR(SUMIFS('01. KE30'!$R:$R,'01. KE30'!$F:$F,'05. BC BH THEO SKU-USD'!$D63,'01. KE30'!$A:$A,'05. BC BH THEO SKU-USD'!CB$4)/CP63/'02. Tỷ giá'!E$5," -")</f>
        <v xml:space="preserve"> -</v>
      </c>
      <c r="CC63" s="95" t="str">
        <f>IFERROR(SUMIFS('01. KE30'!$R:$R,'01. KE30'!$F:$F,'05. BC BH THEO SKU-USD'!$D63,'01. KE30'!$A:$A,'05. BC BH THEO SKU-USD'!CC$4)/CQ63/'02. Tỷ giá'!F$5," -")</f>
        <v xml:space="preserve"> -</v>
      </c>
      <c r="CD63" s="95" t="str">
        <f>IFERROR(SUMIFS('01. KE30'!$R:$R,'01. KE30'!$F:$F,'05. BC BH THEO SKU-USD'!$D63,'01. KE30'!$A:$A,'05. BC BH THEO SKU-USD'!CD$4)/CR63/'02. Tỷ giá'!G$5," -")</f>
        <v xml:space="preserve"> -</v>
      </c>
      <c r="CE63" s="95" t="str">
        <f>IFERROR(SUMIFS('01. KE30'!$R:$R,'01. KE30'!$F:$F,'05. BC BH THEO SKU-USD'!$D63,'01. KE30'!$A:$A,'05. BC BH THEO SKU-USD'!CE$4)/CS63/'02. Tỷ giá'!H$5," -")</f>
        <v xml:space="preserve"> -</v>
      </c>
      <c r="CF63" s="95" t="str">
        <f>IFERROR(SUMIFS('01. KE30'!$R:$R,'01. KE30'!$F:$F,'05. BC BH THEO SKU-USD'!$D63,'01. KE30'!$A:$A,'05. BC BH THEO SKU-USD'!CF$4)/CT63/'02. Tỷ giá'!I$5," -")</f>
        <v xml:space="preserve"> -</v>
      </c>
      <c r="CG63" s="95" t="str">
        <f>IFERROR(SUMIFS('01. KE30'!$R:$R,'01. KE30'!$F:$F,'05. BC BH THEO SKU-USD'!$D63,'01. KE30'!$A:$A,'05. BC BH THEO SKU-USD'!CG$4)/CU63/'02. Tỷ giá'!J$5," -")</f>
        <v xml:space="preserve"> -</v>
      </c>
      <c r="CH63" s="95" t="str">
        <f>IFERROR(SUMIFS('01. KE30'!$R:$R,'01. KE30'!$F:$F,'05. BC BH THEO SKU-USD'!$D63,'01. KE30'!$A:$A,'05. BC BH THEO SKU-USD'!CH$4)/CV63/'02. Tỷ giá'!K$5," -")</f>
        <v xml:space="preserve"> -</v>
      </c>
      <c r="CI63" s="95" t="str">
        <f>IFERROR(SUMIFS('01. KE30'!$R:$R,'01. KE30'!$F:$F,'05. BC BH THEO SKU-USD'!$D63,'01. KE30'!$A:$A,'05. BC BH THEO SKU-USD'!CI$4)/CW63/'02. Tỷ giá'!L$5," -")</f>
        <v xml:space="preserve"> -</v>
      </c>
      <c r="CJ63" s="95" t="str">
        <f>IFERROR(SUMIFS('01. KE30'!$R:$R,'01. KE30'!$F:$F,'05. BC BH THEO SKU-USD'!$D63,'01. KE30'!$A:$A,'05. BC BH THEO SKU-USD'!CJ$4)/CX63/'02. Tỷ giá'!M$5," -")</f>
        <v xml:space="preserve"> -</v>
      </c>
      <c r="CL63" s="112">
        <f t="shared" si="465"/>
        <v>5.0000000000000001E-3</v>
      </c>
      <c r="CM63" s="114">
        <f>SUMIFS('01. KE30'!$I:$I,'01. KE30'!$F:$F,'05. BC BH THEO SKU-USD'!$D63,'01. KE30'!$A:$A,'05. BC BH THEO SKU-USD'!CM$4)/1000</f>
        <v>0</v>
      </c>
      <c r="CN63" s="114">
        <f>SUMIFS('01. KE30'!$I:$I,'01. KE30'!$F:$F,'05. BC BH THEO SKU-USD'!$D63,'01. KE30'!$A:$A,'05. BC BH THEO SKU-USD'!CN$4)/1000</f>
        <v>5.0000000000000001E-3</v>
      </c>
      <c r="CO63" s="114">
        <f>SUMIFS('01. KE30'!$I:$I,'01. KE30'!$F:$F,'05. BC BH THEO SKU-USD'!$D63,'01. KE30'!$A:$A,'05. BC BH THEO SKU-USD'!CO$4)/1000</f>
        <v>0</v>
      </c>
      <c r="CP63" s="114">
        <f>SUMIFS('01. KE30'!$I:$I,'01. KE30'!$F:$F,'05. BC BH THEO SKU-USD'!$D63,'01. KE30'!$A:$A,'05. BC BH THEO SKU-USD'!CP$4)/1000</f>
        <v>0</v>
      </c>
      <c r="CQ63" s="114">
        <f>SUMIFS('01. KE30'!$I:$I,'01. KE30'!$F:$F,'05. BC BH THEO SKU-USD'!$D63,'01. KE30'!$A:$A,'05. BC BH THEO SKU-USD'!CQ$4)/1000</f>
        <v>0</v>
      </c>
      <c r="CR63" s="114">
        <f>SUMIFS('01. KE30'!$I:$I,'01. KE30'!$F:$F,'05. BC BH THEO SKU-USD'!$D63,'01. KE30'!$A:$A,'05. BC BH THEO SKU-USD'!CR$4)/1000</f>
        <v>0</v>
      </c>
      <c r="CS63" s="114">
        <f>SUMIFS('01. KE30'!$I:$I,'01. KE30'!$F:$F,'05. BC BH THEO SKU-USD'!$D63,'01. KE30'!$A:$A,'05. BC BH THEO SKU-USD'!CS$4)/1000</f>
        <v>0</v>
      </c>
      <c r="CT63" s="114">
        <f>SUMIFS('01. KE30'!$I:$I,'01. KE30'!$F:$F,'05. BC BH THEO SKU-USD'!$D63,'01. KE30'!$A:$A,'05. BC BH THEO SKU-USD'!CT$4)/1000</f>
        <v>0</v>
      </c>
      <c r="CU63" s="114">
        <f>SUMIFS('01. KE30'!$I:$I,'01. KE30'!$F:$F,'05. BC BH THEO SKU-USD'!$D63,'01. KE30'!$A:$A,'05. BC BH THEO SKU-USD'!CU$4)/1000</f>
        <v>0</v>
      </c>
      <c r="CV63" s="114">
        <f>SUMIFS('01. KE30'!$I:$I,'01. KE30'!$F:$F,'05. BC BH THEO SKU-USD'!$D63,'01. KE30'!$A:$A,'05. BC BH THEO SKU-USD'!CV$4)/1000</f>
        <v>0</v>
      </c>
      <c r="CW63" s="114">
        <f>SUMIFS('01. KE30'!$I:$I,'01. KE30'!$F:$F,'05. BC BH THEO SKU-USD'!$D63,'01. KE30'!$A:$A,'05. BC BH THEO SKU-USD'!CW$4)/1000</f>
        <v>0</v>
      </c>
      <c r="CX63" s="114">
        <f>SUMIFS('01. KE30'!$I:$I,'01. KE30'!$F:$F,'05. BC BH THEO SKU-USD'!$D63,'01. KE30'!$A:$A,'05. BC BH THEO SKU-USD'!CX$4)/1000</f>
        <v>0</v>
      </c>
      <c r="CZ63" s="112">
        <f t="shared" si="466"/>
        <v>4.1354864119732175</v>
      </c>
      <c r="DA63" s="54" t="str">
        <f t="shared" si="467"/>
        <v xml:space="preserve"> -</v>
      </c>
      <c r="DB63" s="54">
        <f t="shared" si="468"/>
        <v>4.1354864119732175</v>
      </c>
      <c r="DC63" s="54" t="str">
        <f t="shared" si="469"/>
        <v xml:space="preserve"> -</v>
      </c>
      <c r="DD63" s="54" t="str">
        <f t="shared" si="470"/>
        <v xml:space="preserve"> -</v>
      </c>
      <c r="DE63" s="54" t="str">
        <f t="shared" si="471"/>
        <v xml:space="preserve"> -</v>
      </c>
      <c r="DF63" s="54" t="str">
        <f t="shared" si="472"/>
        <v xml:space="preserve"> -</v>
      </c>
      <c r="DG63" s="54" t="str">
        <f t="shared" si="473"/>
        <v xml:space="preserve"> -</v>
      </c>
      <c r="DH63" s="54" t="str">
        <f t="shared" si="474"/>
        <v xml:space="preserve"> -</v>
      </c>
      <c r="DI63" s="54" t="str">
        <f t="shared" si="475"/>
        <v xml:space="preserve"> -</v>
      </c>
      <c r="DJ63" s="54" t="str">
        <f t="shared" si="476"/>
        <v xml:space="preserve"> -</v>
      </c>
      <c r="DK63" s="54" t="str">
        <f t="shared" si="477"/>
        <v xml:space="preserve"> -</v>
      </c>
      <c r="DL63" s="54" t="str">
        <f t="shared" si="478"/>
        <v xml:space="preserve"> -</v>
      </c>
      <c r="DN63" s="112">
        <f t="shared" si="479"/>
        <v>-1.5835762111067355</v>
      </c>
      <c r="DO63" s="114">
        <f>IFERROR(SUMIFS('01. KE30'!$X:$X,'01. KE30'!$F:$F,'05. BC BH THEO SKU-USD'!$D63,'01. KE30'!$A:$A,'05. BC BH THEO SKU-USD'!DO$4)-SUMIFS('01. KE30'!$AA:$AA,'01. KE30'!$F:$F,'05. BC BH THEO SKU-USD'!$D63,'01. KE30'!$A:$A,'05. BC BH THEO SKU-USD'!DO$4),"-")</f>
        <v>0</v>
      </c>
      <c r="DP63" s="114">
        <f>IFERROR(SUMIFS('01. KE30'!$X:$X,'01. KE30'!$F:$F,'05. BC BH THEO SKU-USD'!$D63,'01. KE30'!$A:$A,'05. BC BH THEO SKU-USD'!DP$4)-SUMIFS('01. KE30'!$AA:$AA,'01. KE30'!$F:$F,'05. BC BH THEO SKU-USD'!$D63,'01. KE30'!$A:$A,'05. BC BH THEO SKU-USD'!DP$4),"-")</f>
        <v>-1.5835762111067355</v>
      </c>
      <c r="DQ63" s="114">
        <f>IFERROR(SUMIFS('01. KE30'!$X:$X,'01. KE30'!$F:$F,'05. BC BH THEO SKU-USD'!$D63,'01. KE30'!$A:$A,'05. BC BH THEO SKU-USD'!DQ$4)-SUMIFS('01. KE30'!$AA:$AA,'01. KE30'!$F:$F,'05. BC BH THEO SKU-USD'!$D63,'01. KE30'!$A:$A,'05. BC BH THEO SKU-USD'!DQ$4),"-")</f>
        <v>0</v>
      </c>
      <c r="DR63" s="114">
        <f>IFERROR(SUMIFS('01. KE30'!$X:$X,'01. KE30'!$F:$F,'05. BC BH THEO SKU-USD'!$D63,'01. KE30'!$A:$A,'05. BC BH THEO SKU-USD'!DR$4)-SUMIFS('01. KE30'!$AA:$AA,'01. KE30'!$F:$F,'05. BC BH THEO SKU-USD'!$D63,'01. KE30'!$A:$A,'05. BC BH THEO SKU-USD'!DR$4),"-")</f>
        <v>0</v>
      </c>
      <c r="DS63" s="114">
        <f>IFERROR(SUMIFS('01. KE30'!$X:$X,'01. KE30'!$F:$F,'05. BC BH THEO SKU-USD'!$D63,'01. KE30'!$A:$A,'05. BC BH THEO SKU-USD'!DS$4)-SUMIFS('01. KE30'!$AA:$AA,'01. KE30'!$F:$F,'05. BC BH THEO SKU-USD'!$D63,'01. KE30'!$A:$A,'05. BC BH THEO SKU-USD'!DS$4),"-")</f>
        <v>0</v>
      </c>
      <c r="DT63" s="114">
        <f>IFERROR(SUMIFS('01. KE30'!$X:$X,'01. KE30'!$F:$F,'05. BC BH THEO SKU-USD'!$D63,'01. KE30'!$A:$A,'05. BC BH THEO SKU-USD'!DT$4)-SUMIFS('01. KE30'!$AA:$AA,'01. KE30'!$F:$F,'05. BC BH THEO SKU-USD'!$D63,'01. KE30'!$A:$A,'05. BC BH THEO SKU-USD'!DT$4),"-")</f>
        <v>0</v>
      </c>
      <c r="DU63" s="114">
        <f>IFERROR(SUMIFS('01. KE30'!$X:$X,'01. KE30'!$F:$F,'05. BC BH THEO SKU-USD'!$D63,'01. KE30'!$A:$A,'05. BC BH THEO SKU-USD'!DU$4)-SUMIFS('01. KE30'!$AA:$AA,'01. KE30'!$F:$F,'05. BC BH THEO SKU-USD'!$D63,'01. KE30'!$A:$A,'05. BC BH THEO SKU-USD'!DU$4),"-")</f>
        <v>0</v>
      </c>
      <c r="DV63" s="114">
        <f>IFERROR(SUMIFS('01. KE30'!$X:$X,'01. KE30'!$F:$F,'05. BC BH THEO SKU-USD'!$D63,'01. KE30'!$A:$A,'05. BC BH THEO SKU-USD'!DV$4)-SUMIFS('01. KE30'!$AA:$AA,'01. KE30'!$F:$F,'05. BC BH THEO SKU-USD'!$D63,'01. KE30'!$A:$A,'05. BC BH THEO SKU-USD'!DV$4),"-")</f>
        <v>0</v>
      </c>
      <c r="DW63" s="114">
        <f>IFERROR(SUMIFS('01. KE30'!$X:$X,'01. KE30'!$F:$F,'05. BC BH THEO SKU-USD'!$D63,'01. KE30'!$A:$A,'05. BC BH THEO SKU-USD'!DW$4)-SUMIFS('01. KE30'!$AA:$AA,'01. KE30'!$F:$F,'05. BC BH THEO SKU-USD'!$D63,'01. KE30'!$A:$A,'05. BC BH THEO SKU-USD'!DW$4),"-")</f>
        <v>0</v>
      </c>
      <c r="DX63" s="114">
        <f>IFERROR(SUMIFS('01. KE30'!$X:$X,'01. KE30'!$F:$F,'05. BC BH THEO SKU-USD'!$D63,'01. KE30'!$A:$A,'05. BC BH THEO SKU-USD'!DX$4)-SUMIFS('01. KE30'!$AA:$AA,'01. KE30'!$F:$F,'05. BC BH THEO SKU-USD'!$D63,'01. KE30'!$A:$A,'05. BC BH THEO SKU-USD'!DX$4),"-")</f>
        <v>0</v>
      </c>
      <c r="DY63" s="114">
        <f>IFERROR(SUMIFS('01. KE30'!$X:$X,'01. KE30'!$F:$F,'05. BC BH THEO SKU-USD'!$D63,'01. KE30'!$A:$A,'05. BC BH THEO SKU-USD'!DY$4)-SUMIFS('01. KE30'!$AA:$AA,'01. KE30'!$F:$F,'05. BC BH THEO SKU-USD'!$D63,'01. KE30'!$A:$A,'05. BC BH THEO SKU-USD'!DY$4),"-")</f>
        <v>0</v>
      </c>
      <c r="DZ63" s="114">
        <f>IFERROR(SUMIFS('01. KE30'!$X:$X,'01. KE30'!$F:$F,'05. BC BH THEO SKU-USD'!$D63,'01. KE30'!$A:$A,'05. BC BH THEO SKU-USD'!DZ$4)-SUMIFS('01. KE30'!$AA:$AA,'01. KE30'!$F:$F,'05. BC BH THEO SKU-USD'!$D63,'01. KE30'!$A:$A,'05. BC BH THEO SKU-USD'!DZ$4),"-")</f>
        <v>0</v>
      </c>
      <c r="EB63" s="571">
        <f t="shared" si="252"/>
        <v>-0.38292380952380967</v>
      </c>
      <c r="EC63" s="573">
        <f t="shared" si="253"/>
        <v>0</v>
      </c>
      <c r="ED63" s="572">
        <f t="shared" si="19"/>
        <v>-0.38292380952380967</v>
      </c>
      <c r="EE63" s="572">
        <f t="shared" si="20"/>
        <v>0</v>
      </c>
      <c r="EF63" s="572">
        <f t="shared" si="21"/>
        <v>0</v>
      </c>
      <c r="EG63" s="572">
        <f t="shared" si="22"/>
        <v>0</v>
      </c>
      <c r="EH63" s="572">
        <f t="shared" si="23"/>
        <v>0</v>
      </c>
      <c r="EI63" s="572">
        <f t="shared" si="24"/>
        <v>0</v>
      </c>
      <c r="EJ63" s="572">
        <f t="shared" si="25"/>
        <v>0</v>
      </c>
      <c r="EK63" s="572">
        <f t="shared" si="26"/>
        <v>0</v>
      </c>
      <c r="EL63" s="572">
        <f t="shared" si="27"/>
        <v>0</v>
      </c>
      <c r="EM63" s="572">
        <f t="shared" si="28"/>
        <v>0</v>
      </c>
      <c r="EN63" s="572">
        <f t="shared" si="29"/>
        <v>0</v>
      </c>
    </row>
    <row r="64" spans="1:144" ht="15.5" outlineLevel="1" x14ac:dyDescent="0.35">
      <c r="A64" s="10">
        <f t="shared" si="481"/>
        <v>5</v>
      </c>
      <c r="B64" s="10" t="s">
        <v>490</v>
      </c>
      <c r="C64" s="246" t="str">
        <f>VLOOKUP(D64,'Quy đổi'!A:C,3,0)</f>
        <v>rPP20B01</v>
      </c>
      <c r="D64" s="464" t="s">
        <v>11</v>
      </c>
      <c r="E64" s="7" t="s">
        <v>10</v>
      </c>
      <c r="F64" s="92">
        <f t="shared" si="463"/>
        <v>829.43787496111372</v>
      </c>
      <c r="G64" s="106" t="str">
        <f>IFERROR(SUMIFS('01. KE30'!$K:$K,'01. KE30'!$F:$F,'05. BC BH THEO SKU-USD'!$D64,'01. KE30'!$A:$A,'05. BC BH THEO SKU-USD'!G$4)/'05. BC BH THEO SKU-USD'!CM64/'02. Tỷ giá'!B$5,"-")</f>
        <v>-</v>
      </c>
      <c r="H64" s="106">
        <f>IFERROR(SUMIFS('01. KE30'!$K:$K,'01. KE30'!$F:$F,'05. BC BH THEO SKU-USD'!$D64,'01. KE30'!$A:$A,'05. BC BH THEO SKU-USD'!H$4)/'05. BC BH THEO SKU-USD'!CN64/'02. Tỷ giá'!C$5,"-")</f>
        <v>1083.652378270875</v>
      </c>
      <c r="I64" s="106" t="str">
        <f>IFERROR(SUMIFS('01. KE30'!$K:$K,'01. KE30'!$F:$F,'05. BC BH THEO SKU-USD'!$D64,'01. KE30'!$A:$A,'05. BC BH THEO SKU-USD'!I$4)/'05. BC BH THEO SKU-USD'!CO64/'02. Tỷ giá'!D$5,"-")</f>
        <v>-</v>
      </c>
      <c r="J64" s="106">
        <f>IFERROR(SUMIFS('01. KE30'!$K:$K,'01. KE30'!$F:$F,'05. BC BH THEO SKU-USD'!$D64,'01. KE30'!$A:$A,'05. BC BH THEO SKU-USD'!J$4)/'05. BC BH THEO SKU-USD'!CP64/'02. Tỷ giá'!E$5,"-")</f>
        <v>737.9945799457995</v>
      </c>
      <c r="K64" s="106" t="str">
        <f>IFERROR(SUMIFS('01. KE30'!$K:$K,'01. KE30'!$F:$F,'05. BC BH THEO SKU-USD'!$D64,'01. KE30'!$A:$A,'05. BC BH THEO SKU-USD'!K$4)/'05. BC BH THEO SKU-USD'!CQ64/'02. Tỷ giá'!F$5,"-")</f>
        <v>-</v>
      </c>
      <c r="L64" s="106" t="str">
        <f>IFERROR(SUMIFS('01. KE30'!$K:$K,'01. KE30'!$F:$F,'05. BC BH THEO SKU-USD'!$D64,'01. KE30'!$A:$A,'05. BC BH THEO SKU-USD'!L$4)/'05. BC BH THEO SKU-USD'!CR64/'02. Tỷ giá'!G$5,"-")</f>
        <v>-</v>
      </c>
      <c r="M64" s="106" t="str">
        <f>IFERROR(SUMIFS('01. KE30'!$K:$K,'01. KE30'!$F:$F,'05. BC BH THEO SKU-USD'!$D64,'01. KE30'!$A:$A,'05. BC BH THEO SKU-USD'!M$4)/'05. BC BH THEO SKU-USD'!CS64/'02. Tỷ giá'!H$5,"-")</f>
        <v>-</v>
      </c>
      <c r="N64" s="106" t="str">
        <f>IFERROR(SUMIFS('01. KE30'!$K:$K,'01. KE30'!$F:$F,'05. BC BH THEO SKU-USD'!$D64,'01. KE30'!$A:$A,'05. BC BH THEO SKU-USD'!N$4)/'05. BC BH THEO SKU-USD'!CT64/'02. Tỷ giá'!I$5,"-")</f>
        <v>-</v>
      </c>
      <c r="O64" s="106">
        <f>IFERROR(SUMIFS('01. KE30'!$K:$K,'01. KE30'!$F:$F,'05. BC BH THEO SKU-USD'!$D64,'01. KE30'!$A:$A,'05. BC BH THEO SKU-USD'!O$4)/'05. BC BH THEO SKU-USD'!CU64/'02. Tỷ giá'!J$5,"-")</f>
        <v>666.66666666666663</v>
      </c>
      <c r="P64" s="106" t="str">
        <f>IFERROR(SUMIFS('01. KE30'!$K:$K,'01. KE30'!$F:$F,'05. BC BH THEO SKU-USD'!$D64,'01. KE30'!$A:$A,'05. BC BH THEO SKU-USD'!P$4)/'05. BC BH THEO SKU-USD'!CV64/'02. Tỷ giá'!K$5,"-")</f>
        <v>-</v>
      </c>
      <c r="Q64" s="106" t="str">
        <f>IFERROR(SUMIFS('01. KE30'!$K:$K,'01. KE30'!$F:$F,'05. BC BH THEO SKU-USD'!$D64,'01. KE30'!$A:$A,'05. BC BH THEO SKU-USD'!Q$4)/'05. BC BH THEO SKU-USD'!CW64/'02. Tỷ giá'!L$5,"-")</f>
        <v>-</v>
      </c>
      <c r="R64" s="106" t="str">
        <f>IFERROR(SUMIFS('01. KE30'!$K:$K,'01. KE30'!$F:$F,'05. BC BH THEO SKU-USD'!$D64,'01. KE30'!$A:$A,'05. BC BH THEO SKU-USD'!R$4)/'05. BC BH THEO SKU-USD'!CX64/'02. Tỷ giá'!M$5,"-")</f>
        <v>-</v>
      </c>
      <c r="T64" s="92">
        <f t="shared" si="309"/>
        <v>1022.0216623494875</v>
      </c>
      <c r="U64" s="147" t="str">
        <f>IFERROR(SUMIFS('01. KE30'!$O:$O,'01. KE30'!$F:$F,'05. BC BH THEO SKU-USD'!$D64,'01. KE30'!$A:$A,'05. BC BH THEO SKU-USD'!G$4)/'05. BC BH THEO SKU-USD'!CM64/'02. Tỷ giá'!B$5,"-")</f>
        <v>-</v>
      </c>
      <c r="V64" s="147">
        <f>IFERROR(SUMIFS('01. KE30'!$O:$O,'01. KE30'!$F:$F,'05. BC BH THEO SKU-USD'!$D64,'01. KE30'!$A:$A,'05. BC BH THEO SKU-USD'!H$4)/'05. BC BH THEO SKU-USD'!CN64/'02. Tỷ giá'!C$5,"-")</f>
        <v>1083.652378270875</v>
      </c>
      <c r="W64" s="147" t="str">
        <f>IFERROR(SUMIFS('01. KE30'!$O:$O,'01. KE30'!$F:$F,'05. BC BH THEO SKU-USD'!$D64,'01. KE30'!$A:$A,'05. BC BH THEO SKU-USD'!I$4)/'05. BC BH THEO SKU-USD'!CO64/'02. Tỷ giá'!D$5,"-")</f>
        <v>-</v>
      </c>
      <c r="X64" s="147">
        <f>IFERROR(SUMIFS('01. KE30'!$O:$O,'01. KE30'!$F:$F,'05. BC BH THEO SKU-USD'!$D64,'01. KE30'!$A:$A,'05. BC BH THEO SKU-USD'!J$4)/'05. BC BH THEO SKU-USD'!CP64/'02. Tỷ giá'!E$5,"-")</f>
        <v>737.9945799457995</v>
      </c>
      <c r="Y64" s="147" t="str">
        <f>IFERROR(SUMIFS('01. KE30'!$O:$O,'01. KE30'!$F:$F,'05. BC BH THEO SKU-USD'!$D64,'01. KE30'!$A:$A,'05. BC BH THEO SKU-USD'!K$4)/'05. BC BH THEO SKU-USD'!CQ64/'02. Tỷ giá'!F$5,"-")</f>
        <v>-</v>
      </c>
      <c r="Z64" s="147" t="str">
        <f>IFERROR(SUMIFS('01. KE30'!$O:$O,'01. KE30'!$F:$F,'05. BC BH THEO SKU-USD'!$D64,'01. KE30'!$A:$A,'05. BC BH THEO SKU-USD'!L$4)/'05. BC BH THEO SKU-USD'!CR64/'02. Tỷ giá'!G$5,"-")</f>
        <v>-</v>
      </c>
      <c r="AA64" s="147" t="str">
        <f>IFERROR(SUMIFS('01. KE30'!$O:$O,'01. KE30'!$F:$F,'05. BC BH THEO SKU-USD'!$D64,'01. KE30'!$A:$A,'05. BC BH THEO SKU-USD'!M$4)/'05. BC BH THEO SKU-USD'!CS64/'02. Tỷ giá'!H$5,"-")</f>
        <v>-</v>
      </c>
      <c r="AB64" s="147" t="str">
        <f>IFERROR(SUMIFS('01. KE30'!$O:$O,'01. KE30'!$F:$F,'05. BC BH THEO SKU-USD'!$D64,'01. KE30'!$A:$A,'05. BC BH THEO SKU-USD'!N$4)/'05. BC BH THEO SKU-USD'!CT64/'02. Tỷ giá'!I$5,"-")</f>
        <v>-</v>
      </c>
      <c r="AC64" s="147">
        <f>IFERROR(SUMIFS('01. KE30'!$O:$O,'01. KE30'!$F:$F,'05. BC BH THEO SKU-USD'!$D64,'01. KE30'!$A:$A,'05. BC BH THEO SKU-USD'!O$4)/'05. BC BH THEO SKU-USD'!CU64/'02. Tỷ giá'!J$5,"-")</f>
        <v>666.66666666666663</v>
      </c>
      <c r="AD64" s="147" t="str">
        <f>IFERROR(SUMIFS('01. KE30'!$O:$O,'01. KE30'!$F:$F,'05. BC BH THEO SKU-USD'!$D64,'01. KE30'!$A:$A,'05. BC BH THEO SKU-USD'!P$4)/'05. BC BH THEO SKU-USD'!CV64/'02. Tỷ giá'!K$5,"-")</f>
        <v>-</v>
      </c>
      <c r="AE64" s="147" t="str">
        <f>IFERROR(SUMIFS('01. KE30'!$O:$O,'01. KE30'!$F:$F,'05. BC BH THEO SKU-USD'!$D64,'01. KE30'!$A:$A,'05. BC BH THEO SKU-USD'!Q$4)/'05. BC BH THEO SKU-USD'!CW64/'02. Tỷ giá'!L$5,"-")</f>
        <v>-</v>
      </c>
      <c r="AF64" s="147" t="str">
        <f>IFERROR(SUMIFS('01. KE30'!$O:$O,'01. KE30'!$F:$F,'05. BC BH THEO SKU-USD'!$D64,'01. KE30'!$A:$A,'05. BC BH THEO SKU-USD'!R$4)/'05. BC BH THEO SKU-USD'!CX64/'02. Tỷ giá'!M$5,"-")</f>
        <v>-</v>
      </c>
      <c r="AH64" s="92">
        <f t="shared" si="480"/>
        <v>793.27777777777783</v>
      </c>
      <c r="AI64" s="4">
        <v>900</v>
      </c>
      <c r="AJ64" s="4">
        <v>720</v>
      </c>
      <c r="AK64" s="4">
        <v>740</v>
      </c>
      <c r="AL64" s="4">
        <v>835</v>
      </c>
      <c r="AM64" s="4">
        <v>815</v>
      </c>
      <c r="AN64" s="4">
        <v>815</v>
      </c>
      <c r="AO64" s="4">
        <v>790</v>
      </c>
      <c r="AP64" s="4">
        <v>769.5</v>
      </c>
      <c r="AQ64" s="4">
        <v>755</v>
      </c>
      <c r="AR64" s="4"/>
      <c r="AS64" s="4"/>
      <c r="AT64" s="4"/>
      <c r="AV64" s="95">
        <f t="shared" si="427"/>
        <v>228.74388457170971</v>
      </c>
      <c r="AW64" s="95" t="str">
        <f t="shared" si="427"/>
        <v>-</v>
      </c>
      <c r="AX64" s="95">
        <f t="shared" si="428"/>
        <v>363.65237827087503</v>
      </c>
      <c r="AY64" s="95" t="str">
        <f t="shared" si="428"/>
        <v>-</v>
      </c>
      <c r="AZ64" s="95">
        <f t="shared" si="428"/>
        <v>-97.005420054200499</v>
      </c>
      <c r="BA64" s="95" t="str">
        <f t="shared" si="428"/>
        <v>-</v>
      </c>
      <c r="BB64" s="95" t="str">
        <f t="shared" si="428"/>
        <v>-</v>
      </c>
      <c r="BC64" s="95" t="str">
        <f t="shared" si="428"/>
        <v>-</v>
      </c>
      <c r="BD64" s="95" t="str">
        <f t="shared" si="428"/>
        <v>-</v>
      </c>
      <c r="BE64" s="95">
        <f t="shared" si="428"/>
        <v>-88.333333333333371</v>
      </c>
      <c r="BF64" s="95" t="str">
        <f t="shared" si="428"/>
        <v>-</v>
      </c>
      <c r="BG64" s="95" t="str">
        <f t="shared" si="428"/>
        <v>-</v>
      </c>
      <c r="BH64" s="95" t="str">
        <f t="shared" si="428"/>
        <v>-</v>
      </c>
      <c r="BJ64" s="143">
        <f t="shared" si="376"/>
        <v>0.28835282038593563</v>
      </c>
      <c r="BK64" s="143" t="str">
        <f t="shared" si="377"/>
        <v>-</v>
      </c>
      <c r="BL64" s="143">
        <f t="shared" si="377"/>
        <v>0.50507274759843757</v>
      </c>
      <c r="BM64" s="143" t="str">
        <f t="shared" si="377"/>
        <v>-</v>
      </c>
      <c r="BN64" s="143">
        <f t="shared" si="377"/>
        <v>-0.11617415575353353</v>
      </c>
      <c r="BO64" s="143" t="str">
        <f t="shared" si="377"/>
        <v>-</v>
      </c>
      <c r="BP64" s="143" t="str">
        <f t="shared" si="377"/>
        <v>-</v>
      </c>
      <c r="BQ64" s="143" t="str">
        <f t="shared" si="377"/>
        <v>-</v>
      </c>
      <c r="BR64" s="143" t="str">
        <f t="shared" si="377"/>
        <v>-</v>
      </c>
      <c r="BS64" s="143">
        <f t="shared" si="377"/>
        <v>-0.11699779249448129</v>
      </c>
      <c r="BT64" s="143" t="str">
        <f t="shared" si="377"/>
        <v>-</v>
      </c>
      <c r="BU64" s="143" t="str">
        <f t="shared" si="377"/>
        <v>-</v>
      </c>
      <c r="BV64" s="143" t="str">
        <f t="shared" si="377"/>
        <v>-</v>
      </c>
      <c r="BX64" s="112">
        <f t="shared" si="464"/>
        <v>829.90569908139798</v>
      </c>
      <c r="BY64" s="95" t="str">
        <f>IFERROR(SUMIFS('01. KE30'!$R:$R,'01. KE30'!$F:$F,'05. BC BH THEO SKU-USD'!$D64,'01. KE30'!$A:$A,'05. BC BH THEO SKU-USD'!BY$4)/CM64/'02. Tỷ giá'!B$5," -")</f>
        <v xml:space="preserve"> -</v>
      </c>
      <c r="BZ64" s="95">
        <f>IFERROR(SUMIFS('01. KE30'!$R:$R,'01. KE30'!$F:$F,'05. BC BH THEO SKU-USD'!$D64,'01. KE30'!$A:$A,'05. BC BH THEO SKU-USD'!BZ$4)/CN64/'02. Tỷ giá'!C$5," -")</f>
        <v>843.91382043428302</v>
      </c>
      <c r="CA64" s="95" t="str">
        <f>IFERROR(SUMIFS('01. KE30'!$R:$R,'01. KE30'!$F:$F,'05. BC BH THEO SKU-USD'!$D64,'01. KE30'!$A:$A,'05. BC BH THEO SKU-USD'!CA$4)/CO64/'02. Tỷ giá'!D$5," -")</f>
        <v xml:space="preserve"> -</v>
      </c>
      <c r="CB64" s="95">
        <f>IFERROR(SUMIFS('01. KE30'!$R:$R,'01. KE30'!$F:$F,'05. BC BH THEO SKU-USD'!$D64,'01. KE30'!$A:$A,'05. BC BH THEO SKU-USD'!CB$4)/CP64/'02. Tỷ giá'!E$5," -")</f>
        <v>829.53813395276813</v>
      </c>
      <c r="CC64" s="95" t="str">
        <f>IFERROR(SUMIFS('01. KE30'!$R:$R,'01. KE30'!$F:$F,'05. BC BH THEO SKU-USD'!$D64,'01. KE30'!$A:$A,'05. BC BH THEO SKU-USD'!CC$4)/CQ64/'02. Tỷ giá'!F$5," -")</f>
        <v xml:space="preserve"> -</v>
      </c>
      <c r="CD64" s="95" t="str">
        <f>IFERROR(SUMIFS('01. KE30'!$R:$R,'01. KE30'!$F:$F,'05. BC BH THEO SKU-USD'!$D64,'01. KE30'!$A:$A,'05. BC BH THEO SKU-USD'!CD$4)/CR64/'02. Tỷ giá'!G$5," -")</f>
        <v xml:space="preserve"> -</v>
      </c>
      <c r="CE64" s="95" t="str">
        <f>IFERROR(SUMIFS('01. KE30'!$R:$R,'01. KE30'!$F:$F,'05. BC BH THEO SKU-USD'!$D64,'01. KE30'!$A:$A,'05. BC BH THEO SKU-USD'!CE$4)/CS64/'02. Tỷ giá'!H$5," -")</f>
        <v xml:space="preserve"> -</v>
      </c>
      <c r="CF64" s="95" t="str">
        <f>IFERROR(SUMIFS('01. KE30'!$R:$R,'01. KE30'!$F:$F,'05. BC BH THEO SKU-USD'!$D64,'01. KE30'!$A:$A,'05. BC BH THEO SKU-USD'!CF$4)/CT64/'02. Tỷ giá'!I$5," -")</f>
        <v xml:space="preserve"> -</v>
      </c>
      <c r="CG64" s="95">
        <f>IFERROR(SUMIFS('01. KE30'!$R:$R,'01. KE30'!$F:$F,'05. BC BH THEO SKU-USD'!$D64,'01. KE30'!$A:$A,'05. BC BH THEO SKU-USD'!CG$4)/CU64/'02. Tỷ giá'!J$5," -")</f>
        <v>816.26514285714291</v>
      </c>
      <c r="CH64" s="95" t="str">
        <f>IFERROR(SUMIFS('01. KE30'!$R:$R,'01. KE30'!$F:$F,'05. BC BH THEO SKU-USD'!$D64,'01. KE30'!$A:$A,'05. BC BH THEO SKU-USD'!CH$4)/CV64/'02. Tỷ giá'!K$5," -")</f>
        <v xml:space="preserve"> -</v>
      </c>
      <c r="CI64" s="95" t="str">
        <f>IFERROR(SUMIFS('01. KE30'!$R:$R,'01. KE30'!$F:$F,'05. BC BH THEO SKU-USD'!$D64,'01. KE30'!$A:$A,'05. BC BH THEO SKU-USD'!CI$4)/CW64/'02. Tỷ giá'!L$5," -")</f>
        <v xml:space="preserve"> -</v>
      </c>
      <c r="CJ64" s="95" t="str">
        <f>IFERROR(SUMIFS('01. KE30'!$R:$R,'01. KE30'!$F:$F,'05. BC BH THEO SKU-USD'!$D64,'01. KE30'!$A:$A,'05. BC BH THEO SKU-USD'!CJ$4)/CX64/'02. Tỷ giá'!M$5," -")</f>
        <v xml:space="preserve"> -</v>
      </c>
      <c r="CL64" s="112">
        <f t="shared" si="465"/>
        <v>0.73</v>
      </c>
      <c r="CM64" s="114">
        <f>SUMIFS('01. KE30'!$I:$I,'01. KE30'!$F:$F,'05. BC BH THEO SKU-USD'!$D64,'01. KE30'!$A:$A,'05. BC BH THEO SKU-USD'!CM$4)/1000</f>
        <v>0</v>
      </c>
      <c r="CN64" s="114">
        <f>SUMIFS('01. KE30'!$I:$I,'01. KE30'!$F:$F,'05. BC BH THEO SKU-USD'!$D64,'01. KE30'!$A:$A,'05. BC BH THEO SKU-USD'!CN$4)/1000</f>
        <v>0.60499999999999998</v>
      </c>
      <c r="CO64" s="114">
        <f>SUMIFS('01. KE30'!$I:$I,'01. KE30'!$F:$F,'05. BC BH THEO SKU-USD'!$D64,'01. KE30'!$A:$A,'05. BC BH THEO SKU-USD'!CO$4)/1000</f>
        <v>0</v>
      </c>
      <c r="CP64" s="114">
        <f>SUMIFS('01. KE30'!$I:$I,'01. KE30'!$F:$F,'05. BC BH THEO SKU-USD'!$D64,'01. KE30'!$A:$A,'05. BC BH THEO SKU-USD'!CP$4)/1000</f>
        <v>0.1</v>
      </c>
      <c r="CQ64" s="114">
        <f>SUMIFS('01. KE30'!$I:$I,'01. KE30'!$F:$F,'05. BC BH THEO SKU-USD'!$D64,'01. KE30'!$A:$A,'05. BC BH THEO SKU-USD'!CQ$4)/1000</f>
        <v>0</v>
      </c>
      <c r="CR64" s="114">
        <f>SUMIFS('01. KE30'!$I:$I,'01. KE30'!$F:$F,'05. BC BH THEO SKU-USD'!$D64,'01. KE30'!$A:$A,'05. BC BH THEO SKU-USD'!CR$4)/1000</f>
        <v>0</v>
      </c>
      <c r="CS64" s="114">
        <f>SUMIFS('01. KE30'!$I:$I,'01. KE30'!$F:$F,'05. BC BH THEO SKU-USD'!$D64,'01. KE30'!$A:$A,'05. BC BH THEO SKU-USD'!CS$4)/1000</f>
        <v>0</v>
      </c>
      <c r="CT64" s="114">
        <f>SUMIFS('01. KE30'!$I:$I,'01. KE30'!$F:$F,'05. BC BH THEO SKU-USD'!$D64,'01. KE30'!$A:$A,'05. BC BH THEO SKU-USD'!CT$4)/1000</f>
        <v>0</v>
      </c>
      <c r="CU64" s="114">
        <f>SUMIFS('01. KE30'!$I:$I,'01. KE30'!$F:$F,'05. BC BH THEO SKU-USD'!$D64,'01. KE30'!$A:$A,'05. BC BH THEO SKU-USD'!CU$4)/1000</f>
        <v>2.5000000000000001E-2</v>
      </c>
      <c r="CV64" s="114">
        <f>SUMIFS('01. KE30'!$I:$I,'01. KE30'!$F:$F,'05. BC BH THEO SKU-USD'!$D64,'01. KE30'!$A:$A,'05. BC BH THEO SKU-USD'!CV$4)/1000</f>
        <v>0</v>
      </c>
      <c r="CW64" s="114">
        <f>SUMIFS('01. KE30'!$I:$I,'01. KE30'!$F:$F,'05. BC BH THEO SKU-USD'!$D64,'01. KE30'!$A:$A,'05. BC BH THEO SKU-USD'!CW$4)/1000</f>
        <v>0</v>
      </c>
      <c r="CX64" s="114">
        <f>SUMIFS('01. KE30'!$I:$I,'01. KE30'!$F:$F,'05. BC BH THEO SKU-USD'!$D64,'01. KE30'!$A:$A,'05. BC BH THEO SKU-USD'!CX$4)/1000</f>
        <v>0</v>
      </c>
      <c r="CZ64" s="112">
        <f t="shared" si="466"/>
        <v>746.0758135151259</v>
      </c>
      <c r="DA64" s="54" t="str">
        <f t="shared" si="467"/>
        <v xml:space="preserve"> -</v>
      </c>
      <c r="DB64" s="54">
        <f t="shared" si="468"/>
        <v>655.60968885387933</v>
      </c>
      <c r="DC64" s="54" t="str">
        <f t="shared" si="469"/>
        <v xml:space="preserve"> -</v>
      </c>
      <c r="DD64" s="54">
        <f t="shared" si="470"/>
        <v>73.799457994579953</v>
      </c>
      <c r="DE64" s="54" t="str">
        <f t="shared" si="471"/>
        <v xml:space="preserve"> -</v>
      </c>
      <c r="DF64" s="54" t="str">
        <f t="shared" si="472"/>
        <v xml:space="preserve"> -</v>
      </c>
      <c r="DG64" s="54" t="str">
        <f t="shared" si="473"/>
        <v xml:space="preserve"> -</v>
      </c>
      <c r="DH64" s="54" t="str">
        <f t="shared" si="474"/>
        <v xml:space="preserve"> -</v>
      </c>
      <c r="DI64" s="54">
        <f t="shared" si="475"/>
        <v>16.666666666666668</v>
      </c>
      <c r="DJ64" s="54" t="str">
        <f t="shared" si="476"/>
        <v xml:space="preserve"> -</v>
      </c>
      <c r="DK64" s="54" t="str">
        <f t="shared" si="477"/>
        <v xml:space="preserve"> -</v>
      </c>
      <c r="DL64" s="54" t="str">
        <f t="shared" si="478"/>
        <v xml:space="preserve"> -</v>
      </c>
      <c r="DN64" s="112">
        <f t="shared" si="479"/>
        <v>132.14751018567955</v>
      </c>
      <c r="DO64" s="114">
        <f>IFERROR(SUMIFS('01. KE30'!$X:$X,'01. KE30'!$F:$F,'05. BC BH THEO SKU-USD'!$D64,'01. KE30'!$A:$A,'05. BC BH THEO SKU-USD'!DO$4)-SUMIFS('01. KE30'!$AA:$AA,'01. KE30'!$F:$F,'05. BC BH THEO SKU-USD'!$D64,'01. KE30'!$A:$A,'05. BC BH THEO SKU-USD'!DO$4),"-")</f>
        <v>0</v>
      </c>
      <c r="DP64" s="114">
        <f>IFERROR(SUMIFS('01. KE30'!$X:$X,'01. KE30'!$F:$F,'05. BC BH THEO SKU-USD'!$D64,'01. KE30'!$A:$A,'05. BC BH THEO SKU-USD'!DP$4)-SUMIFS('01. KE30'!$AA:$AA,'01. KE30'!$F:$F,'05. BC BH THEO SKU-USD'!$D64,'01. KE30'!$A:$A,'05. BC BH THEO SKU-USD'!DP$4),"-")</f>
        <v>145.04182749113835</v>
      </c>
      <c r="DQ64" s="114">
        <f>IFERROR(SUMIFS('01. KE30'!$X:$X,'01. KE30'!$F:$F,'05. BC BH THEO SKU-USD'!$D64,'01. KE30'!$A:$A,'05. BC BH THEO SKU-USD'!DQ$4)-SUMIFS('01. KE30'!$AA:$AA,'01. KE30'!$F:$F,'05. BC BH THEO SKU-USD'!$D64,'01. KE30'!$A:$A,'05. BC BH THEO SKU-USD'!DQ$4),"-")</f>
        <v>0</v>
      </c>
      <c r="DR64" s="114">
        <f>IFERROR(SUMIFS('01. KE30'!$X:$X,'01. KE30'!$F:$F,'05. BC BH THEO SKU-USD'!$D64,'01. KE30'!$A:$A,'05. BC BH THEO SKU-USD'!DR$4)-SUMIFS('01. KE30'!$AA:$AA,'01. KE30'!$F:$F,'05. BC BH THEO SKU-USD'!$D64,'01. KE30'!$A:$A,'05. BC BH THEO SKU-USD'!DR$4),"-")</f>
        <v>-9.1543554006968719</v>
      </c>
      <c r="DS64" s="114">
        <f>IFERROR(SUMIFS('01. KE30'!$X:$X,'01. KE30'!$F:$F,'05. BC BH THEO SKU-USD'!$D64,'01. KE30'!$A:$A,'05. BC BH THEO SKU-USD'!DS$4)-SUMIFS('01. KE30'!$AA:$AA,'01. KE30'!$F:$F,'05. BC BH THEO SKU-USD'!$D64,'01. KE30'!$A:$A,'05. BC BH THEO SKU-USD'!DS$4),"-")</f>
        <v>0</v>
      </c>
      <c r="DT64" s="114">
        <f>IFERROR(SUMIFS('01. KE30'!$X:$X,'01. KE30'!$F:$F,'05. BC BH THEO SKU-USD'!$D64,'01. KE30'!$A:$A,'05. BC BH THEO SKU-USD'!DT$4)-SUMIFS('01. KE30'!$AA:$AA,'01. KE30'!$F:$F,'05. BC BH THEO SKU-USD'!$D64,'01. KE30'!$A:$A,'05. BC BH THEO SKU-USD'!DT$4),"-")</f>
        <v>0</v>
      </c>
      <c r="DU64" s="114">
        <f>IFERROR(SUMIFS('01. KE30'!$X:$X,'01. KE30'!$F:$F,'05. BC BH THEO SKU-USD'!$D64,'01. KE30'!$A:$A,'05. BC BH THEO SKU-USD'!DU$4)-SUMIFS('01. KE30'!$AA:$AA,'01. KE30'!$F:$F,'05. BC BH THEO SKU-USD'!$D64,'01. KE30'!$A:$A,'05. BC BH THEO SKU-USD'!DU$4),"-")</f>
        <v>0</v>
      </c>
      <c r="DV64" s="114">
        <f>IFERROR(SUMIFS('01. KE30'!$X:$X,'01. KE30'!$F:$F,'05. BC BH THEO SKU-USD'!$D64,'01. KE30'!$A:$A,'05. BC BH THEO SKU-USD'!DV$4)-SUMIFS('01. KE30'!$AA:$AA,'01. KE30'!$F:$F,'05. BC BH THEO SKU-USD'!$D64,'01. KE30'!$A:$A,'05. BC BH THEO SKU-USD'!DV$4),"-")</f>
        <v>0</v>
      </c>
      <c r="DW64" s="114">
        <f>IFERROR(SUMIFS('01. KE30'!$X:$X,'01. KE30'!$F:$F,'05. BC BH THEO SKU-USD'!$D64,'01. KE30'!$A:$A,'05. BC BH THEO SKU-USD'!DW$4)-SUMIFS('01. KE30'!$AA:$AA,'01. KE30'!$F:$F,'05. BC BH THEO SKU-USD'!$D64,'01. KE30'!$A:$A,'05. BC BH THEO SKU-USD'!DW$4),"-")</f>
        <v>-3.7399619047619019</v>
      </c>
      <c r="DX64" s="114">
        <f>IFERROR(SUMIFS('01. KE30'!$X:$X,'01. KE30'!$F:$F,'05. BC BH THEO SKU-USD'!$D64,'01. KE30'!$A:$A,'05. BC BH THEO SKU-USD'!DX$4)-SUMIFS('01. KE30'!$AA:$AA,'01. KE30'!$F:$F,'05. BC BH THEO SKU-USD'!$D64,'01. KE30'!$A:$A,'05. BC BH THEO SKU-USD'!DX$4),"-")</f>
        <v>0</v>
      </c>
      <c r="DY64" s="114">
        <f>IFERROR(SUMIFS('01. KE30'!$X:$X,'01. KE30'!$F:$F,'05. BC BH THEO SKU-USD'!$D64,'01. KE30'!$A:$A,'05. BC BH THEO SKU-USD'!DY$4)-SUMIFS('01. KE30'!$AA:$AA,'01. KE30'!$F:$F,'05. BC BH THEO SKU-USD'!$D64,'01. KE30'!$A:$A,'05. BC BH THEO SKU-USD'!DY$4),"-")</f>
        <v>0</v>
      </c>
      <c r="DZ64" s="114">
        <f>IFERROR(SUMIFS('01. KE30'!$X:$X,'01. KE30'!$F:$F,'05. BC BH THEO SKU-USD'!$D64,'01. KE30'!$A:$A,'05. BC BH THEO SKU-USD'!DZ$4)-SUMIFS('01. KE30'!$AA:$AA,'01. KE30'!$F:$F,'05. BC BH THEO SKU-USD'!$D64,'01. KE30'!$A:$A,'05. BC BH THEO SKU-USD'!DZ$4),"-")</f>
        <v>0</v>
      </c>
      <c r="EB64" s="571">
        <f t="shared" si="252"/>
        <v>0.17712343409588413</v>
      </c>
      <c r="EC64" s="573">
        <f t="shared" si="253"/>
        <v>0</v>
      </c>
      <c r="ED64" s="572">
        <f t="shared" si="19"/>
        <v>0.22123197682556658</v>
      </c>
      <c r="EE64" s="572">
        <f t="shared" si="20"/>
        <v>0</v>
      </c>
      <c r="EF64" s="572">
        <f t="shared" si="21"/>
        <v>-0.12404366711431938</v>
      </c>
      <c r="EG64" s="572">
        <f t="shared" si="22"/>
        <v>0</v>
      </c>
      <c r="EH64" s="572">
        <f t="shared" si="23"/>
        <v>0</v>
      </c>
      <c r="EI64" s="572">
        <f t="shared" si="24"/>
        <v>0</v>
      </c>
      <c r="EJ64" s="572">
        <f t="shared" si="25"/>
        <v>0</v>
      </c>
      <c r="EK64" s="572">
        <f t="shared" si="26"/>
        <v>-0.22439771428571409</v>
      </c>
      <c r="EL64" s="572">
        <f t="shared" si="27"/>
        <v>0</v>
      </c>
      <c r="EM64" s="572">
        <f t="shared" si="28"/>
        <v>0</v>
      </c>
      <c r="EN64" s="572">
        <f t="shared" si="29"/>
        <v>0</v>
      </c>
    </row>
    <row r="65" spans="1:144" ht="15.5" outlineLevel="1" x14ac:dyDescent="0.35">
      <c r="A65" s="10">
        <f t="shared" si="481"/>
        <v>6</v>
      </c>
      <c r="B65" s="10" t="s">
        <v>490</v>
      </c>
      <c r="C65" s="246" t="str">
        <f>VLOOKUP(D65,'Quy đổi'!A:C,3,0)</f>
        <v>rPP20Gy01</v>
      </c>
      <c r="D65" s="464" t="s">
        <v>9</v>
      </c>
      <c r="E65" s="7" t="s">
        <v>8</v>
      </c>
      <c r="F65" s="92">
        <f t="shared" si="463"/>
        <v>1070.8944380278203</v>
      </c>
      <c r="G65" s="106" t="str">
        <f>IFERROR(SUMIFS('01. KE30'!$K:$K,'01. KE30'!$F:$F,'05. BC BH THEO SKU-USD'!$D65,'01. KE30'!$A:$A,'05. BC BH THEO SKU-USD'!G$4)/'05. BC BH THEO SKU-USD'!CM65/'02. Tỷ giá'!B$5,"-")</f>
        <v>-</v>
      </c>
      <c r="H65" s="106">
        <f>IFERROR(SUMIFS('01. KE30'!$K:$K,'01. KE30'!$F:$F,'05. BC BH THEO SKU-USD'!$D65,'01. KE30'!$A:$A,'05. BC BH THEO SKU-USD'!H$4)/'05. BC BH THEO SKU-USD'!CN65/'02. Tỷ giá'!C$5,"-")</f>
        <v>1040.2807118049341</v>
      </c>
      <c r="I65" s="106">
        <f>IFERROR(SUMIFS('01. KE30'!$K:$K,'01. KE30'!$F:$F,'05. BC BH THEO SKU-USD'!$D65,'01. KE30'!$A:$A,'05. BC BH THEO SKU-USD'!I$4)/'05. BC BH THEO SKU-USD'!CO65/'02. Tỷ giá'!D$5,"-")</f>
        <v>1079.1496062992126</v>
      </c>
      <c r="J65" s="106" t="str">
        <f>IFERROR(SUMIFS('01. KE30'!$K:$K,'01. KE30'!$F:$F,'05. BC BH THEO SKU-USD'!$D65,'01. KE30'!$A:$A,'05. BC BH THEO SKU-USD'!J$4)/'05. BC BH THEO SKU-USD'!CP65/'02. Tỷ giá'!E$5,"-")</f>
        <v>-</v>
      </c>
      <c r="K65" s="106" t="str">
        <f>IFERROR(SUMIFS('01. KE30'!$K:$K,'01. KE30'!$F:$F,'05. BC BH THEO SKU-USD'!$D65,'01. KE30'!$A:$A,'05. BC BH THEO SKU-USD'!K$4)/'05. BC BH THEO SKU-USD'!CQ65/'02. Tỷ giá'!F$5,"-")</f>
        <v>-</v>
      </c>
      <c r="L65" s="106">
        <f>IFERROR(SUMIFS('01. KE30'!$K:$K,'01. KE30'!$F:$F,'05. BC BH THEO SKU-USD'!$D65,'01. KE30'!$A:$A,'05. BC BH THEO SKU-USD'!L$4)/'05. BC BH THEO SKU-USD'!CR65/'02. Tỷ giá'!G$5,"-")</f>
        <v>1077.0833333333333</v>
      </c>
      <c r="M65" s="106">
        <f>IFERROR(SUMIFS('01. KE30'!$K:$K,'01. KE30'!$F:$F,'05. BC BH THEO SKU-USD'!$D65,'01. KE30'!$A:$A,'05. BC BH THEO SKU-USD'!M$4)/'05. BC BH THEO SKU-USD'!CS65/'02. Tỷ giá'!H$5,"-")</f>
        <v>1077.9254706108336</v>
      </c>
      <c r="N65" s="106" t="str">
        <f>IFERROR(SUMIFS('01. KE30'!$K:$K,'01. KE30'!$F:$F,'05. BC BH THEO SKU-USD'!$D65,'01. KE30'!$A:$A,'05. BC BH THEO SKU-USD'!N$4)/'05. BC BH THEO SKU-USD'!CT65/'02. Tỷ giá'!I$5,"-")</f>
        <v>-</v>
      </c>
      <c r="O65" s="106">
        <f>IFERROR(SUMIFS('01. KE30'!$K:$K,'01. KE30'!$F:$F,'05. BC BH THEO SKU-USD'!$D65,'01. KE30'!$A:$A,'05. BC BH THEO SKU-USD'!O$4)/'05. BC BH THEO SKU-USD'!CU65/'02. Tỷ giá'!J$5,"-")</f>
        <v>1080.0330680907878</v>
      </c>
      <c r="P65" s="106" t="str">
        <f>IFERROR(SUMIFS('01. KE30'!$K:$K,'01. KE30'!$F:$F,'05. BC BH THEO SKU-USD'!$D65,'01. KE30'!$A:$A,'05. BC BH THEO SKU-USD'!P$4)/'05. BC BH THEO SKU-USD'!CV65/'02. Tỷ giá'!K$5,"-")</f>
        <v>-</v>
      </c>
      <c r="Q65" s="106" t="str">
        <f>IFERROR(SUMIFS('01. KE30'!$K:$K,'01. KE30'!$F:$F,'05. BC BH THEO SKU-USD'!$D65,'01. KE30'!$A:$A,'05. BC BH THEO SKU-USD'!Q$4)/'05. BC BH THEO SKU-USD'!CW65/'02. Tỷ giá'!L$5,"-")</f>
        <v>-</v>
      </c>
      <c r="R65" s="106" t="str">
        <f>IFERROR(SUMIFS('01. KE30'!$K:$K,'01. KE30'!$F:$F,'05. BC BH THEO SKU-USD'!$D65,'01. KE30'!$A:$A,'05. BC BH THEO SKU-USD'!R$4)/'05. BC BH THEO SKU-USD'!CX65/'02. Tỷ giá'!M$5,"-")</f>
        <v>-</v>
      </c>
      <c r="T65" s="92">
        <f t="shared" si="309"/>
        <v>1050.5986907765109</v>
      </c>
      <c r="U65" s="147" t="str">
        <f>IFERROR(SUMIFS('01. KE30'!$O:$O,'01. KE30'!$F:$F,'05. BC BH THEO SKU-USD'!$D65,'01. KE30'!$A:$A,'05. BC BH THEO SKU-USD'!G$4)/'05. BC BH THEO SKU-USD'!CM65/'02. Tỷ giá'!B$5,"-")</f>
        <v>-</v>
      </c>
      <c r="V65" s="147">
        <f>IFERROR(SUMIFS('01. KE30'!$O:$O,'01. KE30'!$F:$F,'05. BC BH THEO SKU-USD'!$D65,'01. KE30'!$A:$A,'05. BC BH THEO SKU-USD'!H$4)/'05. BC BH THEO SKU-USD'!CN65/'02. Tỷ giá'!C$5,"-")</f>
        <v>1040.2807118049341</v>
      </c>
      <c r="W65" s="147">
        <f>IFERROR(SUMIFS('01. KE30'!$O:$O,'01. KE30'!$F:$F,'05. BC BH THEO SKU-USD'!$D65,'01. KE30'!$A:$A,'05. BC BH THEO SKU-USD'!I$4)/'05. BC BH THEO SKU-USD'!CO65/'02. Tỷ giá'!D$5,"-")</f>
        <v>1050.5555420956996</v>
      </c>
      <c r="X65" s="147" t="str">
        <f>IFERROR(SUMIFS('01. KE30'!$O:$O,'01. KE30'!$F:$F,'05. BC BH THEO SKU-USD'!$D65,'01. KE30'!$A:$A,'05. BC BH THEO SKU-USD'!J$4)/'05. BC BH THEO SKU-USD'!CP65/'02. Tỷ giá'!E$5,"-")</f>
        <v>-</v>
      </c>
      <c r="Y65" s="147" t="str">
        <f>IFERROR(SUMIFS('01. KE30'!$O:$O,'01. KE30'!$F:$F,'05. BC BH THEO SKU-USD'!$D65,'01. KE30'!$A:$A,'05. BC BH THEO SKU-USD'!K$4)/'05. BC BH THEO SKU-USD'!CQ65/'02. Tỷ giá'!F$5,"-")</f>
        <v>-</v>
      </c>
      <c r="Z65" s="147">
        <f>IFERROR(SUMIFS('01. KE30'!$O:$O,'01. KE30'!$F:$F,'05. BC BH THEO SKU-USD'!$D65,'01. KE30'!$A:$A,'05. BC BH THEO SKU-USD'!L$4)/'05. BC BH THEO SKU-USD'!CR65/'02. Tỷ giá'!G$5,"-")</f>
        <v>1052.855491255144</v>
      </c>
      <c r="AA65" s="147">
        <f>IFERROR(SUMIFS('01. KE30'!$O:$O,'01. KE30'!$F:$F,'05. BC BH THEO SKU-USD'!$D65,'01. KE30'!$A:$A,'05. BC BH THEO SKU-USD'!M$4)/'05. BC BH THEO SKU-USD'!CS65/'02. Tỷ giá'!H$5,"-")</f>
        <v>1050.0267719938533</v>
      </c>
      <c r="AB65" s="147" t="str">
        <f>IFERROR(SUMIFS('01. KE30'!$O:$O,'01. KE30'!$F:$F,'05. BC BH THEO SKU-USD'!$D65,'01. KE30'!$A:$A,'05. BC BH THEO SKU-USD'!N$4)/'05. BC BH THEO SKU-USD'!CT65/'02. Tỷ giá'!I$5,"-")</f>
        <v>-</v>
      </c>
      <c r="AC65" s="147">
        <f>IFERROR(SUMIFS('01. KE30'!$O:$O,'01. KE30'!$F:$F,'05. BC BH THEO SKU-USD'!$D65,'01. KE30'!$A:$A,'05. BC BH THEO SKU-USD'!O$4)/'05. BC BH THEO SKU-USD'!CU65/'02. Tỷ giá'!J$5,"-")</f>
        <v>1050.426610493003</v>
      </c>
      <c r="AD65" s="147" t="str">
        <f>IFERROR(SUMIFS('01. KE30'!$O:$O,'01. KE30'!$F:$F,'05. BC BH THEO SKU-USD'!$D65,'01. KE30'!$A:$A,'05. BC BH THEO SKU-USD'!P$4)/'05. BC BH THEO SKU-USD'!CV65/'02. Tỷ giá'!K$5,"-")</f>
        <v>-</v>
      </c>
      <c r="AE65" s="147" t="str">
        <f>IFERROR(SUMIFS('01. KE30'!$O:$O,'01. KE30'!$F:$F,'05. BC BH THEO SKU-USD'!$D65,'01. KE30'!$A:$A,'05. BC BH THEO SKU-USD'!Q$4)/'05. BC BH THEO SKU-USD'!CW65/'02. Tỷ giá'!L$5,"-")</f>
        <v>-</v>
      </c>
      <c r="AF65" s="147" t="str">
        <f>IFERROR(SUMIFS('01. KE30'!$O:$O,'01. KE30'!$F:$F,'05. BC BH THEO SKU-USD'!$D65,'01. KE30'!$A:$A,'05. BC BH THEO SKU-USD'!R$4)/'05. BC BH THEO SKU-USD'!CX65/'02. Tỷ giá'!M$5,"-")</f>
        <v>-</v>
      </c>
      <c r="AH65" s="92">
        <f t="shared" si="480"/>
        <v>815.5</v>
      </c>
      <c r="AI65" s="4">
        <v>900</v>
      </c>
      <c r="AJ65" s="4">
        <v>820</v>
      </c>
      <c r="AK65" s="4">
        <v>840</v>
      </c>
      <c r="AL65" s="4">
        <v>835</v>
      </c>
      <c r="AM65" s="4">
        <v>815</v>
      </c>
      <c r="AN65" s="4">
        <v>815</v>
      </c>
      <c r="AO65" s="4">
        <v>790</v>
      </c>
      <c r="AP65" s="4">
        <v>769.5</v>
      </c>
      <c r="AQ65" s="4">
        <v>755</v>
      </c>
      <c r="AR65" s="4"/>
      <c r="AS65" s="4"/>
      <c r="AT65" s="4"/>
      <c r="AV65" s="95">
        <f t="shared" si="427"/>
        <v>235.09869077651092</v>
      </c>
      <c r="AW65" s="95" t="str">
        <f t="shared" si="427"/>
        <v>-</v>
      </c>
      <c r="AX65" s="95">
        <f t="shared" si="428"/>
        <v>220.28071180493407</v>
      </c>
      <c r="AY65" s="95">
        <f t="shared" si="428"/>
        <v>210.55554209569959</v>
      </c>
      <c r="AZ65" s="95" t="str">
        <f t="shared" si="428"/>
        <v>-</v>
      </c>
      <c r="BA65" s="95" t="str">
        <f t="shared" si="428"/>
        <v>-</v>
      </c>
      <c r="BB65" s="95">
        <f t="shared" si="428"/>
        <v>237.85549125514399</v>
      </c>
      <c r="BC65" s="95">
        <f t="shared" si="428"/>
        <v>260.02677199385334</v>
      </c>
      <c r="BD65" s="95" t="str">
        <f t="shared" si="428"/>
        <v>-</v>
      </c>
      <c r="BE65" s="95">
        <f t="shared" si="428"/>
        <v>295.42661049300295</v>
      </c>
      <c r="BF65" s="95" t="str">
        <f t="shared" si="428"/>
        <v>-</v>
      </c>
      <c r="BG65" s="95" t="str">
        <f t="shared" si="428"/>
        <v>-</v>
      </c>
      <c r="BH65" s="95" t="str">
        <f t="shared" si="428"/>
        <v>-</v>
      </c>
      <c r="BJ65" s="143">
        <f t="shared" si="376"/>
        <v>0.28828778758615686</v>
      </c>
      <c r="BK65" s="143" t="str">
        <f t="shared" si="377"/>
        <v>-</v>
      </c>
      <c r="BL65" s="143">
        <f t="shared" si="377"/>
        <v>0.26863501439626108</v>
      </c>
      <c r="BM65" s="143">
        <f t="shared" si="377"/>
        <v>0.25066135963773761</v>
      </c>
      <c r="BN65" s="143" t="str">
        <f t="shared" si="377"/>
        <v>-</v>
      </c>
      <c r="BO65" s="143" t="str">
        <f t="shared" si="377"/>
        <v>-</v>
      </c>
      <c r="BP65" s="143">
        <f t="shared" si="377"/>
        <v>0.29184722853391898</v>
      </c>
      <c r="BQ65" s="143">
        <f t="shared" si="377"/>
        <v>0.32914781265044729</v>
      </c>
      <c r="BR65" s="143" t="str">
        <f t="shared" si="377"/>
        <v>-</v>
      </c>
      <c r="BS65" s="143">
        <f t="shared" si="377"/>
        <v>0.391293523831792</v>
      </c>
      <c r="BT65" s="143" t="str">
        <f t="shared" si="377"/>
        <v>-</v>
      </c>
      <c r="BU65" s="143" t="str">
        <f t="shared" si="377"/>
        <v>-</v>
      </c>
      <c r="BV65" s="143" t="str">
        <f t="shared" si="377"/>
        <v>-</v>
      </c>
      <c r="BX65" s="112">
        <f t="shared" si="464"/>
        <v>1127.25889766919</v>
      </c>
      <c r="BY65" s="95" t="str">
        <f>IFERROR(SUMIFS('01. KE30'!$R:$R,'01. KE30'!$F:$F,'05. BC BH THEO SKU-USD'!$D65,'01. KE30'!$A:$A,'05. BC BH THEO SKU-USD'!BY$4)/CM65/'02. Tỷ giá'!B$5," -")</f>
        <v xml:space="preserve"> -</v>
      </c>
      <c r="BZ65" s="95">
        <f>IFERROR(SUMIFS('01. KE30'!$R:$R,'01. KE30'!$F:$F,'05. BC BH THEO SKU-USD'!$D65,'01. KE30'!$A:$A,'05. BC BH THEO SKU-USD'!BZ$4)/CN65/'02. Tỷ giá'!C$5," -")</f>
        <v>1340.3401482330196</v>
      </c>
      <c r="CA65" s="95">
        <f>IFERROR(SUMIFS('01. KE30'!$R:$R,'01. KE30'!$F:$F,'05. BC BH THEO SKU-USD'!$D65,'01. KE30'!$A:$A,'05. BC BH THEO SKU-USD'!CA$4)/CO65/'02. Tỷ giá'!D$5," -")</f>
        <v>1088.6541889763778</v>
      </c>
      <c r="CB65" s="95" t="str">
        <f>IFERROR(SUMIFS('01. KE30'!$R:$R,'01. KE30'!$F:$F,'05. BC BH THEO SKU-USD'!$D65,'01. KE30'!$A:$A,'05. BC BH THEO SKU-USD'!CB$4)/CP65/'02. Tỷ giá'!E$5," -")</f>
        <v xml:space="preserve"> -</v>
      </c>
      <c r="CC65" s="95" t="str">
        <f>IFERROR(SUMIFS('01. KE30'!$R:$R,'01. KE30'!$F:$F,'05. BC BH THEO SKU-USD'!$D65,'01. KE30'!$A:$A,'05. BC BH THEO SKU-USD'!CC$4)/CQ65/'02. Tỷ giá'!F$5," -")</f>
        <v xml:space="preserve"> -</v>
      </c>
      <c r="CD65" s="95">
        <f>IFERROR(SUMIFS('01. KE30'!$R:$R,'01. KE30'!$F:$F,'05. BC BH THEO SKU-USD'!$D65,'01. KE30'!$A:$A,'05. BC BH THEO SKU-USD'!CD$4)/CR65/'02. Tỷ giá'!G$5," -")</f>
        <v>1067.295167824074</v>
      </c>
      <c r="CE65" s="95">
        <f>IFERROR(SUMIFS('01. KE30'!$R:$R,'01. KE30'!$F:$F,'05. BC BH THEO SKU-USD'!$D65,'01. KE30'!$A:$A,'05. BC BH THEO SKU-USD'!CE$4)/CS65/'02. Tỷ giá'!H$5," -")</f>
        <v>1059.7878665642208</v>
      </c>
      <c r="CF65" s="95" t="str">
        <f>IFERROR(SUMIFS('01. KE30'!$R:$R,'01. KE30'!$F:$F,'05. BC BH THEO SKU-USD'!$D65,'01. KE30'!$A:$A,'05. BC BH THEO SKU-USD'!CF$4)/CT65/'02. Tỷ giá'!I$5," -")</f>
        <v xml:space="preserve"> -</v>
      </c>
      <c r="CG65" s="95">
        <f>IFERROR(SUMIFS('01. KE30'!$R:$R,'01. KE30'!$F:$F,'05. BC BH THEO SKU-USD'!$D65,'01. KE30'!$A:$A,'05. BC BH THEO SKU-USD'!CG$4)/CU65/'02. Tỷ giá'!J$5," -")</f>
        <v>1080.217116748257</v>
      </c>
      <c r="CH65" s="95" t="str">
        <f>IFERROR(SUMIFS('01. KE30'!$R:$R,'01. KE30'!$F:$F,'05. BC BH THEO SKU-USD'!$D65,'01. KE30'!$A:$A,'05. BC BH THEO SKU-USD'!CH$4)/CV65/'02. Tỷ giá'!K$5," -")</f>
        <v xml:space="preserve"> -</v>
      </c>
      <c r="CI65" s="95" t="str">
        <f>IFERROR(SUMIFS('01. KE30'!$R:$R,'01. KE30'!$F:$F,'05. BC BH THEO SKU-USD'!$D65,'01. KE30'!$A:$A,'05. BC BH THEO SKU-USD'!CI$4)/CW65/'02. Tỷ giá'!L$5," -")</f>
        <v xml:space="preserve"> -</v>
      </c>
      <c r="CJ65" s="95" t="str">
        <f>IFERROR(SUMIFS('01. KE30'!$R:$R,'01. KE30'!$F:$F,'05. BC BH THEO SKU-USD'!$D65,'01. KE30'!$A:$A,'05. BC BH THEO SKU-USD'!CJ$4)/CX65/'02. Tỷ giá'!M$5," -")</f>
        <v xml:space="preserve"> -</v>
      </c>
      <c r="CL65" s="112">
        <f t="shared" si="465"/>
        <v>29.08</v>
      </c>
      <c r="CM65" s="114">
        <f>SUMIFS('01. KE30'!$I:$I,'01. KE30'!$F:$F,'05. BC BH THEO SKU-USD'!$D65,'01. KE30'!$A:$A,'05. BC BH THEO SKU-USD'!CM$4)/1000</f>
        <v>0</v>
      </c>
      <c r="CN65" s="114">
        <f>SUMIFS('01. KE30'!$I:$I,'01. KE30'!$F:$F,'05. BC BH THEO SKU-USD'!$D65,'01. KE30'!$A:$A,'05. BC BH THEO SKU-USD'!CN$4)/1000</f>
        <v>5.5E-2</v>
      </c>
      <c r="CO65" s="114">
        <f>SUMIFS('01. KE30'!$I:$I,'01. KE30'!$F:$F,'05. BC BH THEO SKU-USD'!$D65,'01. KE30'!$A:$A,'05. BC BH THEO SKU-USD'!CO$4)/1000</f>
        <v>5</v>
      </c>
      <c r="CP65" s="114">
        <f>SUMIFS('01. KE30'!$I:$I,'01. KE30'!$F:$F,'05. BC BH THEO SKU-USD'!$D65,'01. KE30'!$A:$A,'05. BC BH THEO SKU-USD'!CP$4)/1000</f>
        <v>0</v>
      </c>
      <c r="CQ65" s="114">
        <f>SUMIFS('01. KE30'!$I:$I,'01. KE30'!$F:$F,'05. BC BH THEO SKU-USD'!$D65,'01. KE30'!$A:$A,'05. BC BH THEO SKU-USD'!CQ$4)/1000</f>
        <v>0</v>
      </c>
      <c r="CR65" s="114">
        <f>SUMIFS('01. KE30'!$I:$I,'01. KE30'!$F:$F,'05. BC BH THEO SKU-USD'!$D65,'01. KE30'!$A:$A,'05. BC BH THEO SKU-USD'!CR$4)/1000</f>
        <v>4</v>
      </c>
      <c r="CS65" s="114">
        <f>SUMIFS('01. KE30'!$I:$I,'01. KE30'!$F:$F,'05. BC BH THEO SKU-USD'!$D65,'01. KE30'!$A:$A,'05. BC BH THEO SKU-USD'!CS$4)/1000</f>
        <v>12</v>
      </c>
      <c r="CT65" s="114">
        <f>SUMIFS('01. KE30'!$I:$I,'01. KE30'!$F:$F,'05. BC BH THEO SKU-USD'!$D65,'01. KE30'!$A:$A,'05. BC BH THEO SKU-USD'!CT$4)/1000</f>
        <v>0</v>
      </c>
      <c r="CU65" s="114">
        <f>SUMIFS('01. KE30'!$I:$I,'01. KE30'!$F:$F,'05. BC BH THEO SKU-USD'!$D65,'01. KE30'!$A:$A,'05. BC BH THEO SKU-USD'!CU$4)/1000</f>
        <v>8.0250000000000004</v>
      </c>
      <c r="CV65" s="114">
        <f>SUMIFS('01. KE30'!$I:$I,'01. KE30'!$F:$F,'05. BC BH THEO SKU-USD'!$D65,'01. KE30'!$A:$A,'05. BC BH THEO SKU-USD'!CV$4)/1000</f>
        <v>0</v>
      </c>
      <c r="CW65" s="114">
        <f>SUMIFS('01. KE30'!$I:$I,'01. KE30'!$F:$F,'05. BC BH THEO SKU-USD'!$D65,'01. KE30'!$A:$A,'05. BC BH THEO SKU-USD'!CW$4)/1000</f>
        <v>0</v>
      </c>
      <c r="CX65" s="114">
        <f>SUMIFS('01. KE30'!$I:$I,'01. KE30'!$F:$F,'05. BC BH THEO SKU-USD'!$D65,'01. KE30'!$A:$A,'05. BC BH THEO SKU-USD'!CX$4)/1000</f>
        <v>0</v>
      </c>
      <c r="CZ65" s="112">
        <f t="shared" si="466"/>
        <v>31363.667822737239</v>
      </c>
      <c r="DA65" s="54" t="str">
        <f t="shared" si="467"/>
        <v xml:space="preserve"> -</v>
      </c>
      <c r="DB65" s="54">
        <f t="shared" si="468"/>
        <v>57.215439149271376</v>
      </c>
      <c r="DC65" s="54">
        <f t="shared" si="469"/>
        <v>5395.748031496063</v>
      </c>
      <c r="DD65" s="54" t="str">
        <f t="shared" si="470"/>
        <v xml:space="preserve"> -</v>
      </c>
      <c r="DE65" s="54" t="str">
        <f t="shared" si="471"/>
        <v xml:space="preserve"> -</v>
      </c>
      <c r="DF65" s="54">
        <f t="shared" si="472"/>
        <v>4308.333333333333</v>
      </c>
      <c r="DG65" s="54">
        <f t="shared" si="473"/>
        <v>12935.105647330003</v>
      </c>
      <c r="DH65" s="54" t="str">
        <f t="shared" si="474"/>
        <v xml:space="preserve"> -</v>
      </c>
      <c r="DI65" s="54">
        <f t="shared" si="475"/>
        <v>8667.2653714285716</v>
      </c>
      <c r="DJ65" s="54" t="str">
        <f t="shared" si="476"/>
        <v xml:space="preserve"> -</v>
      </c>
      <c r="DK65" s="54" t="str">
        <f t="shared" si="477"/>
        <v xml:space="preserve"> -</v>
      </c>
      <c r="DL65" s="54" t="str">
        <f t="shared" si="478"/>
        <v xml:space="preserve"> -</v>
      </c>
      <c r="DN65" s="112">
        <f t="shared" si="479"/>
        <v>-620.95715722548141</v>
      </c>
      <c r="DO65" s="114">
        <f>IFERROR(SUMIFS('01. KE30'!$X:$X,'01. KE30'!$F:$F,'05. BC BH THEO SKU-USD'!$D65,'01. KE30'!$A:$A,'05. BC BH THEO SKU-USD'!DO$4)-SUMIFS('01. KE30'!$AA:$AA,'01. KE30'!$F:$F,'05. BC BH THEO SKU-USD'!$D65,'01. KE30'!$A:$A,'05. BC BH THEO SKU-USD'!DO$4),"-")</f>
        <v>0</v>
      </c>
      <c r="DP65" s="114">
        <f>IFERROR(SUMIFS('01. KE30'!$X:$X,'01. KE30'!$F:$F,'05. BC BH THEO SKU-USD'!$D65,'01. KE30'!$A:$A,'05. BC BH THEO SKU-USD'!DP$4)-SUMIFS('01. KE30'!$AA:$AA,'01. KE30'!$F:$F,'05. BC BH THEO SKU-USD'!$D65,'01. KE30'!$A:$A,'05. BC BH THEO SKU-USD'!DP$4),"-")</f>
        <v>-16.503269003544695</v>
      </c>
      <c r="DQ65" s="114">
        <f>IFERROR(SUMIFS('01. KE30'!$X:$X,'01. KE30'!$F:$F,'05. BC BH THEO SKU-USD'!$D65,'01. KE30'!$A:$A,'05. BC BH THEO SKU-USD'!DQ$4)-SUMIFS('01. KE30'!$AA:$AA,'01. KE30'!$F:$F,'05. BC BH THEO SKU-USD'!$D65,'01. KE30'!$A:$A,'05. BC BH THEO SKU-USD'!DQ$4),"-")</f>
        <v>-190.49323440339231</v>
      </c>
      <c r="DR65" s="114">
        <f>IFERROR(SUMIFS('01. KE30'!$X:$X,'01. KE30'!$F:$F,'05. BC BH THEO SKU-USD'!$D65,'01. KE30'!$A:$A,'05. BC BH THEO SKU-USD'!DR$4)-SUMIFS('01. KE30'!$AA:$AA,'01. KE30'!$F:$F,'05. BC BH THEO SKU-USD'!$D65,'01. KE30'!$A:$A,'05. BC BH THEO SKU-USD'!DR$4),"-")</f>
        <v>0</v>
      </c>
      <c r="DS65" s="114">
        <f>IFERROR(SUMIFS('01. KE30'!$X:$X,'01. KE30'!$F:$F,'05. BC BH THEO SKU-USD'!$D65,'01. KE30'!$A:$A,'05. BC BH THEO SKU-USD'!DS$4)-SUMIFS('01. KE30'!$AA:$AA,'01. KE30'!$F:$F,'05. BC BH THEO SKU-USD'!$D65,'01. KE30'!$A:$A,'05. BC BH THEO SKU-USD'!DS$4),"-")</f>
        <v>0</v>
      </c>
      <c r="DT65" s="114">
        <f>IFERROR(SUMIFS('01. KE30'!$X:$X,'01. KE30'!$F:$F,'05. BC BH THEO SKU-USD'!$D65,'01. KE30'!$A:$A,'05. BC BH THEO SKU-USD'!DT$4)-SUMIFS('01. KE30'!$AA:$AA,'01. KE30'!$F:$F,'05. BC BH THEO SKU-USD'!$D65,'01. KE30'!$A:$A,'05. BC BH THEO SKU-USD'!DT$4),"-")</f>
        <v>-57.758706275720215</v>
      </c>
      <c r="DU65" s="114">
        <f>IFERROR(SUMIFS('01. KE30'!$X:$X,'01. KE30'!$F:$F,'05. BC BH THEO SKU-USD'!$D65,'01. KE30'!$A:$A,'05. BC BH THEO SKU-USD'!DU$4)-SUMIFS('01. KE30'!$AA:$AA,'01. KE30'!$F:$F,'05. BC BH THEO SKU-USD'!$D65,'01. KE30'!$A:$A,'05. BC BH THEO SKU-USD'!DU$4),"-")</f>
        <v>-117.13313484441096</v>
      </c>
      <c r="DV65" s="114">
        <f>IFERROR(SUMIFS('01. KE30'!$X:$X,'01. KE30'!$F:$F,'05. BC BH THEO SKU-USD'!$D65,'01. KE30'!$A:$A,'05. BC BH THEO SKU-USD'!DV$4)-SUMIFS('01. KE30'!$AA:$AA,'01. KE30'!$F:$F,'05. BC BH THEO SKU-USD'!$D65,'01. KE30'!$A:$A,'05. BC BH THEO SKU-USD'!DV$4),"-")</f>
        <v>0</v>
      </c>
      <c r="DW65" s="114">
        <f>IFERROR(SUMIFS('01. KE30'!$X:$X,'01. KE30'!$F:$F,'05. BC BH THEO SKU-USD'!$D65,'01. KE30'!$A:$A,'05. BC BH THEO SKU-USD'!DW$4)-SUMIFS('01. KE30'!$AA:$AA,'01. KE30'!$F:$F,'05. BC BH THEO SKU-USD'!$D65,'01. KE30'!$A:$A,'05. BC BH THEO SKU-USD'!DW$4),"-")</f>
        <v>-239.06881269841324</v>
      </c>
      <c r="DX65" s="114">
        <f>IFERROR(SUMIFS('01. KE30'!$X:$X,'01. KE30'!$F:$F,'05. BC BH THEO SKU-USD'!$D65,'01. KE30'!$A:$A,'05. BC BH THEO SKU-USD'!DX$4)-SUMIFS('01. KE30'!$AA:$AA,'01. KE30'!$F:$F,'05. BC BH THEO SKU-USD'!$D65,'01. KE30'!$A:$A,'05. BC BH THEO SKU-USD'!DX$4),"-")</f>
        <v>0</v>
      </c>
      <c r="DY65" s="114">
        <f>IFERROR(SUMIFS('01. KE30'!$X:$X,'01. KE30'!$F:$F,'05. BC BH THEO SKU-USD'!$D65,'01. KE30'!$A:$A,'05. BC BH THEO SKU-USD'!DY$4)-SUMIFS('01. KE30'!$AA:$AA,'01. KE30'!$F:$F,'05. BC BH THEO SKU-USD'!$D65,'01. KE30'!$A:$A,'05. BC BH THEO SKU-USD'!DY$4),"-")</f>
        <v>0</v>
      </c>
      <c r="DZ65" s="114">
        <f>IFERROR(SUMIFS('01. KE30'!$X:$X,'01. KE30'!$F:$F,'05. BC BH THEO SKU-USD'!$D65,'01. KE30'!$A:$A,'05. BC BH THEO SKU-USD'!DZ$4)-SUMIFS('01. KE30'!$AA:$AA,'01. KE30'!$F:$F,'05. BC BH THEO SKU-USD'!$D65,'01. KE30'!$A:$A,'05. BC BH THEO SKU-USD'!DZ$4),"-")</f>
        <v>0</v>
      </c>
      <c r="EB65" s="571">
        <f t="shared" si="252"/>
        <v>-1.9798614139616526E-2</v>
      </c>
      <c r="EC65" s="573">
        <f t="shared" si="253"/>
        <v>0</v>
      </c>
      <c r="ED65" s="572">
        <f t="shared" si="19"/>
        <v>-0.28844083430852874</v>
      </c>
      <c r="EE65" s="572">
        <f t="shared" si="20"/>
        <v>-3.5304323569493069E-2</v>
      </c>
      <c r="EF65" s="572">
        <f t="shared" si="21"/>
        <v>0</v>
      </c>
      <c r="EG65" s="572">
        <f t="shared" si="22"/>
        <v>0</v>
      </c>
      <c r="EH65" s="572">
        <f t="shared" si="23"/>
        <v>-1.3406276118155563E-2</v>
      </c>
      <c r="EI65" s="572">
        <f t="shared" si="24"/>
        <v>-9.0554447747080418E-3</v>
      </c>
      <c r="EJ65" s="572">
        <f t="shared" si="25"/>
        <v>0</v>
      </c>
      <c r="EK65" s="572">
        <f t="shared" si="26"/>
        <v>-2.7582957536583307E-2</v>
      </c>
      <c r="EL65" s="572">
        <f t="shared" si="27"/>
        <v>0</v>
      </c>
      <c r="EM65" s="572">
        <f t="shared" si="28"/>
        <v>0</v>
      </c>
      <c r="EN65" s="572">
        <f t="shared" si="29"/>
        <v>0</v>
      </c>
    </row>
    <row r="66" spans="1:144" ht="15.5" outlineLevel="1" x14ac:dyDescent="0.35">
      <c r="A66" s="10">
        <f t="shared" si="481"/>
        <v>7</v>
      </c>
      <c r="B66" s="10" t="s">
        <v>490</v>
      </c>
      <c r="C66" s="246" t="str">
        <f>VLOOKUP(D66,'Quy đổi'!A:C,3,0)</f>
        <v>rPP20L05</v>
      </c>
      <c r="D66" s="464" t="s">
        <v>5</v>
      </c>
      <c r="E66" s="7" t="s">
        <v>4</v>
      </c>
      <c r="F66" s="92">
        <f>IFERROR(AVERAGE(G66:R66),"-")</f>
        <v>1078.5396025608447</v>
      </c>
      <c r="G66" s="106" t="str">
        <f>IFERROR(SUMIFS('01. KE30'!$K:$K,'01. KE30'!$F:$F,'05. BC BH THEO SKU-USD'!$D66,'01. KE30'!$A:$A,'05. BC BH THEO SKU-USD'!G$4)/'05. BC BH THEO SKU-USD'!CM66/'02. Tỷ giá'!B$5,"-")</f>
        <v>-</v>
      </c>
      <c r="H66" s="106" t="str">
        <f>IFERROR(SUMIFS('01. KE30'!$K:$K,'01. KE30'!$F:$F,'05. BC BH THEO SKU-USD'!$D66,'01. KE30'!$A:$A,'05. BC BH THEO SKU-USD'!H$4)/'05. BC BH THEO SKU-USD'!CN66/'02. Tỷ giá'!C$5,"-")</f>
        <v>-</v>
      </c>
      <c r="I66" s="106">
        <f>IFERROR(SUMIFS('01. KE30'!$K:$K,'01. KE30'!$F:$F,'05. BC BH THEO SKU-USD'!$D66,'01. KE30'!$A:$A,'05. BC BH THEO SKU-USD'!I$4)/'05. BC BH THEO SKU-USD'!CO66/'02. Tỷ giá'!D$5,"-")</f>
        <v>1079.1496062992126</v>
      </c>
      <c r="J66" s="106" t="str">
        <f>IFERROR(SUMIFS('01. KE30'!$K:$K,'01. KE30'!$F:$F,'05. BC BH THEO SKU-USD'!$D66,'01. KE30'!$A:$A,'05. BC BH THEO SKU-USD'!J$4)/'05. BC BH THEO SKU-USD'!CP66/'02. Tỷ giá'!E$5,"-")</f>
        <v>-</v>
      </c>
      <c r="K66" s="106" t="str">
        <f>IFERROR(SUMIFS('01. KE30'!$K:$K,'01. KE30'!$F:$F,'05. BC BH THEO SKU-USD'!$D66,'01. KE30'!$A:$A,'05. BC BH THEO SKU-USD'!K$4)/'05. BC BH THEO SKU-USD'!CQ66/'02. Tỷ giá'!F$5,"-")</f>
        <v>-</v>
      </c>
      <c r="L66" s="106">
        <f>IFERROR(SUMIFS('01. KE30'!$K:$K,'01. KE30'!$F:$F,'05. BC BH THEO SKU-USD'!$D66,'01. KE30'!$A:$A,'05. BC BH THEO SKU-USD'!L$4)/'05. BC BH THEO SKU-USD'!CR66/'02. Tỷ giá'!G$5,"-")</f>
        <v>1077.0833333333333</v>
      </c>
      <c r="M66" s="106">
        <f>IFERROR(SUMIFS('01. KE30'!$K:$K,'01. KE30'!$F:$F,'05. BC BH THEO SKU-USD'!$D66,'01. KE30'!$A:$A,'05. BC BH THEO SKU-USD'!M$4)/'05. BC BH THEO SKU-USD'!CS66/'02. Tỷ giá'!H$5,"-")</f>
        <v>1077.9254706108336</v>
      </c>
      <c r="N66" s="106" t="str">
        <f>IFERROR(SUMIFS('01. KE30'!$K:$K,'01. KE30'!$F:$F,'05. BC BH THEO SKU-USD'!$D66,'01. KE30'!$A:$A,'05. BC BH THEO SKU-USD'!N$4)/'05. BC BH THEO SKU-USD'!CT66/'02. Tỷ giá'!I$5,"-")</f>
        <v>-</v>
      </c>
      <c r="O66" s="106">
        <f>IFERROR(SUMIFS('01. KE30'!$K:$K,'01. KE30'!$F:$F,'05. BC BH THEO SKU-USD'!$D66,'01. KE30'!$A:$A,'05. BC BH THEO SKU-USD'!O$4)/'05. BC BH THEO SKU-USD'!CU66/'02. Tỷ giá'!J$5,"-")</f>
        <v>1080</v>
      </c>
      <c r="P66" s="106" t="str">
        <f>IFERROR(SUMIFS('01. KE30'!$K:$K,'01. KE30'!$F:$F,'05. BC BH THEO SKU-USD'!$D66,'01. KE30'!$A:$A,'05. BC BH THEO SKU-USD'!P$4)/'05. BC BH THEO SKU-USD'!CV66/'02. Tỷ giá'!K$5,"-")</f>
        <v>-</v>
      </c>
      <c r="Q66" s="106" t="str">
        <f>IFERROR(SUMIFS('01. KE30'!$K:$K,'01. KE30'!$F:$F,'05. BC BH THEO SKU-USD'!$D66,'01. KE30'!$A:$A,'05. BC BH THEO SKU-USD'!Q$4)/'05. BC BH THEO SKU-USD'!CW66/'02. Tỷ giá'!L$5,"-")</f>
        <v>-</v>
      </c>
      <c r="R66" s="106" t="str">
        <f>IFERROR(SUMIFS('01. KE30'!$K:$K,'01. KE30'!$F:$F,'05. BC BH THEO SKU-USD'!$D66,'01. KE30'!$A:$A,'05. BC BH THEO SKU-USD'!R$4)/'05. BC BH THEO SKU-USD'!CX66/'02. Tỷ giá'!M$5,"-")</f>
        <v>-</v>
      </c>
      <c r="T66" s="92">
        <f t="shared" si="309"/>
        <v>1051.0866081254176</v>
      </c>
      <c r="U66" s="147" t="str">
        <f>IFERROR(SUMIFS('01. KE30'!$O:$O,'01. KE30'!$F:$F,'05. BC BH THEO SKU-USD'!$D66,'01. KE30'!$A:$A,'05. BC BH THEO SKU-USD'!G$4)/'05. BC BH THEO SKU-USD'!CM66/'02. Tỷ giá'!B$5,"-")</f>
        <v>-</v>
      </c>
      <c r="V66" s="147" t="str">
        <f>IFERROR(SUMIFS('01. KE30'!$O:$O,'01. KE30'!$F:$F,'05. BC BH THEO SKU-USD'!$D66,'01. KE30'!$A:$A,'05. BC BH THEO SKU-USD'!H$4)/'05. BC BH THEO SKU-USD'!CN66/'02. Tỷ giá'!C$5,"-")</f>
        <v>-</v>
      </c>
      <c r="W66" s="147">
        <f>IFERROR(SUMIFS('01. KE30'!$O:$O,'01. KE30'!$F:$F,'05. BC BH THEO SKU-USD'!$D66,'01. KE30'!$A:$A,'05. BC BH THEO SKU-USD'!I$4)/'05. BC BH THEO SKU-USD'!CO66/'02. Tỷ giá'!D$5,"-")</f>
        <v>1050.5555420956996</v>
      </c>
      <c r="X66" s="147" t="str">
        <f>IFERROR(SUMIFS('01. KE30'!$O:$O,'01. KE30'!$F:$F,'05. BC BH THEO SKU-USD'!$D66,'01. KE30'!$A:$A,'05. BC BH THEO SKU-USD'!J$4)/'05. BC BH THEO SKU-USD'!CP66/'02. Tỷ giá'!E$5,"-")</f>
        <v>-</v>
      </c>
      <c r="Y66" s="147" t="str">
        <f>IFERROR(SUMIFS('01. KE30'!$O:$O,'01. KE30'!$F:$F,'05. BC BH THEO SKU-USD'!$D66,'01. KE30'!$A:$A,'05. BC BH THEO SKU-USD'!K$4)/'05. BC BH THEO SKU-USD'!CQ66/'02. Tỷ giá'!F$5,"-")</f>
        <v>-</v>
      </c>
      <c r="Z66" s="147">
        <f>IFERROR(SUMIFS('01. KE30'!$O:$O,'01. KE30'!$F:$F,'05. BC BH THEO SKU-USD'!$D66,'01. KE30'!$A:$A,'05. BC BH THEO SKU-USD'!L$4)/'05. BC BH THEO SKU-USD'!CR66/'02. Tỷ giá'!G$5,"-")</f>
        <v>1052.855491255144</v>
      </c>
      <c r="AA66" s="147">
        <f>IFERROR(SUMIFS('01. KE30'!$O:$O,'01. KE30'!$F:$F,'05. BC BH THEO SKU-USD'!$D66,'01. KE30'!$A:$A,'05. BC BH THEO SKU-USD'!M$4)/'05. BC BH THEO SKU-USD'!CS66/'02. Tỷ giá'!H$5,"-")</f>
        <v>1050.0267719938533</v>
      </c>
      <c r="AB66" s="147" t="str">
        <f>IFERROR(SUMIFS('01. KE30'!$O:$O,'01. KE30'!$F:$F,'05. BC BH THEO SKU-USD'!$D66,'01. KE30'!$A:$A,'05. BC BH THEO SKU-USD'!N$4)/'05. BC BH THEO SKU-USD'!CT66/'02. Tỷ giá'!I$5,"-")</f>
        <v>-</v>
      </c>
      <c r="AC66" s="147">
        <f>IFERROR(SUMIFS('01. KE30'!$O:$O,'01. KE30'!$F:$F,'05. BC BH THEO SKU-USD'!$D66,'01. KE30'!$A:$A,'05. BC BH THEO SKU-USD'!O$4)/'05. BC BH THEO SKU-USD'!CU66/'02. Tỷ giá'!J$5,"-")</f>
        <v>1050.3010222222222</v>
      </c>
      <c r="AD66" s="147" t="str">
        <f>IFERROR(SUMIFS('01. KE30'!$O:$O,'01. KE30'!$F:$F,'05. BC BH THEO SKU-USD'!$D66,'01. KE30'!$A:$A,'05. BC BH THEO SKU-USD'!P$4)/'05. BC BH THEO SKU-USD'!CV66/'02. Tỷ giá'!K$5,"-")</f>
        <v>-</v>
      </c>
      <c r="AE66" s="147" t="str">
        <f>IFERROR(SUMIFS('01. KE30'!$O:$O,'01. KE30'!$F:$F,'05. BC BH THEO SKU-USD'!$D66,'01. KE30'!$A:$A,'05. BC BH THEO SKU-USD'!Q$4)/'05. BC BH THEO SKU-USD'!CW66/'02. Tỷ giá'!L$5,"-")</f>
        <v>-</v>
      </c>
      <c r="AF66" s="147" t="str">
        <f>IFERROR(SUMIFS('01. KE30'!$O:$O,'01. KE30'!$F:$F,'05. BC BH THEO SKU-USD'!$D66,'01. KE30'!$A:$A,'05. BC BH THEO SKU-USD'!R$4)/'05. BC BH THEO SKU-USD'!CX66/'02. Tỷ giá'!M$5,"-")</f>
        <v>-</v>
      </c>
      <c r="AH66" s="92">
        <f>IFERROR(AVERAGE(AI66:AT66),"-")</f>
        <v>815.5</v>
      </c>
      <c r="AI66" s="4">
        <v>900</v>
      </c>
      <c r="AJ66" s="4">
        <v>820</v>
      </c>
      <c r="AK66" s="4">
        <v>840</v>
      </c>
      <c r="AL66" s="4">
        <v>835</v>
      </c>
      <c r="AM66" s="4">
        <v>815</v>
      </c>
      <c r="AN66" s="4">
        <v>815</v>
      </c>
      <c r="AO66" s="4">
        <v>790</v>
      </c>
      <c r="AP66" s="4">
        <v>769.5</v>
      </c>
      <c r="AQ66" s="4">
        <v>755</v>
      </c>
      <c r="AR66" s="4"/>
      <c r="AS66" s="4"/>
      <c r="AT66" s="4"/>
      <c r="AV66" s="95">
        <f t="shared" ref="AV66:BH66" si="482">IF(F66&lt;&gt;"-",T66-AH66,"-")</f>
        <v>235.58660812541757</v>
      </c>
      <c r="AW66" s="95" t="str">
        <f t="shared" si="482"/>
        <v>-</v>
      </c>
      <c r="AX66" s="95" t="str">
        <f t="shared" si="482"/>
        <v>-</v>
      </c>
      <c r="AY66" s="95">
        <f t="shared" si="482"/>
        <v>210.55554209569959</v>
      </c>
      <c r="AZ66" s="95" t="str">
        <f t="shared" si="482"/>
        <v>-</v>
      </c>
      <c r="BA66" s="95" t="str">
        <f t="shared" si="482"/>
        <v>-</v>
      </c>
      <c r="BB66" s="95">
        <f t="shared" si="482"/>
        <v>237.85549125514399</v>
      </c>
      <c r="BC66" s="95">
        <f t="shared" si="482"/>
        <v>260.02677199385334</v>
      </c>
      <c r="BD66" s="95" t="str">
        <f t="shared" si="482"/>
        <v>-</v>
      </c>
      <c r="BE66" s="95">
        <f t="shared" si="482"/>
        <v>295.30102222222217</v>
      </c>
      <c r="BF66" s="95" t="str">
        <f t="shared" si="482"/>
        <v>-</v>
      </c>
      <c r="BG66" s="95" t="str">
        <f t="shared" si="482"/>
        <v>-</v>
      </c>
      <c r="BH66" s="95" t="str">
        <f t="shared" si="482"/>
        <v>-</v>
      </c>
      <c r="BJ66" s="143">
        <f>IFERROR(IF(AV66&lt;&gt;"-",AV66/AH66,"-"),"-")</f>
        <v>0.28888609212190997</v>
      </c>
      <c r="BK66" s="143"/>
      <c r="BL66" s="143"/>
      <c r="BM66" s="143"/>
      <c r="BN66" s="143"/>
      <c r="BO66" s="143"/>
      <c r="BP66" s="143"/>
      <c r="BQ66" s="143"/>
      <c r="BR66" s="143"/>
      <c r="BS66" s="143"/>
      <c r="BT66" s="143"/>
      <c r="BU66" s="143"/>
      <c r="BV66" s="143"/>
      <c r="BX66" s="112" t="str">
        <f>IFERROR(AVERAGE(BY66:CJ66),"-")</f>
        <v>-</v>
      </c>
      <c r="BY66" s="95"/>
      <c r="BZ66" s="95"/>
      <c r="CA66" s="95"/>
      <c r="CB66" s="95"/>
      <c r="CC66" s="95"/>
      <c r="CD66" s="95"/>
      <c r="CE66" s="95"/>
      <c r="CF66" s="95"/>
      <c r="CG66" s="95"/>
      <c r="CH66" s="95"/>
      <c r="CI66" s="95"/>
      <c r="CJ66" s="95"/>
      <c r="CL66" s="112">
        <f>SUM(CM66:CX66)</f>
        <v>67</v>
      </c>
      <c r="CM66" s="114">
        <f>SUMIFS('01. KE30'!$I:$I,'01. KE30'!$F:$F,'05. BC BH THEO SKU-USD'!$D66,'01. KE30'!$A:$A,'05. BC BH THEO SKU-USD'!CM$4)/1000</f>
        <v>0</v>
      </c>
      <c r="CN66" s="114">
        <f>SUMIFS('01. KE30'!$I:$I,'01. KE30'!$F:$F,'05. BC BH THEO SKU-USD'!$D66,'01. KE30'!$A:$A,'05. BC BH THEO SKU-USD'!CN$4)/1000</f>
        <v>0</v>
      </c>
      <c r="CO66" s="114">
        <f>SUMIFS('01. KE30'!$I:$I,'01. KE30'!$F:$F,'05. BC BH THEO SKU-USD'!$D66,'01. KE30'!$A:$A,'05. BC BH THEO SKU-USD'!CO$4)/1000</f>
        <v>19</v>
      </c>
      <c r="CP66" s="114">
        <f>SUMIFS('01. KE30'!$I:$I,'01. KE30'!$F:$F,'05. BC BH THEO SKU-USD'!$D66,'01. KE30'!$A:$A,'05. BC BH THEO SKU-USD'!CP$4)/1000</f>
        <v>0</v>
      </c>
      <c r="CQ66" s="114">
        <f>SUMIFS('01. KE30'!$I:$I,'01. KE30'!$F:$F,'05. BC BH THEO SKU-USD'!$D66,'01. KE30'!$A:$A,'05. BC BH THEO SKU-USD'!CQ$4)/1000</f>
        <v>0</v>
      </c>
      <c r="CR66" s="114">
        <f>SUMIFS('01. KE30'!$I:$I,'01. KE30'!$F:$F,'05. BC BH THEO SKU-USD'!$D66,'01. KE30'!$A:$A,'05. BC BH THEO SKU-USD'!CR$4)/1000</f>
        <v>20</v>
      </c>
      <c r="CS66" s="114">
        <f>SUMIFS('01. KE30'!$I:$I,'01. KE30'!$F:$F,'05. BC BH THEO SKU-USD'!$D66,'01. KE30'!$A:$A,'05. BC BH THEO SKU-USD'!CS$4)/1000</f>
        <v>12</v>
      </c>
      <c r="CT66" s="114">
        <f>SUMIFS('01. KE30'!$I:$I,'01. KE30'!$F:$F,'05. BC BH THEO SKU-USD'!$D66,'01. KE30'!$A:$A,'05. BC BH THEO SKU-USD'!CT$4)/1000</f>
        <v>0</v>
      </c>
      <c r="CU66" s="114">
        <f>SUMIFS('01. KE30'!$I:$I,'01. KE30'!$F:$F,'05. BC BH THEO SKU-USD'!$D66,'01. KE30'!$A:$A,'05. BC BH THEO SKU-USD'!CU$4)/1000</f>
        <v>16</v>
      </c>
      <c r="CV66" s="114">
        <f>SUMIFS('01. KE30'!$I:$I,'01. KE30'!$F:$F,'05. BC BH THEO SKU-USD'!$D66,'01. KE30'!$A:$A,'05. BC BH THEO SKU-USD'!CV$4)/1000</f>
        <v>0</v>
      </c>
      <c r="CW66" s="114">
        <f>SUMIFS('01. KE30'!$I:$I,'01. KE30'!$F:$F,'05. BC BH THEO SKU-USD'!$D66,'01. KE30'!$A:$A,'05. BC BH THEO SKU-USD'!CW$4)/1000</f>
        <v>0</v>
      </c>
      <c r="CX66" s="114">
        <f>SUMIFS('01. KE30'!$I:$I,'01. KE30'!$F:$F,'05. BC BH THEO SKU-USD'!$D66,'01. KE30'!$A:$A,'05. BC BH THEO SKU-USD'!CX$4)/1000</f>
        <v>0</v>
      </c>
      <c r="CZ66" s="112">
        <f>SUM(DA66:DL66)</f>
        <v>72260.614833681699</v>
      </c>
      <c r="DA66" s="54" t="str">
        <f t="shared" ref="DA66:DL66" si="483">IFERROR(G66*CM66," -")</f>
        <v xml:space="preserve"> -</v>
      </c>
      <c r="DB66" s="54" t="str">
        <f t="shared" si="483"/>
        <v xml:space="preserve"> -</v>
      </c>
      <c r="DC66" s="54">
        <f t="shared" si="483"/>
        <v>20503.84251968504</v>
      </c>
      <c r="DD66" s="54" t="str">
        <f t="shared" si="483"/>
        <v xml:space="preserve"> -</v>
      </c>
      <c r="DE66" s="54" t="str">
        <f t="shared" si="483"/>
        <v xml:space="preserve"> -</v>
      </c>
      <c r="DF66" s="54">
        <f t="shared" si="483"/>
        <v>21541.666666666664</v>
      </c>
      <c r="DG66" s="54">
        <f t="shared" si="483"/>
        <v>12935.105647330003</v>
      </c>
      <c r="DH66" s="54" t="str">
        <f t="shared" si="483"/>
        <v xml:space="preserve"> -</v>
      </c>
      <c r="DI66" s="54">
        <f t="shared" si="483"/>
        <v>17280</v>
      </c>
      <c r="DJ66" s="54" t="str">
        <f t="shared" si="483"/>
        <v xml:space="preserve"> -</v>
      </c>
      <c r="DK66" s="54" t="str">
        <f t="shared" si="483"/>
        <v xml:space="preserve"> -</v>
      </c>
      <c r="DL66" s="54" t="str">
        <f t="shared" si="483"/>
        <v xml:space="preserve"> -</v>
      </c>
      <c r="DN66" s="112">
        <f>SUM(DO66:DZ66)</f>
        <v>-2893.7335391256383</v>
      </c>
      <c r="DO66" s="114">
        <f>IFERROR(SUMIFS('01. KE30'!$X:$X,'01. KE30'!$F:$F,'05. BC BH THEO SKU-USD'!$D66,'01. KE30'!$A:$A,'05. BC BH THEO SKU-USD'!DO$4)-SUMIFS('01. KE30'!$AA:$AA,'01. KE30'!$F:$F,'05. BC BH THEO SKU-USD'!$D66,'01. KE30'!$A:$A,'05. BC BH THEO SKU-USD'!DO$4),"-")</f>
        <v>0</v>
      </c>
      <c r="DP66" s="114">
        <f>IFERROR(SUMIFS('01. KE30'!$X:$X,'01. KE30'!$F:$F,'05. BC BH THEO SKU-USD'!$D66,'01. KE30'!$A:$A,'05. BC BH THEO SKU-USD'!DP$4)-SUMIFS('01. KE30'!$AA:$AA,'01. KE30'!$F:$F,'05. BC BH THEO SKU-USD'!$D66,'01. KE30'!$A:$A,'05. BC BH THEO SKU-USD'!DP$4),"-")</f>
        <v>0</v>
      </c>
      <c r="DQ66" s="114">
        <f>IFERROR(SUMIFS('01. KE30'!$X:$X,'01. KE30'!$F:$F,'05. BC BH THEO SKU-USD'!$D66,'01. KE30'!$A:$A,'05. BC BH THEO SKU-USD'!DQ$4)-SUMIFS('01. KE30'!$AA:$AA,'01. KE30'!$F:$F,'05. BC BH THEO SKU-USD'!$D66,'01. KE30'!$A:$A,'05. BC BH THEO SKU-USD'!DQ$4),"-")</f>
        <v>-1686.2871017565085</v>
      </c>
      <c r="DR66" s="114">
        <f>IFERROR(SUMIFS('01. KE30'!$X:$X,'01. KE30'!$F:$F,'05. BC BH THEO SKU-USD'!$D66,'01. KE30'!$A:$A,'05. BC BH THEO SKU-USD'!DR$4)-SUMIFS('01. KE30'!$AA:$AA,'01. KE30'!$F:$F,'05. BC BH THEO SKU-USD'!$D66,'01. KE30'!$A:$A,'05. BC BH THEO SKU-USD'!DR$4),"-")</f>
        <v>0</v>
      </c>
      <c r="DS66" s="114">
        <f>IFERROR(SUMIFS('01. KE30'!$X:$X,'01. KE30'!$F:$F,'05. BC BH THEO SKU-USD'!$D66,'01. KE30'!$A:$A,'05. BC BH THEO SKU-USD'!DS$4)-SUMIFS('01. KE30'!$AA:$AA,'01. KE30'!$F:$F,'05. BC BH THEO SKU-USD'!$D66,'01. KE30'!$A:$A,'05. BC BH THEO SKU-USD'!DS$4),"-")</f>
        <v>0</v>
      </c>
      <c r="DT66" s="114">
        <f>IFERROR(SUMIFS('01. KE30'!$X:$X,'01. KE30'!$F:$F,'05. BC BH THEO SKU-USD'!$D66,'01. KE30'!$A:$A,'05. BC BH THEO SKU-USD'!DT$4)-SUMIFS('01. KE30'!$AA:$AA,'01. KE30'!$F:$F,'05. BC BH THEO SKU-USD'!$D66,'01. KE30'!$A:$A,'05. BC BH THEO SKU-USD'!DT$4),"-")</f>
        <v>-517.78261316872522</v>
      </c>
      <c r="DU66" s="114">
        <f>IFERROR(SUMIFS('01. KE30'!$X:$X,'01. KE30'!$F:$F,'05. BC BH THEO SKU-USD'!$D66,'01. KE30'!$A:$A,'05. BC BH THEO SKU-USD'!DU$4)-SUMIFS('01. KE30'!$AA:$AA,'01. KE30'!$F:$F,'05. BC BH THEO SKU-USD'!$D66,'01. KE30'!$A:$A,'05. BC BH THEO SKU-USD'!DU$4),"-")</f>
        <v>-289.91008451786547</v>
      </c>
      <c r="DV66" s="114">
        <f>IFERROR(SUMIFS('01. KE30'!$X:$X,'01. KE30'!$F:$F,'05. BC BH THEO SKU-USD'!$D66,'01. KE30'!$A:$A,'05. BC BH THEO SKU-USD'!DV$4)-SUMIFS('01. KE30'!$AA:$AA,'01. KE30'!$F:$F,'05. BC BH THEO SKU-USD'!$D66,'01. KE30'!$A:$A,'05. BC BH THEO SKU-USD'!DV$4),"-")</f>
        <v>0</v>
      </c>
      <c r="DW66" s="114">
        <f>IFERROR(SUMIFS('01. KE30'!$X:$X,'01. KE30'!$F:$F,'05. BC BH THEO SKU-USD'!$D66,'01. KE30'!$A:$A,'05. BC BH THEO SKU-USD'!DW$4)-SUMIFS('01. KE30'!$AA:$AA,'01. KE30'!$F:$F,'05. BC BH THEO SKU-USD'!$D66,'01. KE30'!$A:$A,'05. BC BH THEO SKU-USD'!DW$4),"-")</f>
        <v>-399.75373968253916</v>
      </c>
      <c r="DX66" s="114">
        <f>IFERROR(SUMIFS('01. KE30'!$X:$X,'01. KE30'!$F:$F,'05. BC BH THEO SKU-USD'!$D66,'01. KE30'!$A:$A,'05. BC BH THEO SKU-USD'!DX$4)-SUMIFS('01. KE30'!$AA:$AA,'01. KE30'!$F:$F,'05. BC BH THEO SKU-USD'!$D66,'01. KE30'!$A:$A,'05. BC BH THEO SKU-USD'!DX$4),"-")</f>
        <v>0</v>
      </c>
      <c r="DY66" s="114">
        <f>IFERROR(SUMIFS('01. KE30'!$X:$X,'01. KE30'!$F:$F,'05. BC BH THEO SKU-USD'!$D66,'01. KE30'!$A:$A,'05. BC BH THEO SKU-USD'!DY$4)-SUMIFS('01. KE30'!$AA:$AA,'01. KE30'!$F:$F,'05. BC BH THEO SKU-USD'!$D66,'01. KE30'!$A:$A,'05. BC BH THEO SKU-USD'!DY$4),"-")</f>
        <v>0</v>
      </c>
      <c r="DZ66" s="114">
        <f>IFERROR(SUMIFS('01. KE30'!$X:$X,'01. KE30'!$F:$F,'05. BC BH THEO SKU-USD'!$D66,'01. KE30'!$A:$A,'05. BC BH THEO SKU-USD'!DZ$4)-SUMIFS('01. KE30'!$AA:$AA,'01. KE30'!$F:$F,'05. BC BH THEO SKU-USD'!$D66,'01. KE30'!$A:$A,'05. BC BH THEO SKU-USD'!DZ$4),"-")</f>
        <v>0</v>
      </c>
      <c r="EB66" s="571">
        <f t="shared" ref="EB66:EN66" si="484">IFERROR(DN66/CZ66,0)</f>
        <v>-4.0045791829836856E-2</v>
      </c>
      <c r="EC66" s="573">
        <f t="shared" si="484"/>
        <v>0</v>
      </c>
      <c r="ED66" s="572">
        <f t="shared" si="484"/>
        <v>0</v>
      </c>
      <c r="EE66" s="572">
        <f t="shared" si="484"/>
        <v>-8.2242491871343706E-2</v>
      </c>
      <c r="EF66" s="572">
        <f t="shared" si="484"/>
        <v>0</v>
      </c>
      <c r="EG66" s="572">
        <f t="shared" si="484"/>
        <v>0</v>
      </c>
      <c r="EH66" s="572">
        <f t="shared" si="484"/>
        <v>-2.4036330205124579E-2</v>
      </c>
      <c r="EI66" s="572">
        <f t="shared" si="484"/>
        <v>-2.2412656875184254E-2</v>
      </c>
      <c r="EJ66" s="572">
        <f t="shared" si="484"/>
        <v>0</v>
      </c>
      <c r="EK66" s="572">
        <f t="shared" si="484"/>
        <v>-2.3133896972369165E-2</v>
      </c>
      <c r="EL66" s="572">
        <f t="shared" si="484"/>
        <v>0</v>
      </c>
      <c r="EM66" s="572">
        <f t="shared" si="484"/>
        <v>0</v>
      </c>
      <c r="EN66" s="572">
        <f t="shared" si="484"/>
        <v>0</v>
      </c>
    </row>
    <row r="67" spans="1:144" ht="15.5" outlineLevel="1" x14ac:dyDescent="0.35">
      <c r="A67" s="10">
        <f t="shared" si="481"/>
        <v>8</v>
      </c>
      <c r="B67" s="10" t="s">
        <v>490</v>
      </c>
      <c r="C67" s="246" t="str">
        <f>VLOOKUP(D67,'Quy đổi'!A:C,3,0)</f>
        <v>rPP20W02</v>
      </c>
      <c r="D67" s="464" t="s">
        <v>1081</v>
      </c>
      <c r="E67" s="7" t="s">
        <v>1082</v>
      </c>
      <c r="F67" s="92">
        <f t="shared" si="463"/>
        <v>761.90476190476193</v>
      </c>
      <c r="G67" s="106" t="str">
        <f>IFERROR(SUMIFS('01. KE30'!$K:$K,'01. KE30'!$F:$F,'05. BC BH THEO SKU-USD'!$D67,'01. KE30'!$A:$A,'05. BC BH THEO SKU-USD'!G$4)/'05. BC BH THEO SKU-USD'!CM67/'02. Tỷ giá'!B$5,"-")</f>
        <v>-</v>
      </c>
      <c r="H67" s="106" t="str">
        <f>IFERROR(SUMIFS('01. KE30'!$K:$K,'01. KE30'!$F:$F,'05. BC BH THEO SKU-USD'!$D67,'01. KE30'!$A:$A,'05. BC BH THEO SKU-USD'!H$4)/'05. BC BH THEO SKU-USD'!CN67/'02. Tỷ giá'!C$5,"-")</f>
        <v>-</v>
      </c>
      <c r="I67" s="106" t="str">
        <f>IFERROR(SUMIFS('01. KE30'!$K:$K,'01. KE30'!$F:$F,'05. BC BH THEO SKU-USD'!$D67,'01. KE30'!$A:$A,'05. BC BH THEO SKU-USD'!I$4)/'05. BC BH THEO SKU-USD'!CO67/'02. Tỷ giá'!D$5,"-")</f>
        <v>-</v>
      </c>
      <c r="J67" s="106" t="str">
        <f>IFERROR(SUMIFS('01. KE30'!$K:$K,'01. KE30'!$F:$F,'05. BC BH THEO SKU-USD'!$D67,'01. KE30'!$A:$A,'05. BC BH THEO SKU-USD'!J$4)/'05. BC BH THEO SKU-USD'!CP67/'02. Tỷ giá'!E$5,"-")</f>
        <v>-</v>
      </c>
      <c r="K67" s="106" t="str">
        <f>IFERROR(SUMIFS('01. KE30'!$K:$K,'01. KE30'!$F:$F,'05. BC BH THEO SKU-USD'!$D67,'01. KE30'!$A:$A,'05. BC BH THEO SKU-USD'!K$4)/'05. BC BH THEO SKU-USD'!CQ67/'02. Tỷ giá'!F$5,"-")</f>
        <v>-</v>
      </c>
      <c r="L67" s="106" t="str">
        <f>IFERROR(SUMIFS('01. KE30'!$K:$K,'01. KE30'!$F:$F,'05. BC BH THEO SKU-USD'!$D67,'01. KE30'!$A:$A,'05. BC BH THEO SKU-USD'!L$4)/'05. BC BH THEO SKU-USD'!CR67/'02. Tỷ giá'!G$5,"-")</f>
        <v>-</v>
      </c>
      <c r="M67" s="106" t="str">
        <f>IFERROR(SUMIFS('01. KE30'!$K:$K,'01. KE30'!$F:$F,'05. BC BH THEO SKU-USD'!$D67,'01. KE30'!$A:$A,'05. BC BH THEO SKU-USD'!M$4)/'05. BC BH THEO SKU-USD'!CS67/'02. Tỷ giá'!H$5,"-")</f>
        <v>-</v>
      </c>
      <c r="N67" s="106" t="str">
        <f>IFERROR(SUMIFS('01. KE30'!$K:$K,'01. KE30'!$F:$F,'05. BC BH THEO SKU-USD'!$D67,'01. KE30'!$A:$A,'05. BC BH THEO SKU-USD'!N$4)/'05. BC BH THEO SKU-USD'!CT67/'02. Tỷ giá'!I$5,"-")</f>
        <v>-</v>
      </c>
      <c r="O67" s="106">
        <f>IFERROR(SUMIFS('01. KE30'!$K:$K,'01. KE30'!$F:$F,'05. BC BH THEO SKU-USD'!$D67,'01. KE30'!$A:$A,'05. BC BH THEO SKU-USD'!O$4)/'05. BC BH THEO SKU-USD'!CU67/'02. Tỷ giá'!J$5,"-")</f>
        <v>761.90476190476193</v>
      </c>
      <c r="P67" s="106" t="str">
        <f>IFERROR(SUMIFS('01. KE30'!$K:$K,'01. KE30'!$F:$F,'05. BC BH THEO SKU-USD'!$D67,'01. KE30'!$A:$A,'05. BC BH THEO SKU-USD'!P$4)/'05. BC BH THEO SKU-USD'!CV67/'02. Tỷ giá'!K$5,"-")</f>
        <v>-</v>
      </c>
      <c r="Q67" s="106" t="str">
        <f>IFERROR(SUMIFS('01. KE30'!$K:$K,'01. KE30'!$F:$F,'05. BC BH THEO SKU-USD'!$D67,'01. KE30'!$A:$A,'05. BC BH THEO SKU-USD'!Q$4)/'05. BC BH THEO SKU-USD'!CW67/'02. Tỷ giá'!L$5,"-")</f>
        <v>-</v>
      </c>
      <c r="R67" s="106" t="str">
        <f>IFERROR(SUMIFS('01. KE30'!$K:$K,'01. KE30'!$F:$F,'05. BC BH THEO SKU-USD'!$D67,'01. KE30'!$A:$A,'05. BC BH THEO SKU-USD'!R$4)/'05. BC BH THEO SKU-USD'!CX67/'02. Tỷ giá'!M$5,"-")</f>
        <v>-</v>
      </c>
      <c r="T67" s="92">
        <f t="shared" si="309"/>
        <v>761.90476190476193</v>
      </c>
      <c r="U67" s="147" t="str">
        <f>IFERROR(SUMIFS('01. KE30'!$O:$O,'01. KE30'!$F:$F,'05. BC BH THEO SKU-USD'!$D67,'01. KE30'!$A:$A,'05. BC BH THEO SKU-USD'!G$4)/'05. BC BH THEO SKU-USD'!CM67/'02. Tỷ giá'!B$5,"-")</f>
        <v>-</v>
      </c>
      <c r="V67" s="147" t="str">
        <f>IFERROR(SUMIFS('01. KE30'!$O:$O,'01. KE30'!$F:$F,'05. BC BH THEO SKU-USD'!$D67,'01. KE30'!$A:$A,'05. BC BH THEO SKU-USD'!H$4)/'05. BC BH THEO SKU-USD'!CN67/'02. Tỷ giá'!C$5,"-")</f>
        <v>-</v>
      </c>
      <c r="W67" s="147" t="str">
        <f>IFERROR(SUMIFS('01. KE30'!$O:$O,'01. KE30'!$F:$F,'05. BC BH THEO SKU-USD'!$D67,'01. KE30'!$A:$A,'05. BC BH THEO SKU-USD'!I$4)/'05. BC BH THEO SKU-USD'!CO67/'02. Tỷ giá'!D$5,"-")</f>
        <v>-</v>
      </c>
      <c r="X67" s="147" t="str">
        <f>IFERROR(SUMIFS('01. KE30'!$O:$O,'01. KE30'!$F:$F,'05. BC BH THEO SKU-USD'!$D67,'01. KE30'!$A:$A,'05. BC BH THEO SKU-USD'!J$4)/'05. BC BH THEO SKU-USD'!CP67/'02. Tỷ giá'!E$5,"-")</f>
        <v>-</v>
      </c>
      <c r="Y67" s="147" t="str">
        <f>IFERROR(SUMIFS('01. KE30'!$O:$O,'01. KE30'!$F:$F,'05. BC BH THEO SKU-USD'!$D67,'01. KE30'!$A:$A,'05. BC BH THEO SKU-USD'!K$4)/'05. BC BH THEO SKU-USD'!CQ67/'02. Tỷ giá'!F$5,"-")</f>
        <v>-</v>
      </c>
      <c r="Z67" s="147" t="str">
        <f>IFERROR(SUMIFS('01. KE30'!$O:$O,'01. KE30'!$F:$F,'05. BC BH THEO SKU-USD'!$D67,'01. KE30'!$A:$A,'05. BC BH THEO SKU-USD'!L$4)/'05. BC BH THEO SKU-USD'!CR67/'02. Tỷ giá'!G$5,"-")</f>
        <v>-</v>
      </c>
      <c r="AA67" s="147" t="str">
        <f>IFERROR(SUMIFS('01. KE30'!$O:$O,'01. KE30'!$F:$F,'05. BC BH THEO SKU-USD'!$D67,'01. KE30'!$A:$A,'05. BC BH THEO SKU-USD'!M$4)/'05. BC BH THEO SKU-USD'!CS67/'02. Tỷ giá'!H$5,"-")</f>
        <v>-</v>
      </c>
      <c r="AB67" s="147" t="str">
        <f>IFERROR(SUMIFS('01. KE30'!$O:$O,'01. KE30'!$F:$F,'05. BC BH THEO SKU-USD'!$D67,'01. KE30'!$A:$A,'05. BC BH THEO SKU-USD'!N$4)/'05. BC BH THEO SKU-USD'!CT67/'02. Tỷ giá'!I$5,"-")</f>
        <v>-</v>
      </c>
      <c r="AC67" s="147">
        <f>IFERROR(SUMIFS('01. KE30'!$O:$O,'01. KE30'!$F:$F,'05. BC BH THEO SKU-USD'!$D67,'01. KE30'!$A:$A,'05. BC BH THEO SKU-USD'!O$4)/'05. BC BH THEO SKU-USD'!CU67/'02. Tỷ giá'!J$5,"-")</f>
        <v>761.90476190476193</v>
      </c>
      <c r="AD67" s="147" t="str">
        <f>IFERROR(SUMIFS('01. KE30'!$O:$O,'01. KE30'!$F:$F,'05. BC BH THEO SKU-USD'!$D67,'01. KE30'!$A:$A,'05. BC BH THEO SKU-USD'!P$4)/'05. BC BH THEO SKU-USD'!CV67/'02. Tỷ giá'!K$5,"-")</f>
        <v>-</v>
      </c>
      <c r="AE67" s="147" t="str">
        <f>IFERROR(SUMIFS('01. KE30'!$O:$O,'01. KE30'!$F:$F,'05. BC BH THEO SKU-USD'!$D67,'01. KE30'!$A:$A,'05. BC BH THEO SKU-USD'!Q$4)/'05. BC BH THEO SKU-USD'!CW67/'02. Tỷ giá'!L$5,"-")</f>
        <v>-</v>
      </c>
      <c r="AF67" s="147" t="str">
        <f>IFERROR(SUMIFS('01. KE30'!$O:$O,'01. KE30'!$F:$F,'05. BC BH THEO SKU-USD'!$D67,'01. KE30'!$A:$A,'05. BC BH THEO SKU-USD'!R$4)/'05. BC BH THEO SKU-USD'!CX67/'02. Tỷ giá'!M$5,"-")</f>
        <v>-</v>
      </c>
      <c r="AH67" s="92" t="str">
        <f>IFERROR(AVERAGE(AI67:AT67),"-")</f>
        <v>-</v>
      </c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V67" s="95" t="e">
        <f t="shared" si="427"/>
        <v>#VALUE!</v>
      </c>
      <c r="AW67" s="95" t="str">
        <f t="shared" si="427"/>
        <v>-</v>
      </c>
      <c r="AX67" s="95" t="str">
        <f t="shared" si="428"/>
        <v>-</v>
      </c>
      <c r="AY67" s="95" t="str">
        <f t="shared" si="428"/>
        <v>-</v>
      </c>
      <c r="AZ67" s="95" t="str">
        <f t="shared" si="428"/>
        <v>-</v>
      </c>
      <c r="BA67" s="95" t="str">
        <f t="shared" si="428"/>
        <v>-</v>
      </c>
      <c r="BB67" s="95" t="str">
        <f t="shared" si="428"/>
        <v>-</v>
      </c>
      <c r="BC67" s="95" t="str">
        <f t="shared" si="428"/>
        <v>-</v>
      </c>
      <c r="BD67" s="95" t="str">
        <f t="shared" si="428"/>
        <v>-</v>
      </c>
      <c r="BE67" s="95">
        <f t="shared" si="428"/>
        <v>761.90476190476193</v>
      </c>
      <c r="BF67" s="95" t="str">
        <f t="shared" si="428"/>
        <v>-</v>
      </c>
      <c r="BG67" s="95" t="str">
        <f t="shared" si="428"/>
        <v>-</v>
      </c>
      <c r="BH67" s="95" t="str">
        <f t="shared" si="428"/>
        <v>-</v>
      </c>
      <c r="BJ67" s="143" t="str">
        <f t="shared" si="376"/>
        <v>-</v>
      </c>
      <c r="BK67" s="143" t="str">
        <f t="shared" si="377"/>
        <v>-</v>
      </c>
      <c r="BL67" s="143" t="str">
        <f t="shared" si="377"/>
        <v>-</v>
      </c>
      <c r="BM67" s="143" t="str">
        <f t="shared" si="377"/>
        <v>-</v>
      </c>
      <c r="BN67" s="143" t="str">
        <f t="shared" si="377"/>
        <v>-</v>
      </c>
      <c r="BO67" s="143" t="str">
        <f t="shared" si="377"/>
        <v>-</v>
      </c>
      <c r="BP67" s="143" t="str">
        <f t="shared" si="377"/>
        <v>-</v>
      </c>
      <c r="BQ67" s="143" t="str">
        <f t="shared" si="377"/>
        <v>-</v>
      </c>
      <c r="BR67" s="143" t="str">
        <f t="shared" si="377"/>
        <v>-</v>
      </c>
      <c r="BS67" s="143" t="str">
        <f t="shared" si="377"/>
        <v>-</v>
      </c>
      <c r="BT67" s="143" t="str">
        <f t="shared" si="377"/>
        <v>-</v>
      </c>
      <c r="BU67" s="143" t="str">
        <f t="shared" si="377"/>
        <v>-</v>
      </c>
      <c r="BV67" s="143" t="str">
        <f t="shared" si="377"/>
        <v>-</v>
      </c>
      <c r="BX67" s="112">
        <f t="shared" si="464"/>
        <v>1337.2532952380952</v>
      </c>
      <c r="BY67" s="95" t="str">
        <f>IFERROR(SUMIFS('01. KE30'!$R:$R,'01. KE30'!$F:$F,'05. BC BH THEO SKU-USD'!$D67,'01. KE30'!$A:$A,'05. BC BH THEO SKU-USD'!BY$4)/CM67/'02. Tỷ giá'!B$5," -")</f>
        <v xml:space="preserve"> -</v>
      </c>
      <c r="BZ67" s="95" t="str">
        <f>IFERROR(SUMIFS('01. KE30'!$R:$R,'01. KE30'!$F:$F,'05. BC BH THEO SKU-USD'!$D67,'01. KE30'!$A:$A,'05. BC BH THEO SKU-USD'!BZ$4)/CN67/'02. Tỷ giá'!C$5," -")</f>
        <v xml:space="preserve"> -</v>
      </c>
      <c r="CA67" s="95" t="str">
        <f>IFERROR(SUMIFS('01. KE30'!$R:$R,'01. KE30'!$F:$F,'05. BC BH THEO SKU-USD'!$D67,'01. KE30'!$A:$A,'05. BC BH THEO SKU-USD'!CA$4)/CO67/'02. Tỷ giá'!D$5," -")</f>
        <v xml:space="preserve"> -</v>
      </c>
      <c r="CB67" s="95" t="str">
        <f>IFERROR(SUMIFS('01. KE30'!$R:$R,'01. KE30'!$F:$F,'05. BC BH THEO SKU-USD'!$D67,'01. KE30'!$A:$A,'05. BC BH THEO SKU-USD'!CB$4)/CP67/'02. Tỷ giá'!E$5," -")</f>
        <v xml:space="preserve"> -</v>
      </c>
      <c r="CC67" s="95" t="str">
        <f>IFERROR(SUMIFS('01. KE30'!$R:$R,'01. KE30'!$F:$F,'05. BC BH THEO SKU-USD'!$D67,'01. KE30'!$A:$A,'05. BC BH THEO SKU-USD'!CC$4)/CQ67/'02. Tỷ giá'!F$5," -")</f>
        <v xml:space="preserve"> -</v>
      </c>
      <c r="CD67" s="95" t="str">
        <f>IFERROR(SUMIFS('01. KE30'!$R:$R,'01. KE30'!$F:$F,'05. BC BH THEO SKU-USD'!$D67,'01. KE30'!$A:$A,'05. BC BH THEO SKU-USD'!CD$4)/CR67/'02. Tỷ giá'!G$5," -")</f>
        <v xml:space="preserve"> -</v>
      </c>
      <c r="CE67" s="95" t="str">
        <f>IFERROR(SUMIFS('01. KE30'!$R:$R,'01. KE30'!$F:$F,'05. BC BH THEO SKU-USD'!$D67,'01. KE30'!$A:$A,'05. BC BH THEO SKU-USD'!CE$4)/CS67/'02. Tỷ giá'!H$5," -")</f>
        <v xml:space="preserve"> -</v>
      </c>
      <c r="CF67" s="95" t="str">
        <f>IFERROR(SUMIFS('01. KE30'!$R:$R,'01. KE30'!$F:$F,'05. BC BH THEO SKU-USD'!$D67,'01. KE30'!$A:$A,'05. BC BH THEO SKU-USD'!CF$4)/CT67/'02. Tỷ giá'!I$5," -")</f>
        <v xml:space="preserve"> -</v>
      </c>
      <c r="CG67" s="95">
        <f>IFERROR(SUMIFS('01. KE30'!$R:$R,'01. KE30'!$F:$F,'05. BC BH THEO SKU-USD'!$D67,'01. KE30'!$A:$A,'05. BC BH THEO SKU-USD'!CG$4)/CU67/'02. Tỷ giá'!J$5," -")</f>
        <v>1337.2532952380952</v>
      </c>
      <c r="CH67" s="95" t="str">
        <f>IFERROR(SUMIFS('01. KE30'!$R:$R,'01. KE30'!$F:$F,'05. BC BH THEO SKU-USD'!$D67,'01. KE30'!$A:$A,'05. BC BH THEO SKU-USD'!CH$4)/CV67/'02. Tỷ giá'!K$5," -")</f>
        <v xml:space="preserve"> -</v>
      </c>
      <c r="CI67" s="95" t="str">
        <f>IFERROR(SUMIFS('01. KE30'!$R:$R,'01. KE30'!$F:$F,'05. BC BH THEO SKU-USD'!$D67,'01. KE30'!$A:$A,'05. BC BH THEO SKU-USD'!CI$4)/CW67/'02. Tỷ giá'!L$5," -")</f>
        <v xml:space="preserve"> -</v>
      </c>
      <c r="CJ67" s="95" t="str">
        <f>IFERROR(SUMIFS('01. KE30'!$R:$R,'01. KE30'!$F:$F,'05. BC BH THEO SKU-USD'!$D67,'01. KE30'!$A:$A,'05. BC BH THEO SKU-USD'!CJ$4)/CX67/'02. Tỷ giá'!M$5," -")</f>
        <v xml:space="preserve"> -</v>
      </c>
      <c r="CL67" s="112">
        <f t="shared" si="465"/>
        <v>5</v>
      </c>
      <c r="CM67" s="114">
        <f>SUMIFS('01. KE30'!$I:$I,'01. KE30'!$F:$F,'05. BC BH THEO SKU-USD'!$D67,'01. KE30'!$A:$A,'05. BC BH THEO SKU-USD'!CM$4)/1000</f>
        <v>0</v>
      </c>
      <c r="CN67" s="114">
        <f>SUMIFS('01. KE30'!$I:$I,'01. KE30'!$F:$F,'05. BC BH THEO SKU-USD'!$D67,'01. KE30'!$A:$A,'05. BC BH THEO SKU-USD'!CN$4)/1000</f>
        <v>0</v>
      </c>
      <c r="CO67" s="114">
        <f>SUMIFS('01. KE30'!$I:$I,'01. KE30'!$F:$F,'05. BC BH THEO SKU-USD'!$D67,'01. KE30'!$A:$A,'05. BC BH THEO SKU-USD'!CO$4)/1000</f>
        <v>0</v>
      </c>
      <c r="CP67" s="114">
        <f>SUMIFS('01. KE30'!$I:$I,'01. KE30'!$F:$F,'05. BC BH THEO SKU-USD'!$D67,'01. KE30'!$A:$A,'05. BC BH THEO SKU-USD'!CP$4)/1000</f>
        <v>0</v>
      </c>
      <c r="CQ67" s="114">
        <f>SUMIFS('01. KE30'!$I:$I,'01. KE30'!$F:$F,'05. BC BH THEO SKU-USD'!$D67,'01. KE30'!$A:$A,'05. BC BH THEO SKU-USD'!CQ$4)/1000</f>
        <v>0</v>
      </c>
      <c r="CR67" s="114">
        <f>SUMIFS('01. KE30'!$I:$I,'01. KE30'!$F:$F,'05. BC BH THEO SKU-USD'!$D67,'01. KE30'!$A:$A,'05. BC BH THEO SKU-USD'!CR$4)/1000</f>
        <v>0</v>
      </c>
      <c r="CS67" s="114">
        <f>SUMIFS('01. KE30'!$I:$I,'01. KE30'!$F:$F,'05. BC BH THEO SKU-USD'!$D67,'01. KE30'!$A:$A,'05. BC BH THEO SKU-USD'!CS$4)/1000</f>
        <v>0</v>
      </c>
      <c r="CT67" s="114">
        <f>SUMIFS('01. KE30'!$I:$I,'01. KE30'!$F:$F,'05. BC BH THEO SKU-USD'!$D67,'01. KE30'!$A:$A,'05. BC BH THEO SKU-USD'!CT$4)/1000</f>
        <v>0</v>
      </c>
      <c r="CU67" s="114">
        <f>SUMIFS('01. KE30'!$I:$I,'01. KE30'!$F:$F,'05. BC BH THEO SKU-USD'!$D67,'01. KE30'!$A:$A,'05. BC BH THEO SKU-USD'!CU$4)/1000</f>
        <v>5</v>
      </c>
      <c r="CV67" s="114">
        <f>SUMIFS('01. KE30'!$I:$I,'01. KE30'!$F:$F,'05. BC BH THEO SKU-USD'!$D67,'01. KE30'!$A:$A,'05. BC BH THEO SKU-USD'!CV$4)/1000</f>
        <v>0</v>
      </c>
      <c r="CW67" s="114">
        <f>SUMIFS('01. KE30'!$I:$I,'01. KE30'!$F:$F,'05. BC BH THEO SKU-USD'!$D67,'01. KE30'!$A:$A,'05. BC BH THEO SKU-USD'!CW$4)/1000</f>
        <v>0</v>
      </c>
      <c r="CX67" s="114">
        <f>SUMIFS('01. KE30'!$I:$I,'01. KE30'!$F:$F,'05. BC BH THEO SKU-USD'!$D67,'01. KE30'!$A:$A,'05. BC BH THEO SKU-USD'!CX$4)/1000</f>
        <v>0</v>
      </c>
      <c r="CZ67" s="112">
        <f t="shared" si="466"/>
        <v>3809.5238095238096</v>
      </c>
      <c r="DA67" s="54" t="str">
        <f t="shared" si="467"/>
        <v xml:space="preserve"> -</v>
      </c>
      <c r="DB67" s="54" t="str">
        <f t="shared" si="468"/>
        <v xml:space="preserve"> -</v>
      </c>
      <c r="DC67" s="54" t="str">
        <f t="shared" si="469"/>
        <v xml:space="preserve"> -</v>
      </c>
      <c r="DD67" s="54" t="str">
        <f t="shared" si="470"/>
        <v xml:space="preserve"> -</v>
      </c>
      <c r="DE67" s="54" t="str">
        <f t="shared" si="471"/>
        <v xml:space="preserve"> -</v>
      </c>
      <c r="DF67" s="54" t="str">
        <f t="shared" si="472"/>
        <v xml:space="preserve"> -</v>
      </c>
      <c r="DG67" s="54" t="str">
        <f t="shared" si="473"/>
        <v xml:space="preserve"> -</v>
      </c>
      <c r="DH67" s="54" t="str">
        <f t="shared" si="474"/>
        <v xml:space="preserve"> -</v>
      </c>
      <c r="DI67" s="54">
        <f t="shared" si="475"/>
        <v>3809.5238095238096</v>
      </c>
      <c r="DJ67" s="54" t="str">
        <f t="shared" si="476"/>
        <v xml:space="preserve"> -</v>
      </c>
      <c r="DK67" s="54" t="str">
        <f t="shared" si="477"/>
        <v xml:space="preserve"> -</v>
      </c>
      <c r="DL67" s="54" t="str">
        <f t="shared" si="478"/>
        <v xml:space="preserve"> -</v>
      </c>
      <c r="DN67" s="112">
        <f t="shared" si="479"/>
        <v>-2876.7426666666665</v>
      </c>
      <c r="DO67" s="114">
        <f>IFERROR(SUMIFS('01. KE30'!$X:$X,'01. KE30'!$F:$F,'05. BC BH THEO SKU-USD'!$D67,'01. KE30'!$A:$A,'05. BC BH THEO SKU-USD'!DO$4)-SUMIFS('01. KE30'!$AA:$AA,'01. KE30'!$F:$F,'05. BC BH THEO SKU-USD'!$D67,'01. KE30'!$A:$A,'05. BC BH THEO SKU-USD'!DO$4),"-")</f>
        <v>0</v>
      </c>
      <c r="DP67" s="114">
        <f>IFERROR(SUMIFS('01. KE30'!$X:$X,'01. KE30'!$F:$F,'05. BC BH THEO SKU-USD'!$D67,'01. KE30'!$A:$A,'05. BC BH THEO SKU-USD'!DP$4)-SUMIFS('01. KE30'!$AA:$AA,'01. KE30'!$F:$F,'05. BC BH THEO SKU-USD'!$D67,'01. KE30'!$A:$A,'05. BC BH THEO SKU-USD'!DP$4),"-")</f>
        <v>0</v>
      </c>
      <c r="DQ67" s="114">
        <f>IFERROR(SUMIFS('01. KE30'!$X:$X,'01. KE30'!$F:$F,'05. BC BH THEO SKU-USD'!$D67,'01. KE30'!$A:$A,'05. BC BH THEO SKU-USD'!DQ$4)-SUMIFS('01. KE30'!$AA:$AA,'01. KE30'!$F:$F,'05. BC BH THEO SKU-USD'!$D67,'01. KE30'!$A:$A,'05. BC BH THEO SKU-USD'!DQ$4),"-")</f>
        <v>0</v>
      </c>
      <c r="DR67" s="114">
        <f>IFERROR(SUMIFS('01. KE30'!$X:$X,'01. KE30'!$F:$F,'05. BC BH THEO SKU-USD'!$D67,'01. KE30'!$A:$A,'05. BC BH THEO SKU-USD'!DR$4)-SUMIFS('01. KE30'!$AA:$AA,'01. KE30'!$F:$F,'05. BC BH THEO SKU-USD'!$D67,'01. KE30'!$A:$A,'05. BC BH THEO SKU-USD'!DR$4),"-")</f>
        <v>0</v>
      </c>
      <c r="DS67" s="114">
        <f>IFERROR(SUMIFS('01. KE30'!$X:$X,'01. KE30'!$F:$F,'05. BC BH THEO SKU-USD'!$D67,'01. KE30'!$A:$A,'05. BC BH THEO SKU-USD'!DS$4)-SUMIFS('01. KE30'!$AA:$AA,'01. KE30'!$F:$F,'05. BC BH THEO SKU-USD'!$D67,'01. KE30'!$A:$A,'05. BC BH THEO SKU-USD'!DS$4),"-")</f>
        <v>0</v>
      </c>
      <c r="DT67" s="114">
        <f>IFERROR(SUMIFS('01. KE30'!$X:$X,'01. KE30'!$F:$F,'05. BC BH THEO SKU-USD'!$D67,'01. KE30'!$A:$A,'05. BC BH THEO SKU-USD'!DT$4)-SUMIFS('01. KE30'!$AA:$AA,'01. KE30'!$F:$F,'05. BC BH THEO SKU-USD'!$D67,'01. KE30'!$A:$A,'05. BC BH THEO SKU-USD'!DT$4),"-")</f>
        <v>0</v>
      </c>
      <c r="DU67" s="114">
        <f>IFERROR(SUMIFS('01. KE30'!$X:$X,'01. KE30'!$F:$F,'05. BC BH THEO SKU-USD'!$D67,'01. KE30'!$A:$A,'05. BC BH THEO SKU-USD'!DU$4)-SUMIFS('01. KE30'!$AA:$AA,'01. KE30'!$F:$F,'05. BC BH THEO SKU-USD'!$D67,'01. KE30'!$A:$A,'05. BC BH THEO SKU-USD'!DU$4),"-")</f>
        <v>0</v>
      </c>
      <c r="DV67" s="114">
        <f>IFERROR(SUMIFS('01. KE30'!$X:$X,'01. KE30'!$F:$F,'05. BC BH THEO SKU-USD'!$D67,'01. KE30'!$A:$A,'05. BC BH THEO SKU-USD'!DV$4)-SUMIFS('01. KE30'!$AA:$AA,'01. KE30'!$F:$F,'05. BC BH THEO SKU-USD'!$D67,'01. KE30'!$A:$A,'05. BC BH THEO SKU-USD'!DV$4),"-")</f>
        <v>0</v>
      </c>
      <c r="DW67" s="114">
        <f>IFERROR(SUMIFS('01. KE30'!$X:$X,'01. KE30'!$F:$F,'05. BC BH THEO SKU-USD'!$D67,'01. KE30'!$A:$A,'05. BC BH THEO SKU-USD'!DW$4)-SUMIFS('01. KE30'!$AA:$AA,'01. KE30'!$F:$F,'05. BC BH THEO SKU-USD'!$D67,'01. KE30'!$A:$A,'05. BC BH THEO SKU-USD'!DW$4),"-")</f>
        <v>-2876.7426666666665</v>
      </c>
      <c r="DX67" s="114">
        <f>IFERROR(SUMIFS('01. KE30'!$X:$X,'01. KE30'!$F:$F,'05. BC BH THEO SKU-USD'!$D67,'01. KE30'!$A:$A,'05. BC BH THEO SKU-USD'!DX$4)-SUMIFS('01. KE30'!$AA:$AA,'01. KE30'!$F:$F,'05. BC BH THEO SKU-USD'!$D67,'01. KE30'!$A:$A,'05. BC BH THEO SKU-USD'!DX$4),"-")</f>
        <v>0</v>
      </c>
      <c r="DY67" s="114">
        <f>IFERROR(SUMIFS('01. KE30'!$X:$X,'01. KE30'!$F:$F,'05. BC BH THEO SKU-USD'!$D67,'01. KE30'!$A:$A,'05. BC BH THEO SKU-USD'!DY$4)-SUMIFS('01. KE30'!$AA:$AA,'01. KE30'!$F:$F,'05. BC BH THEO SKU-USD'!$D67,'01. KE30'!$A:$A,'05. BC BH THEO SKU-USD'!DY$4),"-")</f>
        <v>0</v>
      </c>
      <c r="DZ67" s="114">
        <f>IFERROR(SUMIFS('01. KE30'!$X:$X,'01. KE30'!$F:$F,'05. BC BH THEO SKU-USD'!$D67,'01. KE30'!$A:$A,'05. BC BH THEO SKU-USD'!DZ$4)-SUMIFS('01. KE30'!$AA:$AA,'01. KE30'!$F:$F,'05. BC BH THEO SKU-USD'!$D67,'01. KE30'!$A:$A,'05. BC BH THEO SKU-USD'!DZ$4),"-")</f>
        <v>0</v>
      </c>
      <c r="EB67" s="576">
        <f t="shared" si="252"/>
        <v>-0.75514494999999993</v>
      </c>
      <c r="EC67" s="573">
        <f t="shared" si="253"/>
        <v>0</v>
      </c>
      <c r="ED67" s="573">
        <f t="shared" si="19"/>
        <v>0</v>
      </c>
      <c r="EE67" s="572">
        <f t="shared" si="20"/>
        <v>0</v>
      </c>
      <c r="EF67" s="572">
        <f t="shared" si="21"/>
        <v>0</v>
      </c>
      <c r="EG67" s="572">
        <f t="shared" si="22"/>
        <v>0</v>
      </c>
      <c r="EH67" s="572">
        <f t="shared" si="23"/>
        <v>0</v>
      </c>
      <c r="EI67" s="572">
        <f t="shared" si="24"/>
        <v>0</v>
      </c>
      <c r="EJ67" s="572">
        <f t="shared" si="25"/>
        <v>0</v>
      </c>
      <c r="EK67" s="572">
        <f t="shared" si="26"/>
        <v>-0.75514494999999993</v>
      </c>
      <c r="EL67" s="572">
        <f t="shared" si="27"/>
        <v>0</v>
      </c>
      <c r="EM67" s="572">
        <f t="shared" si="28"/>
        <v>0</v>
      </c>
      <c r="EN67" s="572">
        <f t="shared" si="29"/>
        <v>0</v>
      </c>
    </row>
    <row r="68" spans="1:144" s="14" customFormat="1" ht="15" x14ac:dyDescent="0.3">
      <c r="A68" s="19" t="s">
        <v>343</v>
      </c>
      <c r="B68" s="19"/>
      <c r="C68" s="251"/>
      <c r="D68" s="458" t="s">
        <v>492</v>
      </c>
      <c r="E68" s="17"/>
      <c r="F68" s="146">
        <f t="shared" ref="F68:R68" si="485">IFERROR(AVERAGE(F69:F71),"-")</f>
        <v>698.79562205778234</v>
      </c>
      <c r="G68" s="146" t="str">
        <f t="shared" si="485"/>
        <v>-</v>
      </c>
      <c r="H68" s="146" t="str">
        <f t="shared" si="485"/>
        <v>-</v>
      </c>
      <c r="I68" s="146">
        <f t="shared" si="485"/>
        <v>729.07553055868027</v>
      </c>
      <c r="J68" s="146">
        <f t="shared" si="485"/>
        <v>782.8726287262873</v>
      </c>
      <c r="K68" s="146">
        <f t="shared" si="485"/>
        <v>698.20400446850567</v>
      </c>
      <c r="L68" s="146" t="str">
        <f t="shared" si="485"/>
        <v>-</v>
      </c>
      <c r="M68" s="146">
        <f t="shared" si="485"/>
        <v>666.5419973290891</v>
      </c>
      <c r="N68" s="146" t="str">
        <f t="shared" si="485"/>
        <v>-</v>
      </c>
      <c r="O68" s="146">
        <f t="shared" si="485"/>
        <v>617.28394920634923</v>
      </c>
      <c r="P68" s="146" t="str">
        <f t="shared" si="485"/>
        <v>-</v>
      </c>
      <c r="Q68" s="146" t="str">
        <f t="shared" si="485"/>
        <v>-</v>
      </c>
      <c r="R68" s="146" t="str">
        <f t="shared" si="485"/>
        <v>-</v>
      </c>
      <c r="T68" s="698">
        <f t="shared" ref="T68:AF68" si="486">IFERROR(SUMPRODUCT(T69:T71,CL69:CL71)/CL68,0)</f>
        <v>681.02016984084867</v>
      </c>
      <c r="U68" s="698">
        <f t="shared" si="486"/>
        <v>0</v>
      </c>
      <c r="V68" s="698">
        <f t="shared" si="486"/>
        <v>0</v>
      </c>
      <c r="W68" s="698">
        <f t="shared" si="486"/>
        <v>729.07553055868027</v>
      </c>
      <c r="X68" s="698">
        <f t="shared" si="486"/>
        <v>782.8726287262873</v>
      </c>
      <c r="Y68" s="698">
        <f t="shared" si="486"/>
        <v>698.20400446850567</v>
      </c>
      <c r="Z68" s="698">
        <f t="shared" si="486"/>
        <v>0</v>
      </c>
      <c r="AA68" s="698">
        <f t="shared" si="486"/>
        <v>666.5419973290891</v>
      </c>
      <c r="AB68" s="698">
        <f t="shared" si="486"/>
        <v>0</v>
      </c>
      <c r="AC68" s="698">
        <f t="shared" si="486"/>
        <v>617.28394920634923</v>
      </c>
      <c r="AD68" s="698">
        <f t="shared" si="486"/>
        <v>0</v>
      </c>
      <c r="AE68" s="698">
        <f t="shared" si="486"/>
        <v>0</v>
      </c>
      <c r="AF68" s="698">
        <f t="shared" si="486"/>
        <v>0</v>
      </c>
      <c r="AH68" s="94">
        <f t="shared" ref="AH68:AT68" si="487">IFERROR(AVERAGE(AH69:AH71),0)</f>
        <v>748.88888888888891</v>
      </c>
      <c r="AI68" s="94">
        <f t="shared" si="487"/>
        <v>855</v>
      </c>
      <c r="AJ68" s="94">
        <f t="shared" si="487"/>
        <v>780</v>
      </c>
      <c r="AK68" s="94">
        <f t="shared" si="487"/>
        <v>790</v>
      </c>
      <c r="AL68" s="94">
        <f t="shared" si="487"/>
        <v>785</v>
      </c>
      <c r="AM68" s="94">
        <f t="shared" si="487"/>
        <v>765</v>
      </c>
      <c r="AN68" s="94">
        <f t="shared" si="487"/>
        <v>765</v>
      </c>
      <c r="AO68" s="94">
        <f t="shared" si="487"/>
        <v>680</v>
      </c>
      <c r="AP68" s="94">
        <f t="shared" si="487"/>
        <v>660</v>
      </c>
      <c r="AQ68" s="94">
        <f t="shared" si="487"/>
        <v>660</v>
      </c>
      <c r="AR68" s="94">
        <f t="shared" si="487"/>
        <v>0</v>
      </c>
      <c r="AS68" s="94">
        <f t="shared" si="487"/>
        <v>0</v>
      </c>
      <c r="AT68" s="94">
        <f t="shared" si="487"/>
        <v>0</v>
      </c>
      <c r="AV68" s="96">
        <f t="shared" si="427"/>
        <v>-67.868719048040248</v>
      </c>
      <c r="AW68" s="96" t="str">
        <f t="shared" si="427"/>
        <v>-</v>
      </c>
      <c r="AX68" s="96" t="str">
        <f t="shared" si="428"/>
        <v>-</v>
      </c>
      <c r="AY68" s="96">
        <f t="shared" si="428"/>
        <v>-60.924469441319729</v>
      </c>
      <c r="AZ68" s="96">
        <f t="shared" si="428"/>
        <v>-2.1273712737126971</v>
      </c>
      <c r="BA68" s="96">
        <f t="shared" si="428"/>
        <v>-66.795995531494327</v>
      </c>
      <c r="BB68" s="96" t="str">
        <f t="shared" si="428"/>
        <v>-</v>
      </c>
      <c r="BC68" s="96">
        <f t="shared" si="428"/>
        <v>-13.458002670910901</v>
      </c>
      <c r="BD68" s="96" t="str">
        <f t="shared" si="428"/>
        <v>-</v>
      </c>
      <c r="BE68" s="96">
        <f t="shared" si="428"/>
        <v>-42.716050793650766</v>
      </c>
      <c r="BF68" s="96" t="str">
        <f t="shared" si="428"/>
        <v>-</v>
      </c>
      <c r="BG68" s="96" t="str">
        <f t="shared" si="428"/>
        <v>-</v>
      </c>
      <c r="BH68" s="96" t="str">
        <f t="shared" si="428"/>
        <v>-</v>
      </c>
      <c r="BJ68" s="142">
        <f t="shared" si="376"/>
        <v>-9.0625885969193201E-2</v>
      </c>
      <c r="BK68" s="142" t="str">
        <f t="shared" si="377"/>
        <v>-</v>
      </c>
      <c r="BL68" s="142" t="str">
        <f t="shared" si="377"/>
        <v>-</v>
      </c>
      <c r="BM68" s="142">
        <f t="shared" si="377"/>
        <v>-7.7119581571290799E-2</v>
      </c>
      <c r="BN68" s="142">
        <f t="shared" si="377"/>
        <v>-2.7100271002709515E-3</v>
      </c>
      <c r="BO68" s="142">
        <f t="shared" si="377"/>
        <v>-8.7315026838554674E-2</v>
      </c>
      <c r="BP68" s="142" t="str">
        <f t="shared" si="377"/>
        <v>-</v>
      </c>
      <c r="BQ68" s="142">
        <f t="shared" si="377"/>
        <v>-1.9791180398398382E-2</v>
      </c>
      <c r="BR68" s="142" t="str">
        <f t="shared" si="377"/>
        <v>-</v>
      </c>
      <c r="BS68" s="142">
        <f t="shared" si="377"/>
        <v>-6.4721289081289032E-2</v>
      </c>
      <c r="BT68" s="142" t="str">
        <f t="shared" si="377"/>
        <v>-</v>
      </c>
      <c r="BU68" s="142" t="str">
        <f t="shared" si="377"/>
        <v>-</v>
      </c>
      <c r="BV68" s="142" t="str">
        <f t="shared" si="377"/>
        <v>-</v>
      </c>
      <c r="BX68" s="115">
        <f>IFERROR(AVERAGE(BX69:BX71),0)</f>
        <v>787.88218198510708</v>
      </c>
      <c r="BY68" s="115">
        <f t="shared" ref="BY68:CJ68" si="488">IFERROR(AVERAGE(BY69:BY71),0)</f>
        <v>0</v>
      </c>
      <c r="BZ68" s="115">
        <f t="shared" si="488"/>
        <v>0</v>
      </c>
      <c r="CA68" s="115">
        <f t="shared" si="488"/>
        <v>802.49058867641543</v>
      </c>
      <c r="CB68" s="115">
        <f t="shared" si="488"/>
        <v>789.1312427409988</v>
      </c>
      <c r="CC68" s="115">
        <f t="shared" si="488"/>
        <v>788.21582882186124</v>
      </c>
      <c r="CD68" s="115">
        <f t="shared" si="488"/>
        <v>0</v>
      </c>
      <c r="CE68" s="115">
        <f t="shared" si="488"/>
        <v>783.06804968625943</v>
      </c>
      <c r="CF68" s="115">
        <f t="shared" si="488"/>
        <v>0</v>
      </c>
      <c r="CG68" s="115">
        <f t="shared" si="488"/>
        <v>776.50519999999995</v>
      </c>
      <c r="CH68" s="115">
        <f t="shared" si="488"/>
        <v>0</v>
      </c>
      <c r="CI68" s="115">
        <f t="shared" si="488"/>
        <v>0</v>
      </c>
      <c r="CJ68" s="115">
        <f t="shared" si="488"/>
        <v>0</v>
      </c>
      <c r="CL68" s="113">
        <f t="shared" ref="CL68:CX68" si="489">SUM(CL69:CL71)</f>
        <v>47.35</v>
      </c>
      <c r="CM68" s="113">
        <f t="shared" si="489"/>
        <v>0</v>
      </c>
      <c r="CN68" s="113">
        <f t="shared" si="489"/>
        <v>0</v>
      </c>
      <c r="CO68" s="113">
        <f t="shared" si="489"/>
        <v>5.25</v>
      </c>
      <c r="CP68" s="113">
        <f t="shared" si="489"/>
        <v>0.1</v>
      </c>
      <c r="CQ68" s="113">
        <f t="shared" si="489"/>
        <v>20.25</v>
      </c>
      <c r="CR68" s="113">
        <f t="shared" si="489"/>
        <v>0</v>
      </c>
      <c r="CS68" s="113">
        <f t="shared" si="489"/>
        <v>15.75</v>
      </c>
      <c r="CT68" s="113">
        <f t="shared" si="489"/>
        <v>0</v>
      </c>
      <c r="CU68" s="113">
        <f t="shared" si="489"/>
        <v>6</v>
      </c>
      <c r="CV68" s="113">
        <f t="shared" si="489"/>
        <v>0</v>
      </c>
      <c r="CW68" s="113">
        <f t="shared" si="489"/>
        <v>0</v>
      </c>
      <c r="CX68" s="113">
        <f t="shared" si="489"/>
        <v>0</v>
      </c>
      <c r="CZ68" s="113">
        <f t="shared" ref="CZ68:DL68" si="490">SUM(CZ69:CZ71)</f>
        <v>32246.305041964188</v>
      </c>
      <c r="DA68" s="113">
        <f t="shared" si="490"/>
        <v>0</v>
      </c>
      <c r="DB68" s="113">
        <f t="shared" si="490"/>
        <v>0</v>
      </c>
      <c r="DC68" s="113">
        <f t="shared" si="490"/>
        <v>3827.6465354330712</v>
      </c>
      <c r="DD68" s="113">
        <f t="shared" si="490"/>
        <v>78.28726287262873</v>
      </c>
      <c r="DE68" s="113">
        <f t="shared" si="490"/>
        <v>14138.631090487241</v>
      </c>
      <c r="DF68" s="113">
        <f t="shared" si="490"/>
        <v>0</v>
      </c>
      <c r="DG68" s="113">
        <f t="shared" si="490"/>
        <v>10498.036457933153</v>
      </c>
      <c r="DH68" s="113">
        <f t="shared" si="490"/>
        <v>0</v>
      </c>
      <c r="DI68" s="113">
        <f t="shared" si="490"/>
        <v>3703.7036952380954</v>
      </c>
      <c r="DJ68" s="113">
        <f t="shared" si="490"/>
        <v>0</v>
      </c>
      <c r="DK68" s="113">
        <f t="shared" si="490"/>
        <v>0</v>
      </c>
      <c r="DL68" s="113">
        <f t="shared" si="490"/>
        <v>0</v>
      </c>
      <c r="DN68" s="113">
        <f t="shared" ref="DN68:DZ68" si="491">SUM(DN69:DN71)</f>
        <v>-4999.4071890623709</v>
      </c>
      <c r="DO68" s="113">
        <f t="shared" si="491"/>
        <v>0</v>
      </c>
      <c r="DP68" s="113">
        <f t="shared" si="491"/>
        <v>0</v>
      </c>
      <c r="DQ68" s="113">
        <f t="shared" si="491"/>
        <v>-385.42905511811068</v>
      </c>
      <c r="DR68" s="113">
        <f t="shared" si="491"/>
        <v>-0.62586140147115543</v>
      </c>
      <c r="DS68" s="113">
        <f t="shared" si="491"/>
        <v>-1822.739443155453</v>
      </c>
      <c r="DT68" s="113">
        <f t="shared" si="491"/>
        <v>0</v>
      </c>
      <c r="DU68" s="113">
        <f t="shared" si="491"/>
        <v>-1835.2853246254308</v>
      </c>
      <c r="DV68" s="113">
        <f t="shared" si="491"/>
        <v>0</v>
      </c>
      <c r="DW68" s="113">
        <f t="shared" si="491"/>
        <v>-955.32750476190495</v>
      </c>
      <c r="DX68" s="113">
        <f t="shared" si="491"/>
        <v>0</v>
      </c>
      <c r="DY68" s="113">
        <f t="shared" si="491"/>
        <v>0</v>
      </c>
      <c r="DZ68" s="113">
        <f t="shared" si="491"/>
        <v>0</v>
      </c>
      <c r="EB68" s="570">
        <f t="shared" si="252"/>
        <v>-0.1550381410383708</v>
      </c>
      <c r="EC68" s="578">
        <f t="shared" si="253"/>
        <v>0</v>
      </c>
      <c r="ED68" s="578">
        <f t="shared" si="19"/>
        <v>0</v>
      </c>
      <c r="EE68" s="570">
        <f t="shared" si="20"/>
        <v>-0.10069609394444833</v>
      </c>
      <c r="EF68" s="570">
        <f t="shared" si="21"/>
        <v>-7.994421806385224E-3</v>
      </c>
      <c r="EG68" s="570">
        <f t="shared" si="22"/>
        <v>-0.12891908923076925</v>
      </c>
      <c r="EH68" s="570">
        <f t="shared" si="23"/>
        <v>0</v>
      </c>
      <c r="EI68" s="570">
        <f t="shared" si="24"/>
        <v>-0.17482177090731504</v>
      </c>
      <c r="EJ68" s="570">
        <f t="shared" si="25"/>
        <v>0</v>
      </c>
      <c r="EK68" s="570">
        <f t="shared" si="26"/>
        <v>-0.2579384268752879</v>
      </c>
      <c r="EL68" s="570">
        <f t="shared" si="27"/>
        <v>0</v>
      </c>
      <c r="EM68" s="570">
        <f t="shared" si="28"/>
        <v>0</v>
      </c>
      <c r="EN68" s="570">
        <f t="shared" si="29"/>
        <v>0</v>
      </c>
    </row>
    <row r="69" spans="1:144" ht="15.5" outlineLevel="1" x14ac:dyDescent="0.35">
      <c r="A69" s="10">
        <v>1</v>
      </c>
      <c r="B69" s="10" t="s">
        <v>492</v>
      </c>
      <c r="C69" s="246" t="str">
        <f>VLOOKUP(D69,'Quy đổi'!A:C,3,0)</f>
        <v>Vảy PP Đỏ Nhạt</v>
      </c>
      <c r="D69" s="8" t="s">
        <v>19</v>
      </c>
      <c r="E69" s="7" t="s">
        <v>18</v>
      </c>
      <c r="F69" s="109">
        <f t="shared" ref="F69:F71" si="492">IFERROR(AVERAGE(G69:R69),"-")</f>
        <v>698.79562205778234</v>
      </c>
      <c r="G69" s="106" t="str">
        <f>IFERROR(SUMIFS('01. KE30'!$K:$K,'01. KE30'!$F:$F,'05. BC BH THEO SKU-USD'!$D69,'01. KE30'!$A:$A,'05. BC BH THEO SKU-USD'!G$4)/'05. BC BH THEO SKU-USD'!CM69/'02. Tỷ giá'!B$5,"-")</f>
        <v>-</v>
      </c>
      <c r="H69" s="106" t="str">
        <f>IFERROR(SUMIFS('01. KE30'!$K:$K,'01. KE30'!$F:$F,'05. BC BH THEO SKU-USD'!$D69,'01. KE30'!$A:$A,'05. BC BH THEO SKU-USD'!H$4)/'05. BC BH THEO SKU-USD'!CN69/'02. Tỷ giá'!C$5,"-")</f>
        <v>-</v>
      </c>
      <c r="I69" s="106">
        <f>IFERROR(SUMIFS('01. KE30'!$K:$K,'01. KE30'!$F:$F,'05. BC BH THEO SKU-USD'!$D69,'01. KE30'!$A:$A,'05. BC BH THEO SKU-USD'!I$4)/'05. BC BH THEO SKU-USD'!CO69/'02. Tỷ giá'!D$5,"-")</f>
        <v>729.07553055868027</v>
      </c>
      <c r="J69" s="106">
        <f>IFERROR(SUMIFS('01. KE30'!$K:$K,'01. KE30'!$F:$F,'05. BC BH THEO SKU-USD'!$D69,'01. KE30'!$A:$A,'05. BC BH THEO SKU-USD'!J$4)/'05. BC BH THEO SKU-USD'!CP69/'02. Tỷ giá'!E$5,"-")</f>
        <v>782.8726287262873</v>
      </c>
      <c r="K69" s="106">
        <f>IFERROR(SUMIFS('01. KE30'!$K:$K,'01. KE30'!$F:$F,'05. BC BH THEO SKU-USD'!$D69,'01. KE30'!$A:$A,'05. BC BH THEO SKU-USD'!K$4)/'05. BC BH THEO SKU-USD'!CQ69/'02. Tỷ giá'!F$5,"-")</f>
        <v>698.20400446850567</v>
      </c>
      <c r="L69" s="106" t="str">
        <f>IFERROR(SUMIFS('01. KE30'!$K:$K,'01. KE30'!$F:$F,'05. BC BH THEO SKU-USD'!$D69,'01. KE30'!$A:$A,'05. BC BH THEO SKU-USD'!L$4)/'05. BC BH THEO SKU-USD'!CR69/'02. Tỷ giá'!G$5,"-")</f>
        <v>-</v>
      </c>
      <c r="M69" s="106">
        <f>IFERROR(SUMIFS('01. KE30'!$K:$K,'01. KE30'!$F:$F,'05. BC BH THEO SKU-USD'!$D69,'01. KE30'!$A:$A,'05. BC BH THEO SKU-USD'!M$4)/'05. BC BH THEO SKU-USD'!CS69/'02. Tỷ giá'!H$5,"-")</f>
        <v>666.5419973290891</v>
      </c>
      <c r="N69" s="106" t="str">
        <f>IFERROR(SUMIFS('01. KE30'!$K:$K,'01. KE30'!$F:$F,'05. BC BH THEO SKU-USD'!$D69,'01. KE30'!$A:$A,'05. BC BH THEO SKU-USD'!N$4)/'05. BC BH THEO SKU-USD'!CT69/'02. Tỷ giá'!I$5,"-")</f>
        <v>-</v>
      </c>
      <c r="O69" s="106">
        <f>IFERROR(SUMIFS('01. KE30'!$K:$K,'01. KE30'!$F:$F,'05. BC BH THEO SKU-USD'!$D69,'01. KE30'!$A:$A,'05. BC BH THEO SKU-USD'!O$4)/'05. BC BH THEO SKU-USD'!CU69/'02. Tỷ giá'!J$5,"-")</f>
        <v>617.28394920634923</v>
      </c>
      <c r="P69" s="106" t="str">
        <f>IFERROR(SUMIFS('01. KE30'!$K:$K,'01. KE30'!$F:$F,'05. BC BH THEO SKU-USD'!$D69,'01. KE30'!$A:$A,'05. BC BH THEO SKU-USD'!P$4)/'05. BC BH THEO SKU-USD'!CV69/'02. Tỷ giá'!K$5,"-")</f>
        <v>-</v>
      </c>
      <c r="Q69" s="106" t="str">
        <f>IFERROR(SUMIFS('01. KE30'!$K:$K,'01. KE30'!$F:$F,'05. BC BH THEO SKU-USD'!$D69,'01. KE30'!$A:$A,'05. BC BH THEO SKU-USD'!Q$4)/'05. BC BH THEO SKU-USD'!CW69/'02. Tỷ giá'!L$5,"-")</f>
        <v>-</v>
      </c>
      <c r="R69" s="106" t="str">
        <f>IFERROR(SUMIFS('01. KE30'!$K:$K,'01. KE30'!$F:$F,'05. BC BH THEO SKU-USD'!$D69,'01. KE30'!$A:$A,'05. BC BH THEO SKU-USD'!R$4)/'05. BC BH THEO SKU-USD'!CX69/'02. Tỷ giá'!M$5,"-")</f>
        <v>-</v>
      </c>
      <c r="T69" s="92">
        <f t="shared" si="309"/>
        <v>681.02016984084867</v>
      </c>
      <c r="U69" s="147" t="str">
        <f>IFERROR(SUMIFS('01. KE30'!$O:$O,'01. KE30'!$F:$F,'05. BC BH THEO SKU-USD'!$D69,'01. KE30'!$A:$A,'05. BC BH THEO SKU-USD'!G$4)/'05. BC BH THEO SKU-USD'!CM69/'02. Tỷ giá'!B$5,"-")</f>
        <v>-</v>
      </c>
      <c r="V69" s="147" t="str">
        <f>IFERROR(SUMIFS('01. KE30'!$O:$O,'01. KE30'!$F:$F,'05. BC BH THEO SKU-USD'!$D69,'01. KE30'!$A:$A,'05. BC BH THEO SKU-USD'!H$4)/'05. BC BH THEO SKU-USD'!CN69/'02. Tỷ giá'!C$5,"-")</f>
        <v>-</v>
      </c>
      <c r="W69" s="147">
        <f>IFERROR(SUMIFS('01. KE30'!$O:$O,'01. KE30'!$F:$F,'05. BC BH THEO SKU-USD'!$D69,'01. KE30'!$A:$A,'05. BC BH THEO SKU-USD'!I$4)/'05. BC BH THEO SKU-USD'!CO69/'02. Tỷ giá'!D$5,"-")</f>
        <v>729.07553055868027</v>
      </c>
      <c r="X69" s="147">
        <f>IFERROR(SUMIFS('01. KE30'!$O:$O,'01. KE30'!$F:$F,'05. BC BH THEO SKU-USD'!$D69,'01. KE30'!$A:$A,'05. BC BH THEO SKU-USD'!J$4)/'05. BC BH THEO SKU-USD'!CP69/'02. Tỷ giá'!E$5,"-")</f>
        <v>782.8726287262873</v>
      </c>
      <c r="Y69" s="147">
        <f>IFERROR(SUMIFS('01. KE30'!$O:$O,'01. KE30'!$F:$F,'05. BC BH THEO SKU-USD'!$D69,'01. KE30'!$A:$A,'05. BC BH THEO SKU-USD'!K$4)/'05. BC BH THEO SKU-USD'!CQ69/'02. Tỷ giá'!F$5,"-")</f>
        <v>698.20400446850567</v>
      </c>
      <c r="Z69" s="147" t="str">
        <f>IFERROR(SUMIFS('01. KE30'!$O:$O,'01. KE30'!$F:$F,'05. BC BH THEO SKU-USD'!$D69,'01. KE30'!$A:$A,'05. BC BH THEO SKU-USD'!L$4)/'05. BC BH THEO SKU-USD'!CR69/'02. Tỷ giá'!G$5,"-")</f>
        <v>-</v>
      </c>
      <c r="AA69" s="147">
        <f>IFERROR(SUMIFS('01. KE30'!$O:$O,'01. KE30'!$F:$F,'05. BC BH THEO SKU-USD'!$D69,'01. KE30'!$A:$A,'05. BC BH THEO SKU-USD'!M$4)/'05. BC BH THEO SKU-USD'!CS69/'02. Tỷ giá'!H$5,"-")</f>
        <v>666.5419973290891</v>
      </c>
      <c r="AB69" s="147" t="str">
        <f>IFERROR(SUMIFS('01. KE30'!$O:$O,'01. KE30'!$F:$F,'05. BC BH THEO SKU-USD'!$D69,'01. KE30'!$A:$A,'05. BC BH THEO SKU-USD'!N$4)/'05. BC BH THEO SKU-USD'!CT69/'02. Tỷ giá'!I$5,"-")</f>
        <v>-</v>
      </c>
      <c r="AC69" s="147">
        <f>IFERROR(SUMIFS('01. KE30'!$O:$O,'01. KE30'!$F:$F,'05. BC BH THEO SKU-USD'!$D69,'01. KE30'!$A:$A,'05. BC BH THEO SKU-USD'!O$4)/'05. BC BH THEO SKU-USD'!CU69/'02. Tỷ giá'!J$5,"-")</f>
        <v>617.28394920634923</v>
      </c>
      <c r="AD69" s="147" t="str">
        <f>IFERROR(SUMIFS('01. KE30'!$O:$O,'01. KE30'!$F:$F,'05. BC BH THEO SKU-USD'!$D69,'01. KE30'!$A:$A,'05. BC BH THEO SKU-USD'!P$4)/'05. BC BH THEO SKU-USD'!CV69/'02. Tỷ giá'!K$5,"-")</f>
        <v>-</v>
      </c>
      <c r="AE69" s="147" t="str">
        <f>IFERROR(SUMIFS('01. KE30'!$O:$O,'01. KE30'!$F:$F,'05. BC BH THEO SKU-USD'!$D69,'01. KE30'!$A:$A,'05. BC BH THEO SKU-USD'!Q$4)/'05. BC BH THEO SKU-USD'!CW69/'02. Tỷ giá'!L$5,"-")</f>
        <v>-</v>
      </c>
      <c r="AF69" s="147" t="str">
        <f>IFERROR(SUMIFS('01. KE30'!$O:$O,'01. KE30'!$F:$F,'05. BC BH THEO SKU-USD'!$D69,'01. KE30'!$A:$A,'05. BC BH THEO SKU-USD'!R$4)/'05. BC BH THEO SKU-USD'!CX69/'02. Tỷ giá'!M$5,"-")</f>
        <v>-</v>
      </c>
      <c r="AH69" s="92">
        <f t="shared" si="480"/>
        <v>748.88888888888891</v>
      </c>
      <c r="AI69" s="4">
        <v>855</v>
      </c>
      <c r="AJ69" s="4">
        <v>780</v>
      </c>
      <c r="AK69" s="4">
        <v>790</v>
      </c>
      <c r="AL69" s="4">
        <v>785</v>
      </c>
      <c r="AM69" s="4">
        <v>765</v>
      </c>
      <c r="AN69" s="4">
        <v>765</v>
      </c>
      <c r="AO69" s="4">
        <v>680</v>
      </c>
      <c r="AP69" s="4">
        <v>660</v>
      </c>
      <c r="AQ69" s="4">
        <v>660</v>
      </c>
      <c r="AR69" s="4"/>
      <c r="AS69" s="4"/>
      <c r="AT69" s="4"/>
      <c r="AV69" s="95">
        <f t="shared" si="427"/>
        <v>-67.868719048040248</v>
      </c>
      <c r="AW69" s="95" t="str">
        <f t="shared" si="427"/>
        <v>-</v>
      </c>
      <c r="AX69" s="95" t="str">
        <f t="shared" si="428"/>
        <v>-</v>
      </c>
      <c r="AY69" s="95">
        <f t="shared" si="428"/>
        <v>-60.924469441319729</v>
      </c>
      <c r="AZ69" s="95">
        <f t="shared" si="428"/>
        <v>-2.1273712737126971</v>
      </c>
      <c r="BA69" s="95">
        <f t="shared" si="428"/>
        <v>-66.795995531494327</v>
      </c>
      <c r="BB69" s="95" t="str">
        <f t="shared" si="428"/>
        <v>-</v>
      </c>
      <c r="BC69" s="95">
        <f t="shared" si="428"/>
        <v>-13.458002670910901</v>
      </c>
      <c r="BD69" s="95" t="str">
        <f t="shared" si="428"/>
        <v>-</v>
      </c>
      <c r="BE69" s="95">
        <f t="shared" si="428"/>
        <v>-42.716050793650766</v>
      </c>
      <c r="BF69" s="95" t="str">
        <f t="shared" si="428"/>
        <v>-</v>
      </c>
      <c r="BG69" s="95" t="str">
        <f t="shared" si="428"/>
        <v>-</v>
      </c>
      <c r="BH69" s="95" t="str">
        <f t="shared" si="428"/>
        <v>-</v>
      </c>
      <c r="BJ69" s="143">
        <f t="shared" si="376"/>
        <v>-9.0625885969193201E-2</v>
      </c>
      <c r="BK69" s="143" t="str">
        <f t="shared" si="377"/>
        <v>-</v>
      </c>
      <c r="BL69" s="143" t="str">
        <f t="shared" si="377"/>
        <v>-</v>
      </c>
      <c r="BM69" s="143">
        <f t="shared" si="377"/>
        <v>-7.7119581571290799E-2</v>
      </c>
      <c r="BN69" s="143">
        <f t="shared" si="377"/>
        <v>-2.7100271002709515E-3</v>
      </c>
      <c r="BO69" s="143">
        <f t="shared" si="377"/>
        <v>-8.7315026838554674E-2</v>
      </c>
      <c r="BP69" s="143" t="str">
        <f t="shared" si="377"/>
        <v>-</v>
      </c>
      <c r="BQ69" s="143">
        <f t="shared" si="377"/>
        <v>-1.9791180398398382E-2</v>
      </c>
      <c r="BR69" s="143" t="str">
        <f t="shared" si="377"/>
        <v>-</v>
      </c>
      <c r="BS69" s="143">
        <f t="shared" si="377"/>
        <v>-6.4721289081289032E-2</v>
      </c>
      <c r="BT69" s="143" t="str">
        <f t="shared" si="377"/>
        <v>-</v>
      </c>
      <c r="BU69" s="143" t="str">
        <f t="shared" si="377"/>
        <v>-</v>
      </c>
      <c r="BV69" s="143" t="str">
        <f t="shared" si="377"/>
        <v>-</v>
      </c>
      <c r="BX69" s="112">
        <f>IFERROR(AVERAGE(BY69:CJ69),"-")</f>
        <v>787.88218198510708</v>
      </c>
      <c r="BY69" s="95" t="str">
        <f>IFERROR(SUMIFS('01. KE30'!$R:$R,'01. KE30'!$F:$F,'05. BC BH THEO SKU-USD'!$D69,'01. KE30'!$A:$A,'05. BC BH THEO SKU-USD'!BY$4)/CM69/'02. Tỷ giá'!B$5," -")</f>
        <v xml:space="preserve"> -</v>
      </c>
      <c r="BZ69" s="95" t="str">
        <f>IFERROR(SUMIFS('01. KE30'!$R:$R,'01. KE30'!$F:$F,'05. BC BH THEO SKU-USD'!$D69,'01. KE30'!$A:$A,'05. BC BH THEO SKU-USD'!BZ$4)/CN69/'02. Tỷ giá'!C$5," -")</f>
        <v xml:space="preserve"> -</v>
      </c>
      <c r="CA69" s="95">
        <f>IFERROR(SUMIFS('01. KE30'!$R:$R,'01. KE30'!$F:$F,'05. BC BH THEO SKU-USD'!$D69,'01. KE30'!$A:$A,'05. BC BH THEO SKU-USD'!CA$4)/CO69/'02. Tỷ giá'!D$5," -")</f>
        <v>802.49058867641543</v>
      </c>
      <c r="CB69" s="95">
        <f>IFERROR(SUMIFS('01. KE30'!$R:$R,'01. KE30'!$F:$F,'05. BC BH THEO SKU-USD'!$D69,'01. KE30'!$A:$A,'05. BC BH THEO SKU-USD'!CB$4)/CP69/'02. Tỷ giá'!E$5," -")</f>
        <v>789.1312427409988</v>
      </c>
      <c r="CC69" s="95">
        <f>IFERROR(SUMIFS('01. KE30'!$R:$R,'01. KE30'!$F:$F,'05. BC BH THEO SKU-USD'!$D69,'01. KE30'!$A:$A,'05. BC BH THEO SKU-USD'!CC$4)/CQ69/'02. Tỷ giá'!F$5," -")</f>
        <v>788.21582882186124</v>
      </c>
      <c r="CD69" s="95" t="str">
        <f>IFERROR(SUMIFS('01. KE30'!$R:$R,'01. KE30'!$F:$F,'05. BC BH THEO SKU-USD'!$D69,'01. KE30'!$A:$A,'05. BC BH THEO SKU-USD'!CD$4)/CR69/'02. Tỷ giá'!G$5," -")</f>
        <v xml:space="preserve"> -</v>
      </c>
      <c r="CE69" s="95">
        <f>IFERROR(SUMIFS('01. KE30'!$R:$R,'01. KE30'!$F:$F,'05. BC BH THEO SKU-USD'!$D69,'01. KE30'!$A:$A,'05. BC BH THEO SKU-USD'!CE$4)/CS69/'02. Tỷ giá'!H$5," -")</f>
        <v>783.06804968625943</v>
      </c>
      <c r="CF69" s="95" t="str">
        <f>IFERROR(SUMIFS('01. KE30'!$R:$R,'01. KE30'!$F:$F,'05. BC BH THEO SKU-USD'!$D69,'01. KE30'!$A:$A,'05. BC BH THEO SKU-USD'!CF$4)/CT69/'02. Tỷ giá'!I$5," -")</f>
        <v xml:space="preserve"> -</v>
      </c>
      <c r="CG69" s="95">
        <f>IFERROR(SUMIFS('01. KE30'!$R:$R,'01. KE30'!$F:$F,'05. BC BH THEO SKU-USD'!$D69,'01. KE30'!$A:$A,'05. BC BH THEO SKU-USD'!CG$4)/CU69/'02. Tỷ giá'!J$5," -")</f>
        <v>776.50519999999995</v>
      </c>
      <c r="CH69" s="95" t="str">
        <f>IFERROR(SUMIFS('01. KE30'!$R:$R,'01. KE30'!$F:$F,'05. BC BH THEO SKU-USD'!$D69,'01. KE30'!$A:$A,'05. BC BH THEO SKU-USD'!CH$4)/CV69/'02. Tỷ giá'!K$5," -")</f>
        <v xml:space="preserve"> -</v>
      </c>
      <c r="CI69" s="95" t="str">
        <f>IFERROR(SUMIFS('01. KE30'!$R:$R,'01. KE30'!$F:$F,'05. BC BH THEO SKU-USD'!$D69,'01. KE30'!$A:$A,'05. BC BH THEO SKU-USD'!CI$4)/CW69/'02. Tỷ giá'!L$5," -")</f>
        <v xml:space="preserve"> -</v>
      </c>
      <c r="CJ69" s="95" t="str">
        <f>IFERROR(SUMIFS('01. KE30'!$R:$R,'01. KE30'!$F:$F,'05. BC BH THEO SKU-USD'!$D69,'01. KE30'!$A:$A,'05. BC BH THEO SKU-USD'!CJ$4)/CX69/'02. Tỷ giá'!M$5," -")</f>
        <v xml:space="preserve"> -</v>
      </c>
      <c r="CL69" s="112">
        <f t="shared" si="465"/>
        <v>47.35</v>
      </c>
      <c r="CM69" s="114">
        <f>SUMIFS('01. KE30'!$I:$I,'01. KE30'!$F:$F,'05. BC BH THEO SKU-USD'!$D69,'01. KE30'!$A:$A,'05. BC BH THEO SKU-USD'!CM$4)/1000</f>
        <v>0</v>
      </c>
      <c r="CN69" s="114">
        <f>SUMIFS('01. KE30'!$I:$I,'01. KE30'!$F:$F,'05. BC BH THEO SKU-USD'!$D69,'01. KE30'!$A:$A,'05. BC BH THEO SKU-USD'!CN$4)/1000</f>
        <v>0</v>
      </c>
      <c r="CO69" s="114">
        <f>SUMIFS('01. KE30'!$I:$I,'01. KE30'!$F:$F,'05. BC BH THEO SKU-USD'!$D69,'01. KE30'!$A:$A,'05. BC BH THEO SKU-USD'!CO$4)/1000</f>
        <v>5.25</v>
      </c>
      <c r="CP69" s="114">
        <f>SUMIFS('01. KE30'!$I:$I,'01. KE30'!$F:$F,'05. BC BH THEO SKU-USD'!$D69,'01. KE30'!$A:$A,'05. BC BH THEO SKU-USD'!CP$4)/1000</f>
        <v>0.1</v>
      </c>
      <c r="CQ69" s="114">
        <f>SUMIFS('01. KE30'!$I:$I,'01. KE30'!$F:$F,'05. BC BH THEO SKU-USD'!$D69,'01. KE30'!$A:$A,'05. BC BH THEO SKU-USD'!CQ$4)/1000</f>
        <v>20.25</v>
      </c>
      <c r="CR69" s="114">
        <f>SUMIFS('01. KE30'!$I:$I,'01. KE30'!$F:$F,'05. BC BH THEO SKU-USD'!$D69,'01. KE30'!$A:$A,'05. BC BH THEO SKU-USD'!CR$4)/1000</f>
        <v>0</v>
      </c>
      <c r="CS69" s="114">
        <f>SUMIFS('01. KE30'!$I:$I,'01. KE30'!$F:$F,'05. BC BH THEO SKU-USD'!$D69,'01. KE30'!$A:$A,'05. BC BH THEO SKU-USD'!CS$4)/1000</f>
        <v>15.75</v>
      </c>
      <c r="CT69" s="114">
        <f>SUMIFS('01. KE30'!$I:$I,'01. KE30'!$F:$F,'05. BC BH THEO SKU-USD'!$D69,'01. KE30'!$A:$A,'05. BC BH THEO SKU-USD'!CT$4)/1000</f>
        <v>0</v>
      </c>
      <c r="CU69" s="114">
        <f>SUMIFS('01. KE30'!$I:$I,'01. KE30'!$F:$F,'05. BC BH THEO SKU-USD'!$D69,'01. KE30'!$A:$A,'05. BC BH THEO SKU-USD'!CU$4)/1000</f>
        <v>6</v>
      </c>
      <c r="CV69" s="114">
        <f>SUMIFS('01. KE30'!$I:$I,'01. KE30'!$F:$F,'05. BC BH THEO SKU-USD'!$D69,'01. KE30'!$A:$A,'05. BC BH THEO SKU-USD'!CV$4)/1000</f>
        <v>0</v>
      </c>
      <c r="CW69" s="114">
        <f>SUMIFS('01. KE30'!$I:$I,'01. KE30'!$F:$F,'05. BC BH THEO SKU-USD'!$D69,'01. KE30'!$A:$A,'05. BC BH THEO SKU-USD'!CW$4)/1000</f>
        <v>0</v>
      </c>
      <c r="CX69" s="114">
        <f>SUMIFS('01. KE30'!$I:$I,'01. KE30'!$F:$F,'05. BC BH THEO SKU-USD'!$D69,'01. KE30'!$A:$A,'05. BC BH THEO SKU-USD'!CX$4)/1000</f>
        <v>0</v>
      </c>
      <c r="CZ69" s="112">
        <f t="shared" ref="CZ69:CZ71" si="493">SUM(DA69:DL69)</f>
        <v>32246.305041964188</v>
      </c>
      <c r="DA69" s="54" t="str">
        <f t="shared" ref="DA69:DA70" si="494">IFERROR(G69*CM69," -")</f>
        <v xml:space="preserve"> -</v>
      </c>
      <c r="DB69" s="54" t="str">
        <f t="shared" ref="DB69:DB70" si="495">IFERROR(H69*CN69," -")</f>
        <v xml:space="preserve"> -</v>
      </c>
      <c r="DC69" s="54">
        <f t="shared" ref="DC69:DC70" si="496">IFERROR(I69*CO69," -")</f>
        <v>3827.6465354330712</v>
      </c>
      <c r="DD69" s="54">
        <f t="shared" ref="DD69:DD70" si="497">IFERROR(J69*CP69," -")</f>
        <v>78.28726287262873</v>
      </c>
      <c r="DE69" s="54">
        <f t="shared" ref="DE69:DE70" si="498">IFERROR(K69*CQ69," -")</f>
        <v>14138.631090487241</v>
      </c>
      <c r="DF69" s="54" t="str">
        <f t="shared" ref="DF69:DF70" si="499">IFERROR(L69*CR69," -")</f>
        <v xml:space="preserve"> -</v>
      </c>
      <c r="DG69" s="54">
        <f t="shared" ref="DG69:DG70" si="500">IFERROR(M69*CS69," -")</f>
        <v>10498.036457933153</v>
      </c>
      <c r="DH69" s="54" t="str">
        <f t="shared" ref="DH69:DH70" si="501">IFERROR(N69*CT69," -")</f>
        <v xml:space="preserve"> -</v>
      </c>
      <c r="DI69" s="54">
        <f t="shared" ref="DI69:DI70" si="502">IFERROR(O69*CU69," -")</f>
        <v>3703.7036952380954</v>
      </c>
      <c r="DJ69" s="54" t="str">
        <f t="shared" ref="DJ69:DJ70" si="503">IFERROR(P69*CV69," -")</f>
        <v xml:space="preserve"> -</v>
      </c>
      <c r="DK69" s="54" t="str">
        <f t="shared" ref="DK69:DK70" si="504">IFERROR(Q69*CW69," -")</f>
        <v xml:space="preserve"> -</v>
      </c>
      <c r="DL69" s="54" t="str">
        <f t="shared" ref="DL69:DL70" si="505">IFERROR(R69*CX69," -")</f>
        <v xml:space="preserve"> -</v>
      </c>
      <c r="DN69" s="112">
        <f t="shared" ref="DN69:DN71" si="506">SUM(DO69:DZ69)</f>
        <v>-4999.4071890623709</v>
      </c>
      <c r="DO69" s="114">
        <f>IFERROR(SUMIFS('01. KE30'!$X:$X,'01. KE30'!$F:$F,'05. BC BH THEO SKU-USD'!$D69,'01. KE30'!$A:$A,'05. BC BH THEO SKU-USD'!DO$4)-SUMIFS('01. KE30'!$AA:$AA,'01. KE30'!$F:$F,'05. BC BH THEO SKU-USD'!$D69,'01. KE30'!$A:$A,'05. BC BH THEO SKU-USD'!DO$4),"-")</f>
        <v>0</v>
      </c>
      <c r="DP69" s="114">
        <f>IFERROR(SUMIFS('01. KE30'!$X:$X,'01. KE30'!$F:$F,'05. BC BH THEO SKU-USD'!$D69,'01. KE30'!$A:$A,'05. BC BH THEO SKU-USD'!DP$4)-SUMIFS('01. KE30'!$AA:$AA,'01. KE30'!$F:$F,'05. BC BH THEO SKU-USD'!$D69,'01. KE30'!$A:$A,'05. BC BH THEO SKU-USD'!DP$4),"-")</f>
        <v>0</v>
      </c>
      <c r="DQ69" s="114">
        <f>IFERROR(SUMIFS('01. KE30'!$X:$X,'01. KE30'!$F:$F,'05. BC BH THEO SKU-USD'!$D69,'01. KE30'!$A:$A,'05. BC BH THEO SKU-USD'!DQ$4)-SUMIFS('01. KE30'!$AA:$AA,'01. KE30'!$F:$F,'05. BC BH THEO SKU-USD'!$D69,'01. KE30'!$A:$A,'05. BC BH THEO SKU-USD'!DQ$4),"-")</f>
        <v>-385.42905511811068</v>
      </c>
      <c r="DR69" s="114">
        <f>IFERROR(SUMIFS('01. KE30'!$X:$X,'01. KE30'!$F:$F,'05. BC BH THEO SKU-USD'!$D69,'01. KE30'!$A:$A,'05. BC BH THEO SKU-USD'!DR$4)-SUMIFS('01. KE30'!$AA:$AA,'01. KE30'!$F:$F,'05. BC BH THEO SKU-USD'!$D69,'01. KE30'!$A:$A,'05. BC BH THEO SKU-USD'!DR$4),"-")</f>
        <v>-0.62586140147115543</v>
      </c>
      <c r="DS69" s="114">
        <f>IFERROR(SUMIFS('01. KE30'!$X:$X,'01. KE30'!$F:$F,'05. BC BH THEO SKU-USD'!$D69,'01. KE30'!$A:$A,'05. BC BH THEO SKU-USD'!DS$4)-SUMIFS('01. KE30'!$AA:$AA,'01. KE30'!$F:$F,'05. BC BH THEO SKU-USD'!$D69,'01. KE30'!$A:$A,'05. BC BH THEO SKU-USD'!DS$4),"-")</f>
        <v>-1822.739443155453</v>
      </c>
      <c r="DT69" s="114">
        <f>IFERROR(SUMIFS('01. KE30'!$X:$X,'01. KE30'!$F:$F,'05. BC BH THEO SKU-USD'!$D69,'01. KE30'!$A:$A,'05. BC BH THEO SKU-USD'!DT$4)-SUMIFS('01. KE30'!$AA:$AA,'01. KE30'!$F:$F,'05. BC BH THEO SKU-USD'!$D69,'01. KE30'!$A:$A,'05. BC BH THEO SKU-USD'!DT$4),"-")</f>
        <v>0</v>
      </c>
      <c r="DU69" s="114">
        <f>IFERROR(SUMIFS('01. KE30'!$X:$X,'01. KE30'!$F:$F,'05. BC BH THEO SKU-USD'!$D69,'01. KE30'!$A:$A,'05. BC BH THEO SKU-USD'!DU$4)-SUMIFS('01. KE30'!$AA:$AA,'01. KE30'!$F:$F,'05. BC BH THEO SKU-USD'!$D69,'01. KE30'!$A:$A,'05. BC BH THEO SKU-USD'!DU$4),"-")</f>
        <v>-1835.2853246254308</v>
      </c>
      <c r="DV69" s="114">
        <f>IFERROR(SUMIFS('01. KE30'!$X:$X,'01. KE30'!$F:$F,'05. BC BH THEO SKU-USD'!$D69,'01. KE30'!$A:$A,'05. BC BH THEO SKU-USD'!DV$4)-SUMIFS('01. KE30'!$AA:$AA,'01. KE30'!$F:$F,'05. BC BH THEO SKU-USD'!$D69,'01. KE30'!$A:$A,'05. BC BH THEO SKU-USD'!DV$4),"-")</f>
        <v>0</v>
      </c>
      <c r="DW69" s="114">
        <f>IFERROR(SUMIFS('01. KE30'!$X:$X,'01. KE30'!$F:$F,'05. BC BH THEO SKU-USD'!$D69,'01. KE30'!$A:$A,'05. BC BH THEO SKU-USD'!DW$4)-SUMIFS('01. KE30'!$AA:$AA,'01. KE30'!$F:$F,'05. BC BH THEO SKU-USD'!$D69,'01. KE30'!$A:$A,'05. BC BH THEO SKU-USD'!DW$4),"-")</f>
        <v>-955.32750476190495</v>
      </c>
      <c r="DX69" s="114">
        <f>IFERROR(SUMIFS('01. KE30'!$X:$X,'01. KE30'!$F:$F,'05. BC BH THEO SKU-USD'!$D69,'01. KE30'!$A:$A,'05. BC BH THEO SKU-USD'!DX$4)-SUMIFS('01. KE30'!$AA:$AA,'01. KE30'!$F:$F,'05. BC BH THEO SKU-USD'!$D69,'01. KE30'!$A:$A,'05. BC BH THEO SKU-USD'!DX$4),"-")</f>
        <v>0</v>
      </c>
      <c r="DY69" s="114">
        <f>IFERROR(SUMIFS('01. KE30'!$X:$X,'01. KE30'!$F:$F,'05. BC BH THEO SKU-USD'!$D69,'01. KE30'!$A:$A,'05. BC BH THEO SKU-USD'!DY$4)-SUMIFS('01. KE30'!$AA:$AA,'01. KE30'!$F:$F,'05. BC BH THEO SKU-USD'!$D69,'01. KE30'!$A:$A,'05. BC BH THEO SKU-USD'!DY$4),"-")</f>
        <v>0</v>
      </c>
      <c r="DZ69" s="114">
        <f>IFERROR(SUMIFS('01. KE30'!$X:$X,'01. KE30'!$F:$F,'05. BC BH THEO SKU-USD'!$D69,'01. KE30'!$A:$A,'05. BC BH THEO SKU-USD'!DZ$4)-SUMIFS('01. KE30'!$AA:$AA,'01. KE30'!$F:$F,'05. BC BH THEO SKU-USD'!$D69,'01. KE30'!$A:$A,'05. BC BH THEO SKU-USD'!DZ$4),"-")</f>
        <v>0</v>
      </c>
      <c r="EB69" s="571">
        <f t="shared" si="252"/>
        <v>-0.1550381410383708</v>
      </c>
      <c r="EC69" s="573">
        <f t="shared" si="253"/>
        <v>0</v>
      </c>
      <c r="ED69" s="573">
        <f t="shared" si="19"/>
        <v>0</v>
      </c>
      <c r="EE69" s="572">
        <f t="shared" si="20"/>
        <v>-0.10069609394444833</v>
      </c>
      <c r="EF69" s="572">
        <f t="shared" si="21"/>
        <v>-7.994421806385224E-3</v>
      </c>
      <c r="EG69" s="572">
        <f t="shared" si="22"/>
        <v>-0.12891908923076925</v>
      </c>
      <c r="EH69" s="572">
        <f t="shared" si="23"/>
        <v>0</v>
      </c>
      <c r="EI69" s="572">
        <f t="shared" si="24"/>
        <v>-0.17482177090731504</v>
      </c>
      <c r="EJ69" s="572">
        <f t="shared" si="25"/>
        <v>0</v>
      </c>
      <c r="EK69" s="572">
        <f t="shared" si="26"/>
        <v>-0.2579384268752879</v>
      </c>
      <c r="EL69" s="572">
        <f t="shared" si="27"/>
        <v>0</v>
      </c>
      <c r="EM69" s="572">
        <f t="shared" si="28"/>
        <v>0</v>
      </c>
      <c r="EN69" s="572">
        <f t="shared" si="29"/>
        <v>0</v>
      </c>
    </row>
    <row r="70" spans="1:144" ht="15.5" outlineLevel="1" x14ac:dyDescent="0.35">
      <c r="A70" s="10"/>
      <c r="B70" s="10"/>
      <c r="C70" s="246"/>
      <c r="D70" s="12"/>
      <c r="E70" s="7"/>
      <c r="F70" s="92" t="str">
        <f t="shared" si="492"/>
        <v>-</v>
      </c>
      <c r="G70" s="106" t="str">
        <f>IFERROR(SUMIFS('01. KE30'!$K:$K,'01. KE30'!$C:$C,'05. BC BH THEO SKU-USD'!#REF!,'01. KE30'!$F:$F,'05. BC BH THEO SKU-USD'!$D70,'01. KE30'!$A:$A,'05. BC BH THEO SKU-USD'!G$4)/'05. BC BH THEO SKU-USD'!CM70/'02. Tỷ giá'!B$5,"-")</f>
        <v>-</v>
      </c>
      <c r="H70" s="106" t="str">
        <f>IFERROR(SUMIFS('01. KE30'!$K:$K,'01. KE30'!$C:$C,'05. BC BH THEO SKU-USD'!#REF!,'01. KE30'!$F:$F,'05. BC BH THEO SKU-USD'!$D70,'01. KE30'!$A:$A,'05. BC BH THEO SKU-USD'!H$4)/'05. BC BH THEO SKU-USD'!CN70/'02. Tỷ giá'!C$5,"-")</f>
        <v>-</v>
      </c>
      <c r="I70" s="106" t="str">
        <f>IFERROR(SUMIFS('01. KE30'!$K:$K,'01. KE30'!$C:$C,'05. BC BH THEO SKU-USD'!#REF!,'01. KE30'!$F:$F,'05. BC BH THEO SKU-USD'!$D70,'01. KE30'!$A:$A,'05. BC BH THEO SKU-USD'!I$4)/'05. BC BH THEO SKU-USD'!CO70/'02. Tỷ giá'!D$5,"-")</f>
        <v>-</v>
      </c>
      <c r="J70" s="106" t="str">
        <f>IFERROR(SUMIFS('01. KE30'!$K:$K,'01. KE30'!$C:$C,'05. BC BH THEO SKU-USD'!#REF!,'01. KE30'!$F:$F,'05. BC BH THEO SKU-USD'!$D70,'01. KE30'!$A:$A,'05. BC BH THEO SKU-USD'!J$4)/'05. BC BH THEO SKU-USD'!CP70/'02. Tỷ giá'!E$5,"-")</f>
        <v>-</v>
      </c>
      <c r="K70" s="106" t="str">
        <f>IFERROR(SUMIFS('01. KE30'!$K:$K,'01. KE30'!$C:$C,'05. BC BH THEO SKU-USD'!#REF!,'01. KE30'!$F:$F,'05. BC BH THEO SKU-USD'!$D70,'01. KE30'!$A:$A,'05. BC BH THEO SKU-USD'!K$4)/'05. BC BH THEO SKU-USD'!CQ70/'02. Tỷ giá'!F$5,"-")</f>
        <v>-</v>
      </c>
      <c r="L70" s="106" t="str">
        <f>IFERROR(SUMIFS('01. KE30'!$K:$K,'01. KE30'!$C:$C,'05. BC BH THEO SKU-USD'!#REF!,'01. KE30'!$F:$F,'05. BC BH THEO SKU-USD'!$D70,'01. KE30'!$A:$A,'05. BC BH THEO SKU-USD'!L$4)/'05. BC BH THEO SKU-USD'!CR70/'02. Tỷ giá'!G$5,"-")</f>
        <v>-</v>
      </c>
      <c r="M70" s="106" t="str">
        <f>IFERROR(SUMIFS('01. KE30'!$K:$K,'01. KE30'!$C:$C,'05. BC BH THEO SKU-USD'!#REF!,'01. KE30'!$F:$F,'05. BC BH THEO SKU-USD'!$D70,'01. KE30'!$A:$A,'05. BC BH THEO SKU-USD'!M$4)/'05. BC BH THEO SKU-USD'!CS70/'02. Tỷ giá'!H$5,"-")</f>
        <v>-</v>
      </c>
      <c r="N70" s="106" t="str">
        <f>IFERROR(SUMIFS('01. KE30'!$K:$K,'01. KE30'!$C:$C,'05. BC BH THEO SKU-USD'!#REF!,'01. KE30'!$F:$F,'05. BC BH THEO SKU-USD'!$D70,'01. KE30'!$A:$A,'05. BC BH THEO SKU-USD'!N$4)/'05. BC BH THEO SKU-USD'!CT70/'02. Tỷ giá'!I$5,"-")</f>
        <v>-</v>
      </c>
      <c r="O70" s="106" t="str">
        <f>IFERROR(SUMIFS('01. KE30'!$K:$K,'01. KE30'!$C:$C,'05. BC BH THEO SKU-USD'!#REF!,'01. KE30'!$F:$F,'05. BC BH THEO SKU-USD'!$D70,'01. KE30'!$A:$A,'05. BC BH THEO SKU-USD'!O$4)/'05. BC BH THEO SKU-USD'!CU70/'02. Tỷ giá'!J$5,"-")</f>
        <v>-</v>
      </c>
      <c r="P70" s="106" t="str">
        <f>IFERROR(SUMIFS('01. KE30'!$K:$K,'01. KE30'!$C:$C,'05. BC BH THEO SKU-USD'!#REF!,'01. KE30'!$F:$F,'05. BC BH THEO SKU-USD'!$D70,'01. KE30'!$A:$A,'05. BC BH THEO SKU-USD'!P$4)/'05. BC BH THEO SKU-USD'!CV70/'02. Tỷ giá'!K$5,"-")</f>
        <v>-</v>
      </c>
      <c r="Q70" s="106" t="str">
        <f>IFERROR(SUMIFS('01. KE30'!$K:$K,'01. KE30'!$C:$C,'05. BC BH THEO SKU-USD'!#REF!,'01. KE30'!$F:$F,'05. BC BH THEO SKU-USD'!$D70,'01. KE30'!$A:$A,'05. BC BH THEO SKU-USD'!Q$4)/'05. BC BH THEO SKU-USD'!CW70/'02. Tỷ giá'!L$5,"-")</f>
        <v>-</v>
      </c>
      <c r="R70" s="106" t="str">
        <f>IFERROR(SUMIFS('01. KE30'!$K:$K,'01. KE30'!$C:$C,'05. BC BH THEO SKU-USD'!#REF!,'01. KE30'!$F:$F,'05. BC BH THEO SKU-USD'!$D70,'01. KE30'!$A:$A,'05. BC BH THEO SKU-USD'!R$4)/'05. BC BH THEO SKU-USD'!CX70/'02. Tỷ giá'!M$5,"-")</f>
        <v>-</v>
      </c>
      <c r="T70" s="92">
        <f t="shared" si="309"/>
        <v>0</v>
      </c>
      <c r="U70" s="147" t="str">
        <f>IFERROR(SUMIFS('01. KE30'!$O:$O,'01. KE30'!$F:$F,'05. BC BH THEO SKU-USD'!$D70,'01. KE30'!$A:$A,'05. BC BH THEO SKU-USD'!G$4)/'05. BC BH THEO SKU-USD'!CM70/'02. Tỷ giá'!B$5,"-")</f>
        <v>-</v>
      </c>
      <c r="V70" s="147" t="str">
        <f>IFERROR(SUMIFS('01. KE30'!$O:$O,'01. KE30'!$F:$F,'05. BC BH THEO SKU-USD'!$D70,'01. KE30'!$A:$A,'05. BC BH THEO SKU-USD'!H$4)/'05. BC BH THEO SKU-USD'!CN70/'02. Tỷ giá'!C$5,"-")</f>
        <v>-</v>
      </c>
      <c r="W70" s="147" t="str">
        <f>IFERROR(SUMIFS('01. KE30'!$O:$O,'01. KE30'!$F:$F,'05. BC BH THEO SKU-USD'!$D70,'01. KE30'!$A:$A,'05. BC BH THEO SKU-USD'!I$4)/'05. BC BH THEO SKU-USD'!CO70/'02. Tỷ giá'!D$5,"-")</f>
        <v>-</v>
      </c>
      <c r="X70" s="147" t="str">
        <f>IFERROR(SUMIFS('01. KE30'!$O:$O,'01. KE30'!$F:$F,'05. BC BH THEO SKU-USD'!$D70,'01. KE30'!$A:$A,'05. BC BH THEO SKU-USD'!J$4)/'05. BC BH THEO SKU-USD'!CP70/'02. Tỷ giá'!E$5,"-")</f>
        <v>-</v>
      </c>
      <c r="Y70" s="147" t="str">
        <f>IFERROR(SUMIFS('01. KE30'!$O:$O,'01. KE30'!$F:$F,'05. BC BH THEO SKU-USD'!$D70,'01. KE30'!$A:$A,'05. BC BH THEO SKU-USD'!K$4)/'05. BC BH THEO SKU-USD'!CQ70/'02. Tỷ giá'!F$5,"-")</f>
        <v>-</v>
      </c>
      <c r="Z70" s="147" t="str">
        <f>IFERROR(SUMIFS('01. KE30'!$O:$O,'01. KE30'!$F:$F,'05. BC BH THEO SKU-USD'!$D70,'01. KE30'!$A:$A,'05. BC BH THEO SKU-USD'!L$4)/'05. BC BH THEO SKU-USD'!CR70/'02. Tỷ giá'!G$5,"-")</f>
        <v>-</v>
      </c>
      <c r="AA70" s="147" t="str">
        <f>IFERROR(SUMIFS('01. KE30'!$O:$O,'01. KE30'!$F:$F,'05. BC BH THEO SKU-USD'!$D70,'01. KE30'!$A:$A,'05. BC BH THEO SKU-USD'!M$4)/'05. BC BH THEO SKU-USD'!CS70/'02. Tỷ giá'!H$5,"-")</f>
        <v>-</v>
      </c>
      <c r="AB70" s="147" t="str">
        <f>IFERROR(SUMIFS('01. KE30'!$O:$O,'01. KE30'!$F:$F,'05. BC BH THEO SKU-USD'!$D70,'01. KE30'!$A:$A,'05. BC BH THEO SKU-USD'!N$4)/'05. BC BH THEO SKU-USD'!CT70/'02. Tỷ giá'!I$5,"-")</f>
        <v>-</v>
      </c>
      <c r="AC70" s="147" t="str">
        <f>IFERROR(SUMIFS('01. KE30'!$O:$O,'01. KE30'!$F:$F,'05. BC BH THEO SKU-USD'!$D70,'01. KE30'!$A:$A,'05. BC BH THEO SKU-USD'!O$4)/'05. BC BH THEO SKU-USD'!CU70/'02. Tỷ giá'!J$5,"-")</f>
        <v>-</v>
      </c>
      <c r="AD70" s="147" t="str">
        <f>IFERROR(SUMIFS('01. KE30'!$O:$O,'01. KE30'!$F:$F,'05. BC BH THEO SKU-USD'!$D70,'01. KE30'!$A:$A,'05. BC BH THEO SKU-USD'!P$4)/'05. BC BH THEO SKU-USD'!CV70/'02. Tỷ giá'!K$5,"-")</f>
        <v>-</v>
      </c>
      <c r="AE70" s="147" t="str">
        <f>IFERROR(SUMIFS('01. KE30'!$O:$O,'01. KE30'!$F:$F,'05. BC BH THEO SKU-USD'!$D70,'01. KE30'!$A:$A,'05. BC BH THEO SKU-USD'!Q$4)/'05. BC BH THEO SKU-USD'!CW70/'02. Tỷ giá'!L$5,"-")</f>
        <v>-</v>
      </c>
      <c r="AF70" s="147" t="str">
        <f>IFERROR(SUMIFS('01. KE30'!$O:$O,'01. KE30'!$F:$F,'05. BC BH THEO SKU-USD'!$D70,'01. KE30'!$A:$A,'05. BC BH THEO SKU-USD'!R$4)/'05. BC BH THEO SKU-USD'!CX70/'02. Tỷ giá'!M$5,"-")</f>
        <v>-</v>
      </c>
      <c r="AH70" s="92" t="str">
        <f t="shared" si="480"/>
        <v>-</v>
      </c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V70" s="95" t="str">
        <f t="shared" si="427"/>
        <v>-</v>
      </c>
      <c r="AW70" s="95" t="str">
        <f t="shared" si="427"/>
        <v>-</v>
      </c>
      <c r="AX70" s="95" t="str">
        <f t="shared" si="428"/>
        <v>-</v>
      </c>
      <c r="AY70" s="95" t="str">
        <f t="shared" si="428"/>
        <v>-</v>
      </c>
      <c r="AZ70" s="95" t="str">
        <f t="shared" si="428"/>
        <v>-</v>
      </c>
      <c r="BA70" s="95" t="str">
        <f t="shared" si="428"/>
        <v>-</v>
      </c>
      <c r="BB70" s="95" t="str">
        <f t="shared" si="428"/>
        <v>-</v>
      </c>
      <c r="BC70" s="95" t="str">
        <f t="shared" si="428"/>
        <v>-</v>
      </c>
      <c r="BD70" s="95" t="str">
        <f t="shared" si="428"/>
        <v>-</v>
      </c>
      <c r="BE70" s="95" t="str">
        <f t="shared" si="428"/>
        <v>-</v>
      </c>
      <c r="BF70" s="95" t="str">
        <f t="shared" si="428"/>
        <v>-</v>
      </c>
      <c r="BG70" s="95" t="str">
        <f t="shared" si="428"/>
        <v>-</v>
      </c>
      <c r="BH70" s="95" t="str">
        <f t="shared" si="428"/>
        <v>-</v>
      </c>
      <c r="BJ70" s="143" t="str">
        <f t="shared" si="376"/>
        <v>-</v>
      </c>
      <c r="BK70" s="143" t="str">
        <f t="shared" si="377"/>
        <v>-</v>
      </c>
      <c r="BL70" s="143" t="str">
        <f t="shared" si="377"/>
        <v>-</v>
      </c>
      <c r="BM70" s="143" t="str">
        <f t="shared" si="377"/>
        <v>-</v>
      </c>
      <c r="BN70" s="143" t="str">
        <f t="shared" si="377"/>
        <v>-</v>
      </c>
      <c r="BO70" s="143" t="str">
        <f t="shared" si="377"/>
        <v>-</v>
      </c>
      <c r="BP70" s="143" t="str">
        <f t="shared" si="377"/>
        <v>-</v>
      </c>
      <c r="BQ70" s="143" t="str">
        <f t="shared" si="377"/>
        <v>-</v>
      </c>
      <c r="BR70" s="143" t="str">
        <f t="shared" si="377"/>
        <v>-</v>
      </c>
      <c r="BS70" s="143" t="str">
        <f t="shared" si="377"/>
        <v>-</v>
      </c>
      <c r="BT70" s="143" t="str">
        <f t="shared" si="377"/>
        <v>-</v>
      </c>
      <c r="BU70" s="143" t="str">
        <f t="shared" si="377"/>
        <v>-</v>
      </c>
      <c r="BV70" s="143" t="str">
        <f t="shared" si="377"/>
        <v>-</v>
      </c>
      <c r="BX70" s="112" t="str">
        <f t="shared" ref="BX70:BX71" si="507">IFERROR(AVERAGE(BY70:CJ70),"-")</f>
        <v>-</v>
      </c>
      <c r="BY70" s="155"/>
      <c r="BZ70" s="155"/>
      <c r="CA70" s="155"/>
      <c r="CB70" s="155"/>
      <c r="CC70" s="155"/>
      <c r="CD70" s="155"/>
      <c r="CE70" s="155"/>
      <c r="CF70" s="155"/>
      <c r="CG70" s="155"/>
      <c r="CH70" s="155"/>
      <c r="CI70" s="155"/>
      <c r="CJ70" s="155"/>
      <c r="CL70" s="112">
        <f t="shared" si="465"/>
        <v>0</v>
      </c>
      <c r="CM70" s="114"/>
      <c r="CN70" s="114"/>
      <c r="CO70" s="114"/>
      <c r="CP70" s="114"/>
      <c r="CQ70" s="114"/>
      <c r="CR70" s="114"/>
      <c r="CS70" s="114"/>
      <c r="CT70" s="114"/>
      <c r="CU70" s="114"/>
      <c r="CV70" s="114"/>
      <c r="CW70" s="114"/>
      <c r="CX70" s="114"/>
      <c r="CZ70" s="112">
        <f t="shared" si="493"/>
        <v>0</v>
      </c>
      <c r="DA70" s="54" t="str">
        <f t="shared" si="494"/>
        <v xml:space="preserve"> -</v>
      </c>
      <c r="DB70" s="54" t="str">
        <f t="shared" si="495"/>
        <v xml:space="preserve"> -</v>
      </c>
      <c r="DC70" s="54" t="str">
        <f t="shared" si="496"/>
        <v xml:space="preserve"> -</v>
      </c>
      <c r="DD70" s="54" t="str">
        <f t="shared" si="497"/>
        <v xml:space="preserve"> -</v>
      </c>
      <c r="DE70" s="54" t="str">
        <f t="shared" si="498"/>
        <v xml:space="preserve"> -</v>
      </c>
      <c r="DF70" s="54" t="str">
        <f t="shared" si="499"/>
        <v xml:space="preserve"> -</v>
      </c>
      <c r="DG70" s="54" t="str">
        <f t="shared" si="500"/>
        <v xml:space="preserve"> -</v>
      </c>
      <c r="DH70" s="54" t="str">
        <f t="shared" si="501"/>
        <v xml:space="preserve"> -</v>
      </c>
      <c r="DI70" s="54" t="str">
        <f t="shared" si="502"/>
        <v xml:space="preserve"> -</v>
      </c>
      <c r="DJ70" s="54" t="str">
        <f t="shared" si="503"/>
        <v xml:space="preserve"> -</v>
      </c>
      <c r="DK70" s="54" t="str">
        <f t="shared" si="504"/>
        <v xml:space="preserve"> -</v>
      </c>
      <c r="DL70" s="54" t="str">
        <f t="shared" si="505"/>
        <v xml:space="preserve"> -</v>
      </c>
      <c r="DN70" s="112">
        <f t="shared" si="506"/>
        <v>0</v>
      </c>
      <c r="DO70" s="114">
        <f>IFERROR(SUMIFS('01. KE30'!$X:$X,'01. KE30'!$F:$F,'05. BC BH THEO SKU-USD'!$D70,'01. KE30'!$A:$A,'05. BC BH THEO SKU-USD'!DO$4)-SUMIFS('01. KE30'!$AA:$AA,'01. KE30'!$F:$F,'05. BC BH THEO SKU-USD'!$D70,'01. KE30'!$A:$A,'05. BC BH THEO SKU-USD'!DO$4),"-")</f>
        <v>0</v>
      </c>
      <c r="DP70" s="114">
        <f>IFERROR(SUMIFS('01. KE30'!$X:$X,'01. KE30'!$F:$F,'05. BC BH THEO SKU-USD'!$D70,'01. KE30'!$A:$A,'05. BC BH THEO SKU-USD'!DP$4)-SUMIFS('01. KE30'!$AA:$AA,'01. KE30'!$F:$F,'05. BC BH THEO SKU-USD'!$D70,'01. KE30'!$A:$A,'05. BC BH THEO SKU-USD'!DP$4),"-")</f>
        <v>0</v>
      </c>
      <c r="DQ70" s="114">
        <f>IFERROR(SUMIFS('01. KE30'!$X:$X,'01. KE30'!$F:$F,'05. BC BH THEO SKU-USD'!$D70,'01. KE30'!$A:$A,'05. BC BH THEO SKU-USD'!DQ$4)-SUMIFS('01. KE30'!$AA:$AA,'01. KE30'!$F:$F,'05. BC BH THEO SKU-USD'!$D70,'01. KE30'!$A:$A,'05. BC BH THEO SKU-USD'!DQ$4),"-")</f>
        <v>0</v>
      </c>
      <c r="DR70" s="114">
        <f>IFERROR(SUMIFS('01. KE30'!$X:$X,'01. KE30'!$F:$F,'05. BC BH THEO SKU-USD'!$D70,'01. KE30'!$A:$A,'05. BC BH THEO SKU-USD'!DR$4)-SUMIFS('01. KE30'!$AA:$AA,'01. KE30'!$F:$F,'05. BC BH THEO SKU-USD'!$D70,'01. KE30'!$A:$A,'05. BC BH THEO SKU-USD'!DR$4),"-")</f>
        <v>0</v>
      </c>
      <c r="DS70" s="114">
        <f>IFERROR(SUMIFS('01. KE30'!$X:$X,'01. KE30'!$F:$F,'05. BC BH THEO SKU-USD'!$D70,'01. KE30'!$A:$A,'05. BC BH THEO SKU-USD'!DS$4)-SUMIFS('01. KE30'!$AA:$AA,'01. KE30'!$F:$F,'05. BC BH THEO SKU-USD'!$D70,'01. KE30'!$A:$A,'05. BC BH THEO SKU-USD'!DS$4),"-")</f>
        <v>0</v>
      </c>
      <c r="DT70" s="114">
        <f>IFERROR(SUMIFS('01. KE30'!$X:$X,'01. KE30'!$F:$F,'05. BC BH THEO SKU-USD'!$D70,'01. KE30'!$A:$A,'05. BC BH THEO SKU-USD'!DT$4)-SUMIFS('01. KE30'!$AA:$AA,'01. KE30'!$F:$F,'05. BC BH THEO SKU-USD'!$D70,'01. KE30'!$A:$A,'05. BC BH THEO SKU-USD'!DT$4),"-")</f>
        <v>0</v>
      </c>
      <c r="DU70" s="114">
        <f>IFERROR(SUMIFS('01. KE30'!$X:$X,'01. KE30'!$F:$F,'05. BC BH THEO SKU-USD'!$D70,'01. KE30'!$A:$A,'05. BC BH THEO SKU-USD'!DU$4)-SUMIFS('01. KE30'!$AA:$AA,'01. KE30'!$F:$F,'05. BC BH THEO SKU-USD'!$D70,'01. KE30'!$A:$A,'05. BC BH THEO SKU-USD'!DU$4),"-")</f>
        <v>0</v>
      </c>
      <c r="DV70" s="114">
        <f>IFERROR(SUMIFS('01. KE30'!$X:$X,'01. KE30'!$F:$F,'05. BC BH THEO SKU-USD'!$D70,'01. KE30'!$A:$A,'05. BC BH THEO SKU-USD'!DV$4)-SUMIFS('01. KE30'!$AA:$AA,'01. KE30'!$F:$F,'05. BC BH THEO SKU-USD'!$D70,'01. KE30'!$A:$A,'05. BC BH THEO SKU-USD'!DV$4),"-")</f>
        <v>0</v>
      </c>
      <c r="DW70" s="114">
        <f>IFERROR(SUMIFS('01. KE30'!$X:$X,'01. KE30'!$F:$F,'05. BC BH THEO SKU-USD'!$D70,'01. KE30'!$A:$A,'05. BC BH THEO SKU-USD'!DW$4)-SUMIFS('01. KE30'!$AA:$AA,'01. KE30'!$F:$F,'05. BC BH THEO SKU-USD'!$D70,'01. KE30'!$A:$A,'05. BC BH THEO SKU-USD'!DW$4),"-")</f>
        <v>0</v>
      </c>
      <c r="DX70" s="114">
        <f>IFERROR(SUMIFS('01. KE30'!$X:$X,'01. KE30'!$F:$F,'05. BC BH THEO SKU-USD'!$D70,'01. KE30'!$A:$A,'05. BC BH THEO SKU-USD'!DX$4)-SUMIFS('01. KE30'!$AA:$AA,'01. KE30'!$F:$F,'05. BC BH THEO SKU-USD'!$D70,'01. KE30'!$A:$A,'05. BC BH THEO SKU-USD'!DX$4),"-")</f>
        <v>0</v>
      </c>
      <c r="DY70" s="114">
        <f>IFERROR(SUMIFS('01. KE30'!$X:$X,'01. KE30'!$F:$F,'05. BC BH THEO SKU-USD'!$D70,'01. KE30'!$A:$A,'05. BC BH THEO SKU-USD'!DY$4)-SUMIFS('01. KE30'!$AA:$AA,'01. KE30'!$F:$F,'05. BC BH THEO SKU-USD'!$D70,'01. KE30'!$A:$A,'05. BC BH THEO SKU-USD'!DY$4),"-")</f>
        <v>0</v>
      </c>
      <c r="DZ70" s="114">
        <f>IFERROR(SUMIFS('01. KE30'!$X:$X,'01. KE30'!$F:$F,'05. BC BH THEO SKU-USD'!$D70,'01. KE30'!$A:$A,'05. BC BH THEO SKU-USD'!DZ$4)-SUMIFS('01. KE30'!$AA:$AA,'01. KE30'!$F:$F,'05. BC BH THEO SKU-USD'!$D70,'01. KE30'!$A:$A,'05. BC BH THEO SKU-USD'!DZ$4),"-")</f>
        <v>0</v>
      </c>
      <c r="EB70" s="571">
        <f t="shared" si="252"/>
        <v>0</v>
      </c>
      <c r="EC70" s="573">
        <f t="shared" si="253"/>
        <v>0</v>
      </c>
      <c r="ED70" s="573">
        <f t="shared" si="19"/>
        <v>0</v>
      </c>
      <c r="EE70" s="572">
        <f t="shared" si="20"/>
        <v>0</v>
      </c>
      <c r="EF70" s="572">
        <f t="shared" si="21"/>
        <v>0</v>
      </c>
      <c r="EG70" s="572">
        <f t="shared" si="22"/>
        <v>0</v>
      </c>
      <c r="EH70" s="572">
        <f t="shared" si="23"/>
        <v>0</v>
      </c>
      <c r="EI70" s="572">
        <f t="shared" si="24"/>
        <v>0</v>
      </c>
      <c r="EJ70" s="572">
        <f t="shared" si="25"/>
        <v>0</v>
      </c>
      <c r="EK70" s="572">
        <f t="shared" si="26"/>
        <v>0</v>
      </c>
      <c r="EL70" s="572">
        <f t="shared" si="27"/>
        <v>0</v>
      </c>
      <c r="EM70" s="572">
        <f t="shared" si="28"/>
        <v>0</v>
      </c>
      <c r="EN70" s="572">
        <f t="shared" si="29"/>
        <v>0</v>
      </c>
    </row>
    <row r="71" spans="1:144" ht="15.5" outlineLevel="1" x14ac:dyDescent="0.35">
      <c r="A71" s="87"/>
      <c r="B71" s="87"/>
      <c r="C71" s="248"/>
      <c r="D71" s="88"/>
      <c r="E71" s="89"/>
      <c r="F71" s="93" t="str">
        <f t="shared" si="492"/>
        <v>-</v>
      </c>
      <c r="G71" s="106" t="str">
        <f>IFERROR(SUMIFS('01. KE30'!$K:$K,'01. KE30'!$C:$C,'05. BC BH THEO SKU-USD'!#REF!,'01. KE30'!$F:$F,'05. BC BH THEO SKU-USD'!$D71,'01. KE30'!$A:$A,'05. BC BH THEO SKU-USD'!G$4)/'05. BC BH THEO SKU-USD'!CM71/'02. Tỷ giá'!B$5,"-")</f>
        <v>-</v>
      </c>
      <c r="H71" s="106" t="str">
        <f>IFERROR(SUMIFS('01. KE30'!$K:$K,'01. KE30'!$C:$C,'05. BC BH THEO SKU-USD'!#REF!,'01. KE30'!$F:$F,'05. BC BH THEO SKU-USD'!$D71,'01. KE30'!$A:$A,'05. BC BH THEO SKU-USD'!H$4)/'05. BC BH THEO SKU-USD'!CN71/'02. Tỷ giá'!C$5,"-")</f>
        <v>-</v>
      </c>
      <c r="I71" s="106" t="str">
        <f>IFERROR(SUMIFS('01. KE30'!$K:$K,'01. KE30'!$C:$C,'05. BC BH THEO SKU-USD'!#REF!,'01. KE30'!$F:$F,'05. BC BH THEO SKU-USD'!$D71,'01. KE30'!$A:$A,'05. BC BH THEO SKU-USD'!I$4)/'05. BC BH THEO SKU-USD'!CO71/'02. Tỷ giá'!D$5,"-")</f>
        <v>-</v>
      </c>
      <c r="J71" s="106" t="str">
        <f>IFERROR(SUMIFS('01. KE30'!$K:$K,'01. KE30'!$C:$C,'05. BC BH THEO SKU-USD'!#REF!,'01. KE30'!$F:$F,'05. BC BH THEO SKU-USD'!$D71,'01. KE30'!$A:$A,'05. BC BH THEO SKU-USD'!J$4)/'05. BC BH THEO SKU-USD'!CP71/'02. Tỷ giá'!E$5,"-")</f>
        <v>-</v>
      </c>
      <c r="K71" s="106" t="str">
        <f>IFERROR(SUMIFS('01. KE30'!$K:$K,'01. KE30'!$C:$C,'05. BC BH THEO SKU-USD'!#REF!,'01. KE30'!$F:$F,'05. BC BH THEO SKU-USD'!$D71,'01. KE30'!$A:$A,'05. BC BH THEO SKU-USD'!K$4)/'05. BC BH THEO SKU-USD'!CQ71/'02. Tỷ giá'!F$5,"-")</f>
        <v>-</v>
      </c>
      <c r="L71" s="106" t="str">
        <f>IFERROR(SUMIFS('01. KE30'!$K:$K,'01. KE30'!$C:$C,'05. BC BH THEO SKU-USD'!#REF!,'01. KE30'!$F:$F,'05. BC BH THEO SKU-USD'!$D71,'01. KE30'!$A:$A,'05. BC BH THEO SKU-USD'!L$4)/'05. BC BH THEO SKU-USD'!CR71/'02. Tỷ giá'!G$5,"-")</f>
        <v>-</v>
      </c>
      <c r="M71" s="106" t="str">
        <f>IFERROR(SUMIFS('01. KE30'!$K:$K,'01. KE30'!$C:$C,'05. BC BH THEO SKU-USD'!#REF!,'01. KE30'!$F:$F,'05. BC BH THEO SKU-USD'!$D71,'01. KE30'!$A:$A,'05. BC BH THEO SKU-USD'!M$4)/'05. BC BH THEO SKU-USD'!CS71/'02. Tỷ giá'!H$5,"-")</f>
        <v>-</v>
      </c>
      <c r="N71" s="106" t="str">
        <f>IFERROR(SUMIFS('01. KE30'!$K:$K,'01. KE30'!$C:$C,'05. BC BH THEO SKU-USD'!#REF!,'01. KE30'!$F:$F,'05. BC BH THEO SKU-USD'!$D71,'01. KE30'!$A:$A,'05. BC BH THEO SKU-USD'!N$4)/'05. BC BH THEO SKU-USD'!CT71/'02. Tỷ giá'!I$5,"-")</f>
        <v>-</v>
      </c>
      <c r="O71" s="106" t="str">
        <f>IFERROR(SUMIFS('01. KE30'!$K:$K,'01. KE30'!$C:$C,'05. BC BH THEO SKU-USD'!#REF!,'01. KE30'!$F:$F,'05. BC BH THEO SKU-USD'!$D71,'01. KE30'!$A:$A,'05. BC BH THEO SKU-USD'!O$4)/'05. BC BH THEO SKU-USD'!CU71/'02. Tỷ giá'!J$5,"-")</f>
        <v>-</v>
      </c>
      <c r="P71" s="106" t="str">
        <f>IFERROR(SUMIFS('01. KE30'!$K:$K,'01. KE30'!$C:$C,'05. BC BH THEO SKU-USD'!#REF!,'01. KE30'!$F:$F,'05. BC BH THEO SKU-USD'!$D71,'01. KE30'!$A:$A,'05. BC BH THEO SKU-USD'!P$4)/'05. BC BH THEO SKU-USD'!CV71/'02. Tỷ giá'!K$5,"-")</f>
        <v>-</v>
      </c>
      <c r="Q71" s="106" t="str">
        <f>IFERROR(SUMIFS('01. KE30'!$K:$K,'01. KE30'!$C:$C,'05. BC BH THEO SKU-USD'!#REF!,'01. KE30'!$F:$F,'05. BC BH THEO SKU-USD'!$D71,'01. KE30'!$A:$A,'05. BC BH THEO SKU-USD'!Q$4)/'05. BC BH THEO SKU-USD'!CW71/'02. Tỷ giá'!L$5,"-")</f>
        <v>-</v>
      </c>
      <c r="R71" s="106" t="str">
        <f>IFERROR(SUMIFS('01. KE30'!$K:$K,'01. KE30'!$C:$C,'05. BC BH THEO SKU-USD'!#REF!,'01. KE30'!$F:$F,'05. BC BH THEO SKU-USD'!$D71,'01. KE30'!$A:$A,'05. BC BH THEO SKU-USD'!R$4)/'05. BC BH THEO SKU-USD'!CX71/'02. Tỷ giá'!M$5,"-")</f>
        <v>-</v>
      </c>
      <c r="S71" s="91"/>
      <c r="T71" s="92">
        <f t="shared" si="309"/>
        <v>0</v>
      </c>
      <c r="U71" s="147" t="str">
        <f>IFERROR(SUMIFS('01. KE30'!$O:$O,'01. KE30'!$F:$F,'05. BC BH THEO SKU-USD'!$D71,'01. KE30'!$A:$A,'05. BC BH THEO SKU-USD'!G$4)/'05. BC BH THEO SKU-USD'!CM71/'02. Tỷ giá'!B$5,"-")</f>
        <v>-</v>
      </c>
      <c r="V71" s="147" t="str">
        <f>IFERROR(SUMIFS('01. KE30'!$O:$O,'01. KE30'!$F:$F,'05. BC BH THEO SKU-USD'!$D71,'01. KE30'!$A:$A,'05. BC BH THEO SKU-USD'!H$4)/'05. BC BH THEO SKU-USD'!CN71/'02. Tỷ giá'!C$5,"-")</f>
        <v>-</v>
      </c>
      <c r="W71" s="147" t="str">
        <f>IFERROR(SUMIFS('01. KE30'!$O:$O,'01. KE30'!$F:$F,'05. BC BH THEO SKU-USD'!$D71,'01. KE30'!$A:$A,'05. BC BH THEO SKU-USD'!I$4)/'05. BC BH THEO SKU-USD'!CO71/'02. Tỷ giá'!D$5,"-")</f>
        <v>-</v>
      </c>
      <c r="X71" s="147" t="str">
        <f>IFERROR(SUMIFS('01. KE30'!$O:$O,'01. KE30'!$F:$F,'05. BC BH THEO SKU-USD'!$D71,'01. KE30'!$A:$A,'05. BC BH THEO SKU-USD'!J$4)/'05. BC BH THEO SKU-USD'!CP71/'02. Tỷ giá'!E$5,"-")</f>
        <v>-</v>
      </c>
      <c r="Y71" s="147" t="str">
        <f>IFERROR(SUMIFS('01. KE30'!$O:$O,'01. KE30'!$F:$F,'05. BC BH THEO SKU-USD'!$D71,'01. KE30'!$A:$A,'05. BC BH THEO SKU-USD'!K$4)/'05. BC BH THEO SKU-USD'!CQ71/'02. Tỷ giá'!F$5,"-")</f>
        <v>-</v>
      </c>
      <c r="Z71" s="147" t="str">
        <f>IFERROR(SUMIFS('01. KE30'!$O:$O,'01. KE30'!$F:$F,'05. BC BH THEO SKU-USD'!$D71,'01. KE30'!$A:$A,'05. BC BH THEO SKU-USD'!L$4)/'05. BC BH THEO SKU-USD'!CR71/'02. Tỷ giá'!G$5,"-")</f>
        <v>-</v>
      </c>
      <c r="AA71" s="147" t="str">
        <f>IFERROR(SUMIFS('01. KE30'!$O:$O,'01. KE30'!$F:$F,'05. BC BH THEO SKU-USD'!$D71,'01. KE30'!$A:$A,'05. BC BH THEO SKU-USD'!M$4)/'05. BC BH THEO SKU-USD'!CS71/'02. Tỷ giá'!H$5,"-")</f>
        <v>-</v>
      </c>
      <c r="AB71" s="147" t="str">
        <f>IFERROR(SUMIFS('01. KE30'!$O:$O,'01. KE30'!$F:$F,'05. BC BH THEO SKU-USD'!$D71,'01. KE30'!$A:$A,'05. BC BH THEO SKU-USD'!N$4)/'05. BC BH THEO SKU-USD'!CT71/'02. Tỷ giá'!I$5,"-")</f>
        <v>-</v>
      </c>
      <c r="AC71" s="147" t="str">
        <f>IFERROR(SUMIFS('01. KE30'!$O:$O,'01. KE30'!$F:$F,'05. BC BH THEO SKU-USD'!$D71,'01. KE30'!$A:$A,'05. BC BH THEO SKU-USD'!O$4)/'05. BC BH THEO SKU-USD'!CU71/'02. Tỷ giá'!J$5,"-")</f>
        <v>-</v>
      </c>
      <c r="AD71" s="147" t="str">
        <f>IFERROR(SUMIFS('01. KE30'!$O:$O,'01. KE30'!$F:$F,'05. BC BH THEO SKU-USD'!$D71,'01. KE30'!$A:$A,'05. BC BH THEO SKU-USD'!P$4)/'05. BC BH THEO SKU-USD'!CV71/'02. Tỷ giá'!K$5,"-")</f>
        <v>-</v>
      </c>
      <c r="AE71" s="147" t="str">
        <f>IFERROR(SUMIFS('01. KE30'!$O:$O,'01. KE30'!$F:$F,'05. BC BH THEO SKU-USD'!$D71,'01. KE30'!$A:$A,'05. BC BH THEO SKU-USD'!Q$4)/'05. BC BH THEO SKU-USD'!CW71/'02. Tỷ giá'!L$5,"-")</f>
        <v>-</v>
      </c>
      <c r="AF71" s="147" t="str">
        <f>IFERROR(SUMIFS('01. KE30'!$O:$O,'01. KE30'!$F:$F,'05. BC BH THEO SKU-USD'!$D71,'01. KE30'!$A:$A,'05. BC BH THEO SKU-USD'!R$4)/'05. BC BH THEO SKU-USD'!CX71/'02. Tỷ giá'!M$5,"-")</f>
        <v>-</v>
      </c>
      <c r="AG71" s="91"/>
      <c r="AH71" s="92" t="str">
        <f t="shared" si="480"/>
        <v>-</v>
      </c>
      <c r="AI71" s="90"/>
      <c r="AJ71" s="90"/>
      <c r="AK71" s="90"/>
      <c r="AL71" s="90"/>
      <c r="AM71" s="90"/>
      <c r="AN71" s="90"/>
      <c r="AO71" s="90"/>
      <c r="AP71" s="90"/>
      <c r="AQ71" s="90"/>
      <c r="AR71" s="90"/>
      <c r="AS71" s="90"/>
      <c r="AT71" s="90"/>
      <c r="AU71" s="91"/>
      <c r="AV71" s="149" t="str">
        <f t="shared" si="427"/>
        <v>-</v>
      </c>
      <c r="AW71" s="95" t="str">
        <f t="shared" si="427"/>
        <v>-</v>
      </c>
      <c r="AX71" s="95" t="str">
        <f t="shared" si="427"/>
        <v>-</v>
      </c>
      <c r="AY71" s="95" t="str">
        <f t="shared" si="427"/>
        <v>-</v>
      </c>
      <c r="AZ71" s="95" t="str">
        <f t="shared" si="427"/>
        <v>-</v>
      </c>
      <c r="BA71" s="95" t="str">
        <f t="shared" si="427"/>
        <v>-</v>
      </c>
      <c r="BB71" s="95" t="str">
        <f t="shared" si="427"/>
        <v>-</v>
      </c>
      <c r="BC71" s="95" t="str">
        <f t="shared" si="427"/>
        <v>-</v>
      </c>
      <c r="BD71" s="95" t="str">
        <f t="shared" si="427"/>
        <v>-</v>
      </c>
      <c r="BE71" s="95" t="str">
        <f t="shared" si="427"/>
        <v>-</v>
      </c>
      <c r="BF71" s="95" t="str">
        <f t="shared" si="427"/>
        <v>-</v>
      </c>
      <c r="BG71" s="95" t="str">
        <f t="shared" si="427"/>
        <v>-</v>
      </c>
      <c r="BH71" s="95" t="str">
        <f t="shared" si="427"/>
        <v>-</v>
      </c>
      <c r="BI71" s="91"/>
      <c r="BJ71" s="150" t="str">
        <f t="shared" si="376"/>
        <v>-</v>
      </c>
      <c r="BK71" s="150" t="str">
        <f t="shared" si="377"/>
        <v>-</v>
      </c>
      <c r="BL71" s="150" t="str">
        <f t="shared" si="377"/>
        <v>-</v>
      </c>
      <c r="BM71" s="150" t="str">
        <f t="shared" si="377"/>
        <v>-</v>
      </c>
      <c r="BN71" s="150" t="str">
        <f t="shared" ref="BN71:BV71" si="508">IFERROR(IF(AZ71&lt;&gt;"-",AZ71/AL71,"-"),"-")</f>
        <v>-</v>
      </c>
      <c r="BO71" s="150" t="str">
        <f t="shared" si="508"/>
        <v>-</v>
      </c>
      <c r="BP71" s="150" t="str">
        <f t="shared" si="508"/>
        <v>-</v>
      </c>
      <c r="BQ71" s="150" t="str">
        <f t="shared" si="508"/>
        <v>-</v>
      </c>
      <c r="BR71" s="150" t="str">
        <f t="shared" si="508"/>
        <v>-</v>
      </c>
      <c r="BS71" s="150" t="str">
        <f t="shared" si="508"/>
        <v>-</v>
      </c>
      <c r="BT71" s="150" t="str">
        <f t="shared" si="508"/>
        <v>-</v>
      </c>
      <c r="BU71" s="150" t="str">
        <f t="shared" si="508"/>
        <v>-</v>
      </c>
      <c r="BV71" s="150" t="str">
        <f t="shared" si="508"/>
        <v>-</v>
      </c>
      <c r="BW71" s="91"/>
      <c r="BX71" s="112" t="str">
        <f t="shared" si="507"/>
        <v>-</v>
      </c>
      <c r="BY71" s="155"/>
      <c r="BZ71" s="155"/>
      <c r="CA71" s="155"/>
      <c r="CB71" s="155"/>
      <c r="CC71" s="155"/>
      <c r="CD71" s="155"/>
      <c r="CE71" s="155"/>
      <c r="CF71" s="155"/>
      <c r="CG71" s="155"/>
      <c r="CH71" s="155"/>
      <c r="CI71" s="155"/>
      <c r="CJ71" s="155"/>
      <c r="CK71" s="91"/>
      <c r="CL71" s="119">
        <f t="shared" si="465"/>
        <v>0</v>
      </c>
      <c r="CM71" s="114"/>
      <c r="CN71" s="114"/>
      <c r="CO71" s="114"/>
      <c r="CP71" s="114"/>
      <c r="CQ71" s="114"/>
      <c r="CR71" s="114"/>
      <c r="CS71" s="114"/>
      <c r="CT71" s="114"/>
      <c r="CU71" s="114"/>
      <c r="CV71" s="114"/>
      <c r="CW71" s="114"/>
      <c r="CX71" s="114"/>
      <c r="CY71" s="91"/>
      <c r="CZ71" s="119">
        <f t="shared" si="493"/>
        <v>0</v>
      </c>
      <c r="DA71" s="114"/>
      <c r="DB71" s="114"/>
      <c r="DC71" s="114"/>
      <c r="DD71" s="114"/>
      <c r="DE71" s="114"/>
      <c r="DF71" s="114"/>
      <c r="DG71" s="114"/>
      <c r="DH71" s="114"/>
      <c r="DI71" s="114"/>
      <c r="DJ71" s="114"/>
      <c r="DK71" s="114"/>
      <c r="DL71" s="114"/>
      <c r="DN71" s="112">
        <f t="shared" si="506"/>
        <v>0</v>
      </c>
      <c r="DO71" s="114">
        <f>IFERROR(SUMIFS('01. KE30'!$X:$X,'01. KE30'!$F:$F,'05. BC BH THEO SKU-USD'!$D71,'01. KE30'!$A:$A,'05. BC BH THEO SKU-USD'!DO$4)-SUMIFS('01. KE30'!$AA:$AA,'01. KE30'!$F:$F,'05. BC BH THEO SKU-USD'!$D71,'01. KE30'!$A:$A,'05. BC BH THEO SKU-USD'!DO$4),"-")</f>
        <v>0</v>
      </c>
      <c r="DP71" s="114">
        <f>IFERROR(SUMIFS('01. KE30'!$X:$X,'01. KE30'!$F:$F,'05. BC BH THEO SKU-USD'!$D71,'01. KE30'!$A:$A,'05. BC BH THEO SKU-USD'!DP$4)-SUMIFS('01. KE30'!$AA:$AA,'01. KE30'!$F:$F,'05. BC BH THEO SKU-USD'!$D71,'01. KE30'!$A:$A,'05. BC BH THEO SKU-USD'!DP$4),"-")</f>
        <v>0</v>
      </c>
      <c r="DQ71" s="114">
        <f>IFERROR(SUMIFS('01. KE30'!$X:$X,'01. KE30'!$F:$F,'05. BC BH THEO SKU-USD'!$D71,'01. KE30'!$A:$A,'05. BC BH THEO SKU-USD'!DQ$4)-SUMIFS('01. KE30'!$AA:$AA,'01. KE30'!$F:$F,'05. BC BH THEO SKU-USD'!$D71,'01. KE30'!$A:$A,'05. BC BH THEO SKU-USD'!DQ$4),"-")</f>
        <v>0</v>
      </c>
      <c r="DR71" s="114">
        <f>IFERROR(SUMIFS('01. KE30'!$X:$X,'01. KE30'!$F:$F,'05. BC BH THEO SKU-USD'!$D71,'01. KE30'!$A:$A,'05. BC BH THEO SKU-USD'!DR$4)-SUMIFS('01. KE30'!$AA:$AA,'01. KE30'!$F:$F,'05. BC BH THEO SKU-USD'!$D71,'01. KE30'!$A:$A,'05. BC BH THEO SKU-USD'!DR$4),"-")</f>
        <v>0</v>
      </c>
      <c r="DS71" s="114">
        <f>IFERROR(SUMIFS('01. KE30'!$X:$X,'01. KE30'!$F:$F,'05. BC BH THEO SKU-USD'!$D71,'01. KE30'!$A:$A,'05. BC BH THEO SKU-USD'!DS$4)-SUMIFS('01. KE30'!$AA:$AA,'01. KE30'!$F:$F,'05. BC BH THEO SKU-USD'!$D71,'01. KE30'!$A:$A,'05. BC BH THEO SKU-USD'!DS$4),"-")</f>
        <v>0</v>
      </c>
      <c r="DT71" s="114">
        <f>IFERROR(SUMIFS('01. KE30'!$X:$X,'01. KE30'!$F:$F,'05. BC BH THEO SKU-USD'!$D71,'01. KE30'!$A:$A,'05. BC BH THEO SKU-USD'!DT$4)-SUMIFS('01. KE30'!$AA:$AA,'01. KE30'!$F:$F,'05. BC BH THEO SKU-USD'!$D71,'01. KE30'!$A:$A,'05. BC BH THEO SKU-USD'!DT$4),"-")</f>
        <v>0</v>
      </c>
      <c r="DU71" s="114">
        <f>IFERROR(SUMIFS('01. KE30'!$X:$X,'01. KE30'!$F:$F,'05. BC BH THEO SKU-USD'!$D71,'01. KE30'!$A:$A,'05. BC BH THEO SKU-USD'!DU$4)-SUMIFS('01. KE30'!$AA:$AA,'01. KE30'!$F:$F,'05. BC BH THEO SKU-USD'!$D71,'01. KE30'!$A:$A,'05. BC BH THEO SKU-USD'!DU$4),"-")</f>
        <v>0</v>
      </c>
      <c r="DV71" s="114">
        <f>IFERROR(SUMIFS('01. KE30'!$X:$X,'01. KE30'!$F:$F,'05. BC BH THEO SKU-USD'!$D71,'01. KE30'!$A:$A,'05. BC BH THEO SKU-USD'!DV$4)-SUMIFS('01. KE30'!$AA:$AA,'01. KE30'!$F:$F,'05. BC BH THEO SKU-USD'!$D71,'01. KE30'!$A:$A,'05. BC BH THEO SKU-USD'!DV$4),"-")</f>
        <v>0</v>
      </c>
      <c r="DW71" s="114">
        <f>IFERROR(SUMIFS('01. KE30'!$X:$X,'01. KE30'!$F:$F,'05. BC BH THEO SKU-USD'!$D71,'01. KE30'!$A:$A,'05. BC BH THEO SKU-USD'!DW$4)-SUMIFS('01. KE30'!$AA:$AA,'01. KE30'!$F:$F,'05. BC BH THEO SKU-USD'!$D71,'01. KE30'!$A:$A,'05. BC BH THEO SKU-USD'!DW$4),"-")</f>
        <v>0</v>
      </c>
      <c r="DX71" s="114">
        <f>IFERROR(SUMIFS('01. KE30'!$X:$X,'01. KE30'!$F:$F,'05. BC BH THEO SKU-USD'!$D71,'01. KE30'!$A:$A,'05. BC BH THEO SKU-USD'!DX$4)-SUMIFS('01. KE30'!$AA:$AA,'01. KE30'!$F:$F,'05. BC BH THEO SKU-USD'!$D71,'01. KE30'!$A:$A,'05. BC BH THEO SKU-USD'!DX$4),"-")</f>
        <v>0</v>
      </c>
      <c r="DY71" s="114">
        <f>IFERROR(SUMIFS('01. KE30'!$X:$X,'01. KE30'!$F:$F,'05. BC BH THEO SKU-USD'!$D71,'01. KE30'!$A:$A,'05. BC BH THEO SKU-USD'!DY$4)-SUMIFS('01. KE30'!$AA:$AA,'01. KE30'!$F:$F,'05. BC BH THEO SKU-USD'!$D71,'01. KE30'!$A:$A,'05. BC BH THEO SKU-USD'!DY$4),"-")</f>
        <v>0</v>
      </c>
      <c r="DZ71" s="114">
        <f>IFERROR(SUMIFS('01. KE30'!$X:$X,'01. KE30'!$F:$F,'05. BC BH THEO SKU-USD'!$D71,'01. KE30'!$A:$A,'05. BC BH THEO SKU-USD'!DZ$4)-SUMIFS('01. KE30'!$AA:$AA,'01. KE30'!$F:$F,'05. BC BH THEO SKU-USD'!$D71,'01. KE30'!$A:$A,'05. BC BH THEO SKU-USD'!DZ$4),"-")</f>
        <v>0</v>
      </c>
      <c r="EB71" s="571">
        <f t="shared" si="252"/>
        <v>0</v>
      </c>
      <c r="EC71" s="573">
        <f t="shared" si="253"/>
        <v>0</v>
      </c>
      <c r="ED71" s="573">
        <f t="shared" si="19"/>
        <v>0</v>
      </c>
      <c r="EE71" s="572">
        <f t="shared" si="20"/>
        <v>0</v>
      </c>
      <c r="EF71" s="572">
        <f t="shared" si="21"/>
        <v>0</v>
      </c>
      <c r="EG71" s="572">
        <f t="shared" si="22"/>
        <v>0</v>
      </c>
      <c r="EH71" s="572">
        <f t="shared" si="23"/>
        <v>0</v>
      </c>
      <c r="EI71" s="572">
        <f t="shared" si="24"/>
        <v>0</v>
      </c>
      <c r="EJ71" s="572">
        <f t="shared" si="25"/>
        <v>0</v>
      </c>
      <c r="EK71" s="572">
        <f t="shared" si="26"/>
        <v>0</v>
      </c>
      <c r="EL71" s="572">
        <f t="shared" si="27"/>
        <v>0</v>
      </c>
      <c r="EM71" s="572">
        <f t="shared" si="28"/>
        <v>0</v>
      </c>
      <c r="EN71" s="572">
        <f t="shared" si="29"/>
        <v>0</v>
      </c>
    </row>
    <row r="72" spans="1:144" s="122" customFormat="1" ht="17.5" x14ac:dyDescent="0.35">
      <c r="A72" s="386"/>
      <c r="B72" s="386"/>
      <c r="C72" s="386"/>
      <c r="D72" s="387" t="s">
        <v>370</v>
      </c>
      <c r="F72" s="387"/>
      <c r="T72" s="388"/>
      <c r="CL72" s="388">
        <f>SUM(CL5,CL22,CL29,CL41,CL51,CL59,CL68)</f>
        <v>38046.759699999988</v>
      </c>
      <c r="CM72" s="388">
        <f t="shared" ref="CM72:CX72" si="509">SUM(CM5,CM22,CM29,CM41,CM51,CM59,CM68)</f>
        <v>3487.9992999999995</v>
      </c>
      <c r="CN72" s="388">
        <f t="shared" si="509"/>
        <v>5476.6750000000002</v>
      </c>
      <c r="CO72" s="388">
        <f t="shared" si="509"/>
        <v>4580.05</v>
      </c>
      <c r="CP72" s="388">
        <f t="shared" si="509"/>
        <v>3850.8249999999994</v>
      </c>
      <c r="CQ72" s="388">
        <f t="shared" si="509"/>
        <v>4578.8853000000008</v>
      </c>
      <c r="CR72" s="388">
        <f t="shared" si="509"/>
        <v>3673.2079999999996</v>
      </c>
      <c r="CS72" s="388">
        <f t="shared" si="509"/>
        <v>4560.4241000000002</v>
      </c>
      <c r="CT72" s="388">
        <f t="shared" si="509"/>
        <v>5189.3680000000013</v>
      </c>
      <c r="CU72" s="388">
        <f t="shared" si="509"/>
        <v>2649.3249999999998</v>
      </c>
      <c r="CV72" s="388">
        <f t="shared" si="509"/>
        <v>0</v>
      </c>
      <c r="CW72" s="388">
        <f t="shared" si="509"/>
        <v>0</v>
      </c>
      <c r="CX72" s="388">
        <f t="shared" si="509"/>
        <v>0</v>
      </c>
      <c r="CZ72" s="388">
        <f t="shared" ref="CZ72:DL72" si="510">SUM(CZ5,CZ22,CZ29,CZ41,CZ51,CZ59,CZ68)</f>
        <v>46654463.624188222</v>
      </c>
      <c r="DA72" s="388">
        <f t="shared" si="510"/>
        <v>4454931.6018065037</v>
      </c>
      <c r="DB72" s="388">
        <f t="shared" si="510"/>
        <v>7079418.0528554535</v>
      </c>
      <c r="DC72" s="388">
        <f t="shared" si="510"/>
        <v>5726074.791968504</v>
      </c>
      <c r="DD72" s="388">
        <f t="shared" si="510"/>
        <v>4750233.6895083245</v>
      </c>
      <c r="DE72" s="388">
        <f t="shared" si="510"/>
        <v>5760213.3934261408</v>
      </c>
      <c r="DF72" s="388">
        <f t="shared" si="510"/>
        <v>4439262.682214506</v>
      </c>
      <c r="DG72" s="388">
        <f t="shared" si="510"/>
        <v>5260978.3881290825</v>
      </c>
      <c r="DH72" s="388">
        <f t="shared" si="510"/>
        <v>6251352.0763178011</v>
      </c>
      <c r="DI72" s="388">
        <f t="shared" si="510"/>
        <v>2931998.947961905</v>
      </c>
      <c r="DJ72" s="388">
        <f t="shared" si="510"/>
        <v>0</v>
      </c>
      <c r="DK72" s="388">
        <f t="shared" si="510"/>
        <v>0</v>
      </c>
      <c r="DL72" s="388">
        <f t="shared" si="510"/>
        <v>0</v>
      </c>
    </row>
  </sheetData>
  <sheetProtection formatCells="0" formatColumns="0" formatRows="0" insertColumns="0" selectLockedCells="1" autoFilter="0" pivotTables="0"/>
  <autoFilter ref="A4:EN72" xr:uid="{4725DC93-99C9-467F-83E6-260B9358B54D}"/>
  <conditionalFormatting sqref="D1:D1048576">
    <cfRule type="duplicateValues" dxfId="59" priority="1"/>
    <cfRule type="duplicateValues" dxfId="58" priority="4"/>
  </conditionalFormatting>
  <conditionalFormatting sqref="D30:D40 D1:D4 D52:D58 D42:D50 D60:D1048576 D6:D28">
    <cfRule type="duplicateValues" dxfId="57" priority="5"/>
  </conditionalFormatting>
  <conditionalFormatting sqref="BJ5:BV71 CL5:CX71 CZ5:DL71 DN5:DZ71 AV6:BH21 AV23:BH28 AV30:BH40 AV42:BH50 AV52:BH58 AV60:BH67 AV69:BH71">
    <cfRule type="cellIs" dxfId="56" priority="25" operator="lessThan">
      <formula>0</formula>
    </cfRule>
  </conditionalFormatting>
  <conditionalFormatting sqref="BX5:CJ71">
    <cfRule type="cellIs" dxfId="55" priority="6" operator="lessThan">
      <formula>0</formula>
    </cfRule>
  </conditionalFormatting>
  <conditionalFormatting sqref="EB5:EN71">
    <cfRule type="cellIs" dxfId="54" priority="2" operator="lessThan">
      <formula>0</formula>
    </cfRule>
  </conditionalFormatting>
  <hyperlinks>
    <hyperlink ref="A1" location="'00. DM'!A1" display="00. DM" xr:uid="{A91EAFE9-9F88-4A8C-A382-6E7043C12B5B}"/>
  </hyperlink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75EBD-83E1-4FE8-8A3A-073EE36F877B}">
  <sheetPr>
    <tabColor rgb="FFFFC000"/>
  </sheetPr>
  <dimension ref="A1:R38"/>
  <sheetViews>
    <sheetView showGridLines="0" zoomScale="85" zoomScaleNormal="85" workbookViewId="0">
      <selection activeCell="I7" sqref="I7"/>
    </sheetView>
  </sheetViews>
  <sheetFormatPr defaultRowHeight="14.5" x14ac:dyDescent="0.35"/>
  <cols>
    <col min="2" max="2" width="10.90625" customWidth="1"/>
    <col min="3" max="3" width="28.6328125" customWidth="1"/>
    <col min="4" max="11" width="9.81640625" bestFit="1" customWidth="1"/>
  </cols>
  <sheetData>
    <row r="1" spans="1:17" ht="21" x14ac:dyDescent="0.5">
      <c r="C1" s="297" t="s">
        <v>879</v>
      </c>
    </row>
    <row r="2" spans="1:17" x14ac:dyDescent="0.35">
      <c r="Q2" t="s">
        <v>949</v>
      </c>
    </row>
    <row r="3" spans="1:17" x14ac:dyDescent="0.35">
      <c r="B3" s="1083"/>
      <c r="C3" s="1083" t="s">
        <v>877</v>
      </c>
      <c r="D3" s="613">
        <v>1</v>
      </c>
      <c r="E3" s="613">
        <v>2</v>
      </c>
      <c r="F3" s="613">
        <v>3</v>
      </c>
      <c r="G3" s="613">
        <v>4</v>
      </c>
      <c r="H3" s="613">
        <v>5</v>
      </c>
      <c r="I3" s="613">
        <v>6</v>
      </c>
      <c r="J3" s="613">
        <v>7</v>
      </c>
      <c r="K3" s="613">
        <v>8</v>
      </c>
      <c r="L3" s="613">
        <v>9</v>
      </c>
      <c r="M3" s="613">
        <v>10</v>
      </c>
      <c r="N3" s="613">
        <v>11</v>
      </c>
      <c r="O3" s="613">
        <v>12</v>
      </c>
      <c r="Q3" s="613">
        <v>8</v>
      </c>
    </row>
    <row r="4" spans="1:17" x14ac:dyDescent="0.35">
      <c r="A4" s="1253" t="s">
        <v>328</v>
      </c>
      <c r="B4" s="1084" t="s">
        <v>127</v>
      </c>
      <c r="C4" s="1085" t="s">
        <v>114</v>
      </c>
      <c r="D4" s="1086">
        <v>756.29</v>
      </c>
      <c r="E4" s="1086">
        <v>624.29</v>
      </c>
      <c r="F4" s="1086">
        <v>846.93999999999994</v>
      </c>
      <c r="G4" s="1086">
        <v>780.93999999999994</v>
      </c>
      <c r="H4" s="1086">
        <v>1042.94</v>
      </c>
      <c r="I4" s="1086">
        <v>822.93999999999994</v>
      </c>
      <c r="J4" s="1086">
        <v>900.93999999999994</v>
      </c>
      <c r="K4" s="1086">
        <v>1018.9399999999999</v>
      </c>
      <c r="L4" s="1086">
        <v>1062.94</v>
      </c>
      <c r="M4" s="1086">
        <v>1062.94</v>
      </c>
      <c r="N4" s="1086">
        <v>1018.9399999999999</v>
      </c>
      <c r="O4" s="1086">
        <v>1062.94</v>
      </c>
      <c r="Q4" s="1161">
        <f>SUM(D4:K4)</f>
        <v>6794.2199999999993</v>
      </c>
    </row>
    <row r="5" spans="1:17" x14ac:dyDescent="0.35">
      <c r="B5" s="1087" t="s">
        <v>102</v>
      </c>
      <c r="C5" s="1088" t="s">
        <v>101</v>
      </c>
      <c r="D5" s="1089">
        <v>400</v>
      </c>
      <c r="E5" s="1089">
        <v>400</v>
      </c>
      <c r="F5" s="1089">
        <v>400</v>
      </c>
      <c r="G5" s="1089">
        <v>510</v>
      </c>
      <c r="H5" s="1089">
        <v>550</v>
      </c>
      <c r="I5" s="1089">
        <v>620</v>
      </c>
      <c r="J5" s="1089">
        <v>620</v>
      </c>
      <c r="K5" s="1089">
        <v>510</v>
      </c>
      <c r="L5" s="1089">
        <v>510</v>
      </c>
      <c r="M5" s="1089">
        <v>550</v>
      </c>
      <c r="N5" s="1089">
        <v>510</v>
      </c>
      <c r="O5" s="1089">
        <v>630</v>
      </c>
      <c r="Q5" s="1163">
        <f t="shared" ref="Q5:Q9" si="0">SUM(D5:K5)</f>
        <v>4010</v>
      </c>
    </row>
    <row r="6" spans="1:17" x14ac:dyDescent="0.35">
      <c r="A6" s="167" t="s">
        <v>313</v>
      </c>
      <c r="B6" s="1093" t="s">
        <v>100</v>
      </c>
      <c r="C6" s="1094" t="s">
        <v>99</v>
      </c>
      <c r="D6" s="1095">
        <v>22</v>
      </c>
      <c r="E6" s="1095">
        <v>682</v>
      </c>
      <c r="F6" s="1095">
        <v>56.65</v>
      </c>
      <c r="G6" s="1095">
        <v>75</v>
      </c>
      <c r="H6" s="1095">
        <v>751.3</v>
      </c>
      <c r="I6" s="1095">
        <v>751.3</v>
      </c>
      <c r="J6" s="1095">
        <v>773.3</v>
      </c>
      <c r="K6" s="1095">
        <v>113.3</v>
      </c>
      <c r="L6" s="1095">
        <v>773.3</v>
      </c>
      <c r="M6" s="1095">
        <v>773.3</v>
      </c>
      <c r="N6" s="1095">
        <v>147.82</v>
      </c>
      <c r="O6" s="1095">
        <v>153.94999999999999</v>
      </c>
      <c r="Q6" s="1095">
        <f t="shared" si="0"/>
        <v>3224.8500000000004</v>
      </c>
    </row>
    <row r="7" spans="1:17" x14ac:dyDescent="0.35">
      <c r="B7" s="1091" t="s">
        <v>126</v>
      </c>
      <c r="C7" s="1092" t="s">
        <v>125</v>
      </c>
      <c r="D7" s="1089">
        <v>0</v>
      </c>
      <c r="E7" s="1089">
        <v>0</v>
      </c>
      <c r="F7" s="1089">
        <v>69.3</v>
      </c>
      <c r="G7" s="1089">
        <v>69.3</v>
      </c>
      <c r="H7" s="1089">
        <v>69.3</v>
      </c>
      <c r="I7" s="1089">
        <v>69.3</v>
      </c>
      <c r="J7" s="1089">
        <v>415.3</v>
      </c>
      <c r="K7" s="1089">
        <v>509.3</v>
      </c>
      <c r="L7" s="1089">
        <v>509.3</v>
      </c>
      <c r="M7" s="1089">
        <v>619.29999999999995</v>
      </c>
      <c r="N7" s="1089">
        <v>619.29999999999995</v>
      </c>
      <c r="O7" s="1089">
        <v>619.29999999999995</v>
      </c>
      <c r="Q7" s="1089">
        <f t="shared" si="0"/>
        <v>1201.8</v>
      </c>
    </row>
    <row r="8" spans="1:17" x14ac:dyDescent="0.35">
      <c r="B8" s="1087" t="s">
        <v>122</v>
      </c>
      <c r="C8" s="1088" t="s">
        <v>121</v>
      </c>
      <c r="D8" s="1089">
        <v>44</v>
      </c>
      <c r="E8" s="1089">
        <v>44</v>
      </c>
      <c r="F8" s="1089">
        <v>72</v>
      </c>
      <c r="G8" s="1089">
        <v>72</v>
      </c>
      <c r="H8" s="1089">
        <v>72</v>
      </c>
      <c r="I8" s="1089">
        <v>78</v>
      </c>
      <c r="J8" s="1089">
        <v>77</v>
      </c>
      <c r="K8" s="1089">
        <v>377</v>
      </c>
      <c r="L8" s="1089">
        <v>377</v>
      </c>
      <c r="M8" s="1089">
        <v>371.72</v>
      </c>
      <c r="N8" s="1089">
        <v>471.72</v>
      </c>
      <c r="O8" s="1089">
        <v>449.72</v>
      </c>
      <c r="Q8" s="1089">
        <f t="shared" si="0"/>
        <v>836</v>
      </c>
    </row>
    <row r="9" spans="1:17" x14ac:dyDescent="0.35">
      <c r="A9" s="450" t="s">
        <v>312</v>
      </c>
      <c r="B9" s="1258" t="s">
        <v>110</v>
      </c>
      <c r="C9" s="1259" t="s">
        <v>109</v>
      </c>
      <c r="D9" s="1260">
        <v>1381</v>
      </c>
      <c r="E9" s="1260">
        <v>1359</v>
      </c>
      <c r="F9" s="1260">
        <v>1381</v>
      </c>
      <c r="G9" s="1260">
        <v>1381</v>
      </c>
      <c r="H9" s="1260">
        <v>1451</v>
      </c>
      <c r="I9" s="1260">
        <v>1403</v>
      </c>
      <c r="J9" s="1260">
        <v>1425</v>
      </c>
      <c r="K9" s="1260">
        <v>1597</v>
      </c>
      <c r="L9" s="1260">
        <v>1619</v>
      </c>
      <c r="M9" s="1260">
        <v>1701</v>
      </c>
      <c r="N9" s="1260">
        <v>1687</v>
      </c>
      <c r="O9" s="1260">
        <v>1534.86</v>
      </c>
      <c r="Q9" s="1256">
        <f t="shared" si="0"/>
        <v>11378</v>
      </c>
    </row>
    <row r="10" spans="1:17" x14ac:dyDescent="0.35">
      <c r="Q10">
        <f t="shared" ref="Q10" si="1">SUM(D10:I10)</f>
        <v>0</v>
      </c>
    </row>
    <row r="12" spans="1:17" x14ac:dyDescent="0.35">
      <c r="B12" s="1083"/>
      <c r="C12" s="1083" t="s">
        <v>878</v>
      </c>
      <c r="D12" s="613">
        <v>1</v>
      </c>
      <c r="E12" s="613">
        <v>2</v>
      </c>
      <c r="F12" s="613">
        <v>3</v>
      </c>
      <c r="G12" s="613">
        <v>4</v>
      </c>
      <c r="H12" s="613">
        <v>5</v>
      </c>
      <c r="I12" s="613">
        <v>6</v>
      </c>
      <c r="J12" s="613">
        <v>7</v>
      </c>
      <c r="K12" s="613">
        <v>8</v>
      </c>
      <c r="L12" s="613">
        <v>9</v>
      </c>
      <c r="M12" s="613">
        <v>10</v>
      </c>
      <c r="N12" s="613">
        <v>11</v>
      </c>
      <c r="O12" s="613">
        <v>12</v>
      </c>
      <c r="Q12" s="1257"/>
    </row>
    <row r="13" spans="1:17" x14ac:dyDescent="0.35">
      <c r="A13" s="1253" t="s">
        <v>328</v>
      </c>
      <c r="B13" s="1090" t="s">
        <v>127</v>
      </c>
      <c r="C13" s="1088" t="s">
        <v>114</v>
      </c>
      <c r="D13" s="1265">
        <f>SUMIF('05. BC BH THEO SKU-USD'!$D:$D,'Cơ cấu bán rPET'!$B13,'05. BC BH THEO SKU-USD'!CM:CM)</f>
        <v>388.84929999999997</v>
      </c>
      <c r="E13" s="1265">
        <f>SUMIF('05. BC BH THEO SKU-USD'!$D:$D,'Cơ cấu bán rPET'!$B13,'05. BC BH THEO SKU-USD'!CN:CN)</f>
        <v>660</v>
      </c>
      <c r="F13" s="1265">
        <f>SUMIF('05. BC BH THEO SKU-USD'!$D:$D,'Cơ cấu bán rPET'!$B13,'05. BC BH THEO SKU-USD'!CO:CO)</f>
        <v>419.1</v>
      </c>
      <c r="G13" s="1265">
        <f>SUMIF('05. BC BH THEO SKU-USD'!$D:$D,'Cơ cấu bán rPET'!$B13,'05. BC BH THEO SKU-USD'!CP:CP)</f>
        <v>531.29999999999995</v>
      </c>
      <c r="H13" s="1265">
        <f>SUMIF('05. BC BH THEO SKU-USD'!$D:$D,'Cơ cấu bán rPET'!$B13,'05. BC BH THEO SKU-USD'!CQ:CQ)</f>
        <v>556.16030000000001</v>
      </c>
      <c r="I13" s="1265">
        <f>SUMIF('05. BC BH THEO SKU-USD'!$D:$D,'Cơ cấu bán rPET'!$B13,'05. BC BH THEO SKU-USD'!CR:CR)</f>
        <v>486.42220000000003</v>
      </c>
      <c r="J13" s="1265">
        <f>SUMIF('05. BC BH THEO SKU-USD'!$D:$D,'Cơ cấu bán rPET'!$B13,'05. BC BH THEO SKU-USD'!CS:CS)</f>
        <v>248.9691</v>
      </c>
      <c r="K13" s="1265">
        <f>SUMIF('05. BC BH THEO SKU-USD'!$D:$D,'Cơ cấu bán rPET'!$B13,'05. BC BH THEO SKU-USD'!CT:CT)</f>
        <v>835.29300000000001</v>
      </c>
      <c r="L13" s="1089">
        <f>SUMIF('05. BC BH THEO SKU-USD'!$D:$D,'Cơ cấu bán rPET'!$B13,'05. BC BH THEO SKU-USD'!CU:CU)</f>
        <v>236.5</v>
      </c>
      <c r="M13" s="1089">
        <f>SUMIF('05. BC BH THEO SKU-USD'!$D:$D,'Cơ cấu bán rPET'!$B13,'05. BC BH THEO SKU-USD'!CV:CV)</f>
        <v>0</v>
      </c>
      <c r="N13" s="1089">
        <f>SUMIF('05. BC BH THEO SKU-USD'!$D:$D,'Cơ cấu bán rPET'!$B13,'05. BC BH THEO SKU-USD'!CW:CW)</f>
        <v>0</v>
      </c>
      <c r="O13" s="1089">
        <f>SUMIF('05. BC BH THEO SKU-USD'!$D:$D,'Cơ cấu bán rPET'!$B13,'05. BC BH THEO SKU-USD'!CX:CX)</f>
        <v>0</v>
      </c>
      <c r="Q13" s="1162">
        <f>SUM(D13:O13)</f>
        <v>4362.5938999999998</v>
      </c>
    </row>
    <row r="14" spans="1:17" x14ac:dyDescent="0.35">
      <c r="B14" s="1087" t="s">
        <v>102</v>
      </c>
      <c r="C14" s="1088" t="s">
        <v>101</v>
      </c>
      <c r="D14" s="1265">
        <f>SUMIF('05. BC BH THEO SKU-USD'!$D:$D,'Cơ cấu bán rPET'!$B14,'05. BC BH THEO SKU-USD'!CM:CM)</f>
        <v>0</v>
      </c>
      <c r="E14" s="1265">
        <f>SUMIF('05. BC BH THEO SKU-USD'!$D:$D,'Cơ cấu bán rPET'!$B14,'05. BC BH THEO SKU-USD'!CN:CN)</f>
        <v>45.1</v>
      </c>
      <c r="F14" s="1265">
        <f>SUMIF('05. BC BH THEO SKU-USD'!$D:$D,'Cơ cấu bán rPET'!$B14,'05. BC BH THEO SKU-USD'!CO:CO)</f>
        <v>231</v>
      </c>
      <c r="G14" s="1265">
        <f>SUMIF('05. BC BH THEO SKU-USD'!$D:$D,'Cơ cấu bán rPET'!$B14,'05. BC BH THEO SKU-USD'!CP:CP)</f>
        <v>154</v>
      </c>
      <c r="H14" s="1265">
        <f>SUMIF('05. BC BH THEO SKU-USD'!$D:$D,'Cơ cấu bán rPET'!$B14,'05. BC BH THEO SKU-USD'!CQ:CQ)</f>
        <v>11</v>
      </c>
      <c r="I14" s="1265">
        <f>SUMIF('05. BC BH THEO SKU-USD'!$D:$D,'Cơ cấu bán rPET'!$B14,'05. BC BH THEO SKU-USD'!CR:CR)</f>
        <v>264</v>
      </c>
      <c r="J14" s="1265">
        <f>SUMIF('05. BC BH THEO SKU-USD'!$D:$D,'Cơ cấu bán rPET'!$B14,'05. BC BH THEO SKU-USD'!CS:CS)</f>
        <v>374.85</v>
      </c>
      <c r="K14" s="1265">
        <f>SUMIF('05. BC BH THEO SKU-USD'!$D:$D,'Cơ cấu bán rPET'!$B14,'05. BC BH THEO SKU-USD'!CT:CT)</f>
        <v>264</v>
      </c>
      <c r="L14" s="1089">
        <f>SUMIF('05. BC BH THEO SKU-USD'!$D:$D,'Cơ cấu bán rPET'!$B14,'05. BC BH THEO SKU-USD'!CU:CU)</f>
        <v>67.099999999999994</v>
      </c>
      <c r="M14" s="1089">
        <f>SUMIF('05. BC BH THEO SKU-USD'!$D:$D,'Cơ cấu bán rPET'!$B14,'05. BC BH THEO SKU-USD'!CV:CV)</f>
        <v>0</v>
      </c>
      <c r="N14" s="1089">
        <f>SUMIF('05. BC BH THEO SKU-USD'!$D:$D,'Cơ cấu bán rPET'!$B14,'05. BC BH THEO SKU-USD'!CW:CW)</f>
        <v>0</v>
      </c>
      <c r="O14" s="1089">
        <f>SUMIF('05. BC BH THEO SKU-USD'!$D:$D,'Cơ cấu bán rPET'!$B14,'05. BC BH THEO SKU-USD'!CX:CX)</f>
        <v>0</v>
      </c>
      <c r="Q14" s="1163">
        <f t="shared" ref="Q14:Q21" si="2">SUM(D14:O14)</f>
        <v>1411.05</v>
      </c>
    </row>
    <row r="15" spans="1:17" x14ac:dyDescent="0.35">
      <c r="A15" s="167" t="s">
        <v>313</v>
      </c>
      <c r="B15" s="1093" t="s">
        <v>100</v>
      </c>
      <c r="C15" s="1094" t="s">
        <v>99</v>
      </c>
      <c r="D15" s="1266">
        <f>SUMIF('05. BC BH THEO SKU-USD'!$D:$D,'Cơ cấu bán rPET'!$B15,'05. BC BH THEO SKU-USD'!CM:CM)</f>
        <v>143</v>
      </c>
      <c r="E15" s="1266">
        <f>SUMIF('05. BC BH THEO SKU-USD'!$D:$D,'Cơ cấu bán rPET'!$B15,'05. BC BH THEO SKU-USD'!CN:CN)</f>
        <v>2270.4</v>
      </c>
      <c r="F15" s="1266">
        <f>SUMIF('05. BC BH THEO SKU-USD'!$D:$D,'Cơ cấu bán rPET'!$B15,'05. BC BH THEO SKU-USD'!CO:CO)</f>
        <v>1786.4</v>
      </c>
      <c r="G15" s="1266">
        <f>SUMIF('05. BC BH THEO SKU-USD'!$D:$D,'Cơ cấu bán rPET'!$B15,'05. BC BH THEO SKU-USD'!CP:CP)</f>
        <v>1189.5999999999999</v>
      </c>
      <c r="H15" s="1266">
        <f>SUMIF('05. BC BH THEO SKU-USD'!$D:$D,'Cơ cấu bán rPET'!$B15,'05. BC BH THEO SKU-USD'!CQ:CQ)</f>
        <v>1854</v>
      </c>
      <c r="I15" s="1266">
        <f>SUMIF('05. BC BH THEO SKU-USD'!$D:$D,'Cơ cấu bán rPET'!$B15,'05. BC BH THEO SKU-USD'!CR:CR)</f>
        <v>1077.4358</v>
      </c>
      <c r="J15" s="1266">
        <f>SUMIF('05. BC BH THEO SKU-USD'!$D:$D,'Cơ cấu bán rPET'!$B15,'05. BC BH THEO SKU-USD'!CS:CS)</f>
        <v>957</v>
      </c>
      <c r="K15" s="1266">
        <f>SUMIF('05. BC BH THEO SKU-USD'!$D:$D,'Cơ cấu bán rPET'!$B15,'05. BC BH THEO SKU-USD'!CT:CT)</f>
        <v>1287</v>
      </c>
      <c r="L15" s="1095">
        <f>SUMIF('05. BC BH THEO SKU-USD'!$D:$D,'Cơ cấu bán rPET'!$B15,'05. BC BH THEO SKU-USD'!CU:CU)</f>
        <v>3.3</v>
      </c>
      <c r="M15" s="1095">
        <f>SUMIF('05. BC BH THEO SKU-USD'!$D:$D,'Cơ cấu bán rPET'!$B15,'05. BC BH THEO SKU-USD'!CV:CV)</f>
        <v>0</v>
      </c>
      <c r="N15" s="1095">
        <f>SUMIF('05. BC BH THEO SKU-USD'!$D:$D,'Cơ cấu bán rPET'!$B15,'05. BC BH THEO SKU-USD'!CW:CW)</f>
        <v>0</v>
      </c>
      <c r="O15" s="1095">
        <f>SUMIF('05. BC BH THEO SKU-USD'!$D:$D,'Cơ cấu bán rPET'!$B15,'05. BC BH THEO SKU-USD'!CX:CX)</f>
        <v>0</v>
      </c>
      <c r="Q15" s="1095">
        <f t="shared" si="2"/>
        <v>10568.135799999998</v>
      </c>
    </row>
    <row r="16" spans="1:17" x14ac:dyDescent="0.35">
      <c r="B16" s="1091" t="s">
        <v>126</v>
      </c>
      <c r="C16" s="1092" t="s">
        <v>125</v>
      </c>
      <c r="D16" s="1265">
        <f>SUMIF('05. BC BH THEO SKU-USD'!$D:$D,'Cơ cấu bán rPET'!$B16,'05. BC BH THEO SKU-USD'!CM:CM)</f>
        <v>0</v>
      </c>
      <c r="E16" s="1265">
        <f>SUMIF('05. BC BH THEO SKU-USD'!$D:$D,'Cơ cấu bán rPET'!$B16,'05. BC BH THEO SKU-USD'!CN:CN)</f>
        <v>0</v>
      </c>
      <c r="F16" s="1265">
        <f>SUMIF('05. BC BH THEO SKU-USD'!$D:$D,'Cơ cấu bán rPET'!$B16,'05. BC BH THEO SKU-USD'!CO:CO)</f>
        <v>0</v>
      </c>
      <c r="G16" s="1265">
        <f>SUMIF('05. BC BH THEO SKU-USD'!$D:$D,'Cơ cấu bán rPET'!$B16,'05. BC BH THEO SKU-USD'!CP:CP)</f>
        <v>0</v>
      </c>
      <c r="H16" s="1265">
        <f>SUMIF('05. BC BH THEO SKU-USD'!$D:$D,'Cơ cấu bán rPET'!$B16,'05. BC BH THEO SKU-USD'!CQ:CQ)</f>
        <v>0</v>
      </c>
      <c r="I16" s="1265">
        <f>SUMIF('05. BC BH THEO SKU-USD'!$D:$D,'Cơ cấu bán rPET'!$B16,'05. BC BH THEO SKU-USD'!CR:CR)</f>
        <v>0</v>
      </c>
      <c r="J16" s="1265">
        <f>SUMIF('05. BC BH THEO SKU-USD'!$D:$D,'Cơ cấu bán rPET'!$B16,'05. BC BH THEO SKU-USD'!CS:CS)</f>
        <v>0</v>
      </c>
      <c r="K16" s="1265">
        <f>SUMIF('05. BC BH THEO SKU-USD'!$D:$D,'Cơ cấu bán rPET'!$B16,'05. BC BH THEO SKU-USD'!CT:CT)</f>
        <v>0</v>
      </c>
      <c r="L16" s="1089">
        <f>SUMIF('05. BC BH THEO SKU-USD'!$D:$D,'Cơ cấu bán rPET'!$B16,'05. BC BH THEO SKU-USD'!CU:CU)</f>
        <v>0</v>
      </c>
      <c r="M16" s="1089">
        <f>SUMIF('05. BC BH THEO SKU-USD'!$D:$D,'Cơ cấu bán rPET'!$B16,'05. BC BH THEO SKU-USD'!CV:CV)</f>
        <v>0</v>
      </c>
      <c r="N16" s="1089">
        <f>SUMIF('05. BC BH THEO SKU-USD'!$D:$D,'Cơ cấu bán rPET'!$B16,'05. BC BH THEO SKU-USD'!CW:CW)</f>
        <v>0</v>
      </c>
      <c r="O16" s="1089">
        <f>SUMIF('05. BC BH THEO SKU-USD'!$D:$D,'Cơ cấu bán rPET'!$B16,'05. BC BH THEO SKU-USD'!CX:CX)</f>
        <v>0</v>
      </c>
      <c r="Q16" s="1089">
        <f t="shared" si="2"/>
        <v>0</v>
      </c>
    </row>
    <row r="17" spans="1:18" x14ac:dyDescent="0.35">
      <c r="B17" s="1087" t="s">
        <v>122</v>
      </c>
      <c r="C17" s="1088" t="s">
        <v>121</v>
      </c>
      <c r="D17" s="1265">
        <f>SUMIF('05. BC BH THEO SKU-USD'!$D:$D,'Cơ cấu bán rPET'!$B17,'05. BC BH THEO SKU-USD'!CM:CM)</f>
        <v>22</v>
      </c>
      <c r="E17" s="1265">
        <f>SUMIF('05. BC BH THEO SKU-USD'!$D:$D,'Cơ cấu bán rPET'!$B17,'05. BC BH THEO SKU-USD'!CN:CN)</f>
        <v>0</v>
      </c>
      <c r="F17" s="1265">
        <f>SUMIF('05. BC BH THEO SKU-USD'!$D:$D,'Cơ cấu bán rPET'!$B17,'05. BC BH THEO SKU-USD'!CO:CO)</f>
        <v>0</v>
      </c>
      <c r="G17" s="1265">
        <f>SUMIF('05. BC BH THEO SKU-USD'!$D:$D,'Cơ cấu bán rPET'!$B17,'05. BC BH THEO SKU-USD'!CP:CP)</f>
        <v>0</v>
      </c>
      <c r="H17" s="1265">
        <f>SUMIF('05. BC BH THEO SKU-USD'!$D:$D,'Cơ cấu bán rPET'!$B17,'05. BC BH THEO SKU-USD'!CQ:CQ)</f>
        <v>0</v>
      </c>
      <c r="I17" s="1265">
        <f>SUMIF('05. BC BH THEO SKU-USD'!$D:$D,'Cơ cấu bán rPET'!$B17,'05. BC BH THEO SKU-USD'!CR:CR)</f>
        <v>0</v>
      </c>
      <c r="J17" s="1265">
        <f>SUMIF('05. BC BH THEO SKU-USD'!$D:$D,'Cơ cấu bán rPET'!$B17,'05. BC BH THEO SKU-USD'!CS:CS)</f>
        <v>0</v>
      </c>
      <c r="K17" s="1265">
        <f>SUMIF('05. BC BH THEO SKU-USD'!$D:$D,'Cơ cấu bán rPET'!$B17,'05. BC BH THEO SKU-USD'!CT:CT)</f>
        <v>0</v>
      </c>
      <c r="L17" s="1089">
        <f>SUMIF('05. BC BH THEO SKU-USD'!$D:$D,'Cơ cấu bán rPET'!$B17,'05. BC BH THEO SKU-USD'!CU:CU)</f>
        <v>0</v>
      </c>
      <c r="M17" s="1089">
        <f>SUMIF('05. BC BH THEO SKU-USD'!$D:$D,'Cơ cấu bán rPET'!$B17,'05. BC BH THEO SKU-USD'!CV:CV)</f>
        <v>0</v>
      </c>
      <c r="N17" s="1089">
        <f>SUMIF('05. BC BH THEO SKU-USD'!$D:$D,'Cơ cấu bán rPET'!$B17,'05. BC BH THEO SKU-USD'!CW:CW)</f>
        <v>0</v>
      </c>
      <c r="O17" s="1089">
        <f>SUMIF('05. BC BH THEO SKU-USD'!$D:$D,'Cơ cấu bán rPET'!$B17,'05. BC BH THEO SKU-USD'!CX:CX)</f>
        <v>0</v>
      </c>
      <c r="Q17" s="1089">
        <f t="shared" si="2"/>
        <v>22</v>
      </c>
    </row>
    <row r="18" spans="1:18" x14ac:dyDescent="0.35">
      <c r="A18" s="450" t="s">
        <v>312</v>
      </c>
      <c r="B18" s="1185" t="s">
        <v>110</v>
      </c>
      <c r="C18" s="1186" t="s">
        <v>109</v>
      </c>
      <c r="D18" s="1267">
        <f>SUMIF('05. BC BH THEO SKU-USD'!$D:$D,'Cơ cấu bán rPET'!$B18,'05. BC BH THEO SKU-USD'!CM:CM)</f>
        <v>2740.1</v>
      </c>
      <c r="E18" s="1267">
        <f>SUMIF('05. BC BH THEO SKU-USD'!$D:$D,'Cơ cấu bán rPET'!$B18,'05. BC BH THEO SKU-USD'!CN:CN)</f>
        <v>2172.5</v>
      </c>
      <c r="F18" s="1267">
        <f>SUMIF('05. BC BH THEO SKU-USD'!$D:$D,'Cơ cấu bán rPET'!$B18,'05. BC BH THEO SKU-USD'!CO:CO)</f>
        <v>1581.7</v>
      </c>
      <c r="G18" s="1267">
        <f>SUMIF('05. BC BH THEO SKU-USD'!$D:$D,'Cơ cấu bán rPET'!$B18,'05. BC BH THEO SKU-USD'!CP:CP)</f>
        <v>1699.5</v>
      </c>
      <c r="H18" s="1267">
        <f>SUMIF('05. BC BH THEO SKU-USD'!$D:$D,'Cơ cấu bán rPET'!$B18,'05. BC BH THEO SKU-USD'!CQ:CQ)</f>
        <v>1785.3</v>
      </c>
      <c r="I18" s="1267">
        <f>SUMIF('05. BC BH THEO SKU-USD'!$D:$D,'Cơ cấu bán rPET'!$B18,'05. BC BH THEO SKU-USD'!CR:CR)</f>
        <v>1272.7249999999999</v>
      </c>
      <c r="J18" s="1267">
        <f>SUMIF('05. BC BH THEO SKU-USD'!$D:$D,'Cơ cấu bán rPET'!$B18,'05. BC BH THEO SKU-USD'!CS:CS)</f>
        <v>2068</v>
      </c>
      <c r="K18" s="1267">
        <f>SUMIF('05. BC BH THEO SKU-USD'!$D:$D,'Cơ cấu bán rPET'!$B18,'05. BC BH THEO SKU-USD'!CT:CT)</f>
        <v>1771.3</v>
      </c>
      <c r="L18" s="1187">
        <f>SUMIF('05. BC BH THEO SKU-USD'!$D:$D,'Cơ cấu bán rPET'!$B18,'05. BC BH THEO SKU-USD'!CU:CU)</f>
        <v>1195.0999999999999</v>
      </c>
      <c r="M18" s="1187">
        <f>SUMIF('05. BC BH THEO SKU-USD'!$D:$D,'Cơ cấu bán rPET'!$B18,'05. BC BH THEO SKU-USD'!CV:CV)</f>
        <v>0</v>
      </c>
      <c r="N18" s="1187">
        <f>SUMIF('05. BC BH THEO SKU-USD'!$D:$D,'Cơ cấu bán rPET'!$B18,'05. BC BH THEO SKU-USD'!CW:CW)</f>
        <v>0</v>
      </c>
      <c r="O18" s="1187">
        <f>SUMIF('05. BC BH THEO SKU-USD'!$D:$D,'Cơ cấu bán rPET'!$B18,'05. BC BH THEO SKU-USD'!CX:CX)</f>
        <v>0</v>
      </c>
      <c r="Q18" s="1164">
        <f t="shared" si="2"/>
        <v>16286.224999999999</v>
      </c>
    </row>
    <row r="19" spans="1:18" ht="15.5" x14ac:dyDescent="0.35">
      <c r="B19" s="459" t="s">
        <v>87</v>
      </c>
      <c r="C19" s="7" t="s">
        <v>86</v>
      </c>
      <c r="D19" s="1265">
        <f>SUMIF('05. BC BH THEO SKU-USD'!$D:$D,'Cơ cấu bán rPET'!$B19,'05. BC BH THEO SKU-USD'!CM:CM)</f>
        <v>0</v>
      </c>
      <c r="E19" s="1265">
        <f>SUMIF('05. BC BH THEO SKU-USD'!$D:$D,'Cơ cấu bán rPET'!$B19,'05. BC BH THEO SKU-USD'!CN:CN)</f>
        <v>5.5</v>
      </c>
      <c r="F19" s="1265">
        <f>SUMIF('05. BC BH THEO SKU-USD'!$D:$D,'Cơ cấu bán rPET'!$B19,'05. BC BH THEO SKU-USD'!CO:CO)</f>
        <v>0</v>
      </c>
      <c r="G19" s="1265">
        <f>SUMIF('05. BC BH THEO SKU-USD'!$D:$D,'Cơ cấu bán rPET'!$B19,'05. BC BH THEO SKU-USD'!CP:CP)</f>
        <v>0</v>
      </c>
      <c r="H19" s="1265">
        <f>SUMIF('05. BC BH THEO SKU-USD'!$D:$D,'Cơ cấu bán rPET'!$B19,'05. BC BH THEO SKU-USD'!CQ:CQ)</f>
        <v>0</v>
      </c>
      <c r="I19" s="1265">
        <f>SUMIF('05. BC BH THEO SKU-USD'!$D:$D,'Cơ cấu bán rPET'!$B19,'05. BC BH THEO SKU-USD'!CR:CR)</f>
        <v>73.400000000000006</v>
      </c>
      <c r="J19" s="1265">
        <f>SUMIF('05. BC BH THEO SKU-USD'!$D:$D,'Cơ cấu bán rPET'!$B19,'05. BC BH THEO SKU-USD'!CS:CS)</f>
        <v>249.55</v>
      </c>
      <c r="K19" s="1265">
        <f>SUMIF('05. BC BH THEO SKU-USD'!$D:$D,'Cơ cấu bán rPET'!$B19,'05. BC BH THEO SKU-USD'!CT:CT)</f>
        <v>321.35000000000002</v>
      </c>
      <c r="L19" s="1089">
        <f>SUMIF('05. BC BH THEO SKU-USD'!$D:$D,'Cơ cấu bán rPET'!$B19,'05. BC BH THEO SKU-USD'!CU:CU)</f>
        <v>202.65</v>
      </c>
      <c r="M19" s="1089">
        <f>SUMIF('05. BC BH THEO SKU-USD'!$D:$D,'Cơ cấu bán rPET'!$B19,'05. BC BH THEO SKU-USD'!CV:CV)</f>
        <v>0</v>
      </c>
      <c r="N19" s="1089">
        <f>SUMIF('05. BC BH THEO SKU-USD'!$D:$D,'Cơ cấu bán rPET'!$B19,'05. BC BH THEO SKU-USD'!CW:CW)</f>
        <v>0</v>
      </c>
      <c r="O19" s="1089">
        <f>SUMIF('05. BC BH THEO SKU-USD'!$D:$D,'Cơ cấu bán rPET'!$B19,'05. BC BH THEO SKU-USD'!CX:CX)</f>
        <v>0</v>
      </c>
      <c r="Q19" s="1089">
        <f t="shared" si="2"/>
        <v>852.45</v>
      </c>
    </row>
    <row r="20" spans="1:18" ht="15.5" x14ac:dyDescent="0.35">
      <c r="B20" s="63" t="s">
        <v>463</v>
      </c>
      <c r="C20" s="63" t="s">
        <v>470</v>
      </c>
      <c r="D20" s="1265">
        <f>SUMIF('05. BC BH THEO SKU-USD'!$D:$D,'Cơ cấu bán rPET'!$B20,'05. BC BH THEO SKU-USD'!CM:CM)</f>
        <v>11</v>
      </c>
      <c r="E20" s="1265">
        <f>SUMIF('05. BC BH THEO SKU-USD'!$D:$D,'Cơ cấu bán rPET'!$B20,'05. BC BH THEO SKU-USD'!CN:CN)</f>
        <v>11</v>
      </c>
      <c r="F20" s="1265">
        <f>SUMIF('05. BC BH THEO SKU-USD'!$D:$D,'Cơ cấu bán rPET'!$B20,'05. BC BH THEO SKU-USD'!CO:CO)</f>
        <v>33</v>
      </c>
      <c r="G20" s="1265">
        <f>SUMIF('05. BC BH THEO SKU-USD'!$D:$D,'Cơ cấu bán rPET'!$B20,'05. BC BH THEO SKU-USD'!CP:CP)</f>
        <v>0</v>
      </c>
      <c r="H20" s="1265">
        <f>SUMIF('05. BC BH THEO SKU-USD'!$D:$D,'Cơ cấu bán rPET'!$B20,'05. BC BH THEO SKU-USD'!CQ:CQ)</f>
        <v>0</v>
      </c>
      <c r="I20" s="1265">
        <f>SUMIF('05. BC BH THEO SKU-USD'!$D:$D,'Cơ cấu bán rPET'!$B20,'05. BC BH THEO SKU-USD'!CR:CR)</f>
        <v>73.5</v>
      </c>
      <c r="J20" s="1265">
        <f>SUMIF('05. BC BH THEO SKU-USD'!$D:$D,'Cơ cấu bán rPET'!$B20,'05. BC BH THEO SKU-USD'!CS:CS)</f>
        <v>318.25</v>
      </c>
      <c r="K20" s="1265">
        <f>SUMIF('05. BC BH THEO SKU-USD'!$D:$D,'Cơ cấu bán rPET'!$B20,'05. BC BH THEO SKU-USD'!CT:CT)</f>
        <v>0</v>
      </c>
      <c r="L20" s="1089">
        <f>SUMIF('05. BC BH THEO SKU-USD'!$D:$D,'Cơ cấu bán rPET'!$B20,'05. BC BH THEO SKU-USD'!CU:CU)</f>
        <v>0</v>
      </c>
      <c r="M20" s="1089">
        <f>SUMIF('05. BC BH THEO SKU-USD'!$D:$D,'Cơ cấu bán rPET'!$B20,'05. BC BH THEO SKU-USD'!CV:CV)</f>
        <v>0</v>
      </c>
      <c r="N20" s="1089">
        <f>SUMIF('05. BC BH THEO SKU-USD'!$D:$D,'Cơ cấu bán rPET'!$B20,'05. BC BH THEO SKU-USD'!CW:CW)</f>
        <v>0</v>
      </c>
      <c r="O20" s="1089">
        <f>SUMIF('05. BC BH THEO SKU-USD'!$D:$D,'Cơ cấu bán rPET'!$B20,'05. BC BH THEO SKU-USD'!CX:CX)</f>
        <v>0</v>
      </c>
      <c r="Q20" s="1089">
        <f t="shared" si="2"/>
        <v>446.75</v>
      </c>
    </row>
    <row r="21" spans="1:18" ht="15.5" x14ac:dyDescent="0.35">
      <c r="A21" t="s">
        <v>95</v>
      </c>
      <c r="B21" s="1261"/>
      <c r="C21" s="1261"/>
      <c r="D21" s="1268">
        <f>D19+D20</f>
        <v>11</v>
      </c>
      <c r="E21" s="1268">
        <f t="shared" ref="E21:O21" si="3">E19+E20</f>
        <v>16.5</v>
      </c>
      <c r="F21" s="1268">
        <f t="shared" si="3"/>
        <v>33</v>
      </c>
      <c r="G21" s="1268">
        <f t="shared" si="3"/>
        <v>0</v>
      </c>
      <c r="H21" s="1268">
        <f t="shared" si="3"/>
        <v>0</v>
      </c>
      <c r="I21" s="1268">
        <f t="shared" si="3"/>
        <v>146.9</v>
      </c>
      <c r="J21" s="1268">
        <f t="shared" si="3"/>
        <v>567.79999999999995</v>
      </c>
      <c r="K21" s="1268">
        <f t="shared" si="3"/>
        <v>321.35000000000002</v>
      </c>
      <c r="L21" s="1262">
        <f t="shared" si="3"/>
        <v>202.65</v>
      </c>
      <c r="M21" s="1262">
        <f t="shared" si="3"/>
        <v>0</v>
      </c>
      <c r="N21" s="1262">
        <f t="shared" si="3"/>
        <v>0</v>
      </c>
      <c r="O21" s="1262">
        <f t="shared" si="3"/>
        <v>0</v>
      </c>
      <c r="Q21" s="1089">
        <f t="shared" si="2"/>
        <v>1299.2</v>
      </c>
    </row>
    <row r="22" spans="1:18" ht="15.5" x14ac:dyDescent="0.35">
      <c r="B22" s="89"/>
      <c r="C22" s="89"/>
      <c r="D22" s="1269"/>
      <c r="E22" s="1269"/>
      <c r="F22" s="1269"/>
      <c r="G22" s="1269"/>
      <c r="H22" s="1269"/>
      <c r="I22" s="1269"/>
      <c r="J22" s="1269"/>
      <c r="K22" s="1269"/>
      <c r="L22" s="1255"/>
      <c r="M22" s="1255"/>
      <c r="N22" s="1255"/>
      <c r="O22" s="1255"/>
      <c r="Q22" s="1089"/>
    </row>
    <row r="23" spans="1:18" ht="15.5" x14ac:dyDescent="0.35">
      <c r="B23" s="108"/>
      <c r="C23" s="108"/>
      <c r="D23" s="1254"/>
      <c r="E23" s="1254"/>
      <c r="F23" s="1254"/>
      <c r="G23" s="1254"/>
      <c r="H23" s="1254"/>
      <c r="I23" s="1254"/>
      <c r="J23" s="1254"/>
      <c r="K23" s="1254"/>
      <c r="L23" s="1254"/>
      <c r="M23" s="1254"/>
      <c r="N23" s="1254"/>
      <c r="O23" s="1254"/>
      <c r="Q23" s="1254"/>
    </row>
    <row r="24" spans="1:18" ht="15.5" x14ac:dyDescent="0.35">
      <c r="B24" s="108"/>
      <c r="C24" s="108"/>
      <c r="D24" s="1254"/>
      <c r="E24" s="1254"/>
      <c r="F24" s="1254"/>
      <c r="G24" s="1254"/>
      <c r="H24" s="1254"/>
      <c r="I24" s="1254"/>
      <c r="J24" s="1254"/>
      <c r="K24" s="1254"/>
      <c r="L24" s="1254"/>
      <c r="M24" s="1254"/>
      <c r="N24" s="1254"/>
      <c r="O24" s="1254"/>
      <c r="Q24" s="1254"/>
    </row>
    <row r="26" spans="1:18" x14ac:dyDescent="0.35">
      <c r="B26" s="1079" t="s">
        <v>1050</v>
      </c>
      <c r="C26" s="1278">
        <v>8</v>
      </c>
      <c r="D26" s="299"/>
      <c r="E26" s="299"/>
      <c r="F26" s="299"/>
      <c r="G26" s="299"/>
      <c r="H26" s="299"/>
    </row>
    <row r="27" spans="1:18" ht="21.5" customHeight="1" x14ac:dyDescent="0.35">
      <c r="B27" s="299"/>
      <c r="C27" s="1279">
        <f>D27-1</f>
        <v>7</v>
      </c>
      <c r="D27" s="1279">
        <f>C26</f>
        <v>8</v>
      </c>
      <c r="E27" s="1280" t="s">
        <v>1051</v>
      </c>
      <c r="F27" s="299" t="s">
        <v>756</v>
      </c>
      <c r="G27" s="299"/>
      <c r="H27" s="299"/>
      <c r="J27" s="1270" t="s">
        <v>1053</v>
      </c>
      <c r="K27" s="1271"/>
      <c r="L27" s="1271"/>
      <c r="M27" s="1271"/>
      <c r="N27" s="1271"/>
      <c r="O27" s="1271"/>
      <c r="P27" s="1271"/>
      <c r="Q27" s="1271"/>
      <c r="R27" s="1272"/>
    </row>
    <row r="28" spans="1:18" ht="21.5" customHeight="1" x14ac:dyDescent="0.35">
      <c r="B28" s="1281" t="s">
        <v>313</v>
      </c>
      <c r="C28" s="1282">
        <f>ROUND(INDEX($D$13:$O$22,MATCH($B28,$A$13:$A$22,0),MATCH(C$27,$D$12:$O$12,0)),0)</f>
        <v>957</v>
      </c>
      <c r="D28" s="1282">
        <f>ROUND(INDEX($D$13:$O$22,MATCH($B28,$A$13:$A$22,0),MATCH(D$27,$D$12:$O$12,0)),0)</f>
        <v>1287</v>
      </c>
      <c r="E28" s="1283" t="str">
        <f>IF(D28&gt;C28,"tăng: ","giảm: ")</f>
        <v xml:space="preserve">tăng: </v>
      </c>
      <c r="F28" s="1284">
        <f>INDEX('05.2. Chart _SKU'!$C$5:$N$16,MATCH('Cơ cấu bán rPET'!$B28,'05.2. Chart _SKU'!$B$5:$B$16,0),MATCH('Cơ cấu bán rPET'!$D$27,'05.2. Chart _SKU'!$C$4:$N$4,0))</f>
        <v>0.18917481258117014</v>
      </c>
      <c r="G28" s="1285" t="str">
        <f>ROUND(F28*100,1)&amp;"%"</f>
        <v>18.9%</v>
      </c>
      <c r="H28" s="299" t="s">
        <v>1052</v>
      </c>
      <c r="J28" s="1273" t="str">
        <f>"    -  "&amp;B28&amp;" "&amp;E28&amp;"T"&amp;$C$27&amp;" ~ "&amp;C28&amp;" tấn, "&amp;"T"&amp;$D$27&amp;" ~ "&amp;D28&amp;" tấn - sản phẩm này có % lợi nhuận gộp "&amp;H28&amp;" ~ "&amp;G28</f>
        <v xml:space="preserve">    -  iSS01G tăng: T7 ~ 957 tấn, T8 ~ 1287 tấn - sản phẩm này có % lợi nhuận gộp cao ~ 18.9%</v>
      </c>
      <c r="R28" s="1274"/>
    </row>
    <row r="29" spans="1:18" ht="21.5" customHeight="1" x14ac:dyDescent="0.35">
      <c r="B29" s="1286" t="s">
        <v>328</v>
      </c>
      <c r="C29" s="1282">
        <f t="shared" ref="C29:D31" si="4">ROUND(INDEX($D$13:$O$22,MATCH($B29,$A$13:$A$22,0),MATCH(C$27,$D$12:$O$12,0)),0)</f>
        <v>249</v>
      </c>
      <c r="D29" s="1282">
        <f t="shared" si="4"/>
        <v>835</v>
      </c>
      <c r="E29" s="1283" t="str">
        <f t="shared" ref="E29:E31" si="5">IF(D29&gt;C29,"tăng: ","giảm: ")</f>
        <v xml:space="preserve">tăng: </v>
      </c>
      <c r="F29" s="1284">
        <f>INDEX('05.2. Chart _SKU'!$C$5:$N$16,MATCH('Cơ cấu bán rPET'!$B29,'05.2. Chart _SKU'!$B$5:$B$16,0),MATCH('Cơ cấu bán rPET'!$D$27,'05.2. Chart _SKU'!$C$4:$N$4,0))</f>
        <v>0.16399115585662979</v>
      </c>
      <c r="G29" s="1285" t="str">
        <f t="shared" ref="G29:G30" si="6">ROUND(F29*100,1)&amp;"%"</f>
        <v>16.4%</v>
      </c>
      <c r="H29" s="299" t="s">
        <v>1052</v>
      </c>
      <c r="J29" s="1273" t="str">
        <f t="shared" ref="J29:J30" si="7">"    -  "&amp;B29&amp;" "&amp;E29&amp;"T"&amp;$C$27&amp;" ~ "&amp;C29&amp;" tấn, "&amp;"T"&amp;$D$27&amp;" ~ "&amp;D29&amp;" tấn - sản phẩm này có % lợi nhuận gộp "&amp;H29&amp;" ~ "&amp;G29</f>
        <v xml:space="preserve">    -  iSS84G tăng: T7 ~ 249 tấn, T8 ~ 835 tấn - sản phẩm này có % lợi nhuận gộp cao ~ 16.4%</v>
      </c>
      <c r="R29" s="1274"/>
    </row>
    <row r="30" spans="1:18" ht="21.5" customHeight="1" x14ac:dyDescent="0.35">
      <c r="B30" s="1287" t="s">
        <v>312</v>
      </c>
      <c r="C30" s="1282">
        <f t="shared" si="4"/>
        <v>2068</v>
      </c>
      <c r="D30" s="1282">
        <f t="shared" si="4"/>
        <v>1771</v>
      </c>
      <c r="E30" s="1283" t="str">
        <f t="shared" si="5"/>
        <v xml:space="preserve">giảm: </v>
      </c>
      <c r="F30" s="1284">
        <f>INDEX('05.2. Chart _SKU'!$C$5:$N$16,MATCH('Cơ cấu bán rPET'!$B30,'05.2. Chart _SKU'!$B$5:$B$16,0),MATCH('Cơ cấu bán rPET'!$D$27,'05.2. Chart _SKU'!$C$4:$N$4,0))</f>
        <v>9.1940520547106414E-2</v>
      </c>
      <c r="G30" s="1285" t="str">
        <f t="shared" si="6"/>
        <v>9.2%</v>
      </c>
      <c r="H30" s="299"/>
      <c r="J30" s="1275" t="str">
        <f t="shared" si="7"/>
        <v xml:space="preserve">    -  WSS01G giảm: T7 ~ 2068 tấn, T8 ~ 1771 tấn - sản phẩm này có % lợi nhuận gộp  ~ 9.2%</v>
      </c>
      <c r="K30" s="1276"/>
      <c r="L30" s="1276"/>
      <c r="M30" s="1276"/>
      <c r="N30" s="1276"/>
      <c r="O30" s="1276"/>
      <c r="P30" s="1276"/>
      <c r="Q30" s="1276"/>
      <c r="R30" s="1277"/>
    </row>
    <row r="31" spans="1:18" x14ac:dyDescent="0.35">
      <c r="B31" s="299" t="s">
        <v>95</v>
      </c>
      <c r="C31" s="1282">
        <f t="shared" si="4"/>
        <v>568</v>
      </c>
      <c r="D31" s="1282">
        <f t="shared" si="4"/>
        <v>321</v>
      </c>
      <c r="E31" s="1283" t="str">
        <f t="shared" si="5"/>
        <v xml:space="preserve">giảm: </v>
      </c>
      <c r="F31" s="1284" t="e">
        <f>INDEX('05.2. Chart _SKU'!$C$5:$N$16,MATCH('Cơ cấu bán rPET'!$B31,'05.2. Chart _SKU'!$B$5:$B$16,0),MATCH('Cơ cấu bán rPET'!$D$27,'05.2. Chart _SKU'!$C$4:$N$4,0))</f>
        <v>#N/A</v>
      </c>
      <c r="G31" s="299"/>
      <c r="H31" s="299"/>
    </row>
    <row r="33" spans="2:2" ht="28" customHeight="1" x14ac:dyDescent="0.35"/>
    <row r="34" spans="2:2" ht="28" customHeight="1" x14ac:dyDescent="0.45">
      <c r="B34" s="1048" t="s">
        <v>1054</v>
      </c>
    </row>
    <row r="35" spans="2:2" s="185" customFormat="1" ht="19.5" customHeight="1" x14ac:dyDescent="0.35">
      <c r="B35" s="185" t="s">
        <v>1053</v>
      </c>
    </row>
    <row r="36" spans="2:2" s="185" customFormat="1" ht="15.5" customHeight="1" x14ac:dyDescent="0.35">
      <c r="B36" s="185" t="s">
        <v>1055</v>
      </c>
    </row>
    <row r="37" spans="2:2" s="185" customFormat="1" ht="15.5" customHeight="1" x14ac:dyDescent="0.35">
      <c r="B37" s="185" t="s">
        <v>1056</v>
      </c>
    </row>
    <row r="38" spans="2:2" s="185" customFormat="1" ht="15.5" customHeight="1" x14ac:dyDescent="0.35">
      <c r="B38" s="185" t="s">
        <v>1057</v>
      </c>
    </row>
  </sheetData>
  <conditionalFormatting sqref="B19:B24">
    <cfRule type="duplicateValues" dxfId="53" priority="1"/>
    <cfRule type="duplicateValues" dxfId="52" priority="2"/>
    <cfRule type="duplicateValues" dxfId="51" priority="3"/>
  </conditionalFormatting>
  <pageMargins left="0.7" right="0.7" top="0.75" bottom="0.75" header="0.3" footer="0.3"/>
  <pageSetup orientation="portrait" horizontalDpi="200" verticalDpi="200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8E1FC-49E0-4733-88F5-43326DB698B0}">
  <sheetPr>
    <tabColor rgb="FF00B050"/>
  </sheetPr>
  <dimension ref="A1:R144"/>
  <sheetViews>
    <sheetView showGridLines="0" zoomScale="85" zoomScaleNormal="85" workbookViewId="0">
      <pane ySplit="2" topLeftCell="A132" activePane="bottomLeft" state="frozen"/>
      <selection pane="bottomLeft" activeCell="J145" sqref="J145"/>
    </sheetView>
  </sheetViews>
  <sheetFormatPr defaultRowHeight="14.5" outlineLevelRow="1" x14ac:dyDescent="0.35"/>
  <cols>
    <col min="1" max="1" width="6.6328125" customWidth="1"/>
    <col min="2" max="2" width="10.90625" customWidth="1"/>
    <col min="3" max="3" width="24.08984375" customWidth="1"/>
    <col min="4" max="4" width="9.81640625" bestFit="1" customWidth="1"/>
    <col min="5" max="5" width="8.54296875" customWidth="1"/>
    <col min="6" max="6" width="7.1796875" bestFit="1" customWidth="1"/>
    <col min="7" max="7" width="9.81640625" bestFit="1" customWidth="1"/>
    <col min="8" max="8" width="12.54296875" customWidth="1"/>
    <col min="9" max="9" width="13.1796875" customWidth="1"/>
    <col min="10" max="10" width="10.453125" customWidth="1"/>
    <col min="11" max="11" width="11.36328125" customWidth="1"/>
    <col min="12" max="12" width="12" customWidth="1"/>
    <col min="13" max="13" width="12.08984375" customWidth="1"/>
    <col min="14" max="14" width="13.08984375" customWidth="1"/>
    <col min="15" max="15" width="12.1796875" customWidth="1"/>
    <col min="16" max="16" width="12.81640625" bestFit="1" customWidth="1"/>
    <col min="17" max="18" width="13.1796875" customWidth="1"/>
  </cols>
  <sheetData>
    <row r="1" spans="1:18" ht="21" x14ac:dyDescent="0.5">
      <c r="A1" s="528" t="s">
        <v>587</v>
      </c>
      <c r="C1" s="297" t="s">
        <v>561</v>
      </c>
      <c r="J1" t="s">
        <v>562</v>
      </c>
    </row>
    <row r="3" spans="1:18" ht="18.5" x14ac:dyDescent="0.45">
      <c r="B3" s="362" t="s">
        <v>437</v>
      </c>
      <c r="C3" s="363">
        <v>1</v>
      </c>
      <c r="D3" s="363"/>
    </row>
    <row r="4" spans="1:18" ht="5" customHeight="1" x14ac:dyDescent="0.35"/>
    <row r="5" spans="1:18" ht="15.5" hidden="1" outlineLevel="1" x14ac:dyDescent="0.35">
      <c r="A5" s="367" t="s">
        <v>287</v>
      </c>
      <c r="B5" s="350" t="str">
        <f>"TOP SKU CÓ SẢN LƯỢNG BÁN CAO NHẤT THÁNG "&amp;C3&amp;".2025"</f>
        <v>TOP SKU CÓ SẢN LƯỢNG BÁN CAO NHẤT THÁNG 1.2025</v>
      </c>
      <c r="O5" s="389" t="s">
        <v>438</v>
      </c>
      <c r="P5" s="390">
        <f>HLOOKUP(C3,'02. Tỷ giá'!$B$4:$M$5,2,0)</f>
        <v>24910</v>
      </c>
    </row>
    <row r="6" spans="1:18" ht="6" hidden="1" customHeight="1" outlineLevel="1" x14ac:dyDescent="0.35"/>
    <row r="7" spans="1:18" s="349" customFormat="1" ht="43.5" hidden="1" outlineLevel="1" x14ac:dyDescent="0.35">
      <c r="A7" s="351" t="s">
        <v>174</v>
      </c>
      <c r="B7" s="351" t="s">
        <v>422</v>
      </c>
      <c r="C7" s="351" t="s">
        <v>423</v>
      </c>
      <c r="D7" s="351" t="s">
        <v>411</v>
      </c>
      <c r="E7" s="351" t="s">
        <v>424</v>
      </c>
      <c r="F7" s="351" t="s">
        <v>300</v>
      </c>
      <c r="G7" s="351" t="s">
        <v>426</v>
      </c>
      <c r="H7" s="351" t="s">
        <v>428</v>
      </c>
      <c r="I7" s="351" t="s">
        <v>425</v>
      </c>
      <c r="J7" s="394" t="s">
        <v>430</v>
      </c>
      <c r="K7" s="394" t="s">
        <v>431</v>
      </c>
      <c r="L7" s="394" t="s">
        <v>433</v>
      </c>
      <c r="M7" s="394" t="s">
        <v>435</v>
      </c>
      <c r="N7" s="351" t="s">
        <v>294</v>
      </c>
      <c r="O7" s="361" t="s">
        <v>427</v>
      </c>
      <c r="P7" s="361" t="s">
        <v>429</v>
      </c>
      <c r="Q7" s="361" t="s">
        <v>432</v>
      </c>
      <c r="R7" s="361" t="s">
        <v>434</v>
      </c>
    </row>
    <row r="8" spans="1:18" hidden="1" outlineLevel="1" x14ac:dyDescent="0.35">
      <c r="A8" s="320">
        <v>1</v>
      </c>
      <c r="B8" s="309" t="s">
        <v>110</v>
      </c>
      <c r="C8" s="309" t="s">
        <v>369</v>
      </c>
      <c r="D8" s="453" t="s">
        <v>283</v>
      </c>
      <c r="E8" s="345">
        <f>INDEX('05. BC BH THEO SKU-USD'!$CL$5:$CX$72,MATCH('05.1. Top 5 SKU'!$B8,'05. BC BH THEO SKU-USD'!$D$5:$D$72,0),MATCH('05.1. Top 5 SKU'!$C$3,'05. BC BH THEO SKU-USD'!$CM$4:$CX$4,0))</f>
        <v>16286.224999999999</v>
      </c>
      <c r="F8" s="353">
        <f>E8/$E$19</f>
        <v>0.42805813500065298</v>
      </c>
      <c r="G8" s="345">
        <f>O8*$P$5/10^6</f>
        <v>84652.881414000003</v>
      </c>
      <c r="H8" s="345">
        <f>P8*$P$5/10^6</f>
        <v>12766.010948000005</v>
      </c>
      <c r="I8" s="353">
        <f>H8/G8</f>
        <v>0.15080421049777457</v>
      </c>
      <c r="J8" s="345">
        <f>_xlfn.XLOOKUP($B8,'05. BC BH THEO SKU-USD'!$D:$D,'05. BC BH THEO SKU-USD'!CL:CL)</f>
        <v>16286.224999999999</v>
      </c>
      <c r="K8" s="346">
        <f>Q8*$P$5/10^6</f>
        <v>501018.38984280516</v>
      </c>
      <c r="L8" s="346">
        <f>R8*$P$5/10^6</f>
        <v>67593.550659752538</v>
      </c>
      <c r="M8" s="353">
        <f>L8/K8</f>
        <v>0.13491231465767167</v>
      </c>
      <c r="N8" s="309"/>
      <c r="O8" s="345">
        <f>INDEX('05. BC BH THEO SKU-USD'!$DA$5:$DL$72,MATCH('05.1. Top 5 SKU'!$B8,'05. BC BH THEO SKU-USD'!$D$5:$D$72,0),MATCH('05.1. Top 5 SKU'!$C$3,'05. BC BH THEO SKU-USD'!$DA$4:$DL$4,0))</f>
        <v>3398349.3140907264</v>
      </c>
      <c r="P8" s="345">
        <f>INDEX('05. BC BH THEO SKU-USD'!$DO$5:$DZ$72,MATCH('05.1. Top 5 SKU'!$B8,'05. BC BH THEO SKU-USD'!$D$5:$D$72,0),MATCH('05.1. Top 5 SKU'!$C$3,'05. BC BH THEO SKU-USD'!$DO$4:$DZ$4,0))</f>
        <v>512485.38530710572</v>
      </c>
      <c r="Q8" s="346">
        <f>_xlfn.XLOOKUP($B8,'05. BC BH THEO SKU-USD'!$D:$D,'05. BC BH THEO SKU-USD'!$CZ:$CZ)</f>
        <v>20113142.90818166</v>
      </c>
      <c r="R8" s="346">
        <f>_xlfn.XLOOKUP($B8,'05. BC BH THEO SKU-USD'!$D:$D,'05. BC BH THEO SKU-USD'!$DN:$DN)</f>
        <v>2713510.6647833213</v>
      </c>
    </row>
    <row r="9" spans="1:18" hidden="1" outlineLevel="1" x14ac:dyDescent="0.35">
      <c r="A9" s="322">
        <v>2</v>
      </c>
      <c r="B9" s="310" t="s">
        <v>127</v>
      </c>
      <c r="C9" s="310" t="s">
        <v>114</v>
      </c>
      <c r="D9" s="454" t="s">
        <v>283</v>
      </c>
      <c r="E9" s="346">
        <f>INDEX('05. BC BH THEO SKU-USD'!$CL$5:$CX$72,MATCH('05.1. Top 5 SKU'!$B9,'05. BC BH THEO SKU-USD'!$D$5:$D$72,0),MATCH('05.1. Top 5 SKU'!$C$3,'05. BC BH THEO SKU-USD'!$CM$4:$CX$4,0))</f>
        <v>4362.5938999999998</v>
      </c>
      <c r="F9" s="354">
        <f t="shared" ref="F9:F14" si="0">E9/$E$19</f>
        <v>0.11466400645939899</v>
      </c>
      <c r="G9" s="346">
        <f t="shared" ref="G9:H14" si="1">O9*$P$5/10^6</f>
        <v>14104.096885000001</v>
      </c>
      <c r="H9" s="346">
        <f t="shared" si="1"/>
        <v>3395.8826089999989</v>
      </c>
      <c r="I9" s="354">
        <f t="shared" ref="I9:I14" si="2">H9/G9</f>
        <v>0.24077277947598263</v>
      </c>
      <c r="J9" s="346">
        <f>_xlfn.XLOOKUP($B9,'05. BC BH THEO SKU-USD'!D:D,'05. BC BH THEO SKU-USD'!CL:CL)</f>
        <v>4362.5938999999998</v>
      </c>
      <c r="K9" s="346">
        <f t="shared" ref="K9:K14" si="3">Q9*$P$5/10^6</f>
        <v>152536.35275652912</v>
      </c>
      <c r="L9" s="346">
        <f>R9*$P$5/10^6</f>
        <v>31027.467487173402</v>
      </c>
      <c r="M9" s="354">
        <f t="shared" ref="M9:M14" si="4">L9/K9</f>
        <v>0.20341031450186758</v>
      </c>
      <c r="N9" s="310"/>
      <c r="O9" s="346">
        <f>INDEX('05. BC BH THEO SKU-USD'!$DA$5:$DL$72,MATCH('05.1. Top 5 SKU'!$B9,'05. BC BH THEO SKU-USD'!$D$5:$D$72,0),MATCH('05.1. Top 5 SKU'!$C$3,'05. BC BH THEO SKU-USD'!$DA$4:$DL$4,0))</f>
        <v>566202.20333199517</v>
      </c>
      <c r="P9" s="346">
        <f>INDEX('05. BC BH THEO SKU-USD'!$DO$5:$DZ$72,MATCH('05.1. Top 5 SKU'!$B9,'05. BC BH THEO SKU-USD'!$D$5:$D$72,0),MATCH('05.1. Top 5 SKU'!$C$3,'05. BC BH THEO SKU-USD'!$DO$4:$DZ$4,0))</f>
        <v>136326.07824166998</v>
      </c>
      <c r="Q9" s="346">
        <f>_xlfn.XLOOKUP($B9,'05. BC BH THEO SKU-USD'!$D:$D,'05. BC BH THEO SKU-USD'!$CZ:$CZ)</f>
        <v>6123498.7056013299</v>
      </c>
      <c r="R9" s="346">
        <f>_xlfn.XLOOKUP($B9,'05. BC BH THEO SKU-USD'!$D:$D,'05. BC BH THEO SKU-USD'!$DN:$DN)</f>
        <v>1245582.7975581454</v>
      </c>
    </row>
    <row r="10" spans="1:18" hidden="1" outlineLevel="1" x14ac:dyDescent="0.35">
      <c r="A10" s="322">
        <v>3</v>
      </c>
      <c r="B10" s="310" t="s">
        <v>100</v>
      </c>
      <c r="C10" s="310" t="s">
        <v>368</v>
      </c>
      <c r="D10" s="454" t="s">
        <v>283</v>
      </c>
      <c r="E10" s="346">
        <f>INDEX('05. BC BH THEO SKU-USD'!$CL$5:$CX$72,MATCH('05.1. Top 5 SKU'!$B10,'05. BC BH THEO SKU-USD'!$D$5:$D$72,0),MATCH('05.1. Top 5 SKU'!$C$3,'05. BC BH THEO SKU-USD'!$CM$4:$CX$4,0))</f>
        <v>10568.135799999998</v>
      </c>
      <c r="F10" s="354">
        <f t="shared" si="0"/>
        <v>0.27776703938338282</v>
      </c>
      <c r="G10" s="346">
        <f t="shared" si="1"/>
        <v>5111.0534200000002</v>
      </c>
      <c r="H10" s="346">
        <f t="shared" si="1"/>
        <v>896.16418800000076</v>
      </c>
      <c r="I10" s="354">
        <f t="shared" si="2"/>
        <v>0.17533845067892104</v>
      </c>
      <c r="J10" s="346">
        <f>_xlfn.XLOOKUP($B10,'05. BC BH THEO SKU-USD'!D:D,'05. BC BH THEO SKU-USD'!CL:CL)</f>
        <v>10568.135799999998</v>
      </c>
      <c r="K10" s="346">
        <f t="shared" si="3"/>
        <v>335640.07257220283</v>
      </c>
      <c r="L10" s="346">
        <f t="shared" ref="L10:L14" si="5">R10*$P$5/10^6</f>
        <v>64387.054503116902</v>
      </c>
      <c r="M10" s="354">
        <f t="shared" si="4"/>
        <v>0.19183363300359785</v>
      </c>
      <c r="N10" s="310"/>
      <c r="O10" s="346">
        <f>INDEX('05. BC BH THEO SKU-USD'!$DA$5:$DL$72,MATCH('05.1. Top 5 SKU'!$B10,'05. BC BH THEO SKU-USD'!$D$5:$D$72,0),MATCH('05.1. Top 5 SKU'!$C$3,'05. BC BH THEO SKU-USD'!$DA$4:$DL$4,0))</f>
        <v>205180.78763548774</v>
      </c>
      <c r="P10" s="346">
        <f>INDEX('05. BC BH THEO SKU-USD'!$DO$5:$DZ$72,MATCH('05.1. Top 5 SKU'!$B10,'05. BC BH THEO SKU-USD'!$D$5:$D$72,0),MATCH('05.1. Top 5 SKU'!$C$3,'05. BC BH THEO SKU-USD'!$DO$4:$DZ$4,0))</f>
        <v>35976.081413087144</v>
      </c>
      <c r="Q10" s="346">
        <f>_xlfn.XLOOKUP($B10,'05. BC BH THEO SKU-USD'!$D:$D,'05. BC BH THEO SKU-USD'!$CZ:$CZ)</f>
        <v>13474109.697800193</v>
      </c>
      <c r="R10" s="346">
        <f>_xlfn.XLOOKUP($B10,'05. BC BH THEO SKU-USD'!$D:$D,'05. BC BH THEO SKU-USD'!$DN:$DN)</f>
        <v>2584787.414818021</v>
      </c>
    </row>
    <row r="11" spans="1:18" hidden="1" outlineLevel="1" x14ac:dyDescent="0.35">
      <c r="A11" s="322">
        <v>4</v>
      </c>
      <c r="B11" s="310" t="s">
        <v>69</v>
      </c>
      <c r="C11" s="310" t="s">
        <v>64</v>
      </c>
      <c r="D11" s="454" t="s">
        <v>480</v>
      </c>
      <c r="E11" s="346">
        <f>INDEX('05. BC BH THEO SKU-USD'!$CL$5:$CX$72,MATCH('05.1. Top 5 SKU'!$B11,'05. BC BH THEO SKU-USD'!$D$5:$D$72,0),MATCH('05.1. Top 5 SKU'!$C$3,'05. BC BH THEO SKU-USD'!$CM$4:$CX$4,0))</f>
        <v>962.30000000000007</v>
      </c>
      <c r="F11" s="354">
        <f t="shared" si="0"/>
        <v>2.5292561247995067E-2</v>
      </c>
      <c r="G11" s="346">
        <f t="shared" si="1"/>
        <v>3702.0549000000001</v>
      </c>
      <c r="H11" s="346">
        <f t="shared" si="1"/>
        <v>754.14728500000069</v>
      </c>
      <c r="I11" s="354">
        <f t="shared" si="2"/>
        <v>0.20371045415885125</v>
      </c>
      <c r="J11" s="346">
        <f>_xlfn.XLOOKUP($B11,'05. BC BH THEO SKU-USD'!D:D,'05. BC BH THEO SKU-USD'!CL:CL)</f>
        <v>962.30000000000007</v>
      </c>
      <c r="K11" s="346">
        <f t="shared" si="3"/>
        <v>33102.628043349439</v>
      </c>
      <c r="L11" s="346">
        <f t="shared" si="5"/>
        <v>7260.1974914588263</v>
      </c>
      <c r="M11" s="354">
        <f t="shared" si="4"/>
        <v>0.21932390026408954</v>
      </c>
      <c r="N11" s="310"/>
      <c r="O11" s="346">
        <f>INDEX('05. BC BH THEO SKU-USD'!$DA$5:$DL$72,MATCH('05.1. Top 5 SKU'!$B11,'05. BC BH THEO SKU-USD'!$D$5:$D$72,0),MATCH('05.1. Top 5 SKU'!$C$3,'05. BC BH THEO SKU-USD'!$DA$4:$DL$4,0))</f>
        <v>148617.21798474508</v>
      </c>
      <c r="P11" s="346">
        <f>INDEX('05. BC BH THEO SKU-USD'!$DO$5:$DZ$72,MATCH('05.1. Top 5 SKU'!$B11,'05. BC BH THEO SKU-USD'!$D$5:$D$72,0),MATCH('05.1. Top 5 SKU'!$C$3,'05. BC BH THEO SKU-USD'!$DO$4:$DZ$4,0))</f>
        <v>30274.88097149742</v>
      </c>
      <c r="Q11" s="346">
        <f>_xlfn.XLOOKUP($B11,'05. BC BH THEO SKU-USD'!$D:$D,'05. BC BH THEO SKU-USD'!$CZ:$CZ)</f>
        <v>1328889.1225752484</v>
      </c>
      <c r="R11" s="346">
        <f>_xlfn.XLOOKUP($B11,'05. BC BH THEO SKU-USD'!$D:$D,'05. BC BH THEO SKU-USD'!$DN:$DN)</f>
        <v>291457.14538172726</v>
      </c>
    </row>
    <row r="12" spans="1:18" hidden="1" outlineLevel="1" x14ac:dyDescent="0.35">
      <c r="A12" s="322">
        <v>5</v>
      </c>
      <c r="B12" s="310" t="s">
        <v>122</v>
      </c>
      <c r="C12" s="310" t="s">
        <v>121</v>
      </c>
      <c r="D12" s="454" t="s">
        <v>283</v>
      </c>
      <c r="E12" s="346">
        <f>INDEX('05. BC BH THEO SKU-USD'!$CL$5:$CX$72,MATCH('05.1. Top 5 SKU'!$B12,'05. BC BH THEO SKU-USD'!$D$5:$D$72,0),MATCH('05.1. Top 5 SKU'!$C$3,'05. BC BH THEO SKU-USD'!$CM$4:$CX$4,0))</f>
        <v>22</v>
      </c>
      <c r="F12" s="354">
        <f t="shared" si="0"/>
        <v>5.7823583856997959E-4</v>
      </c>
      <c r="G12" s="346">
        <f t="shared" si="1"/>
        <v>718.44049199999995</v>
      </c>
      <c r="H12" s="346">
        <f>P12*$P$5/10^6</f>
        <v>93.030601999999988</v>
      </c>
      <c r="I12" s="354">
        <f t="shared" si="2"/>
        <v>0.12948964185053199</v>
      </c>
      <c r="J12" s="346">
        <f>_xlfn.XLOOKUP($B12,'05. BC BH THEO SKU-USD'!D:D,'05. BC BH THEO SKU-USD'!CL:CL)</f>
        <v>22</v>
      </c>
      <c r="K12" s="346">
        <f t="shared" si="3"/>
        <v>718.44049199999995</v>
      </c>
      <c r="L12" s="346">
        <f t="shared" si="5"/>
        <v>93.030601999999988</v>
      </c>
      <c r="M12" s="354">
        <f t="shared" si="4"/>
        <v>0.12948964185053199</v>
      </c>
      <c r="N12" s="310"/>
      <c r="O12" s="346">
        <f>INDEX('05. BC BH THEO SKU-USD'!$DA$5:$DL$72,MATCH('05.1. Top 5 SKU'!$B12,'05. BC BH THEO SKU-USD'!$D$5:$D$72,0),MATCH('05.1. Top 5 SKU'!$C$3,'05. BC BH THEO SKU-USD'!$DA$4:$DL$4,0))</f>
        <v>28841.448896025693</v>
      </c>
      <c r="P12" s="346">
        <f>INDEX('05. BC BH THEO SKU-USD'!$DO$5:$DZ$72,MATCH('05.1. Top 5 SKU'!$B12,'05. BC BH THEO SKU-USD'!$D$5:$D$72,0),MATCH('05.1. Top 5 SKU'!$C$3,'05. BC BH THEO SKU-USD'!$DO$4:$DZ$4,0))</f>
        <v>3734.6688879967878</v>
      </c>
      <c r="Q12" s="346">
        <f>_xlfn.XLOOKUP($B12,'05. BC BH THEO SKU-USD'!$D:$D,'05. BC BH THEO SKU-USD'!$CZ:$CZ)</f>
        <v>28841.448896025693</v>
      </c>
      <c r="R12" s="346">
        <f>_xlfn.XLOOKUP($B12,'05. BC BH THEO SKU-USD'!$D:$D,'05. BC BH THEO SKU-USD'!$DN:$DN)</f>
        <v>3734.6688879967878</v>
      </c>
    </row>
    <row r="13" spans="1:18" hidden="1" outlineLevel="1" x14ac:dyDescent="0.35">
      <c r="A13" s="322">
        <v>6</v>
      </c>
      <c r="B13" s="310" t="s">
        <v>75</v>
      </c>
      <c r="C13" s="310" t="s">
        <v>74</v>
      </c>
      <c r="D13" s="454" t="s">
        <v>480</v>
      </c>
      <c r="E13" s="346">
        <f>INDEX('05. BC BH THEO SKU-USD'!$CL$5:$CX$72,MATCH('05.1. Top 5 SKU'!$B13,'05. BC BH THEO SKU-USD'!$D$5:$D$72,0),MATCH('05.1. Top 5 SKU'!$C$3,'05. BC BH THEO SKU-USD'!$CM$4:$CX$4,0))</f>
        <v>297</v>
      </c>
      <c r="F13" s="354">
        <f t="shared" si="0"/>
        <v>7.8061838206947252E-3</v>
      </c>
      <c r="G13" s="346">
        <f t="shared" si="1"/>
        <v>754.38</v>
      </c>
      <c r="H13" s="346">
        <f t="shared" si="1"/>
        <v>199.19958</v>
      </c>
      <c r="I13" s="354">
        <f t="shared" si="2"/>
        <v>0.26405734510458917</v>
      </c>
      <c r="J13" s="346">
        <f>_xlfn.XLOOKUP($B13,'05. BC BH THEO SKU-USD'!D:D,'05. BC BH THEO SKU-USD'!CL:CL)</f>
        <v>297</v>
      </c>
      <c r="K13" s="346">
        <f t="shared" si="3"/>
        <v>9739.8255395878405</v>
      </c>
      <c r="L13" s="346">
        <f t="shared" si="5"/>
        <v>1944.926156865537</v>
      </c>
      <c r="M13" s="354">
        <f t="shared" si="4"/>
        <v>0.19968798711643457</v>
      </c>
      <c r="N13" s="310"/>
      <c r="O13" s="346">
        <f>INDEX('05. BC BH THEO SKU-USD'!$DA$5:$DL$72,MATCH('05.1. Top 5 SKU'!$B13,'05. BC BH THEO SKU-USD'!$D$5:$D$72,0),MATCH('05.1. Top 5 SKU'!$C$3,'05. BC BH THEO SKU-USD'!$DA$4:$DL$4,0))</f>
        <v>30284.223203532718</v>
      </c>
      <c r="P13" s="346">
        <f>INDEX('05. BC BH THEO SKU-USD'!$DO$5:$DZ$72,MATCH('05.1. Top 5 SKU'!$B13,'05. BC BH THEO SKU-USD'!$D$5:$D$72,0),MATCH('05.1. Top 5 SKU'!$C$3,'05. BC BH THEO SKU-USD'!$DO$4:$DZ$4,0))</f>
        <v>7996.7715776796467</v>
      </c>
      <c r="Q13" s="346">
        <f>_xlfn.XLOOKUP($B13,'05. BC BH THEO SKU-USD'!$D:$D,'05. BC BH THEO SKU-USD'!$CZ:$CZ)</f>
        <v>391000.62382929912</v>
      </c>
      <c r="R13" s="346">
        <f>_xlfn.XLOOKUP($B13,'05. BC BH THEO SKU-USD'!$D:$D,'05. BC BH THEO SKU-USD'!$DN:$DN)</f>
        <v>78078.127533742954</v>
      </c>
    </row>
    <row r="14" spans="1:18" hidden="1" outlineLevel="1" x14ac:dyDescent="0.35">
      <c r="A14" s="322">
        <v>7</v>
      </c>
      <c r="B14" s="310" t="s">
        <v>187</v>
      </c>
      <c r="C14" s="310" t="s">
        <v>188</v>
      </c>
      <c r="D14" s="454" t="s">
        <v>480</v>
      </c>
      <c r="E14" s="346">
        <f>INDEX('05. BC BH THEO SKU-USD'!$CL$5:$CX$72,MATCH('05.1. Top 5 SKU'!$B14,'05. BC BH THEO SKU-USD'!$D$5:$D$72,0),MATCH('05.1. Top 5 SKU'!$C$3,'05. BC BH THEO SKU-USD'!$CM$4:$CX$4,0))</f>
        <v>275.3</v>
      </c>
      <c r="F14" s="354">
        <f t="shared" si="0"/>
        <v>7.2358330162870634E-3</v>
      </c>
      <c r="G14" s="346">
        <f t="shared" si="1"/>
        <v>759.10230000000001</v>
      </c>
      <c r="H14" s="346">
        <f t="shared" si="1"/>
        <v>19.839412000000017</v>
      </c>
      <c r="I14" s="354">
        <f t="shared" si="2"/>
        <v>2.6135360148427975E-2</v>
      </c>
      <c r="J14" s="346">
        <f>_xlfn.XLOOKUP($B14,'05. BC BH THEO SKU-USD'!D:D,'05. BC BH THEO SKU-USD'!CL:CL)</f>
        <v>275.3</v>
      </c>
      <c r="K14" s="346">
        <f t="shared" si="3"/>
        <v>8792.8562472175163</v>
      </c>
      <c r="L14" s="346">
        <f t="shared" si="5"/>
        <v>-1149.7753498510019</v>
      </c>
      <c r="M14" s="354">
        <f t="shared" si="4"/>
        <v>-0.13076244140973489</v>
      </c>
      <c r="N14" s="310"/>
      <c r="O14" s="346">
        <f>INDEX('05. BC BH THEO SKU-USD'!$DA$5:$DL$72,MATCH('05.1. Top 5 SKU'!$B14,'05. BC BH THEO SKU-USD'!$D$5:$D$72,0),MATCH('05.1. Top 5 SKU'!$C$3,'05. BC BH THEO SKU-USD'!$DA$4:$DL$4,0))</f>
        <v>30473.797671617824</v>
      </c>
      <c r="P14" s="346">
        <f>INDEX('05. BC BH THEO SKU-USD'!$DO$5:$DZ$72,MATCH('05.1. Top 5 SKU'!$B14,'05. BC BH THEO SKU-USD'!$D$5:$D$72,0),MATCH('05.1. Top 5 SKU'!$C$3,'05. BC BH THEO SKU-USD'!$DO$4:$DZ$4,0))</f>
        <v>796.44367723805772</v>
      </c>
      <c r="Q14" s="346">
        <f>_xlfn.XLOOKUP($B14,'05. BC BH THEO SKU-USD'!$D:$D,'05. BC BH THEO SKU-USD'!$CZ:$CZ)</f>
        <v>352984.99587384646</v>
      </c>
      <c r="R14" s="346">
        <f>_xlfn.XLOOKUP($B14,'05. BC BH THEO SKU-USD'!$D:$D,'05. BC BH THEO SKU-USD'!$DN:$DN)</f>
        <v>-46157.179841469369</v>
      </c>
    </row>
    <row r="15" spans="1:18" hidden="1" outlineLevel="1" x14ac:dyDescent="0.35">
      <c r="A15" s="322">
        <v>8</v>
      </c>
      <c r="B15" s="310"/>
      <c r="C15" s="310"/>
      <c r="D15" s="310"/>
      <c r="E15" s="310"/>
      <c r="F15" s="354"/>
      <c r="G15" s="310"/>
      <c r="H15" s="310"/>
      <c r="I15" s="354"/>
      <c r="J15" s="310"/>
      <c r="K15" s="310"/>
      <c r="L15" s="310"/>
      <c r="M15" s="354"/>
      <c r="N15" s="310"/>
      <c r="O15" s="310"/>
      <c r="P15" s="310"/>
      <c r="Q15" s="346"/>
      <c r="R15" s="310"/>
    </row>
    <row r="16" spans="1:18" hidden="1" outlineLevel="1" x14ac:dyDescent="0.35">
      <c r="A16" s="322">
        <v>9</v>
      </c>
      <c r="B16" s="310"/>
      <c r="C16" s="310"/>
      <c r="D16" s="310"/>
      <c r="E16" s="310"/>
      <c r="F16" s="354"/>
      <c r="G16" s="310"/>
      <c r="H16" s="310"/>
      <c r="I16" s="354"/>
      <c r="J16" s="310"/>
      <c r="K16" s="310"/>
      <c r="L16" s="310"/>
      <c r="M16" s="354"/>
      <c r="N16" s="310"/>
      <c r="O16" s="310"/>
      <c r="P16" s="310"/>
      <c r="Q16" s="346"/>
      <c r="R16" s="310"/>
    </row>
    <row r="17" spans="1:18" hidden="1" outlineLevel="1" x14ac:dyDescent="0.35">
      <c r="A17" s="352">
        <v>10</v>
      </c>
      <c r="B17" s="311"/>
      <c r="C17" s="311"/>
      <c r="D17" s="311"/>
      <c r="E17" s="311"/>
      <c r="F17" s="355"/>
      <c r="G17" s="311"/>
      <c r="H17" s="311"/>
      <c r="I17" s="355"/>
      <c r="J17" s="311"/>
      <c r="K17" s="311"/>
      <c r="L17" s="311"/>
      <c r="M17" s="355"/>
      <c r="N17" s="311"/>
      <c r="O17" s="311"/>
      <c r="P17" s="311"/>
      <c r="Q17" s="311"/>
      <c r="R17" s="311"/>
    </row>
    <row r="18" spans="1:18" hidden="1" outlineLevel="1" x14ac:dyDescent="0.35">
      <c r="A18" s="356"/>
      <c r="B18" s="357"/>
      <c r="C18" s="358" t="s">
        <v>436</v>
      </c>
      <c r="D18" s="358"/>
      <c r="E18" s="385">
        <f>SUM(E8:E17)</f>
        <v>32773.554699999993</v>
      </c>
      <c r="F18" s="360">
        <f t="shared" ref="F18:M18" si="6">SUM(F8:F17)</f>
        <v>0.86140199476698154</v>
      </c>
      <c r="G18" s="385">
        <f t="shared" si="6"/>
        <v>109802.00941100001</v>
      </c>
      <c r="H18" s="385">
        <f t="shared" si="6"/>
        <v>18124.274624000005</v>
      </c>
      <c r="I18" s="360"/>
      <c r="J18" s="385">
        <f t="shared" si="6"/>
        <v>32773.554699999993</v>
      </c>
      <c r="K18" s="385">
        <f t="shared" si="6"/>
        <v>1041548.5654936921</v>
      </c>
      <c r="L18" s="385">
        <f t="shared" si="6"/>
        <v>171156.45155051621</v>
      </c>
      <c r="M18" s="360">
        <f t="shared" si="6"/>
        <v>0.94789534998445835</v>
      </c>
      <c r="N18" s="359"/>
      <c r="O18" s="385">
        <f>SUM(O8:O17)</f>
        <v>4407948.9928141301</v>
      </c>
      <c r="P18" s="385">
        <f>SUM(P8:P17)</f>
        <v>727590.31007627491</v>
      </c>
      <c r="Q18" s="385">
        <f>SUM(Q8:Q17)</f>
        <v>41812467.502757601</v>
      </c>
      <c r="R18" s="385">
        <f>SUM(R8:R17)</f>
        <v>6870993.6391214859</v>
      </c>
    </row>
    <row r="19" spans="1:18" hidden="1" outlineLevel="1" x14ac:dyDescent="0.35">
      <c r="A19" s="381"/>
      <c r="B19" s="381" t="s">
        <v>370</v>
      </c>
      <c r="C19" s="381"/>
      <c r="D19" s="381"/>
      <c r="E19" s="384">
        <f>INDEX('05. BC BH THEO SKU-USD'!$CL$5:$CX$72,MATCH('05.1. Top 5 SKU'!$B19,'05. BC BH THEO SKU-USD'!$D$5:$D$72,0),MATCH('05.1. Top 5 SKU'!$C$3,'05. BC BH THEO SKU-USD'!$CM$4:$CX$4,0))</f>
        <v>38046.759699999988</v>
      </c>
      <c r="F19" s="382"/>
      <c r="G19" s="381"/>
      <c r="H19" s="381"/>
      <c r="I19" s="382"/>
      <c r="J19" s="381"/>
      <c r="K19" s="381"/>
      <c r="L19" s="381"/>
      <c r="M19" s="382"/>
      <c r="N19" s="383"/>
      <c r="O19" s="384">
        <f>INDEX('05. BC BH THEO SKU-USD'!$DA$5:$DL$72,MATCH('05.1. Top 5 SKU'!$B19,'05. BC BH THEO SKU-USD'!$D$5:$D$72,0),MATCH('05.1. Top 5 SKU'!$C$3,'05. BC BH THEO SKU-USD'!$DA$4:$DL$4,0))</f>
        <v>4454931.6018065037</v>
      </c>
      <c r="P19" s="381"/>
      <c r="Q19" s="381"/>
      <c r="R19" s="381"/>
    </row>
    <row r="20" spans="1:18" hidden="1" outlineLevel="1" x14ac:dyDescent="0.35"/>
    <row r="21" spans="1:18" collapsed="1" x14ac:dyDescent="0.35"/>
    <row r="23" spans="1:18" ht="18.5" x14ac:dyDescent="0.45">
      <c r="B23" s="362" t="s">
        <v>437</v>
      </c>
      <c r="C23" s="363">
        <v>2</v>
      </c>
      <c r="D23" s="363"/>
    </row>
    <row r="24" spans="1:18" ht="5" customHeight="1" x14ac:dyDescent="0.35"/>
    <row r="25" spans="1:18" ht="15.5" hidden="1" outlineLevel="1" x14ac:dyDescent="0.35">
      <c r="A25" s="367" t="s">
        <v>287</v>
      </c>
      <c r="B25" s="350" t="str">
        <f>"TOP 5 SKU CÓ SẢN LƯỢNG BÁN CAO NHẤT THÁNG "&amp;C23&amp;".2025"</f>
        <v>TOP 5 SKU CÓ SẢN LƯỢNG BÁN CAO NHẤT THÁNG 2.2025</v>
      </c>
      <c r="O25" s="389" t="s">
        <v>438</v>
      </c>
      <c r="P25" s="390">
        <f>HLOOKUP(C23,'02. Tỷ giá'!$B$4:$M$5,2,0)</f>
        <v>25390</v>
      </c>
    </row>
    <row r="26" spans="1:18" ht="6" hidden="1" customHeight="1" outlineLevel="1" x14ac:dyDescent="0.35"/>
    <row r="27" spans="1:18" s="349" customFormat="1" ht="43.5" hidden="1" outlineLevel="1" x14ac:dyDescent="0.35">
      <c r="A27" s="351" t="s">
        <v>174</v>
      </c>
      <c r="B27" s="351" t="s">
        <v>422</v>
      </c>
      <c r="C27" s="351" t="s">
        <v>423</v>
      </c>
      <c r="D27" s="351" t="s">
        <v>411</v>
      </c>
      <c r="E27" s="351" t="s">
        <v>424</v>
      </c>
      <c r="F27" s="351" t="s">
        <v>300</v>
      </c>
      <c r="G27" s="351" t="s">
        <v>426</v>
      </c>
      <c r="H27" s="351" t="s">
        <v>428</v>
      </c>
      <c r="I27" s="351" t="s">
        <v>425</v>
      </c>
      <c r="J27" s="394" t="s">
        <v>430</v>
      </c>
      <c r="K27" s="394" t="s">
        <v>431</v>
      </c>
      <c r="L27" s="394" t="s">
        <v>433</v>
      </c>
      <c r="M27" s="394" t="s">
        <v>435</v>
      </c>
      <c r="N27" s="351" t="s">
        <v>294</v>
      </c>
      <c r="O27" s="361" t="s">
        <v>427</v>
      </c>
      <c r="P27" s="361" t="s">
        <v>429</v>
      </c>
      <c r="Q27" s="361" t="s">
        <v>432</v>
      </c>
      <c r="R27" s="361" t="s">
        <v>434</v>
      </c>
    </row>
    <row r="28" spans="1:18" hidden="1" outlineLevel="1" x14ac:dyDescent="0.35">
      <c r="A28" s="320">
        <v>1</v>
      </c>
      <c r="B28" s="309" t="s">
        <v>110</v>
      </c>
      <c r="C28" s="309" t="s">
        <v>369</v>
      </c>
      <c r="D28" s="425" t="str">
        <f>_xlfn.XLOOKUP(B28,'05. BC BH THEO SKU-USD'!$D$5:$D$72,'05. BC BH THEO SKU-USD'!$B$5:$B$72,0)</f>
        <v xml:space="preserve"> rPET</v>
      </c>
      <c r="E28" s="345">
        <f>INDEX('05. BC BH THEO SKU-USD'!$CL$5:$CX$72,MATCH('05.1. Top 5 SKU'!$B28,'05. BC BH THEO SKU-USD'!$D$5:$D$72,0),MATCH('05.1. Top 5 SKU'!$C$23,'05. BC BH THEO SKU-USD'!$CL$4:$CX$4,0))</f>
        <v>2172.5</v>
      </c>
      <c r="F28" s="353">
        <f>E28/E35</f>
        <v>0.3966822935448972</v>
      </c>
      <c r="G28" s="345">
        <f>O28*$P$25/10^6</f>
        <v>70203.830606999996</v>
      </c>
      <c r="H28" s="345">
        <f>P28*$P$25/10^6</f>
        <v>14259.577172999994</v>
      </c>
      <c r="I28" s="353">
        <f>H28/G28</f>
        <v>0.20311679647261552</v>
      </c>
      <c r="J28" s="345">
        <f>_xlfn.XLOOKUP($B28,'05. BC BH THEO SKU-USD'!$D:$D,'05. BC BH THEO SKU-USD'!CL:CL)</f>
        <v>16286.224999999999</v>
      </c>
      <c r="K28" s="346">
        <f>Q28*$P$5/10^6</f>
        <v>501018.38984280516</v>
      </c>
      <c r="L28" s="346">
        <f>R28*$P$5/10^6</f>
        <v>67593.550659752538</v>
      </c>
      <c r="M28" s="353">
        <f>L28/K28</f>
        <v>0.13491231465767167</v>
      </c>
      <c r="N28" s="309"/>
      <c r="O28" s="345">
        <f>INDEX('05. BC BH THEO SKU-USD'!$DA$5:$DL$72,MATCH('05.1. Top 5 SKU'!$B28,'05. BC BH THEO SKU-USD'!$D$5:$D$72,0),MATCH('05.1. Top 5 SKU'!C23,'05. BC BH THEO SKU-USD'!$DA$4:$DL$4,0))</f>
        <v>2765018.9289877904</v>
      </c>
      <c r="P28" s="345">
        <f>INDEX('05. BC BH THEO SKU-USD'!$DO$5:$DZ$72,MATCH('05.1. Top 5 SKU'!$B28,'05. BC BH THEO SKU-USD'!$D$5:$D$72,0),MATCH('05.1. Top 5 SKU'!C23,'05. BC BH THEO SKU-USD'!$DO$4:$DZ$4,0))</f>
        <v>561621.78704214236</v>
      </c>
      <c r="Q28" s="346">
        <f>_xlfn.XLOOKUP($B28,'05. BC BH THEO SKU-USD'!$D:$D,'05. BC BH THEO SKU-USD'!$CZ:$CZ)</f>
        <v>20113142.90818166</v>
      </c>
      <c r="R28" s="346">
        <f>_xlfn.XLOOKUP($B28,'05. BC BH THEO SKU-USD'!$D:$D,'05. BC BH THEO SKU-USD'!$DN:$DN)</f>
        <v>2713510.6647833213</v>
      </c>
    </row>
    <row r="29" spans="1:18" hidden="1" outlineLevel="1" x14ac:dyDescent="0.35">
      <c r="A29" s="322">
        <v>2</v>
      </c>
      <c r="B29" s="310" t="s">
        <v>100</v>
      </c>
      <c r="C29" s="310" t="s">
        <v>368</v>
      </c>
      <c r="D29" s="425" t="str">
        <f>_xlfn.XLOOKUP(B29,'05. BC BH THEO SKU-USD'!$D$5:$D$72,'05. BC BH THEO SKU-USD'!$B$5:$B$72,0)</f>
        <v xml:space="preserve"> rPET</v>
      </c>
      <c r="E29" s="346">
        <f>INDEX('05. BC BH THEO SKU-USD'!$CL$5:$CX$72,MATCH('05.1. Top 5 SKU'!$B29,'05. BC BH THEO SKU-USD'!$D$5:$D$72,0),MATCH('05.1. Top 5 SKU'!$C$23,'05. BC BH THEO SKU-USD'!$CL$4:$CX$4,0))</f>
        <v>2270.4</v>
      </c>
      <c r="F29" s="354">
        <f>E29/E35</f>
        <v>0.41455810322869258</v>
      </c>
      <c r="G29" s="346">
        <f t="shared" ref="G29:G32" si="7">O29*$P$25/10^6</f>
        <v>74560.011108000006</v>
      </c>
      <c r="H29" s="346">
        <f t="shared" ref="H29:H32" si="8">P29*$P$25/10^6</f>
        <v>14858.222908111105</v>
      </c>
      <c r="I29" s="354">
        <f t="shared" ref="I29:I32" si="9">H29/G29</f>
        <v>0.19927871103169503</v>
      </c>
      <c r="J29" s="346">
        <f>_xlfn.XLOOKUP($B29,'05. BC BH THEO SKU-USD'!D:D,'05. BC BH THEO SKU-USD'!CL:CL)</f>
        <v>10568.135799999998</v>
      </c>
      <c r="K29" s="346">
        <f t="shared" ref="K29:K32" si="10">Q29*$P$5/10^6</f>
        <v>335640.07257220283</v>
      </c>
      <c r="L29" s="346">
        <f>R29*$P$5/10^6</f>
        <v>64387.054503116902</v>
      </c>
      <c r="M29" s="354">
        <f t="shared" ref="M29:M32" si="11">L29/K29</f>
        <v>0.19183363300359785</v>
      </c>
      <c r="N29" s="310"/>
      <c r="O29" s="346">
        <f>INDEX('05. BC BH THEO SKU-USD'!$DA$5:$DL$72,MATCH('05.1. Top 5 SKU'!$B29,'05. BC BH THEO SKU-USD'!$D$5:$D$72,0),MATCH('05.1. Top 5 SKU'!C23,'05. BC BH THEO SKU-USD'!$DA$4:$DL$4,0))</f>
        <v>2936589.6458448209</v>
      </c>
      <c r="P29" s="346">
        <f>INDEX('05. BC BH THEO SKU-USD'!$DO$5:$DZ$72,MATCH('05.1. Top 5 SKU'!$B29,'05. BC BH THEO SKU-USD'!$D$5:$D$72,0),MATCH('05.1. Top 5 SKU'!C23,'05. BC BH THEO SKU-USD'!$DO$4:$DZ$4,0))</f>
        <v>585199.79945297772</v>
      </c>
      <c r="Q29" s="346">
        <f>_xlfn.XLOOKUP($B29,'05. BC BH THEO SKU-USD'!$D:$D,'05. BC BH THEO SKU-USD'!$CZ:$CZ)</f>
        <v>13474109.697800193</v>
      </c>
      <c r="R29" s="346">
        <f>_xlfn.XLOOKUP($B29,'05. BC BH THEO SKU-USD'!$D:$D,'05. BC BH THEO SKU-USD'!$DN:$DN)</f>
        <v>2584787.414818021</v>
      </c>
    </row>
    <row r="30" spans="1:18" hidden="1" outlineLevel="1" x14ac:dyDescent="0.35">
      <c r="A30" s="322">
        <v>3</v>
      </c>
      <c r="B30" s="310" t="s">
        <v>127</v>
      </c>
      <c r="C30" s="310" t="s">
        <v>114</v>
      </c>
      <c r="D30" s="425" t="str">
        <f>_xlfn.XLOOKUP(B30,'05. BC BH THEO SKU-USD'!$D$5:$D$72,'05. BC BH THEO SKU-USD'!$B$5:$B$72,0)</f>
        <v xml:space="preserve"> rPET</v>
      </c>
      <c r="E30" s="346">
        <f>INDEX('05. BC BH THEO SKU-USD'!$CL$5:$CX$72,MATCH('05.1. Top 5 SKU'!$B30,'05. BC BH THEO SKU-USD'!$D$5:$D$72,0),MATCH('05.1. Top 5 SKU'!$C$23,'05. BC BH THEO SKU-USD'!$CL$4:$CX$4,0))</f>
        <v>660</v>
      </c>
      <c r="F30" s="354">
        <f>E30/E35</f>
        <v>0.12051107651996877</v>
      </c>
      <c r="G30" s="346">
        <f t="shared" si="7"/>
        <v>23844.885527999999</v>
      </c>
      <c r="H30" s="346">
        <f t="shared" si="8"/>
        <v>5804.8871704444482</v>
      </c>
      <c r="I30" s="354">
        <f t="shared" si="9"/>
        <v>0.24344370047941832</v>
      </c>
      <c r="J30" s="346">
        <f>_xlfn.XLOOKUP($B30,'05. BC BH THEO SKU-USD'!D:D,'05. BC BH THEO SKU-USD'!CL:CL)</f>
        <v>4362.5938999999998</v>
      </c>
      <c r="K30" s="346">
        <f t="shared" si="10"/>
        <v>152536.35275652912</v>
      </c>
      <c r="L30" s="346">
        <f t="shared" ref="L30:L32" si="12">R30*$P$5/10^6</f>
        <v>31027.467487173402</v>
      </c>
      <c r="M30" s="354">
        <f t="shared" si="11"/>
        <v>0.20341031450186758</v>
      </c>
      <c r="N30" s="310"/>
      <c r="O30" s="346">
        <f>INDEX('05. BC BH THEO SKU-USD'!$DA$5:$DL$72,MATCH('05.1. Top 5 SKU'!$B30,'05. BC BH THEO SKU-USD'!$D$5:$D$72,0),MATCH('05.1. Top 5 SKU'!C23,'05. BC BH THEO SKU-USD'!$DA$4:$DL$4,0))</f>
        <v>939144.76282000786</v>
      </c>
      <c r="P30" s="346">
        <f>INDEX('05. BC BH THEO SKU-USD'!$DO$5:$DZ$72,MATCH('05.1. Top 5 SKU'!$B30,'05. BC BH THEO SKU-USD'!$D$5:$D$72,0),MATCH('05.1. Top 5 SKU'!C23,'05. BC BH THEO SKU-USD'!$DO$4:$DZ$4,0))</f>
        <v>228628.87634676835</v>
      </c>
      <c r="Q30" s="346">
        <f>_xlfn.XLOOKUP($B30,'05. BC BH THEO SKU-USD'!$D:$D,'05. BC BH THEO SKU-USD'!$CZ:$CZ)</f>
        <v>6123498.7056013299</v>
      </c>
      <c r="R30" s="346">
        <f>_xlfn.XLOOKUP($B30,'05. BC BH THEO SKU-USD'!$D:$D,'05. BC BH THEO SKU-USD'!$DN:$DN)</f>
        <v>1245582.7975581454</v>
      </c>
    </row>
    <row r="31" spans="1:18" hidden="1" outlineLevel="1" x14ac:dyDescent="0.35">
      <c r="A31" s="322">
        <v>4</v>
      </c>
      <c r="B31" s="310" t="s">
        <v>69</v>
      </c>
      <c r="C31" s="310" t="s">
        <v>64</v>
      </c>
      <c r="D31" s="425" t="str">
        <f>_xlfn.XLOOKUP(B31,'05. BC BH THEO SKU-USD'!$D$5:$D$72,'05. BC BH THEO SKU-USD'!$B$5:$B$72,0)</f>
        <v>rHDPE thổi</v>
      </c>
      <c r="E31" s="346">
        <f>INDEX('05. BC BH THEO SKU-USD'!$CL$5:$CX$72,MATCH('05.1. Top 5 SKU'!$B31,'05. BC BH THEO SKU-USD'!$D$5:$D$72,0),MATCH('05.1. Top 5 SKU'!$C$23,'05. BC BH THEO SKU-USD'!$CL$4:$CX$4,0))</f>
        <v>104.5</v>
      </c>
      <c r="F31" s="354">
        <f>E31/E35</f>
        <v>1.9080920448995054E-2</v>
      </c>
      <c r="G31" s="346">
        <f t="shared" si="7"/>
        <v>3736.59</v>
      </c>
      <c r="H31" s="346">
        <f t="shared" si="8"/>
        <v>798.05834051851912</v>
      </c>
      <c r="I31" s="354">
        <f t="shared" si="9"/>
        <v>0.21357931710958897</v>
      </c>
      <c r="J31" s="346">
        <f>_xlfn.XLOOKUP($B31,'05. BC BH THEO SKU-USD'!D:D,'05. BC BH THEO SKU-USD'!CL:CL)</f>
        <v>962.30000000000007</v>
      </c>
      <c r="K31" s="346">
        <f t="shared" si="10"/>
        <v>33102.628043349439</v>
      </c>
      <c r="L31" s="346">
        <f t="shared" si="12"/>
        <v>7260.1974914588263</v>
      </c>
      <c r="M31" s="354">
        <f t="shared" si="11"/>
        <v>0.21932390026408954</v>
      </c>
      <c r="N31" s="310"/>
      <c r="O31" s="346">
        <f>INDEX('05. BC BH THEO SKU-USD'!$DA$5:$DL$72,MATCH('05.1. Top 5 SKU'!$B31,'05. BC BH THEO SKU-USD'!$D$5:$D$72,0),MATCH('05.1. Top 5 SKU'!C23,'05. BC BH THEO SKU-USD'!$DA$4:$DL$4,0))</f>
        <v>147167.78259157148</v>
      </c>
      <c r="P31" s="346">
        <f>INDEX('05. BC BH THEO SKU-USD'!$DO$5:$DZ$72,MATCH('05.1. Top 5 SKU'!$B31,'05. BC BH THEO SKU-USD'!$D$5:$D$72,0),MATCH('05.1. Top 5 SKU'!C23,'05. BC BH THEO SKU-USD'!$DO$4:$DZ$4,0))</f>
        <v>31431.9945064403</v>
      </c>
      <c r="Q31" s="346">
        <f>_xlfn.XLOOKUP($B31,'05. BC BH THEO SKU-USD'!$D:$D,'05. BC BH THEO SKU-USD'!$CZ:$CZ)</f>
        <v>1328889.1225752484</v>
      </c>
      <c r="R31" s="346">
        <f>_xlfn.XLOOKUP($B31,'05. BC BH THEO SKU-USD'!$D:$D,'05. BC BH THEO SKU-USD'!$DN:$DN)</f>
        <v>291457.14538172726</v>
      </c>
    </row>
    <row r="32" spans="1:18" hidden="1" outlineLevel="1" x14ac:dyDescent="0.35">
      <c r="A32" s="322">
        <v>5</v>
      </c>
      <c r="B32" s="310" t="s">
        <v>102</v>
      </c>
      <c r="C32" s="310" t="s">
        <v>101</v>
      </c>
      <c r="D32" s="425" t="str">
        <f>_xlfn.XLOOKUP(B32,'05. BC BH THEO SKU-USD'!$D$5:$D$72,'05. BC BH THEO SKU-USD'!$B$5:$B$72,0)</f>
        <v xml:space="preserve"> rPET</v>
      </c>
      <c r="E32" s="346">
        <f>INDEX('05. BC BH THEO SKU-USD'!$CL$5:$CX$72,MATCH('05.1. Top 5 SKU'!$B32,'05. BC BH THEO SKU-USD'!$D$5:$D$72,0),MATCH('05.1. Top 5 SKU'!$C$23,'05. BC BH THEO SKU-USD'!$CL$4:$CX$4,0))</f>
        <v>45.1</v>
      </c>
      <c r="F32" s="354">
        <f>E32/E35</f>
        <v>8.2349235621978663E-3</v>
      </c>
      <c r="G32" s="346">
        <f t="shared" si="7"/>
        <v>1258.6199999999999</v>
      </c>
      <c r="H32" s="346">
        <f t="shared" si="8"/>
        <v>42.526703000000097</v>
      </c>
      <c r="I32" s="354">
        <f t="shared" si="9"/>
        <v>3.3788357884031797E-2</v>
      </c>
      <c r="J32" s="346">
        <f>_xlfn.XLOOKUP($B32,'05. BC BH THEO SKU-USD'!D:D,'05. BC BH THEO SKU-USD'!CL:CL)</f>
        <v>1411.05</v>
      </c>
      <c r="K32" s="346">
        <f t="shared" si="10"/>
        <v>38362.153046060739</v>
      </c>
      <c r="L32" s="346">
        <f t="shared" si="12"/>
        <v>3097.9983740488119</v>
      </c>
      <c r="M32" s="354">
        <f t="shared" si="11"/>
        <v>8.0756634548876896E-2</v>
      </c>
      <c r="N32" s="310"/>
      <c r="O32" s="346">
        <f>INDEX('05. BC BH THEO SKU-USD'!$DA$5:$DL$72,MATCH('05.1. Top 5 SKU'!$B32,'05. BC BH THEO SKU-USD'!$D$5:$D$72,0),MATCH('05.1. Top 5 SKU'!C23,'05. BC BH THEO SKU-USD'!$DA$4:$DL$4,0))</f>
        <v>49571.484836549818</v>
      </c>
      <c r="P32" s="346">
        <f>INDEX('05. BC BH THEO SKU-USD'!$DO$5:$DZ$72,MATCH('05.1. Top 5 SKU'!$B32,'05. BC BH THEO SKU-USD'!$D$5:$D$72,0),MATCH('05.1. Top 5 SKU'!C23,'05. BC BH THEO SKU-USD'!$DO$4:$DZ$4,0))</f>
        <v>1674.9390705002006</v>
      </c>
      <c r="Q32" s="346">
        <f>_xlfn.XLOOKUP($B32,'05. BC BH THEO SKU-USD'!$D:$D,'05. BC BH THEO SKU-USD'!$CZ:$CZ)</f>
        <v>1540030.2306728519</v>
      </c>
      <c r="R32" s="346">
        <f>_xlfn.XLOOKUP($B32,'05. BC BH THEO SKU-USD'!$D:$D,'05. BC BH THEO SKU-USD'!$DN:$DN)</f>
        <v>124367.65853267009</v>
      </c>
    </row>
    <row r="33" spans="1:18" hidden="1" outlineLevel="1" x14ac:dyDescent="0.35">
      <c r="A33" s="352"/>
      <c r="B33" s="311"/>
      <c r="C33" s="311"/>
      <c r="D33" s="311"/>
      <c r="E33" s="311"/>
      <c r="F33" s="355"/>
      <c r="G33" s="311"/>
      <c r="H33" s="311"/>
      <c r="I33" s="355"/>
      <c r="J33" s="311"/>
      <c r="K33" s="311"/>
      <c r="L33" s="311"/>
      <c r="M33" s="355"/>
      <c r="N33" s="311"/>
      <c r="O33" s="311"/>
      <c r="P33" s="311"/>
      <c r="Q33" s="311"/>
      <c r="R33" s="311"/>
    </row>
    <row r="34" spans="1:18" hidden="1" outlineLevel="1" x14ac:dyDescent="0.35">
      <c r="A34" s="356"/>
      <c r="B34" s="357"/>
      <c r="C34" s="358" t="s">
        <v>436</v>
      </c>
      <c r="D34" s="358"/>
      <c r="E34" s="385">
        <f>SUM(E28:E33)</f>
        <v>5252.5</v>
      </c>
      <c r="F34" s="360">
        <f>SUM(F28:F33)</f>
        <v>0.95906731730475137</v>
      </c>
      <c r="G34" s="385">
        <f>SUM(G28:G33)</f>
        <v>173603.93724299999</v>
      </c>
      <c r="H34" s="385">
        <f>SUM(H28:H33)</f>
        <v>35763.272295074064</v>
      </c>
      <c r="I34" s="360"/>
      <c r="J34" s="385">
        <f>SUM(J28:J33)</f>
        <v>33590.304699999993</v>
      </c>
      <c r="K34" s="385">
        <f>SUM(K28:K33)</f>
        <v>1060659.5962609474</v>
      </c>
      <c r="L34" s="385">
        <f>SUM(L28:L33)</f>
        <v>173366.26851555047</v>
      </c>
      <c r="M34" s="360">
        <f>SUM(M28:M33)</f>
        <v>0.83023679697610353</v>
      </c>
      <c r="N34" s="359"/>
      <c r="O34" s="385">
        <f>SUM(O28:O33)</f>
        <v>6837492.6050807396</v>
      </c>
      <c r="P34" s="385">
        <f>SUM(P28:P33)</f>
        <v>1408557.396418829</v>
      </c>
      <c r="Q34" s="385">
        <f>SUM(Q28:Q33)</f>
        <v>42579670.664831281</v>
      </c>
      <c r="R34" s="385">
        <f>SUM(R28:R33)</f>
        <v>6959705.6810738845</v>
      </c>
    </row>
    <row r="35" spans="1:18" hidden="1" outlineLevel="1" x14ac:dyDescent="0.35">
      <c r="A35" s="381"/>
      <c r="B35" s="381" t="s">
        <v>370</v>
      </c>
      <c r="C35" s="381"/>
      <c r="D35" s="381"/>
      <c r="E35" s="384">
        <f>INDEX('05. BC BH THEO SKU-USD'!$CL$5:$CX$72,MATCH('05.1. Top 5 SKU'!$B35,'05. BC BH THEO SKU-USD'!$D$5:$D$72,0),MATCH('05.1. Top 5 SKU'!$C$23,'05. BC BH THEO SKU-USD'!$CL$4:$CX$4,0))</f>
        <v>5476.6750000000002</v>
      </c>
      <c r="F35" s="382"/>
      <c r="G35" s="381"/>
      <c r="H35" s="381"/>
      <c r="I35" s="382"/>
      <c r="J35" s="381"/>
      <c r="K35" s="381"/>
      <c r="L35" s="381"/>
      <c r="M35" s="382"/>
      <c r="N35" s="383"/>
      <c r="O35" s="384">
        <f>INDEX('05. BC BH THEO SKU-USD'!$DA$5:$DL$72,MATCH('05.1. Top 5 SKU'!$B35,'05. BC BH THEO SKU-USD'!$D$5:$D$72,0),MATCH('05.1. Top 5 SKU'!$C$3,'05. BC BH THEO SKU-USD'!$DA$4:$DL$4,0))</f>
        <v>4454931.6018065037</v>
      </c>
      <c r="P35" s="381"/>
      <c r="Q35" s="381"/>
      <c r="R35" s="381"/>
    </row>
    <row r="36" spans="1:18" hidden="1" outlineLevel="1" x14ac:dyDescent="0.35"/>
    <row r="37" spans="1:18" hidden="1" outlineLevel="1" x14ac:dyDescent="0.35"/>
    <row r="38" spans="1:18" collapsed="1" x14ac:dyDescent="0.35"/>
    <row r="39" spans="1:18" ht="18.5" x14ac:dyDescent="0.45">
      <c r="B39" s="362" t="s">
        <v>437</v>
      </c>
      <c r="C39" s="363">
        <v>3</v>
      </c>
      <c r="D39" s="363"/>
    </row>
    <row r="40" spans="1:18" ht="5" customHeight="1" x14ac:dyDescent="0.35"/>
    <row r="41" spans="1:18" ht="15.5" hidden="1" outlineLevel="1" x14ac:dyDescent="0.35">
      <c r="A41" s="367" t="s">
        <v>287</v>
      </c>
      <c r="B41" s="350" t="str">
        <f>"TOP 5 SKU CÓ SẢN LƯỢNG BÁN CAO NHẤT THÁNG "&amp;C39&amp;".2025"</f>
        <v>TOP 5 SKU CÓ SẢN LƯỢNG BÁN CAO NHẤT THÁNG 3.2025</v>
      </c>
      <c r="O41" s="389" t="s">
        <v>438</v>
      </c>
      <c r="P41" s="390">
        <f>HLOOKUP(C39,'02. Tỷ giá'!$B$4:$M$5,2,0)</f>
        <v>25400</v>
      </c>
    </row>
    <row r="42" spans="1:18" ht="6" hidden="1" customHeight="1" outlineLevel="1" x14ac:dyDescent="0.35"/>
    <row r="43" spans="1:18" s="349" customFormat="1" ht="43.5" hidden="1" outlineLevel="1" x14ac:dyDescent="0.35">
      <c r="A43" s="351" t="s">
        <v>174</v>
      </c>
      <c r="B43" s="351" t="s">
        <v>422</v>
      </c>
      <c r="C43" s="351" t="s">
        <v>423</v>
      </c>
      <c r="D43" s="351" t="s">
        <v>411</v>
      </c>
      <c r="E43" s="351" t="s">
        <v>424</v>
      </c>
      <c r="F43" s="351" t="s">
        <v>300</v>
      </c>
      <c r="G43" s="351" t="s">
        <v>426</v>
      </c>
      <c r="H43" s="351" t="s">
        <v>428</v>
      </c>
      <c r="I43" s="351" t="s">
        <v>425</v>
      </c>
      <c r="J43" s="394" t="s">
        <v>430</v>
      </c>
      <c r="K43" s="394" t="s">
        <v>431</v>
      </c>
      <c r="L43" s="394" t="s">
        <v>433</v>
      </c>
      <c r="M43" s="394" t="s">
        <v>435</v>
      </c>
      <c r="N43" s="351" t="s">
        <v>294</v>
      </c>
      <c r="O43" s="361" t="s">
        <v>427</v>
      </c>
      <c r="P43" s="361" t="s">
        <v>429</v>
      </c>
      <c r="Q43" s="361" t="s">
        <v>432</v>
      </c>
      <c r="R43" s="361" t="s">
        <v>434</v>
      </c>
    </row>
    <row r="44" spans="1:18" hidden="1" outlineLevel="1" x14ac:dyDescent="0.35">
      <c r="A44" s="320">
        <v>1</v>
      </c>
      <c r="B44" s="309" t="s">
        <v>110</v>
      </c>
      <c r="C44" s="309" t="s">
        <v>369</v>
      </c>
      <c r="D44" s="425" t="str">
        <f>_xlfn.XLOOKUP(B44,'05. BC BH THEO SKU-USD'!$D$5:$D$72,'05. BC BH THEO SKU-USD'!$B$5:$B$72,0)</f>
        <v xml:space="preserve"> rPET</v>
      </c>
      <c r="E44" s="345">
        <f>INDEX('05. BC BH THEO SKU-USD'!$CL$5:$CX$72,MATCH('05.1. Top 5 SKU'!$B44,'05. BC BH THEO SKU-USD'!$D$5:$D$72,0),MATCH('05.1. Top 5 SKU'!C39,'05. BC BH THEO SKU-USD'!$CL$4:$CX$4,0))</f>
        <v>1581.7</v>
      </c>
      <c r="F44" s="353">
        <f>E44/E51</f>
        <v>0.34534557482996908</v>
      </c>
      <c r="G44" s="345">
        <f>O44*$P$41/10^6</f>
        <v>50542.523515000008</v>
      </c>
      <c r="H44" s="345">
        <f>P44*$P$41/10^6</f>
        <v>7984.2780631750029</v>
      </c>
      <c r="I44" s="353">
        <f>H44/G44</f>
        <v>0.15797149623535178</v>
      </c>
      <c r="J44" s="345">
        <f>_xlfn.XLOOKUP($B44,'05. BC BH THEO SKU-USD'!$D:$D,'05. BC BH THEO SKU-USD'!CL:CL)</f>
        <v>16286.224999999999</v>
      </c>
      <c r="K44" s="346">
        <f>Q44*$P$5/10^6</f>
        <v>501018.38984280516</v>
      </c>
      <c r="L44" s="346">
        <f>R44*$P$5/10^6</f>
        <v>67593.550659752538</v>
      </c>
      <c r="M44" s="353">
        <f>L44/K44</f>
        <v>0.13491231465767167</v>
      </c>
      <c r="N44" s="309"/>
      <c r="O44" s="345">
        <f>INDEX('05. BC BH THEO SKU-USD'!$DA$5:$DL$72,MATCH('05.1. Top 5 SKU'!$B44,'05. BC BH THEO SKU-USD'!$D$5:$D$72,0),MATCH('05.1. Top 5 SKU'!C39,'05. BC BH THEO SKU-USD'!$DA$4:$DL$4,0))</f>
        <v>1989863.1305118112</v>
      </c>
      <c r="P44" s="345">
        <f>INDEX('05. BC BH THEO SKU-USD'!$DO$5:$DZ$72,MATCH('05.1. Top 5 SKU'!$B44,'05. BC BH THEO SKU-USD'!$D$5:$D$72,0),MATCH('05.1. Top 5 SKU'!C39,'05. BC BH THEO SKU-USD'!$DO$4:$DZ$4,0))</f>
        <v>314341.65603051195</v>
      </c>
      <c r="Q44" s="346">
        <f>_xlfn.XLOOKUP($B44,'05. BC BH THEO SKU-USD'!$D:$D,'05. BC BH THEO SKU-USD'!$CZ:$CZ)</f>
        <v>20113142.90818166</v>
      </c>
      <c r="R44" s="346">
        <f>_xlfn.XLOOKUP($B44,'05. BC BH THEO SKU-USD'!$D:$D,'05. BC BH THEO SKU-USD'!$DN:$DN)</f>
        <v>2713510.6647833213</v>
      </c>
    </row>
    <row r="45" spans="1:18" hidden="1" outlineLevel="1" x14ac:dyDescent="0.35">
      <c r="A45" s="322">
        <v>2</v>
      </c>
      <c r="B45" s="310" t="s">
        <v>100</v>
      </c>
      <c r="C45" s="310" t="s">
        <v>368</v>
      </c>
      <c r="D45" s="425" t="str">
        <f>_xlfn.XLOOKUP(B45,'05. BC BH THEO SKU-USD'!$D$5:$D$72,'05. BC BH THEO SKU-USD'!$B$5:$B$72,0)</f>
        <v xml:space="preserve"> rPET</v>
      </c>
      <c r="E45" s="346">
        <f>INDEX('05. BC BH THEO SKU-USD'!$CL$5:$CX$72,MATCH('05.1. Top 5 SKU'!$B45,'05. BC BH THEO SKU-USD'!$D$5:$D$72,0),MATCH('05.1. Top 5 SKU'!C39,'05. BC BH THEO SKU-USD'!$CL$4:$CX$4,0))</f>
        <v>1786.4</v>
      </c>
      <c r="F45" s="354">
        <f>E45/E51</f>
        <v>0.39003941005010861</v>
      </c>
      <c r="G45" s="346">
        <f t="shared" ref="G45:G48" si="13">O45*$P$41/10^6</f>
        <v>57087.48157199999</v>
      </c>
      <c r="H45" s="346">
        <f t="shared" ref="H45:H48" si="14">P45*$P$41/10^6</f>
        <v>10722.842761460008</v>
      </c>
      <c r="I45" s="354">
        <f t="shared" ref="I45:I48" si="15">H45/G45</f>
        <v>0.187831770927504</v>
      </c>
      <c r="J45" s="346">
        <f>_xlfn.XLOOKUP($B45,'05. BC BH THEO SKU-USD'!D:D,'05. BC BH THEO SKU-USD'!CL:CL)</f>
        <v>10568.135799999998</v>
      </c>
      <c r="K45" s="346">
        <f t="shared" ref="K45:K48" si="16">Q45*$P$5/10^6</f>
        <v>335640.07257220283</v>
      </c>
      <c r="L45" s="346">
        <f>R45*$P$5/10^6</f>
        <v>64387.054503116902</v>
      </c>
      <c r="M45" s="354">
        <f t="shared" ref="M45:M48" si="17">L45/K45</f>
        <v>0.19183363300359785</v>
      </c>
      <c r="N45" s="310"/>
      <c r="O45" s="346">
        <f>INDEX('05. BC BH THEO SKU-USD'!$DA$5:$DL$72,MATCH('05.1. Top 5 SKU'!$B45,'05. BC BH THEO SKU-USD'!$D$5:$D$72,0),MATCH('05.1. Top 5 SKU'!C39,'05. BC BH THEO SKU-USD'!$DA$4:$DL$4,0))</f>
        <v>2247538.644566929</v>
      </c>
      <c r="P45" s="346">
        <f>INDEX('05. BC BH THEO SKU-USD'!$DO$5:$DZ$72,MATCH('05.1. Top 5 SKU'!$B45,'05. BC BH THEO SKU-USD'!$D$5:$D$72,0),MATCH('05.1. Top 5 SKU'!C39,'05. BC BH THEO SKU-USD'!$DO$4:$DZ$4,0))</f>
        <v>422159.16383700818</v>
      </c>
      <c r="Q45" s="346">
        <f>_xlfn.XLOOKUP($B45,'05. BC BH THEO SKU-USD'!$D:$D,'05. BC BH THEO SKU-USD'!$CZ:$CZ)</f>
        <v>13474109.697800193</v>
      </c>
      <c r="R45" s="346">
        <f>_xlfn.XLOOKUP($B45,'05. BC BH THEO SKU-USD'!$D:$D,'05. BC BH THEO SKU-USD'!$DN:$DN)</f>
        <v>2584787.414818021</v>
      </c>
    </row>
    <row r="46" spans="1:18" hidden="1" outlineLevel="1" x14ac:dyDescent="0.35">
      <c r="A46" s="322">
        <v>3</v>
      </c>
      <c r="B46" s="310" t="s">
        <v>127</v>
      </c>
      <c r="C46" s="310" t="s">
        <v>114</v>
      </c>
      <c r="D46" s="425" t="str">
        <f>_xlfn.XLOOKUP(B46,'05. BC BH THEO SKU-USD'!$D$5:$D$72,'05. BC BH THEO SKU-USD'!$B$5:$B$72,0)</f>
        <v xml:space="preserve"> rPET</v>
      </c>
      <c r="E46" s="346">
        <f>INDEX('05. BC BH THEO SKU-USD'!$CL$5:$CX$72,MATCH('05.1. Top 5 SKU'!$B46,'05. BC BH THEO SKU-USD'!$D$5:$D$72,0),MATCH('05.1. Top 5 SKU'!C39,'05. BC BH THEO SKU-USD'!$CL$4:$CX$4,0))</f>
        <v>419.1</v>
      </c>
      <c r="F46" s="354">
        <f>E46/E51</f>
        <v>9.1505551249440514E-2</v>
      </c>
      <c r="G46" s="346">
        <f t="shared" si="13"/>
        <v>14644.613988000003</v>
      </c>
      <c r="H46" s="346">
        <f t="shared" si="14"/>
        <v>3416.1012837592593</v>
      </c>
      <c r="I46" s="354">
        <f t="shared" si="15"/>
        <v>0.23326673455227018</v>
      </c>
      <c r="J46" s="346">
        <f>_xlfn.XLOOKUP($B46,'05. BC BH THEO SKU-USD'!D:D,'05. BC BH THEO SKU-USD'!CL:CL)</f>
        <v>4362.5938999999998</v>
      </c>
      <c r="K46" s="346">
        <f t="shared" si="16"/>
        <v>152536.35275652912</v>
      </c>
      <c r="L46" s="346">
        <f t="shared" ref="L46:L48" si="18">R46*$P$5/10^6</f>
        <v>31027.467487173402</v>
      </c>
      <c r="M46" s="354">
        <f t="shared" si="17"/>
        <v>0.20341031450186758</v>
      </c>
      <c r="N46" s="310"/>
      <c r="O46" s="346">
        <f>INDEX('05. BC BH THEO SKU-USD'!$DA$5:$DL$72,MATCH('05.1. Top 5 SKU'!$B46,'05. BC BH THEO SKU-USD'!$D$5:$D$72,0),MATCH('05.1. Top 5 SKU'!C39,'05. BC BH THEO SKU-USD'!$DA$4:$DL$4,0))</f>
        <v>576559.6058267717</v>
      </c>
      <c r="P46" s="346">
        <f>INDEX('05. BC BH THEO SKU-USD'!$DO$5:$DZ$72,MATCH('05.1. Top 5 SKU'!$B46,'05. BC BH THEO SKU-USD'!$D$5:$D$72,0),MATCH('05.1. Top 5 SKU'!C39,'05. BC BH THEO SKU-USD'!$DO$4:$DZ$4,0))</f>
        <v>134492.17652595509</v>
      </c>
      <c r="Q46" s="346">
        <f>_xlfn.XLOOKUP($B46,'05. BC BH THEO SKU-USD'!$D:$D,'05. BC BH THEO SKU-USD'!$CZ:$CZ)</f>
        <v>6123498.7056013299</v>
      </c>
      <c r="R46" s="346">
        <f>_xlfn.XLOOKUP($B46,'05. BC BH THEO SKU-USD'!$D:$D,'05. BC BH THEO SKU-USD'!$DN:$DN)</f>
        <v>1245582.7975581454</v>
      </c>
    </row>
    <row r="47" spans="1:18" hidden="1" outlineLevel="1" x14ac:dyDescent="0.35">
      <c r="A47" s="322">
        <v>4</v>
      </c>
      <c r="B47" s="310" t="s">
        <v>102</v>
      </c>
      <c r="C47" s="310" t="s">
        <v>101</v>
      </c>
      <c r="D47" s="425" t="str">
        <f>_xlfn.XLOOKUP(B47,'05. BC BH THEO SKU-USD'!$D$5:$D$72,'05. BC BH THEO SKU-USD'!$B$5:$B$72,0)</f>
        <v xml:space="preserve"> rPET</v>
      </c>
      <c r="E47" s="346">
        <f>INDEX('05. BC BH THEO SKU-USD'!$CL$5:$CX$72,MATCH('05.1. Top 5 SKU'!$B47,'05. BC BH THEO SKU-USD'!$D$5:$D$72,0),MATCH('05.1. Top 5 SKU'!C39,'05. BC BH THEO SKU-USD'!$CL$4:$CX$4,0))</f>
        <v>231</v>
      </c>
      <c r="F47" s="354">
        <f>E47/E51</f>
        <v>5.043613060992784E-2</v>
      </c>
      <c r="G47" s="346">
        <f t="shared" si="13"/>
        <v>6623.0383999999995</v>
      </c>
      <c r="H47" s="346">
        <f t="shared" si="14"/>
        <v>459.06036199999983</v>
      </c>
      <c r="I47" s="354">
        <f t="shared" si="15"/>
        <v>6.9312652935848873E-2</v>
      </c>
      <c r="J47" s="346">
        <f>_xlfn.XLOOKUP($B47,'05. BC BH THEO SKU-USD'!D:D,'05. BC BH THEO SKU-USD'!CL:CL)</f>
        <v>1411.05</v>
      </c>
      <c r="K47" s="346">
        <f t="shared" si="16"/>
        <v>38362.153046060739</v>
      </c>
      <c r="L47" s="346">
        <f t="shared" si="18"/>
        <v>3097.9983740488119</v>
      </c>
      <c r="M47" s="354">
        <f t="shared" si="17"/>
        <v>8.0756634548876896E-2</v>
      </c>
      <c r="N47" s="310"/>
      <c r="O47" s="346">
        <f>INDEX('05. BC BH THEO SKU-USD'!$DA$5:$DL$72,MATCH('05.1. Top 5 SKU'!$B47,'05. BC BH THEO SKU-USD'!$D$5:$D$72,0),MATCH('05.1. Top 5 SKU'!C39,'05. BC BH THEO SKU-USD'!$DA$4:$DL$4,0))</f>
        <v>260749.54330708657</v>
      </c>
      <c r="P47" s="346">
        <f>INDEX('05. BC BH THEO SKU-USD'!$DO$5:$DZ$72,MATCH('05.1. Top 5 SKU'!$B47,'05. BC BH THEO SKU-USD'!$D$5:$D$72,0),MATCH('05.1. Top 5 SKU'!C39,'05. BC BH THEO SKU-USD'!$DO$4:$DZ$4,0))</f>
        <v>18073.242598425189</v>
      </c>
      <c r="Q47" s="346">
        <f>_xlfn.XLOOKUP($B47,'05. BC BH THEO SKU-USD'!$D:$D,'05. BC BH THEO SKU-USD'!$CZ:$CZ)</f>
        <v>1540030.2306728519</v>
      </c>
      <c r="R47" s="346">
        <f>_xlfn.XLOOKUP($B47,'05. BC BH THEO SKU-USD'!$D:$D,'05. BC BH THEO SKU-USD'!$DN:$DN)</f>
        <v>124367.65853267009</v>
      </c>
    </row>
    <row r="48" spans="1:18" hidden="1" outlineLevel="1" x14ac:dyDescent="0.35">
      <c r="A48" s="322">
        <v>5</v>
      </c>
      <c r="B48" s="310" t="s">
        <v>69</v>
      </c>
      <c r="C48" s="310" t="s">
        <v>64</v>
      </c>
      <c r="D48" s="425" t="str">
        <f>_xlfn.XLOOKUP(B48,'05. BC BH THEO SKU-USD'!$D$5:$D$72,'05. BC BH THEO SKU-USD'!$B$5:$B$72,0)</f>
        <v>rHDPE thổi</v>
      </c>
      <c r="E48" s="346">
        <f>INDEX('05. BC BH THEO SKU-USD'!$CL$5:$CX$72,MATCH('05.1. Top 5 SKU'!$B48,'05. BC BH THEO SKU-USD'!$D$5:$D$72,0),MATCH('05.1. Top 5 SKU'!C39,'05. BC BH THEO SKU-USD'!$CL$4:$CX$4,0))</f>
        <v>122.375</v>
      </c>
      <c r="F48" s="354">
        <f>E48/E51</f>
        <v>2.671914062073558E-2</v>
      </c>
      <c r="G48" s="346">
        <f t="shared" si="13"/>
        <v>4373.6549999999997</v>
      </c>
      <c r="H48" s="346">
        <f t="shared" si="14"/>
        <v>932.15472455555607</v>
      </c>
      <c r="I48" s="354">
        <f t="shared" si="15"/>
        <v>0.21312945912641856</v>
      </c>
      <c r="J48" s="346">
        <f>_xlfn.XLOOKUP($B48,'05. BC BH THEO SKU-USD'!D:D,'05. BC BH THEO SKU-USD'!CL:CL)</f>
        <v>962.30000000000007</v>
      </c>
      <c r="K48" s="346">
        <f t="shared" si="16"/>
        <v>33102.628043349439</v>
      </c>
      <c r="L48" s="346">
        <f t="shared" si="18"/>
        <v>7260.1974914588263</v>
      </c>
      <c r="M48" s="354">
        <f t="shared" si="17"/>
        <v>0.21932390026408954</v>
      </c>
      <c r="N48" s="310"/>
      <c r="O48" s="346">
        <f>INDEX('05. BC BH THEO SKU-USD'!$DA$5:$DL$72,MATCH('05.1. Top 5 SKU'!$B48,'05. BC BH THEO SKU-USD'!$D$5:$D$72,0),MATCH('05.1. Top 5 SKU'!C39,'05. BC BH THEO SKU-USD'!$DA$4:$DL$4,0))</f>
        <v>172191.14173228346</v>
      </c>
      <c r="P48" s="346">
        <f>INDEX('05. BC BH THEO SKU-USD'!$DO$5:$DZ$72,MATCH('05.1. Top 5 SKU'!$B48,'05. BC BH THEO SKU-USD'!$D$5:$D$72,0),MATCH('05.1. Top 5 SKU'!C39,'05. BC BH THEO SKU-USD'!$DO$4:$DZ$4,0))</f>
        <v>36699.004903762048</v>
      </c>
      <c r="Q48" s="346">
        <f>_xlfn.XLOOKUP($B48,'05. BC BH THEO SKU-USD'!$D:$D,'05. BC BH THEO SKU-USD'!$CZ:$CZ)</f>
        <v>1328889.1225752484</v>
      </c>
      <c r="R48" s="346">
        <f>_xlfn.XLOOKUP($B48,'05. BC BH THEO SKU-USD'!$D:$D,'05. BC BH THEO SKU-USD'!$DN:$DN)</f>
        <v>291457.14538172726</v>
      </c>
    </row>
    <row r="49" spans="1:18" hidden="1" outlineLevel="1" x14ac:dyDescent="0.35">
      <c r="A49" s="352"/>
      <c r="B49" s="311"/>
      <c r="C49" s="311"/>
      <c r="D49" s="311"/>
      <c r="E49" s="311"/>
      <c r="F49" s="355"/>
      <c r="G49" s="311"/>
      <c r="H49" s="311"/>
      <c r="I49" s="355"/>
      <c r="J49" s="311"/>
      <c r="K49" s="311"/>
      <c r="L49" s="311"/>
      <c r="M49" s="355"/>
      <c r="N49" s="311"/>
      <c r="O49" s="311"/>
      <c r="P49" s="311"/>
      <c r="Q49" s="311"/>
      <c r="R49" s="311"/>
    </row>
    <row r="50" spans="1:18" hidden="1" outlineLevel="1" x14ac:dyDescent="0.35">
      <c r="A50" s="356"/>
      <c r="B50" s="357"/>
      <c r="C50" s="358" t="s">
        <v>436</v>
      </c>
      <c r="D50" s="358"/>
      <c r="E50" s="385">
        <f>SUM(E44:E49)</f>
        <v>4140.5750000000007</v>
      </c>
      <c r="F50" s="360">
        <f>SUM(F44:F49)</f>
        <v>0.90404580736018159</v>
      </c>
      <c r="G50" s="385">
        <f>SUM(G44:G49)</f>
        <v>133271.31247500001</v>
      </c>
      <c r="H50" s="385">
        <f>SUM(H44:H49)</f>
        <v>23514.437194949827</v>
      </c>
      <c r="I50" s="360"/>
      <c r="J50" s="385">
        <f>SUM(J44:J49)</f>
        <v>33590.304699999993</v>
      </c>
      <c r="K50" s="385">
        <f>SUM(K44:K49)</f>
        <v>1060659.5962609472</v>
      </c>
      <c r="L50" s="385">
        <f>SUM(L44:L49)</f>
        <v>173366.26851555047</v>
      </c>
      <c r="M50" s="360">
        <f>SUM(M44:M49)</f>
        <v>0.83023679697610353</v>
      </c>
      <c r="N50" s="359"/>
      <c r="O50" s="385">
        <f>SUM(O44:O49)</f>
        <v>5246902.0659448821</v>
      </c>
      <c r="P50" s="385">
        <f>SUM(P44:P49)</f>
        <v>925765.24389566237</v>
      </c>
      <c r="Q50" s="385">
        <f>SUM(Q44:Q49)</f>
        <v>42579670.664831281</v>
      </c>
      <c r="R50" s="385">
        <f>SUM(R44:R49)</f>
        <v>6959705.6810738845</v>
      </c>
    </row>
    <row r="51" spans="1:18" hidden="1" outlineLevel="1" x14ac:dyDescent="0.35">
      <c r="A51" s="381"/>
      <c r="B51" s="381" t="s">
        <v>370</v>
      </c>
      <c r="C51" s="381"/>
      <c r="D51" s="381"/>
      <c r="E51" s="384">
        <f>INDEX('05. BC BH THEO SKU-USD'!$CL$5:$CX$72,MATCH('05.1. Top 5 SKU'!$B51,'05. BC BH THEO SKU-USD'!$D$5:$D$72,0),MATCH('05.1. Top 5 SKU'!C39,'05. BC BH THEO SKU-USD'!$CL$4:$CX$4,0))</f>
        <v>4580.05</v>
      </c>
      <c r="F51" s="382"/>
      <c r="G51" s="381"/>
      <c r="H51" s="381"/>
      <c r="I51" s="382"/>
      <c r="J51" s="381"/>
      <c r="K51" s="381"/>
      <c r="L51" s="381"/>
      <c r="M51" s="382"/>
      <c r="N51" s="383"/>
      <c r="O51" s="384">
        <f>INDEX('05. BC BH THEO SKU-USD'!$DA$5:$DL$72,MATCH('05.1. Top 5 SKU'!$B51,'05. BC BH THEO SKU-USD'!$D$5:$D$72,0),MATCH('05.1. Top 5 SKU'!$C$3,'05. BC BH THEO SKU-USD'!$DA$4:$DL$4,0))</f>
        <v>4454931.6018065037</v>
      </c>
      <c r="P51" s="381"/>
      <c r="Q51" s="381"/>
      <c r="R51" s="381"/>
    </row>
    <row r="52" spans="1:18" hidden="1" outlineLevel="1" x14ac:dyDescent="0.35"/>
    <row r="53" spans="1:18" collapsed="1" x14ac:dyDescent="0.35"/>
    <row r="56" spans="1:18" ht="18.5" x14ac:dyDescent="0.45">
      <c r="B56" s="362" t="s">
        <v>437</v>
      </c>
      <c r="C56" s="363">
        <v>4</v>
      </c>
      <c r="D56" s="363"/>
    </row>
    <row r="57" spans="1:18" ht="5" customHeight="1" x14ac:dyDescent="0.35"/>
    <row r="58" spans="1:18" ht="15.5" hidden="1" outlineLevel="1" x14ac:dyDescent="0.35">
      <c r="A58" s="367" t="s">
        <v>287</v>
      </c>
      <c r="B58" s="350" t="str">
        <f>"TOP 5 SKU CÓ SẢN LƯỢNG BÁN CAO NHẤT THÁNG "&amp;C56&amp;".2025"</f>
        <v>TOP 5 SKU CÓ SẢN LƯỢNG BÁN CAO NHẤT THÁNG 4.2025</v>
      </c>
      <c r="O58" s="389" t="s">
        <v>438</v>
      </c>
      <c r="P58" s="390">
        <f>HLOOKUP(C56,'02. Tỷ giá'!$B$4:$M$5,2,0)</f>
        <v>25830</v>
      </c>
    </row>
    <row r="59" spans="1:18" ht="6" hidden="1" customHeight="1" outlineLevel="1" x14ac:dyDescent="0.35"/>
    <row r="60" spans="1:18" s="349" customFormat="1" ht="43.5" hidden="1" outlineLevel="1" x14ac:dyDescent="0.35">
      <c r="A60" s="351" t="s">
        <v>174</v>
      </c>
      <c r="B60" s="351" t="s">
        <v>422</v>
      </c>
      <c r="C60" s="351" t="s">
        <v>423</v>
      </c>
      <c r="D60" s="351" t="s">
        <v>411</v>
      </c>
      <c r="E60" s="351" t="s">
        <v>424</v>
      </c>
      <c r="F60" s="351" t="s">
        <v>300</v>
      </c>
      <c r="G60" s="351" t="s">
        <v>426</v>
      </c>
      <c r="H60" s="351" t="s">
        <v>428</v>
      </c>
      <c r="I60" s="351" t="s">
        <v>425</v>
      </c>
      <c r="J60" s="394" t="s">
        <v>430</v>
      </c>
      <c r="K60" s="394" t="s">
        <v>431</v>
      </c>
      <c r="L60" s="394" t="s">
        <v>433</v>
      </c>
      <c r="M60" s="394" t="s">
        <v>435</v>
      </c>
      <c r="N60" s="351" t="s">
        <v>294</v>
      </c>
      <c r="O60" s="361" t="s">
        <v>427</v>
      </c>
      <c r="P60" s="361" t="s">
        <v>429</v>
      </c>
      <c r="Q60" s="361" t="s">
        <v>432</v>
      </c>
      <c r="R60" s="361" t="s">
        <v>434</v>
      </c>
    </row>
    <row r="61" spans="1:18" hidden="1" outlineLevel="1" x14ac:dyDescent="0.35">
      <c r="A61" s="320">
        <v>1</v>
      </c>
      <c r="B61" s="309" t="s">
        <v>110</v>
      </c>
      <c r="C61" s="309" t="s">
        <v>369</v>
      </c>
      <c r="D61" s="425" t="str">
        <f>_xlfn.XLOOKUP(B61,'05. BC BH THEO SKU-USD'!$D$5:$D$72,'05. BC BH THEO SKU-USD'!$B$5:$B$72,0)</f>
        <v xml:space="preserve"> rPET</v>
      </c>
      <c r="E61" s="345">
        <f>INDEX('05. BC BH THEO SKU-USD'!$CL$5:$CX$72,MATCH('05.1. Top 5 SKU'!$B61,'05. BC BH THEO SKU-USD'!$D$5:$D$72,0),MATCH('05.1. Top 5 SKU'!C56,'05. BC BH THEO SKU-USD'!$CL$4:$CX$4,0))</f>
        <v>1699.5</v>
      </c>
      <c r="F61" s="353">
        <f>E61/E68</f>
        <v>0.44133399985717353</v>
      </c>
      <c r="G61" s="345">
        <f>O61*$P$58/10^6</f>
        <v>53598.07656500001</v>
      </c>
      <c r="H61" s="345">
        <f>P61*$P$58/10^6</f>
        <v>6691.029739999999</v>
      </c>
      <c r="I61" s="353">
        <f>H61/G61</f>
        <v>0.12483712418085721</v>
      </c>
      <c r="J61" s="345">
        <f>_xlfn.XLOOKUP($B61,'05. BC BH THEO SKU-USD'!$D:$D,'05. BC BH THEO SKU-USD'!CL:CL)</f>
        <v>16286.224999999999</v>
      </c>
      <c r="K61" s="346">
        <f>Q61*$P$5/10^6</f>
        <v>501018.38984280516</v>
      </c>
      <c r="L61" s="346">
        <f>R61*$P$5/10^6</f>
        <v>67593.550659752538</v>
      </c>
      <c r="M61" s="353">
        <f>L61/K61</f>
        <v>0.13491231465767167</v>
      </c>
      <c r="N61" s="309"/>
      <c r="O61" s="345">
        <f>INDEX('05. BC BH THEO SKU-USD'!$DA$5:$DL$72,MATCH('05.1. Top 5 SKU'!$B61,'05. BC BH THEO SKU-USD'!$D$5:$D$72,0),MATCH('05.1. Top 5 SKU'!C56,'05. BC BH THEO SKU-USD'!$DA$4:$DL$4,0))</f>
        <v>2075032.0001935735</v>
      </c>
      <c r="P61" s="345">
        <f>INDEX('05. BC BH THEO SKU-USD'!$DO$5:$DZ$72,MATCH('05.1. Top 5 SKU'!$B61,'05. BC BH THEO SKU-USD'!$D$5:$D$72,0),MATCH('05.1. Top 5 SKU'!C56,'05. BC BH THEO SKU-USD'!$DO$4:$DZ$4,0))</f>
        <v>259041.02748741768</v>
      </c>
      <c r="Q61" s="346">
        <f>_xlfn.XLOOKUP($B61,'05. BC BH THEO SKU-USD'!$D:$D,'05. BC BH THEO SKU-USD'!$CZ:$CZ)</f>
        <v>20113142.90818166</v>
      </c>
      <c r="R61" s="346">
        <f>_xlfn.XLOOKUP($B61,'05. BC BH THEO SKU-USD'!$D:$D,'05. BC BH THEO SKU-USD'!$DN:$DN)</f>
        <v>2713510.6647833213</v>
      </c>
    </row>
    <row r="62" spans="1:18" hidden="1" outlineLevel="1" x14ac:dyDescent="0.35">
      <c r="A62" s="322">
        <v>2</v>
      </c>
      <c r="B62" s="310" t="s">
        <v>100</v>
      </c>
      <c r="C62" s="310" t="s">
        <v>368</v>
      </c>
      <c r="D62" s="425" t="str">
        <f>_xlfn.XLOOKUP(B62,'05. BC BH THEO SKU-USD'!$D$5:$D$72,'05. BC BH THEO SKU-USD'!$B$5:$B$72,0)</f>
        <v xml:space="preserve"> rPET</v>
      </c>
      <c r="E62" s="346">
        <f>INDEX('05. BC BH THEO SKU-USD'!$CL$5:$CX$72,MATCH('05.1. Top 5 SKU'!$B62,'05. BC BH THEO SKU-USD'!$D$5:$D$72,0),MATCH('05.1. Top 5 SKU'!C56,'05. BC BH THEO SKU-USD'!$CL$4:$CX$4,0))</f>
        <v>1189.5999999999999</v>
      </c>
      <c r="F62" s="354">
        <f>E62/E68</f>
        <v>0.30892081566936958</v>
      </c>
      <c r="G62" s="346">
        <f t="shared" ref="G62:G65" si="19">O62*$P$58/10^6</f>
        <v>38875.735891999997</v>
      </c>
      <c r="H62" s="346">
        <f t="shared" ref="H62:H65" si="20">P62*$P$58/10^6</f>
        <v>8245.4668608000011</v>
      </c>
      <c r="I62" s="354">
        <f t="shared" ref="I62:I65" si="21">H62/G62</f>
        <v>0.21209802648383527</v>
      </c>
      <c r="J62" s="346">
        <f>_xlfn.XLOOKUP($B62,'05. BC BH THEO SKU-USD'!D:D,'05. BC BH THEO SKU-USD'!CL:CL)</f>
        <v>10568.135799999998</v>
      </c>
      <c r="K62" s="346">
        <f t="shared" ref="K62:K65" si="22">Q62*$P$5/10^6</f>
        <v>335640.07257220283</v>
      </c>
      <c r="L62" s="346">
        <f>R62*$P$5/10^6</f>
        <v>64387.054503116902</v>
      </c>
      <c r="M62" s="354">
        <f t="shared" ref="M62:M65" si="23">L62/K62</f>
        <v>0.19183363300359785</v>
      </c>
      <c r="N62" s="310"/>
      <c r="O62" s="346">
        <f>INDEX('05. BC BH THEO SKU-USD'!$DA$5:$DL$72,MATCH('05.1. Top 5 SKU'!$B62,'05. BC BH THEO SKU-USD'!$D$5:$D$72,0),MATCH('05.1. Top 5 SKU'!C56,'05. BC BH THEO SKU-USD'!$DA$4:$DL$4,0))</f>
        <v>1505061.397289973</v>
      </c>
      <c r="P62" s="346">
        <f>INDEX('05. BC BH THEO SKU-USD'!$DO$5:$DZ$72,MATCH('05.1. Top 5 SKU'!$B62,'05. BC BH THEO SKU-USD'!$D$5:$D$72,0),MATCH('05.1. Top 5 SKU'!C56,'05. BC BH THEO SKU-USD'!$DO$4:$DZ$4,0))</f>
        <v>319220.55210220674</v>
      </c>
      <c r="Q62" s="346">
        <f>_xlfn.XLOOKUP($B62,'05. BC BH THEO SKU-USD'!$D:$D,'05. BC BH THEO SKU-USD'!$CZ:$CZ)</f>
        <v>13474109.697800193</v>
      </c>
      <c r="R62" s="346">
        <f>_xlfn.XLOOKUP($B62,'05. BC BH THEO SKU-USD'!$D:$D,'05. BC BH THEO SKU-USD'!$DN:$DN)</f>
        <v>2584787.414818021</v>
      </c>
    </row>
    <row r="63" spans="1:18" hidden="1" outlineLevel="1" x14ac:dyDescent="0.35">
      <c r="A63" s="322">
        <v>3</v>
      </c>
      <c r="B63" s="310" t="s">
        <v>127</v>
      </c>
      <c r="C63" s="310" t="s">
        <v>114</v>
      </c>
      <c r="D63" s="425" t="str">
        <f>_xlfn.XLOOKUP(B63,'05. BC BH THEO SKU-USD'!$D$5:$D$72,'05. BC BH THEO SKU-USD'!$B$5:$B$72,0)</f>
        <v xml:space="preserve"> rPET</v>
      </c>
      <c r="E63" s="346">
        <f>INDEX('05. BC BH THEO SKU-USD'!$CL$5:$CX$72,MATCH('05.1. Top 5 SKU'!$B63,'05. BC BH THEO SKU-USD'!$D$5:$D$72,0),MATCH('05.1. Top 5 SKU'!C56,'05. BC BH THEO SKU-USD'!$CL$4:$CX$4,0))</f>
        <v>531.29999999999995</v>
      </c>
      <c r="F63" s="354">
        <f>E63/E68</f>
        <v>0.13797043490680569</v>
      </c>
      <c r="G63" s="346">
        <f t="shared" si="19"/>
        <v>18760.615881999998</v>
      </c>
      <c r="H63" s="346">
        <f t="shared" si="20"/>
        <v>4312.9663590888886</v>
      </c>
      <c r="I63" s="354">
        <f t="shared" si="21"/>
        <v>0.22989471061165928</v>
      </c>
      <c r="J63" s="346">
        <f>_xlfn.XLOOKUP($B63,'05. BC BH THEO SKU-USD'!D:D,'05. BC BH THEO SKU-USD'!CL:CL)</f>
        <v>4362.5938999999998</v>
      </c>
      <c r="K63" s="346">
        <f t="shared" si="22"/>
        <v>152536.35275652912</v>
      </c>
      <c r="L63" s="346">
        <f t="shared" ref="L63:L65" si="24">R63*$P$5/10^6</f>
        <v>31027.467487173402</v>
      </c>
      <c r="M63" s="354">
        <f t="shared" si="23"/>
        <v>0.20341031450186758</v>
      </c>
      <c r="N63" s="310"/>
      <c r="O63" s="346">
        <f>INDEX('05. BC BH THEO SKU-USD'!$DA$5:$DL$72,MATCH('05.1. Top 5 SKU'!$B63,'05. BC BH THEO SKU-USD'!$D$5:$D$72,0),MATCH('05.1. Top 5 SKU'!C56,'05. BC BH THEO SKU-USD'!$DA$4:$DL$4,0))</f>
        <v>726311.10654277971</v>
      </c>
      <c r="P63" s="346">
        <f>INDEX('05. BC BH THEO SKU-USD'!$DO$5:$DZ$72,MATCH('05.1. Top 5 SKU'!$B63,'05. BC BH THEO SKU-USD'!$D$5:$D$72,0),MATCH('05.1. Top 5 SKU'!C56,'05. BC BH THEO SKU-USD'!$DO$4:$DZ$4,0))</f>
        <v>166975.08165268635</v>
      </c>
      <c r="Q63" s="346">
        <f>_xlfn.XLOOKUP($B63,'05. BC BH THEO SKU-USD'!$D:$D,'05. BC BH THEO SKU-USD'!$CZ:$CZ)</f>
        <v>6123498.7056013299</v>
      </c>
      <c r="R63" s="346">
        <f>_xlfn.XLOOKUP($B63,'05. BC BH THEO SKU-USD'!$D:$D,'05. BC BH THEO SKU-USD'!$DN:$DN)</f>
        <v>1245582.7975581454</v>
      </c>
    </row>
    <row r="64" spans="1:18" hidden="1" outlineLevel="1" x14ac:dyDescent="0.35">
      <c r="A64" s="322">
        <v>4</v>
      </c>
      <c r="B64" s="310" t="s">
        <v>102</v>
      </c>
      <c r="C64" s="310" t="s">
        <v>101</v>
      </c>
      <c r="D64" s="425" t="str">
        <f>_xlfn.XLOOKUP(B64,'05. BC BH THEO SKU-USD'!$D$5:$D$72,'05. BC BH THEO SKU-USD'!$B$5:$B$72,0)</f>
        <v xml:space="preserve"> rPET</v>
      </c>
      <c r="E64" s="346">
        <f>INDEX('05. BC BH THEO SKU-USD'!$CL$5:$CX$72,MATCH('05.1. Top 5 SKU'!$B64,'05. BC BH THEO SKU-USD'!$D$5:$D$72,0),MATCH('05.1. Top 5 SKU'!C56,'05. BC BH THEO SKU-USD'!$CL$4:$CX$4,0))</f>
        <v>154</v>
      </c>
      <c r="F64" s="354">
        <f>E64/E68</f>
        <v>3.9991430407769771E-2</v>
      </c>
      <c r="G64" s="346">
        <f t="shared" si="19"/>
        <v>4543.1210000000001</v>
      </c>
      <c r="H64" s="346">
        <f t="shared" si="20"/>
        <v>427.44463500000012</v>
      </c>
      <c r="I64" s="354">
        <f t="shared" si="21"/>
        <v>9.4086121633124034E-2</v>
      </c>
      <c r="J64" s="346">
        <f>_xlfn.XLOOKUP($B64,'05. BC BH THEO SKU-USD'!D:D,'05. BC BH THEO SKU-USD'!CL:CL)</f>
        <v>1411.05</v>
      </c>
      <c r="K64" s="346">
        <f t="shared" si="22"/>
        <v>38362.153046060739</v>
      </c>
      <c r="L64" s="346">
        <f t="shared" si="24"/>
        <v>3097.9983740488119</v>
      </c>
      <c r="M64" s="354">
        <f t="shared" si="23"/>
        <v>8.0756634548876896E-2</v>
      </c>
      <c r="N64" s="310"/>
      <c r="O64" s="346">
        <f>INDEX('05. BC BH THEO SKU-USD'!$DA$5:$DL$72,MATCH('05.1. Top 5 SKU'!$B64,'05. BC BH THEO SKU-USD'!$D$5:$D$72,0),MATCH('05.1. Top 5 SKU'!C56,'05. BC BH THEO SKU-USD'!$DA$4:$DL$4,0))</f>
        <v>175885.44328300425</v>
      </c>
      <c r="P64" s="346">
        <f>INDEX('05. BC BH THEO SKU-USD'!$DO$5:$DZ$72,MATCH('05.1. Top 5 SKU'!$B64,'05. BC BH THEO SKU-USD'!$D$5:$D$72,0),MATCH('05.1. Top 5 SKU'!C56,'05. BC BH THEO SKU-USD'!$DO$4:$DZ$4,0))</f>
        <v>16548.379210220679</v>
      </c>
      <c r="Q64" s="346">
        <f>_xlfn.XLOOKUP($B64,'05. BC BH THEO SKU-USD'!$D:$D,'05. BC BH THEO SKU-USD'!$CZ:$CZ)</f>
        <v>1540030.2306728519</v>
      </c>
      <c r="R64" s="346">
        <f>_xlfn.XLOOKUP($B64,'05. BC BH THEO SKU-USD'!$D:$D,'05. BC BH THEO SKU-USD'!$DN:$DN)</f>
        <v>124367.65853267009</v>
      </c>
    </row>
    <row r="65" spans="1:18" hidden="1" outlineLevel="1" x14ac:dyDescent="0.35">
      <c r="A65" s="322">
        <v>5</v>
      </c>
      <c r="B65" s="310" t="s">
        <v>69</v>
      </c>
      <c r="C65" s="310" t="s">
        <v>64</v>
      </c>
      <c r="D65" s="425" t="str">
        <f>_xlfn.XLOOKUP(B65,'05. BC BH THEO SKU-USD'!$D$5:$D$72,'05. BC BH THEO SKU-USD'!$B$5:$B$72,0)</f>
        <v>rHDPE thổi</v>
      </c>
      <c r="E65" s="346">
        <f>INDEX('05. BC BH THEO SKU-USD'!$CL$5:$CX$72,MATCH('05.1. Top 5 SKU'!$B65,'05. BC BH THEO SKU-USD'!$D$5:$D$72,0),MATCH('05.1. Top 5 SKU'!C56,'05. BC BH THEO SKU-USD'!$CL$4:$CX$4,0))</f>
        <v>46.75</v>
      </c>
      <c r="F65" s="354">
        <f>E65/E68</f>
        <v>1.2140255659501538E-2</v>
      </c>
      <c r="G65" s="346">
        <f t="shared" si="19"/>
        <v>1661.913</v>
      </c>
      <c r="H65" s="346">
        <f t="shared" si="20"/>
        <v>339.54940455555555</v>
      </c>
      <c r="I65" s="354">
        <f t="shared" si="21"/>
        <v>0.20431238251073044</v>
      </c>
      <c r="J65" s="346">
        <f>_xlfn.XLOOKUP($B65,'05. BC BH THEO SKU-USD'!D:D,'05. BC BH THEO SKU-USD'!CL:CL)</f>
        <v>962.30000000000007</v>
      </c>
      <c r="K65" s="346">
        <f t="shared" si="22"/>
        <v>33102.628043349439</v>
      </c>
      <c r="L65" s="346">
        <f t="shared" si="24"/>
        <v>7260.1974914588263</v>
      </c>
      <c r="M65" s="354">
        <f t="shared" si="23"/>
        <v>0.21932390026408954</v>
      </c>
      <c r="N65" s="310"/>
      <c r="O65" s="346">
        <f>INDEX('05. BC BH THEO SKU-USD'!$DA$5:$DL$72,MATCH('05.1. Top 5 SKU'!$B65,'05. BC BH THEO SKU-USD'!$D$5:$D$72,0),MATCH('05.1. Top 5 SKU'!C56,'05. BC BH THEO SKU-USD'!$DA$4:$DL$4,0))</f>
        <v>64340.4181184669</v>
      </c>
      <c r="P65" s="346">
        <f>INDEX('05. BC BH THEO SKU-USD'!$DO$5:$DZ$72,MATCH('05.1. Top 5 SKU'!$B65,'05. BC BH THEO SKU-USD'!$D$5:$D$72,0),MATCH('05.1. Top 5 SKU'!C56,'05. BC BH THEO SKU-USD'!$DO$4:$DZ$4,0))</f>
        <v>13145.544117520541</v>
      </c>
      <c r="Q65" s="346">
        <f>_xlfn.XLOOKUP($B65,'05. BC BH THEO SKU-USD'!$D:$D,'05. BC BH THEO SKU-USD'!$CZ:$CZ)</f>
        <v>1328889.1225752484</v>
      </c>
      <c r="R65" s="346">
        <f>_xlfn.XLOOKUP($B65,'05. BC BH THEO SKU-USD'!$D:$D,'05. BC BH THEO SKU-USD'!$DN:$DN)</f>
        <v>291457.14538172726</v>
      </c>
    </row>
    <row r="66" spans="1:18" hidden="1" outlineLevel="1" x14ac:dyDescent="0.35">
      <c r="A66" s="352"/>
      <c r="B66" s="311"/>
      <c r="C66" s="311"/>
      <c r="D66" s="311"/>
      <c r="E66" s="311"/>
      <c r="F66" s="355"/>
      <c r="G66" s="311"/>
      <c r="H66" s="311"/>
      <c r="I66" s="355"/>
      <c r="J66" s="311"/>
      <c r="K66" s="311"/>
      <c r="L66" s="311"/>
      <c r="M66" s="355"/>
      <c r="N66" s="311"/>
      <c r="O66" s="311"/>
      <c r="P66" s="311"/>
      <c r="Q66" s="311"/>
      <c r="R66" s="311"/>
    </row>
    <row r="67" spans="1:18" hidden="1" outlineLevel="1" x14ac:dyDescent="0.35">
      <c r="A67" s="356"/>
      <c r="B67" s="357"/>
      <c r="C67" s="358" t="s">
        <v>436</v>
      </c>
      <c r="D67" s="358"/>
      <c r="E67" s="385">
        <f>SUM(E61:E66)</f>
        <v>3621.1499999999996</v>
      </c>
      <c r="F67" s="360">
        <f>SUM(F61:F66)</f>
        <v>0.94035693650062013</v>
      </c>
      <c r="G67" s="385">
        <f>SUM(G61:G66)</f>
        <v>117439.46233900001</v>
      </c>
      <c r="H67" s="385">
        <f>SUM(H61:H66)</f>
        <v>20016.456999444446</v>
      </c>
      <c r="I67" s="360"/>
      <c r="J67" s="385">
        <f>SUM(J61:J66)</f>
        <v>33590.304699999993</v>
      </c>
      <c r="K67" s="385">
        <f>SUM(K61:K66)</f>
        <v>1060659.5962609472</v>
      </c>
      <c r="L67" s="385">
        <f>SUM(L61:L66)</f>
        <v>173366.26851555047</v>
      </c>
      <c r="M67" s="360">
        <f>SUM(M61:M66)</f>
        <v>0.83023679697610353</v>
      </c>
      <c r="N67" s="359"/>
      <c r="O67" s="385">
        <f>SUM(O61:O66)</f>
        <v>4546630.3654277977</v>
      </c>
      <c r="P67" s="385">
        <f>SUM(P61:P66)</f>
        <v>774930.58457005199</v>
      </c>
      <c r="Q67" s="385">
        <f>SUM(Q61:Q66)</f>
        <v>42579670.664831281</v>
      </c>
      <c r="R67" s="385">
        <f>SUM(R61:R66)</f>
        <v>6959705.6810738845</v>
      </c>
    </row>
    <row r="68" spans="1:18" hidden="1" outlineLevel="1" x14ac:dyDescent="0.35">
      <c r="A68" s="381"/>
      <c r="B68" s="381" t="s">
        <v>370</v>
      </c>
      <c r="C68" s="381"/>
      <c r="D68" s="381"/>
      <c r="E68" s="384">
        <f>INDEX('05. BC BH THEO SKU-USD'!$CL$5:$CX$72,MATCH('05.1. Top 5 SKU'!$B68,'05. BC BH THEO SKU-USD'!$D$5:$D$72,0),MATCH('05.1. Top 5 SKU'!C56,'05. BC BH THEO SKU-USD'!$CL$4:$CX$4,0))</f>
        <v>3850.8249999999994</v>
      </c>
      <c r="F68" s="382"/>
      <c r="G68" s="381"/>
      <c r="H68" s="381"/>
      <c r="I68" s="382"/>
      <c r="J68" s="381"/>
      <c r="K68" s="381"/>
      <c r="L68" s="381"/>
      <c r="M68" s="382"/>
      <c r="N68" s="383"/>
      <c r="O68" s="384">
        <f>INDEX('05. BC BH THEO SKU-USD'!$DA$5:$DL$72,MATCH('05.1. Top 5 SKU'!$B68,'05. BC BH THEO SKU-USD'!$D$5:$D$72,0),MATCH('05.1. Top 5 SKU'!$C$3,'05. BC BH THEO SKU-USD'!$DA$4:$DL$4,0))</f>
        <v>4454931.6018065037</v>
      </c>
      <c r="P68" s="381"/>
      <c r="Q68" s="381"/>
      <c r="R68" s="381"/>
    </row>
    <row r="69" spans="1:18" collapsed="1" x14ac:dyDescent="0.35"/>
    <row r="72" spans="1:18" ht="18.5" x14ac:dyDescent="0.45">
      <c r="B72" s="362" t="s">
        <v>437</v>
      </c>
      <c r="C72" s="363">
        <v>5</v>
      </c>
      <c r="D72" s="363"/>
    </row>
    <row r="73" spans="1:18" ht="5" customHeight="1" x14ac:dyDescent="0.35"/>
    <row r="74" spans="1:18" ht="15.5" hidden="1" outlineLevel="1" x14ac:dyDescent="0.35">
      <c r="A74" s="367" t="s">
        <v>287</v>
      </c>
      <c r="B74" s="350" t="str">
        <f>"TOP 5 SKU CÓ SẢN LƯỢNG BÁN CAO NHẤT THÁNG "&amp;C72&amp;".2025"</f>
        <v>TOP 5 SKU CÓ SẢN LƯỢNG BÁN CAO NHẤT THÁNG 5.2025</v>
      </c>
      <c r="O74" s="389" t="s">
        <v>438</v>
      </c>
      <c r="P74" s="390">
        <f>HLOOKUP(C72,'02. Tỷ giá'!$B$4:$M$5,2,0)</f>
        <v>25860</v>
      </c>
    </row>
    <row r="75" spans="1:18" ht="6" hidden="1" customHeight="1" outlineLevel="1" x14ac:dyDescent="0.35"/>
    <row r="76" spans="1:18" s="349" customFormat="1" ht="43.5" hidden="1" outlineLevel="1" x14ac:dyDescent="0.35">
      <c r="A76" s="351" t="s">
        <v>174</v>
      </c>
      <c r="B76" s="351" t="s">
        <v>422</v>
      </c>
      <c r="C76" s="351" t="s">
        <v>423</v>
      </c>
      <c r="D76" s="351" t="s">
        <v>411</v>
      </c>
      <c r="E76" s="351" t="s">
        <v>424</v>
      </c>
      <c r="F76" s="351" t="s">
        <v>300</v>
      </c>
      <c r="G76" s="351" t="s">
        <v>426</v>
      </c>
      <c r="H76" s="351" t="s">
        <v>428</v>
      </c>
      <c r="I76" s="351" t="s">
        <v>425</v>
      </c>
      <c r="J76" s="394" t="s">
        <v>430</v>
      </c>
      <c r="K76" s="394" t="s">
        <v>431</v>
      </c>
      <c r="L76" s="394" t="s">
        <v>433</v>
      </c>
      <c r="M76" s="394" t="s">
        <v>435</v>
      </c>
      <c r="N76" s="351" t="s">
        <v>294</v>
      </c>
      <c r="O76" s="361" t="s">
        <v>427</v>
      </c>
      <c r="P76" s="361" t="s">
        <v>429</v>
      </c>
      <c r="Q76" s="361" t="s">
        <v>432</v>
      </c>
      <c r="R76" s="361" t="s">
        <v>434</v>
      </c>
    </row>
    <row r="77" spans="1:18" hidden="1" outlineLevel="1" x14ac:dyDescent="0.35">
      <c r="A77" s="320">
        <v>1</v>
      </c>
      <c r="B77" s="309" t="s">
        <v>110</v>
      </c>
      <c r="C77" s="309" t="s">
        <v>369</v>
      </c>
      <c r="D77" s="425" t="str">
        <f>_xlfn.XLOOKUP(B77,'05. BC BH THEO SKU-USD'!$D$5:$D$72,'05. BC BH THEO SKU-USD'!$B$5:$B$72,0)</f>
        <v xml:space="preserve"> rPET</v>
      </c>
      <c r="E77" s="345">
        <f>INDEX('05. BC BH THEO SKU-USD'!$CL$5:$CX$72,MATCH('05.1. Top 5 SKU'!$B77,'05. BC BH THEO SKU-USD'!$D$5:$D$72,0),MATCH('05.1. Top 5 SKU'!C72,'05. BC BH THEO SKU-USD'!$CL$4:$CX$4,0))</f>
        <v>1785.3</v>
      </c>
      <c r="F77" s="353">
        <f>E77/E84</f>
        <v>0.38989838858815695</v>
      </c>
      <c r="G77" s="345">
        <f>O77*$P$74/10^6</f>
        <v>56611.053208999991</v>
      </c>
      <c r="H77" s="345">
        <f>P77*$P$74/10^6</f>
        <v>6932.8621439999979</v>
      </c>
      <c r="I77" s="353">
        <f>H77/G77</f>
        <v>0.12246481474924786</v>
      </c>
      <c r="J77" s="345">
        <f>_xlfn.XLOOKUP($B77,'05. BC BH THEO SKU-USD'!$D:$D,'05. BC BH THEO SKU-USD'!CL:CL)</f>
        <v>16286.224999999999</v>
      </c>
      <c r="K77" s="346">
        <f>Q77*$P$5/10^6</f>
        <v>501018.38984280516</v>
      </c>
      <c r="L77" s="346">
        <f>R77*$P$5/10^6</f>
        <v>67593.550659752538</v>
      </c>
      <c r="M77" s="353">
        <f>L77/K77</f>
        <v>0.13491231465767167</v>
      </c>
      <c r="N77" s="309"/>
      <c r="O77" s="345">
        <f>INDEX('05. BC BH THEO SKU-USD'!$DA$5:$DL$72,MATCH('05.1. Top 5 SKU'!$B77,'05. BC BH THEO SKU-USD'!$D$5:$D$72,0),MATCH('05.1. Top 5 SKU'!C72,'05. BC BH THEO SKU-USD'!$DA$4:$DL$4,0))</f>
        <v>2189135.8549497291</v>
      </c>
      <c r="P77" s="345">
        <f>INDEX('05. BC BH THEO SKU-USD'!$DO$5:$DZ$72,MATCH('05.1. Top 5 SKU'!$B77,'05. BC BH THEO SKU-USD'!$D$5:$D$72,0),MATCH('05.1. Top 5 SKU'!C72,'05. BC BH THEO SKU-USD'!$DO$4:$DZ$4,0))</f>
        <v>268092.11693735491</v>
      </c>
      <c r="Q77" s="346">
        <f>_xlfn.XLOOKUP($B77,'05. BC BH THEO SKU-USD'!$D:$D,'05. BC BH THEO SKU-USD'!$CZ:$CZ)</f>
        <v>20113142.90818166</v>
      </c>
      <c r="R77" s="346">
        <f>_xlfn.XLOOKUP($B77,'05. BC BH THEO SKU-USD'!$D:$D,'05. BC BH THEO SKU-USD'!$DN:$DN)</f>
        <v>2713510.6647833213</v>
      </c>
    </row>
    <row r="78" spans="1:18" hidden="1" outlineLevel="1" x14ac:dyDescent="0.35">
      <c r="A78" s="322">
        <v>2</v>
      </c>
      <c r="B78" s="310" t="s">
        <v>100</v>
      </c>
      <c r="C78" s="310" t="s">
        <v>368</v>
      </c>
      <c r="D78" s="425" t="str">
        <f>_xlfn.XLOOKUP(B78,'05. BC BH THEO SKU-USD'!$D$5:$D$72,'05. BC BH THEO SKU-USD'!$B$5:$B$72,0)</f>
        <v xml:space="preserve"> rPET</v>
      </c>
      <c r="E78" s="346">
        <f>INDEX('05. BC BH THEO SKU-USD'!$CL$5:$CX$72,MATCH('05.1. Top 5 SKU'!$B78,'05. BC BH THEO SKU-USD'!$D$5:$D$72,0),MATCH('05.1. Top 5 SKU'!C72,'05. BC BH THEO SKU-USD'!$CL$4:$CX$4,0))</f>
        <v>1854</v>
      </c>
      <c r="F78" s="354">
        <f>E78/E84</f>
        <v>0.40490204024110404</v>
      </c>
      <c r="G78" s="346">
        <f t="shared" ref="G78:G81" si="25">O78*$P$74/10^6</f>
        <v>61973.735220000002</v>
      </c>
      <c r="H78" s="346">
        <f t="shared" ref="H78:H81" si="26">P78*$P$74/10^6</f>
        <v>12639.299042363633</v>
      </c>
      <c r="I78" s="354">
        <f t="shared" ref="I78:I81" si="27">H78/G78</f>
        <v>0.20394605872141641</v>
      </c>
      <c r="J78" s="346">
        <f>_xlfn.XLOOKUP($B78,'05. BC BH THEO SKU-USD'!D:D,'05. BC BH THEO SKU-USD'!CL:CL)</f>
        <v>10568.135799999998</v>
      </c>
      <c r="K78" s="346">
        <f t="shared" ref="K78:K81" si="28">Q78*$P$5/10^6</f>
        <v>335640.07257220283</v>
      </c>
      <c r="L78" s="346">
        <f>R78*$P$5/10^6</f>
        <v>64387.054503116902</v>
      </c>
      <c r="M78" s="354">
        <f t="shared" ref="M78:M81" si="29">L78/K78</f>
        <v>0.19183363300359785</v>
      </c>
      <c r="N78" s="310"/>
      <c r="O78" s="346">
        <f>INDEX('05. BC BH THEO SKU-USD'!$DA$5:$DL$72,MATCH('05.1. Top 5 SKU'!$B78,'05. BC BH THEO SKU-USD'!$D$5:$D$72,0),MATCH('05.1. Top 5 SKU'!C72,'05. BC BH THEO SKU-USD'!$DA$4:$DL$4,0))</f>
        <v>2396509.4825986079</v>
      </c>
      <c r="P78" s="346">
        <f>INDEX('05. BC BH THEO SKU-USD'!$DO$5:$DZ$72,MATCH('05.1. Top 5 SKU'!$B78,'05. BC BH THEO SKU-USD'!$D$5:$D$72,0),MATCH('05.1. Top 5 SKU'!C72,'05. BC BH THEO SKU-USD'!$DO$4:$DZ$4,0))</f>
        <v>488758.66366448696</v>
      </c>
      <c r="Q78" s="346">
        <f>_xlfn.XLOOKUP($B78,'05. BC BH THEO SKU-USD'!$D:$D,'05. BC BH THEO SKU-USD'!$CZ:$CZ)</f>
        <v>13474109.697800193</v>
      </c>
      <c r="R78" s="346">
        <f>_xlfn.XLOOKUP($B78,'05. BC BH THEO SKU-USD'!$D:$D,'05. BC BH THEO SKU-USD'!$DN:$DN)</f>
        <v>2584787.414818021</v>
      </c>
    </row>
    <row r="79" spans="1:18" hidden="1" outlineLevel="1" x14ac:dyDescent="0.35">
      <c r="A79" s="322">
        <v>3</v>
      </c>
      <c r="B79" s="310" t="s">
        <v>127</v>
      </c>
      <c r="C79" s="310" t="s">
        <v>114</v>
      </c>
      <c r="D79" s="425" t="str">
        <f>_xlfn.XLOOKUP(B79,'05. BC BH THEO SKU-USD'!$D$5:$D$72,'05. BC BH THEO SKU-USD'!$B$5:$B$72,0)</f>
        <v xml:space="preserve"> rPET</v>
      </c>
      <c r="E79" s="346">
        <f>INDEX('05. BC BH THEO SKU-USD'!$CL$5:$CX$72,MATCH('05.1. Top 5 SKU'!$B79,'05. BC BH THEO SKU-USD'!$D$5:$D$72,0),MATCH('05.1. Top 5 SKU'!C72,'05. BC BH THEO SKU-USD'!$CL$4:$CX$4,0))</f>
        <v>556.16030000000001</v>
      </c>
      <c r="F79" s="354">
        <f>E79/E84</f>
        <v>0.12146194183986218</v>
      </c>
      <c r="G79" s="346">
        <f t="shared" si="25"/>
        <v>20259.874613</v>
      </c>
      <c r="H79" s="346">
        <f t="shared" si="26"/>
        <v>4136.2429709696944</v>
      </c>
      <c r="I79" s="354">
        <f t="shared" si="27"/>
        <v>0.20415935685582293</v>
      </c>
      <c r="J79" s="346">
        <f>_xlfn.XLOOKUP($B79,'05. BC BH THEO SKU-USD'!D:D,'05. BC BH THEO SKU-USD'!CL:CL)</f>
        <v>4362.5938999999998</v>
      </c>
      <c r="K79" s="346">
        <f t="shared" si="28"/>
        <v>152536.35275652912</v>
      </c>
      <c r="L79" s="346">
        <f t="shared" ref="L79:L81" si="30">R79*$P$5/10^6</f>
        <v>31027.467487173402</v>
      </c>
      <c r="M79" s="354">
        <f t="shared" si="29"/>
        <v>0.20341031450186758</v>
      </c>
      <c r="N79" s="310"/>
      <c r="O79" s="346">
        <f>INDEX('05. BC BH THEO SKU-USD'!$DA$5:$DL$72,MATCH('05.1. Top 5 SKU'!$B79,'05. BC BH THEO SKU-USD'!$D$5:$D$72,0),MATCH('05.1. Top 5 SKU'!C72,'05. BC BH THEO SKU-USD'!$DA$4:$DL$4,0))</f>
        <v>783444.4939288476</v>
      </c>
      <c r="P79" s="346">
        <f>INDEX('05. BC BH THEO SKU-USD'!$DO$5:$DZ$72,MATCH('05.1. Top 5 SKU'!$B79,'05. BC BH THEO SKU-USD'!$D$5:$D$72,0),MATCH('05.1. Top 5 SKU'!C72,'05. BC BH THEO SKU-USD'!$DO$4:$DZ$4,0))</f>
        <v>159947.5240127492</v>
      </c>
      <c r="Q79" s="346">
        <f>_xlfn.XLOOKUP($B79,'05. BC BH THEO SKU-USD'!$D:$D,'05. BC BH THEO SKU-USD'!$CZ:$CZ)</f>
        <v>6123498.7056013299</v>
      </c>
      <c r="R79" s="346">
        <f>_xlfn.XLOOKUP($B79,'05. BC BH THEO SKU-USD'!$D:$D,'05. BC BH THEO SKU-USD'!$DN:$DN)</f>
        <v>1245582.7975581454</v>
      </c>
    </row>
    <row r="80" spans="1:18" hidden="1" outlineLevel="1" x14ac:dyDescent="0.35">
      <c r="A80" s="322">
        <v>4</v>
      </c>
      <c r="B80" s="310" t="s">
        <v>69</v>
      </c>
      <c r="C80" s="310" t="s">
        <v>64</v>
      </c>
      <c r="D80" s="425" t="str">
        <f>_xlfn.XLOOKUP(B80,'05. BC BH THEO SKU-USD'!$D$5:$D$72,'05. BC BH THEO SKU-USD'!$B$5:$B$72,0)</f>
        <v>rHDPE thổi</v>
      </c>
      <c r="E80" s="346">
        <f>INDEX('05. BC BH THEO SKU-USD'!$CL$5:$CX$72,MATCH('05.1. Top 5 SKU'!$B80,'05. BC BH THEO SKU-USD'!$D$5:$D$72,0),MATCH('05.1. Top 5 SKU'!C72,'05. BC BH THEO SKU-USD'!$CL$4:$CX$4,0))</f>
        <v>111.35</v>
      </c>
      <c r="F80" s="354">
        <f>E80/E84</f>
        <v>2.4318145728612153E-2</v>
      </c>
      <c r="G80" s="346">
        <f t="shared" si="25"/>
        <v>3877.7745</v>
      </c>
      <c r="H80" s="346">
        <f t="shared" si="26"/>
        <v>800.30792962962994</v>
      </c>
      <c r="I80" s="354">
        <f t="shared" si="27"/>
        <v>0.20638330816545158</v>
      </c>
      <c r="J80" s="346">
        <f>_xlfn.XLOOKUP($B80,'05. BC BH THEO SKU-USD'!D:D,'05. BC BH THEO SKU-USD'!CL:CL)</f>
        <v>962.30000000000007</v>
      </c>
      <c r="K80" s="346">
        <f t="shared" si="28"/>
        <v>33102.628043349439</v>
      </c>
      <c r="L80" s="346">
        <f t="shared" si="30"/>
        <v>7260.1974914588263</v>
      </c>
      <c r="M80" s="354">
        <f t="shared" si="29"/>
        <v>0.21932390026408954</v>
      </c>
      <c r="N80" s="310"/>
      <c r="O80" s="346">
        <f>INDEX('05. BC BH THEO SKU-USD'!$DA$5:$DL$72,MATCH('05.1. Top 5 SKU'!$B80,'05. BC BH THEO SKU-USD'!$D$5:$D$72,0),MATCH('05.1. Top 5 SKU'!C72,'05. BC BH THEO SKU-USD'!$DA$4:$DL$4,0))</f>
        <v>149952.61020881671</v>
      </c>
      <c r="P80" s="346">
        <f>INDEX('05. BC BH THEO SKU-USD'!$DO$5:$DZ$72,MATCH('05.1. Top 5 SKU'!$B80,'05. BC BH THEO SKU-USD'!$D$5:$D$72,0),MATCH('05.1. Top 5 SKU'!C72,'05. BC BH THEO SKU-USD'!$DO$4:$DZ$4,0))</f>
        <v>30947.715762940061</v>
      </c>
      <c r="Q80" s="346">
        <f>_xlfn.XLOOKUP($B80,'05. BC BH THEO SKU-USD'!$D:$D,'05. BC BH THEO SKU-USD'!$CZ:$CZ)</f>
        <v>1328889.1225752484</v>
      </c>
      <c r="R80" s="346">
        <f>_xlfn.XLOOKUP($B80,'05. BC BH THEO SKU-USD'!$D:$D,'05. BC BH THEO SKU-USD'!$DN:$DN)</f>
        <v>291457.14538172726</v>
      </c>
    </row>
    <row r="81" spans="1:18" hidden="1" outlineLevel="1" x14ac:dyDescent="0.35">
      <c r="A81" s="322">
        <v>5</v>
      </c>
      <c r="B81" s="310" t="s">
        <v>102</v>
      </c>
      <c r="C81" s="310" t="s">
        <v>101</v>
      </c>
      <c r="D81" s="425" t="str">
        <f>_xlfn.XLOOKUP(B81,'05. BC BH THEO SKU-USD'!$D$5:$D$72,'05. BC BH THEO SKU-USD'!$B$5:$B$72,0)</f>
        <v xml:space="preserve"> rPET</v>
      </c>
      <c r="E81" s="346">
        <f>INDEX('05. BC BH THEO SKU-USD'!$CL$5:$CX$72,MATCH('05.1. Top 5 SKU'!$B81,'05. BC BH THEO SKU-USD'!$D$5:$D$72,0),MATCH('05.1. Top 5 SKU'!C72,'05. BC BH THEO SKU-USD'!$CL$4:$CX$4,0))</f>
        <v>11</v>
      </c>
      <c r="F81" s="354">
        <f>E81/E84</f>
        <v>2.4023314145912322E-3</v>
      </c>
      <c r="G81" s="346">
        <f t="shared" si="25"/>
        <v>339.94620000000003</v>
      </c>
      <c r="H81" s="346">
        <f t="shared" si="26"/>
        <v>61.128421999999993</v>
      </c>
      <c r="I81" s="354">
        <f t="shared" si="27"/>
        <v>0.17981793001363153</v>
      </c>
      <c r="J81" s="346">
        <f>_xlfn.XLOOKUP($B81,'05. BC BH THEO SKU-USD'!D:D,'05. BC BH THEO SKU-USD'!CL:CL)</f>
        <v>1411.05</v>
      </c>
      <c r="K81" s="346">
        <f t="shared" si="28"/>
        <v>38362.153046060739</v>
      </c>
      <c r="L81" s="346">
        <f t="shared" si="30"/>
        <v>3097.9983740488119</v>
      </c>
      <c r="M81" s="354">
        <f t="shared" si="29"/>
        <v>8.0756634548876896E-2</v>
      </c>
      <c r="N81" s="310"/>
      <c r="O81" s="346">
        <f>INDEX('05. BC BH THEO SKU-USD'!$DA$5:$DL$72,MATCH('05.1. Top 5 SKU'!$B81,'05. BC BH THEO SKU-USD'!$D$5:$D$72,0),MATCH('05.1. Top 5 SKU'!C72,'05. BC BH THEO SKU-USD'!$DA$4:$DL$4,0))</f>
        <v>13145.638051044085</v>
      </c>
      <c r="P81" s="346">
        <f>INDEX('05. BC BH THEO SKU-USD'!$DO$5:$DZ$72,MATCH('05.1. Top 5 SKU'!$B81,'05. BC BH THEO SKU-USD'!$D$5:$D$72,0),MATCH('05.1. Top 5 SKU'!C72,'05. BC BH THEO SKU-USD'!$DO$4:$DZ$4,0))</f>
        <v>2363.8214230471767</v>
      </c>
      <c r="Q81" s="346">
        <f>_xlfn.XLOOKUP($B81,'05. BC BH THEO SKU-USD'!$D:$D,'05. BC BH THEO SKU-USD'!$CZ:$CZ)</f>
        <v>1540030.2306728519</v>
      </c>
      <c r="R81" s="346">
        <f>_xlfn.XLOOKUP($B81,'05. BC BH THEO SKU-USD'!$D:$D,'05. BC BH THEO SKU-USD'!$DN:$DN)</f>
        <v>124367.65853267009</v>
      </c>
    </row>
    <row r="82" spans="1:18" hidden="1" outlineLevel="1" x14ac:dyDescent="0.35">
      <c r="A82" s="352"/>
      <c r="B82" s="311"/>
      <c r="C82" s="311"/>
      <c r="D82" s="311"/>
      <c r="E82" s="311"/>
      <c r="F82" s="355"/>
      <c r="G82" s="311"/>
      <c r="H82" s="311"/>
      <c r="I82" s="355"/>
      <c r="J82" s="311"/>
      <c r="K82" s="311"/>
      <c r="L82" s="311"/>
      <c r="M82" s="355"/>
      <c r="N82" s="311"/>
      <c r="O82" s="311"/>
      <c r="P82" s="311"/>
      <c r="Q82" s="311"/>
      <c r="R82" s="311"/>
    </row>
    <row r="83" spans="1:18" hidden="1" outlineLevel="1" x14ac:dyDescent="0.35">
      <c r="A83" s="356"/>
      <c r="B83" s="357"/>
      <c r="C83" s="358" t="s">
        <v>436</v>
      </c>
      <c r="D83" s="358"/>
      <c r="E83" s="385">
        <f>SUM(E77:E82)</f>
        <v>4317.810300000001</v>
      </c>
      <c r="F83" s="360">
        <f>SUM(F77:F82)</f>
        <v>0.94298284781232644</v>
      </c>
      <c r="G83" s="385">
        <f>SUM(G77:G82)</f>
        <v>143062.38374200001</v>
      </c>
      <c r="H83" s="385">
        <f>SUM(H77:H82)</f>
        <v>24569.84050896296</v>
      </c>
      <c r="I83" s="360"/>
      <c r="J83" s="385">
        <f>SUM(J77:J82)</f>
        <v>33590.304699999993</v>
      </c>
      <c r="K83" s="385">
        <f>SUM(K77:K82)</f>
        <v>1060659.5962609474</v>
      </c>
      <c r="L83" s="385">
        <f>SUM(L77:L82)</f>
        <v>173366.26851555047</v>
      </c>
      <c r="M83" s="360">
        <f>SUM(M77:M82)</f>
        <v>0.83023679697610353</v>
      </c>
      <c r="N83" s="359"/>
      <c r="O83" s="385">
        <f>SUM(O77:O82)</f>
        <v>5532188.0797370458</v>
      </c>
      <c r="P83" s="385">
        <f>SUM(P77:P82)</f>
        <v>950109.8418005784</v>
      </c>
      <c r="Q83" s="385">
        <f>SUM(Q77:Q82)</f>
        <v>42579670.664831281</v>
      </c>
      <c r="R83" s="385">
        <f>SUM(R77:R82)</f>
        <v>6959705.6810738845</v>
      </c>
    </row>
    <row r="84" spans="1:18" hidden="1" outlineLevel="1" x14ac:dyDescent="0.35">
      <c r="A84" s="381"/>
      <c r="B84" s="381" t="s">
        <v>370</v>
      </c>
      <c r="C84" s="381"/>
      <c r="D84" s="381"/>
      <c r="E84" s="384">
        <f>INDEX('05. BC BH THEO SKU-USD'!$CL$5:$CX$72,MATCH('05.1. Top 5 SKU'!$B84,'05. BC BH THEO SKU-USD'!$D$5:$D$72,0),MATCH('05.1. Top 5 SKU'!C72,'05. BC BH THEO SKU-USD'!$CL$4:$CX$4,0))</f>
        <v>4578.8853000000008</v>
      </c>
      <c r="F84" s="382"/>
      <c r="G84" s="381"/>
      <c r="H84" s="381"/>
      <c r="I84" s="382"/>
      <c r="J84" s="381"/>
      <c r="K84" s="381"/>
      <c r="L84" s="381"/>
      <c r="M84" s="382"/>
      <c r="N84" s="383"/>
      <c r="O84" s="384">
        <f>INDEX('05. BC BH THEO SKU-USD'!$DA$5:$DL$72,MATCH('05.1. Top 5 SKU'!$B84,'05. BC BH THEO SKU-USD'!$D$5:$D$72,0),MATCH('05.1. Top 5 SKU'!$C$3,'05. BC BH THEO SKU-USD'!$DA$4:$DL$4,0))</f>
        <v>4454931.6018065037</v>
      </c>
      <c r="P84" s="381"/>
      <c r="Q84" s="381"/>
      <c r="R84" s="381"/>
    </row>
    <row r="85" spans="1:18" collapsed="1" x14ac:dyDescent="0.35"/>
    <row r="88" spans="1:18" ht="18.5" x14ac:dyDescent="0.45">
      <c r="B88" s="362" t="s">
        <v>437</v>
      </c>
      <c r="C88" s="363">
        <v>6</v>
      </c>
      <c r="D88" s="363"/>
    </row>
    <row r="89" spans="1:18" ht="5" customHeight="1" x14ac:dyDescent="0.35"/>
    <row r="90" spans="1:18" ht="15.5" hidden="1" outlineLevel="1" x14ac:dyDescent="0.35">
      <c r="A90" s="367" t="s">
        <v>287</v>
      </c>
      <c r="B90" s="350" t="str">
        <f>"TOP 5 SKU CÓ SẢN LƯỢNG BÁN CAO NHẤT THÁNG "&amp;C88&amp;".2025"</f>
        <v>TOP 5 SKU CÓ SẢN LƯỢNG BÁN CAO NHẤT THÁNG 6.2025</v>
      </c>
      <c r="O90" s="389" t="s">
        <v>438</v>
      </c>
      <c r="P90" s="390">
        <f>HLOOKUP(C88,'02. Tỷ giá'!$B$4:$M$5,2,0)</f>
        <v>25920</v>
      </c>
    </row>
    <row r="91" spans="1:18" ht="6" hidden="1" customHeight="1" outlineLevel="1" x14ac:dyDescent="0.35"/>
    <row r="92" spans="1:18" s="349" customFormat="1" ht="43.5" hidden="1" outlineLevel="1" x14ac:dyDescent="0.35">
      <c r="A92" s="351" t="s">
        <v>174</v>
      </c>
      <c r="B92" s="351" t="s">
        <v>422</v>
      </c>
      <c r="C92" s="351" t="s">
        <v>423</v>
      </c>
      <c r="D92" s="351" t="s">
        <v>411</v>
      </c>
      <c r="E92" s="351" t="s">
        <v>424</v>
      </c>
      <c r="F92" s="351" t="s">
        <v>300</v>
      </c>
      <c r="G92" s="351" t="s">
        <v>426</v>
      </c>
      <c r="H92" s="351" t="s">
        <v>428</v>
      </c>
      <c r="I92" s="351" t="s">
        <v>425</v>
      </c>
      <c r="J92" s="394" t="s">
        <v>430</v>
      </c>
      <c r="K92" s="394" t="s">
        <v>431</v>
      </c>
      <c r="L92" s="394" t="s">
        <v>433</v>
      </c>
      <c r="M92" s="394" t="s">
        <v>435</v>
      </c>
      <c r="N92" s="351" t="s">
        <v>294</v>
      </c>
      <c r="O92" s="361" t="s">
        <v>427</v>
      </c>
      <c r="P92" s="361" t="s">
        <v>429</v>
      </c>
      <c r="Q92" s="361" t="s">
        <v>432</v>
      </c>
      <c r="R92" s="361" t="s">
        <v>434</v>
      </c>
    </row>
    <row r="93" spans="1:18" hidden="1" outlineLevel="1" x14ac:dyDescent="0.35">
      <c r="A93" s="320">
        <v>1</v>
      </c>
      <c r="B93" s="309" t="s">
        <v>110</v>
      </c>
      <c r="C93" s="309" t="s">
        <v>369</v>
      </c>
      <c r="D93" s="425" t="str">
        <f>_xlfn.XLOOKUP(B93,'05. BC BH THEO SKU-USD'!$D$5:$D$72,'05. BC BH THEO SKU-USD'!$B$5:$B$72,0)</f>
        <v xml:space="preserve"> rPET</v>
      </c>
      <c r="E93" s="345">
        <f>INDEX('05. BC BH THEO SKU-USD'!$CL$5:$CX$72,MATCH('05.1. Top 5 SKU'!$B93,'05. BC BH THEO SKU-USD'!$D$5:$D$72,0),MATCH('05.1. Top 5 SKU'!C88,'05. BC BH THEO SKU-USD'!$CL$4:$CX$4,0))</f>
        <v>1272.7249999999999</v>
      </c>
      <c r="F93" s="353">
        <f>E93/E100</f>
        <v>0.34648868237246572</v>
      </c>
      <c r="G93" s="345">
        <f>O93*$P$90/10^6</f>
        <v>40664.167623000001</v>
      </c>
      <c r="H93" s="345">
        <f>P93*$P$90/10^6</f>
        <v>4327.1257460000006</v>
      </c>
      <c r="I93" s="353">
        <f>H93/G93</f>
        <v>0.10641127063308044</v>
      </c>
      <c r="J93" s="345">
        <f>_xlfn.XLOOKUP($B93,'05. BC BH THEO SKU-USD'!$D:$D,'05. BC BH THEO SKU-USD'!CL:CL)</f>
        <v>16286.224999999999</v>
      </c>
      <c r="K93" s="346">
        <f>Q93*$P$5/10^6</f>
        <v>501018.38984280516</v>
      </c>
      <c r="L93" s="346">
        <f>R93*$P$5/10^6</f>
        <v>67593.550659752538</v>
      </c>
      <c r="M93" s="353">
        <f>L93/K93</f>
        <v>0.13491231465767167</v>
      </c>
      <c r="N93" s="309"/>
      <c r="O93" s="345">
        <f>INDEX('05. BC BH THEO SKU-USD'!$DA$5:$DL$72,MATCH('05.1. Top 5 SKU'!$B93,'05. BC BH THEO SKU-USD'!$D$5:$D$72,0),MATCH('05.1. Top 5 SKU'!C88,'05. BC BH THEO SKU-USD'!$DA$4:$DL$4,0))</f>
        <v>1568833.6274305556</v>
      </c>
      <c r="P93" s="345">
        <f>INDEX('05. BC BH THEO SKU-USD'!$DO$5:$DZ$72,MATCH('05.1. Top 5 SKU'!$B93,'05. BC BH THEO SKU-USD'!$D$5:$D$72,0),MATCH('05.1. Top 5 SKU'!C88,'05. BC BH THEO SKU-USD'!$DO$4:$DZ$4,0))</f>
        <v>166941.57970679016</v>
      </c>
      <c r="Q93" s="346">
        <f>_xlfn.XLOOKUP($B93,'05. BC BH THEO SKU-USD'!$D:$D,'05. BC BH THEO SKU-USD'!$CZ:$CZ)</f>
        <v>20113142.90818166</v>
      </c>
      <c r="R93" s="346">
        <f>_xlfn.XLOOKUP($B93,'05. BC BH THEO SKU-USD'!$D:$D,'05. BC BH THEO SKU-USD'!$DN:$DN)</f>
        <v>2713510.6647833213</v>
      </c>
    </row>
    <row r="94" spans="1:18" hidden="1" outlineLevel="1" x14ac:dyDescent="0.35">
      <c r="A94" s="322">
        <v>2</v>
      </c>
      <c r="B94" s="310" t="s">
        <v>100</v>
      </c>
      <c r="C94" s="310" t="s">
        <v>368</v>
      </c>
      <c r="D94" s="425" t="str">
        <f>_xlfn.XLOOKUP(B94,'05. BC BH THEO SKU-USD'!$D$5:$D$72,'05. BC BH THEO SKU-USD'!$B$5:$B$72,0)</f>
        <v xml:space="preserve"> rPET</v>
      </c>
      <c r="E94" s="346">
        <f>INDEX('05. BC BH THEO SKU-USD'!$CL$5:$CX$72,MATCH('05.1. Top 5 SKU'!$B94,'05. BC BH THEO SKU-USD'!$D$5:$D$72,0),MATCH('05.1. Top 5 SKU'!C88,'05. BC BH THEO SKU-USD'!$CL$4:$CX$4,0))</f>
        <v>1077.4358</v>
      </c>
      <c r="F94" s="354">
        <f>E94/E100</f>
        <v>0.29332283932736725</v>
      </c>
      <c r="G94" s="346">
        <f t="shared" ref="G94:G97" si="31">O94*$P$90/10^6</f>
        <v>35083.038782000003</v>
      </c>
      <c r="H94" s="346">
        <f t="shared" ref="H94:H97" si="32">P94*$P$90/10^6</f>
        <v>5646.9795340000064</v>
      </c>
      <c r="I94" s="354">
        <f t="shared" ref="I94:I97" si="33">H94/G94</f>
        <v>0.16096038798375964</v>
      </c>
      <c r="J94" s="346">
        <f>_xlfn.XLOOKUP($B94,'05. BC BH THEO SKU-USD'!D:D,'05. BC BH THEO SKU-USD'!CL:CL)</f>
        <v>10568.135799999998</v>
      </c>
      <c r="K94" s="346">
        <f t="shared" ref="K94:K97" si="34">Q94*$P$5/10^6</f>
        <v>335640.07257220283</v>
      </c>
      <c r="L94" s="346">
        <f>R94*$P$5/10^6</f>
        <v>64387.054503116902</v>
      </c>
      <c r="M94" s="354">
        <f t="shared" ref="M94:M97" si="35">L94/K94</f>
        <v>0.19183363300359785</v>
      </c>
      <c r="N94" s="310"/>
      <c r="O94" s="346">
        <f>INDEX('05. BC BH THEO SKU-USD'!$DA$5:$DL$72,MATCH('05.1. Top 5 SKU'!$B94,'05. BC BH THEO SKU-USD'!$D$5:$D$72,0),MATCH('05.1. Top 5 SKU'!C88,'05. BC BH THEO SKU-USD'!$DA$4:$DL$4,0))</f>
        <v>1353512.2986882715</v>
      </c>
      <c r="P94" s="346">
        <f>INDEX('05. BC BH THEO SKU-USD'!$DO$5:$DZ$72,MATCH('05.1. Top 5 SKU'!$B94,'05. BC BH THEO SKU-USD'!$D$5:$D$72,0),MATCH('05.1. Top 5 SKU'!C88,'05. BC BH THEO SKU-USD'!$DO$4:$DZ$4,0))</f>
        <v>217861.86473765457</v>
      </c>
      <c r="Q94" s="346">
        <f>_xlfn.XLOOKUP($B94,'05. BC BH THEO SKU-USD'!$D:$D,'05. BC BH THEO SKU-USD'!$CZ:$CZ)</f>
        <v>13474109.697800193</v>
      </c>
      <c r="R94" s="346">
        <f>_xlfn.XLOOKUP($B94,'05. BC BH THEO SKU-USD'!$D:$D,'05. BC BH THEO SKU-USD'!$DN:$DN)</f>
        <v>2584787.414818021</v>
      </c>
    </row>
    <row r="95" spans="1:18" hidden="1" outlineLevel="1" x14ac:dyDescent="0.35">
      <c r="A95" s="322">
        <v>3</v>
      </c>
      <c r="B95" s="310" t="s">
        <v>127</v>
      </c>
      <c r="C95" s="310" t="s">
        <v>114</v>
      </c>
      <c r="D95" s="425" t="str">
        <f>_xlfn.XLOOKUP(B95,'05. BC BH THEO SKU-USD'!$D$5:$D$72,'05. BC BH THEO SKU-USD'!$B$5:$B$72,0)</f>
        <v xml:space="preserve"> rPET</v>
      </c>
      <c r="E95" s="346">
        <f>INDEX('05. BC BH THEO SKU-USD'!$CL$5:$CX$72,MATCH('05.1. Top 5 SKU'!$B95,'05. BC BH THEO SKU-USD'!$D$5:$D$72,0),MATCH('05.1. Top 5 SKU'!C88,'05. BC BH THEO SKU-USD'!$CL$4:$CX$4,0))</f>
        <v>486.42220000000003</v>
      </c>
      <c r="F95" s="354">
        <f>E95/E100</f>
        <v>0.13242435495076785</v>
      </c>
      <c r="G95" s="346">
        <f t="shared" si="31"/>
        <v>17928.228341000005</v>
      </c>
      <c r="H95" s="346">
        <f t="shared" si="32"/>
        <v>3586.6608561851858</v>
      </c>
      <c r="I95" s="354">
        <f t="shared" si="33"/>
        <v>0.20005662511464467</v>
      </c>
      <c r="J95" s="346">
        <f>_xlfn.XLOOKUP($B95,'05. BC BH THEO SKU-USD'!D:D,'05. BC BH THEO SKU-USD'!CL:CL)</f>
        <v>4362.5938999999998</v>
      </c>
      <c r="K95" s="346">
        <f t="shared" si="34"/>
        <v>152536.35275652912</v>
      </c>
      <c r="L95" s="346">
        <f t="shared" ref="L95:L97" si="36">R95*$P$5/10^6</f>
        <v>31027.467487173402</v>
      </c>
      <c r="M95" s="354">
        <f t="shared" si="35"/>
        <v>0.20341031450186758</v>
      </c>
      <c r="N95" s="310"/>
      <c r="O95" s="346">
        <f>INDEX('05. BC BH THEO SKU-USD'!$DA$5:$DL$72,MATCH('05.1. Top 5 SKU'!$B95,'05. BC BH THEO SKU-USD'!$D$5:$D$72,0),MATCH('05.1. Top 5 SKU'!C88,'05. BC BH THEO SKU-USD'!$DA$4:$DL$4,0))</f>
        <v>691675.47611882724</v>
      </c>
      <c r="P95" s="346">
        <f>INDEX('05. BC BH THEO SKU-USD'!$DO$5:$DZ$72,MATCH('05.1. Top 5 SKU'!$B95,'05. BC BH THEO SKU-USD'!$D$5:$D$72,0),MATCH('05.1. Top 5 SKU'!C88,'05. BC BH THEO SKU-USD'!$DO$4:$DZ$4,0))</f>
        <v>138374.2614268976</v>
      </c>
      <c r="Q95" s="346">
        <f>_xlfn.XLOOKUP($B95,'05. BC BH THEO SKU-USD'!$D:$D,'05. BC BH THEO SKU-USD'!$CZ:$CZ)</f>
        <v>6123498.7056013299</v>
      </c>
      <c r="R95" s="346">
        <f>_xlfn.XLOOKUP($B95,'05. BC BH THEO SKU-USD'!$D:$D,'05. BC BH THEO SKU-USD'!$DN:$DN)</f>
        <v>1245582.7975581454</v>
      </c>
    </row>
    <row r="96" spans="1:18" hidden="1" outlineLevel="1" x14ac:dyDescent="0.35">
      <c r="A96" s="322">
        <v>4</v>
      </c>
      <c r="B96" s="310" t="s">
        <v>102</v>
      </c>
      <c r="C96" s="310" t="s">
        <v>101</v>
      </c>
      <c r="D96" s="425" t="str">
        <f>_xlfn.XLOOKUP(B96,'05. BC BH THEO SKU-USD'!$D$5:$D$72,'05. BC BH THEO SKU-USD'!$B$5:$B$72,0)</f>
        <v xml:space="preserve"> rPET</v>
      </c>
      <c r="E96" s="346">
        <f>INDEX('05. BC BH THEO SKU-USD'!$CL$5:$CX$72,MATCH('05.1. Top 5 SKU'!$B96,'05. BC BH THEO SKU-USD'!$D$5:$D$72,0),MATCH('05.1. Top 5 SKU'!C88,'05. BC BH THEO SKU-USD'!$CL$4:$CX$4,0))</f>
        <v>264</v>
      </c>
      <c r="F96" s="354">
        <f>E96/E100</f>
        <v>7.1871780743154215E-2</v>
      </c>
      <c r="G96" s="346">
        <f t="shared" si="31"/>
        <v>7364.1039999999994</v>
      </c>
      <c r="H96" s="346">
        <f t="shared" si="32"/>
        <v>681.0427810000009</v>
      </c>
      <c r="I96" s="354">
        <f t="shared" si="33"/>
        <v>9.2481418105991031E-2</v>
      </c>
      <c r="J96" s="346">
        <f>_xlfn.XLOOKUP($B96,'05. BC BH THEO SKU-USD'!D:D,'05. BC BH THEO SKU-USD'!CL:CL)</f>
        <v>1411.05</v>
      </c>
      <c r="K96" s="346">
        <f t="shared" si="34"/>
        <v>38362.153046060739</v>
      </c>
      <c r="L96" s="346">
        <f t="shared" si="36"/>
        <v>3097.9983740488119</v>
      </c>
      <c r="M96" s="354">
        <f t="shared" si="35"/>
        <v>8.0756634548876896E-2</v>
      </c>
      <c r="N96" s="310"/>
      <c r="O96" s="346">
        <f>INDEX('05. BC BH THEO SKU-USD'!$DA$5:$DL$72,MATCH('05.1. Top 5 SKU'!$B96,'05. BC BH THEO SKU-USD'!$D$5:$D$72,0),MATCH('05.1. Top 5 SKU'!C88,'05. BC BH THEO SKU-USD'!$DA$4:$DL$4,0))</f>
        <v>284108.95061728393</v>
      </c>
      <c r="P96" s="346">
        <f>INDEX('05. BC BH THEO SKU-USD'!$DO$5:$DZ$72,MATCH('05.1. Top 5 SKU'!$B96,'05. BC BH THEO SKU-USD'!$D$5:$D$72,0),MATCH('05.1. Top 5 SKU'!C88,'05. BC BH THEO SKU-USD'!$DO$4:$DZ$4,0))</f>
        <v>26274.798649691395</v>
      </c>
      <c r="Q96" s="346">
        <f>_xlfn.XLOOKUP($B96,'05. BC BH THEO SKU-USD'!$D:$D,'05. BC BH THEO SKU-USD'!$CZ:$CZ)</f>
        <v>1540030.2306728519</v>
      </c>
      <c r="R96" s="346">
        <f>_xlfn.XLOOKUP($B96,'05. BC BH THEO SKU-USD'!$D:$D,'05. BC BH THEO SKU-USD'!$DN:$DN)</f>
        <v>124367.65853267009</v>
      </c>
    </row>
    <row r="97" spans="1:18" hidden="1" outlineLevel="1" x14ac:dyDescent="0.35">
      <c r="A97" s="322">
        <v>5</v>
      </c>
      <c r="B97" s="310" t="s">
        <v>69</v>
      </c>
      <c r="C97" s="310" t="s">
        <v>64</v>
      </c>
      <c r="D97" s="425" t="str">
        <f>_xlfn.XLOOKUP(B97,'05. BC BH THEO SKU-USD'!$D$5:$D$72,'05. BC BH THEO SKU-USD'!$B$5:$B$72,0)</f>
        <v>rHDPE thổi</v>
      </c>
      <c r="E97" s="346">
        <f>INDEX('05. BC BH THEO SKU-USD'!$CL$5:$CX$72,MATCH('05.1. Top 5 SKU'!$B97,'05. BC BH THEO SKU-USD'!$D$5:$D$72,0),MATCH('05.1. Top 5 SKU'!C88,'05. BC BH THEO SKU-USD'!$CL$4:$CX$4,0))</f>
        <v>112.75</v>
      </c>
      <c r="F97" s="354">
        <f>E97/E100</f>
        <v>3.0695239692388781E-2</v>
      </c>
      <c r="G97" s="346">
        <f t="shared" si="31"/>
        <v>3924.2610000000004</v>
      </c>
      <c r="H97" s="346">
        <f t="shared" si="32"/>
        <v>820.34511481481468</v>
      </c>
      <c r="I97" s="354">
        <f t="shared" si="33"/>
        <v>0.20904448374224208</v>
      </c>
      <c r="J97" s="346">
        <f>_xlfn.XLOOKUP($B97,'05. BC BH THEO SKU-USD'!D:D,'05. BC BH THEO SKU-USD'!CL:CL)</f>
        <v>962.30000000000007</v>
      </c>
      <c r="K97" s="346">
        <f t="shared" si="34"/>
        <v>33102.628043349439</v>
      </c>
      <c r="L97" s="346">
        <f t="shared" si="36"/>
        <v>7260.1974914588263</v>
      </c>
      <c r="M97" s="354">
        <f t="shared" si="35"/>
        <v>0.21932390026408954</v>
      </c>
      <c r="N97" s="310"/>
      <c r="O97" s="346">
        <f>INDEX('05. BC BH THEO SKU-USD'!$DA$5:$DL$72,MATCH('05.1. Top 5 SKU'!$B97,'05. BC BH THEO SKU-USD'!$D$5:$D$72,0),MATCH('05.1. Top 5 SKU'!C88,'05. BC BH THEO SKU-USD'!$DA$4:$DL$4,0))</f>
        <v>151398.95833333334</v>
      </c>
      <c r="P97" s="346">
        <f>INDEX('05. BC BH THEO SKU-USD'!$DO$5:$DZ$72,MATCH('05.1. Top 5 SKU'!$B97,'05. BC BH THEO SKU-USD'!$D$5:$D$72,0),MATCH('05.1. Top 5 SKU'!C88,'05. BC BH THEO SKU-USD'!$DO$4:$DZ$4,0))</f>
        <v>31649.117083904886</v>
      </c>
      <c r="Q97" s="346">
        <f>_xlfn.XLOOKUP($B97,'05. BC BH THEO SKU-USD'!$D:$D,'05. BC BH THEO SKU-USD'!$CZ:$CZ)</f>
        <v>1328889.1225752484</v>
      </c>
      <c r="R97" s="346">
        <f>_xlfn.XLOOKUP($B97,'05. BC BH THEO SKU-USD'!$D:$D,'05. BC BH THEO SKU-USD'!$DN:$DN)</f>
        <v>291457.14538172726</v>
      </c>
    </row>
    <row r="98" spans="1:18" hidden="1" outlineLevel="1" x14ac:dyDescent="0.35">
      <c r="A98" s="352"/>
      <c r="B98" s="311"/>
      <c r="C98" s="311"/>
      <c r="D98" s="311"/>
      <c r="E98" s="311"/>
      <c r="F98" s="355"/>
      <c r="G98" s="311"/>
      <c r="H98" s="311"/>
      <c r="I98" s="355"/>
      <c r="J98" s="311"/>
      <c r="K98" s="311"/>
      <c r="L98" s="311"/>
      <c r="M98" s="355"/>
      <c r="N98" s="311"/>
      <c r="O98" s="311"/>
      <c r="P98" s="311"/>
      <c r="Q98" s="311"/>
      <c r="R98" s="311"/>
    </row>
    <row r="99" spans="1:18" hidden="1" outlineLevel="1" x14ac:dyDescent="0.35">
      <c r="A99" s="356"/>
      <c r="B99" s="357"/>
      <c r="C99" s="358" t="s">
        <v>436</v>
      </c>
      <c r="D99" s="358"/>
      <c r="E99" s="385">
        <f>SUM(E93:E98)</f>
        <v>3213.3329999999996</v>
      </c>
      <c r="F99" s="360">
        <f>SUM(F93:F98)</f>
        <v>0.87480289708614389</v>
      </c>
      <c r="G99" s="385">
        <f>SUM(G93:G98)</f>
        <v>104963.799746</v>
      </c>
      <c r="H99" s="385">
        <f>SUM(H93:H98)</f>
        <v>15062.154032000008</v>
      </c>
      <c r="I99" s="360"/>
      <c r="J99" s="385">
        <f>SUM(J93:J98)</f>
        <v>33590.304699999993</v>
      </c>
      <c r="K99" s="385">
        <f>SUM(K93:K98)</f>
        <v>1060659.5962609472</v>
      </c>
      <c r="L99" s="385">
        <f>SUM(L93:L98)</f>
        <v>173366.26851555047</v>
      </c>
      <c r="M99" s="360">
        <f>SUM(M93:M98)</f>
        <v>0.83023679697610353</v>
      </c>
      <c r="N99" s="359"/>
      <c r="O99" s="385">
        <f>SUM(O93:O98)</f>
        <v>4049529.3111882722</v>
      </c>
      <c r="P99" s="385">
        <f>SUM(P93:P98)</f>
        <v>581101.62160493864</v>
      </c>
      <c r="Q99" s="385">
        <f>SUM(Q93:Q98)</f>
        <v>42579670.664831281</v>
      </c>
      <c r="R99" s="385">
        <f>SUM(R93:R98)</f>
        <v>6959705.6810738845</v>
      </c>
    </row>
    <row r="100" spans="1:18" hidden="1" outlineLevel="1" x14ac:dyDescent="0.35">
      <c r="A100" s="381"/>
      <c r="B100" s="381" t="s">
        <v>370</v>
      </c>
      <c r="C100" s="381"/>
      <c r="D100" s="381"/>
      <c r="E100" s="384">
        <f>INDEX('05. BC BH THEO SKU-USD'!$CL$5:$CX$72,MATCH('05.1. Top 5 SKU'!$B100,'05. BC BH THEO SKU-USD'!$D$5:$D$72,0),MATCH('05.1. Top 5 SKU'!C88,'05. BC BH THEO SKU-USD'!$CL$4:$CX$4,0))</f>
        <v>3673.2079999999996</v>
      </c>
      <c r="F100" s="382"/>
      <c r="G100" s="381"/>
      <c r="H100" s="381"/>
      <c r="I100" s="382"/>
      <c r="J100" s="381"/>
      <c r="K100" s="381"/>
      <c r="L100" s="381"/>
      <c r="M100" s="382"/>
      <c r="N100" s="383"/>
      <c r="O100" s="384">
        <f>INDEX('05. BC BH THEO SKU-USD'!$DA$5:$DL$72,MATCH('05.1. Top 5 SKU'!$B100,'05. BC BH THEO SKU-USD'!$D$5:$D$72,0),MATCH('05.1. Top 5 SKU'!$C$3,'05. BC BH THEO SKU-USD'!$DA$4:$DL$4,0))</f>
        <v>4454931.6018065037</v>
      </c>
      <c r="P100" s="381"/>
      <c r="Q100" s="381"/>
      <c r="R100" s="381"/>
    </row>
    <row r="101" spans="1:18" collapsed="1" x14ac:dyDescent="0.35"/>
    <row r="104" spans="1:18" ht="18.5" x14ac:dyDescent="0.45">
      <c r="B104" s="362" t="s">
        <v>437</v>
      </c>
      <c r="C104" s="363">
        <v>7</v>
      </c>
      <c r="D104" s="363"/>
    </row>
    <row r="105" spans="1:18" ht="5" customHeight="1" x14ac:dyDescent="0.35"/>
    <row r="106" spans="1:18" ht="15.5" hidden="1" outlineLevel="1" x14ac:dyDescent="0.35">
      <c r="A106" s="367" t="s">
        <v>287</v>
      </c>
      <c r="B106" s="350" t="str">
        <f>"TOP 5 SKU CÓ SẢN LƯỢNG BÁN CAO NHẤT THÁNG "&amp;C104&amp;".2025"</f>
        <v>TOP 5 SKU CÓ SẢN LƯỢNG BÁN CAO NHẤT THÁNG 7.2025</v>
      </c>
      <c r="O106" s="389" t="s">
        <v>438</v>
      </c>
      <c r="P106" s="390">
        <f>HLOOKUP(C104,'02. Tỷ giá'!$B$4:$M$5,2,0)</f>
        <v>26030</v>
      </c>
    </row>
    <row r="107" spans="1:18" ht="6" hidden="1" customHeight="1" outlineLevel="1" x14ac:dyDescent="0.35"/>
    <row r="108" spans="1:18" s="349" customFormat="1" ht="43.5" hidden="1" outlineLevel="1" x14ac:dyDescent="0.35">
      <c r="A108" s="351" t="s">
        <v>174</v>
      </c>
      <c r="B108" s="351" t="s">
        <v>422</v>
      </c>
      <c r="C108" s="351" t="s">
        <v>423</v>
      </c>
      <c r="D108" s="351" t="s">
        <v>411</v>
      </c>
      <c r="E108" s="351" t="s">
        <v>424</v>
      </c>
      <c r="F108" s="351" t="s">
        <v>300</v>
      </c>
      <c r="G108" s="351" t="s">
        <v>426</v>
      </c>
      <c r="H108" s="351" t="s">
        <v>428</v>
      </c>
      <c r="I108" s="351" t="s">
        <v>425</v>
      </c>
      <c r="J108" s="394" t="s">
        <v>430</v>
      </c>
      <c r="K108" s="394" t="s">
        <v>431</v>
      </c>
      <c r="L108" s="394" t="s">
        <v>433</v>
      </c>
      <c r="M108" s="394" t="s">
        <v>435</v>
      </c>
      <c r="N108" s="351" t="s">
        <v>294</v>
      </c>
      <c r="O108" s="361" t="s">
        <v>427</v>
      </c>
      <c r="P108" s="361" t="s">
        <v>429</v>
      </c>
      <c r="Q108" s="361" t="s">
        <v>432</v>
      </c>
      <c r="R108" s="361" t="s">
        <v>434</v>
      </c>
    </row>
    <row r="109" spans="1:18" hidden="1" outlineLevel="1" x14ac:dyDescent="0.35">
      <c r="A109" s="320">
        <v>1</v>
      </c>
      <c r="B109" s="309" t="s">
        <v>110</v>
      </c>
      <c r="C109" s="309" t="s">
        <v>369</v>
      </c>
      <c r="D109" s="425" t="str">
        <f>_xlfn.XLOOKUP(B109,'05. BC BH THEO SKU-USD'!$D$5:$D$72,'05. BC BH THEO SKU-USD'!$B$5:$B$72,0)</f>
        <v xml:space="preserve"> rPET</v>
      </c>
      <c r="E109" s="345">
        <f>INDEX('05. BC BH THEO SKU-USD'!$CL$5:$CX$72,MATCH('05.1. Top 5 SKU'!$B109,'05. BC BH THEO SKU-USD'!$D$5:$D$72,0),MATCH('05.1. Top 5 SKU'!C104,'05. BC BH THEO SKU-USD'!$CL$4:$CX$4,0))</f>
        <v>2068</v>
      </c>
      <c r="F109" s="353">
        <f>E109/E117</f>
        <v>0.45346659754736407</v>
      </c>
      <c r="G109" s="345">
        <f>O109*$P$106/10^6</f>
        <v>66060.648373999997</v>
      </c>
      <c r="H109" s="1188">
        <f>P109*$P$106/10^6</f>
        <v>5573.379827999991</v>
      </c>
      <c r="I109" s="1189">
        <f>H109/G109</f>
        <v>8.4367622255938218E-2</v>
      </c>
      <c r="J109" s="345">
        <f>_xlfn.XLOOKUP($B109,'05. BC BH THEO SKU-USD'!$D:$D,'05. BC BH THEO SKU-USD'!CL:CL)</f>
        <v>16286.224999999999</v>
      </c>
      <c r="K109" s="346">
        <f>Q109*$P$5/10^6</f>
        <v>501018.38984280516</v>
      </c>
      <c r="L109" s="1190">
        <f>R109*$P$5/10^6</f>
        <v>67593.550659752538</v>
      </c>
      <c r="M109" s="1189">
        <f>L109/K109</f>
        <v>0.13491231465767167</v>
      </c>
      <c r="N109" s="309"/>
      <c r="O109" s="345">
        <f>INDEX('05. BC BH THEO SKU-USD'!$DA$5:$DL$72,MATCH('05.1. Top 5 SKU'!$B109,'05. BC BH THEO SKU-USD'!$D$5:$D$72,0),MATCH('05.1. Top 5 SKU'!C104,'05. BC BH THEO SKU-USD'!$DA$4:$DL$4,0))</f>
        <v>2537865.8614675375</v>
      </c>
      <c r="P109" s="345">
        <f>INDEX('05. BC BH THEO SKU-USD'!$DO$5:$DZ$72,MATCH('05.1. Top 5 SKU'!$B109,'05. BC BH THEO SKU-USD'!$D$5:$D$72,0),MATCH('05.1. Top 5 SKU'!C104,'05. BC BH THEO SKU-USD'!$DO$4:$DZ$4,0))</f>
        <v>214113.70833653444</v>
      </c>
      <c r="Q109" s="346">
        <f>_xlfn.XLOOKUP($B109,'05. BC BH THEO SKU-USD'!$D:$D,'05. BC BH THEO SKU-USD'!$CZ:$CZ)</f>
        <v>20113142.90818166</v>
      </c>
      <c r="R109" s="346">
        <f>_xlfn.XLOOKUP($B109,'05. BC BH THEO SKU-USD'!$D:$D,'05. BC BH THEO SKU-USD'!$DN:$DN)</f>
        <v>2713510.6647833213</v>
      </c>
    </row>
    <row r="110" spans="1:18" hidden="1" outlineLevel="1" x14ac:dyDescent="0.35">
      <c r="A110" s="322">
        <v>2</v>
      </c>
      <c r="B110" s="310" t="s">
        <v>100</v>
      </c>
      <c r="C110" s="310" t="s">
        <v>368</v>
      </c>
      <c r="D110" s="425" t="str">
        <f>_xlfn.XLOOKUP(B110,'05. BC BH THEO SKU-USD'!$D$5:$D$72,'05. BC BH THEO SKU-USD'!$B$5:$B$72,0)</f>
        <v xml:space="preserve"> rPET</v>
      </c>
      <c r="E110" s="346">
        <f>INDEX('05. BC BH THEO SKU-USD'!$CL$5:$CX$72,MATCH('05.1. Top 5 SKU'!$B110,'05. BC BH THEO SKU-USD'!$D$5:$D$72,0),MATCH('05.1. Top 5 SKU'!C104,'05. BC BH THEO SKU-USD'!$CL$4:$CX$4,0))</f>
        <v>957</v>
      </c>
      <c r="F110" s="354">
        <f>E110/E117</f>
        <v>0.2098489041841525</v>
      </c>
      <c r="G110" s="346">
        <f t="shared" ref="G110:G114" si="37">O110*$P$106/10^6</f>
        <v>31267.504950000002</v>
      </c>
      <c r="H110" s="1190">
        <f t="shared" ref="H110:H114" si="38">P110*$P$106/10^6</f>
        <v>5399.309298000001</v>
      </c>
      <c r="I110" s="1191">
        <f t="shared" ref="I110:I114" si="39">H110/G110</f>
        <v>0.17268116872881475</v>
      </c>
      <c r="J110" s="346">
        <f>_xlfn.XLOOKUP($B110,'05. BC BH THEO SKU-USD'!D:D,'05. BC BH THEO SKU-USD'!CL:CL)</f>
        <v>10568.135799999998</v>
      </c>
      <c r="K110" s="346">
        <f t="shared" ref="K110:K114" si="40">Q110*$P$5/10^6</f>
        <v>335640.07257220283</v>
      </c>
      <c r="L110" s="1190">
        <f>R110*$P$5/10^6</f>
        <v>64387.054503116902</v>
      </c>
      <c r="M110" s="1191">
        <f t="shared" ref="M110:M114" si="41">L110/K110</f>
        <v>0.19183363300359785</v>
      </c>
      <c r="N110" s="310"/>
      <c r="O110" s="346">
        <f>INDEX('05. BC BH THEO SKU-USD'!$DA$5:$DL$72,MATCH('05.1. Top 5 SKU'!$B110,'05. BC BH THEO SKU-USD'!$D$5:$D$72,0),MATCH('05.1. Top 5 SKU'!C104,'05. BC BH THEO SKU-USD'!$DA$4:$DL$4,0))</f>
        <v>1201210.3323088745</v>
      </c>
      <c r="P110" s="346">
        <f>INDEX('05. BC BH THEO SKU-USD'!$DO$5:$DZ$72,MATCH('05.1. Top 5 SKU'!$B110,'05. BC BH THEO SKU-USD'!$D$5:$D$72,0),MATCH('05.1. Top 5 SKU'!C104,'05. BC BH THEO SKU-USD'!$DO$4:$DZ$4,0))</f>
        <v>207426.4040722244</v>
      </c>
      <c r="Q110" s="346">
        <f>_xlfn.XLOOKUP($B110,'05. BC BH THEO SKU-USD'!$D:$D,'05. BC BH THEO SKU-USD'!$CZ:$CZ)</f>
        <v>13474109.697800193</v>
      </c>
      <c r="R110" s="346">
        <f>_xlfn.XLOOKUP($B110,'05. BC BH THEO SKU-USD'!$D:$D,'05. BC BH THEO SKU-USD'!$DN:$DN)</f>
        <v>2584787.414818021</v>
      </c>
    </row>
    <row r="111" spans="1:18" hidden="1" outlineLevel="1" x14ac:dyDescent="0.35">
      <c r="A111" s="322">
        <v>3</v>
      </c>
      <c r="B111" s="310" t="s">
        <v>102</v>
      </c>
      <c r="C111" s="310" t="s">
        <v>101</v>
      </c>
      <c r="D111" s="425" t="str">
        <f>_xlfn.XLOOKUP(B111,'05. BC BH THEO SKU-USD'!$D$5:$D$72,'05. BC BH THEO SKU-USD'!$B$5:$B$72,0)</f>
        <v xml:space="preserve"> rPET</v>
      </c>
      <c r="E111" s="346">
        <f>INDEX('05. BC BH THEO SKU-USD'!$CL$5:$CX$72,MATCH('05.1. Top 5 SKU'!$B111,'05. BC BH THEO SKU-USD'!$D$5:$D$72,0),MATCH('05.1. Top 5 SKU'!C104,'05. BC BH THEO SKU-USD'!$CL$4:$CX$4,0))</f>
        <v>374.85</v>
      </c>
      <c r="F111" s="354">
        <f>E111/E117</f>
        <v>8.2196302751755046E-2</v>
      </c>
      <c r="G111" s="346">
        <f t="shared" si="37"/>
        <v>10728.905300000002</v>
      </c>
      <c r="H111" s="1190">
        <f t="shared" si="38"/>
        <v>1187.8754389999992</v>
      </c>
      <c r="I111" s="1191">
        <f>H111/G111</f>
        <v>0.11071730113975366</v>
      </c>
      <c r="J111" s="346">
        <f>_xlfn.XLOOKUP($B111,'05. BC BH THEO SKU-USD'!D:D,'05. BC BH THEO SKU-USD'!CL:CL)</f>
        <v>1411.05</v>
      </c>
      <c r="K111" s="346">
        <f>Q111*$P$5/10^6</f>
        <v>38362.153046060739</v>
      </c>
      <c r="L111" s="1190">
        <f>R111*$P$5/10^6</f>
        <v>3097.9983740488119</v>
      </c>
      <c r="M111" s="1191">
        <f>L111/K111</f>
        <v>8.0756634548876896E-2</v>
      </c>
      <c r="N111" s="310"/>
      <c r="O111" s="346">
        <f>INDEX('05. BC BH THEO SKU-USD'!$DA$5:$DL$72,MATCH('05.1. Top 5 SKU'!$B111,'05. BC BH THEO SKU-USD'!$D$5:$D$72,0),MATCH('05.1. Top 5 SKU'!C104,'05. BC BH THEO SKU-USD'!$DA$4:$DL$4,0))</f>
        <v>412174.61774875148</v>
      </c>
      <c r="P111" s="346">
        <f>INDEX('05. BC BH THEO SKU-USD'!$DO$5:$DZ$72,MATCH('05.1. Top 5 SKU'!$B111,'05. BC BH THEO SKU-USD'!$D$5:$D$72,0),MATCH('05.1. Top 5 SKU'!C104,'05. BC BH THEO SKU-USD'!$DO$4:$DZ$4,0))</f>
        <v>45634.861275451374</v>
      </c>
      <c r="Q111" s="346">
        <f>_xlfn.XLOOKUP($B111,'05. BC BH THEO SKU-USD'!$D:$D,'05. BC BH THEO SKU-USD'!$CZ:$CZ)</f>
        <v>1540030.2306728519</v>
      </c>
      <c r="R111" s="346">
        <f>_xlfn.XLOOKUP($B111,'05. BC BH THEO SKU-USD'!$D:$D,'05. BC BH THEO SKU-USD'!$DN:$DN)</f>
        <v>124367.65853267009</v>
      </c>
    </row>
    <row r="112" spans="1:18" hidden="1" outlineLevel="1" x14ac:dyDescent="0.35">
      <c r="A112" s="322">
        <v>4</v>
      </c>
      <c r="B112" s="310" t="s">
        <v>463</v>
      </c>
      <c r="C112" s="310" t="s">
        <v>470</v>
      </c>
      <c r="D112" s="425" t="str">
        <f>_xlfn.XLOOKUP(B112,'05. BC BH THEO SKU-USD'!$D$5:$D$72,'05. BC BH THEO SKU-USD'!$B$5:$B$72,0)</f>
        <v>Xơ sợi</v>
      </c>
      <c r="E112" s="346">
        <f>INDEX('05. BC BH THEO SKU-USD'!$CL$5:$CX$72,MATCH('05.1. Top 5 SKU'!$B112,'05. BC BH THEO SKU-USD'!$D$5:$D$72,0),MATCH('05.1. Top 5 SKU'!C104,'05. BC BH THEO SKU-USD'!$CL$4:$CX$4,0))</f>
        <v>318.25</v>
      </c>
      <c r="F112" s="354">
        <f>E112/E117</f>
        <v>6.978517633919179E-2</v>
      </c>
      <c r="G112" s="346">
        <f t="shared" si="37"/>
        <v>5540.5050000000001</v>
      </c>
      <c r="H112" s="1190">
        <f t="shared" si="38"/>
        <v>-2917.0654759999993</v>
      </c>
      <c r="I112" s="1191">
        <f>H112/G112</f>
        <v>-0.52649812174161004</v>
      </c>
      <c r="J112" s="346">
        <f>_xlfn.XLOOKUP($B112,'05. BC BH THEO SKU-USD'!D:D,'05. BC BH THEO SKU-USD'!CL:CL)</f>
        <v>446.75</v>
      </c>
      <c r="K112" s="346">
        <f>Q112*$P$5/10^6</f>
        <v>7471.6752013298001</v>
      </c>
      <c r="L112" s="1190">
        <f>R112*$P$5/10^6</f>
        <v>-3546.7067199147741</v>
      </c>
      <c r="M112" s="1191">
        <f>L112/K112</f>
        <v>-0.47468695096429453</v>
      </c>
      <c r="N112" s="310"/>
      <c r="O112" s="346">
        <f>INDEX('05. BC BH THEO SKU-USD'!$DA$5:$DL$72,MATCH('05.1. Top 5 SKU'!$B112,'05. BC BH THEO SKU-USD'!$D$5:$D$72,0),MATCH('05.1. Top 5 SKU'!C104,'05. BC BH THEO SKU-USD'!$DA$4:$DL$4,0))</f>
        <v>212850.74913561274</v>
      </c>
      <c r="P112" s="346">
        <f>INDEX('05. BC BH THEO SKU-USD'!$DO$5:$DZ$72,MATCH('05.1. Top 5 SKU'!$B112,'05. BC BH THEO SKU-USD'!$D$5:$D$72,0),MATCH('05.1. Top 5 SKU'!C104,'05. BC BH THEO SKU-USD'!$DO$4:$DZ$4,0))</f>
        <v>-112065.51963119477</v>
      </c>
      <c r="Q112" s="346">
        <f>_xlfn.XLOOKUP($B112,'05. BC BH THEO SKU-USD'!$D:$D,'05. BC BH THEO SKU-USD'!$CZ:$CZ)</f>
        <v>299946.81659292651</v>
      </c>
      <c r="R112" s="346">
        <f>_xlfn.XLOOKUP($B112,'05. BC BH THEO SKU-USD'!$D:$D,'05. BC BH THEO SKU-USD'!$DN:$DN)</f>
        <v>-142380.83981994275</v>
      </c>
    </row>
    <row r="113" spans="1:18" hidden="1" outlineLevel="1" x14ac:dyDescent="0.35">
      <c r="A113" s="322">
        <v>5</v>
      </c>
      <c r="B113" s="310" t="s">
        <v>87</v>
      </c>
      <c r="C113" s="310" t="s">
        <v>86</v>
      </c>
      <c r="D113" s="425" t="str">
        <f>_xlfn.XLOOKUP(B113,'05. BC BH THEO SKU-USD'!$D$5:$D$72,'05. BC BH THEO SKU-USD'!$B$5:$B$72,0)</f>
        <v>Xơ sợi</v>
      </c>
      <c r="E113" s="346">
        <f>INDEX('05. BC BH THEO SKU-USD'!$CL$5:$CX$72,MATCH('05.1. Top 5 SKU'!$B113,'05. BC BH THEO SKU-USD'!$D$5:$D$72,0),MATCH('05.1. Top 5 SKU'!C104,'05. BC BH THEO SKU-USD'!$CL$4:$CX$4,0))</f>
        <v>249.55</v>
      </c>
      <c r="F113" s="354">
        <f>E113/E117</f>
        <v>5.4720787919702467E-2</v>
      </c>
      <c r="G113" s="346">
        <f t="shared" si="37"/>
        <v>4341.9250000000002</v>
      </c>
      <c r="H113" s="1190">
        <f t="shared" si="38"/>
        <v>-1933.062514</v>
      </c>
      <c r="I113" s="1191">
        <f>H113/G113</f>
        <v>-0.44520863764344154</v>
      </c>
      <c r="J113" s="346">
        <f>_xlfn.XLOOKUP($B113,'05. BC BH THEO SKU-USD'!D:D,'05. BC BH THEO SKU-USD'!CL:CL)</f>
        <v>852.45</v>
      </c>
      <c r="K113" s="346">
        <f>Q113*$P$5/10^6</f>
        <v>14384.869879359014</v>
      </c>
      <c r="L113" s="1190">
        <f>R113*$P$5/10^6</f>
        <v>-7343.9654995086939</v>
      </c>
      <c r="M113" s="1191">
        <f>L113/K113</f>
        <v>-0.51053402367209588</v>
      </c>
      <c r="N113" s="310"/>
      <c r="O113" s="346">
        <f>INDEX('05. BC BH THEO SKU-USD'!$DA$5:$DL$72,MATCH('05.1. Top 5 SKU'!$B113,'05. BC BH THEO SKU-USD'!$D$5:$D$72,0),MATCH('05.1. Top 5 SKU'!C104,'05. BC BH THEO SKU-USD'!$DA$4:$DL$4,0))</f>
        <v>166804.64848252016</v>
      </c>
      <c r="P113" s="346">
        <f>INDEX('05. BC BH THEO SKU-USD'!$DO$5:$DZ$72,MATCH('05.1. Top 5 SKU'!$B113,'05. BC BH THEO SKU-USD'!$D$5:$D$72,0),MATCH('05.1. Top 5 SKU'!C104,'05. BC BH THEO SKU-USD'!$DO$4:$DZ$4,0))</f>
        <v>-74262.870303495962</v>
      </c>
      <c r="Q113" s="346">
        <f>_xlfn.XLOOKUP($B113,'05. BC BH THEO SKU-USD'!$D:$D,'05. BC BH THEO SKU-USD'!$CZ:$CZ)</f>
        <v>577473.70049614669</v>
      </c>
      <c r="R113" s="346">
        <f>_xlfn.XLOOKUP($B113,'05. BC BH THEO SKU-USD'!$D:$D,'05. BC BH THEO SKU-USD'!$DN:$DN)</f>
        <v>-294819.97187911253</v>
      </c>
    </row>
    <row r="114" spans="1:18" hidden="1" outlineLevel="1" x14ac:dyDescent="0.35">
      <c r="A114" s="322">
        <v>6</v>
      </c>
      <c r="B114" s="310" t="s">
        <v>127</v>
      </c>
      <c r="C114" s="310" t="s">
        <v>114</v>
      </c>
      <c r="D114" s="425" t="str">
        <f>_xlfn.XLOOKUP(B114,'05. BC BH THEO SKU-USD'!$D$5:$D$72,'05. BC BH THEO SKU-USD'!$B$5:$B$72,0)</f>
        <v xml:space="preserve"> rPET</v>
      </c>
      <c r="E114" s="346">
        <f>INDEX('05. BC BH THEO SKU-USD'!$CL$5:$CX$72,MATCH('05.1. Top 5 SKU'!$B114,'05. BC BH THEO SKU-USD'!$D$5:$D$72,0),MATCH('05.1. Top 5 SKU'!C104,'05. BC BH THEO SKU-USD'!$CL$4:$CX$4,0))</f>
        <v>248.9691</v>
      </c>
      <c r="F114" s="354">
        <f>E114/E117</f>
        <v>5.4593409415584833E-2</v>
      </c>
      <c r="G114" s="346">
        <f t="shared" si="37"/>
        <v>9132.0333059999994</v>
      </c>
      <c r="H114" s="1190">
        <f t="shared" si="38"/>
        <v>1771.914958820556</v>
      </c>
      <c r="I114" s="1191">
        <f t="shared" si="39"/>
        <v>0.19403290586515476</v>
      </c>
      <c r="J114" s="346">
        <f>_xlfn.XLOOKUP($B114,'05. BC BH THEO SKU-USD'!D:D,'05. BC BH THEO SKU-USD'!CL:CL)</f>
        <v>4362.5938999999998</v>
      </c>
      <c r="K114" s="346">
        <f t="shared" si="40"/>
        <v>152536.35275652912</v>
      </c>
      <c r="L114" s="1190">
        <f t="shared" ref="L114" si="42">R114*$P$5/10^6</f>
        <v>31027.467487173402</v>
      </c>
      <c r="M114" s="1191">
        <f t="shared" si="41"/>
        <v>0.20341031450186758</v>
      </c>
      <c r="N114" s="310"/>
      <c r="O114" s="346">
        <f>INDEX('05. BC BH THEO SKU-USD'!$DA$5:$DL$72,MATCH('05.1. Top 5 SKU'!$B114,'05. BC BH THEO SKU-USD'!$D$5:$D$72,0),MATCH('05.1. Top 5 SKU'!C104,'05. BC BH THEO SKU-USD'!$DA$4:$DL$4,0))</f>
        <v>350827.24955820211</v>
      </c>
      <c r="P114" s="346">
        <f>INDEX('05. BC BH THEO SKU-USD'!$DO$5:$DZ$72,MATCH('05.1. Top 5 SKU'!$B114,'05. BC BH THEO SKU-USD'!$D$5:$D$72,0),MATCH('05.1. Top 5 SKU'!C104,'05. BC BH THEO SKU-USD'!$DO$4:$DZ$4,0))</f>
        <v>68072.030688457773</v>
      </c>
      <c r="Q114" s="346">
        <f>_xlfn.XLOOKUP($B114,'05. BC BH THEO SKU-USD'!$D:$D,'05. BC BH THEO SKU-USD'!$CZ:$CZ)</f>
        <v>6123498.7056013299</v>
      </c>
      <c r="R114" s="346">
        <f>_xlfn.XLOOKUP($B114,'05. BC BH THEO SKU-USD'!$D:$D,'05. BC BH THEO SKU-USD'!$DN:$DN)</f>
        <v>1245582.7975581454</v>
      </c>
    </row>
    <row r="115" spans="1:18" hidden="1" outlineLevel="1" x14ac:dyDescent="0.35">
      <c r="A115" s="352"/>
      <c r="B115" s="311"/>
      <c r="C115" s="311"/>
      <c r="D115" s="311"/>
      <c r="E115" s="311"/>
      <c r="F115" s="355"/>
      <c r="G115" s="311"/>
      <c r="H115" s="311"/>
      <c r="I115" s="355"/>
      <c r="J115" s="311"/>
      <c r="K115" s="311"/>
      <c r="L115" s="311"/>
      <c r="M115" s="355"/>
      <c r="N115" s="311"/>
      <c r="O115" s="311"/>
      <c r="P115" s="311"/>
      <c r="Q115" s="311"/>
      <c r="R115" s="311"/>
    </row>
    <row r="116" spans="1:18" hidden="1" outlineLevel="1" x14ac:dyDescent="0.35">
      <c r="A116" s="356"/>
      <c r="B116" s="357"/>
      <c r="C116" s="358" t="s">
        <v>436</v>
      </c>
      <c r="D116" s="358"/>
      <c r="E116" s="385">
        <f>SUM(E109:E115)</f>
        <v>4216.6190999999999</v>
      </c>
      <c r="F116" s="360">
        <f>SUM(F109:F115)</f>
        <v>0.92461117815775073</v>
      </c>
      <c r="G116" s="385">
        <f>SUM(G109:G115)</f>
        <v>127071.52193</v>
      </c>
      <c r="H116" s="385">
        <f>SUM(H109:H115)</f>
        <v>9082.351533820547</v>
      </c>
      <c r="I116" s="360"/>
      <c r="J116" s="385">
        <f>SUM(J109:J115)</f>
        <v>33927.204699999995</v>
      </c>
      <c r="K116" s="385">
        <f>SUM(K109:K115)</f>
        <v>1049413.5132982866</v>
      </c>
      <c r="L116" s="385">
        <f>SUM(L109:L115)</f>
        <v>155215.39880466822</v>
      </c>
      <c r="M116" s="360">
        <f>SUM(M109:M115)</f>
        <v>-0.37430807792437643</v>
      </c>
      <c r="N116" s="359"/>
      <c r="O116" s="385">
        <f>SUM(O109:O115)</f>
        <v>4881733.4587014979</v>
      </c>
      <c r="P116" s="385">
        <f>SUM(P109:P115)</f>
        <v>348918.61443797726</v>
      </c>
      <c r="Q116" s="385">
        <f>SUM(Q109:Q115)</f>
        <v>42128202.059345104</v>
      </c>
      <c r="R116" s="385">
        <f>SUM(R109:R115)</f>
        <v>6231047.7239931021</v>
      </c>
    </row>
    <row r="117" spans="1:18" hidden="1" outlineLevel="1" x14ac:dyDescent="0.35">
      <c r="A117" s="381"/>
      <c r="B117" s="381" t="s">
        <v>370</v>
      </c>
      <c r="C117" s="381"/>
      <c r="D117" s="381"/>
      <c r="E117" s="384">
        <f>INDEX('05. BC BH THEO SKU-USD'!$CL$5:$CX$72,MATCH('05.1. Top 5 SKU'!$B117,'05. BC BH THEO SKU-USD'!$D$5:$D$72,0),MATCH('05.1. Top 5 SKU'!C104,'05. BC BH THEO SKU-USD'!$CL$4:$CX$4,0))</f>
        <v>4560.4241000000002</v>
      </c>
      <c r="F117" s="382"/>
      <c r="G117" s="381"/>
      <c r="H117" s="381"/>
      <c r="I117" s="382"/>
      <c r="J117" s="381"/>
      <c r="K117" s="381"/>
      <c r="L117" s="381"/>
      <c r="M117" s="382"/>
      <c r="N117" s="383"/>
      <c r="O117" s="384">
        <f>INDEX('05. BC BH THEO SKU-USD'!$DA$5:$DL$72,MATCH('05.1. Top 5 SKU'!$B117,'05. BC BH THEO SKU-USD'!$D$5:$D$72,0),MATCH('05.1. Top 5 SKU'!$C$3,'05. BC BH THEO SKU-USD'!$DA$4:$DL$4,0))</f>
        <v>4454931.6018065037</v>
      </c>
      <c r="P117" s="381"/>
      <c r="Q117" s="381"/>
      <c r="R117" s="381"/>
    </row>
    <row r="118" spans="1:18" collapsed="1" x14ac:dyDescent="0.35"/>
    <row r="120" spans="1:18" ht="18.5" x14ac:dyDescent="0.45">
      <c r="B120" s="362" t="s">
        <v>437</v>
      </c>
      <c r="C120" s="363">
        <v>8</v>
      </c>
      <c r="D120" s="363"/>
    </row>
    <row r="121" spans="1:18" ht="5" customHeight="1" x14ac:dyDescent="0.35"/>
    <row r="122" spans="1:18" ht="15.5" outlineLevel="1" x14ac:dyDescent="0.35">
      <c r="A122" s="367" t="s">
        <v>287</v>
      </c>
      <c r="B122" s="350" t="str">
        <f>"TOP 5 SKU CÓ SẢN LƯỢNG BÁN CAO NHẤT THÁNG "&amp;C120&amp;".2025"</f>
        <v>TOP 5 SKU CÓ SẢN LƯỢNG BÁN CAO NHẤT THÁNG 8.2025</v>
      </c>
      <c r="O122" s="389" t="s">
        <v>438</v>
      </c>
      <c r="P122" s="390">
        <f>HLOOKUP(C120,'02. Tỷ giá'!$B$4:$M$5,2,0)</f>
        <v>26180</v>
      </c>
    </row>
    <row r="123" spans="1:18" ht="6" customHeight="1" outlineLevel="1" x14ac:dyDescent="0.35"/>
    <row r="124" spans="1:18" s="349" customFormat="1" ht="43.5" outlineLevel="1" x14ac:dyDescent="0.35">
      <c r="A124" s="351" t="s">
        <v>174</v>
      </c>
      <c r="B124" s="351" t="s">
        <v>422</v>
      </c>
      <c r="C124" s="351" t="s">
        <v>423</v>
      </c>
      <c r="D124" s="351" t="s">
        <v>411</v>
      </c>
      <c r="E124" s="351" t="s">
        <v>424</v>
      </c>
      <c r="F124" s="351" t="s">
        <v>300</v>
      </c>
      <c r="G124" s="351" t="s">
        <v>426</v>
      </c>
      <c r="H124" s="351" t="s">
        <v>428</v>
      </c>
      <c r="I124" s="351" t="s">
        <v>425</v>
      </c>
      <c r="J124" s="394" t="s">
        <v>430</v>
      </c>
      <c r="K124" s="394" t="s">
        <v>431</v>
      </c>
      <c r="L124" s="394" t="s">
        <v>433</v>
      </c>
      <c r="M124" s="394" t="s">
        <v>435</v>
      </c>
      <c r="N124" s="351" t="s">
        <v>294</v>
      </c>
      <c r="O124" s="361" t="s">
        <v>427</v>
      </c>
      <c r="P124" s="361" t="s">
        <v>429</v>
      </c>
      <c r="Q124" s="361" t="s">
        <v>432</v>
      </c>
      <c r="R124" s="361" t="s">
        <v>434</v>
      </c>
    </row>
    <row r="125" spans="1:18" outlineLevel="1" x14ac:dyDescent="0.35">
      <c r="A125" s="320">
        <v>1</v>
      </c>
      <c r="B125" s="309" t="s">
        <v>110</v>
      </c>
      <c r="C125" s="309" t="s">
        <v>369</v>
      </c>
      <c r="D125" s="425" t="str">
        <f>_xlfn.XLOOKUP(B125,'05. BC BH THEO SKU-USD'!$D$5:$D$72,'05. BC BH THEO SKU-USD'!$B$5:$B$72,0)</f>
        <v xml:space="preserve"> rPET</v>
      </c>
      <c r="E125" s="345">
        <f>INDEX('05. BC BH THEO SKU-USD'!$CL$5:$CX$72,MATCH('05.1. Top 5 SKU'!$B125,'05. BC BH THEO SKU-USD'!$D$5:$D$72,0),MATCH('05.1. Top 5 SKU'!C120,'05. BC BH THEO SKU-USD'!$CL$4:$CX$4,0))</f>
        <v>1771.3</v>
      </c>
      <c r="F125" s="353">
        <f>E125/E131</f>
        <v>0.34133250908395774</v>
      </c>
      <c r="G125" s="345">
        <f>O125*$P$122/10^6</f>
        <v>55457.513604</v>
      </c>
      <c r="H125" s="1188">
        <f>P125*$P$122/10^6</f>
        <v>5098.7926689999949</v>
      </c>
      <c r="I125" s="1263">
        <f>H125/G125</f>
        <v>9.19405205471064E-2</v>
      </c>
      <c r="J125" s="345">
        <f>_xlfn.XLOOKUP($B125,'05. BC BH THEO SKU-USD'!$D:$D,'05. BC BH THEO SKU-USD'!CL:CL)</f>
        <v>16286.224999999999</v>
      </c>
      <c r="K125" s="346">
        <f>Q125*$P$5/10^6</f>
        <v>501018.38984280516</v>
      </c>
      <c r="L125" s="1190">
        <f>R125*$P$122/10^6</f>
        <v>71039.709204027356</v>
      </c>
      <c r="M125" s="1189">
        <f>L125/K125</f>
        <v>0.14179062214925106</v>
      </c>
      <c r="N125" s="309"/>
      <c r="O125" s="345">
        <f>INDEX('05. BC BH THEO SKU-USD'!$DA$5:$DL$72,MATCH('05.1. Top 5 SKU'!$B125,'05. BC BH THEO SKU-USD'!$D$5:$D$72,0),MATCH('05.1. Top 5 SKU'!C120,'05. BC BH THEO SKU-USD'!$DA$4:$DL$4,0))</f>
        <v>2118316.0276546981</v>
      </c>
      <c r="P125" s="345">
        <f>INDEX('05. BC BH THEO SKU-USD'!$DO$5:$DZ$72,MATCH('05.1. Top 5 SKU'!$B125,'05. BC BH THEO SKU-USD'!$D$5:$D$72,0),MATCH('05.1. Top 5 SKU'!C120,'05. BC BH THEO SKU-USD'!$DO$4:$DZ$4,0))</f>
        <v>194759.0782658516</v>
      </c>
      <c r="Q125" s="346">
        <f>_xlfn.XLOOKUP($B125,'05. BC BH THEO SKU-USD'!$D:$D,'05. BC BH THEO SKU-USD'!$CZ:$CZ)</f>
        <v>20113142.90818166</v>
      </c>
      <c r="R125" s="346">
        <f>_xlfn.XLOOKUP($B125,'05. BC BH THEO SKU-USD'!$D:$D,'05. BC BH THEO SKU-USD'!$DN:$DN)</f>
        <v>2713510.6647833213</v>
      </c>
    </row>
    <row r="126" spans="1:18" outlineLevel="1" x14ac:dyDescent="0.35">
      <c r="A126" s="322">
        <v>2</v>
      </c>
      <c r="B126" s="310" t="s">
        <v>100</v>
      </c>
      <c r="C126" s="310" t="s">
        <v>368</v>
      </c>
      <c r="D126" s="425" t="str">
        <f>_xlfn.XLOOKUP(B126,'05. BC BH THEO SKU-USD'!$D$5:$D$72,'05. BC BH THEO SKU-USD'!$B$5:$B$72,0)</f>
        <v xml:space="preserve"> rPET</v>
      </c>
      <c r="E126" s="346">
        <f>INDEX('05. BC BH THEO SKU-USD'!$CL$5:$CX$72,MATCH('05.1. Top 5 SKU'!$B126,'05. BC BH THEO SKU-USD'!$D$5:$D$72,0),MATCH('05.1. Top 5 SKU'!C120,'05. BC BH THEO SKU-USD'!$CL$4:$CX$4,0))</f>
        <v>1287</v>
      </c>
      <c r="F126" s="354">
        <f>E126/E131</f>
        <v>0.24800707908939965</v>
      </c>
      <c r="G126" s="346">
        <f t="shared" ref="G126:G129" si="43">O126*$P$122/10^6</f>
        <v>42523.978309999999</v>
      </c>
      <c r="H126" s="1190">
        <f t="shared" ref="H126:H129" si="44">P126*$P$122/10^6</f>
        <v>8044.4656269999941</v>
      </c>
      <c r="I126" s="1264">
        <f t="shared" ref="I126" si="45">H126/G126</f>
        <v>0.18917481258117014</v>
      </c>
      <c r="J126" s="346">
        <f>_xlfn.XLOOKUP($B126,'05. BC BH THEO SKU-USD'!D:D,'05. BC BH THEO SKU-USD'!CL:CL)</f>
        <v>10568.135799999998</v>
      </c>
      <c r="K126" s="346">
        <f t="shared" ref="K126" si="46">Q126*$P$5/10^6</f>
        <v>335640.07257220283</v>
      </c>
      <c r="L126" s="1190">
        <f t="shared" ref="L126:L129" si="47">R126*$P$122/10^6</f>
        <v>67669.734519935795</v>
      </c>
      <c r="M126" s="1191">
        <f t="shared" ref="M126" si="48">L126/K126</f>
        <v>0.20161399084842199</v>
      </c>
      <c r="N126" s="310"/>
      <c r="O126" s="346">
        <f>INDEX('05. BC BH THEO SKU-USD'!$DA$5:$DL$72,MATCH('05.1. Top 5 SKU'!$B126,'05. BC BH THEO SKU-USD'!$D$5:$D$72,0),MATCH('05.1. Top 5 SKU'!C120,'05. BC BH THEO SKU-USD'!$DA$4:$DL$4,0))</f>
        <v>1624292.5252100842</v>
      </c>
      <c r="P126" s="346">
        <f>INDEX('05. BC BH THEO SKU-USD'!$DO$5:$DZ$72,MATCH('05.1. Top 5 SKU'!$B126,'05. BC BH THEO SKU-USD'!$D$5:$D$72,0),MATCH('05.1. Top 5 SKU'!C120,'05. BC BH THEO SKU-USD'!$DO$4:$DZ$4,0))</f>
        <v>307275.23403361323</v>
      </c>
      <c r="Q126" s="346">
        <f>_xlfn.XLOOKUP($B126,'05. BC BH THEO SKU-USD'!$D:$D,'05. BC BH THEO SKU-USD'!$CZ:$CZ)</f>
        <v>13474109.697800193</v>
      </c>
      <c r="R126" s="346">
        <f>_xlfn.XLOOKUP($B126,'05. BC BH THEO SKU-USD'!$D:$D,'05. BC BH THEO SKU-USD'!$DN:$DN)</f>
        <v>2584787.414818021</v>
      </c>
    </row>
    <row r="127" spans="1:18" outlineLevel="1" x14ac:dyDescent="0.35">
      <c r="A127" s="322">
        <v>3</v>
      </c>
      <c r="B127" s="310" t="s">
        <v>127</v>
      </c>
      <c r="C127" s="310" t="s">
        <v>114</v>
      </c>
      <c r="D127" s="425" t="str">
        <f>_xlfn.XLOOKUP(B127,'05. BC BH THEO SKU-USD'!$D$5:$D$72,'05. BC BH THEO SKU-USD'!$B$5:$B$72,0)</f>
        <v xml:space="preserve"> rPET</v>
      </c>
      <c r="E127" s="346">
        <f>INDEX('05. BC BH THEO SKU-USD'!$CL$5:$CX$72,MATCH('05.1. Top 5 SKU'!$B127,'05. BC BH THEO SKU-USD'!$D$5:$D$72,0),MATCH('05.1. Top 5 SKU'!C120,'05. BC BH THEO SKU-USD'!$CL$4:$CX$4,0))</f>
        <v>835.29300000000001</v>
      </c>
      <c r="F127" s="354">
        <f>E127/E131</f>
        <v>0.160962375379815</v>
      </c>
      <c r="G127" s="346">
        <f t="shared" si="43"/>
        <v>30889.771973000003</v>
      </c>
      <c r="H127" s="1190">
        <f t="shared" si="44"/>
        <v>5065.6494099999982</v>
      </c>
      <c r="I127" s="1264">
        <f>H127/G127</f>
        <v>0.16399115585662979</v>
      </c>
      <c r="J127" s="346">
        <f>_xlfn.XLOOKUP($B127,'05. BC BH THEO SKU-USD'!D:D,'05. BC BH THEO SKU-USD'!CL:CL)</f>
        <v>4362.5938999999998</v>
      </c>
      <c r="K127" s="346">
        <f>Q127*$P$5/10^6</f>
        <v>152536.35275652912</v>
      </c>
      <c r="L127" s="1190">
        <f t="shared" si="47"/>
        <v>32609.357640072245</v>
      </c>
      <c r="M127" s="1191">
        <f>L127/K127</f>
        <v>0.21378089255957017</v>
      </c>
      <c r="N127" s="310"/>
      <c r="O127" s="346">
        <f>INDEX('05. BC BH THEO SKU-USD'!$DA$5:$DL$72,MATCH('05.1. Top 5 SKU'!$B127,'05. BC BH THEO SKU-USD'!$D$5:$D$72,0),MATCH('05.1. Top 5 SKU'!C120,'05. BC BH THEO SKU-USD'!$DA$4:$DL$4,0))</f>
        <v>1179899.6169977083</v>
      </c>
      <c r="P127" s="346">
        <f>INDEX('05. BC BH THEO SKU-USD'!$DO$5:$DZ$72,MATCH('05.1. Top 5 SKU'!$B127,'05. BC BH THEO SKU-USD'!$D$5:$D$72,0),MATCH('05.1. Top 5 SKU'!C120,'05. BC BH THEO SKU-USD'!$DO$4:$DZ$4,0))</f>
        <v>193493.10198624898</v>
      </c>
      <c r="Q127" s="346">
        <f>_xlfn.XLOOKUP($B127,'05. BC BH THEO SKU-USD'!$D:$D,'05. BC BH THEO SKU-USD'!$CZ:$CZ)</f>
        <v>6123498.7056013299</v>
      </c>
      <c r="R127" s="346">
        <f>_xlfn.XLOOKUP($B127,'05. BC BH THEO SKU-USD'!$D:$D,'05. BC BH THEO SKU-USD'!$DN:$DN)</f>
        <v>1245582.7975581454</v>
      </c>
    </row>
    <row r="128" spans="1:18" outlineLevel="1" x14ac:dyDescent="0.35">
      <c r="A128" s="322">
        <v>4</v>
      </c>
      <c r="B128" s="310" t="s">
        <v>102</v>
      </c>
      <c r="C128" s="310" t="s">
        <v>101</v>
      </c>
      <c r="D128" s="425" t="str">
        <f>_xlfn.XLOOKUP(B128,'05. BC BH THEO SKU-USD'!$D$5:$D$72,'05. BC BH THEO SKU-USD'!$B$5:$B$72,0)</f>
        <v xml:space="preserve"> rPET</v>
      </c>
      <c r="E128" s="346">
        <f>INDEX('05. BC BH THEO SKU-USD'!$CL$5:$CX$72,MATCH('05.1. Top 5 SKU'!$B128,'05. BC BH THEO SKU-USD'!$D$5:$D$72,0),MATCH('05.1. Top 5 SKU'!C120,'05. BC BH THEO SKU-USD'!$CL$4:$CX$4,0))</f>
        <v>264</v>
      </c>
      <c r="F128" s="354">
        <f>E128/E131</f>
        <v>5.0873246992697366E-2</v>
      </c>
      <c r="G128" s="346">
        <f t="shared" si="43"/>
        <v>7085.2848000000013</v>
      </c>
      <c r="H128" s="1190">
        <f t="shared" si="44"/>
        <v>188.40507399999993</v>
      </c>
      <c r="I128" s="1264">
        <f>H128/G128</f>
        <v>2.6591037526113262E-2</v>
      </c>
      <c r="J128" s="346">
        <f>_xlfn.XLOOKUP($B128,'05. BC BH THEO SKU-USD'!D:D,'05. BC BH THEO SKU-USD'!CL:CL)</f>
        <v>1411.05</v>
      </c>
      <c r="K128" s="346">
        <f>Q128*$P$5/10^6</f>
        <v>38362.153046060739</v>
      </c>
      <c r="L128" s="1190">
        <f t="shared" si="47"/>
        <v>3255.9453003853032</v>
      </c>
      <c r="M128" s="1191">
        <f>L128/K128</f>
        <v>8.4873893716964965E-2</v>
      </c>
      <c r="N128" s="310"/>
      <c r="O128" s="346">
        <f>INDEX('05. BC BH THEO SKU-USD'!$DA$5:$DL$72,MATCH('05.1. Top 5 SKU'!$B128,'05. BC BH THEO SKU-USD'!$D$5:$D$72,0),MATCH('05.1. Top 5 SKU'!C120,'05. BC BH THEO SKU-USD'!$DA$4:$DL$4,0))</f>
        <v>270637.31092436978</v>
      </c>
      <c r="P128" s="346">
        <f>INDEX('05. BC BH THEO SKU-USD'!$DO$5:$DZ$72,MATCH('05.1. Top 5 SKU'!$B128,'05. BC BH THEO SKU-USD'!$D$5:$D$72,0),MATCH('05.1. Top 5 SKU'!C120,'05. BC BH THEO SKU-USD'!$DO$4:$DZ$4,0))</f>
        <v>7196.5268907563004</v>
      </c>
      <c r="Q128" s="346">
        <f>_xlfn.XLOOKUP($B128,'05. BC BH THEO SKU-USD'!$D:$D,'05. BC BH THEO SKU-USD'!$CZ:$CZ)</f>
        <v>1540030.2306728519</v>
      </c>
      <c r="R128" s="346">
        <f>_xlfn.XLOOKUP($B128,'05. BC BH THEO SKU-USD'!$D:$D,'05. BC BH THEO SKU-USD'!$DN:$DN)</f>
        <v>124367.65853267009</v>
      </c>
    </row>
    <row r="129" spans="1:18" outlineLevel="1" x14ac:dyDescent="0.35">
      <c r="A129" s="322">
        <v>5</v>
      </c>
      <c r="B129" s="310" t="s">
        <v>87</v>
      </c>
      <c r="C129" s="310" t="s">
        <v>86</v>
      </c>
      <c r="D129" s="425" t="str">
        <f>_xlfn.XLOOKUP(B129,'05. BC BH THEO SKU-USD'!$D$5:$D$72,'05. BC BH THEO SKU-USD'!$B$5:$B$72,0)</f>
        <v>Xơ sợi</v>
      </c>
      <c r="E129" s="346">
        <f>INDEX('05. BC BH THEO SKU-USD'!$CL$5:$CX$72,MATCH('05.1. Top 5 SKU'!$B129,'05. BC BH THEO SKU-USD'!$D$5:$D$72,0),MATCH('05.1. Top 5 SKU'!C120,'05. BC BH THEO SKU-USD'!$CL$4:$CX$4,0))</f>
        <v>321.35000000000002</v>
      </c>
      <c r="F129" s="354">
        <f>E129/E131</f>
        <v>6.1924689095088255E-2</v>
      </c>
      <c r="G129" s="346">
        <f t="shared" si="43"/>
        <v>5678.8300000000008</v>
      </c>
      <c r="H129" s="1190">
        <f t="shared" si="44"/>
        <v>-3363.7614359999993</v>
      </c>
      <c r="I129" s="1264">
        <f>H129/G129</f>
        <v>-0.5923335327875634</v>
      </c>
      <c r="J129" s="346">
        <f>_xlfn.XLOOKUP($B129,'05. BC BH THEO SKU-USD'!D:D,'05. BC BH THEO SKU-USD'!CL:CL)</f>
        <v>852.45</v>
      </c>
      <c r="K129" s="346">
        <f>Q129*$P$5/10^6</f>
        <v>14384.869879359014</v>
      </c>
      <c r="L129" s="1190">
        <f t="shared" si="47"/>
        <v>-7718.3868637951664</v>
      </c>
      <c r="M129" s="1191">
        <f>L129/K129</f>
        <v>-0.53656285587055275</v>
      </c>
      <c r="N129" s="310"/>
      <c r="O129" s="346">
        <f>INDEX('05. BC BH THEO SKU-USD'!$DA$5:$DL$72,MATCH('05.1. Top 5 SKU'!$B129,'05. BC BH THEO SKU-USD'!$D$5:$D$72,0),MATCH('05.1. Top 5 SKU'!C120,'05. BC BH THEO SKU-USD'!$DA$4:$DL$4,0))</f>
        <v>216914.82047364404</v>
      </c>
      <c r="P129" s="346">
        <f>INDEX('05. BC BH THEO SKU-USD'!$DO$5:$DZ$72,MATCH('05.1. Top 5 SKU'!$B129,'05. BC BH THEO SKU-USD'!$D$5:$D$72,0),MATCH('05.1. Top 5 SKU'!C120,'05. BC BH THEO SKU-USD'!$DO$4:$DZ$4,0))</f>
        <v>-128485.92192513368</v>
      </c>
      <c r="Q129" s="346">
        <f>_xlfn.XLOOKUP($B129,'05. BC BH THEO SKU-USD'!$D:$D,'05. BC BH THEO SKU-USD'!$CZ:$CZ)</f>
        <v>577473.70049614669</v>
      </c>
      <c r="R129" s="346">
        <f>_xlfn.XLOOKUP($B129,'05. BC BH THEO SKU-USD'!$D:$D,'05. BC BH THEO SKU-USD'!$DN:$DN)</f>
        <v>-294819.97187911253</v>
      </c>
    </row>
    <row r="130" spans="1:18" outlineLevel="1" x14ac:dyDescent="0.35">
      <c r="A130" s="356"/>
      <c r="B130" s="357"/>
      <c r="C130" s="358" t="s">
        <v>436</v>
      </c>
      <c r="D130" s="358"/>
      <c r="E130" s="385">
        <f>SUM(E125:E129)</f>
        <v>4478.9430000000011</v>
      </c>
      <c r="F130" s="360">
        <f>SUM(F125:F129)</f>
        <v>0.86309989964095812</v>
      </c>
      <c r="G130" s="385">
        <f>SUM(G125:G129)</f>
        <v>141635.37868699999</v>
      </c>
      <c r="H130" s="385">
        <f>SUM(H125:H129)</f>
        <v>15033.551343999987</v>
      </c>
      <c r="I130" s="360"/>
      <c r="J130" s="385">
        <f>SUM(J125:J129)</f>
        <v>33480.454699999995</v>
      </c>
      <c r="K130" s="385">
        <f>SUM(K125:K129)</f>
        <v>1041941.8380969568</v>
      </c>
      <c r="L130" s="385">
        <f>SUM(L125:L129)</f>
        <v>166856.35980062553</v>
      </c>
      <c r="M130" s="360">
        <f>SUM(M125:M129)</f>
        <v>0.10549654340365544</v>
      </c>
      <c r="N130" s="359"/>
      <c r="O130" s="385">
        <f>SUM(O125:O129)</f>
        <v>5410060.3012605049</v>
      </c>
      <c r="P130" s="385">
        <f>SUM(P125:P129)</f>
        <v>574238.01925133646</v>
      </c>
      <c r="Q130" s="385">
        <f>SUM(Q125:Q129)</f>
        <v>41828255.24275218</v>
      </c>
      <c r="R130" s="385">
        <f>SUM(R125:R129)</f>
        <v>6373428.5638130447</v>
      </c>
    </row>
    <row r="131" spans="1:18" outlineLevel="1" x14ac:dyDescent="0.35">
      <c r="A131" s="381"/>
      <c r="B131" s="381" t="s">
        <v>370</v>
      </c>
      <c r="C131" s="381"/>
      <c r="D131" s="381"/>
      <c r="E131" s="384">
        <f>INDEX('05. BC BH THEO SKU-USD'!$CL$5:$CX$72,MATCH('05.1. Top 5 SKU'!$B131,'05. BC BH THEO SKU-USD'!$D$5:$D$72,0),MATCH('05.1. Top 5 SKU'!C120,'05. BC BH THEO SKU-USD'!$CL$4:$CX$4,0))</f>
        <v>5189.3680000000013</v>
      </c>
      <c r="F131" s="382"/>
      <c r="G131" s="381"/>
      <c r="H131" s="381"/>
      <c r="I131" s="382"/>
      <c r="J131" s="381"/>
      <c r="K131" s="381"/>
      <c r="L131" s="381"/>
      <c r="M131" s="382"/>
      <c r="N131" s="383"/>
      <c r="O131" s="384">
        <f>INDEX('05. BC BH THEO SKU-USD'!$DA$5:$DL$72,MATCH('05.1. Top 5 SKU'!$B131,'05. BC BH THEO SKU-USD'!$D$5:$D$72,0),MATCH('05.1. Top 5 SKU'!$C$3,'05. BC BH THEO SKU-USD'!$DA$4:$DL$4,0))</f>
        <v>4454931.6018065037</v>
      </c>
      <c r="P131" s="381"/>
      <c r="Q131" s="381"/>
      <c r="R131" s="381"/>
    </row>
    <row r="133" spans="1:18" ht="18.5" x14ac:dyDescent="0.45">
      <c r="B133" s="362" t="s">
        <v>437</v>
      </c>
      <c r="C133" s="363">
        <v>9</v>
      </c>
      <c r="D133" s="363"/>
    </row>
    <row r="134" spans="1:18" ht="5" customHeight="1" x14ac:dyDescent="0.35"/>
    <row r="135" spans="1:18" ht="15.5" outlineLevel="1" x14ac:dyDescent="0.35">
      <c r="A135" s="367" t="s">
        <v>287</v>
      </c>
      <c r="B135" s="350" t="str">
        <f>"TOP 5 SKU CÓ SẢN LƯỢNG BÁN CAO NHẤT THÁNG "&amp;C133&amp;".2025"</f>
        <v>TOP 5 SKU CÓ SẢN LƯỢNG BÁN CAO NHẤT THÁNG 9.2025</v>
      </c>
      <c r="O135" s="389" t="s">
        <v>438</v>
      </c>
      <c r="P135" s="390">
        <f>HLOOKUP(C133,'02. Tỷ giá'!$B$4:$M$5,2,0)</f>
        <v>26250</v>
      </c>
    </row>
    <row r="136" spans="1:18" ht="6" customHeight="1" outlineLevel="1" x14ac:dyDescent="0.35"/>
    <row r="137" spans="1:18" s="349" customFormat="1" ht="43.5" outlineLevel="1" x14ac:dyDescent="0.35">
      <c r="A137" s="351" t="s">
        <v>174</v>
      </c>
      <c r="B137" s="351" t="s">
        <v>422</v>
      </c>
      <c r="C137" s="351" t="s">
        <v>423</v>
      </c>
      <c r="D137" s="351" t="s">
        <v>411</v>
      </c>
      <c r="E137" s="351" t="s">
        <v>424</v>
      </c>
      <c r="F137" s="351" t="s">
        <v>300</v>
      </c>
      <c r="G137" s="351" t="s">
        <v>426</v>
      </c>
      <c r="H137" s="351" t="s">
        <v>428</v>
      </c>
      <c r="I137" s="351" t="s">
        <v>425</v>
      </c>
      <c r="J137" s="394" t="s">
        <v>430</v>
      </c>
      <c r="K137" s="394" t="s">
        <v>431</v>
      </c>
      <c r="L137" s="394" t="s">
        <v>433</v>
      </c>
      <c r="M137" s="394" t="s">
        <v>435</v>
      </c>
      <c r="N137" s="351" t="s">
        <v>294</v>
      </c>
      <c r="O137" s="361" t="s">
        <v>427</v>
      </c>
      <c r="P137" s="361" t="s">
        <v>429</v>
      </c>
      <c r="Q137" s="361" t="s">
        <v>432</v>
      </c>
      <c r="R137" s="361" t="s">
        <v>434</v>
      </c>
    </row>
    <row r="138" spans="1:18" outlineLevel="1" x14ac:dyDescent="0.35">
      <c r="A138" s="320">
        <v>1</v>
      </c>
      <c r="B138" s="309" t="s">
        <v>110</v>
      </c>
      <c r="C138" s="309" t="s">
        <v>369</v>
      </c>
      <c r="D138" s="425" t="str">
        <f>_xlfn.XLOOKUP(B138,'05. BC BH THEO SKU-USD'!$D$5:$D$72,'05. BC BH THEO SKU-USD'!$B$5:$B$72,0)</f>
        <v xml:space="preserve"> rPET</v>
      </c>
      <c r="E138" s="345">
        <f>INDEX('05. BC BH THEO SKU-USD'!$CL$5:$CX$72,MATCH('05.1. Top 5 SKU'!$B138,'05. BC BH THEO SKU-USD'!$D$5:$D$72,0),MATCH('05.1. Top 5 SKU'!C133,'05. BC BH THEO SKU-USD'!$CL$4:$CX$4,0))</f>
        <v>1195.0999999999999</v>
      </c>
      <c r="F138" s="353">
        <f>E138/E144</f>
        <v>0.45109603389542619</v>
      </c>
      <c r="G138" s="345">
        <f>O138*$P$135/10^6</f>
        <v>38606.614276</v>
      </c>
      <c r="H138" s="1188">
        <f>P138*$P$135/10^6</f>
        <v>5830.5010488273347</v>
      </c>
      <c r="I138" s="1263">
        <f>H138/G138</f>
        <v>0.1510233714654407</v>
      </c>
      <c r="J138" s="345">
        <f>_xlfn.XLOOKUP($B138,'05. BC BH THEO SKU-USD'!$D:$D,'05. BC BH THEO SKU-USD'!CL:CL)</f>
        <v>16286.224999999999</v>
      </c>
      <c r="K138" s="346">
        <f>Q138*$P$5/10^6</f>
        <v>501018.38984280516</v>
      </c>
      <c r="L138" s="1190">
        <f>R138*$P$135/10^6</f>
        <v>71229.654950562181</v>
      </c>
      <c r="M138" s="1189">
        <f>L138/K138</f>
        <v>0.14216974145981054</v>
      </c>
      <c r="N138" s="309"/>
      <c r="O138" s="345">
        <f>INDEX('05. BC BH THEO SKU-USD'!$DA$5:$DL$72,MATCH('05.1. Top 5 SKU'!$B138,'05. BC BH THEO SKU-USD'!$D$5:$D$72,0),MATCH('05.1. Top 5 SKU'!C133,'05. BC BH THEO SKU-USD'!$DA$4:$DL$4,0))</f>
        <v>1470728.162895238</v>
      </c>
      <c r="P138" s="345">
        <f>INDEX('05. BC BH THEO SKU-USD'!$DO$5:$DZ$72,MATCH('05.1. Top 5 SKU'!$B138,'05. BC BH THEO SKU-USD'!$D$5:$D$72,0),MATCH('05.1. Top 5 SKU'!C133,'05. BC BH THEO SKU-USD'!$DO$4:$DZ$4,0))</f>
        <v>222114.32566961274</v>
      </c>
      <c r="Q138" s="346">
        <f>_xlfn.XLOOKUP($B138,'05. BC BH THEO SKU-USD'!$D:$D,'05. BC BH THEO SKU-USD'!$CZ:$CZ)</f>
        <v>20113142.90818166</v>
      </c>
      <c r="R138" s="346">
        <f>_xlfn.XLOOKUP($B138,'05. BC BH THEO SKU-USD'!$D:$D,'05. BC BH THEO SKU-USD'!$DN:$DN)</f>
        <v>2713510.6647833213</v>
      </c>
    </row>
    <row r="139" spans="1:18" outlineLevel="1" x14ac:dyDescent="0.35">
      <c r="A139" s="322">
        <v>2</v>
      </c>
      <c r="B139" s="310" t="s">
        <v>127</v>
      </c>
      <c r="C139" s="310" t="s">
        <v>114</v>
      </c>
      <c r="D139" s="425" t="str">
        <f>_xlfn.XLOOKUP(B139,'05. BC BH THEO SKU-USD'!$D$5:$D$72,'05. BC BH THEO SKU-USD'!$B$5:$B$72,0)</f>
        <v xml:space="preserve"> rPET</v>
      </c>
      <c r="E139" s="346">
        <f>INDEX('05. BC BH THEO SKU-USD'!$CL$5:$CX$72,MATCH('05.1. Top 5 SKU'!$B139,'05. BC BH THEO SKU-USD'!$D$5:$D$72,0),MATCH('05.1. Top 5 SKU'!C133,'05. BC BH THEO SKU-USD'!$CL$4:$CX$4,0))</f>
        <v>236.5</v>
      </c>
      <c r="F139" s="354">
        <f>E139/E144</f>
        <v>8.9268021099714087E-2</v>
      </c>
      <c r="G139" s="346">
        <f t="shared" ref="G139:G142" si="49">O139*$P$135/10^6</f>
        <v>8122.6475</v>
      </c>
      <c r="H139" s="1190">
        <f t="shared" ref="H139:H142" si="50">P139*$P$135/10^6</f>
        <v>505.93375026368972</v>
      </c>
      <c r="I139" s="1264">
        <f t="shared" ref="I139" si="51">H139/G139</f>
        <v>6.2286803688537479E-2</v>
      </c>
      <c r="J139" s="346">
        <f>_xlfn.XLOOKUP($B139,'05. BC BH THEO SKU-USD'!D:D,'05. BC BH THEO SKU-USD'!CL:CL)</f>
        <v>4362.5938999999998</v>
      </c>
      <c r="K139" s="346">
        <f t="shared" ref="K139" si="52">Q139*$P$5/10^6</f>
        <v>152536.35275652912</v>
      </c>
      <c r="L139" s="1190">
        <f t="shared" ref="L139:L142" si="53">R139*$P$135/10^6</f>
        <v>32696.548435901317</v>
      </c>
      <c r="M139" s="1191">
        <f t="shared" ref="M139" si="54">L139/K139</f>
        <v>0.21435249922416796</v>
      </c>
      <c r="N139" s="310"/>
      <c r="O139" s="346">
        <f>INDEX('05. BC BH THEO SKU-USD'!$DA$5:$DL$72,MATCH('05.1. Top 5 SKU'!$B139,'05. BC BH THEO SKU-USD'!$D$5:$D$72,0),MATCH('05.1. Top 5 SKU'!C133,'05. BC BH THEO SKU-USD'!$DA$4:$DL$4,0))</f>
        <v>309434.19047619047</v>
      </c>
      <c r="P139" s="346">
        <f>INDEX('05. BC BH THEO SKU-USD'!$DO$5:$DZ$72,MATCH('05.1. Top 5 SKU'!$B139,'05. BC BH THEO SKU-USD'!$D$5:$D$72,0),MATCH('05.1. Top 5 SKU'!C133,'05. BC BH THEO SKU-USD'!$DO$4:$DZ$4,0))</f>
        <v>19273.66667671199</v>
      </c>
      <c r="Q139" s="346">
        <f>_xlfn.XLOOKUP($B139,'05. BC BH THEO SKU-USD'!$D:$D,'05. BC BH THEO SKU-USD'!$CZ:$CZ)</f>
        <v>6123498.7056013299</v>
      </c>
      <c r="R139" s="346">
        <f>_xlfn.XLOOKUP($B139,'05. BC BH THEO SKU-USD'!$D:$D,'05. BC BH THEO SKU-USD'!$DN:$DN)</f>
        <v>1245582.7975581454</v>
      </c>
    </row>
    <row r="140" spans="1:18" outlineLevel="1" x14ac:dyDescent="0.35">
      <c r="A140" s="322">
        <v>3</v>
      </c>
      <c r="B140" s="310" t="s">
        <v>1015</v>
      </c>
      <c r="C140" s="310" t="s">
        <v>1016</v>
      </c>
      <c r="D140" s="425" t="str">
        <f>_xlfn.XLOOKUP(B140,'05. BC BH THEO SKU-USD'!$D$5:$D$72,'05. BC BH THEO SKU-USD'!$B$5:$B$72,0)</f>
        <v xml:space="preserve"> rPET</v>
      </c>
      <c r="E140" s="346">
        <f>INDEX('05. BC BH THEO SKU-USD'!$CL$5:$CX$72,MATCH('05.1. Top 5 SKU'!$B140,'05. BC BH THEO SKU-USD'!$D$5:$D$72,0),MATCH('05.1. Top 5 SKU'!C133,'05. BC BH THEO SKU-USD'!$CL$4:$CX$4,0))</f>
        <v>237.6</v>
      </c>
      <c r="F140" s="354">
        <f>E140/E144</f>
        <v>8.9683221197852284E-2</v>
      </c>
      <c r="G140" s="346">
        <f t="shared" si="49"/>
        <v>8726.161752</v>
      </c>
      <c r="H140" s="1190">
        <f t="shared" si="50"/>
        <v>1554.5432179999996</v>
      </c>
      <c r="I140" s="1264">
        <f>H140/G140</f>
        <v>0.17814742176234641</v>
      </c>
      <c r="J140" s="346">
        <f>_xlfn.XLOOKUP($B140,'05. BC BH THEO SKU-USD'!D:D,'05. BC BH THEO SKU-USD'!CL:CL)</f>
        <v>422.4</v>
      </c>
      <c r="K140" s="346">
        <f>Q140*$P$5/10^6</f>
        <v>14738.486458430119</v>
      </c>
      <c r="L140" s="1190">
        <f t="shared" si="53"/>
        <v>2802.373545540107</v>
      </c>
      <c r="M140" s="1191">
        <f>L140/K140</f>
        <v>0.19013984600414688</v>
      </c>
      <c r="N140" s="310"/>
      <c r="O140" s="346">
        <f>INDEX('05. BC BH THEO SKU-USD'!$DA$5:$DL$72,MATCH('05.1. Top 5 SKU'!$B140,'05. BC BH THEO SKU-USD'!$D$5:$D$72,0),MATCH('05.1. Top 5 SKU'!C133,'05. BC BH THEO SKU-USD'!$DA$4:$DL$4,0))</f>
        <v>332425.2096</v>
      </c>
      <c r="P140" s="346">
        <f>INDEX('05. BC BH THEO SKU-USD'!$DO$5:$DZ$72,MATCH('05.1. Top 5 SKU'!$B140,'05. BC BH THEO SKU-USD'!$D$5:$D$72,0),MATCH('05.1. Top 5 SKU'!C133,'05. BC BH THEO SKU-USD'!$DO$4:$DZ$4,0))</f>
        <v>59220.694019047602</v>
      </c>
      <c r="Q140" s="346">
        <f>_xlfn.XLOOKUP($B140,'05. BC BH THEO SKU-USD'!$D:$D,'05. BC BH THEO SKU-USD'!$CZ:$CZ)</f>
        <v>591669.46842352941</v>
      </c>
      <c r="R140" s="346">
        <f>_xlfn.XLOOKUP($B140,'05. BC BH THEO SKU-USD'!$D:$D,'05. BC BH THEO SKU-USD'!$DN:$DN)</f>
        <v>106757.08744914693</v>
      </c>
    </row>
    <row r="141" spans="1:18" outlineLevel="1" x14ac:dyDescent="0.35">
      <c r="A141" s="322">
        <v>4</v>
      </c>
      <c r="B141" s="310" t="s">
        <v>87</v>
      </c>
      <c r="C141" s="310" t="s">
        <v>86</v>
      </c>
      <c r="D141" s="425" t="str">
        <f>_xlfn.XLOOKUP(B141,'05. BC BH THEO SKU-USD'!$D$5:$D$72,'05. BC BH THEO SKU-USD'!$B$5:$B$72,0)</f>
        <v>Xơ sợi</v>
      </c>
      <c r="E141" s="346">
        <f>INDEX('05. BC BH THEO SKU-USD'!$CL$5:$CX$72,MATCH('05.1. Top 5 SKU'!$B141,'05. BC BH THEO SKU-USD'!$D$5:$D$72,0),MATCH('05.1. Top 5 SKU'!C133,'05. BC BH THEO SKU-USD'!$CL$4:$CX$4,0))</f>
        <v>202.65</v>
      </c>
      <c r="F141" s="354">
        <f>E141/E144</f>
        <v>7.6491181716097506E-2</v>
      </c>
      <c r="G141" s="346">
        <f t="shared" si="49"/>
        <v>3607.17</v>
      </c>
      <c r="H141" s="1190">
        <f t="shared" si="50"/>
        <v>-1847.7150750000003</v>
      </c>
      <c r="I141" s="1264">
        <f>H141/G141</f>
        <v>-0.51223398814028731</v>
      </c>
      <c r="J141" s="346">
        <f>_xlfn.XLOOKUP($B141,'05. BC BH THEO SKU-USD'!D:D,'05. BC BH THEO SKU-USD'!CL:CL)</f>
        <v>852.45</v>
      </c>
      <c r="K141" s="346">
        <f>Q141*$P$5/10^6</f>
        <v>14384.869879359014</v>
      </c>
      <c r="L141" s="1190">
        <f t="shared" si="53"/>
        <v>-7739.0242618267039</v>
      </c>
      <c r="M141" s="1191">
        <f>L141/K141</f>
        <v>-0.53799751591298739</v>
      </c>
      <c r="N141" s="310"/>
      <c r="O141" s="346">
        <f>INDEX('05. BC BH THEO SKU-USD'!$DA$5:$DL$72,MATCH('05.1. Top 5 SKU'!$B141,'05. BC BH THEO SKU-USD'!$D$5:$D$72,0),MATCH('05.1. Top 5 SKU'!C133,'05. BC BH THEO SKU-USD'!$DA$4:$DL$4,0))</f>
        <v>137416</v>
      </c>
      <c r="P141" s="346">
        <f>INDEX('05. BC BH THEO SKU-USD'!$DO$5:$DZ$72,MATCH('05.1. Top 5 SKU'!$B141,'05. BC BH THEO SKU-USD'!$D$5:$D$72,0),MATCH('05.1. Top 5 SKU'!C133,'05. BC BH THEO SKU-USD'!$DO$4:$DZ$4,0))</f>
        <v>-70389.145714285725</v>
      </c>
      <c r="Q141" s="346">
        <f>_xlfn.XLOOKUP($B141,'05. BC BH THEO SKU-USD'!$D:$D,'05. BC BH THEO SKU-USD'!$CZ:$CZ)</f>
        <v>577473.70049614669</v>
      </c>
      <c r="R141" s="346">
        <f>_xlfn.XLOOKUP($B141,'05. BC BH THEO SKU-USD'!$D:$D,'05. BC BH THEO SKU-USD'!$DN:$DN)</f>
        <v>-294819.97187911253</v>
      </c>
    </row>
    <row r="142" spans="1:18" outlineLevel="1" x14ac:dyDescent="0.35">
      <c r="A142" s="322">
        <v>5</v>
      </c>
      <c r="B142" s="310" t="s">
        <v>536</v>
      </c>
      <c r="C142" s="310" t="s">
        <v>537</v>
      </c>
      <c r="D142" s="425" t="str">
        <f>_xlfn.XLOOKUP(B142,'05. BC BH THEO SKU-USD'!$D$5:$D$72,'05. BC BH THEO SKU-USD'!$B$5:$B$72,0)</f>
        <v>Vảy rHDPE ép</v>
      </c>
      <c r="E142" s="346">
        <f>INDEX('05. BC BH THEO SKU-USD'!$CL$5:$CX$72,MATCH('05.1. Top 5 SKU'!$B142,'05. BC BH THEO SKU-USD'!$D$5:$D$72,0),MATCH('05.1. Top 5 SKU'!C133,'05. BC BH THEO SKU-USD'!$CL$4:$CX$4,0))</f>
        <v>217.5</v>
      </c>
      <c r="F142" s="354">
        <f>E142/E144</f>
        <v>8.2096383040963269E-2</v>
      </c>
      <c r="G142" s="346">
        <f t="shared" si="49"/>
        <v>3186.3</v>
      </c>
      <c r="H142" s="1190">
        <f t="shared" si="50"/>
        <v>-2793.7605009999997</v>
      </c>
      <c r="I142" s="1264">
        <f>H142/G142</f>
        <v>-0.87680397357436513</v>
      </c>
      <c r="J142" s="346">
        <f>_xlfn.XLOOKUP($B142,'05. BC BH THEO SKU-USD'!D:D,'05. BC BH THEO SKU-USD'!CL:CL)</f>
        <v>231.1</v>
      </c>
      <c r="K142" s="346">
        <f>Q142*$P$5/10^6</f>
        <v>3223.5351285457068</v>
      </c>
      <c r="L142" s="1190">
        <f t="shared" si="53"/>
        <v>-2936.2884036144969</v>
      </c>
      <c r="M142" s="1191">
        <f>L142/K142</f>
        <v>-0.91089077255975159</v>
      </c>
      <c r="N142" s="310"/>
      <c r="O142" s="346">
        <f>INDEX('05. BC BH THEO SKU-USD'!$DA$5:$DL$72,MATCH('05.1. Top 5 SKU'!$B142,'05. BC BH THEO SKU-USD'!$D$5:$D$72,0),MATCH('05.1. Top 5 SKU'!C133,'05. BC BH THEO SKU-USD'!$DA$4:$DL$4,0))</f>
        <v>121382.85714285714</v>
      </c>
      <c r="P142" s="346">
        <f>INDEX('05. BC BH THEO SKU-USD'!$DO$5:$DZ$72,MATCH('05.1. Top 5 SKU'!$B142,'05. BC BH THEO SKU-USD'!$D$5:$D$72,0),MATCH('05.1. Top 5 SKU'!C133,'05. BC BH THEO SKU-USD'!$DO$4:$DZ$4,0))</f>
        <v>-106428.97146666666</v>
      </c>
      <c r="Q142" s="346">
        <f>_xlfn.XLOOKUP($B142,'05. BC BH THEO SKU-USD'!$D:$D,'05. BC BH THEO SKU-USD'!$CZ:$CZ)</f>
        <v>129407.27131857513</v>
      </c>
      <c r="R142" s="346">
        <f>_xlfn.XLOOKUP($B142,'05. BC BH THEO SKU-USD'!$D:$D,'05. BC BH THEO SKU-USD'!$DN:$DN)</f>
        <v>-111858.60585198083</v>
      </c>
    </row>
    <row r="143" spans="1:18" outlineLevel="1" x14ac:dyDescent="0.35">
      <c r="A143" s="356"/>
      <c r="B143" s="357"/>
      <c r="C143" s="358" t="s">
        <v>436</v>
      </c>
      <c r="D143" s="358"/>
      <c r="E143" s="385">
        <f>SUM(E138:E142)</f>
        <v>2089.35</v>
      </c>
      <c r="F143" s="360">
        <f>SUM(F138:F142)</f>
        <v>0.78863484095005332</v>
      </c>
      <c r="G143" s="385">
        <f>SUM(G138:G142)</f>
        <v>62248.893528000001</v>
      </c>
      <c r="H143" s="385">
        <f>SUM(H138:H142)</f>
        <v>3249.5024410910246</v>
      </c>
      <c r="I143" s="360"/>
      <c r="J143" s="385">
        <f>SUM(J138:J142)</f>
        <v>22154.768899999999</v>
      </c>
      <c r="K143" s="385">
        <f>SUM(K138:K142)</f>
        <v>685901.63406566915</v>
      </c>
      <c r="L143" s="385">
        <f>SUM(L138:L142)</f>
        <v>96053.264266562401</v>
      </c>
      <c r="M143" s="360">
        <f>SUM(M138:M142)</f>
        <v>-0.90222620178461355</v>
      </c>
      <c r="N143" s="359"/>
      <c r="O143" s="385">
        <f>SUM(O138:O142)</f>
        <v>2371386.4201142858</v>
      </c>
      <c r="P143" s="385">
        <f>SUM(P138:P142)</f>
        <v>123790.56918441995</v>
      </c>
      <c r="Q143" s="385">
        <f>SUM(Q138:Q142)</f>
        <v>27535192.054021243</v>
      </c>
      <c r="R143" s="385">
        <f>SUM(R138:R142)</f>
        <v>3659171.9720595204</v>
      </c>
    </row>
    <row r="144" spans="1:18" outlineLevel="1" x14ac:dyDescent="0.35">
      <c r="A144" s="381"/>
      <c r="B144" s="381" t="s">
        <v>370</v>
      </c>
      <c r="C144" s="381"/>
      <c r="D144" s="381"/>
      <c r="E144" s="384">
        <f>INDEX('05. BC BH THEO SKU-USD'!$CL$5:$CX$72,MATCH('05.1. Top 5 SKU'!$B144,'05. BC BH THEO SKU-USD'!$D$5:$D$72,0),MATCH('05.1. Top 5 SKU'!C133,'05. BC BH THEO SKU-USD'!$CL$4:$CX$4,0))</f>
        <v>2649.3249999999998</v>
      </c>
      <c r="F144" s="382"/>
      <c r="G144" s="381"/>
      <c r="H144" s="381"/>
      <c r="I144" s="382"/>
      <c r="J144" s="381"/>
      <c r="K144" s="381"/>
      <c r="L144" s="381"/>
      <c r="M144" s="382"/>
      <c r="N144" s="383"/>
      <c r="O144" s="384">
        <f>INDEX('05. BC BH THEO SKU-USD'!$DA$5:$DL$72,MATCH('05.1. Top 5 SKU'!$B144,'05. BC BH THEO SKU-USD'!$D$5:$D$72,0),MATCH('05.1. Top 5 SKU'!$C$3,'05. BC BH THEO SKU-USD'!$DA$4:$DL$4,0))</f>
        <v>4454931.6018065037</v>
      </c>
      <c r="P144" s="381"/>
      <c r="Q144" s="381"/>
      <c r="R144" s="381"/>
    </row>
  </sheetData>
  <conditionalFormatting sqref="H109:M114">
    <cfRule type="cellIs" dxfId="50" priority="3" operator="lessThan">
      <formula>0</formula>
    </cfRule>
  </conditionalFormatting>
  <conditionalFormatting sqref="H125:M129">
    <cfRule type="cellIs" dxfId="49" priority="2" operator="lessThan">
      <formula>0</formula>
    </cfRule>
  </conditionalFormatting>
  <conditionalFormatting sqref="H138:M142">
    <cfRule type="cellIs" dxfId="48" priority="1" operator="lessThan">
      <formula>0</formula>
    </cfRule>
  </conditionalFormatting>
  <hyperlinks>
    <hyperlink ref="A1" location="'00. DM'!A1" display="00. DM" xr:uid="{DCA25D35-47D1-4C77-B1A5-218CDAB7103C}"/>
  </hyperlink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4151B-F661-4526-AF59-E457ACAF9649}">
  <sheetPr>
    <tabColor rgb="FF00B050"/>
  </sheetPr>
  <dimension ref="A1:AR76"/>
  <sheetViews>
    <sheetView zoomScale="85" zoomScaleNormal="85" workbookViewId="0">
      <pane ySplit="2" topLeftCell="A13" activePane="bottomLeft" state="frozen"/>
      <selection pane="bottomLeft"/>
    </sheetView>
  </sheetViews>
  <sheetFormatPr defaultRowHeight="14.5" outlineLevelRow="1" outlineLevelCol="1" x14ac:dyDescent="0.35"/>
  <cols>
    <col min="1" max="1" width="5.36328125" customWidth="1"/>
    <col min="2" max="2" width="10.81640625" customWidth="1"/>
    <col min="3" max="6" width="12.6328125" customWidth="1"/>
    <col min="7" max="7" width="16.1796875" bestFit="1" customWidth="1"/>
    <col min="8" max="12" width="8.1796875" customWidth="1"/>
    <col min="13" max="13" width="11.08984375" customWidth="1"/>
    <col min="14" max="19" width="7.81640625" customWidth="1"/>
    <col min="20" max="20" width="7.81640625" customWidth="1" outlineLevel="1"/>
    <col min="21" max="31" width="8.81640625" customWidth="1" outlineLevel="1"/>
    <col min="32" max="32" width="1.81640625" customWidth="1"/>
    <col min="33" max="44" width="8.81640625" customWidth="1" outlineLevel="1"/>
    <col min="45" max="45" width="8.81640625"/>
  </cols>
  <sheetData>
    <row r="1" spans="1:44" x14ac:dyDescent="0.35">
      <c r="A1" s="528" t="s">
        <v>587</v>
      </c>
    </row>
    <row r="2" spans="1:44" ht="18.5" x14ac:dyDescent="0.35">
      <c r="B2" s="581" t="s">
        <v>614</v>
      </c>
    </row>
    <row r="3" spans="1:44" ht="21" x14ac:dyDescent="0.5">
      <c r="R3" s="587">
        <f>SUM(R5:R16)</f>
        <v>31292.443200000009</v>
      </c>
      <c r="T3" s="297" t="s">
        <v>621</v>
      </c>
      <c r="AG3" s="297" t="s">
        <v>620</v>
      </c>
    </row>
    <row r="4" spans="1:44" ht="45" outlineLevel="1" x14ac:dyDescent="0.35">
      <c r="B4" s="582"/>
      <c r="C4" s="582">
        <v>1</v>
      </c>
      <c r="D4" s="582">
        <v>2</v>
      </c>
      <c r="E4" s="582">
        <v>3</v>
      </c>
      <c r="F4" s="582">
        <v>4</v>
      </c>
      <c r="G4" s="582">
        <v>5</v>
      </c>
      <c r="H4" s="582">
        <v>6</v>
      </c>
      <c r="I4" s="582">
        <v>7</v>
      </c>
      <c r="J4" s="582">
        <v>8</v>
      </c>
      <c r="K4" s="582">
        <v>9</v>
      </c>
      <c r="L4" s="582">
        <v>10</v>
      </c>
      <c r="M4" s="582">
        <v>11</v>
      </c>
      <c r="N4" s="582">
        <v>12</v>
      </c>
      <c r="O4" s="591" t="s">
        <v>382</v>
      </c>
      <c r="P4" s="591" t="s">
        <v>619</v>
      </c>
      <c r="Q4" s="588" t="s">
        <v>380</v>
      </c>
      <c r="R4" s="588" t="s">
        <v>615</v>
      </c>
      <c r="T4" s="592">
        <v>1</v>
      </c>
      <c r="U4" s="592">
        <v>2</v>
      </c>
      <c r="V4" s="592">
        <v>3</v>
      </c>
      <c r="W4" s="592">
        <v>4</v>
      </c>
      <c r="X4" s="592">
        <v>5</v>
      </c>
      <c r="Y4" s="592">
        <v>6</v>
      </c>
      <c r="Z4" s="592">
        <v>7</v>
      </c>
      <c r="AA4" s="592">
        <v>8</v>
      </c>
      <c r="AB4" s="592">
        <v>9</v>
      </c>
      <c r="AC4" s="592">
        <v>10</v>
      </c>
      <c r="AD4" s="592">
        <v>11</v>
      </c>
      <c r="AE4" s="592">
        <v>12</v>
      </c>
      <c r="AG4" s="593">
        <v>1</v>
      </c>
      <c r="AH4" s="593">
        <v>2</v>
      </c>
      <c r="AI4" s="593">
        <v>3</v>
      </c>
      <c r="AJ4" s="593">
        <v>4</v>
      </c>
      <c r="AK4" s="593">
        <v>5</v>
      </c>
      <c r="AL4" s="593">
        <v>6</v>
      </c>
      <c r="AM4" s="593">
        <v>7</v>
      </c>
      <c r="AN4" s="593">
        <v>8</v>
      </c>
      <c r="AO4" s="593">
        <v>9</v>
      </c>
      <c r="AP4" s="593">
        <v>10</v>
      </c>
      <c r="AQ4" s="593">
        <v>11</v>
      </c>
      <c r="AR4" s="593">
        <v>12</v>
      </c>
    </row>
    <row r="5" spans="1:44" outlineLevel="1" x14ac:dyDescent="0.35">
      <c r="B5" s="1208" t="s">
        <v>312</v>
      </c>
      <c r="C5" s="1209">
        <f>INDEX('05. BC BH THEO SKU-USD'!$EC$5:$EN$72,MATCH('05.2. Chart _SKU'!$B5,'05. BC BH THEO SKU-USD'!$C$5:$C$72,0),MATCH('05.2. Chart _SKU'!C$4,'05. BC BH THEO SKU-USD'!$EC$4:$EN$4,0))</f>
        <v>0.15080421049777457</v>
      </c>
      <c r="D5" s="1209">
        <f>INDEX('05. BC BH THEO SKU-USD'!$EC$5:$EN$72,MATCH('05.2. Chart _SKU'!$B5,'05. BC BH THEO SKU-USD'!$C$5:$C$72,0),MATCH('05.2. Chart _SKU'!D$4,'05. BC BH THEO SKU-USD'!$EC$4:$EN$4,0))</f>
        <v>0.20311679647261552</v>
      </c>
      <c r="E5" s="1209">
        <f>INDEX('05. BC BH THEO SKU-USD'!$EC$5:$EN$72,MATCH('05.2. Chart _SKU'!$B5,'05. BC BH THEO SKU-USD'!$C$5:$C$72,0),MATCH('05.2. Chart _SKU'!E$4,'05. BC BH THEO SKU-USD'!$EC$4:$EN$4,0))</f>
        <v>0.15797149623535181</v>
      </c>
      <c r="F5" s="1209">
        <f>INDEX('05. BC BH THEO SKU-USD'!$EC$5:$EN$72,MATCH('05.2. Chart _SKU'!$B5,'05. BC BH THEO SKU-USD'!$C$5:$C$72,0),MATCH('05.2. Chart _SKU'!F$4,'05. BC BH THEO SKU-USD'!$EC$4:$EN$4,0))</f>
        <v>0.12483712418085723</v>
      </c>
      <c r="G5" s="1209">
        <f>INDEX('05. BC BH THEO SKU-USD'!$EC$5:$EN$72,MATCH('05.2. Chart _SKU'!$B5,'05. BC BH THEO SKU-USD'!$C$5:$C$72,0),MATCH('05.2. Chart _SKU'!G$4,'05. BC BH THEO SKU-USD'!$EC$4:$EN$4,0))</f>
        <v>0.12246481474924786</v>
      </c>
      <c r="H5" s="1209">
        <f>INDEX('05. BC BH THEO SKU-USD'!$EC$5:$EN$72,MATCH('05.2. Chart _SKU'!$B5,'05. BC BH THEO SKU-USD'!$C$5:$C$72,0),MATCH('05.2. Chart _SKU'!H$4,'05. BC BH THEO SKU-USD'!$EC$4:$EN$4,0))</f>
        <v>0.10641127063308045</v>
      </c>
      <c r="I5" s="1209">
        <f>INDEX('05. BC BH THEO SKU-USD'!$EC$5:$EN$72,MATCH('05.2. Chart _SKU'!$B5,'05. BC BH THEO SKU-USD'!$C$5:$C$72,0),MATCH('05.2. Chart _SKU'!I$4,'05. BC BH THEO SKU-USD'!$EC$4:$EN$4,0))</f>
        <v>8.4367622255938218E-2</v>
      </c>
      <c r="J5" s="1209">
        <f>INDEX('05. BC BH THEO SKU-USD'!$EC$5:$EN$72,MATCH('05.2. Chart _SKU'!$B5,'05. BC BH THEO SKU-USD'!$C$5:$C$72,0),MATCH('05.2. Chart _SKU'!J$4,'05. BC BH THEO SKU-USD'!$EC$4:$EN$4,0))</f>
        <v>9.1940520547106414E-2</v>
      </c>
      <c r="K5" s="1209">
        <f>INDEX('05. BC BH THEO SKU-USD'!$EC$5:$EN$72,MATCH('05.2. Chart _SKU'!$B5,'05. BC BH THEO SKU-USD'!$C$5:$C$72,0),MATCH('05.2. Chart _SKU'!K$4,'05. BC BH THEO SKU-USD'!$EC$4:$EN$4,0))</f>
        <v>0.1510233714654407</v>
      </c>
      <c r="L5" s="1209">
        <f>INDEX('05. BC BH THEO SKU-USD'!$EC$5:$EN$72,MATCH('05.2. Chart _SKU'!$B5,'05. BC BH THEO SKU-USD'!$C$5:$C$72,0),MATCH('05.2. Chart _SKU'!L$4,'05. BC BH THEO SKU-USD'!$EC$4:$EN$4,0))</f>
        <v>0</v>
      </c>
      <c r="M5" s="1209">
        <f>INDEX('05. BC BH THEO SKU-USD'!$EC$5:$EN$72,MATCH('05.2. Chart _SKU'!$B5,'05. BC BH THEO SKU-USD'!$C$5:$C$72,0),MATCH('05.2. Chart _SKU'!M$4,'05. BC BH THEO SKU-USD'!$EC$4:$EN$4,0))</f>
        <v>0</v>
      </c>
      <c r="N5" s="1209">
        <f>INDEX('05. BC BH THEO SKU-USD'!$EC$5:$EN$72,MATCH('05.2. Chart _SKU'!$B5,'05. BC BH THEO SKU-USD'!$C$5:$C$72,0),MATCH('05.2. Chart _SKU'!N$4,'05. BC BH THEO SKU-USD'!$EC$4:$EN$4,0))</f>
        <v>0</v>
      </c>
      <c r="O5" s="353">
        <f>INDEX('05. BC BH THEO SKU-USD'!$EB$5:$EN$72,MATCH('05.2. Chart _SKU'!$B5,'05. BC BH THEO SKU-USD'!$C$5:$C$72,0),MATCH('05.2. Chart _SKU'!O$4,'05. BC BH THEO SKU-USD'!$EB$4:$EN$4,0))</f>
        <v>0.13491231465767164</v>
      </c>
      <c r="P5" s="585">
        <f>_xlfn.XLOOKUP(B5,'05. BC BH THEO SKU-USD'!$C$5:$C$71,'05. BC BH THEO SKU-USD'!$CL$5:$CL$71,0)</f>
        <v>16286.224999999999</v>
      </c>
      <c r="Q5" s="353">
        <v>0.1931159517972616</v>
      </c>
      <c r="R5" s="585">
        <v>15974.5</v>
      </c>
      <c r="T5" s="330">
        <f>_xlfn.XLOOKUP($B5,'05. BC BH THEO SKU-USD'!$C$5:$C$71,'05. BC BH THEO SKU-USD'!CM$5:CM$71,0)</f>
        <v>2740.1</v>
      </c>
      <c r="U5" s="330">
        <f>_xlfn.XLOOKUP($B5,'05. BC BH THEO SKU-USD'!$C$5:$C$71,'05. BC BH THEO SKU-USD'!CN$5:CN$71,0)</f>
        <v>2172.5</v>
      </c>
      <c r="V5" s="330">
        <f>_xlfn.XLOOKUP($B5,'05. BC BH THEO SKU-USD'!$C$5:$C$71,'05. BC BH THEO SKU-USD'!CO$5:CO$71,0)</f>
        <v>1581.7</v>
      </c>
      <c r="W5" s="330">
        <f>_xlfn.XLOOKUP($B5,'05. BC BH THEO SKU-USD'!$C$5:$C$71,'05. BC BH THEO SKU-USD'!CP$5:CP$71,0)</f>
        <v>1699.5</v>
      </c>
      <c r="X5" s="330">
        <f>_xlfn.XLOOKUP($B5,'05. BC BH THEO SKU-USD'!$C$5:$C$71,'05. BC BH THEO SKU-USD'!CQ$5:CQ$71,0)</f>
        <v>1785.3</v>
      </c>
      <c r="Y5" s="330">
        <f>_xlfn.XLOOKUP($B5,'05. BC BH THEO SKU-USD'!$C$5:$C$71,'05. BC BH THEO SKU-USD'!CR$5:CR$71,0)</f>
        <v>1272.7249999999999</v>
      </c>
      <c r="Z5" s="330">
        <f>_xlfn.XLOOKUP($B5,'05. BC BH THEO SKU-USD'!$C$5:$C$71,'05. BC BH THEO SKU-USD'!CS$5:CS$71,0)</f>
        <v>2068</v>
      </c>
      <c r="AA5" s="330">
        <f>_xlfn.XLOOKUP($B5,'05. BC BH THEO SKU-USD'!$C$5:$C$71,'05. BC BH THEO SKU-USD'!CT$5:CT$71,0)</f>
        <v>1771.3</v>
      </c>
      <c r="AB5" s="330">
        <f>_xlfn.XLOOKUP($B5,'05. BC BH THEO SKU-USD'!$C$5:$C$71,'05. BC BH THEO SKU-USD'!CU$5:CU$71,0)</f>
        <v>1195.0999999999999</v>
      </c>
      <c r="AC5" s="330">
        <f>_xlfn.XLOOKUP($B5,'05. BC BH THEO SKU-USD'!$C$5:$C$71,'05. BC BH THEO SKU-USD'!CV$5:CV$71,0)</f>
        <v>0</v>
      </c>
      <c r="AD5" s="330">
        <f>_xlfn.XLOOKUP($B5,'05. BC BH THEO SKU-USD'!$C$5:$C$71,'05. BC BH THEO SKU-USD'!CW$5:CW$71,0)</f>
        <v>0</v>
      </c>
      <c r="AE5" s="330">
        <f>_xlfn.XLOOKUP($B5,'05. BC BH THEO SKU-USD'!$C$5:$C$71,'05. BC BH THEO SKU-USD'!CX$5:CX$71,0)</f>
        <v>0</v>
      </c>
      <c r="AG5" s="330">
        <f>T5</f>
        <v>2740.1</v>
      </c>
      <c r="AH5" s="330">
        <f>SUM($T5:U5)/$AH$4</f>
        <v>2456.3000000000002</v>
      </c>
      <c r="AI5" s="330">
        <f>SUM($T5:V5)/$AH$4</f>
        <v>3247.15</v>
      </c>
      <c r="AJ5" s="330">
        <f>SUM($T5:W5)/$AH$4</f>
        <v>4096.8999999999996</v>
      </c>
      <c r="AK5" s="330">
        <f>SUM($T5:X5)/$AH$4</f>
        <v>4989.5499999999993</v>
      </c>
      <c r="AL5" s="330">
        <f>SUM($T5:Y5)/$AH$4</f>
        <v>5625.9124999999995</v>
      </c>
      <c r="AM5" s="330">
        <f>SUM($T5:Z5)/$AH$4</f>
        <v>6659.9124999999995</v>
      </c>
      <c r="AN5" s="330">
        <f>SUM($T5:AA5)/$AH$4</f>
        <v>7545.5624999999991</v>
      </c>
      <c r="AO5" s="330">
        <f>SUM($T5:AB5)/$AH$4</f>
        <v>8143.1124999999993</v>
      </c>
      <c r="AP5" s="330">
        <f>SUM($T5:AC5)/$AH$4</f>
        <v>8143.1124999999993</v>
      </c>
      <c r="AQ5" s="330">
        <f>SUM($T5:AD5)/$AH$4</f>
        <v>8143.1124999999993</v>
      </c>
      <c r="AR5" s="330">
        <f>SUM($T5:AE5)/$AH$4</f>
        <v>8143.1124999999993</v>
      </c>
    </row>
    <row r="6" spans="1:44" outlineLevel="1" x14ac:dyDescent="0.35">
      <c r="B6" s="1204" t="s">
        <v>313</v>
      </c>
      <c r="C6" s="1206">
        <f>INDEX('05. BC BH THEO SKU-USD'!$EC$5:$EN$72,MATCH('05.2. Chart _SKU'!$B6,'05. BC BH THEO SKU-USD'!$C$5:$C$72,0),MATCH('05.2. Chart _SKU'!C$4,'05. BC BH THEO SKU-USD'!$EC$4:$EN$4,0))</f>
        <v>0.17533845067892107</v>
      </c>
      <c r="D6" s="1206">
        <f>INDEX('05. BC BH THEO SKU-USD'!$EC$5:$EN$72,MATCH('05.2. Chart _SKU'!$B6,'05. BC BH THEO SKU-USD'!$C$5:$C$72,0),MATCH('05.2. Chart _SKU'!D$4,'05. BC BH THEO SKU-USD'!$EC$4:$EN$4,0))</f>
        <v>0.19927871103169503</v>
      </c>
      <c r="E6" s="1206">
        <f>INDEX('05. BC BH THEO SKU-USD'!$EC$5:$EN$72,MATCH('05.2. Chart _SKU'!$B6,'05. BC BH THEO SKU-USD'!$C$5:$C$72,0),MATCH('05.2. Chart _SKU'!E$4,'05. BC BH THEO SKU-USD'!$EC$4:$EN$4,0))</f>
        <v>0.18783177092750397</v>
      </c>
      <c r="F6" s="1206">
        <f>INDEX('05. BC BH THEO SKU-USD'!$EC$5:$EN$72,MATCH('05.2. Chart _SKU'!$B6,'05. BC BH THEO SKU-USD'!$C$5:$C$72,0),MATCH('05.2. Chart _SKU'!F$4,'05. BC BH THEO SKU-USD'!$EC$4:$EN$4,0))</f>
        <v>0.21209802648383522</v>
      </c>
      <c r="G6" s="1206">
        <f>INDEX('05. BC BH THEO SKU-USD'!$EC$5:$EN$72,MATCH('05.2. Chart _SKU'!$B6,'05. BC BH THEO SKU-USD'!$C$5:$C$72,0),MATCH('05.2. Chart _SKU'!G$4,'05. BC BH THEO SKU-USD'!$EC$4:$EN$4,0))</f>
        <v>0.20394605872141641</v>
      </c>
      <c r="H6" s="1206">
        <f>INDEX('05. BC BH THEO SKU-USD'!$EC$5:$EN$72,MATCH('05.2. Chart _SKU'!$B6,'05. BC BH THEO SKU-USD'!$C$5:$C$72,0),MATCH('05.2. Chart _SKU'!H$4,'05. BC BH THEO SKU-USD'!$EC$4:$EN$4,0))</f>
        <v>0.16096038798375964</v>
      </c>
      <c r="I6" s="1206">
        <f>INDEX('05. BC BH THEO SKU-USD'!$EC$5:$EN$72,MATCH('05.2. Chart _SKU'!$B6,'05. BC BH THEO SKU-USD'!$C$5:$C$72,0),MATCH('05.2. Chart _SKU'!I$4,'05. BC BH THEO SKU-USD'!$EC$4:$EN$4,0))</f>
        <v>0.17268116872881475</v>
      </c>
      <c r="J6" s="1206">
        <f>INDEX('05. BC BH THEO SKU-USD'!$EC$5:$EN$72,MATCH('05.2. Chart _SKU'!$B6,'05. BC BH THEO SKU-USD'!$C$5:$C$72,0),MATCH('05.2. Chart _SKU'!J$4,'05. BC BH THEO SKU-USD'!$EC$4:$EN$4,0))</f>
        <v>0.18917481258117014</v>
      </c>
      <c r="K6" s="1206">
        <f>INDEX('05. BC BH THEO SKU-USD'!$EC$5:$EN$72,MATCH('05.2. Chart _SKU'!$B6,'05. BC BH THEO SKU-USD'!$C$5:$C$72,0),MATCH('05.2. Chart _SKU'!K$4,'05. BC BH THEO SKU-USD'!$EC$4:$EN$4,0))</f>
        <v>0.21583425048883109</v>
      </c>
      <c r="L6" s="1206">
        <f>INDEX('05. BC BH THEO SKU-USD'!$EC$5:$EN$72,MATCH('05.2. Chart _SKU'!$B6,'05. BC BH THEO SKU-USD'!$C$5:$C$72,0),MATCH('05.2. Chart _SKU'!L$4,'05. BC BH THEO SKU-USD'!$EC$4:$EN$4,0))</f>
        <v>0</v>
      </c>
      <c r="M6" s="1206">
        <f>INDEX('05. BC BH THEO SKU-USD'!$EC$5:$EN$72,MATCH('05.2. Chart _SKU'!$B6,'05. BC BH THEO SKU-USD'!$C$5:$C$72,0),MATCH('05.2. Chart _SKU'!M$4,'05. BC BH THEO SKU-USD'!$EC$4:$EN$4,0))</f>
        <v>0</v>
      </c>
      <c r="N6" s="1206">
        <f>INDEX('05. BC BH THEO SKU-USD'!$EC$5:$EN$72,MATCH('05.2. Chart _SKU'!$B6,'05. BC BH THEO SKU-USD'!$C$5:$C$72,0),MATCH('05.2. Chart _SKU'!N$4,'05. BC BH THEO SKU-USD'!$EC$4:$EN$4,0))</f>
        <v>0</v>
      </c>
      <c r="O6" s="354">
        <f>INDEX('05. BC BH THEO SKU-USD'!$EB$5:$EN$72,MATCH('05.2. Chart _SKU'!$B6,'05. BC BH THEO SKU-USD'!$C$5:$C$72,0),MATCH('05.2. Chart _SKU'!O$4,'05. BC BH THEO SKU-USD'!$EB$4:$EN$4,0))</f>
        <v>0.19183363300359785</v>
      </c>
      <c r="P6" s="586">
        <f>_xlfn.XLOOKUP(B6,'05. BC BH THEO SKU-USD'!$C$5:$C$71,'05. BC BH THEO SKU-USD'!$CL$5:$CL$71,0)</f>
        <v>10568.135799999998</v>
      </c>
      <c r="Q6" s="354">
        <v>0.20475113425845756</v>
      </c>
      <c r="R6" s="586">
        <v>3908.3999999999996</v>
      </c>
      <c r="T6" s="331">
        <f>_xlfn.XLOOKUP($B6,'05. BC BH THEO SKU-USD'!$C$5:$C$71,'05. BC BH THEO SKU-USD'!CM$5:CM$71,0)</f>
        <v>143</v>
      </c>
      <c r="U6" s="331">
        <f>_xlfn.XLOOKUP($B6,'05. BC BH THEO SKU-USD'!$C$5:$C$71,'05. BC BH THEO SKU-USD'!CN$5:CN$71,0)</f>
        <v>2270.4</v>
      </c>
      <c r="V6" s="331">
        <f>_xlfn.XLOOKUP($B6,'05. BC BH THEO SKU-USD'!$C$5:$C$71,'05. BC BH THEO SKU-USD'!CO$5:CO$71,0)</f>
        <v>1786.4</v>
      </c>
      <c r="W6" s="331">
        <f>_xlfn.XLOOKUP($B6,'05. BC BH THEO SKU-USD'!$C$5:$C$71,'05. BC BH THEO SKU-USD'!CP$5:CP$71,0)</f>
        <v>1189.5999999999999</v>
      </c>
      <c r="X6" s="331">
        <f>_xlfn.XLOOKUP($B6,'05. BC BH THEO SKU-USD'!$C$5:$C$71,'05. BC BH THEO SKU-USD'!CQ$5:CQ$71,0)</f>
        <v>1854</v>
      </c>
      <c r="Y6" s="331">
        <f>_xlfn.XLOOKUP($B6,'05. BC BH THEO SKU-USD'!$C$5:$C$71,'05. BC BH THEO SKU-USD'!CR$5:CR$71,0)</f>
        <v>1077.4358</v>
      </c>
      <c r="Z6" s="331">
        <f>_xlfn.XLOOKUP($B6,'05. BC BH THEO SKU-USD'!$C$5:$C$71,'05. BC BH THEO SKU-USD'!CS$5:CS$71,0)</f>
        <v>957</v>
      </c>
      <c r="AA6" s="331">
        <f>_xlfn.XLOOKUP($B6,'05. BC BH THEO SKU-USD'!$C$5:$C$71,'05. BC BH THEO SKU-USD'!CT$5:CT$71,0)</f>
        <v>1287</v>
      </c>
      <c r="AB6" s="331">
        <f>_xlfn.XLOOKUP($B6,'05. BC BH THEO SKU-USD'!$C$5:$C$71,'05. BC BH THEO SKU-USD'!CU$5:CU$71,0)</f>
        <v>3.3</v>
      </c>
      <c r="AC6" s="331">
        <f>_xlfn.XLOOKUP($B6,'05. BC BH THEO SKU-USD'!$C$5:$C$71,'05. BC BH THEO SKU-USD'!CV$5:CV$71,0)</f>
        <v>0</v>
      </c>
      <c r="AD6" s="331">
        <f>_xlfn.XLOOKUP($B6,'05. BC BH THEO SKU-USD'!$C$5:$C$71,'05. BC BH THEO SKU-USD'!CW$5:CW$71,0)</f>
        <v>0</v>
      </c>
      <c r="AE6" s="331">
        <f>_xlfn.XLOOKUP($B6,'05. BC BH THEO SKU-USD'!$C$5:$C$71,'05. BC BH THEO SKU-USD'!CX$5:CX$71,0)</f>
        <v>0</v>
      </c>
      <c r="AG6" s="331">
        <f t="shared" ref="AG6:AG16" si="0">T6</f>
        <v>143</v>
      </c>
      <c r="AH6" s="331">
        <f>SUM($T6:U6)/$AH$4</f>
        <v>1206.7</v>
      </c>
      <c r="AI6" s="331">
        <f>SUM($T6:V6)/$AH$4</f>
        <v>2099.9</v>
      </c>
      <c r="AJ6" s="331">
        <f>SUM($T6:W6)/$AH$4</f>
        <v>2694.7</v>
      </c>
      <c r="AK6" s="331">
        <f>SUM($T6:X6)/$AH$4</f>
        <v>3621.7</v>
      </c>
      <c r="AL6" s="331">
        <f>SUM($T6:Y6)/$AH$4</f>
        <v>4160.4178999999995</v>
      </c>
      <c r="AM6" s="331">
        <f>SUM($T6:Z6)/$AH$4</f>
        <v>4638.9178999999995</v>
      </c>
      <c r="AN6" s="331">
        <f>SUM($T6:AA6)/$AH$4</f>
        <v>5282.4178999999995</v>
      </c>
      <c r="AO6" s="331">
        <f>SUM($T6:AB6)/$AH$4</f>
        <v>5284.0678999999991</v>
      </c>
      <c r="AP6" s="331">
        <f>SUM($T6:AC6)/$AH$4</f>
        <v>5284.0678999999991</v>
      </c>
      <c r="AQ6" s="331">
        <f>SUM($T6:AD6)/$AH$4</f>
        <v>5284.0678999999991</v>
      </c>
      <c r="AR6" s="331">
        <f>SUM($T6:AE6)/$AH$4</f>
        <v>5284.0678999999991</v>
      </c>
    </row>
    <row r="7" spans="1:44" outlineLevel="1" x14ac:dyDescent="0.35">
      <c r="B7" s="604" t="s">
        <v>329</v>
      </c>
      <c r="C7" s="695">
        <f>INDEX('05. BC BH THEO SKU-USD'!$EC$5:$EN$72,MATCH('05.2. Chart _SKU'!$B7,'05. BC BH THEO SKU-USD'!$C$5:$C$72,0),MATCH('05.2. Chart _SKU'!C$4,'05. BC BH THEO SKU-USD'!$EC$4:$EN$4,0))</f>
        <v>0</v>
      </c>
      <c r="D7" s="695">
        <f>INDEX('05. BC BH THEO SKU-USD'!$EC$5:$EN$72,MATCH('05.2. Chart _SKU'!$B7,'05. BC BH THEO SKU-USD'!$C$5:$C$72,0),MATCH('05.2. Chart _SKU'!D$4,'05. BC BH THEO SKU-USD'!$EC$4:$EN$4,0))</f>
        <v>0</v>
      </c>
      <c r="E7" s="695">
        <f>INDEX('05. BC BH THEO SKU-USD'!$EC$5:$EN$72,MATCH('05.2. Chart _SKU'!$B7,'05. BC BH THEO SKU-USD'!$C$5:$C$72,0),MATCH('05.2. Chart _SKU'!E$4,'05. BC BH THEO SKU-USD'!$EC$4:$EN$4,0))</f>
        <v>0</v>
      </c>
      <c r="F7" s="695">
        <f>INDEX('05. BC BH THEO SKU-USD'!$EC$5:$EN$72,MATCH('05.2. Chart _SKU'!$B7,'05. BC BH THEO SKU-USD'!$C$5:$C$72,0),MATCH('05.2. Chart _SKU'!F$4,'05. BC BH THEO SKU-USD'!$EC$4:$EN$4,0))</f>
        <v>0</v>
      </c>
      <c r="G7" s="695">
        <f>INDEX('05. BC BH THEO SKU-USD'!$EC$5:$EN$72,MATCH('05.2. Chart _SKU'!$B7,'05. BC BH THEO SKU-USD'!$C$5:$C$72,0),MATCH('05.2. Chart _SKU'!G$4,'05. BC BH THEO SKU-USD'!$EC$4:$EN$4,0))</f>
        <v>0</v>
      </c>
      <c r="H7" s="695">
        <f>INDEX('05. BC BH THEO SKU-USD'!$EC$5:$EN$72,MATCH('05.2. Chart _SKU'!$B7,'05. BC BH THEO SKU-USD'!$C$5:$C$72,0),MATCH('05.2. Chart _SKU'!H$4,'05. BC BH THEO SKU-USD'!$EC$4:$EN$4,0))</f>
        <v>0</v>
      </c>
      <c r="I7" s="354">
        <f>INDEX('05. BC BH THEO SKU-USD'!$EC$5:$EN$72,MATCH('05.2. Chart _SKU'!$B7,'05. BC BH THEO SKU-USD'!$C$5:$C$72,0),MATCH('05.2. Chart _SKU'!I$4,'05. BC BH THEO SKU-USD'!$EC$4:$EN$4,0))</f>
        <v>0</v>
      </c>
      <c r="J7" s="405">
        <f>INDEX('05. BC BH THEO SKU-USD'!$EC$5:$EN$72,MATCH('05.2. Chart _SKU'!$B7,'05. BC BH THEO SKU-USD'!$C$5:$C$72,0),MATCH('05.2. Chart _SKU'!J$4,'05. BC BH THEO SKU-USD'!$EC$4:$EN$4,0))</f>
        <v>0</v>
      </c>
      <c r="K7" s="405">
        <f>INDEX('05. BC BH THEO SKU-USD'!$EC$5:$EN$72,MATCH('05.2. Chart _SKU'!$B7,'05. BC BH THEO SKU-USD'!$C$5:$C$72,0),MATCH('05.2. Chart _SKU'!K$4,'05. BC BH THEO SKU-USD'!$EC$4:$EN$4,0))</f>
        <v>0</v>
      </c>
      <c r="L7" s="405">
        <f>INDEX('05. BC BH THEO SKU-USD'!$EC$5:$EN$72,MATCH('05.2. Chart _SKU'!$B7,'05. BC BH THEO SKU-USD'!$C$5:$C$72,0),MATCH('05.2. Chart _SKU'!L$4,'05. BC BH THEO SKU-USD'!$EC$4:$EN$4,0))</f>
        <v>0</v>
      </c>
      <c r="M7" s="405">
        <f>INDEX('05. BC BH THEO SKU-USD'!$EC$5:$EN$72,MATCH('05.2. Chart _SKU'!$B7,'05. BC BH THEO SKU-USD'!$C$5:$C$72,0),MATCH('05.2. Chart _SKU'!M$4,'05. BC BH THEO SKU-USD'!$EC$4:$EN$4,0))</f>
        <v>0</v>
      </c>
      <c r="N7" s="405">
        <f>INDEX('05. BC BH THEO SKU-USD'!$EC$5:$EN$72,MATCH('05.2. Chart _SKU'!$B7,'05. BC BH THEO SKU-USD'!$C$5:$C$72,0),MATCH('05.2. Chart _SKU'!N$4,'05. BC BH THEO SKU-USD'!$EC$4:$EN$4,0))</f>
        <v>0</v>
      </c>
      <c r="O7" s="354">
        <f>INDEX('05. BC BH THEO SKU-USD'!$EB$5:$EN$72,MATCH('05.2. Chart _SKU'!$B7,'05. BC BH THEO SKU-USD'!$C$5:$C$72,0),MATCH('05.2. Chart _SKU'!O$4,'05. BC BH THEO SKU-USD'!$EB$4:$EN$4,0))</f>
        <v>0</v>
      </c>
      <c r="P7" s="586">
        <f>_xlfn.XLOOKUP(B7,'05. BC BH THEO SKU-USD'!$C$5:$C$71,'05. BC BH THEO SKU-USD'!$CL$5:$CL$71,0)</f>
        <v>0</v>
      </c>
      <c r="Q7" s="354">
        <v>0.21744389161101269</v>
      </c>
      <c r="R7" s="586">
        <v>3785.9431999999997</v>
      </c>
      <c r="T7" s="331">
        <f>_xlfn.XLOOKUP($B7,'05. BC BH THEO SKU-USD'!$C$5:$C$71,'05. BC BH THEO SKU-USD'!CM$5:CM$71,0)</f>
        <v>0</v>
      </c>
      <c r="U7" s="331">
        <f>_xlfn.XLOOKUP($B7,'05. BC BH THEO SKU-USD'!$C$5:$C$71,'05. BC BH THEO SKU-USD'!CN$5:CN$71,0)</f>
        <v>0</v>
      </c>
      <c r="V7" s="331">
        <f>_xlfn.XLOOKUP($B7,'05. BC BH THEO SKU-USD'!$C$5:$C$71,'05. BC BH THEO SKU-USD'!CO$5:CO$71,0)</f>
        <v>0</v>
      </c>
      <c r="W7" s="331">
        <f>_xlfn.XLOOKUP($B7,'05. BC BH THEO SKU-USD'!$C$5:$C$71,'05. BC BH THEO SKU-USD'!CP$5:CP$71,0)</f>
        <v>0</v>
      </c>
      <c r="X7" s="331">
        <f>_xlfn.XLOOKUP($B7,'05. BC BH THEO SKU-USD'!$C$5:$C$71,'05. BC BH THEO SKU-USD'!CQ$5:CQ$71,0)</f>
        <v>0</v>
      </c>
      <c r="Y7" s="331">
        <f>_xlfn.XLOOKUP($B7,'05. BC BH THEO SKU-USD'!$C$5:$C$71,'05. BC BH THEO SKU-USD'!CR$5:CR$71,0)</f>
        <v>0</v>
      </c>
      <c r="Z7" s="331">
        <f>_xlfn.XLOOKUP($B7,'05. BC BH THEO SKU-USD'!$C$5:$C$71,'05. BC BH THEO SKU-USD'!CS$5:CS$71,0)</f>
        <v>0</v>
      </c>
      <c r="AA7" s="331">
        <f>_xlfn.XLOOKUP($B7,'05. BC BH THEO SKU-USD'!$C$5:$C$71,'05. BC BH THEO SKU-USD'!CT$5:CT$71,0)</f>
        <v>0</v>
      </c>
      <c r="AB7" s="331">
        <f>_xlfn.XLOOKUP($B7,'05. BC BH THEO SKU-USD'!$C$5:$C$71,'05. BC BH THEO SKU-USD'!CU$5:CU$71,0)</f>
        <v>0</v>
      </c>
      <c r="AC7" s="331">
        <f>_xlfn.XLOOKUP($B7,'05. BC BH THEO SKU-USD'!$C$5:$C$71,'05. BC BH THEO SKU-USD'!CV$5:CV$71,0)</f>
        <v>0</v>
      </c>
      <c r="AD7" s="331">
        <f>_xlfn.XLOOKUP($B7,'05. BC BH THEO SKU-USD'!$C$5:$C$71,'05. BC BH THEO SKU-USD'!CW$5:CW$71,0)</f>
        <v>0</v>
      </c>
      <c r="AE7" s="331">
        <f>_xlfn.XLOOKUP($B7,'05. BC BH THEO SKU-USD'!$C$5:$C$71,'05. BC BH THEO SKU-USD'!CX$5:CX$71,0)</f>
        <v>0</v>
      </c>
      <c r="AG7" s="331">
        <f t="shared" si="0"/>
        <v>0</v>
      </c>
      <c r="AH7" s="331">
        <f>SUM($T7:U7)/$AH$4</f>
        <v>0</v>
      </c>
      <c r="AI7" s="331">
        <f>SUM($T7:V7)/$AH$4</f>
        <v>0</v>
      </c>
      <c r="AJ7" s="331">
        <f>SUM($T7:W7)/$AH$4</f>
        <v>0</v>
      </c>
      <c r="AK7" s="331">
        <f>SUM($T7:X7)/$AH$4</f>
        <v>0</v>
      </c>
      <c r="AL7" s="331">
        <f>SUM($T7:Y7)/$AH$4</f>
        <v>0</v>
      </c>
      <c r="AM7" s="331">
        <f>SUM($T7:Z7)/$AH$4</f>
        <v>0</v>
      </c>
      <c r="AN7" s="331">
        <f>SUM($T7:AA7)/$AH$4</f>
        <v>0</v>
      </c>
      <c r="AO7" s="331">
        <f>SUM($T7:AB7)/$AH$4</f>
        <v>0</v>
      </c>
      <c r="AP7" s="331">
        <f>SUM($T7:AC7)/$AH$4</f>
        <v>0</v>
      </c>
      <c r="AQ7" s="331">
        <f>SUM($T7:AD7)/$AH$4</f>
        <v>0</v>
      </c>
      <c r="AR7" s="331">
        <f>SUM($T7:AE7)/$AH$4</f>
        <v>0</v>
      </c>
    </row>
    <row r="8" spans="1:44" outlineLevel="1" x14ac:dyDescent="0.35">
      <c r="B8" s="1204" t="s">
        <v>328</v>
      </c>
      <c r="C8" s="1206">
        <f>INDEX('05. BC BH THEO SKU-USD'!$EC$5:$EN$72,MATCH('05.2. Chart _SKU'!$B8,'05. BC BH THEO SKU-USD'!$C$5:$C$72,0),MATCH('05.2. Chart _SKU'!C$4,'05. BC BH THEO SKU-USD'!$EC$4:$EN$4,0))</f>
        <v>0.24077277947598269</v>
      </c>
      <c r="D8" s="1206">
        <f>INDEX('05. BC BH THEO SKU-USD'!$EC$5:$EN$72,MATCH('05.2. Chart _SKU'!$B8,'05. BC BH THEO SKU-USD'!$C$5:$C$72,0),MATCH('05.2. Chart _SKU'!D$4,'05. BC BH THEO SKU-USD'!$EC$4:$EN$4,0))</f>
        <v>0.24344370047941832</v>
      </c>
      <c r="E8" s="1206">
        <f>INDEX('05. BC BH THEO SKU-USD'!$EC$5:$EN$72,MATCH('05.2. Chart _SKU'!$B8,'05. BC BH THEO SKU-USD'!$C$5:$C$72,0),MATCH('05.2. Chart _SKU'!E$4,'05. BC BH THEO SKU-USD'!$EC$4:$EN$4,0))</f>
        <v>0.23326673455227021</v>
      </c>
      <c r="F8" s="1206">
        <f>INDEX('05. BC BH THEO SKU-USD'!$EC$5:$EN$72,MATCH('05.2. Chart _SKU'!$B8,'05. BC BH THEO SKU-USD'!$C$5:$C$72,0),MATCH('05.2. Chart _SKU'!F$4,'05. BC BH THEO SKU-USD'!$EC$4:$EN$4,0))</f>
        <v>0.22989471061165925</v>
      </c>
      <c r="G8" s="1206">
        <f>INDEX('05. BC BH THEO SKU-USD'!$EC$5:$EN$72,MATCH('05.2. Chart _SKU'!$B8,'05. BC BH THEO SKU-USD'!$C$5:$C$72,0),MATCH('05.2. Chart _SKU'!G$4,'05. BC BH THEO SKU-USD'!$EC$4:$EN$4,0))</f>
        <v>0.20415935685582293</v>
      </c>
      <c r="H8" s="1206">
        <f>INDEX('05. BC BH THEO SKU-USD'!$EC$5:$EN$72,MATCH('05.2. Chart _SKU'!$B8,'05. BC BH THEO SKU-USD'!$C$5:$C$72,0),MATCH('05.2. Chart _SKU'!H$4,'05. BC BH THEO SKU-USD'!$EC$4:$EN$4,0))</f>
        <v>0.2000566251146447</v>
      </c>
      <c r="I8" s="1206">
        <f>INDEX('05. BC BH THEO SKU-USD'!$EC$5:$EN$72,MATCH('05.2. Chart _SKU'!$B8,'05. BC BH THEO SKU-USD'!$C$5:$C$72,0),MATCH('05.2. Chart _SKU'!I$4,'05. BC BH THEO SKU-USD'!$EC$4:$EN$4,0))</f>
        <v>0.19403290586515473</v>
      </c>
      <c r="J8" s="1248">
        <f>INDEX('05. BC BH THEO SKU-USD'!$EC$5:$EN$72,MATCH('05.2. Chart _SKU'!$B8,'05. BC BH THEO SKU-USD'!$C$5:$C$72,0),MATCH('05.2. Chart _SKU'!J$4,'05. BC BH THEO SKU-USD'!$EC$4:$EN$4,0))</f>
        <v>0.16399115585662979</v>
      </c>
      <c r="K8" s="1206">
        <f>INDEX('05. BC BH THEO SKU-USD'!$EC$5:$EN$72,MATCH('05.2. Chart _SKU'!$B8,'05. BC BH THEO SKU-USD'!$C$5:$C$72,0),MATCH('05.2. Chart _SKU'!K$4,'05. BC BH THEO SKU-USD'!$EC$4:$EN$4,0))</f>
        <v>6.2286803688537479E-2</v>
      </c>
      <c r="L8" s="1206">
        <f>INDEX('05. BC BH THEO SKU-USD'!$EC$5:$EN$72,MATCH('05.2. Chart _SKU'!$B8,'05. BC BH THEO SKU-USD'!$C$5:$C$72,0),MATCH('05.2. Chart _SKU'!L$4,'05. BC BH THEO SKU-USD'!$EC$4:$EN$4,0))</f>
        <v>0</v>
      </c>
      <c r="M8" s="1206">
        <f>INDEX('05. BC BH THEO SKU-USD'!$EC$5:$EN$72,MATCH('05.2. Chart _SKU'!$B8,'05. BC BH THEO SKU-USD'!$C$5:$C$72,0),MATCH('05.2. Chart _SKU'!M$4,'05. BC BH THEO SKU-USD'!$EC$4:$EN$4,0))</f>
        <v>0</v>
      </c>
      <c r="N8" s="1206">
        <f>INDEX('05. BC BH THEO SKU-USD'!$EC$5:$EN$72,MATCH('05.2. Chart _SKU'!$B8,'05. BC BH THEO SKU-USD'!$C$5:$C$72,0),MATCH('05.2. Chart _SKU'!N$4,'05. BC BH THEO SKU-USD'!$EC$4:$EN$4,0))</f>
        <v>0</v>
      </c>
      <c r="O8" s="354">
        <f>INDEX('05. BC BH THEO SKU-USD'!$EB$5:$EN$72,MATCH('05.2. Chart _SKU'!$B8,'05. BC BH THEO SKU-USD'!$C$5:$C$72,0),MATCH('05.2. Chart _SKU'!O$4,'05. BC BH THEO SKU-USD'!$EB$4:$EN$4,0))</f>
        <v>0.20341031450186756</v>
      </c>
      <c r="P8" s="586">
        <f>_xlfn.XLOOKUP(B8,'05. BC BH THEO SKU-USD'!$C$5:$C$71,'05. BC BH THEO SKU-USD'!$CL$5:$CL$71,0)</f>
        <v>4362.5938999999998</v>
      </c>
      <c r="Q8" s="354">
        <v>0.31215526483971773</v>
      </c>
      <c r="R8" s="586">
        <v>44.024999999999999</v>
      </c>
      <c r="T8" s="331">
        <f>_xlfn.XLOOKUP($B8,'05. BC BH THEO SKU-USD'!$C$5:$C$71,'05. BC BH THEO SKU-USD'!CM$5:CM$71,0)</f>
        <v>388.84929999999997</v>
      </c>
      <c r="U8" s="331">
        <f>_xlfn.XLOOKUP($B8,'05. BC BH THEO SKU-USD'!$C$5:$C$71,'05. BC BH THEO SKU-USD'!CN$5:CN$71,0)</f>
        <v>660</v>
      </c>
      <c r="V8" s="331">
        <f>_xlfn.XLOOKUP($B8,'05. BC BH THEO SKU-USD'!$C$5:$C$71,'05. BC BH THEO SKU-USD'!CO$5:CO$71,0)</f>
        <v>419.1</v>
      </c>
      <c r="W8" s="331">
        <f>_xlfn.XLOOKUP($B8,'05. BC BH THEO SKU-USD'!$C$5:$C$71,'05. BC BH THEO SKU-USD'!CP$5:CP$71,0)</f>
        <v>531.29999999999995</v>
      </c>
      <c r="X8" s="331">
        <f>_xlfn.XLOOKUP($B8,'05. BC BH THEO SKU-USD'!$C$5:$C$71,'05. BC BH THEO SKU-USD'!CQ$5:CQ$71,0)</f>
        <v>556.16030000000001</v>
      </c>
      <c r="Y8" s="331">
        <f>_xlfn.XLOOKUP($B8,'05. BC BH THEO SKU-USD'!$C$5:$C$71,'05. BC BH THEO SKU-USD'!CR$5:CR$71,0)</f>
        <v>486.42220000000003</v>
      </c>
      <c r="Z8" s="331">
        <f>_xlfn.XLOOKUP($B8,'05. BC BH THEO SKU-USD'!$C$5:$C$71,'05. BC BH THEO SKU-USD'!CS$5:CS$71,0)</f>
        <v>248.9691</v>
      </c>
      <c r="AA8" s="331">
        <f>_xlfn.XLOOKUP($B8,'05. BC BH THEO SKU-USD'!$C$5:$C$71,'05. BC BH THEO SKU-USD'!CT$5:CT$71,0)</f>
        <v>835.29300000000001</v>
      </c>
      <c r="AB8" s="331">
        <f>_xlfn.XLOOKUP($B8,'05. BC BH THEO SKU-USD'!$C$5:$C$71,'05. BC BH THEO SKU-USD'!CU$5:CU$71,0)</f>
        <v>236.5</v>
      </c>
      <c r="AC8" s="331">
        <f>_xlfn.XLOOKUP($B8,'05. BC BH THEO SKU-USD'!$C$5:$C$71,'05. BC BH THEO SKU-USD'!CV$5:CV$71,0)</f>
        <v>0</v>
      </c>
      <c r="AD8" s="331">
        <f>_xlfn.XLOOKUP($B8,'05. BC BH THEO SKU-USD'!$C$5:$C$71,'05. BC BH THEO SKU-USD'!CW$5:CW$71,0)</f>
        <v>0</v>
      </c>
      <c r="AE8" s="331">
        <f>_xlfn.XLOOKUP($B8,'05. BC BH THEO SKU-USD'!$C$5:$C$71,'05. BC BH THEO SKU-USD'!CX$5:CX$71,0)</f>
        <v>0</v>
      </c>
      <c r="AG8" s="331">
        <f t="shared" si="0"/>
        <v>388.84929999999997</v>
      </c>
      <c r="AH8" s="331">
        <f>SUM($T8:U8)/$AH$4</f>
        <v>524.42464999999993</v>
      </c>
      <c r="AI8" s="331">
        <f>SUM($T8:V8)/$AH$4</f>
        <v>733.97464999999988</v>
      </c>
      <c r="AJ8" s="331">
        <f>SUM($T8:W8)/$AH$4</f>
        <v>999.62464999999986</v>
      </c>
      <c r="AK8" s="331">
        <f>SUM($T8:X8)/$AH$4</f>
        <v>1277.7048</v>
      </c>
      <c r="AL8" s="331">
        <f>SUM($T8:Y8)/$AH$4</f>
        <v>1520.9159</v>
      </c>
      <c r="AM8" s="331">
        <f>SUM($T8:Z8)/$AH$4</f>
        <v>1645.4004499999999</v>
      </c>
      <c r="AN8" s="331">
        <f>SUM($T8:AA8)/$AH$4</f>
        <v>2063.0469499999999</v>
      </c>
      <c r="AO8" s="331">
        <f>SUM($T8:AB8)/$AH$4</f>
        <v>2181.2969499999999</v>
      </c>
      <c r="AP8" s="331">
        <f>SUM($T8:AC8)/$AH$4</f>
        <v>2181.2969499999999</v>
      </c>
      <c r="AQ8" s="331">
        <f>SUM($T8:AD8)/$AH$4</f>
        <v>2181.2969499999999</v>
      </c>
      <c r="AR8" s="331">
        <f>SUM($T8:AE8)/$AH$4</f>
        <v>2181.2969499999999</v>
      </c>
    </row>
    <row r="9" spans="1:44" outlineLevel="1" x14ac:dyDescent="0.35">
      <c r="B9" s="604" t="s">
        <v>302</v>
      </c>
      <c r="C9" s="408">
        <f>INDEX('05. BC BH THEO SKU-USD'!$EC$5:$EN$72,MATCH('05.2. Chart _SKU'!$B9,'05. BC BH THEO SKU-USD'!$C$5:$C$72,0),MATCH('05.2. Chart _SKU'!C$4,'05. BC BH THEO SKU-USD'!$EC$4:$EN$4,0))</f>
        <v>0.12948964185053197</v>
      </c>
      <c r="D9" s="1210">
        <f>INDEX('05. BC BH THEO SKU-USD'!$EC$5:$EN$72,MATCH('05.2. Chart _SKU'!$B9,'05. BC BH THEO SKU-USD'!$C$5:$C$72,0),MATCH('05.2. Chart _SKU'!D$4,'05. BC BH THEO SKU-USD'!$EC$4:$EN$4,0))</f>
        <v>0</v>
      </c>
      <c r="E9" s="1210">
        <f>INDEX('05. BC BH THEO SKU-USD'!$EC$5:$EN$72,MATCH('05.2. Chart _SKU'!$B9,'05. BC BH THEO SKU-USD'!$C$5:$C$72,0),MATCH('05.2. Chart _SKU'!E$4,'05. BC BH THEO SKU-USD'!$EC$4:$EN$4,0))</f>
        <v>0</v>
      </c>
      <c r="F9" s="1210">
        <f>INDEX('05. BC BH THEO SKU-USD'!$EC$5:$EN$72,MATCH('05.2. Chart _SKU'!$B9,'05. BC BH THEO SKU-USD'!$C$5:$C$72,0),MATCH('05.2. Chart _SKU'!F$4,'05. BC BH THEO SKU-USD'!$EC$4:$EN$4,0))</f>
        <v>0</v>
      </c>
      <c r="G9" s="1210">
        <f>INDEX('05. BC BH THEO SKU-USD'!$EC$5:$EN$72,MATCH('05.2. Chart _SKU'!$B9,'05. BC BH THEO SKU-USD'!$C$5:$C$72,0),MATCH('05.2. Chart _SKU'!G$4,'05. BC BH THEO SKU-USD'!$EC$4:$EN$4,0))</f>
        <v>0</v>
      </c>
      <c r="H9" s="1210">
        <f>INDEX('05. BC BH THEO SKU-USD'!$EC$5:$EN$72,MATCH('05.2. Chart _SKU'!$B9,'05. BC BH THEO SKU-USD'!$C$5:$C$72,0),MATCH('05.2. Chart _SKU'!H$4,'05. BC BH THEO SKU-USD'!$EC$4:$EN$4,0))</f>
        <v>0</v>
      </c>
      <c r="I9" s="408">
        <f>INDEX('05. BC BH THEO SKU-USD'!$EC$5:$EN$72,MATCH('05.2. Chart _SKU'!$B9,'05. BC BH THEO SKU-USD'!$C$5:$C$72,0),MATCH('05.2. Chart _SKU'!I$4,'05. BC BH THEO SKU-USD'!$EC$4:$EN$4,0))</f>
        <v>0</v>
      </c>
      <c r="J9" s="864">
        <f>INDEX('05. BC BH THEO SKU-USD'!$EC$5:$EN$72,MATCH('05.2. Chart _SKU'!$B9,'05. BC BH THEO SKU-USD'!$C$5:$C$72,0),MATCH('05.2. Chart _SKU'!J$4,'05. BC BH THEO SKU-USD'!$EC$4:$EN$4,0))</f>
        <v>0</v>
      </c>
      <c r="K9" s="864">
        <f>INDEX('05. BC BH THEO SKU-USD'!$EC$5:$EN$72,MATCH('05.2. Chart _SKU'!$B9,'05. BC BH THEO SKU-USD'!$C$5:$C$72,0),MATCH('05.2. Chart _SKU'!K$4,'05. BC BH THEO SKU-USD'!$EC$4:$EN$4,0))</f>
        <v>0</v>
      </c>
      <c r="L9" s="864">
        <f>INDEX('05. BC BH THEO SKU-USD'!$EC$5:$EN$72,MATCH('05.2. Chart _SKU'!$B9,'05. BC BH THEO SKU-USD'!$C$5:$C$72,0),MATCH('05.2. Chart _SKU'!L$4,'05. BC BH THEO SKU-USD'!$EC$4:$EN$4,0))</f>
        <v>0</v>
      </c>
      <c r="M9" s="864">
        <f>INDEX('05. BC BH THEO SKU-USD'!$EC$5:$EN$72,MATCH('05.2. Chart _SKU'!$B9,'05. BC BH THEO SKU-USD'!$C$5:$C$72,0),MATCH('05.2. Chart _SKU'!M$4,'05. BC BH THEO SKU-USD'!$EC$4:$EN$4,0))</f>
        <v>0</v>
      </c>
      <c r="N9" s="864">
        <f>INDEX('05. BC BH THEO SKU-USD'!$EC$5:$EN$72,MATCH('05.2. Chart _SKU'!$B9,'05. BC BH THEO SKU-USD'!$C$5:$C$72,0),MATCH('05.2. Chart _SKU'!N$4,'05. BC BH THEO SKU-USD'!$EC$4:$EN$4,0))</f>
        <v>0</v>
      </c>
      <c r="O9" s="354">
        <f>INDEX('05. BC BH THEO SKU-USD'!$EB$5:$EN$72,MATCH('05.2. Chart _SKU'!$B9,'05. BC BH THEO SKU-USD'!$C$5:$C$72,0),MATCH('05.2. Chart _SKU'!O$4,'05. BC BH THEO SKU-USD'!$EB$4:$EN$4,0))</f>
        <v>0.12948964185053197</v>
      </c>
      <c r="P9" s="586">
        <f>_xlfn.XLOOKUP(B9,'05. BC BH THEO SKU-USD'!$C$5:$C$71,'05. BC BH THEO SKU-USD'!$CL$5:$CL$71,0)</f>
        <v>22</v>
      </c>
      <c r="Q9" s="354">
        <v>0.21919043199520535</v>
      </c>
      <c r="R9" s="586">
        <v>3858.2</v>
      </c>
      <c r="T9" s="331">
        <f>_xlfn.XLOOKUP($B9,'05. BC BH THEO SKU-USD'!$C$5:$C$71,'05. BC BH THEO SKU-USD'!CM$5:CM$71,0)</f>
        <v>22</v>
      </c>
      <c r="U9" s="331">
        <f>_xlfn.XLOOKUP($B9,'05. BC BH THEO SKU-USD'!$C$5:$C$71,'05. BC BH THEO SKU-USD'!CN$5:CN$71,0)</f>
        <v>0</v>
      </c>
      <c r="V9" s="331">
        <f>_xlfn.XLOOKUP($B9,'05. BC BH THEO SKU-USD'!$C$5:$C$71,'05. BC BH THEO SKU-USD'!CO$5:CO$71,0)</f>
        <v>0</v>
      </c>
      <c r="W9" s="331">
        <f>_xlfn.XLOOKUP($B9,'05. BC BH THEO SKU-USD'!$C$5:$C$71,'05. BC BH THEO SKU-USD'!CP$5:CP$71,0)</f>
        <v>0</v>
      </c>
      <c r="X9" s="331">
        <f>_xlfn.XLOOKUP($B9,'05. BC BH THEO SKU-USD'!$C$5:$C$71,'05. BC BH THEO SKU-USD'!CQ$5:CQ$71,0)</f>
        <v>0</v>
      </c>
      <c r="Y9" s="331">
        <f>_xlfn.XLOOKUP($B9,'05. BC BH THEO SKU-USD'!$C$5:$C$71,'05. BC BH THEO SKU-USD'!CR$5:CR$71,0)</f>
        <v>0</v>
      </c>
      <c r="Z9" s="331">
        <f>_xlfn.XLOOKUP($B9,'05. BC BH THEO SKU-USD'!$C$5:$C$71,'05. BC BH THEO SKU-USD'!CS$5:CS$71,0)</f>
        <v>0</v>
      </c>
      <c r="AA9" s="331">
        <f>_xlfn.XLOOKUP($B9,'05. BC BH THEO SKU-USD'!$C$5:$C$71,'05. BC BH THEO SKU-USD'!CT$5:CT$71,0)</f>
        <v>0</v>
      </c>
      <c r="AB9" s="331">
        <f>_xlfn.XLOOKUP($B9,'05. BC BH THEO SKU-USD'!$C$5:$C$71,'05. BC BH THEO SKU-USD'!CU$5:CU$71,0)</f>
        <v>0</v>
      </c>
      <c r="AC9" s="331">
        <f>_xlfn.XLOOKUP($B9,'05. BC BH THEO SKU-USD'!$C$5:$C$71,'05. BC BH THEO SKU-USD'!CV$5:CV$71,0)</f>
        <v>0</v>
      </c>
      <c r="AD9" s="331">
        <f>_xlfn.XLOOKUP($B9,'05. BC BH THEO SKU-USD'!$C$5:$C$71,'05. BC BH THEO SKU-USD'!CW$5:CW$71,0)</f>
        <v>0</v>
      </c>
      <c r="AE9" s="331">
        <f>_xlfn.XLOOKUP($B9,'05. BC BH THEO SKU-USD'!$C$5:$C$71,'05. BC BH THEO SKU-USD'!CX$5:CX$71,0)</f>
        <v>0</v>
      </c>
      <c r="AG9" s="331">
        <f t="shared" si="0"/>
        <v>22</v>
      </c>
      <c r="AH9" s="331">
        <f>SUM($T9:U9)/$AH$4</f>
        <v>11</v>
      </c>
      <c r="AI9" s="331">
        <f>SUM($T9:V9)/$AH$4</f>
        <v>11</v>
      </c>
      <c r="AJ9" s="331">
        <f>SUM($T9:W9)/$AH$4</f>
        <v>11</v>
      </c>
      <c r="AK9" s="331">
        <f>SUM($T9:X9)/$AH$4</f>
        <v>11</v>
      </c>
      <c r="AL9" s="331">
        <f>SUM($T9:Y9)/$AH$4</f>
        <v>11</v>
      </c>
      <c r="AM9" s="331">
        <f>SUM($T9:Z9)/$AH$4</f>
        <v>11</v>
      </c>
      <c r="AN9" s="331">
        <f>SUM($T9:AA9)/$AH$4</f>
        <v>11</v>
      </c>
      <c r="AO9" s="331">
        <f>SUM($T9:AB9)/$AH$4</f>
        <v>11</v>
      </c>
      <c r="AP9" s="331">
        <f>SUM($T9:AC9)/$AH$4</f>
        <v>11</v>
      </c>
      <c r="AQ9" s="331">
        <f>SUM($T9:AD9)/$AH$4</f>
        <v>11</v>
      </c>
      <c r="AR9" s="331">
        <f>SUM($T9:AE9)/$AH$4</f>
        <v>11</v>
      </c>
    </row>
    <row r="10" spans="1:44" outlineLevel="1" x14ac:dyDescent="0.35">
      <c r="B10" s="1204" t="s">
        <v>315</v>
      </c>
      <c r="C10" s="1207">
        <f>INDEX('05. BC BH THEO SKU-USD'!$EC$5:$EN$72,MATCH('05.2. Chart _SKU'!$B10,'05. BC BH THEO SKU-USD'!$C$5:$C$72,0),MATCH('05.2. Chart _SKU'!C$4,'05. BC BH THEO SKU-USD'!$EC$4:$EN$4,0))</f>
        <v>0</v>
      </c>
      <c r="D10" s="1205">
        <f>INDEX('05. BC BH THEO SKU-USD'!$EC$5:$EN$72,MATCH('05.2. Chart _SKU'!$B10,'05. BC BH THEO SKU-USD'!$C$5:$C$72,0),MATCH('05.2. Chart _SKU'!D$4,'05. BC BH THEO SKU-USD'!$EC$4:$EN$4,0))</f>
        <v>3.3788357884031797E-2</v>
      </c>
      <c r="E10" s="1205">
        <f>INDEX('05. BC BH THEO SKU-USD'!$EC$5:$EN$72,MATCH('05.2. Chart _SKU'!$B10,'05. BC BH THEO SKU-USD'!$C$5:$C$72,0),MATCH('05.2. Chart _SKU'!E$4,'05. BC BH THEO SKU-USD'!$EC$4:$EN$4,0))</f>
        <v>6.9312652935848887E-2</v>
      </c>
      <c r="F10" s="1205">
        <f>INDEX('05. BC BH THEO SKU-USD'!$EC$5:$EN$72,MATCH('05.2. Chart _SKU'!$B10,'05. BC BH THEO SKU-USD'!$C$5:$C$72,0),MATCH('05.2. Chart _SKU'!F$4,'05. BC BH THEO SKU-USD'!$EC$4:$EN$4,0))</f>
        <v>9.4086121633124048E-2</v>
      </c>
      <c r="G10" s="1205">
        <f>INDEX('05. BC BH THEO SKU-USD'!$EC$5:$EN$72,MATCH('05.2. Chart _SKU'!$B10,'05. BC BH THEO SKU-USD'!$C$5:$C$72,0),MATCH('05.2. Chart _SKU'!G$4,'05. BC BH THEO SKU-USD'!$EC$4:$EN$4,0))</f>
        <v>0.17981793001363153</v>
      </c>
      <c r="H10" s="1206">
        <f>INDEX('05. BC BH THEO SKU-USD'!$EC$5:$EN$72,MATCH('05.2. Chart _SKU'!$B10,'05. BC BH THEO SKU-USD'!$C$5:$C$72,0),MATCH('05.2. Chart _SKU'!H$4,'05. BC BH THEO SKU-USD'!$EC$4:$EN$4,0))</f>
        <v>9.2481418105991031E-2</v>
      </c>
      <c r="I10" s="1205">
        <f>INDEX('05. BC BH THEO SKU-USD'!$EC$5:$EN$72,MATCH('05.2. Chart _SKU'!$B10,'05. BC BH THEO SKU-USD'!$C$5:$C$72,0),MATCH('05.2. Chart _SKU'!I$4,'05. BC BH THEO SKU-USD'!$EC$4:$EN$4,0))</f>
        <v>0.11071730113975367</v>
      </c>
      <c r="J10" s="1206">
        <f>INDEX('05. BC BH THEO SKU-USD'!$EC$5:$EN$72,MATCH('05.2. Chart _SKU'!$B10,'05. BC BH THEO SKU-USD'!$C$5:$C$72,0),MATCH('05.2. Chart _SKU'!J$4,'05. BC BH THEO SKU-USD'!$EC$4:$EN$4,0))</f>
        <v>2.6591037526113265E-2</v>
      </c>
      <c r="K10" s="1206">
        <f>INDEX('05. BC BH THEO SKU-USD'!$EC$5:$EN$72,MATCH('05.2. Chart _SKU'!$B10,'05. BC BH THEO SKU-USD'!$C$5:$C$72,0),MATCH('05.2. Chart _SKU'!K$4,'05. BC BH THEO SKU-USD'!$EC$4:$EN$4,0))</f>
        <v>8.9497508910397497E-2</v>
      </c>
      <c r="L10" s="1206">
        <f>INDEX('05. BC BH THEO SKU-USD'!$EC$5:$EN$72,MATCH('05.2. Chart _SKU'!$B10,'05. BC BH THEO SKU-USD'!$C$5:$C$72,0),MATCH('05.2. Chart _SKU'!L$4,'05. BC BH THEO SKU-USD'!$EC$4:$EN$4,0))</f>
        <v>0</v>
      </c>
      <c r="M10" s="1206">
        <f>INDEX('05. BC BH THEO SKU-USD'!$EC$5:$EN$72,MATCH('05.2. Chart _SKU'!$B10,'05. BC BH THEO SKU-USD'!$C$5:$C$72,0),MATCH('05.2. Chart _SKU'!M$4,'05. BC BH THEO SKU-USD'!$EC$4:$EN$4,0))</f>
        <v>0</v>
      </c>
      <c r="N10" s="1206">
        <f>INDEX('05. BC BH THEO SKU-USD'!$EC$5:$EN$72,MATCH('05.2. Chart _SKU'!$B10,'05. BC BH THEO SKU-USD'!$C$5:$C$72,0),MATCH('05.2. Chart _SKU'!N$4,'05. BC BH THEO SKU-USD'!$EC$4:$EN$4,0))</f>
        <v>0</v>
      </c>
      <c r="O10" s="354">
        <f>INDEX('05. BC BH THEO SKU-USD'!$EB$5:$EN$72,MATCH('05.2. Chart _SKU'!$B10,'05. BC BH THEO SKU-USD'!$C$5:$C$72,0),MATCH('05.2. Chart _SKU'!O$4,'05. BC BH THEO SKU-USD'!$EB$4:$EN$4,0))</f>
        <v>8.0756634548876896E-2</v>
      </c>
      <c r="P10" s="586">
        <f>_xlfn.XLOOKUP(B10,'05. BC BH THEO SKU-USD'!$C$5:$C$71,'05. BC BH THEO SKU-USD'!$CL$5:$CL$71,0)</f>
        <v>1411.05</v>
      </c>
      <c r="Q10" s="354">
        <v>-0.15745910219996687</v>
      </c>
      <c r="R10" s="586">
        <v>3718.7</v>
      </c>
      <c r="T10" s="331">
        <f>_xlfn.XLOOKUP($B10,'05. BC BH THEO SKU-USD'!$C$5:$C$71,'05. BC BH THEO SKU-USD'!CM$5:CM$71,0)</f>
        <v>0</v>
      </c>
      <c r="U10" s="331">
        <f>_xlfn.XLOOKUP($B10,'05. BC BH THEO SKU-USD'!$C$5:$C$71,'05. BC BH THEO SKU-USD'!CN$5:CN$71,0)</f>
        <v>45.1</v>
      </c>
      <c r="V10" s="331">
        <f>_xlfn.XLOOKUP($B10,'05. BC BH THEO SKU-USD'!$C$5:$C$71,'05. BC BH THEO SKU-USD'!CO$5:CO$71,0)</f>
        <v>231</v>
      </c>
      <c r="W10" s="331">
        <f>_xlfn.XLOOKUP($B10,'05. BC BH THEO SKU-USD'!$C$5:$C$71,'05. BC BH THEO SKU-USD'!CP$5:CP$71,0)</f>
        <v>154</v>
      </c>
      <c r="X10" s="331">
        <f>_xlfn.XLOOKUP($B10,'05. BC BH THEO SKU-USD'!$C$5:$C$71,'05. BC BH THEO SKU-USD'!CQ$5:CQ$71,0)</f>
        <v>11</v>
      </c>
      <c r="Y10" s="331">
        <f>_xlfn.XLOOKUP($B10,'05. BC BH THEO SKU-USD'!$C$5:$C$71,'05. BC BH THEO SKU-USD'!CR$5:CR$71,0)</f>
        <v>264</v>
      </c>
      <c r="Z10" s="331">
        <f>_xlfn.XLOOKUP($B10,'05. BC BH THEO SKU-USD'!$C$5:$C$71,'05. BC BH THEO SKU-USD'!CS$5:CS$71,0)</f>
        <v>374.85</v>
      </c>
      <c r="AA10" s="331">
        <f>_xlfn.XLOOKUP($B10,'05. BC BH THEO SKU-USD'!$C$5:$C$71,'05. BC BH THEO SKU-USD'!CT$5:CT$71,0)</f>
        <v>264</v>
      </c>
      <c r="AB10" s="331">
        <f>_xlfn.XLOOKUP($B10,'05. BC BH THEO SKU-USD'!$C$5:$C$71,'05. BC BH THEO SKU-USD'!CU$5:CU$71,0)</f>
        <v>67.099999999999994</v>
      </c>
      <c r="AC10" s="331">
        <f>_xlfn.XLOOKUP($B10,'05. BC BH THEO SKU-USD'!$C$5:$C$71,'05. BC BH THEO SKU-USD'!CV$5:CV$71,0)</f>
        <v>0</v>
      </c>
      <c r="AD10" s="331">
        <f>_xlfn.XLOOKUP($B10,'05. BC BH THEO SKU-USD'!$C$5:$C$71,'05. BC BH THEO SKU-USD'!CW$5:CW$71,0)</f>
        <v>0</v>
      </c>
      <c r="AE10" s="331">
        <f>_xlfn.XLOOKUP($B10,'05. BC BH THEO SKU-USD'!$C$5:$C$71,'05. BC BH THEO SKU-USD'!CX$5:CX$71,0)</f>
        <v>0</v>
      </c>
      <c r="AG10" s="331">
        <f t="shared" si="0"/>
        <v>0</v>
      </c>
      <c r="AH10" s="331">
        <f>SUM($T10:U10)/$AH$4</f>
        <v>22.55</v>
      </c>
      <c r="AI10" s="331">
        <f>SUM($T10:V10)/$AH$4</f>
        <v>138.05000000000001</v>
      </c>
      <c r="AJ10" s="331">
        <f>SUM($T10:W10)/$AH$4</f>
        <v>215.05</v>
      </c>
      <c r="AK10" s="331">
        <f>SUM($T10:X10)/$AH$4</f>
        <v>220.55</v>
      </c>
      <c r="AL10" s="331">
        <f>SUM($T10:Y10)/$AH$4</f>
        <v>352.55</v>
      </c>
      <c r="AM10" s="331">
        <f>SUM($T10:Z10)/$AH$4</f>
        <v>539.97500000000002</v>
      </c>
      <c r="AN10" s="331">
        <f>SUM($T10:AA10)/$AH$4</f>
        <v>671.97500000000002</v>
      </c>
      <c r="AO10" s="331">
        <f>SUM($T10:AB10)/$AH$4</f>
        <v>705.52499999999998</v>
      </c>
      <c r="AP10" s="331">
        <f>SUM($T10:AC10)/$AH$4</f>
        <v>705.52499999999998</v>
      </c>
      <c r="AQ10" s="331">
        <f>SUM($T10:AD10)/$AH$4</f>
        <v>705.52499999999998</v>
      </c>
      <c r="AR10" s="331">
        <f>SUM($T10:AE10)/$AH$4</f>
        <v>705.52499999999998</v>
      </c>
    </row>
    <row r="11" spans="1:44" outlineLevel="1" x14ac:dyDescent="0.35">
      <c r="B11" s="604" t="s">
        <v>325</v>
      </c>
      <c r="C11" s="695">
        <f>INDEX('05. BC BH THEO SKU-USD'!$EC$5:$EN$72,MATCH('05.2. Chart _SKU'!$B11,'05. BC BH THEO SKU-USD'!$C$5:$C$72,0),MATCH('05.2. Chart _SKU'!C$4,'05. BC BH THEO SKU-USD'!$EC$4:$EN$4,0))</f>
        <v>0</v>
      </c>
      <c r="D11" s="695">
        <f>INDEX('05. BC BH THEO SKU-USD'!$EC$5:$EN$72,MATCH('05.2. Chart _SKU'!$B11,'05. BC BH THEO SKU-USD'!$C$5:$C$72,0),MATCH('05.2. Chart _SKU'!D$4,'05. BC BH THEO SKU-USD'!$EC$4:$EN$4,0))</f>
        <v>0</v>
      </c>
      <c r="E11" s="695">
        <f>INDEX('05. BC BH THEO SKU-USD'!$EC$5:$EN$72,MATCH('05.2. Chart _SKU'!$B11,'05. BC BH THEO SKU-USD'!$C$5:$C$72,0),MATCH('05.2. Chart _SKU'!E$4,'05. BC BH THEO SKU-USD'!$EC$4:$EN$4,0))</f>
        <v>0</v>
      </c>
      <c r="F11" s="695">
        <f>INDEX('05. BC BH THEO SKU-USD'!$EC$5:$EN$72,MATCH('05.2. Chart _SKU'!$B11,'05. BC BH THEO SKU-USD'!$C$5:$C$72,0),MATCH('05.2. Chart _SKU'!F$4,'05. BC BH THEO SKU-USD'!$EC$4:$EN$4,0))</f>
        <v>0</v>
      </c>
      <c r="G11" s="695">
        <f>INDEX('05. BC BH THEO SKU-USD'!$EC$5:$EN$72,MATCH('05.2. Chart _SKU'!$B11,'05. BC BH THEO SKU-USD'!$C$5:$C$72,0),MATCH('05.2. Chart _SKU'!G$4,'05. BC BH THEO SKU-USD'!$EC$4:$EN$4,0))</f>
        <v>0</v>
      </c>
      <c r="H11" s="695">
        <f>INDEX('05. BC BH THEO SKU-USD'!$EC$5:$EN$72,MATCH('05.2. Chart _SKU'!$B11,'05. BC BH THEO SKU-USD'!$C$5:$C$72,0),MATCH('05.2. Chart _SKU'!H$4,'05. BC BH THEO SKU-USD'!$EC$4:$EN$4,0))</f>
        <v>0</v>
      </c>
      <c r="I11" s="354">
        <f>INDEX('05. BC BH THEO SKU-USD'!$EC$5:$EN$72,MATCH('05.2. Chart _SKU'!$B11,'05. BC BH THEO SKU-USD'!$C$5:$C$72,0),MATCH('05.2. Chart _SKU'!I$4,'05. BC BH THEO SKU-USD'!$EC$4:$EN$4,0))</f>
        <v>0</v>
      </c>
      <c r="J11" s="405">
        <f>INDEX('05. BC BH THEO SKU-USD'!$EC$5:$EN$72,MATCH('05.2. Chart _SKU'!$B11,'05. BC BH THEO SKU-USD'!$C$5:$C$72,0),MATCH('05.2. Chart _SKU'!J$4,'05. BC BH THEO SKU-USD'!$EC$4:$EN$4,0))</f>
        <v>0</v>
      </c>
      <c r="K11" s="405">
        <f>INDEX('05. BC BH THEO SKU-USD'!$EC$5:$EN$72,MATCH('05.2. Chart _SKU'!$B11,'05. BC BH THEO SKU-USD'!$C$5:$C$72,0),MATCH('05.2. Chart _SKU'!K$4,'05. BC BH THEO SKU-USD'!$EC$4:$EN$4,0))</f>
        <v>7.2967732342007444E-2</v>
      </c>
      <c r="L11" s="405">
        <f>INDEX('05. BC BH THEO SKU-USD'!$EC$5:$EN$72,MATCH('05.2. Chart _SKU'!$B11,'05. BC BH THEO SKU-USD'!$C$5:$C$72,0),MATCH('05.2. Chart _SKU'!L$4,'05. BC BH THEO SKU-USD'!$EC$4:$EN$4,0))</f>
        <v>0</v>
      </c>
      <c r="M11" s="405">
        <f>INDEX('05. BC BH THEO SKU-USD'!$EC$5:$EN$72,MATCH('05.2. Chart _SKU'!$B11,'05. BC BH THEO SKU-USD'!$C$5:$C$72,0),MATCH('05.2. Chart _SKU'!M$4,'05. BC BH THEO SKU-USD'!$EC$4:$EN$4,0))</f>
        <v>0</v>
      </c>
      <c r="N11" s="405">
        <f>INDEX('05. BC BH THEO SKU-USD'!$EC$5:$EN$72,MATCH('05.2. Chart _SKU'!$B11,'05. BC BH THEO SKU-USD'!$C$5:$C$72,0),MATCH('05.2. Chart _SKU'!N$4,'05. BC BH THEO SKU-USD'!$EC$4:$EN$4,0))</f>
        <v>0</v>
      </c>
      <c r="O11" s="354">
        <f>INDEX('05. BC BH THEO SKU-USD'!$EB$5:$EN$72,MATCH('05.2. Chart _SKU'!$B11,'05. BC BH THEO SKU-USD'!$C$5:$C$72,0),MATCH('05.2. Chart _SKU'!O$4,'05. BC BH THEO SKU-USD'!$EB$4:$EN$4,0))</f>
        <v>7.2967732342007444E-2</v>
      </c>
      <c r="P11" s="586">
        <f>_xlfn.XLOOKUP(B11,'05. BC BH THEO SKU-USD'!$C$5:$C$71,'05. BC BH THEO SKU-USD'!$CL$5:$CL$71,0)</f>
        <v>0.1</v>
      </c>
      <c r="Q11" s="354">
        <v>0.22753733234986451</v>
      </c>
      <c r="R11" s="586">
        <v>2.15</v>
      </c>
      <c r="T11" s="331">
        <f>_xlfn.XLOOKUP($B11,'05. BC BH THEO SKU-USD'!$C$5:$C$71,'05. BC BH THEO SKU-USD'!CM$5:CM$71,0)</f>
        <v>0</v>
      </c>
      <c r="U11" s="331">
        <f>_xlfn.XLOOKUP($B11,'05. BC BH THEO SKU-USD'!$C$5:$C$71,'05. BC BH THEO SKU-USD'!CN$5:CN$71,0)</f>
        <v>0</v>
      </c>
      <c r="V11" s="331">
        <f>_xlfn.XLOOKUP($B11,'05. BC BH THEO SKU-USD'!$C$5:$C$71,'05. BC BH THEO SKU-USD'!CO$5:CO$71,0)</f>
        <v>0</v>
      </c>
      <c r="W11" s="331">
        <f>_xlfn.XLOOKUP($B11,'05. BC BH THEO SKU-USD'!$C$5:$C$71,'05. BC BH THEO SKU-USD'!CP$5:CP$71,0)</f>
        <v>0</v>
      </c>
      <c r="X11" s="331">
        <f>_xlfn.XLOOKUP($B11,'05. BC BH THEO SKU-USD'!$C$5:$C$71,'05. BC BH THEO SKU-USD'!CQ$5:CQ$71,0)</f>
        <v>0</v>
      </c>
      <c r="Y11" s="331">
        <f>_xlfn.XLOOKUP($B11,'05. BC BH THEO SKU-USD'!$C$5:$C$71,'05. BC BH THEO SKU-USD'!CR$5:CR$71,0)</f>
        <v>0</v>
      </c>
      <c r="Z11" s="331">
        <f>_xlfn.XLOOKUP($B11,'05. BC BH THEO SKU-USD'!$C$5:$C$71,'05. BC BH THEO SKU-USD'!CS$5:CS$71,0)</f>
        <v>0</v>
      </c>
      <c r="AA11" s="331">
        <f>_xlfn.XLOOKUP($B11,'05. BC BH THEO SKU-USD'!$C$5:$C$71,'05. BC BH THEO SKU-USD'!CT$5:CT$71,0)</f>
        <v>0</v>
      </c>
      <c r="AB11" s="331">
        <f>_xlfn.XLOOKUP($B11,'05. BC BH THEO SKU-USD'!$C$5:$C$71,'05. BC BH THEO SKU-USD'!CU$5:CU$71,0)</f>
        <v>0.1</v>
      </c>
      <c r="AC11" s="331">
        <f>_xlfn.XLOOKUP($B11,'05. BC BH THEO SKU-USD'!$C$5:$C$71,'05. BC BH THEO SKU-USD'!CV$5:CV$71,0)</f>
        <v>0</v>
      </c>
      <c r="AD11" s="331">
        <f>_xlfn.XLOOKUP($B11,'05. BC BH THEO SKU-USD'!$C$5:$C$71,'05. BC BH THEO SKU-USD'!CW$5:CW$71,0)</f>
        <v>0</v>
      </c>
      <c r="AE11" s="331">
        <f>_xlfn.XLOOKUP($B11,'05. BC BH THEO SKU-USD'!$C$5:$C$71,'05. BC BH THEO SKU-USD'!CX$5:CX$71,0)</f>
        <v>0</v>
      </c>
      <c r="AG11" s="331">
        <f t="shared" si="0"/>
        <v>0</v>
      </c>
      <c r="AH11" s="331">
        <f>SUM($T11:U11)/$AH$4</f>
        <v>0</v>
      </c>
      <c r="AI11" s="331">
        <f>SUM($T11:V11)/$AH$4</f>
        <v>0</v>
      </c>
      <c r="AJ11" s="331">
        <f>SUM($T11:W11)/$AH$4</f>
        <v>0</v>
      </c>
      <c r="AK11" s="331">
        <f>SUM($T11:X11)/$AH$4</f>
        <v>0</v>
      </c>
      <c r="AL11" s="331">
        <f>SUM($T11:Y11)/$AH$4</f>
        <v>0</v>
      </c>
      <c r="AM11" s="331">
        <f>SUM($T11:Z11)/$AH$4</f>
        <v>0</v>
      </c>
      <c r="AN11" s="331">
        <f>SUM($T11:AA11)/$AH$4</f>
        <v>0</v>
      </c>
      <c r="AO11" s="331">
        <f>SUM($T11:AB11)/$AH$4</f>
        <v>0.05</v>
      </c>
      <c r="AP11" s="331">
        <f>SUM($T11:AC11)/$AH$4</f>
        <v>0.05</v>
      </c>
      <c r="AQ11" s="331">
        <f>SUM($T11:AD11)/$AH$4</f>
        <v>0.05</v>
      </c>
      <c r="AR11" s="331">
        <f>SUM($T11:AE11)/$AH$4</f>
        <v>0.05</v>
      </c>
    </row>
    <row r="12" spans="1:44" outlineLevel="1" x14ac:dyDescent="0.35">
      <c r="B12" s="604" t="s">
        <v>314</v>
      </c>
      <c r="C12" s="695">
        <f>INDEX('05. BC BH THEO SKU-USD'!$EC$5:$EN$72,MATCH('05.2. Chart _SKU'!$B12,'05. BC BH THEO SKU-USD'!$C$5:$C$72,0),MATCH('05.2. Chart _SKU'!C$4,'05. BC BH THEO SKU-USD'!$EC$4:$EN$4,0))</f>
        <v>0</v>
      </c>
      <c r="D12" s="695">
        <f>INDEX('05. BC BH THEO SKU-USD'!$EC$5:$EN$72,MATCH('05.2. Chart _SKU'!$B12,'05. BC BH THEO SKU-USD'!$C$5:$C$72,0),MATCH('05.2. Chart _SKU'!D$4,'05. BC BH THEO SKU-USD'!$EC$4:$EN$4,0))</f>
        <v>0</v>
      </c>
      <c r="E12" s="695">
        <f>INDEX('05. BC BH THEO SKU-USD'!$EC$5:$EN$72,MATCH('05.2. Chart _SKU'!$B12,'05. BC BH THEO SKU-USD'!$C$5:$C$72,0),MATCH('05.2. Chart _SKU'!E$4,'05. BC BH THEO SKU-USD'!$EC$4:$EN$4,0))</f>
        <v>0</v>
      </c>
      <c r="F12" s="695">
        <f>INDEX('05. BC BH THEO SKU-USD'!$EC$5:$EN$72,MATCH('05.2. Chart _SKU'!$B12,'05. BC BH THEO SKU-USD'!$C$5:$C$72,0),MATCH('05.2. Chart _SKU'!F$4,'05. BC BH THEO SKU-USD'!$EC$4:$EN$4,0))</f>
        <v>0</v>
      </c>
      <c r="G12" s="695">
        <f>INDEX('05. BC BH THEO SKU-USD'!$EC$5:$EN$72,MATCH('05.2. Chart _SKU'!$B12,'05. BC BH THEO SKU-USD'!$C$5:$C$72,0),MATCH('05.2. Chart _SKU'!G$4,'05. BC BH THEO SKU-USD'!$EC$4:$EN$4,0))</f>
        <v>0</v>
      </c>
      <c r="H12" s="695">
        <f>INDEX('05. BC BH THEO SKU-USD'!$EC$5:$EN$72,MATCH('05.2. Chart _SKU'!$B12,'05. BC BH THEO SKU-USD'!$C$5:$C$72,0),MATCH('05.2. Chart _SKU'!H$4,'05. BC BH THEO SKU-USD'!$EC$4:$EN$4,0))</f>
        <v>0</v>
      </c>
      <c r="I12" s="354">
        <f>INDEX('05. BC BH THEO SKU-USD'!$EC$5:$EN$72,MATCH('05.2. Chart _SKU'!$B12,'05. BC BH THEO SKU-USD'!$C$5:$C$72,0),MATCH('05.2. Chart _SKU'!I$4,'05. BC BH THEO SKU-USD'!$EC$4:$EN$4,0))</f>
        <v>0</v>
      </c>
      <c r="J12" s="405">
        <f>INDEX('05. BC BH THEO SKU-USD'!$EC$5:$EN$72,MATCH('05.2. Chart _SKU'!$B12,'05. BC BH THEO SKU-USD'!$C$5:$C$72,0),MATCH('05.2. Chart _SKU'!J$4,'05. BC BH THEO SKU-USD'!$EC$4:$EN$4,0))</f>
        <v>0</v>
      </c>
      <c r="K12" s="405">
        <f>INDEX('05. BC BH THEO SKU-USD'!$EC$5:$EN$72,MATCH('05.2. Chart _SKU'!$B12,'05. BC BH THEO SKU-USD'!$C$5:$C$72,0),MATCH('05.2. Chart _SKU'!K$4,'05. BC BH THEO SKU-USD'!$EC$4:$EN$4,0))</f>
        <v>0.12079423529999284</v>
      </c>
      <c r="L12" s="405">
        <f>INDEX('05. BC BH THEO SKU-USD'!$EC$5:$EN$72,MATCH('05.2. Chart _SKU'!$B12,'05. BC BH THEO SKU-USD'!$C$5:$C$72,0),MATCH('05.2. Chart _SKU'!L$4,'05. BC BH THEO SKU-USD'!$EC$4:$EN$4,0))</f>
        <v>0</v>
      </c>
      <c r="M12" s="405">
        <f>INDEX('05. BC BH THEO SKU-USD'!$EC$5:$EN$72,MATCH('05.2. Chart _SKU'!$B12,'05. BC BH THEO SKU-USD'!$C$5:$C$72,0),MATCH('05.2. Chart _SKU'!M$4,'05. BC BH THEO SKU-USD'!$EC$4:$EN$4,0))</f>
        <v>0</v>
      </c>
      <c r="N12" s="405">
        <f>INDEX('05. BC BH THEO SKU-USD'!$EC$5:$EN$72,MATCH('05.2. Chart _SKU'!$B12,'05. BC BH THEO SKU-USD'!$C$5:$C$72,0),MATCH('05.2. Chart _SKU'!N$4,'05. BC BH THEO SKU-USD'!$EC$4:$EN$4,0))</f>
        <v>0</v>
      </c>
      <c r="O12" s="354">
        <f>INDEX('05. BC BH THEO SKU-USD'!$EB$5:$EN$72,MATCH('05.2. Chart _SKU'!$B12,'05. BC BH THEO SKU-USD'!$C$5:$C$72,0),MATCH('05.2. Chart _SKU'!O$4,'05. BC BH THEO SKU-USD'!$EB$4:$EN$4,0))</f>
        <v>0.12079423529999284</v>
      </c>
      <c r="P12" s="586">
        <f>_xlfn.XLOOKUP(B12,'05. BC BH THEO SKU-USD'!$C$5:$C$71,'05. BC BH THEO SKU-USD'!$CL$5:$CL$71,0)</f>
        <v>3.3</v>
      </c>
      <c r="Q12" s="354">
        <v>-0.1313259777584424</v>
      </c>
      <c r="R12" s="586">
        <v>0.5</v>
      </c>
      <c r="T12" s="331">
        <f>_xlfn.XLOOKUP($B12,'05. BC BH THEO SKU-USD'!$C$5:$C$71,'05. BC BH THEO SKU-USD'!CM$5:CM$71,0)</f>
        <v>0</v>
      </c>
      <c r="U12" s="331">
        <f>_xlfn.XLOOKUP($B12,'05. BC BH THEO SKU-USD'!$C$5:$C$71,'05. BC BH THEO SKU-USD'!CN$5:CN$71,0)</f>
        <v>0</v>
      </c>
      <c r="V12" s="331">
        <f>_xlfn.XLOOKUP($B12,'05. BC BH THEO SKU-USD'!$C$5:$C$71,'05. BC BH THEO SKU-USD'!CO$5:CO$71,0)</f>
        <v>0</v>
      </c>
      <c r="W12" s="331">
        <f>_xlfn.XLOOKUP($B12,'05. BC BH THEO SKU-USD'!$C$5:$C$71,'05. BC BH THEO SKU-USD'!CP$5:CP$71,0)</f>
        <v>0</v>
      </c>
      <c r="X12" s="331">
        <f>_xlfn.XLOOKUP($B12,'05. BC BH THEO SKU-USD'!$C$5:$C$71,'05. BC BH THEO SKU-USD'!CQ$5:CQ$71,0)</f>
        <v>0</v>
      </c>
      <c r="Y12" s="331">
        <f>_xlfn.XLOOKUP($B12,'05. BC BH THEO SKU-USD'!$C$5:$C$71,'05. BC BH THEO SKU-USD'!CR$5:CR$71,0)</f>
        <v>0</v>
      </c>
      <c r="Z12" s="331">
        <f>_xlfn.XLOOKUP($B12,'05. BC BH THEO SKU-USD'!$C$5:$C$71,'05. BC BH THEO SKU-USD'!CS$5:CS$71,0)</f>
        <v>0</v>
      </c>
      <c r="AA12" s="331">
        <f>_xlfn.XLOOKUP($B12,'05. BC BH THEO SKU-USD'!$C$5:$C$71,'05. BC BH THEO SKU-USD'!CT$5:CT$71,0)</f>
        <v>0</v>
      </c>
      <c r="AB12" s="331">
        <f>_xlfn.XLOOKUP($B12,'05. BC BH THEO SKU-USD'!$C$5:$C$71,'05. BC BH THEO SKU-USD'!CU$5:CU$71,0)</f>
        <v>3.3</v>
      </c>
      <c r="AC12" s="331">
        <f>_xlfn.XLOOKUP($B12,'05. BC BH THEO SKU-USD'!$C$5:$C$71,'05. BC BH THEO SKU-USD'!CV$5:CV$71,0)</f>
        <v>0</v>
      </c>
      <c r="AD12" s="331">
        <f>_xlfn.XLOOKUP($B12,'05. BC BH THEO SKU-USD'!$C$5:$C$71,'05. BC BH THEO SKU-USD'!CW$5:CW$71,0)</f>
        <v>0</v>
      </c>
      <c r="AE12" s="331">
        <f>_xlfn.XLOOKUP($B12,'05. BC BH THEO SKU-USD'!$C$5:$C$71,'05. BC BH THEO SKU-USD'!CX$5:CX$71,0)</f>
        <v>0</v>
      </c>
      <c r="AG12" s="331">
        <f t="shared" si="0"/>
        <v>0</v>
      </c>
      <c r="AH12" s="331">
        <f>SUM($T12:U12)/$AH$4</f>
        <v>0</v>
      </c>
      <c r="AI12" s="331">
        <f>SUM($T12:V12)/$AH$4</f>
        <v>0</v>
      </c>
      <c r="AJ12" s="331">
        <f>SUM($T12:W12)/$AH$4</f>
        <v>0</v>
      </c>
      <c r="AK12" s="331">
        <f>SUM($T12:X12)/$AH$4</f>
        <v>0</v>
      </c>
      <c r="AL12" s="331">
        <f>SUM($T12:Y12)/$AH$4</f>
        <v>0</v>
      </c>
      <c r="AM12" s="331">
        <f>SUM($T12:Z12)/$AH$4</f>
        <v>0</v>
      </c>
      <c r="AN12" s="331">
        <f>SUM($T12:AA12)/$AH$4</f>
        <v>0</v>
      </c>
      <c r="AO12" s="331">
        <f>SUM($T12:AB12)/$AH$4</f>
        <v>1.65</v>
      </c>
      <c r="AP12" s="331">
        <f>SUM($T12:AC12)/$AH$4</f>
        <v>1.65</v>
      </c>
      <c r="AQ12" s="331">
        <f>SUM($T12:AD12)/$AH$4</f>
        <v>1.65</v>
      </c>
      <c r="AR12" s="331">
        <f>SUM($T12:AE12)/$AH$4</f>
        <v>1.65</v>
      </c>
    </row>
    <row r="13" spans="1:44" outlineLevel="1" x14ac:dyDescent="0.35">
      <c r="B13" s="604" t="s">
        <v>304</v>
      </c>
      <c r="C13" s="695">
        <f>INDEX('05. BC BH THEO SKU-USD'!$EC$5:$EN$72,MATCH('05.2. Chart _SKU'!$B13,'05. BC BH THEO SKU-USD'!$C$5:$C$72,0),MATCH('05.2. Chart _SKU'!C$4,'05. BC BH THEO SKU-USD'!$EC$4:$EN$4,0))</f>
        <v>0</v>
      </c>
      <c r="D13" s="695">
        <f>INDEX('05. BC BH THEO SKU-USD'!$EC$5:$EN$72,MATCH('05.2. Chart _SKU'!$B13,'05. BC BH THEO SKU-USD'!$C$5:$C$72,0),MATCH('05.2. Chart _SKU'!D$4,'05. BC BH THEO SKU-USD'!$EC$4:$EN$4,0))</f>
        <v>0</v>
      </c>
      <c r="E13" s="695">
        <f>INDEX('05. BC BH THEO SKU-USD'!$EC$5:$EN$72,MATCH('05.2. Chart _SKU'!$B13,'05. BC BH THEO SKU-USD'!$C$5:$C$72,0),MATCH('05.2. Chart _SKU'!E$4,'05. BC BH THEO SKU-USD'!$EC$4:$EN$4,0))</f>
        <v>0</v>
      </c>
      <c r="F13" s="695">
        <f>INDEX('05. BC BH THEO SKU-USD'!$EC$5:$EN$72,MATCH('05.2. Chart _SKU'!$B13,'05. BC BH THEO SKU-USD'!$C$5:$C$72,0),MATCH('05.2. Chart _SKU'!F$4,'05. BC BH THEO SKU-USD'!$EC$4:$EN$4,0))</f>
        <v>0</v>
      </c>
      <c r="G13" s="695">
        <f>INDEX('05. BC BH THEO SKU-USD'!$EC$5:$EN$72,MATCH('05.2. Chart _SKU'!$B13,'05. BC BH THEO SKU-USD'!$C$5:$C$72,0),MATCH('05.2. Chart _SKU'!G$4,'05. BC BH THEO SKU-USD'!$EC$4:$EN$4,0))</f>
        <v>0</v>
      </c>
      <c r="H13" s="695">
        <f>INDEX('05. BC BH THEO SKU-USD'!$EC$5:$EN$72,MATCH('05.2. Chart _SKU'!$B13,'05. BC BH THEO SKU-USD'!$C$5:$C$72,0),MATCH('05.2. Chart _SKU'!H$4,'05. BC BH THEO SKU-USD'!$EC$4:$EN$4,0))</f>
        <v>0</v>
      </c>
      <c r="I13" s="354">
        <f>INDEX('05. BC BH THEO SKU-USD'!$EC$5:$EN$72,MATCH('05.2. Chart _SKU'!$B13,'05. BC BH THEO SKU-USD'!$C$5:$C$72,0),MATCH('05.2. Chart _SKU'!I$4,'05. BC BH THEO SKU-USD'!$EC$4:$EN$4,0))</f>
        <v>0</v>
      </c>
      <c r="J13" s="405">
        <f>INDEX('05. BC BH THEO SKU-USD'!$EC$5:$EN$72,MATCH('05.2. Chart _SKU'!$B13,'05. BC BH THEO SKU-USD'!$C$5:$C$72,0),MATCH('05.2. Chart _SKU'!J$4,'05. BC BH THEO SKU-USD'!$EC$4:$EN$4,0))</f>
        <v>0</v>
      </c>
      <c r="K13" s="405">
        <f>INDEX('05. BC BH THEO SKU-USD'!$EC$5:$EN$72,MATCH('05.2. Chart _SKU'!$B13,'05. BC BH THEO SKU-USD'!$C$5:$C$72,0),MATCH('05.2. Chart _SKU'!K$4,'05. BC BH THEO SKU-USD'!$EC$4:$EN$4,0))</f>
        <v>0</v>
      </c>
      <c r="L13" s="405">
        <f>INDEX('05. BC BH THEO SKU-USD'!$EC$5:$EN$72,MATCH('05.2. Chart _SKU'!$B13,'05. BC BH THEO SKU-USD'!$C$5:$C$72,0),MATCH('05.2. Chart _SKU'!L$4,'05. BC BH THEO SKU-USD'!$EC$4:$EN$4,0))</f>
        <v>0</v>
      </c>
      <c r="M13" s="405">
        <f>INDEX('05. BC BH THEO SKU-USD'!$EC$5:$EN$72,MATCH('05.2. Chart _SKU'!$B13,'05. BC BH THEO SKU-USD'!$C$5:$C$72,0),MATCH('05.2. Chart _SKU'!M$4,'05. BC BH THEO SKU-USD'!$EC$4:$EN$4,0))</f>
        <v>0</v>
      </c>
      <c r="N13" s="405">
        <f>INDEX('05. BC BH THEO SKU-USD'!$EC$5:$EN$72,MATCH('05.2. Chart _SKU'!$B13,'05. BC BH THEO SKU-USD'!$C$5:$C$72,0),MATCH('05.2. Chart _SKU'!N$4,'05. BC BH THEO SKU-USD'!$EC$4:$EN$4,0))</f>
        <v>0</v>
      </c>
      <c r="O13" s="354">
        <f>INDEX('05. BC BH THEO SKU-USD'!$EB$5:$EN$72,MATCH('05.2. Chart _SKU'!$B13,'05. BC BH THEO SKU-USD'!$C$5:$C$72,0),MATCH('05.2. Chart _SKU'!O$4,'05. BC BH THEO SKU-USD'!$EB$4:$EN$4,0))</f>
        <v>0</v>
      </c>
      <c r="P13" s="586">
        <f>_xlfn.XLOOKUP(B13,'05. BC BH THEO SKU-USD'!$C$5:$C$71,'05. BC BH THEO SKU-USD'!$CL$5:$CL$71,0)</f>
        <v>0</v>
      </c>
      <c r="Q13" s="354">
        <v>0.11932374999999995</v>
      </c>
      <c r="R13" s="586">
        <v>2.5000000000000001E-2</v>
      </c>
      <c r="T13" s="331">
        <f>_xlfn.XLOOKUP($B13,'05. BC BH THEO SKU-USD'!$C$5:$C$71,'05. BC BH THEO SKU-USD'!CM$5:CM$71,0)</f>
        <v>0</v>
      </c>
      <c r="U13" s="331">
        <f>_xlfn.XLOOKUP($B13,'05. BC BH THEO SKU-USD'!$C$5:$C$71,'05. BC BH THEO SKU-USD'!CN$5:CN$71,0)</f>
        <v>0</v>
      </c>
      <c r="V13" s="331">
        <f>_xlfn.XLOOKUP($B13,'05. BC BH THEO SKU-USD'!$C$5:$C$71,'05. BC BH THEO SKU-USD'!CO$5:CO$71,0)</f>
        <v>0</v>
      </c>
      <c r="W13" s="331">
        <f>_xlfn.XLOOKUP($B13,'05. BC BH THEO SKU-USD'!$C$5:$C$71,'05. BC BH THEO SKU-USD'!CP$5:CP$71,0)</f>
        <v>0</v>
      </c>
      <c r="X13" s="331">
        <f>_xlfn.XLOOKUP($B13,'05. BC BH THEO SKU-USD'!$C$5:$C$71,'05. BC BH THEO SKU-USD'!CQ$5:CQ$71,0)</f>
        <v>0</v>
      </c>
      <c r="Y13" s="331">
        <f>_xlfn.XLOOKUP($B13,'05. BC BH THEO SKU-USD'!$C$5:$C$71,'05. BC BH THEO SKU-USD'!CR$5:CR$71,0)</f>
        <v>0</v>
      </c>
      <c r="Z13" s="331">
        <f>_xlfn.XLOOKUP($B13,'05. BC BH THEO SKU-USD'!$C$5:$C$71,'05. BC BH THEO SKU-USD'!CS$5:CS$71,0)</f>
        <v>0</v>
      </c>
      <c r="AA13" s="331">
        <f>_xlfn.XLOOKUP($B13,'05. BC BH THEO SKU-USD'!$C$5:$C$71,'05. BC BH THEO SKU-USD'!CT$5:CT$71,0)</f>
        <v>0</v>
      </c>
      <c r="AB13" s="331">
        <f>_xlfn.XLOOKUP($B13,'05. BC BH THEO SKU-USD'!$C$5:$C$71,'05. BC BH THEO SKU-USD'!CU$5:CU$71,0)</f>
        <v>0</v>
      </c>
      <c r="AC13" s="331">
        <f>_xlfn.XLOOKUP($B13,'05. BC BH THEO SKU-USD'!$C$5:$C$71,'05. BC BH THEO SKU-USD'!CV$5:CV$71,0)</f>
        <v>0</v>
      </c>
      <c r="AD13" s="331">
        <f>_xlfn.XLOOKUP($B13,'05. BC BH THEO SKU-USD'!$C$5:$C$71,'05. BC BH THEO SKU-USD'!CW$5:CW$71,0)</f>
        <v>0</v>
      </c>
      <c r="AE13" s="331">
        <f>_xlfn.XLOOKUP($B13,'05. BC BH THEO SKU-USD'!$C$5:$C$71,'05. BC BH THEO SKU-USD'!CX$5:CX$71,0)</f>
        <v>0</v>
      </c>
      <c r="AG13" s="331">
        <f t="shared" si="0"/>
        <v>0</v>
      </c>
      <c r="AH13" s="331">
        <f>SUM($T13:U13)/$AH$4</f>
        <v>0</v>
      </c>
      <c r="AI13" s="331">
        <f>SUM($T13:V13)/$AH$4</f>
        <v>0</v>
      </c>
      <c r="AJ13" s="331">
        <f>SUM($T13:W13)/$AH$4</f>
        <v>0</v>
      </c>
      <c r="AK13" s="331">
        <f>SUM($T13:X13)/$AH$4</f>
        <v>0</v>
      </c>
      <c r="AL13" s="331">
        <f>SUM($T13:Y13)/$AH$4</f>
        <v>0</v>
      </c>
      <c r="AM13" s="331">
        <f>SUM($T13:Z13)/$AH$4</f>
        <v>0</v>
      </c>
      <c r="AN13" s="331">
        <f>SUM($T13:AA13)/$AH$4</f>
        <v>0</v>
      </c>
      <c r="AO13" s="331">
        <f>SUM($T13:AB13)/$AH$4</f>
        <v>0</v>
      </c>
      <c r="AP13" s="331">
        <f>SUM($T13:AC13)/$AH$4</f>
        <v>0</v>
      </c>
      <c r="AQ13" s="331">
        <f>SUM($T13:AD13)/$AH$4</f>
        <v>0</v>
      </c>
      <c r="AR13" s="331">
        <f>SUM($T13:AE13)/$AH$4</f>
        <v>0</v>
      </c>
    </row>
    <row r="14" spans="1:44" outlineLevel="1" x14ac:dyDescent="0.35">
      <c r="B14" s="605" t="s">
        <v>469</v>
      </c>
      <c r="C14" s="354">
        <f>INDEX('05. BC BH THEO SKU-USD'!$EC$5:$EN$72,MATCH('05.2. Chart _SKU'!$B14,'05. BC BH THEO SKU-USD'!$C$5:$C$72,0),MATCH('05.2. Chart _SKU'!C$4,'05. BC BH THEO SKU-USD'!$EC$4:$EN$4,0))</f>
        <v>-0.44379669221460272</v>
      </c>
      <c r="D14" s="695">
        <f>INDEX('05. BC BH THEO SKU-USD'!$EC$5:$EN$72,MATCH('05.2. Chart _SKU'!$B14,'05. BC BH THEO SKU-USD'!$C$5:$C$72,0),MATCH('05.2. Chart _SKU'!D$4,'05. BC BH THEO SKU-USD'!$EC$4:$EN$4,0))</f>
        <v>0</v>
      </c>
      <c r="E14" s="695">
        <f>INDEX('05. BC BH THEO SKU-USD'!$EC$5:$EN$72,MATCH('05.2. Chart _SKU'!$B14,'05. BC BH THEO SKU-USD'!$C$5:$C$72,0),MATCH('05.2. Chart _SKU'!E$4,'05. BC BH THEO SKU-USD'!$EC$4:$EN$4,0))</f>
        <v>0</v>
      </c>
      <c r="F14" s="695">
        <f>INDEX('05. BC BH THEO SKU-USD'!$EC$5:$EN$72,MATCH('05.2. Chart _SKU'!$B14,'05. BC BH THEO SKU-USD'!$C$5:$C$72,0),MATCH('05.2. Chart _SKU'!F$4,'05. BC BH THEO SKU-USD'!$EC$4:$EN$4,0))</f>
        <v>0</v>
      </c>
      <c r="G14" s="354">
        <f>INDEX('05. BC BH THEO SKU-USD'!$EC$5:$EN$72,MATCH('05.2. Chart _SKU'!$B14,'05. BC BH THEO SKU-USD'!$C$5:$C$72,0),MATCH('05.2. Chart _SKU'!G$4,'05. BC BH THEO SKU-USD'!$EC$4:$EN$4,0))</f>
        <v>-6.3537916804910305E-2</v>
      </c>
      <c r="H14" s="695">
        <f>INDEX('05. BC BH THEO SKU-USD'!$EC$5:$EN$72,MATCH('05.2. Chart _SKU'!$B14,'05. BC BH THEO SKU-USD'!$C$5:$C$72,0),MATCH('05.2. Chart _SKU'!H$4,'05. BC BH THEO SKU-USD'!$EC$4:$EN$4,0))</f>
        <v>0</v>
      </c>
      <c r="I14" s="354">
        <f>INDEX('05. BC BH THEO SKU-USD'!$EC$5:$EN$72,MATCH('05.2. Chart _SKU'!$B14,'05. BC BH THEO SKU-USD'!$C$5:$C$72,0),MATCH('05.2. Chart _SKU'!I$4,'05. BC BH THEO SKU-USD'!$EC$4:$EN$4,0))</f>
        <v>0</v>
      </c>
      <c r="J14" s="405">
        <f>INDEX('05. BC BH THEO SKU-USD'!$EC$5:$EN$72,MATCH('05.2. Chart _SKU'!$B14,'05. BC BH THEO SKU-USD'!$C$5:$C$72,0),MATCH('05.2. Chart _SKU'!J$4,'05. BC BH THEO SKU-USD'!$EC$4:$EN$4,0))</f>
        <v>0</v>
      </c>
      <c r="K14" s="405">
        <f>INDEX('05. BC BH THEO SKU-USD'!$EC$5:$EN$72,MATCH('05.2. Chart _SKU'!$B14,'05. BC BH THEO SKU-USD'!$C$5:$C$72,0),MATCH('05.2. Chart _SKU'!K$4,'05. BC BH THEO SKU-USD'!$EC$4:$EN$4,0))</f>
        <v>0</v>
      </c>
      <c r="L14" s="405">
        <f>INDEX('05. BC BH THEO SKU-USD'!$EC$5:$EN$72,MATCH('05.2. Chart _SKU'!$B14,'05. BC BH THEO SKU-USD'!$C$5:$C$72,0),MATCH('05.2. Chart _SKU'!L$4,'05. BC BH THEO SKU-USD'!$EC$4:$EN$4,0))</f>
        <v>0</v>
      </c>
      <c r="M14" s="405">
        <f>INDEX('05. BC BH THEO SKU-USD'!$EC$5:$EN$72,MATCH('05.2. Chart _SKU'!$B14,'05. BC BH THEO SKU-USD'!$C$5:$C$72,0),MATCH('05.2. Chart _SKU'!M$4,'05. BC BH THEO SKU-USD'!$EC$4:$EN$4,0))</f>
        <v>0</v>
      </c>
      <c r="N14" s="405">
        <f>INDEX('05. BC BH THEO SKU-USD'!$EC$5:$EN$72,MATCH('05.2. Chart _SKU'!$B14,'05. BC BH THEO SKU-USD'!$C$5:$C$72,0),MATCH('05.2. Chart _SKU'!N$4,'05. BC BH THEO SKU-USD'!$EC$4:$EN$4,0))</f>
        <v>0</v>
      </c>
      <c r="O14" s="354">
        <f>INDEX('05. BC BH THEO SKU-USD'!$EB$5:$EN$72,MATCH('05.2. Chart _SKU'!$B14,'05. BC BH THEO SKU-USD'!$C$5:$C$72,0),MATCH('05.2. Chart _SKU'!O$4,'05. BC BH THEO SKU-USD'!$EB$4:$EN$4,0))</f>
        <v>-0.36235237077503901</v>
      </c>
      <c r="P14" s="586">
        <f>_xlfn.XLOOKUP(B14,'05. BC BH THEO SKU-USD'!$C$5:$C$71,'05. BC BH THEO SKU-USD'!$CL$5:$CL$71,0)</f>
        <v>2.75</v>
      </c>
      <c r="Q14" s="354"/>
      <c r="R14" s="586"/>
      <c r="T14" s="331">
        <f>_xlfn.XLOOKUP($B14,'05. BC BH THEO SKU-USD'!$C$5:$C$71,'05. BC BH THEO SKU-USD'!CM$5:CM$71,0)</f>
        <v>2.2000000000000002</v>
      </c>
      <c r="U14" s="331">
        <f>_xlfn.XLOOKUP($B14,'05. BC BH THEO SKU-USD'!$C$5:$C$71,'05. BC BH THEO SKU-USD'!CN$5:CN$71,0)</f>
        <v>0</v>
      </c>
      <c r="V14" s="331">
        <f>_xlfn.XLOOKUP($B14,'05. BC BH THEO SKU-USD'!$C$5:$C$71,'05. BC BH THEO SKU-USD'!CO$5:CO$71,0)</f>
        <v>0</v>
      </c>
      <c r="W14" s="331">
        <f>_xlfn.XLOOKUP($B14,'05. BC BH THEO SKU-USD'!$C$5:$C$71,'05. BC BH THEO SKU-USD'!CP$5:CP$71,0)</f>
        <v>0</v>
      </c>
      <c r="X14" s="331">
        <f>_xlfn.XLOOKUP($B14,'05. BC BH THEO SKU-USD'!$C$5:$C$71,'05. BC BH THEO SKU-USD'!CQ$5:CQ$71,0)</f>
        <v>0.55000000000000004</v>
      </c>
      <c r="Y14" s="331">
        <f>_xlfn.XLOOKUP($B14,'05. BC BH THEO SKU-USD'!$C$5:$C$71,'05. BC BH THEO SKU-USD'!CR$5:CR$71,0)</f>
        <v>0</v>
      </c>
      <c r="Z14" s="331">
        <f>_xlfn.XLOOKUP($B14,'05. BC BH THEO SKU-USD'!$C$5:$C$71,'05. BC BH THEO SKU-USD'!CS$5:CS$71,0)</f>
        <v>0</v>
      </c>
      <c r="AA14" s="331">
        <f>_xlfn.XLOOKUP($B14,'05. BC BH THEO SKU-USD'!$C$5:$C$71,'05. BC BH THEO SKU-USD'!CT$5:CT$71,0)</f>
        <v>0</v>
      </c>
      <c r="AB14" s="331">
        <f>_xlfn.XLOOKUP($B14,'05. BC BH THEO SKU-USD'!$C$5:$C$71,'05. BC BH THEO SKU-USD'!CU$5:CU$71,0)</f>
        <v>0</v>
      </c>
      <c r="AC14" s="331">
        <f>_xlfn.XLOOKUP($B14,'05. BC BH THEO SKU-USD'!$C$5:$C$71,'05. BC BH THEO SKU-USD'!CV$5:CV$71,0)</f>
        <v>0</v>
      </c>
      <c r="AD14" s="331">
        <f>_xlfn.XLOOKUP($B14,'05. BC BH THEO SKU-USD'!$C$5:$C$71,'05. BC BH THEO SKU-USD'!CW$5:CW$71,0)</f>
        <v>0</v>
      </c>
      <c r="AE14" s="331">
        <f>_xlfn.XLOOKUP($B14,'05. BC BH THEO SKU-USD'!$C$5:$C$71,'05. BC BH THEO SKU-USD'!CX$5:CX$71,0)</f>
        <v>0</v>
      </c>
      <c r="AG14" s="331">
        <f t="shared" si="0"/>
        <v>2.2000000000000002</v>
      </c>
      <c r="AH14" s="331">
        <f>SUM($T14:U14)/$AH$4</f>
        <v>1.1000000000000001</v>
      </c>
      <c r="AI14" s="331">
        <f>SUM($T14:V14)/$AH$4</f>
        <v>1.1000000000000001</v>
      </c>
      <c r="AJ14" s="331">
        <f>SUM($T14:W14)/$AH$4</f>
        <v>1.1000000000000001</v>
      </c>
      <c r="AK14" s="331">
        <f>SUM($T14:X14)/$AH$4</f>
        <v>1.375</v>
      </c>
      <c r="AL14" s="331">
        <f>SUM($T14:Y14)/$AH$4</f>
        <v>1.375</v>
      </c>
      <c r="AM14" s="331">
        <f>SUM($T14:Z14)/$AH$4</f>
        <v>1.375</v>
      </c>
      <c r="AN14" s="331">
        <f>SUM($T14:AA14)/$AH$4</f>
        <v>1.375</v>
      </c>
      <c r="AO14" s="331">
        <f>SUM($T14:AB14)/$AH$4</f>
        <v>1.375</v>
      </c>
      <c r="AP14" s="331">
        <f>SUM($T14:AC14)/$AH$4</f>
        <v>1.375</v>
      </c>
      <c r="AQ14" s="331">
        <f>SUM($T14:AD14)/$AH$4</f>
        <v>1.375</v>
      </c>
      <c r="AR14" s="331">
        <f>SUM($T14:AE14)/$AH$4</f>
        <v>1.375</v>
      </c>
    </row>
    <row r="15" spans="1:44" outlineLevel="1" x14ac:dyDescent="0.35">
      <c r="B15" s="606"/>
      <c r="C15" s="310"/>
      <c r="D15" s="310"/>
      <c r="E15" s="310"/>
      <c r="F15" s="310"/>
      <c r="G15" s="310"/>
      <c r="H15" s="310"/>
      <c r="I15" s="310"/>
      <c r="J15" s="310"/>
      <c r="K15" s="310"/>
      <c r="L15" s="310"/>
      <c r="M15" s="310"/>
      <c r="N15" s="310"/>
      <c r="O15" s="310"/>
      <c r="P15" s="331"/>
      <c r="Q15" s="310"/>
      <c r="R15" s="331"/>
      <c r="T15" s="331"/>
      <c r="U15" s="310"/>
      <c r="V15" s="310"/>
      <c r="W15" s="310"/>
      <c r="X15" s="310"/>
      <c r="Y15" s="310"/>
      <c r="Z15" s="310"/>
      <c r="AA15" s="310"/>
      <c r="AB15" s="310"/>
      <c r="AC15" s="310"/>
      <c r="AD15" s="310"/>
      <c r="AE15" s="310"/>
      <c r="AG15" s="331">
        <f t="shared" si="0"/>
        <v>0</v>
      </c>
      <c r="AH15" s="310">
        <f>SUM($T15:U15)/$AH$4</f>
        <v>0</v>
      </c>
      <c r="AI15" s="310">
        <f>SUM($T15:V15)/$AH$4</f>
        <v>0</v>
      </c>
      <c r="AJ15" s="310">
        <f>SUM($T15:W15)/$AH$4</f>
        <v>0</v>
      </c>
      <c r="AK15" s="310">
        <f>SUM($T15:X15)/$AH$4</f>
        <v>0</v>
      </c>
      <c r="AL15" s="310">
        <f>SUM($T15:Y15)/$AH$4</f>
        <v>0</v>
      </c>
      <c r="AM15" s="310">
        <f>SUM($T15:Z15)/$AH$4</f>
        <v>0</v>
      </c>
      <c r="AN15" s="310">
        <f>SUM($T15:AA15)/$AH$4</f>
        <v>0</v>
      </c>
      <c r="AO15" s="310">
        <f>SUM($T15:AB15)/$AH$4</f>
        <v>0</v>
      </c>
      <c r="AP15" s="310">
        <f>SUM($T15:AC15)/$AH$4</f>
        <v>0</v>
      </c>
      <c r="AQ15" s="310">
        <f>SUM($T15:AD15)/$AH$4</f>
        <v>0</v>
      </c>
      <c r="AR15" s="310">
        <f>SUM($T15:AE15)/$AH$4</f>
        <v>0</v>
      </c>
    </row>
    <row r="16" spans="1:44" outlineLevel="1" x14ac:dyDescent="0.35">
      <c r="B16" s="607"/>
      <c r="C16" s="311"/>
      <c r="D16" s="311"/>
      <c r="E16" s="311"/>
      <c r="F16" s="311"/>
      <c r="G16" s="311"/>
      <c r="H16" s="311"/>
      <c r="I16" s="311"/>
      <c r="J16" s="311"/>
      <c r="K16" s="311"/>
      <c r="L16" s="311"/>
      <c r="M16" s="311"/>
      <c r="N16" s="311"/>
      <c r="O16" s="311"/>
      <c r="P16" s="487"/>
      <c r="Q16" s="311"/>
      <c r="R16" s="487"/>
      <c r="T16" s="487"/>
      <c r="U16" s="311"/>
      <c r="V16" s="311"/>
      <c r="W16" s="311"/>
      <c r="X16" s="311"/>
      <c r="Y16" s="311"/>
      <c r="Z16" s="311"/>
      <c r="AA16" s="311"/>
      <c r="AB16" s="311"/>
      <c r="AC16" s="311"/>
      <c r="AD16" s="311"/>
      <c r="AE16" s="311"/>
      <c r="AG16" s="331">
        <f t="shared" si="0"/>
        <v>0</v>
      </c>
      <c r="AH16" s="311">
        <f>SUM($T16:U16)/$AH$4</f>
        <v>0</v>
      </c>
      <c r="AI16" s="311">
        <f>SUM($T16:V16)/$AH$4</f>
        <v>0</v>
      </c>
      <c r="AJ16" s="311">
        <f>SUM($T16:W16)/$AH$4</f>
        <v>0</v>
      </c>
      <c r="AK16" s="311">
        <f>SUM($T16:X16)/$AH$4</f>
        <v>0</v>
      </c>
      <c r="AL16" s="311">
        <f>SUM($T16:Y16)/$AH$4</f>
        <v>0</v>
      </c>
      <c r="AM16" s="311">
        <f>SUM($T16:Z16)/$AH$4</f>
        <v>0</v>
      </c>
      <c r="AN16" s="311">
        <f>SUM($T16:AA16)/$AH$4</f>
        <v>0</v>
      </c>
      <c r="AO16" s="311">
        <f>SUM($T16:AB16)/$AH$4</f>
        <v>0</v>
      </c>
      <c r="AP16" s="311">
        <f>SUM($T16:AC16)/$AH$4</f>
        <v>0</v>
      </c>
      <c r="AQ16" s="311">
        <f>SUM($T16:AD16)/$AH$4</f>
        <v>0</v>
      </c>
      <c r="AR16" s="311">
        <f>SUM($T16:AE16)/$AH$4</f>
        <v>0</v>
      </c>
    </row>
    <row r="19" spans="2:14" ht="18.5" x14ac:dyDescent="0.45">
      <c r="B19" s="327"/>
      <c r="C19" s="379">
        <v>9</v>
      </c>
    </row>
    <row r="20" spans="2:14" s="589" customFormat="1" ht="60" outlineLevel="1" x14ac:dyDescent="0.35">
      <c r="B20" s="1029"/>
      <c r="C20" s="1029" t="s">
        <v>202</v>
      </c>
      <c r="D20" s="1029" t="s">
        <v>684</v>
      </c>
      <c r="E20" s="1030"/>
      <c r="G20" s="1029" t="s">
        <v>174</v>
      </c>
      <c r="H20" s="1029"/>
      <c r="I20" s="404" t="str">
        <f>"TT T"&amp;$C$19&amp;".25"</f>
        <v>TT T9.25</v>
      </c>
      <c r="J20" s="404" t="str">
        <f>"SL bán T"&amp;$C$19&amp;".25"</f>
        <v>SL bán T9.25</v>
      </c>
      <c r="K20" s="590" t="s">
        <v>380</v>
      </c>
      <c r="L20" s="590" t="s">
        <v>616</v>
      </c>
      <c r="M20" s="591" t="s">
        <v>382</v>
      </c>
      <c r="N20" s="591" t="s">
        <v>618</v>
      </c>
    </row>
    <row r="21" spans="2:14" outlineLevel="1" x14ac:dyDescent="0.35">
      <c r="B21" s="40" t="str">
        <f>B5</f>
        <v>WSS01G</v>
      </c>
      <c r="C21" s="353">
        <f>IFERROR(INDEX($C$5:$N$16,MATCH(B21,$B$5:$B$16,0),MATCH($C$19,$C$4:$N$4,0)),0)</f>
        <v>0.1510233714654407</v>
      </c>
      <c r="D21" s="694">
        <f>IF(C21&lt;&gt;0,RANK(C21,$C$21:$C$32),"-")</f>
        <v>2</v>
      </c>
      <c r="E21" s="583">
        <v>3</v>
      </c>
      <c r="G21" s="320">
        <v>1</v>
      </c>
      <c r="H21" s="309" t="str">
        <f>_xlfn.XLOOKUP(G21,$E$21:$E$32,$B$21:$B$32,0)</f>
        <v>iSS84G</v>
      </c>
      <c r="I21" s="1013">
        <f t="shared" ref="I21:I25" si="1">IFERROR(VLOOKUP(H21,$B$4:$N$16,$C$19+1,0),"-")</f>
        <v>6.2286803688537479E-2</v>
      </c>
      <c r="J21" s="596">
        <f>IFERROR(INDEX('05. BC BH THEO SKU-USD'!$CL$5:$CX$72,MATCH('05.2. Chart _SKU'!H21,'05. BC BH THEO SKU-USD'!$C$5:$C$72,0),MATCH('05.2. Chart _SKU'!$C$19,'05. BC BH THEO SKU-USD'!$CL$4:$CX$4,0)),"-")</f>
        <v>236.5</v>
      </c>
      <c r="K21" s="1013">
        <f t="shared" ref="K21:K25" si="2">IFERROR(_xlfn.XLOOKUP(H21,$B$5:$B$16,$O$5:$O$16),"-")</f>
        <v>0.20341031450186756</v>
      </c>
      <c r="L21" s="597">
        <f t="shared" ref="L21:L25" si="3">IFERROR(_xlfn.XLOOKUP(H21,$B$5:$B$16,$R$5:$R$16)/12,"-")</f>
        <v>3.6687499999999997</v>
      </c>
      <c r="M21" s="1013">
        <f t="shared" ref="M21:M25" si="4">IFERROR(_xlfn.XLOOKUP(H21,$B$5:$B$16,$O$5:$O$16),"-")</f>
        <v>0.20341031450186756</v>
      </c>
      <c r="N21" s="596">
        <f t="shared" ref="N21:N25" si="5">IFERROR(INDEX($AG$5:$AR$16,MATCH(H21,$B$5:$B$16,0),MATCH($C$19,$AG$4:$AR$4,0)),"-")</f>
        <v>2181.2969499999999</v>
      </c>
    </row>
    <row r="22" spans="2:14" outlineLevel="1" x14ac:dyDescent="0.35">
      <c r="B22" s="247" t="str">
        <f t="shared" ref="B22:B32" si="6">B6</f>
        <v>iSS01G</v>
      </c>
      <c r="C22" s="354">
        <f t="shared" ref="C22:C32" si="7">IFERROR(INDEX($C$5:$N$16,MATCH(B22,$B$5:$B$16,0),MATCH($C$19,$C$4:$N$4,0)),0)</f>
        <v>0.21583425048883109</v>
      </c>
      <c r="D22" s="694">
        <f>IF(C22&lt;&gt;0,RANK(C22,$C$21:$C$32),"-")</f>
        <v>1</v>
      </c>
      <c r="E22" s="419">
        <v>2</v>
      </c>
      <c r="G22" s="322">
        <v>2</v>
      </c>
      <c r="H22" s="310" t="str">
        <f t="shared" ref="H22:H32" si="8">_xlfn.XLOOKUP(G22,$E$21:$E$32,$B$21:$B$32,0)</f>
        <v>iSS01G</v>
      </c>
      <c r="I22" s="1014">
        <f t="shared" si="1"/>
        <v>0.21583425048883109</v>
      </c>
      <c r="J22" s="600">
        <f>IFERROR(INDEX('05. BC BH THEO SKU-USD'!$CL$5:$CX$72,MATCH('05.2. Chart _SKU'!H22,'05. BC BH THEO SKU-USD'!$C$5:$C$72,0),MATCH('05.2. Chart _SKU'!$C$19,'05. BC BH THEO SKU-USD'!$CL$4:$CX$4,0)),"-")</f>
        <v>3.3</v>
      </c>
      <c r="K22" s="1014">
        <f t="shared" si="2"/>
        <v>0.19183363300359785</v>
      </c>
      <c r="L22" s="601">
        <f t="shared" si="3"/>
        <v>325.7</v>
      </c>
      <c r="M22" s="1014">
        <f t="shared" si="4"/>
        <v>0.19183363300359785</v>
      </c>
      <c r="N22" s="600">
        <f t="shared" si="5"/>
        <v>5284.0678999999991</v>
      </c>
    </row>
    <row r="23" spans="2:14" outlineLevel="1" x14ac:dyDescent="0.35">
      <c r="B23" s="247" t="str">
        <f t="shared" si="6"/>
        <v>iSS84G-P</v>
      </c>
      <c r="C23" s="354">
        <f t="shared" si="7"/>
        <v>0</v>
      </c>
      <c r="D23" s="694" t="str">
        <f t="shared" ref="D23:D30" si="9">IF(C23&lt;&gt;0,RANK(C23,$C$21:$C$32),"-")</f>
        <v>-</v>
      </c>
      <c r="E23" s="419"/>
      <c r="G23" s="322">
        <v>3</v>
      </c>
      <c r="H23" s="310" t="str">
        <f t="shared" si="8"/>
        <v>WSS01G</v>
      </c>
      <c r="I23" s="1014">
        <f t="shared" si="1"/>
        <v>0.1510233714654407</v>
      </c>
      <c r="J23" s="600">
        <f>IFERROR(INDEX('05. BC BH THEO SKU-USD'!$CL$5:$CX$72,MATCH('05.2. Chart _SKU'!H23,'05. BC BH THEO SKU-USD'!$C$5:$C$72,0),MATCH('05.2. Chart _SKU'!$C$19,'05. BC BH THEO SKU-USD'!$CL$4:$CX$4,0)),"-")</f>
        <v>1195.0999999999999</v>
      </c>
      <c r="K23" s="1014">
        <f t="shared" si="2"/>
        <v>0.13491231465767164</v>
      </c>
      <c r="L23" s="601">
        <f t="shared" si="3"/>
        <v>1331.2083333333333</v>
      </c>
      <c r="M23" s="1014">
        <f t="shared" si="4"/>
        <v>0.13491231465767164</v>
      </c>
      <c r="N23" s="600">
        <f t="shared" si="5"/>
        <v>8143.1124999999993</v>
      </c>
    </row>
    <row r="24" spans="2:14" outlineLevel="1" x14ac:dyDescent="0.35">
      <c r="B24" s="247" t="str">
        <f t="shared" si="6"/>
        <v>iSS84G</v>
      </c>
      <c r="C24" s="354">
        <f t="shared" si="7"/>
        <v>6.2286803688537479E-2</v>
      </c>
      <c r="D24" s="694">
        <f t="shared" si="9"/>
        <v>6</v>
      </c>
      <c r="E24" s="419">
        <v>1</v>
      </c>
      <c r="G24" s="322">
        <v>4</v>
      </c>
      <c r="H24" s="310" t="str">
        <f t="shared" si="8"/>
        <v>WSS03G</v>
      </c>
      <c r="I24" s="1014">
        <f t="shared" si="1"/>
        <v>8.9497508910397497E-2</v>
      </c>
      <c r="J24" s="600">
        <f>IFERROR(INDEX('05. BC BH THEO SKU-USD'!$CL$5:$CX$72,MATCH('05.2. Chart _SKU'!H24,'05. BC BH THEO SKU-USD'!$C$5:$C$72,0),MATCH('05.2. Chart _SKU'!$C$19,'05. BC BH THEO SKU-USD'!$CL$4:$CX$4,0)),"-")</f>
        <v>67.099999999999994</v>
      </c>
      <c r="K24" s="1014">
        <f t="shared" si="2"/>
        <v>8.0756634548876896E-2</v>
      </c>
      <c r="L24" s="601">
        <f t="shared" si="3"/>
        <v>309.89166666666665</v>
      </c>
      <c r="M24" s="1014">
        <f t="shared" si="4"/>
        <v>8.0756634548876896E-2</v>
      </c>
      <c r="N24" s="600">
        <f t="shared" si="5"/>
        <v>705.52499999999998</v>
      </c>
    </row>
    <row r="25" spans="2:14" outlineLevel="1" x14ac:dyDescent="0.35">
      <c r="B25" s="247" t="str">
        <f t="shared" si="6"/>
        <v>WSS01</v>
      </c>
      <c r="C25" s="354">
        <f t="shared" si="7"/>
        <v>0</v>
      </c>
      <c r="D25" s="694" t="str">
        <f t="shared" si="9"/>
        <v>-</v>
      </c>
      <c r="E25" s="419"/>
      <c r="G25" s="322">
        <v>5</v>
      </c>
      <c r="H25" s="310">
        <f t="shared" si="8"/>
        <v>0</v>
      </c>
      <c r="I25" s="1014" t="str">
        <f t="shared" si="1"/>
        <v>-</v>
      </c>
      <c r="J25" s="600" t="str">
        <f>IFERROR(INDEX('05. BC BH THEO SKU-USD'!$CL$5:$CX$72,MATCH('05.2. Chart _SKU'!H25,'05. BC BH THEO SKU-USD'!$C$5:$C$72,0),MATCH('05.2. Chart _SKU'!$C$19,'05. BC BH THEO SKU-USD'!$CL$4:$CX$4,0)),"-")</f>
        <v>-</v>
      </c>
      <c r="K25" s="1014" t="str">
        <f t="shared" si="2"/>
        <v>-</v>
      </c>
      <c r="L25" s="601" t="str">
        <f t="shared" si="3"/>
        <v>-</v>
      </c>
      <c r="M25" s="1014" t="str">
        <f t="shared" si="4"/>
        <v>-</v>
      </c>
      <c r="N25" s="600" t="str">
        <f t="shared" si="5"/>
        <v>-</v>
      </c>
    </row>
    <row r="26" spans="2:14" outlineLevel="1" x14ac:dyDescent="0.35">
      <c r="B26" s="247" t="str">
        <f t="shared" si="6"/>
        <v>WSS03G</v>
      </c>
      <c r="C26" s="354">
        <f t="shared" si="7"/>
        <v>8.9497508910397497E-2</v>
      </c>
      <c r="D26" s="694">
        <f t="shared" si="9"/>
        <v>4</v>
      </c>
      <c r="E26" s="419">
        <v>4</v>
      </c>
      <c r="G26" s="322">
        <v>6</v>
      </c>
      <c r="H26" s="310">
        <f t="shared" si="8"/>
        <v>0</v>
      </c>
      <c r="I26" s="1014" t="str">
        <f>IFERROR(VLOOKUP(H26,$B$4:$N$16,$C$19+1,0),"-")</f>
        <v>-</v>
      </c>
      <c r="J26" s="600" t="str">
        <f>IFERROR(INDEX('05. BC BH THEO SKU-USD'!$CL$5:$CX$72,MATCH('05.2. Chart _SKU'!H26,'05. BC BH THEO SKU-USD'!$C$5:$C$72,0),MATCH('05.2. Chart _SKU'!$C$19,'05. BC BH THEO SKU-USD'!$CL$4:$CX$4,0)),"-")</f>
        <v>-</v>
      </c>
      <c r="K26" s="1014" t="str">
        <f t="shared" ref="K26" si="10">IFERROR(_xlfn.XLOOKUP(H26,$B$5:$B$16,$O$5:$O$16),"-")</f>
        <v>-</v>
      </c>
      <c r="L26" s="601" t="str">
        <f>IFERROR(_xlfn.XLOOKUP(H26,$B$5:$B$16,$R$5:$R$16)/12,"-")</f>
        <v>-</v>
      </c>
      <c r="M26" s="1014" t="str">
        <f>IFERROR(_xlfn.XLOOKUP(H26,$B$5:$B$16,$O$5:$O$16),"-")</f>
        <v>-</v>
      </c>
      <c r="N26" s="600" t="str">
        <f>IFERROR(INDEX($AG$5:$AR$16,MATCH(H26,$B$5:$B$16,0),MATCH($C$19,$AG$4:$AR$4,0)),"-")</f>
        <v>-</v>
      </c>
    </row>
    <row r="27" spans="2:14" outlineLevel="1" x14ac:dyDescent="0.35">
      <c r="B27" s="247" t="str">
        <f t="shared" si="6"/>
        <v>iSS01L</v>
      </c>
      <c r="C27" s="354">
        <f t="shared" si="7"/>
        <v>7.2967732342007444E-2</v>
      </c>
      <c r="D27" s="694">
        <f t="shared" si="9"/>
        <v>5</v>
      </c>
      <c r="E27" s="419"/>
      <c r="G27" s="322">
        <v>7</v>
      </c>
      <c r="H27" s="310">
        <f t="shared" si="8"/>
        <v>0</v>
      </c>
      <c r="I27" s="1014" t="str">
        <f t="shared" ref="I27:I31" si="11">IFERROR(VLOOKUP(H27,$B$4:$N$16,$C$19+1,0),"-")</f>
        <v>-</v>
      </c>
      <c r="J27" s="600" t="str">
        <f>IFERROR(INDEX('05. BC BH THEO SKU-USD'!$CL$5:$CX$72,MATCH('05.2. Chart _SKU'!H27,'05. BC BH THEO SKU-USD'!$C$5:$C$72,0),MATCH('05.2. Chart _SKU'!$C$19,'05. BC BH THEO SKU-USD'!$CL$4:$CX$4,0)),"-")</f>
        <v>-</v>
      </c>
      <c r="K27" s="1014" t="str">
        <f t="shared" ref="K27:K32" si="12">IFERROR(_xlfn.XLOOKUP(H27,$B$5:$B$16,$O$5:$O$16),"-")</f>
        <v>-</v>
      </c>
      <c r="L27" s="601" t="str">
        <f t="shared" ref="L27:L31" si="13">IFERROR(_xlfn.XLOOKUP(H27,$B$5:$B$16,$R$5:$R$16)/12,"-")</f>
        <v>-</v>
      </c>
      <c r="M27" s="1014" t="str">
        <f t="shared" ref="M27:M31" si="14">IFERROR(_xlfn.XLOOKUP(H27,$B$5:$B$16,$O$5:$O$16),"-")</f>
        <v>-</v>
      </c>
      <c r="N27" s="600" t="str">
        <f t="shared" ref="N27:N31" si="15">IFERROR(INDEX($AG$5:$AR$16,MATCH(H27,$B$5:$B$16,0),MATCH($C$19,$AG$4:$AR$4,0)),"-")</f>
        <v>-</v>
      </c>
    </row>
    <row r="28" spans="2:14" outlineLevel="1" x14ac:dyDescent="0.35">
      <c r="B28" s="247" t="str">
        <f t="shared" si="6"/>
        <v>WSS02G</v>
      </c>
      <c r="C28" s="354">
        <f t="shared" si="7"/>
        <v>0.12079423529999284</v>
      </c>
      <c r="D28" s="694">
        <f t="shared" si="9"/>
        <v>3</v>
      </c>
      <c r="E28" s="419"/>
      <c r="G28" s="322">
        <v>8</v>
      </c>
      <c r="H28" s="310">
        <f t="shared" si="8"/>
        <v>0</v>
      </c>
      <c r="I28" s="1014" t="str">
        <f t="shared" si="11"/>
        <v>-</v>
      </c>
      <c r="J28" s="600" t="str">
        <f>IFERROR(INDEX('05. BC BH THEO SKU-USD'!$CL$5:$CX$72,MATCH('05.2. Chart _SKU'!H28,'05. BC BH THEO SKU-USD'!$C$5:$C$72,0),MATCH('05.2. Chart _SKU'!$C$19,'05. BC BH THEO SKU-USD'!$CL$4:$CX$4,0)),"-")</f>
        <v>-</v>
      </c>
      <c r="K28" s="1014" t="str">
        <f t="shared" si="12"/>
        <v>-</v>
      </c>
      <c r="L28" s="601" t="str">
        <f t="shared" si="13"/>
        <v>-</v>
      </c>
      <c r="M28" s="1014" t="str">
        <f t="shared" si="14"/>
        <v>-</v>
      </c>
      <c r="N28" s="600" t="str">
        <f t="shared" si="15"/>
        <v>-</v>
      </c>
    </row>
    <row r="29" spans="2:14" outlineLevel="1" x14ac:dyDescent="0.35">
      <c r="B29" s="247" t="str">
        <f t="shared" si="6"/>
        <v>WSS03</v>
      </c>
      <c r="C29" s="354">
        <f t="shared" si="7"/>
        <v>0</v>
      </c>
      <c r="D29" s="694" t="str">
        <f t="shared" si="9"/>
        <v>-</v>
      </c>
      <c r="E29" s="419"/>
      <c r="G29" s="322">
        <v>9</v>
      </c>
      <c r="H29" s="310">
        <f t="shared" si="8"/>
        <v>0</v>
      </c>
      <c r="I29" s="1014" t="str">
        <f t="shared" si="11"/>
        <v>-</v>
      </c>
      <c r="J29" s="600" t="str">
        <f>IFERROR(INDEX('05. BC BH THEO SKU-USD'!$CL$5:$CX$72,MATCH('05.2. Chart _SKU'!H29,'05. BC BH THEO SKU-USD'!$C$5:$C$72,0),MATCH('05.2. Chart _SKU'!$C$19,'05. BC BH THEO SKU-USD'!$CL$4:$CX$4,0)),"-")</f>
        <v>-</v>
      </c>
      <c r="K29" s="1014" t="str">
        <f t="shared" si="12"/>
        <v>-</v>
      </c>
      <c r="L29" s="601" t="str">
        <f t="shared" si="13"/>
        <v>-</v>
      </c>
      <c r="M29" s="1014" t="str">
        <f t="shared" si="14"/>
        <v>-</v>
      </c>
      <c r="N29" s="600" t="str">
        <f t="shared" si="15"/>
        <v>-</v>
      </c>
    </row>
    <row r="30" spans="2:14" outlineLevel="1" x14ac:dyDescent="0.35">
      <c r="B30" s="247" t="str">
        <f t="shared" si="6"/>
        <v>WSS01G-L</v>
      </c>
      <c r="C30" s="354">
        <f t="shared" si="7"/>
        <v>0</v>
      </c>
      <c r="D30" s="694" t="str">
        <f t="shared" si="9"/>
        <v>-</v>
      </c>
      <c r="E30" s="419"/>
      <c r="G30" s="322">
        <v>10</v>
      </c>
      <c r="H30" s="310">
        <f t="shared" si="8"/>
        <v>0</v>
      </c>
      <c r="I30" s="1014" t="str">
        <f t="shared" si="11"/>
        <v>-</v>
      </c>
      <c r="J30" s="600" t="str">
        <f>IFERROR(INDEX('05. BC BH THEO SKU-USD'!$CL$5:$CX$72,MATCH('05.2. Chart _SKU'!H30,'05. BC BH THEO SKU-USD'!$C$5:$C$72,0),MATCH('05.2. Chart _SKU'!$C$19,'05. BC BH THEO SKU-USD'!$CL$4:$CX$4,0)),"-")</f>
        <v>-</v>
      </c>
      <c r="K30" s="1014" t="str">
        <f t="shared" si="12"/>
        <v>-</v>
      </c>
      <c r="L30" s="601" t="str">
        <f t="shared" si="13"/>
        <v>-</v>
      </c>
      <c r="M30" s="1014" t="str">
        <f t="shared" si="14"/>
        <v>-</v>
      </c>
      <c r="N30" s="600" t="str">
        <f t="shared" si="15"/>
        <v>-</v>
      </c>
    </row>
    <row r="31" spans="2:14" outlineLevel="1" x14ac:dyDescent="0.35">
      <c r="B31" s="247">
        <f t="shared" si="6"/>
        <v>0</v>
      </c>
      <c r="C31" s="354">
        <f t="shared" si="7"/>
        <v>0</v>
      </c>
      <c r="D31" s="310"/>
      <c r="E31" s="419"/>
      <c r="G31" s="322">
        <v>11</v>
      </c>
      <c r="H31" s="310">
        <f t="shared" si="8"/>
        <v>0</v>
      </c>
      <c r="I31" s="1014" t="str">
        <f t="shared" si="11"/>
        <v>-</v>
      </c>
      <c r="J31" s="600" t="str">
        <f>IFERROR(INDEX('05. BC BH THEO SKU-USD'!$CL$5:$CX$72,MATCH('05.2. Chart _SKU'!H31,'05. BC BH THEO SKU-USD'!$C$5:$C$72,0),MATCH('05.2. Chart _SKU'!$C$19,'05. BC BH THEO SKU-USD'!$CL$4:$CX$4,0)),"-")</f>
        <v>-</v>
      </c>
      <c r="K31" s="1014" t="str">
        <f t="shared" si="12"/>
        <v>-</v>
      </c>
      <c r="L31" s="601" t="str">
        <f t="shared" si="13"/>
        <v>-</v>
      </c>
      <c r="M31" s="1014" t="str">
        <f t="shared" si="14"/>
        <v>-</v>
      </c>
      <c r="N31" s="600" t="str">
        <f t="shared" si="15"/>
        <v>-</v>
      </c>
    </row>
    <row r="32" spans="2:14" outlineLevel="1" x14ac:dyDescent="0.35">
      <c r="B32" s="247">
        <f t="shared" si="6"/>
        <v>0</v>
      </c>
      <c r="C32" s="354">
        <f t="shared" si="7"/>
        <v>0</v>
      </c>
      <c r="D32" s="310"/>
      <c r="E32" s="419"/>
      <c r="G32" s="352">
        <v>12</v>
      </c>
      <c r="H32" s="311">
        <f t="shared" si="8"/>
        <v>0</v>
      </c>
      <c r="I32" s="1015" t="str">
        <f>IFERROR(VLOOKUP(H32,$B$4:$N$16,$C$19+1,0),"-")</f>
        <v>-</v>
      </c>
      <c r="J32" s="602" t="str">
        <f>IFERROR(INDEX('05. BC BH THEO SKU-USD'!$CL$5:$CX$72,MATCH('05.2. Chart _SKU'!H32,'05. BC BH THEO SKU-USD'!$C$5:$C$72,0),MATCH('05.2. Chart _SKU'!$C$19,'05. BC BH THEO SKU-USD'!$CL$4:$CX$4,0)),"-")</f>
        <v>-</v>
      </c>
      <c r="K32" s="1015" t="str">
        <f t="shared" si="12"/>
        <v>-</v>
      </c>
      <c r="L32" s="603" t="str">
        <f>IFERROR(_xlfn.XLOOKUP(H32,$B$5:$B$16,$R$5:$R$16)/12,"-")</f>
        <v>-</v>
      </c>
      <c r="M32" s="1015" t="str">
        <f>IFERROR(_xlfn.XLOOKUP(H32,$B$5:$B$16,$O$5:$O$16),"-")</f>
        <v>-</v>
      </c>
      <c r="N32" s="602" t="str">
        <f>IFERROR(INDEX($AG$5:$AR$16,MATCH(H32,$B$5:$B$16,0),MATCH($C$19,$AG$4:$AR$4,0)),"-")</f>
        <v>-</v>
      </c>
    </row>
    <row r="33" spans="2:23" x14ac:dyDescent="0.35">
      <c r="C33" s="737"/>
    </row>
    <row r="34" spans="2:23" ht="18.5" x14ac:dyDescent="0.35">
      <c r="B34" s="736" t="str">
        <f>"% LỢI NHUẬN GỘP THEO SKU_rPET_T"&amp;C19&amp;".25"</f>
        <v>% LỢI NHUẬN GỘP THEO SKU_rPET_T9.25</v>
      </c>
    </row>
    <row r="40" spans="2:23" ht="20.5" customHeight="1" x14ac:dyDescent="0.35">
      <c r="M40" s="1212" t="s">
        <v>987</v>
      </c>
      <c r="N40" s="1212" t="s">
        <v>988</v>
      </c>
      <c r="O40" s="1212">
        <v>2</v>
      </c>
      <c r="P40" s="1212">
        <v>3</v>
      </c>
      <c r="Q40" s="1212">
        <v>4</v>
      </c>
      <c r="R40" s="1212">
        <v>5</v>
      </c>
      <c r="S40" s="1212">
        <v>6</v>
      </c>
      <c r="T40" s="1212">
        <v>7</v>
      </c>
      <c r="U40" s="1212">
        <v>8</v>
      </c>
      <c r="V40" s="1212" t="s">
        <v>409</v>
      </c>
      <c r="W40" s="1212" t="s">
        <v>410</v>
      </c>
    </row>
    <row r="41" spans="2:23" ht="20.5" customHeight="1" x14ac:dyDescent="0.35">
      <c r="M41" s="1062" t="s">
        <v>312</v>
      </c>
      <c r="N41" s="1245">
        <v>0.15080421049777457</v>
      </c>
      <c r="O41" s="1245">
        <v>0.20311679647261552</v>
      </c>
      <c r="P41" s="1245">
        <v>0.15797149623535181</v>
      </c>
      <c r="Q41" s="1245">
        <v>0.12483712418085723</v>
      </c>
      <c r="R41" s="1245">
        <v>0.12246481474924786</v>
      </c>
      <c r="S41" s="1245">
        <v>0.10665289409605383</v>
      </c>
      <c r="T41" s="1245">
        <v>8.4037769302079263E-2</v>
      </c>
      <c r="U41" s="1245">
        <f>J5</f>
        <v>9.1940520547106414E-2</v>
      </c>
      <c r="V41" s="1250">
        <f>O5</f>
        <v>0.13491231465767164</v>
      </c>
      <c r="W41" s="1250">
        <f>Q5</f>
        <v>0.1931159517972616</v>
      </c>
    </row>
    <row r="42" spans="2:23" ht="20.5" customHeight="1" x14ac:dyDescent="0.35">
      <c r="M42" s="707" t="s">
        <v>313</v>
      </c>
      <c r="N42" s="1246">
        <v>0.17533845067892107</v>
      </c>
      <c r="O42" s="1246">
        <v>0.19927871103169503</v>
      </c>
      <c r="P42" s="1246">
        <v>0.18783177092750397</v>
      </c>
      <c r="Q42" s="1246">
        <v>0.21209802648383522</v>
      </c>
      <c r="R42" s="1246">
        <v>0.20429628826477556</v>
      </c>
      <c r="S42" s="1246">
        <v>0.16145190977316781</v>
      </c>
      <c r="T42" s="1246">
        <v>0.1707596669941519</v>
      </c>
      <c r="U42" s="1246">
        <f>J6</f>
        <v>0.18917481258117014</v>
      </c>
      <c r="V42" s="1251">
        <f>O6</f>
        <v>0.19183363300359785</v>
      </c>
      <c r="W42" s="1251">
        <f>Q6</f>
        <v>0.20475113425845756</v>
      </c>
    </row>
    <row r="43" spans="2:23" ht="20.5" customHeight="1" x14ac:dyDescent="0.35">
      <c r="M43" s="1213" t="s">
        <v>328</v>
      </c>
      <c r="N43" s="1247">
        <v>0.24077277947598269</v>
      </c>
      <c r="O43" s="1247">
        <v>0.24344370047941832</v>
      </c>
      <c r="P43" s="1247">
        <v>0.23326673455227021</v>
      </c>
      <c r="Q43" s="1247">
        <v>0.22989471061165925</v>
      </c>
      <c r="R43" s="1247">
        <v>0.21487266747643088</v>
      </c>
      <c r="S43" s="1247">
        <v>0.20017301536583473</v>
      </c>
      <c r="T43" s="1247">
        <v>0.19403290586515473</v>
      </c>
      <c r="U43" s="1247">
        <f>J8</f>
        <v>0.16399115585662979</v>
      </c>
      <c r="V43" s="1252">
        <f>O8</f>
        <v>0.20341031450186756</v>
      </c>
      <c r="W43" s="1252">
        <f>Q8</f>
        <v>0.31215526483971773</v>
      </c>
    </row>
    <row r="55" spans="2:10" ht="21" x14ac:dyDescent="0.5">
      <c r="B55" s="643" t="str">
        <f>"LŨY KẾ ĐẾN T"&amp;C19&amp;"/25"</f>
        <v>LŨY KẾ ĐẾN T9/25</v>
      </c>
    </row>
    <row r="56" spans="2:10" ht="21" x14ac:dyDescent="0.5">
      <c r="B56" s="643"/>
    </row>
    <row r="57" spans="2:10" ht="29" outlineLevel="1" x14ac:dyDescent="0.35">
      <c r="B57" s="774" t="s">
        <v>174</v>
      </c>
      <c r="C57" s="774"/>
      <c r="D57" s="815" t="s">
        <v>771</v>
      </c>
      <c r="E57" s="774" t="s">
        <v>758</v>
      </c>
      <c r="F57" s="774" t="s">
        <v>757</v>
      </c>
      <c r="G57" s="773" t="s">
        <v>764</v>
      </c>
      <c r="H57" s="774" t="s">
        <v>756</v>
      </c>
      <c r="I57" s="774" t="s">
        <v>684</v>
      </c>
    </row>
    <row r="58" spans="2:10" outlineLevel="1" x14ac:dyDescent="0.35">
      <c r="B58" s="816">
        <v>1</v>
      </c>
      <c r="C58" s="817" t="str">
        <f>IF(F58&lt;&gt;0,J58&amp;". "&amp;D58,"-")</f>
        <v>1. iSS84G</v>
      </c>
      <c r="D58" s="818" t="str">
        <f>_xlfn.XLOOKUP(B58,$G$21:$G$32,$H$21:$H$32,0)</f>
        <v>iSS84G</v>
      </c>
      <c r="E58" s="819">
        <f>ROUND(_xlfn.XLOOKUP(D58,'05. BC BH THEO SKU-USD'!$C$6:$C$21,'05. BC BH THEO SKU-USD'!$CL$6:$CL$21,0),0)</f>
        <v>4363</v>
      </c>
      <c r="F58" s="820">
        <f>ROUND(_xlfn.XLOOKUP(D58,'05. BC BH THEO SKU-USD'!$C$6:$C$21,'05. BC BH THEO SKU-USD'!$CZ$6:$CZ$21,0)/10^3,0)</f>
        <v>6123</v>
      </c>
      <c r="G58" s="1033">
        <f>ROUND(_xlfn.XLOOKUP(D58,'05. BC BH THEO SKU-USD'!$C$6:$C$21,'05. BC BH THEO SKU-USD'!$DN$6:$DN$21,0)/10^3,0)</f>
        <v>1246</v>
      </c>
      <c r="H58" s="833">
        <f>IFERROR(G58/F58,0)</f>
        <v>0.20349501878164297</v>
      </c>
      <c r="I58" s="1034">
        <f>IF(E58&lt;&gt;0,RANK(H58,$H$58:$H$66),"-")</f>
        <v>1</v>
      </c>
      <c r="J58" s="583">
        <v>1</v>
      </c>
    </row>
    <row r="59" spans="2:10" outlineLevel="1" x14ac:dyDescent="0.35">
      <c r="B59" s="821">
        <v>2</v>
      </c>
      <c r="C59" s="822" t="str">
        <f>IF(F59&lt;&gt;0,J59&amp;". "&amp;D59,"-")</f>
        <v>2. iSS01G</v>
      </c>
      <c r="D59" s="823" t="str">
        <f>_xlfn.XLOOKUP(B59,$G$21:$G$32,$H$21:$H$32,0)</f>
        <v>iSS01G</v>
      </c>
      <c r="E59" s="824">
        <f>ROUND(_xlfn.XLOOKUP(D59,'05. BC BH THEO SKU-USD'!$C$6:$C$21,'05. BC BH THEO SKU-USD'!$CL$6:$CL$21,0),0)</f>
        <v>10568</v>
      </c>
      <c r="F59" s="825">
        <f>ROUND(_xlfn.XLOOKUP(D59,'05. BC BH THEO SKU-USD'!$C$6:$C$21,'05. BC BH THEO SKU-USD'!$CZ$6:$CZ$21,0)/10^3,0)</f>
        <v>13474</v>
      </c>
      <c r="G59" s="832">
        <f>ROUND(_xlfn.XLOOKUP(D59,'05. BC BH THEO SKU-USD'!$C$6:$C$21,'05. BC BH THEO SKU-USD'!$DN$6:$DN$21,0)/10^3,0)</f>
        <v>2585</v>
      </c>
      <c r="H59" s="834">
        <f t="shared" ref="H59:H65" si="16">IFERROR(G59/F59,0)</f>
        <v>0.19185097224283806</v>
      </c>
      <c r="I59" s="1035">
        <f>IF(E59&lt;&gt;0,RANK(H59,$H$58:$H$66),"-")</f>
        <v>2</v>
      </c>
      <c r="J59" s="419">
        <v>2</v>
      </c>
    </row>
    <row r="60" spans="2:10" outlineLevel="1" x14ac:dyDescent="0.35">
      <c r="B60" s="821">
        <v>3</v>
      </c>
      <c r="C60" s="822" t="str">
        <f t="shared" ref="C60:C66" si="17">IF(F60&lt;&gt;0,J60&amp;". "&amp;D60,"-")</f>
        <v>3. WSS01G</v>
      </c>
      <c r="D60" s="823" t="str">
        <f t="shared" ref="D60:D66" si="18">_xlfn.XLOOKUP(B60,$G$21:$G$32,$H$21:$H$32,0)</f>
        <v>WSS01G</v>
      </c>
      <c r="E60" s="824">
        <f>ROUND(_xlfn.XLOOKUP(D60,'05. BC BH THEO SKU-USD'!$C$6:$C$21,'05. BC BH THEO SKU-USD'!$CL$6:$CL$21,0),0)</f>
        <v>16286</v>
      </c>
      <c r="F60" s="825">
        <f>ROUND(_xlfn.XLOOKUP(D60,'05. BC BH THEO SKU-USD'!$C$6:$C$21,'05. BC BH THEO SKU-USD'!$CZ$6:$CZ$21,0)/10^3,0)</f>
        <v>20113</v>
      </c>
      <c r="G60" s="832">
        <f>ROUND(_xlfn.XLOOKUP(D60,'05. BC BH THEO SKU-USD'!$C$6:$C$21,'05. BC BH THEO SKU-USD'!$DN$6:$DN$21,0)/10^3,0)</f>
        <v>2714</v>
      </c>
      <c r="H60" s="834">
        <f t="shared" si="16"/>
        <v>0.13493760254561726</v>
      </c>
      <c r="I60" s="1035">
        <f t="shared" ref="I60:I66" si="19">IF(E60&lt;&gt;0,RANK(H60,$H$58:$H$66),"-")</f>
        <v>3</v>
      </c>
      <c r="J60" s="419">
        <v>3</v>
      </c>
    </row>
    <row r="61" spans="2:10" outlineLevel="1" x14ac:dyDescent="0.35">
      <c r="B61" s="821">
        <v>4</v>
      </c>
      <c r="C61" s="822" t="str">
        <f t="shared" si="17"/>
        <v>4. WSS03G</v>
      </c>
      <c r="D61" s="823" t="str">
        <f t="shared" si="18"/>
        <v>WSS03G</v>
      </c>
      <c r="E61" s="824">
        <f>ROUND(_xlfn.XLOOKUP(D61,'05. BC BH THEO SKU-USD'!$C$6:$C$21,'05. BC BH THEO SKU-USD'!$CL$6:$CL$21,0),0)</f>
        <v>1411</v>
      </c>
      <c r="F61" s="825">
        <f>ROUND(_xlfn.XLOOKUP(D61,'05. BC BH THEO SKU-USD'!$C$6:$C$21,'05. BC BH THEO SKU-USD'!$CZ$6:$CZ$21,0)/10^3,0)</f>
        <v>1540</v>
      </c>
      <c r="G61" s="832">
        <f>ROUND(_xlfn.XLOOKUP(D61,'05. BC BH THEO SKU-USD'!$C$6:$C$21,'05. BC BH THEO SKU-USD'!$DN$6:$DN$21,0)/10^3,0)</f>
        <v>124</v>
      </c>
      <c r="H61" s="834">
        <f t="shared" si="16"/>
        <v>8.0519480519480519E-2</v>
      </c>
      <c r="I61" s="1035">
        <f t="shared" si="19"/>
        <v>4</v>
      </c>
      <c r="J61" s="419">
        <v>4</v>
      </c>
    </row>
    <row r="62" spans="2:10" outlineLevel="1" x14ac:dyDescent="0.35">
      <c r="B62" s="821">
        <v>5</v>
      </c>
      <c r="C62" s="822" t="str">
        <f t="shared" si="17"/>
        <v>-</v>
      </c>
      <c r="D62" s="823">
        <f t="shared" si="18"/>
        <v>0</v>
      </c>
      <c r="E62" s="824">
        <f>ROUND(_xlfn.XLOOKUP(D62,'05. BC BH THEO SKU-USD'!$C$6:$C$21,'05. BC BH THEO SKU-USD'!$CL$6:$CL$21,0),0)</f>
        <v>0</v>
      </c>
      <c r="F62" s="825">
        <f>ROUND(_xlfn.XLOOKUP(D62,'05. BC BH THEO SKU-USD'!$C$6:$C$21,'05. BC BH THEO SKU-USD'!$CZ$6:$CZ$21,0)/10^3,0)</f>
        <v>0</v>
      </c>
      <c r="G62" s="832">
        <f>ROUND(_xlfn.XLOOKUP(D62,'05. BC BH THEO SKU-USD'!$C$6:$C$21,'05. BC BH THEO SKU-USD'!$DN$6:$DN$21,0)/10^3,0)</f>
        <v>0</v>
      </c>
      <c r="H62" s="834">
        <f t="shared" si="16"/>
        <v>0</v>
      </c>
      <c r="I62" s="1035" t="str">
        <f t="shared" si="19"/>
        <v>-</v>
      </c>
      <c r="J62" s="419"/>
    </row>
    <row r="63" spans="2:10" outlineLevel="1" x14ac:dyDescent="0.35">
      <c r="B63" s="821">
        <v>6</v>
      </c>
      <c r="C63" s="822" t="str">
        <f t="shared" si="17"/>
        <v>-</v>
      </c>
      <c r="D63" s="823">
        <f t="shared" si="18"/>
        <v>0</v>
      </c>
      <c r="E63" s="824">
        <f>ROUND(_xlfn.XLOOKUP(D63,'05. BC BH THEO SKU-USD'!$C$6:$C$21,'05. BC BH THEO SKU-USD'!$CL$6:$CL$21,0),0)</f>
        <v>0</v>
      </c>
      <c r="F63" s="825">
        <f>ROUND(_xlfn.XLOOKUP(D63,'05. BC BH THEO SKU-USD'!$C$6:$C$21,'05. BC BH THEO SKU-USD'!$CZ$6:$CZ$21,0)/10^3,0)</f>
        <v>0</v>
      </c>
      <c r="G63" s="832">
        <f>ROUND(_xlfn.XLOOKUP(D63,'05. BC BH THEO SKU-USD'!$C$6:$C$21,'05. BC BH THEO SKU-USD'!$DN$6:$DN$21,0)/10^3,0)</f>
        <v>0</v>
      </c>
      <c r="H63" s="834">
        <f>IFERROR(G63/F63,0)</f>
        <v>0</v>
      </c>
      <c r="I63" s="1035" t="str">
        <f t="shared" si="19"/>
        <v>-</v>
      </c>
      <c r="J63" s="419"/>
    </row>
    <row r="64" spans="2:10" outlineLevel="1" x14ac:dyDescent="0.35">
      <c r="B64" s="821">
        <v>7</v>
      </c>
      <c r="C64" s="822" t="str">
        <f t="shared" si="17"/>
        <v>-</v>
      </c>
      <c r="D64" s="823">
        <f t="shared" si="18"/>
        <v>0</v>
      </c>
      <c r="E64" s="824">
        <f>ROUND(_xlfn.XLOOKUP(D64,'05. BC BH THEO SKU-USD'!$C$6:$C$21,'05. BC BH THEO SKU-USD'!$CL$6:$CL$21,0),0)</f>
        <v>0</v>
      </c>
      <c r="F64" s="825">
        <f>ROUND(_xlfn.XLOOKUP(D64,'05. BC BH THEO SKU-USD'!$C$6:$C$21,'05. BC BH THEO SKU-USD'!$CZ$6:$CZ$21,0)/10^3,0)</f>
        <v>0</v>
      </c>
      <c r="G64" s="832">
        <f>ROUND(_xlfn.XLOOKUP(D64,'05. BC BH THEO SKU-USD'!$C$6:$C$21,'05. BC BH THEO SKU-USD'!$DN$6:$DN$21,0)/10^3,0)</f>
        <v>0</v>
      </c>
      <c r="H64" s="834">
        <f t="shared" si="16"/>
        <v>0</v>
      </c>
      <c r="I64" s="1035" t="str">
        <f t="shared" si="19"/>
        <v>-</v>
      </c>
      <c r="J64" s="419"/>
    </row>
    <row r="65" spans="2:26" outlineLevel="1" x14ac:dyDescent="0.35">
      <c r="B65" s="821">
        <v>8</v>
      </c>
      <c r="C65" s="822" t="str">
        <f t="shared" si="17"/>
        <v>-</v>
      </c>
      <c r="D65" s="823">
        <f t="shared" si="18"/>
        <v>0</v>
      </c>
      <c r="E65" s="824">
        <f>ROUND(_xlfn.XLOOKUP(D65,'05. BC BH THEO SKU-USD'!$C$6:$C$21,'05. BC BH THEO SKU-USD'!$CL$6:$CL$21,0),0)</f>
        <v>0</v>
      </c>
      <c r="F65" s="825">
        <f>ROUND(_xlfn.XLOOKUP(D65,'05. BC BH THEO SKU-USD'!$C$6:$C$21,'05. BC BH THEO SKU-USD'!$CZ$6:$CZ$21,0)/10^3,0)</f>
        <v>0</v>
      </c>
      <c r="G65" s="832">
        <f>ROUND(_xlfn.XLOOKUP(D65,'05. BC BH THEO SKU-USD'!$C$6:$C$21,'05. BC BH THEO SKU-USD'!$DN$6:$DN$21,0)/10^3,0)</f>
        <v>0</v>
      </c>
      <c r="H65" s="834">
        <f t="shared" si="16"/>
        <v>0</v>
      </c>
      <c r="I65" s="1035" t="str">
        <f t="shared" si="19"/>
        <v>-</v>
      </c>
      <c r="J65" s="419"/>
    </row>
    <row r="66" spans="2:26" outlineLevel="1" x14ac:dyDescent="0.35">
      <c r="B66" s="826"/>
      <c r="C66" s="827" t="str">
        <f t="shared" si="17"/>
        <v>-</v>
      </c>
      <c r="D66" s="828">
        <f t="shared" si="18"/>
        <v>0</v>
      </c>
      <c r="E66" s="1032">
        <f>ROUND(_xlfn.XLOOKUP(D66,'05. BC BH THEO SKU-USD'!$C$6:$C$21,'05. BC BH THEO SKU-USD'!$CL$6:$CL$21,0),0)</f>
        <v>0</v>
      </c>
      <c r="F66" s="829"/>
      <c r="G66" s="830"/>
      <c r="H66" s="831"/>
      <c r="I66" s="1036" t="str">
        <f t="shared" si="19"/>
        <v>-</v>
      </c>
      <c r="J66" s="1031"/>
    </row>
    <row r="70" spans="2:26" ht="29" x14ac:dyDescent="0.35">
      <c r="B70" s="856" t="s">
        <v>771</v>
      </c>
      <c r="C70" s="856" t="s">
        <v>784</v>
      </c>
      <c r="D70" s="856" t="s">
        <v>867</v>
      </c>
      <c r="E70" s="856" t="s">
        <v>757</v>
      </c>
      <c r="F70" s="856" t="s">
        <v>764</v>
      </c>
      <c r="G70" s="856" t="s">
        <v>756</v>
      </c>
      <c r="S70" s="1211"/>
      <c r="T70" s="1211"/>
      <c r="U70" s="1211"/>
      <c r="V70" s="1211"/>
      <c r="W70" s="1211"/>
      <c r="X70" s="1211"/>
      <c r="Y70" s="1211"/>
      <c r="Z70" s="1211"/>
    </row>
    <row r="71" spans="2:26" x14ac:dyDescent="0.35">
      <c r="B71" s="865" t="s">
        <v>312</v>
      </c>
      <c r="C71" s="866">
        <f>D71/'05. BC BH THEO SKU-USD'!$CL$5</f>
        <v>0.49128376003069496</v>
      </c>
      <c r="D71" s="867">
        <f>_xlfn.XLOOKUP($B71,$D$58:$D$66,$E$58:$E$66,0)</f>
        <v>16286</v>
      </c>
      <c r="E71" s="867">
        <f>_xlfn.XLOOKUP($B71,$D$58:$D$66,$F$58:$F$66,0)</f>
        <v>20113</v>
      </c>
      <c r="F71" s="867">
        <f>_xlfn.XLOOKUP($B71,$D$58:$D$66,$G$58:$G$66,0)</f>
        <v>2714</v>
      </c>
      <c r="G71" s="866">
        <f>_xlfn.XLOOKUP($B71,$D$58:$D$66,$H$58:$H$66,0)</f>
        <v>0.13493760254561726</v>
      </c>
      <c r="T71" s="259"/>
      <c r="U71" s="259"/>
      <c r="V71" s="259"/>
      <c r="W71" s="259"/>
      <c r="X71" s="259"/>
      <c r="Y71" s="259"/>
      <c r="Z71" s="259"/>
    </row>
    <row r="72" spans="2:26" x14ac:dyDescent="0.35">
      <c r="B72" s="801" t="s">
        <v>313</v>
      </c>
      <c r="C72" s="869">
        <f>D72/'05. BC BH THEO SKU-USD'!$CL$5</f>
        <v>0.31879447230777258</v>
      </c>
      <c r="D72" s="378">
        <f t="shared" ref="D72:D74" si="20">_xlfn.XLOOKUP($B72,$D$58:$D$66,$E$58:$E$66,0)</f>
        <v>10568</v>
      </c>
      <c r="E72" s="378">
        <f t="shared" ref="E72:E74" si="21">_xlfn.XLOOKUP($B72,$D$58:$D$66,$F$58:$F$66,0)</f>
        <v>13474</v>
      </c>
      <c r="F72" s="378">
        <f t="shared" ref="F72:F74" si="22">_xlfn.XLOOKUP($B72,$D$58:$D$66,$G$58:$G$66,0)</f>
        <v>2585</v>
      </c>
      <c r="G72" s="869">
        <f t="shared" ref="G72:G74" si="23">_xlfn.XLOOKUP($B72,$D$58:$D$66,$H$58:$H$66,0)</f>
        <v>0.19185097224283806</v>
      </c>
      <c r="T72" s="259"/>
      <c r="U72" s="259"/>
      <c r="V72" s="259"/>
      <c r="W72" s="259"/>
      <c r="X72" s="259"/>
      <c r="Y72" s="259"/>
      <c r="Z72" s="259"/>
    </row>
    <row r="73" spans="2:26" x14ac:dyDescent="0.35">
      <c r="B73" s="801" t="s">
        <v>328</v>
      </c>
      <c r="C73" s="869">
        <f>D73/'05. BC BH THEO SKU-USD'!$CL$5</f>
        <v>0.13161433409148485</v>
      </c>
      <c r="D73" s="378">
        <f t="shared" si="20"/>
        <v>4363</v>
      </c>
      <c r="E73" s="378">
        <f t="shared" si="21"/>
        <v>6123</v>
      </c>
      <c r="F73" s="378">
        <f t="shared" si="22"/>
        <v>1246</v>
      </c>
      <c r="G73" s="869">
        <f t="shared" si="23"/>
        <v>0.20349501878164297</v>
      </c>
      <c r="T73" s="259"/>
      <c r="U73" s="259"/>
      <c r="V73" s="259"/>
      <c r="W73" s="259"/>
      <c r="X73" s="259"/>
      <c r="Y73" s="259"/>
      <c r="Z73" s="259"/>
    </row>
    <row r="74" spans="2:26" x14ac:dyDescent="0.35">
      <c r="B74" s="323" t="s">
        <v>315</v>
      </c>
      <c r="C74" s="864">
        <f>D74/'05. BC BH THEO SKU-USD'!$CL$5</f>
        <v>4.2564250608087349E-2</v>
      </c>
      <c r="D74" s="422">
        <f t="shared" si="20"/>
        <v>1411</v>
      </c>
      <c r="E74" s="422">
        <f t="shared" si="21"/>
        <v>1540</v>
      </c>
      <c r="F74" s="422">
        <f t="shared" si="22"/>
        <v>124</v>
      </c>
      <c r="G74" s="864">
        <f t="shared" si="23"/>
        <v>8.0519480519480519E-2</v>
      </c>
    </row>
    <row r="75" spans="2:26" hidden="1" x14ac:dyDescent="0.35">
      <c r="B75" s="324"/>
      <c r="C75" s="859"/>
      <c r="D75" s="860"/>
      <c r="E75" s="860"/>
      <c r="F75" s="860"/>
      <c r="G75" s="860"/>
    </row>
    <row r="76" spans="2:26" ht="21" x14ac:dyDescent="0.35">
      <c r="B76" s="861" t="s">
        <v>259</v>
      </c>
      <c r="C76" s="862">
        <f>SUM(C71:C75)</f>
        <v>0.98425681703803969</v>
      </c>
      <c r="D76" s="863">
        <f>SUM(D71:D75)</f>
        <v>32628</v>
      </c>
      <c r="E76" s="863">
        <f t="shared" ref="E76:F76" si="24">SUM(E71:E75)</f>
        <v>41250</v>
      </c>
      <c r="F76" s="863">
        <f t="shared" si="24"/>
        <v>6669</v>
      </c>
      <c r="G76" s="862"/>
    </row>
  </sheetData>
  <autoFilter ref="A4:AR16" xr:uid="{7F64151B-F661-4526-AF59-E457ACAF9649}"/>
  <conditionalFormatting sqref="C5:R16">
    <cfRule type="cellIs" dxfId="47" priority="6" operator="lessThan">
      <formula>0</formula>
    </cfRule>
  </conditionalFormatting>
  <conditionalFormatting sqref="G58:G65">
    <cfRule type="cellIs" dxfId="46" priority="2" operator="lessThan">
      <formula>0</formula>
    </cfRule>
  </conditionalFormatting>
  <conditionalFormatting sqref="G58:H66">
    <cfRule type="cellIs" dxfId="45" priority="1" operator="lessThan">
      <formula>0</formula>
    </cfRule>
  </conditionalFormatting>
  <conditionalFormatting sqref="L21:L32">
    <cfRule type="cellIs" dxfId="44" priority="9" operator="lessThan">
      <formula>0</formula>
    </cfRule>
  </conditionalFormatting>
  <hyperlinks>
    <hyperlink ref="A1" location="'00. DM'!A1" display="00. DM" xr:uid="{B633233C-1520-42B4-80A7-B2D68F274A12}"/>
  </hyperlinks>
  <pageMargins left="0.7" right="0.7" top="0.75" bottom="0.75" header="0.3" footer="0.3"/>
  <drawing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68439-45D2-4C8D-9BF9-E445B25545F5}">
  <sheetPr>
    <tabColor theme="0" tint="-0.14999847407452621"/>
  </sheetPr>
  <dimension ref="A1:AQ2"/>
  <sheetViews>
    <sheetView zoomScaleNormal="100" workbookViewId="0">
      <pane ySplit="2" topLeftCell="A3" activePane="bottomLeft" state="frozen"/>
      <selection pane="bottomLeft"/>
    </sheetView>
  </sheetViews>
  <sheetFormatPr defaultRowHeight="14.5" x14ac:dyDescent="0.35"/>
  <cols>
    <col min="1" max="28" width="6.6328125" customWidth="1"/>
    <col min="29" max="43" width="9" customWidth="1"/>
  </cols>
  <sheetData>
    <row r="1" spans="1:43" x14ac:dyDescent="0.35">
      <c r="A1" s="528" t="s">
        <v>587</v>
      </c>
      <c r="B1" s="528"/>
      <c r="C1" s="528"/>
      <c r="D1" s="528"/>
      <c r="E1" s="528"/>
      <c r="F1" s="528"/>
      <c r="G1" s="528"/>
      <c r="H1" s="528"/>
      <c r="I1" s="528"/>
      <c r="J1" s="528"/>
      <c r="K1" s="528"/>
      <c r="L1" s="528"/>
      <c r="M1" s="528"/>
      <c r="N1" s="528"/>
      <c r="O1" s="528"/>
      <c r="P1" s="528"/>
      <c r="Q1" s="528"/>
      <c r="R1" s="528"/>
      <c r="S1" s="528"/>
      <c r="T1" s="528"/>
      <c r="U1" s="528"/>
      <c r="V1" s="528"/>
      <c r="W1" s="528"/>
      <c r="X1" s="528"/>
      <c r="Y1" s="528"/>
      <c r="Z1" s="528"/>
      <c r="AA1" s="528"/>
      <c r="AB1" s="528"/>
    </row>
    <row r="2" spans="1:43" ht="18.5" x14ac:dyDescent="0.35">
      <c r="A2" s="608">
        <v>1</v>
      </c>
      <c r="B2" s="608"/>
      <c r="C2" s="608"/>
      <c r="D2" s="608"/>
      <c r="E2" s="608"/>
      <c r="F2" s="608"/>
      <c r="G2" s="608"/>
      <c r="H2" s="608"/>
      <c r="I2" s="608"/>
      <c r="J2" s="608"/>
      <c r="K2" s="608"/>
      <c r="L2" s="608"/>
      <c r="M2" s="608"/>
      <c r="N2" s="608"/>
      <c r="O2" s="608"/>
      <c r="P2" s="608"/>
      <c r="Q2" s="608"/>
      <c r="R2" s="608"/>
      <c r="S2" s="608"/>
      <c r="T2" s="608"/>
      <c r="U2" s="608"/>
      <c r="V2" s="608"/>
      <c r="W2" s="608"/>
      <c r="X2" s="608"/>
      <c r="Y2" s="608"/>
      <c r="Z2" s="608"/>
      <c r="AA2" s="608"/>
      <c r="AB2" s="608"/>
      <c r="AC2" s="581" t="s">
        <v>614</v>
      </c>
      <c r="AD2" s="581"/>
      <c r="AE2" s="581"/>
      <c r="AF2" s="581"/>
      <c r="AG2" s="581"/>
      <c r="AH2" s="581"/>
      <c r="AI2" s="581"/>
      <c r="AJ2" s="581"/>
      <c r="AK2" s="581"/>
      <c r="AL2" s="581"/>
      <c r="AM2" s="581"/>
      <c r="AN2" s="581"/>
      <c r="AO2" s="581"/>
      <c r="AP2" s="581"/>
      <c r="AQ2" s="581"/>
    </row>
  </sheetData>
  <hyperlinks>
    <hyperlink ref="A1" location="'00. DM'!A1" display="00. DM" xr:uid="{181D4622-E74F-4744-9006-AF493856F7EC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1D453-CE8F-46A0-9362-4088E0003ED6}">
  <sheetPr filterMode="1">
    <tabColor rgb="FF00B0F0"/>
  </sheetPr>
  <dimension ref="A1:ET229"/>
  <sheetViews>
    <sheetView showGridLines="0" zoomScale="85" zoomScaleNormal="85" workbookViewId="0">
      <pane xSplit="10" ySplit="5" topLeftCell="AO216" activePane="bottomRight" state="frozen"/>
      <selection pane="topRight"/>
      <selection pane="bottomLeft"/>
      <selection pane="bottomRight" activeCell="A4" sqref="A4:XFD4"/>
    </sheetView>
  </sheetViews>
  <sheetFormatPr defaultColWidth="8.81640625" defaultRowHeight="14" outlineLevelRow="1" outlineLevelCol="1" x14ac:dyDescent="0.3"/>
  <cols>
    <col min="1" max="1" width="5.1796875" style="3" customWidth="1"/>
    <col min="2" max="2" width="6.81640625" style="3" customWidth="1"/>
    <col min="3" max="3" width="10.81640625" style="494" customWidth="1"/>
    <col min="4" max="4" width="8.81640625" style="2" customWidth="1"/>
    <col min="5" max="5" width="23.08984375" style="2" customWidth="1"/>
    <col min="6" max="7" width="9.54296875" style="2" customWidth="1"/>
    <col min="8" max="8" width="11.54296875" style="2" customWidth="1"/>
    <col min="9" max="9" width="25.81640625" style="1" customWidth="1"/>
    <col min="10" max="10" width="10.54296875" style="1" customWidth="1"/>
    <col min="11" max="11" width="9.36328125" style="2" customWidth="1"/>
    <col min="12" max="12" width="9.81640625" style="2" customWidth="1"/>
    <col min="13" max="24" width="8.81640625" style="1" customWidth="1" outlineLevel="1"/>
    <col min="25" max="25" width="1.453125" style="1" customWidth="1"/>
    <col min="26" max="26" width="11.08984375" style="1" customWidth="1"/>
    <col min="27" max="38" width="8.81640625" style="1" customWidth="1" outlineLevel="1"/>
    <col min="39" max="39" width="1.1796875" style="1" customWidth="1"/>
    <col min="40" max="40" width="11.81640625" style="1" customWidth="1"/>
    <col min="41" max="52" width="7.1796875" style="1" customWidth="1" outlineLevel="1"/>
    <col min="53" max="53" width="1.1796875" style="1" customWidth="1"/>
    <col min="54" max="54" width="12.6328125" style="1" customWidth="1"/>
    <col min="55" max="55" width="8.1796875" style="1" customWidth="1" outlineLevel="1"/>
    <col min="56" max="56" width="10.36328125" style="1" customWidth="1" outlineLevel="1"/>
    <col min="57" max="66" width="8.1796875" style="1" customWidth="1" outlineLevel="1"/>
    <col min="67" max="67" width="2.36328125" style="1" customWidth="1"/>
    <col min="68" max="68" width="10.90625" style="1" customWidth="1"/>
    <col min="69" max="80" width="7.54296875" style="1" customWidth="1" outlineLevel="1"/>
    <col min="81" max="81" width="2.36328125" style="1" customWidth="1"/>
    <col min="82" max="82" width="15.36328125" style="1" customWidth="1"/>
    <col min="83" max="93" width="12.81640625" style="1" customWidth="1" outlineLevel="1"/>
    <col min="94" max="94" width="9.81640625" style="1" customWidth="1" outlineLevel="1"/>
    <col min="95" max="95" width="2.08984375" style="1" customWidth="1"/>
    <col min="96" max="96" width="10.90625" style="1" customWidth="1"/>
    <col min="97" max="108" width="8.81640625" style="1" customWidth="1" outlineLevel="1"/>
    <col min="109" max="109" width="1.81640625" style="1" customWidth="1"/>
    <col min="110" max="110" width="15.08984375" style="1" customWidth="1"/>
    <col min="111" max="114" width="13.453125" style="1" customWidth="1" outlineLevel="1"/>
    <col min="115" max="120" width="12.81640625" style="1" customWidth="1" outlineLevel="1"/>
    <col min="121" max="121" width="13.1796875" style="1" customWidth="1" outlineLevel="1"/>
    <col min="122" max="122" width="13.453125" style="1" customWidth="1" outlineLevel="1"/>
    <col min="123" max="123" width="1.453125" style="1" customWidth="1"/>
    <col min="124" max="124" width="15.6328125" style="1" customWidth="1"/>
    <col min="125" max="125" width="12.81640625" style="1" customWidth="1" outlineLevel="1"/>
    <col min="126" max="126" width="13.453125" style="1" customWidth="1" outlineLevel="1"/>
    <col min="127" max="135" width="12.81640625" style="1" customWidth="1" outlineLevel="1"/>
    <col min="136" max="136" width="11.1796875" style="1" customWidth="1" outlineLevel="1"/>
    <col min="137" max="137" width="3.08984375" style="1" customWidth="1"/>
    <col min="138" max="138" width="8.1796875" style="1" customWidth="1"/>
    <col min="139" max="150" width="8.1796875" style="1" customWidth="1" outlineLevel="1"/>
    <col min="151" max="16384" width="8.81640625" style="1"/>
  </cols>
  <sheetData>
    <row r="1" spans="1:150" ht="20" x14ac:dyDescent="0.4">
      <c r="A1" s="528" t="s">
        <v>587</v>
      </c>
      <c r="E1" s="51" t="s">
        <v>472</v>
      </c>
      <c r="I1" s="50"/>
      <c r="EH1" s="391">
        <f>COLUMNS($D$1:EH1)</f>
        <v>135</v>
      </c>
    </row>
    <row r="2" spans="1:150" s="14" customFormat="1" ht="17.5" x14ac:dyDescent="0.35">
      <c r="A2" s="180"/>
      <c r="B2" s="180"/>
      <c r="C2" s="495"/>
      <c r="D2" s="181"/>
      <c r="E2" s="181"/>
      <c r="F2" s="181"/>
      <c r="G2" s="181"/>
      <c r="H2" s="181"/>
      <c r="I2" s="182"/>
      <c r="K2" s="181"/>
      <c r="L2" s="125" t="s">
        <v>274</v>
      </c>
      <c r="M2" s="183"/>
      <c r="N2" s="183"/>
      <c r="O2" s="183"/>
      <c r="P2" s="183"/>
      <c r="Q2" s="183"/>
      <c r="R2" s="183"/>
      <c r="S2" s="183"/>
      <c r="T2" s="183"/>
      <c r="U2" s="183"/>
      <c r="V2" s="183"/>
      <c r="Z2" s="123" t="s">
        <v>275</v>
      </c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N2" s="124" t="s">
        <v>276</v>
      </c>
      <c r="BB2" s="138" t="s">
        <v>277</v>
      </c>
      <c r="BP2" s="141" t="s">
        <v>278</v>
      </c>
      <c r="BQ2" s="123"/>
      <c r="BR2" s="130"/>
      <c r="BS2" s="130"/>
      <c r="BT2" s="130"/>
      <c r="BU2" s="130"/>
      <c r="BV2" s="130"/>
      <c r="BW2" s="130"/>
      <c r="BX2" s="130"/>
      <c r="BY2" s="130"/>
      <c r="BZ2" s="130"/>
      <c r="CA2" s="130"/>
      <c r="CB2" s="130"/>
      <c r="CC2" s="130"/>
      <c r="CD2" s="122" t="s">
        <v>279</v>
      </c>
      <c r="CR2" s="184" t="s">
        <v>281</v>
      </c>
      <c r="CU2" s="182"/>
      <c r="DF2" s="184" t="s">
        <v>282</v>
      </c>
      <c r="DT2" s="184" t="s">
        <v>298</v>
      </c>
      <c r="EH2" s="610" t="s">
        <v>613</v>
      </c>
    </row>
    <row r="3" spans="1:150" s="130" customFormat="1" ht="17.5" x14ac:dyDescent="0.35">
      <c r="A3" s="127"/>
      <c r="B3" s="127"/>
      <c r="C3" s="496"/>
      <c r="D3" s="128"/>
      <c r="E3" s="128"/>
      <c r="F3" s="128"/>
      <c r="G3" s="128"/>
      <c r="H3" s="128"/>
      <c r="I3" s="129"/>
      <c r="K3" s="128"/>
      <c r="L3" s="125"/>
      <c r="AA3" s="123"/>
      <c r="AN3" s="124"/>
      <c r="AO3" s="123"/>
      <c r="BC3" s="123"/>
      <c r="CD3" s="126">
        <f t="shared" ref="CD3:CP3" si="0">SUM(CD5,CD115,CD127,CD207,CD157,CD173,CD222)</f>
        <v>6852.3859738329411</v>
      </c>
      <c r="CE3" s="126">
        <f t="shared" si="0"/>
        <v>35001.408906863675</v>
      </c>
      <c r="CF3" s="126">
        <f t="shared" si="0"/>
        <v>52849.072111326364</v>
      </c>
      <c r="CG3" s="126">
        <f t="shared" si="0"/>
        <v>60722.578323743706</v>
      </c>
      <c r="CH3" s="126">
        <f t="shared" si="0"/>
        <v>54023.259734240077</v>
      </c>
      <c r="CI3" s="126">
        <f t="shared" si="0"/>
        <v>46999.831290300936</v>
      </c>
      <c r="CJ3" s="126">
        <f t="shared" si="0"/>
        <v>54890.140102315498</v>
      </c>
      <c r="CK3" s="126">
        <f t="shared" si="0"/>
        <v>43567.150990000453</v>
      </c>
      <c r="CL3" s="126">
        <f t="shared" si="0"/>
        <v>52533.5053036393</v>
      </c>
      <c r="CM3" s="126">
        <f t="shared" si="0"/>
        <v>45761.125577886793</v>
      </c>
      <c r="CN3" s="126">
        <f t="shared" si="0"/>
        <v>0</v>
      </c>
      <c r="CO3" s="126">
        <f t="shared" si="0"/>
        <v>0</v>
      </c>
      <c r="CP3" s="126">
        <f t="shared" si="0"/>
        <v>0</v>
      </c>
      <c r="CR3" s="126">
        <f t="shared" ref="CR3:DD3" si="1">SUM(CR5,CR115,CR127,CR207,CR157,CR173,CR222)</f>
        <v>38040.634699999988</v>
      </c>
      <c r="CS3" s="126">
        <f t="shared" si="1"/>
        <v>3487.9992999999999</v>
      </c>
      <c r="CT3" s="126">
        <f t="shared" si="1"/>
        <v>5476.5</v>
      </c>
      <c r="CU3" s="126">
        <f t="shared" si="1"/>
        <v>4574.05</v>
      </c>
      <c r="CV3" s="126">
        <f t="shared" si="1"/>
        <v>3850.9249999999997</v>
      </c>
      <c r="CW3" s="126">
        <f t="shared" si="1"/>
        <v>4578.8852999999999</v>
      </c>
      <c r="CX3" s="126">
        <f t="shared" si="1"/>
        <v>3673.2080000000005</v>
      </c>
      <c r="CY3" s="126">
        <f t="shared" si="1"/>
        <v>4560.4241000000002</v>
      </c>
      <c r="CZ3" s="126">
        <f t="shared" si="1"/>
        <v>5189.3680000000004</v>
      </c>
      <c r="DA3" s="126">
        <f t="shared" si="1"/>
        <v>2649.2749999999996</v>
      </c>
      <c r="DB3" s="126">
        <f t="shared" si="1"/>
        <v>0</v>
      </c>
      <c r="DC3" s="126">
        <f t="shared" si="1"/>
        <v>0</v>
      </c>
      <c r="DD3" s="126">
        <f t="shared" si="1"/>
        <v>0</v>
      </c>
      <c r="DF3" s="126">
        <f t="shared" ref="DF3:DR3" si="2">SUM(DF5,DF115,DF127,DF207,DF157,DF173,DF222)</f>
        <v>46651504.44896581</v>
      </c>
      <c r="DG3" s="126">
        <f t="shared" si="2"/>
        <v>4454931.6018065047</v>
      </c>
      <c r="DH3" s="126">
        <f t="shared" si="2"/>
        <v>7079267.9169751871</v>
      </c>
      <c r="DI3" s="126">
        <f t="shared" si="2"/>
        <v>5723231.3974015741</v>
      </c>
      <c r="DJ3" s="126">
        <f t="shared" si="2"/>
        <v>4750311.9767711982</v>
      </c>
      <c r="DK3" s="126">
        <f t="shared" si="2"/>
        <v>5760213.3934261417</v>
      </c>
      <c r="DL3" s="126">
        <f t="shared" si="2"/>
        <v>4439262.682214506</v>
      </c>
      <c r="DM3" s="126">
        <f t="shared" si="2"/>
        <v>5260978.3881290825</v>
      </c>
      <c r="DN3" s="126">
        <f t="shared" si="2"/>
        <v>6251352.0763178002</v>
      </c>
      <c r="DO3" s="126">
        <f t="shared" si="2"/>
        <v>2931955.0159238093</v>
      </c>
      <c r="DP3" s="126">
        <f t="shared" si="2"/>
        <v>0</v>
      </c>
      <c r="DQ3" s="126">
        <f t="shared" si="2"/>
        <v>0</v>
      </c>
      <c r="DR3" s="126">
        <f t="shared" si="2"/>
        <v>0</v>
      </c>
      <c r="DT3" s="126">
        <f t="shared" ref="DT3:EF3" si="3">SUM(DT5,DT115,DT127,DT207,DT157,DT173,DT222)</f>
        <v>6293370.0841593733</v>
      </c>
      <c r="DU3" s="126">
        <f t="shared" si="3"/>
        <v>726334.05849056586</v>
      </c>
      <c r="DV3" s="126">
        <f t="shared" si="3"/>
        <v>1404046.5570332455</v>
      </c>
      <c r="DW3" s="126">
        <f t="shared" si="3"/>
        <v>917281.23943809385</v>
      </c>
      <c r="DX3" s="126">
        <f t="shared" si="3"/>
        <v>730653.09317331261</v>
      </c>
      <c r="DY3" s="126">
        <f t="shared" si="3"/>
        <v>898437.34377273615</v>
      </c>
      <c r="DZ3" s="126">
        <f t="shared" si="3"/>
        <v>496370.48946759262</v>
      </c>
      <c r="EA3" s="126">
        <f t="shared" si="3"/>
        <v>373542.75735284778</v>
      </c>
      <c r="EB3" s="126">
        <f t="shared" si="3"/>
        <v>630672.89422657946</v>
      </c>
      <c r="EC3" s="126">
        <f t="shared" si="3"/>
        <v>116031.65120440254</v>
      </c>
      <c r="ED3" s="126">
        <f t="shared" si="3"/>
        <v>0</v>
      </c>
      <c r="EE3" s="126">
        <f t="shared" si="3"/>
        <v>0</v>
      </c>
      <c r="EF3" s="126">
        <f t="shared" si="3"/>
        <v>0</v>
      </c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</row>
    <row r="4" spans="1:150" s="43" customFormat="1" ht="45" x14ac:dyDescent="0.35">
      <c r="A4" s="131" t="s">
        <v>174</v>
      </c>
      <c r="B4" s="131"/>
      <c r="C4" s="895"/>
      <c r="D4" s="131" t="s">
        <v>173</v>
      </c>
      <c r="E4" s="132" t="s">
        <v>173</v>
      </c>
      <c r="F4" s="896" t="s">
        <v>172</v>
      </c>
      <c r="G4" s="896" t="s">
        <v>799</v>
      </c>
      <c r="H4" s="133" t="s">
        <v>171</v>
      </c>
      <c r="I4" s="132" t="s">
        <v>170</v>
      </c>
      <c r="J4" s="134" t="s">
        <v>169</v>
      </c>
      <c r="K4" s="135" t="s">
        <v>168</v>
      </c>
      <c r="L4" s="49" t="s">
        <v>553</v>
      </c>
      <c r="M4" s="48">
        <v>1</v>
      </c>
      <c r="N4" s="48">
        <v>2</v>
      </c>
      <c r="O4" s="48">
        <v>3</v>
      </c>
      <c r="P4" s="48">
        <v>4</v>
      </c>
      <c r="Q4" s="48">
        <v>5</v>
      </c>
      <c r="R4" s="48">
        <v>6</v>
      </c>
      <c r="S4" s="48">
        <v>7</v>
      </c>
      <c r="T4" s="48">
        <v>8</v>
      </c>
      <c r="U4" s="48">
        <v>9</v>
      </c>
      <c r="V4" s="48">
        <v>10</v>
      </c>
      <c r="W4" s="48">
        <v>11</v>
      </c>
      <c r="X4" s="48">
        <v>12</v>
      </c>
      <c r="Z4" s="47" t="s">
        <v>545</v>
      </c>
      <c r="AA4" s="46">
        <v>1</v>
      </c>
      <c r="AB4" s="46">
        <v>2</v>
      </c>
      <c r="AC4" s="46">
        <v>3</v>
      </c>
      <c r="AD4" s="46">
        <v>4</v>
      </c>
      <c r="AE4" s="46">
        <v>5</v>
      </c>
      <c r="AF4" s="46">
        <v>6</v>
      </c>
      <c r="AG4" s="46">
        <v>7</v>
      </c>
      <c r="AH4" s="46">
        <v>8</v>
      </c>
      <c r="AI4" s="46">
        <v>9</v>
      </c>
      <c r="AJ4" s="46">
        <v>10</v>
      </c>
      <c r="AK4" s="46">
        <v>11</v>
      </c>
      <c r="AL4" s="46">
        <v>12</v>
      </c>
      <c r="AN4" s="136" t="s">
        <v>554</v>
      </c>
      <c r="AO4" s="137">
        <v>1</v>
      </c>
      <c r="AP4" s="137">
        <v>2</v>
      </c>
      <c r="AQ4" s="137">
        <v>3</v>
      </c>
      <c r="AR4" s="137">
        <v>4</v>
      </c>
      <c r="AS4" s="137">
        <v>5</v>
      </c>
      <c r="AT4" s="137">
        <v>6</v>
      </c>
      <c r="AU4" s="137">
        <v>7</v>
      </c>
      <c r="AV4" s="137">
        <v>8</v>
      </c>
      <c r="AW4" s="137">
        <v>9</v>
      </c>
      <c r="AX4" s="137">
        <v>10</v>
      </c>
      <c r="AY4" s="137">
        <v>11</v>
      </c>
      <c r="AZ4" s="137">
        <v>12</v>
      </c>
      <c r="BB4" s="52" t="s">
        <v>548</v>
      </c>
      <c r="BC4" s="53">
        <v>1</v>
      </c>
      <c r="BD4" s="53">
        <v>2</v>
      </c>
      <c r="BE4" s="53">
        <v>3</v>
      </c>
      <c r="BF4" s="53">
        <v>4</v>
      </c>
      <c r="BG4" s="53">
        <v>5</v>
      </c>
      <c r="BH4" s="53">
        <v>6</v>
      </c>
      <c r="BI4" s="53">
        <v>7</v>
      </c>
      <c r="BJ4" s="53">
        <v>8</v>
      </c>
      <c r="BK4" s="53">
        <v>9</v>
      </c>
      <c r="BL4" s="53">
        <v>10</v>
      </c>
      <c r="BM4" s="53">
        <v>11</v>
      </c>
      <c r="BN4" s="53">
        <v>12</v>
      </c>
      <c r="BP4" s="139" t="s">
        <v>555</v>
      </c>
      <c r="BQ4" s="140">
        <v>1</v>
      </c>
      <c r="BR4" s="140">
        <v>2</v>
      </c>
      <c r="BS4" s="140">
        <v>3</v>
      </c>
      <c r="BT4" s="140">
        <v>4</v>
      </c>
      <c r="BU4" s="140">
        <v>5</v>
      </c>
      <c r="BV4" s="140">
        <v>6</v>
      </c>
      <c r="BW4" s="140">
        <v>7</v>
      </c>
      <c r="BX4" s="140">
        <v>8</v>
      </c>
      <c r="BY4" s="140">
        <v>9</v>
      </c>
      <c r="BZ4" s="140">
        <v>10</v>
      </c>
      <c r="CA4" s="140">
        <v>11</v>
      </c>
      <c r="CB4" s="140">
        <v>12</v>
      </c>
      <c r="CD4" s="156" t="s">
        <v>556</v>
      </c>
      <c r="CE4" s="151">
        <v>1</v>
      </c>
      <c r="CF4" s="151">
        <v>2</v>
      </c>
      <c r="CG4" s="151">
        <v>3</v>
      </c>
      <c r="CH4" s="151">
        <v>4</v>
      </c>
      <c r="CI4" s="151">
        <v>5</v>
      </c>
      <c r="CJ4" s="151">
        <v>6</v>
      </c>
      <c r="CK4" s="151">
        <v>7</v>
      </c>
      <c r="CL4" s="151">
        <v>8</v>
      </c>
      <c r="CM4" s="151">
        <v>9</v>
      </c>
      <c r="CN4" s="151">
        <v>10</v>
      </c>
      <c r="CO4" s="151">
        <v>11</v>
      </c>
      <c r="CP4" s="151">
        <v>12</v>
      </c>
      <c r="CR4" s="45" t="s">
        <v>550</v>
      </c>
      <c r="CS4" s="44">
        <v>1</v>
      </c>
      <c r="CT4" s="44">
        <v>2</v>
      </c>
      <c r="CU4" s="44">
        <v>3</v>
      </c>
      <c r="CV4" s="44">
        <v>4</v>
      </c>
      <c r="CW4" s="44">
        <v>5</v>
      </c>
      <c r="CX4" s="44">
        <v>6</v>
      </c>
      <c r="CY4" s="44">
        <v>7</v>
      </c>
      <c r="CZ4" s="44">
        <v>8</v>
      </c>
      <c r="DA4" s="44">
        <v>9</v>
      </c>
      <c r="DB4" s="44">
        <v>10</v>
      </c>
      <c r="DC4" s="44">
        <v>11</v>
      </c>
      <c r="DD4" s="44">
        <v>12</v>
      </c>
      <c r="DF4" s="157" t="s">
        <v>557</v>
      </c>
      <c r="DG4" s="158">
        <v>1</v>
      </c>
      <c r="DH4" s="158">
        <v>2</v>
      </c>
      <c r="DI4" s="158">
        <v>3</v>
      </c>
      <c r="DJ4" s="158">
        <v>4</v>
      </c>
      <c r="DK4" s="158">
        <v>5</v>
      </c>
      <c r="DL4" s="158">
        <v>6</v>
      </c>
      <c r="DM4" s="158">
        <v>7</v>
      </c>
      <c r="DN4" s="158">
        <v>8</v>
      </c>
      <c r="DO4" s="158">
        <v>9</v>
      </c>
      <c r="DP4" s="158">
        <v>10</v>
      </c>
      <c r="DQ4" s="158">
        <v>11</v>
      </c>
      <c r="DR4" s="158">
        <v>12</v>
      </c>
      <c r="DT4" s="159" t="s">
        <v>558</v>
      </c>
      <c r="DU4" s="160">
        <v>1</v>
      </c>
      <c r="DV4" s="160">
        <v>2</v>
      </c>
      <c r="DW4" s="160">
        <v>3</v>
      </c>
      <c r="DX4" s="160">
        <v>4</v>
      </c>
      <c r="DY4" s="160">
        <v>5</v>
      </c>
      <c r="DZ4" s="160">
        <v>6</v>
      </c>
      <c r="EA4" s="160">
        <v>7</v>
      </c>
      <c r="EB4" s="160">
        <v>8</v>
      </c>
      <c r="EC4" s="160">
        <v>9</v>
      </c>
      <c r="ED4" s="160">
        <v>10</v>
      </c>
      <c r="EE4" s="160">
        <v>11</v>
      </c>
      <c r="EF4" s="160">
        <v>12</v>
      </c>
      <c r="EH4" s="568" t="s">
        <v>382</v>
      </c>
      <c r="EI4" s="569">
        <v>1</v>
      </c>
      <c r="EJ4" s="569">
        <v>2</v>
      </c>
      <c r="EK4" s="569">
        <v>3</v>
      </c>
      <c r="EL4" s="569">
        <v>4</v>
      </c>
      <c r="EM4" s="569">
        <v>5</v>
      </c>
      <c r="EN4" s="569">
        <v>6</v>
      </c>
      <c r="EO4" s="569">
        <v>7</v>
      </c>
      <c r="EP4" s="569">
        <v>8</v>
      </c>
      <c r="EQ4" s="569">
        <v>9</v>
      </c>
      <c r="ER4" s="569">
        <v>10</v>
      </c>
      <c r="ES4" s="569">
        <v>11</v>
      </c>
      <c r="ET4" s="569">
        <v>12</v>
      </c>
    </row>
    <row r="5" spans="1:150" s="14" customFormat="1" ht="15" hidden="1" x14ac:dyDescent="0.3">
      <c r="A5" s="19" t="s">
        <v>167</v>
      </c>
      <c r="B5" s="19"/>
      <c r="C5" s="19"/>
      <c r="D5" s="18"/>
      <c r="E5" s="15" t="s">
        <v>166</v>
      </c>
      <c r="F5" s="15"/>
      <c r="G5" s="15"/>
      <c r="H5" s="17"/>
      <c r="I5" s="17"/>
      <c r="J5" s="16"/>
      <c r="K5" s="15"/>
      <c r="L5" s="145">
        <f t="shared" ref="L5:AL5" si="4">IFERROR(AVERAGE(L6:L114),"-")</f>
        <v>1292.0098304300279</v>
      </c>
      <c r="M5" s="144">
        <f t="shared" si="4"/>
        <v>1380.3535766817577</v>
      </c>
      <c r="N5" s="144">
        <f t="shared" si="4"/>
        <v>1298.2231692344005</v>
      </c>
      <c r="O5" s="144">
        <f t="shared" si="4"/>
        <v>1296.2780161962455</v>
      </c>
      <c r="P5" s="144">
        <f t="shared" si="4"/>
        <v>1304.6697790912719</v>
      </c>
      <c r="Q5" s="144">
        <f t="shared" si="4"/>
        <v>1307.6749959453107</v>
      </c>
      <c r="R5" s="144">
        <f t="shared" si="4"/>
        <v>1281.3895227280243</v>
      </c>
      <c r="S5" s="144">
        <f t="shared" si="4"/>
        <v>1274.7708844823535</v>
      </c>
      <c r="T5" s="144">
        <f t="shared" si="4"/>
        <v>1284.0966833277687</v>
      </c>
      <c r="U5" s="144">
        <f t="shared" si="4"/>
        <v>1199.5803176199524</v>
      </c>
      <c r="V5" s="144" t="str">
        <f t="shared" si="4"/>
        <v>-</v>
      </c>
      <c r="W5" s="144" t="str">
        <f t="shared" si="4"/>
        <v>-</v>
      </c>
      <c r="X5" s="144" t="str">
        <f t="shared" si="4"/>
        <v>-</v>
      </c>
      <c r="Y5" s="144" t="str">
        <f t="shared" si="4"/>
        <v>-</v>
      </c>
      <c r="Z5" s="71">
        <f t="shared" si="4"/>
        <v>1243.3952084292487</v>
      </c>
      <c r="AA5" s="71">
        <f t="shared" si="4"/>
        <v>1348.5928362116576</v>
      </c>
      <c r="AB5" s="71">
        <f t="shared" si="4"/>
        <v>1256.0725438016295</v>
      </c>
      <c r="AC5" s="71">
        <f t="shared" si="4"/>
        <v>1261.4616745932726</v>
      </c>
      <c r="AD5" s="71">
        <f t="shared" si="4"/>
        <v>1278.7348759491126</v>
      </c>
      <c r="AE5" s="71">
        <f t="shared" si="4"/>
        <v>1286.1055415436269</v>
      </c>
      <c r="AF5" s="71">
        <f t="shared" si="4"/>
        <v>1256.1661688261895</v>
      </c>
      <c r="AG5" s="71">
        <f t="shared" si="4"/>
        <v>1254.1969664690071</v>
      </c>
      <c r="AH5" s="71">
        <f t="shared" si="4"/>
        <v>1235.6477532083038</v>
      </c>
      <c r="AI5" s="71">
        <f t="shared" si="4"/>
        <v>1172.9913741010789</v>
      </c>
      <c r="AJ5" s="71" t="str">
        <f t="shared" si="4"/>
        <v>-</v>
      </c>
      <c r="AK5" s="71" t="str">
        <f t="shared" si="4"/>
        <v>-</v>
      </c>
      <c r="AL5" s="71" t="str">
        <f t="shared" si="4"/>
        <v>-</v>
      </c>
      <c r="AN5" s="71">
        <f t="shared" ref="AN5:AZ5" si="5">IFERROR(AVERAGE(AN6:AN114),0)</f>
        <v>1246.6289500509693</v>
      </c>
      <c r="AO5" s="71">
        <f t="shared" si="5"/>
        <v>1253.5353535353536</v>
      </c>
      <c r="AP5" s="71">
        <f t="shared" si="5"/>
        <v>1242.6262626262626</v>
      </c>
      <c r="AQ5" s="71">
        <f t="shared" si="5"/>
        <v>1251.9191919191919</v>
      </c>
      <c r="AR5" s="71">
        <f t="shared" si="5"/>
        <v>1271.9191919191919</v>
      </c>
      <c r="AS5" s="71">
        <f t="shared" si="5"/>
        <v>1271.9191919191919</v>
      </c>
      <c r="AT5" s="71">
        <f t="shared" si="5"/>
        <v>1268.98</v>
      </c>
      <c r="AU5" s="71">
        <f t="shared" si="5"/>
        <v>1271.2</v>
      </c>
      <c r="AV5" s="71">
        <f t="shared" si="5"/>
        <v>1243.1683168316831</v>
      </c>
      <c r="AW5" s="71">
        <f t="shared" si="5"/>
        <v>1231.7692307692307</v>
      </c>
      <c r="AX5" s="71">
        <f t="shared" si="5"/>
        <v>0</v>
      </c>
      <c r="AY5" s="71">
        <f t="shared" si="5"/>
        <v>0</v>
      </c>
      <c r="AZ5" s="71">
        <f t="shared" si="5"/>
        <v>0</v>
      </c>
      <c r="BB5" s="96">
        <f>IF(L5&lt;&gt;"-",Z5-AN5,"-")</f>
        <v>-3.2337416217205828</v>
      </c>
      <c r="BC5" s="96">
        <f>IF(M5&lt;&gt;"-",AA5-AO5,"-")</f>
        <v>95.057482676304062</v>
      </c>
      <c r="BD5" s="96">
        <f t="shared" ref="BD5:BN20" si="6">IF(N5&lt;&gt;"-",AB5-AP5,"-")</f>
        <v>13.446281175366948</v>
      </c>
      <c r="BE5" s="96">
        <f t="shared" si="6"/>
        <v>9.5424826740807021</v>
      </c>
      <c r="BF5" s="96">
        <f t="shared" si="6"/>
        <v>6.8156840299207033</v>
      </c>
      <c r="BG5" s="96">
        <f t="shared" si="6"/>
        <v>14.186349624435024</v>
      </c>
      <c r="BH5" s="96">
        <f t="shared" si="6"/>
        <v>-12.813831173810513</v>
      </c>
      <c r="BI5" s="96">
        <f t="shared" si="6"/>
        <v>-17.00303353099298</v>
      </c>
      <c r="BJ5" s="96">
        <f t="shared" si="6"/>
        <v>-7.520563623379303</v>
      </c>
      <c r="BK5" s="96">
        <f t="shared" si="6"/>
        <v>-58.777856668151799</v>
      </c>
      <c r="BL5" s="96" t="str">
        <f t="shared" si="6"/>
        <v>-</v>
      </c>
      <c r="BM5" s="96" t="str">
        <f t="shared" si="6"/>
        <v>-</v>
      </c>
      <c r="BN5" s="96" t="str">
        <f t="shared" si="6"/>
        <v>-</v>
      </c>
      <c r="BP5" s="142">
        <f t="shared" ref="BP5" si="7">IFERROR(IF(BB5&lt;&gt;"-",BB5/AN5,"-"),"-")</f>
        <v>-2.5939888702154472E-3</v>
      </c>
      <c r="BQ5" s="142">
        <f t="shared" ref="BQ5:BQ39" si="8">IFERROR(IF(BC5&lt;&gt;"-",BC5/AO5,"-"),"-")</f>
        <v>7.5831513174489135E-2</v>
      </c>
      <c r="BR5" s="142">
        <f t="shared" ref="BR5:BR77" si="9">IFERROR(IF(BD5&lt;&gt;"-",BD5/AP5,"-"),"-")</f>
        <v>1.0820857066829198E-2</v>
      </c>
      <c r="BS5" s="142">
        <f t="shared" ref="BS5:BS77" si="10">IFERROR(IF(BE5&lt;&gt;"-",BE5/AQ5,"-"),"-")</f>
        <v>7.6222832397449536E-3</v>
      </c>
      <c r="BT5" s="142">
        <f t="shared" ref="BT5:BT77" si="11">IFERROR(IF(BF5&lt;&gt;"-",BF5/AR5,"-"),"-")</f>
        <v>5.3585825838798418E-3</v>
      </c>
      <c r="BU5" s="142">
        <f t="shared" ref="BU5:BU77" si="12">IFERROR(IF(BG5&lt;&gt;"-",BG5/AS5,"-"),"-")</f>
        <v>1.1153499148817244E-2</v>
      </c>
      <c r="BV5" s="142">
        <f t="shared" ref="BV5:BV77" si="13">IFERROR(IF(BH5&lt;&gt;"-",BH5/AT5,"-"),"-")</f>
        <v>-1.0097740842101934E-2</v>
      </c>
      <c r="BW5" s="142">
        <f t="shared" ref="BW5:BW77" si="14">IFERROR(IF(BI5&lt;&gt;"-",BI5/AU5,"-"),"-")</f>
        <v>-1.3375577038226069E-2</v>
      </c>
      <c r="BX5" s="142">
        <f t="shared" ref="BX5:BX77" si="15">IFERROR(IF(BJ5&lt;&gt;"-",BJ5/AV5,"-"),"-")</f>
        <v>-6.049513586821517E-3</v>
      </c>
      <c r="BY5" s="142">
        <f t="shared" ref="BY5:BY77" si="16">IFERROR(IF(BK5&lt;&gt;"-",BK5/AW5,"-"),"-")</f>
        <v>-4.7718237474924964E-2</v>
      </c>
      <c r="BZ5" s="142" t="str">
        <f t="shared" ref="BZ5:BZ77" si="17">IFERROR(IF(BL5&lt;&gt;"-",BL5/AX5,"-"),"-")</f>
        <v>-</v>
      </c>
      <c r="CA5" s="142" t="str">
        <f t="shared" ref="CA5:CA77" si="18">IFERROR(IF(BM5&lt;&gt;"-",BM5/AY5,"-"),"-")</f>
        <v>-</v>
      </c>
      <c r="CB5" s="142" t="str">
        <f t="shared" ref="CB5:CB77" si="19">IFERROR(IF(BN5&lt;&gt;"-",BN5/AZ5,"-"),"-")</f>
        <v>-</v>
      </c>
      <c r="CD5" s="113">
        <f>IFERROR(AVERAGE(CD6:CD114),0)</f>
        <v>1044.1049303417706</v>
      </c>
      <c r="CE5" s="113">
        <f t="shared" ref="CE5:CP5" si="20">SUM(CE6:CE114)</f>
        <v>23664.901116706642</v>
      </c>
      <c r="CF5" s="113">
        <f t="shared" si="20"/>
        <v>26048.985691779668</v>
      </c>
      <c r="CG5" s="113">
        <f t="shared" si="20"/>
        <v>27612.350263306398</v>
      </c>
      <c r="CH5" s="113">
        <f t="shared" si="20"/>
        <v>20289.133109957464</v>
      </c>
      <c r="CI5" s="113">
        <f t="shared" si="20"/>
        <v>25260.417386760877</v>
      </c>
      <c r="CJ5" s="113">
        <f t="shared" si="20"/>
        <v>28475.162335075009</v>
      </c>
      <c r="CK5" s="113">
        <f t="shared" si="20"/>
        <v>18117.960674507784</v>
      </c>
      <c r="CL5" s="113">
        <f t="shared" si="20"/>
        <v>24416.261214161597</v>
      </c>
      <c r="CM5" s="113">
        <f t="shared" si="20"/>
        <v>19021.086549242773</v>
      </c>
      <c r="CN5" s="113">
        <f t="shared" si="20"/>
        <v>0</v>
      </c>
      <c r="CO5" s="113">
        <f t="shared" si="20"/>
        <v>0</v>
      </c>
      <c r="CP5" s="113">
        <f t="shared" si="20"/>
        <v>0</v>
      </c>
      <c r="CR5" s="113">
        <f t="shared" ref="CR5:DD5" si="21">SUM(CR6:CR114)</f>
        <v>33149.884699999988</v>
      </c>
      <c r="CS5" s="113">
        <f t="shared" si="21"/>
        <v>3296.1493</v>
      </c>
      <c r="CT5" s="113">
        <f t="shared" si="21"/>
        <v>5148</v>
      </c>
      <c r="CU5" s="113">
        <f t="shared" si="21"/>
        <v>4019.2999999999997</v>
      </c>
      <c r="CV5" s="113">
        <f t="shared" si="21"/>
        <v>3574.4</v>
      </c>
      <c r="CW5" s="113">
        <f t="shared" si="21"/>
        <v>4207.0102999999999</v>
      </c>
      <c r="CX5" s="113">
        <f t="shared" si="21"/>
        <v>3103.0830000000005</v>
      </c>
      <c r="CY5" s="113">
        <f t="shared" si="21"/>
        <v>3670.3490999999999</v>
      </c>
      <c r="CZ5" s="113">
        <f t="shared" si="21"/>
        <v>4344.5929999999998</v>
      </c>
      <c r="DA5" s="113">
        <f t="shared" si="21"/>
        <v>1786.9999999999998</v>
      </c>
      <c r="DB5" s="113">
        <f t="shared" si="21"/>
        <v>0</v>
      </c>
      <c r="DC5" s="113">
        <f t="shared" si="21"/>
        <v>0</v>
      </c>
      <c r="DD5" s="113">
        <f t="shared" si="21"/>
        <v>0</v>
      </c>
      <c r="DF5" s="113">
        <f t="shared" ref="DF5:DR5" si="22">SUM(DF6:DF114)</f>
        <v>41945908.429800399</v>
      </c>
      <c r="DG5" s="113">
        <f t="shared" si="22"/>
        <v>4201310.5062625464</v>
      </c>
      <c r="DH5" s="113">
        <f t="shared" si="22"/>
        <v>6690324.8224891694</v>
      </c>
      <c r="DI5" s="113">
        <f t="shared" si="22"/>
        <v>5076011.9903543303</v>
      </c>
      <c r="DJ5" s="113">
        <f t="shared" si="22"/>
        <v>4482289.947309332</v>
      </c>
      <c r="DK5" s="113">
        <f t="shared" si="22"/>
        <v>5382981.3937355001</v>
      </c>
      <c r="DL5" s="113">
        <f t="shared" si="22"/>
        <v>3901285.2548611118</v>
      </c>
      <c r="DM5" s="113">
        <f t="shared" si="22"/>
        <v>4528082.2754514022</v>
      </c>
      <c r="DN5" s="113">
        <f t="shared" si="22"/>
        <v>5455204.8656608099</v>
      </c>
      <c r="DO5" s="113">
        <f t="shared" si="22"/>
        <v>2228417.3736761902</v>
      </c>
      <c r="DP5" s="113">
        <f t="shared" si="22"/>
        <v>0</v>
      </c>
      <c r="DQ5" s="113">
        <f t="shared" si="22"/>
        <v>0</v>
      </c>
      <c r="DR5" s="113">
        <f t="shared" si="22"/>
        <v>0</v>
      </c>
      <c r="DT5" s="113">
        <f t="shared" ref="DT5:EF5" si="23">SUM(DT6:DT114)</f>
        <v>6765624.744342396</v>
      </c>
      <c r="DU5" s="113">
        <f t="shared" si="23"/>
        <v>687307.65222802083</v>
      </c>
      <c r="DV5" s="113">
        <f t="shared" si="23"/>
        <v>1377125.4019123898</v>
      </c>
      <c r="DW5" s="113">
        <f t="shared" si="23"/>
        <v>889029.4250155217</v>
      </c>
      <c r="DX5" s="113">
        <f t="shared" si="23"/>
        <v>761785.04045253142</v>
      </c>
      <c r="DY5" s="113">
        <f t="shared" si="23"/>
        <v>919114.73156741401</v>
      </c>
      <c r="DZ5" s="113">
        <f t="shared" si="23"/>
        <v>549737.94009202102</v>
      </c>
      <c r="EA5" s="113">
        <f t="shared" si="23"/>
        <v>538727.4095205745</v>
      </c>
      <c r="EB5" s="113">
        <f t="shared" si="23"/>
        <v>750587.61524064164</v>
      </c>
      <c r="EC5" s="113">
        <f t="shared" si="23"/>
        <v>292209.5283132834</v>
      </c>
      <c r="ED5" s="113">
        <f t="shared" si="23"/>
        <v>0</v>
      </c>
      <c r="EE5" s="113">
        <f t="shared" si="23"/>
        <v>0</v>
      </c>
      <c r="EF5" s="113">
        <f t="shared" si="23"/>
        <v>0</v>
      </c>
      <c r="EH5" s="570">
        <f>IFERROR(DT5/DF5,"-")</f>
        <v>0.16129403313949375</v>
      </c>
      <c r="EI5" s="570">
        <f t="shared" ref="EI5:ET5" si="24">IFERROR(DU5/DG5,"-")</f>
        <v>0.16359363374916186</v>
      </c>
      <c r="EJ5" s="570">
        <f t="shared" si="24"/>
        <v>0.20583834693395697</v>
      </c>
      <c r="EK5" s="570">
        <f t="shared" si="24"/>
        <v>0.17514328703417092</v>
      </c>
      <c r="EL5" s="570">
        <f t="shared" si="24"/>
        <v>0.16995443164265231</v>
      </c>
      <c r="EM5" s="570">
        <f t="shared" si="24"/>
        <v>0.17074454922639026</v>
      </c>
      <c r="EN5" s="570">
        <f t="shared" si="24"/>
        <v>0.14091200826882166</v>
      </c>
      <c r="EO5" s="570">
        <f t="shared" si="24"/>
        <v>0.11897473958042624</v>
      </c>
      <c r="EP5" s="570">
        <f t="shared" si="24"/>
        <v>0.13759109579282869</v>
      </c>
      <c r="EQ5" s="570">
        <f t="shared" si="24"/>
        <v>0.13112872470170581</v>
      </c>
      <c r="ER5" s="570" t="str">
        <f t="shared" si="24"/>
        <v>-</v>
      </c>
      <c r="ES5" s="570" t="str">
        <f t="shared" si="24"/>
        <v>-</v>
      </c>
      <c r="ET5" s="570" t="str">
        <f t="shared" si="24"/>
        <v>-</v>
      </c>
    </row>
    <row r="6" spans="1:150" s="24" customFormat="1" ht="15.5" hidden="1" outlineLevel="1" x14ac:dyDescent="0.35">
      <c r="A6" s="42">
        <v>1</v>
      </c>
      <c r="B6" s="27" t="s">
        <v>283</v>
      </c>
      <c r="C6" s="441" t="s">
        <v>501</v>
      </c>
      <c r="D6" s="41" t="s">
        <v>165</v>
      </c>
      <c r="E6" s="40" t="s">
        <v>164</v>
      </c>
      <c r="F6" s="40" t="s">
        <v>175</v>
      </c>
      <c r="G6" s="12" t="str">
        <f>_xlfn.XLOOKUP(F6,'Quy đổi'!$G$5:$G$32,'Quy đổi'!$H$5:$H$32,0)</f>
        <v>Bắc Mỹ</v>
      </c>
      <c r="H6" s="75" t="s">
        <v>110</v>
      </c>
      <c r="I6" s="39" t="s">
        <v>109</v>
      </c>
      <c r="J6" s="38" t="s">
        <v>26</v>
      </c>
      <c r="K6" s="37" t="s">
        <v>113</v>
      </c>
      <c r="L6" s="109">
        <f>IFERROR(AVERAGE(M6:X6),"-")</f>
        <v>1222.2535580008184</v>
      </c>
      <c r="M6" s="106">
        <f>IFERROR(SUMIFS('01. KE30'!$K:$K,'01. KE30'!$C:$C,'06. BC BH THEO CUSTOMER-USD'!$D6,'01. KE30'!$F:$F,'06. BC BH THEO CUSTOMER-USD'!$H6,'01. KE30'!$A:$A,'06. BC BH THEO CUSTOMER-USD'!M$4)/'06. BC BH THEO CUSTOMER-USD'!CS6/'02. Tỷ giá'!B$5,"-")</f>
        <v>1229.8085645360334</v>
      </c>
      <c r="N6" s="106">
        <f>IFERROR(SUMIFS('01. KE30'!$K:$K,'01. KE30'!$C:$C,'06. BC BH THEO CUSTOMER-USD'!$D6,'01. KE30'!$F:$F,'06. BC BH THEO CUSTOMER-USD'!$H6,'01. KE30'!$A:$A,'06. BC BH THEO CUSTOMER-USD'!N$4)/'06. BC BH THEO CUSTOMER-USD'!CT6/'02. Tỷ giá'!C$5,"-")</f>
        <v>1270.0541294796392</v>
      </c>
      <c r="O6" s="106">
        <f>IFERROR(SUMIFS('01. KE30'!$K:$K,'01. KE30'!$C:$C,'06. BC BH THEO CUSTOMER-USD'!$D6,'01. KE30'!$F:$F,'06. BC BH THEO CUSTOMER-USD'!$H6,'01. KE30'!$A:$A,'06. BC BH THEO CUSTOMER-USD'!O$4)/'06. BC BH THEO CUSTOMER-USD'!CU6/'02. Tỷ giá'!D$5,"-")</f>
        <v>1250.1367746848202</v>
      </c>
      <c r="P6" s="106">
        <f>IFERROR(SUMIFS('01. KE30'!$K:$K,'01. KE30'!$C:$C,'06. BC BH THEO CUSTOMER-USD'!$D6,'01. KE30'!$F:$F,'06. BC BH THEO CUSTOMER-USD'!$H6,'01. KE30'!$A:$A,'06. BC BH THEO CUSTOMER-USD'!P$4)/'06. BC BH THEO CUSTOMER-USD'!CV6/'02. Tỷ giá'!E$5,"-")</f>
        <v>1215.9661613137032</v>
      </c>
      <c r="Q6" s="106">
        <f>IFERROR(SUMIFS('01. KE30'!$K:$K,'01. KE30'!$C:$C,'06. BC BH THEO CUSTOMER-USD'!$D6,'01. KE30'!$F:$F,'06. BC BH THEO CUSTOMER-USD'!$H6,'01. KE30'!$A:$A,'06. BC BH THEO CUSTOMER-USD'!Q$4)/'06. BC BH THEO CUSTOMER-USD'!CW6/'02. Tỷ giá'!F$5,"-")</f>
        <v>1217.1376347582554</v>
      </c>
      <c r="R6" s="106">
        <f>IFERROR(SUMIFS('01. KE30'!$K:$K,'01. KE30'!$C:$C,'06. BC BH THEO CUSTOMER-USD'!$D6,'01. KE30'!$F:$F,'06. BC BH THEO CUSTOMER-USD'!$H6,'01. KE30'!$A:$A,'06. BC BH THEO CUSTOMER-USD'!R$4)/'06. BC BH THEO CUSTOMER-USD'!CX6/'02. Tỷ giá'!G$5,"-")</f>
        <v>1223.9583333333333</v>
      </c>
      <c r="S6" s="106">
        <f>IFERROR(SUMIFS('01. KE30'!$K:$K,'01. KE30'!$C:$C,'06. BC BH THEO CUSTOMER-USD'!$D6,'01. KE30'!$F:$F,'06. BC BH THEO CUSTOMER-USD'!$H6,'01. KE30'!$A:$A,'06. BC BH THEO CUSTOMER-USD'!S$4)/'06. BC BH THEO CUSTOMER-USD'!CY6/'02. Tỷ giá'!H$5,"-")</f>
        <v>1222.5460096649615</v>
      </c>
      <c r="T6" s="106">
        <f>IFERROR(SUMIFS('01. KE30'!$K:$K,'01. KE30'!$C:$C,'06. BC BH THEO CUSTOMER-USD'!$D6,'01. KE30'!$F:$F,'06. BC BH THEO CUSTOMER-USD'!$H6,'01. KE30'!$A:$A,'06. BC BH THEO CUSTOMER-USD'!T$4)/'06. BC BH THEO CUSTOMER-USD'!CZ6/'02. Tỷ giá'!I$5,"-")</f>
        <v>1163.8093423154385</v>
      </c>
      <c r="U6" s="106">
        <f>IFERROR(SUMIFS('01. KE30'!$K:$K,'01. KE30'!$C:$C,'06. BC BH THEO CUSTOMER-USD'!$D6,'01. KE30'!$F:$F,'06. BC BH THEO CUSTOMER-USD'!$H6,'01. KE30'!$A:$A,'06. BC BH THEO CUSTOMER-USD'!U$4)/'06. BC BH THEO CUSTOMER-USD'!DA6/'02. Tỷ giá'!J$5,"-")</f>
        <v>1206.8650719211823</v>
      </c>
      <c r="V6" s="106" t="str">
        <f>IFERROR(SUMIFS('01. KE30'!$K:$K,'01. KE30'!$C:$C,'06. BC BH THEO CUSTOMER-USD'!$D6,'01. KE30'!$F:$F,'06. BC BH THEO CUSTOMER-USD'!$H6,'01. KE30'!$A:$A,'06. BC BH THEO CUSTOMER-USD'!V$4)/'06. BC BH THEO CUSTOMER-USD'!DB6/'02. Tỷ giá'!K$5,"-")</f>
        <v>-</v>
      </c>
      <c r="W6" s="106" t="str">
        <f>IFERROR(SUMIFS('01. KE30'!$K:$K,'01. KE30'!$C:$C,'06. BC BH THEO CUSTOMER-USD'!$D6,'01. KE30'!$F:$F,'06. BC BH THEO CUSTOMER-USD'!$H6,'01. KE30'!$A:$A,'06. BC BH THEO CUSTOMER-USD'!W$4)/'06. BC BH THEO CUSTOMER-USD'!DC6/'02. Tỷ giá'!L$5,"-")</f>
        <v>-</v>
      </c>
      <c r="X6" s="106" t="str">
        <f>IFERROR(SUMIFS('01. KE30'!$K:$K,'01. KE30'!$C:$C,'06. BC BH THEO CUSTOMER-USD'!$D6,'01. KE30'!$F:$F,'06. BC BH THEO CUSTOMER-USD'!$H6,'01. KE30'!$A:$A,'06. BC BH THEO CUSTOMER-USD'!X$4)/'06. BC BH THEO CUSTOMER-USD'!DD6/'02. Tỷ giá'!M$5,"-")</f>
        <v>-</v>
      </c>
      <c r="Z6" s="92">
        <f>IFERROR(AVERAGE(AA6:AL6),"-")</f>
        <v>1189.0638205816965</v>
      </c>
      <c r="AA6" s="147">
        <f>IFERROR(SUMIFS('01. KE30'!$O:$O,'01. KE30'!$C:$C,'06. BC BH THEO CUSTOMER-USD'!$D6,'01. KE30'!$F:$F,'06. BC BH THEO CUSTOMER-USD'!$H6,'01. KE30'!$A:$A,'06. BC BH THEO CUSTOMER-USD'!M$4)/'06. BC BH THEO CUSTOMER-USD'!CS6/'02. Tỷ giá'!B$5,"-")</f>
        <v>1200.1954220716466</v>
      </c>
      <c r="AB6" s="147">
        <f>IFERROR(SUMIFS('01. KE30'!$O:$O,'01. KE30'!$C:$C,'06. BC BH THEO CUSTOMER-USD'!$D6,'01. KE30'!$F:$F,'06. BC BH THEO CUSTOMER-USD'!$H6,'01. KE30'!$A:$A,'06. BC BH THEO CUSTOMER-USD'!N$4)/'06. BC BH THEO CUSTOMER-USD'!CT6/'02. Tỷ giá'!C$5,"-")</f>
        <v>1235.9429552332888</v>
      </c>
      <c r="AC6" s="147">
        <f>IFERROR(SUMIFS('01. KE30'!$O:$O,'01. KE30'!$C:$C,'06. BC BH THEO CUSTOMER-USD'!$D6,'01. KE30'!$F:$F,'06. BC BH THEO CUSTOMER-USD'!$H6,'01. KE30'!$A:$A,'06. BC BH THEO CUSTOMER-USD'!O$4)/'06. BC BH THEO CUSTOMER-USD'!CU6/'02. Tỷ giá'!D$5,"-")</f>
        <v>1215.6719079943539</v>
      </c>
      <c r="AD6" s="147">
        <f>IFERROR(SUMIFS('01. KE30'!$O:$O,'01. KE30'!$C:$C,'06. BC BH THEO CUSTOMER-USD'!$D6,'01. KE30'!$F:$F,'06. BC BH THEO CUSTOMER-USD'!$H6,'01. KE30'!$A:$A,'06. BC BH THEO CUSTOMER-USD'!P$4)/'06. BC BH THEO CUSTOMER-USD'!CV6/'02. Tỷ giá'!E$5,"-")</f>
        <v>1183.1301049750555</v>
      </c>
      <c r="AE6" s="147">
        <f>IFERROR(SUMIFS('01. KE30'!$O:$O,'01. KE30'!$C:$C,'06. BC BH THEO CUSTOMER-USD'!$D6,'01. KE30'!$F:$F,'06. BC BH THEO CUSTOMER-USD'!$H6,'01. KE30'!$A:$A,'06. BC BH THEO CUSTOMER-USD'!Q$4)/'06. BC BH THEO CUSTOMER-USD'!CW6/'02. Tỷ giá'!F$5,"-")</f>
        <v>1184.3527253685345</v>
      </c>
      <c r="AF6" s="147">
        <f>IFERROR(SUMIFS('01. KE30'!$O:$O,'01. KE30'!$C:$C,'06. BC BH THEO CUSTOMER-USD'!$D6,'01. KE30'!$F:$F,'06. BC BH THEO CUSTOMER-USD'!$H6,'01. KE30'!$A:$A,'06. BC BH THEO CUSTOMER-USD'!R$4)/'06. BC BH THEO CUSTOMER-USD'!CX6/'02. Tỷ giá'!G$5,"-")</f>
        <v>1189.4065260447614</v>
      </c>
      <c r="AG6" s="147">
        <f>IFERROR(SUMIFS('01. KE30'!$O:$O,'01. KE30'!$C:$C,'06. BC BH THEO CUSTOMER-USD'!$D6,'01. KE30'!$F:$F,'06. BC BH THEO CUSTOMER-USD'!$H6,'01. KE30'!$A:$A,'06. BC BH THEO CUSTOMER-USD'!S$4)/'06. BC BH THEO CUSTOMER-USD'!CY6/'02. Tỷ giá'!H$5,"-")</f>
        <v>1188.6535475261337</v>
      </c>
      <c r="AH6" s="147">
        <f>IFERROR(SUMIFS('01. KE30'!$O:$O,'01. KE30'!$C:$C,'06. BC BH THEO CUSTOMER-USD'!$D6,'01. KE30'!$F:$F,'06. BC BH THEO CUSTOMER-USD'!$H6,'01. KE30'!$A:$A,'06. BC BH THEO CUSTOMER-USD'!T$4)/'06. BC BH THEO CUSTOMER-USD'!CZ6/'02. Tỷ giá'!I$5,"-")</f>
        <v>1132.0346262051025</v>
      </c>
      <c r="AI6" s="147">
        <f>IFERROR(SUMIFS('01. KE30'!$O:$O,'01. KE30'!$C:$C,'06. BC BH THEO CUSTOMER-USD'!$D6,'01. KE30'!$F:$F,'06. BC BH THEO CUSTOMER-USD'!$H6,'01. KE30'!$A:$A,'06. BC BH THEO CUSTOMER-USD'!U$4)/'06. BC BH THEO CUSTOMER-USD'!DA6/'02. Tỷ giá'!J$5,"-")</f>
        <v>1172.1865698163906</v>
      </c>
      <c r="AJ6" s="147" t="str">
        <f>IFERROR(SUMIFS('01. KE30'!$O:$O,'01. KE30'!$C:$C,'06. BC BH THEO CUSTOMER-USD'!$D6,'01. KE30'!$F:$F,'06. BC BH THEO CUSTOMER-USD'!$H6,'01. KE30'!$A:$A,'06. BC BH THEO CUSTOMER-USD'!V$4)/'06. BC BH THEO CUSTOMER-USD'!DB6/'02. Tỷ giá'!K$5,"-")</f>
        <v>-</v>
      </c>
      <c r="AK6" s="147" t="str">
        <f>IFERROR(SUMIFS('01. KE30'!$O:$O,'01. KE30'!$C:$C,'06. BC BH THEO CUSTOMER-USD'!$D6,'01. KE30'!$F:$F,'06. BC BH THEO CUSTOMER-USD'!$H6,'01. KE30'!$A:$A,'06. BC BH THEO CUSTOMER-USD'!W$4)/'06. BC BH THEO CUSTOMER-USD'!DC6/'02. Tỷ giá'!L$5,"-")</f>
        <v>-</v>
      </c>
      <c r="AL6" s="147" t="str">
        <f>IFERROR(SUMIFS('01. KE30'!$O:$O,'01. KE30'!$C:$C,'06. BC BH THEO CUSTOMER-USD'!$D6,'01. KE30'!$F:$F,'06. BC BH THEO CUSTOMER-USD'!$H6,'01. KE30'!$A:$A,'06. BC BH THEO CUSTOMER-USD'!X$4)/'06. BC BH THEO CUSTOMER-USD'!DD6/'02. Tỷ giá'!M$5,"-")</f>
        <v>-</v>
      </c>
      <c r="AN6" s="92">
        <f>IFERROR(AVERAGE(AO6:AZ6),"-")</f>
        <v>1236.6666666666667</v>
      </c>
      <c r="AO6" s="25">
        <v>1230</v>
      </c>
      <c r="AP6" s="25">
        <v>1230</v>
      </c>
      <c r="AQ6" s="25">
        <v>1230</v>
      </c>
      <c r="AR6" s="25">
        <f>AQ6+20</f>
        <v>1250</v>
      </c>
      <c r="AS6" s="25">
        <v>1250</v>
      </c>
      <c r="AT6" s="25">
        <v>1250</v>
      </c>
      <c r="AU6" s="25">
        <v>1250</v>
      </c>
      <c r="AV6" s="25">
        <v>1220</v>
      </c>
      <c r="AW6" s="25">
        <v>1220</v>
      </c>
      <c r="AX6" s="25"/>
      <c r="AY6" s="25"/>
      <c r="AZ6" s="25"/>
      <c r="BB6" s="95">
        <f>IF(L6&lt;&gt;"-",Z6-AN6,"-")</f>
        <v>-47.602846084970224</v>
      </c>
      <c r="BC6" s="95">
        <f>IF(M6&lt;&gt;"-",AA6-AO6,"-")</f>
        <v>-29.80457792835341</v>
      </c>
      <c r="BD6" s="95">
        <f t="shared" si="6"/>
        <v>5.9429552332887852</v>
      </c>
      <c r="BE6" s="95">
        <f t="shared" si="6"/>
        <v>-14.328092005646113</v>
      </c>
      <c r="BF6" s="95">
        <f t="shared" si="6"/>
        <v>-66.869895024944526</v>
      </c>
      <c r="BG6" s="95">
        <f t="shared" si="6"/>
        <v>-65.647274631465507</v>
      </c>
      <c r="BH6" s="95">
        <f t="shared" si="6"/>
        <v>-60.593473955238551</v>
      </c>
      <c r="BI6" s="95">
        <f t="shared" si="6"/>
        <v>-61.346452473866293</v>
      </c>
      <c r="BJ6" s="95">
        <f t="shared" si="6"/>
        <v>-87.965373794897459</v>
      </c>
      <c r="BK6" s="95">
        <f t="shared" si="6"/>
        <v>-47.813430183609398</v>
      </c>
      <c r="BL6" s="95" t="str">
        <f t="shared" si="6"/>
        <v>-</v>
      </c>
      <c r="BM6" s="95" t="str">
        <f t="shared" si="6"/>
        <v>-</v>
      </c>
      <c r="BN6" s="95" t="str">
        <f t="shared" si="6"/>
        <v>-</v>
      </c>
      <c r="BP6" s="143">
        <f>IFERROR(IF(BB6&lt;&gt;"-",BB6/AN6,"-"),"-")</f>
        <v>-3.8492867454153819E-2</v>
      </c>
      <c r="BQ6" s="143">
        <f t="shared" si="8"/>
        <v>-2.4231364169393015E-2</v>
      </c>
      <c r="BR6" s="143">
        <f t="shared" si="9"/>
        <v>4.8316709213729958E-3</v>
      </c>
      <c r="BS6" s="143">
        <f t="shared" si="10"/>
        <v>-1.1648855289143181E-2</v>
      </c>
      <c r="BT6" s="143">
        <f t="shared" si="11"/>
        <v>-5.3495916019955618E-2</v>
      </c>
      <c r="BU6" s="143">
        <f t="shared" si="12"/>
        <v>-5.2517819705172407E-2</v>
      </c>
      <c r="BV6" s="143">
        <f t="shared" si="13"/>
        <v>-4.8474779164190844E-2</v>
      </c>
      <c r="BW6" s="143">
        <f t="shared" si="14"/>
        <v>-4.9077161979093037E-2</v>
      </c>
      <c r="BX6" s="143">
        <f t="shared" si="15"/>
        <v>-7.2102765405653649E-2</v>
      </c>
      <c r="BY6" s="143">
        <f t="shared" si="16"/>
        <v>-3.9191336216073278E-2</v>
      </c>
      <c r="BZ6" s="143" t="str">
        <f t="shared" si="17"/>
        <v>-</v>
      </c>
      <c r="CA6" s="143" t="str">
        <f t="shared" si="18"/>
        <v>-</v>
      </c>
      <c r="CB6" s="143" t="str">
        <f t="shared" si="19"/>
        <v>-</v>
      </c>
      <c r="CD6" s="112">
        <f t="shared" ref="CD6:CD78" si="25">IFERROR(AVERAGE(CE6:CP6),"-")</f>
        <v>1043.6474839549562</v>
      </c>
      <c r="CE6" s="95">
        <f>IFERROR(SUMIFS('01. KE30'!$R:$R,'01. KE30'!$C:$C,'06. BC BH THEO CUSTOMER-USD'!$D6,'01. KE30'!$F:$F,'06. BC BH THEO CUSTOMER-USD'!$H6,'01. KE30'!$A:$A,'06. BC BH THEO CUSTOMER-USD'!CE$4)/CS6/'02. Tỷ giá'!B$5," -")</f>
        <v>1026.9498248239115</v>
      </c>
      <c r="CF6" s="95">
        <f>IFERROR(SUMIFS('01. KE30'!$R:$R,'01. KE30'!$C:$C,'06. BC BH THEO CUSTOMER-USD'!$D6,'01. KE30'!$F:$F,'06. BC BH THEO CUSTOMER-USD'!$H6,'01. KE30'!$A:$A,'06. BC BH THEO CUSTOMER-USD'!CF$4)/CT6/'02. Tỷ giá'!C$5," -")</f>
        <v>987.02003652117867</v>
      </c>
      <c r="CG6" s="95">
        <f>IFERROR(SUMIFS('01. KE30'!$R:$R,'01. KE30'!$C:$C,'06. BC BH THEO CUSTOMER-USD'!$D6,'01. KE30'!$F:$F,'06. BC BH THEO CUSTOMER-USD'!$H6,'01. KE30'!$A:$A,'06. BC BH THEO CUSTOMER-USD'!CG$4)/CU6/'02. Tỷ giá'!D$5," -")</f>
        <v>1032.9728990694346</v>
      </c>
      <c r="CH6" s="95">
        <f>IFERROR(SUMIFS('01. KE30'!$R:$R,'01. KE30'!$C:$C,'06. BC BH THEO CUSTOMER-USD'!$D6,'01. KE30'!$F:$F,'06. BC BH THEO CUSTOMER-USD'!$H6,'01. KE30'!$A:$A,'06. BC BH THEO CUSTOMER-USD'!CH$4)/CV6/'02. Tỷ giá'!E$5," -")</f>
        <v>1040.2917045014606</v>
      </c>
      <c r="CI6" s="95">
        <f>IFERROR(SUMIFS('01. KE30'!$R:$R,'01. KE30'!$C:$C,'06. BC BH THEO CUSTOMER-USD'!$D6,'01. KE30'!$F:$F,'06. BC BH THEO CUSTOMER-USD'!$H6,'01. KE30'!$A:$A,'06. BC BH THEO CUSTOMER-USD'!CI$4)/CW6/'02. Tỷ giá'!F$5," -")</f>
        <v>1049.5963931659987</v>
      </c>
      <c r="CJ6" s="95">
        <f>IFERROR(SUMIFS('01. KE30'!$R:$R,'01. KE30'!$C:$C,'06. BC BH THEO CUSTOMER-USD'!$D6,'01. KE30'!$F:$F,'06. BC BH THEO CUSTOMER-USD'!$H6,'01. KE30'!$A:$A,'06. BC BH THEO CUSTOMER-USD'!CJ$4)/CX6/'02. Tỷ giá'!G$5," -")</f>
        <v>1078.8699266975309</v>
      </c>
      <c r="CK6" s="95">
        <f>IFERROR(SUMIFS('01. KE30'!$R:$R,'01. KE30'!$C:$C,'06. BC BH THEO CUSTOMER-USD'!$D6,'01. KE30'!$F:$F,'06. BC BH THEO CUSTOMER-USD'!$H6,'01. KE30'!$A:$A,'06. BC BH THEO CUSTOMER-USD'!CK$4)/CY6/'02. Tỷ giá'!H$5," -")</f>
        <v>1095.1091939370656</v>
      </c>
      <c r="CL6" s="95">
        <f>IFERROR(SUMIFS('01. KE30'!$R:$R,'01. KE30'!$C:$C,'06. BC BH THEO CUSTOMER-USD'!$D6,'01. KE30'!$F:$F,'06. BC BH THEO CUSTOMER-USD'!$H6,'01. KE30'!$A:$A,'06. BC BH THEO CUSTOMER-USD'!CL$4)/CZ6/'02. Tỷ giá'!I$5," -")</f>
        <v>1060.8793162719633</v>
      </c>
      <c r="CM6" s="95">
        <f>IFERROR(SUMIFS('01. KE30'!$R:$R,'01. KE30'!$C:$C,'06. BC BH THEO CUSTOMER-USD'!$D6,'01. KE30'!$F:$F,'06. BC BH THEO CUSTOMER-USD'!$H6,'01. KE30'!$A:$A,'06. BC BH THEO CUSTOMER-USD'!CM$4)/DA6/'02. Tỷ giá'!J$5," -")</f>
        <v>1021.1380606060605</v>
      </c>
      <c r="CN6" s="95" t="str">
        <f>IFERROR(SUMIFS('01. KE30'!$R:$R,'01. KE30'!$C:$C,'06. BC BH THEO CUSTOMER-USD'!$D6,'01. KE30'!$F:$F,'06. BC BH THEO CUSTOMER-USD'!$H6,'01. KE30'!$A:$A,'06. BC BH THEO CUSTOMER-USD'!CN$4)/DB6/'02. Tỷ giá'!K$5," -")</f>
        <v xml:space="preserve"> -</v>
      </c>
      <c r="CO6" s="95" t="str">
        <f>IFERROR(SUMIFS('01. KE30'!$R:$R,'01. KE30'!$C:$C,'06. BC BH THEO CUSTOMER-USD'!$D6,'01. KE30'!$F:$F,'06. BC BH THEO CUSTOMER-USD'!$H6,'01. KE30'!$A:$A,'06. BC BH THEO CUSTOMER-USD'!CO$4)/DC6/'02. Tỷ giá'!L$5," -")</f>
        <v xml:space="preserve"> -</v>
      </c>
      <c r="CP6" s="95" t="str">
        <f>IFERROR(SUMIFS('01. KE30'!$R:$R,'01. KE30'!$C:$C,'06. BC BH THEO CUSTOMER-USD'!$D6,'01. KE30'!$F:$F,'06. BC BH THEO CUSTOMER-USD'!$H6,'01. KE30'!$A:$A,'06. BC BH THEO CUSTOMER-USD'!CP$4)/DD6/'02. Tỷ giá'!M$5," -")</f>
        <v xml:space="preserve"> -</v>
      </c>
      <c r="CR6" s="112">
        <f t="shared" ref="CR6:CR45" si="26">SUM(CS6:DD6)</f>
        <v>12122</v>
      </c>
      <c r="CS6" s="54">
        <f>SUMIFS('01. KE30'!$I:$I,'01. KE30'!$C:$C,'06. BC BH THEO CUSTOMER-USD'!$D6,'01. KE30'!$F:$F,'06. BC BH THEO CUSTOMER-USD'!$H6,'01. KE30'!$A:$A,'06. BC BH THEO CUSTOMER-USD'!CS$4)/1000</f>
        <v>2376</v>
      </c>
      <c r="CT6" s="54">
        <f>SUMIFS('01. KE30'!$I:$I,'01. KE30'!$C:$C,'06. BC BH THEO CUSTOMER-USD'!$D6,'01. KE30'!$F:$F,'06. BC BH THEO CUSTOMER-USD'!$H6,'01. KE30'!$A:$A,'06. BC BH THEO CUSTOMER-USD'!CT$4)/1000</f>
        <v>1672</v>
      </c>
      <c r="CU6" s="54">
        <f>SUMIFS('01. KE30'!$I:$I,'01. KE30'!$C:$C,'06. BC BH THEO CUSTOMER-USD'!$D6,'01. KE30'!$F:$F,'06. BC BH THEO CUSTOMER-USD'!$H6,'01. KE30'!$A:$A,'06. BC BH THEO CUSTOMER-USD'!CU$4)/1000</f>
        <v>1078</v>
      </c>
      <c r="CV6" s="724">
        <f>SUMIFS('01. KE30'!$I:$I,'01. KE30'!$C:$C,'06. BC BH THEO CUSTOMER-USD'!$D6,'01. KE30'!$F:$F,'06. BC BH THEO CUSTOMER-USD'!$H6,'01. KE30'!$A:$A,'06. BC BH THEO CUSTOMER-USD'!CV$4)/1000</f>
        <v>1408</v>
      </c>
      <c r="CW6" s="54">
        <f>SUMIFS('01. KE30'!$I:$I,'01. KE30'!$C:$C,'06. BC BH THEO CUSTOMER-USD'!$D6,'01. KE30'!$F:$F,'06. BC BH THEO CUSTOMER-USD'!$H6,'01. KE30'!$A:$A,'06. BC BH THEO CUSTOMER-USD'!CW$4)/1000</f>
        <v>1320</v>
      </c>
      <c r="CX6" s="54">
        <f>SUMIFS('01. KE30'!$I:$I,'01. KE30'!$C:$C,'06. BC BH THEO CUSTOMER-USD'!$D6,'01. KE30'!$F:$F,'06. BC BH THEO CUSTOMER-USD'!$H6,'01. KE30'!$A:$A,'06. BC BH THEO CUSTOMER-USD'!CX$4)/1000</f>
        <v>748</v>
      </c>
      <c r="CY6" s="54">
        <f>SUMIFS('01. KE30'!$I:$I,'01. KE30'!$C:$C,'06. BC BH THEO CUSTOMER-USD'!$D6,'01. KE30'!$F:$F,'06. BC BH THEO CUSTOMER-USD'!$H6,'01. KE30'!$A:$A,'06. BC BH THEO CUSTOMER-USD'!CY$4)/1000</f>
        <v>1672</v>
      </c>
      <c r="CZ6" s="54">
        <f>SUMIFS('01. KE30'!$I:$I,'01. KE30'!$C:$C,'06. BC BH THEO CUSTOMER-USD'!$D6,'01. KE30'!$F:$F,'06. BC BH THEO CUSTOMER-USD'!$H6,'01. KE30'!$A:$A,'06. BC BH THEO CUSTOMER-USD'!CZ$4)/1000</f>
        <v>1210</v>
      </c>
      <c r="DA6" s="54">
        <f>SUMIFS('01. KE30'!$I:$I,'01. KE30'!$C:$C,'06. BC BH THEO CUSTOMER-USD'!$D6,'01. KE30'!$F:$F,'06. BC BH THEO CUSTOMER-USD'!$H6,'01. KE30'!$A:$A,'06. BC BH THEO CUSTOMER-USD'!DA$4)/1000</f>
        <v>638</v>
      </c>
      <c r="DB6" s="54">
        <f>SUMIFS('01. KE30'!$I:$I,'01. KE30'!$C:$C,'06. BC BH THEO CUSTOMER-USD'!$D6,'01. KE30'!$F:$F,'06. BC BH THEO CUSTOMER-USD'!$H6,'01. KE30'!$A:$A,'06. BC BH THEO CUSTOMER-USD'!DB$4)/1000</f>
        <v>0</v>
      </c>
      <c r="DC6" s="54">
        <f>SUMIFS('01. KE30'!$I:$I,'01. KE30'!$C:$C,'06. BC BH THEO CUSTOMER-USD'!$D6,'01. KE30'!$F:$F,'06. BC BH THEO CUSTOMER-USD'!$H6,'01. KE30'!$A:$A,'06. BC BH THEO CUSTOMER-USD'!DC$4)/1000</f>
        <v>0</v>
      </c>
      <c r="DD6" s="54">
        <f>SUMIFS('01. KE30'!$I:$I,'01. KE30'!$C:$C,'06. BC BH THEO CUSTOMER-USD'!$D6,'01. KE30'!$F:$F,'06. BC BH THEO CUSTOMER-USD'!$H6,'01. KE30'!$A:$A,'06. BC BH THEO CUSTOMER-USD'!DD$4)/1000</f>
        <v>0</v>
      </c>
      <c r="DF6" s="112">
        <f t="shared" ref="DF6:DF17" si="27">SUM(DG6:DR6)</f>
        <v>14849712.111528946</v>
      </c>
      <c r="DG6" s="54">
        <f>IFERROR(M6*CS6,"-")</f>
        <v>2922025.1493376154</v>
      </c>
      <c r="DH6" s="54">
        <f t="shared" ref="DH6:DR6" si="28">IFERROR(N6*CT6,"-")</f>
        <v>2123530.5044899569</v>
      </c>
      <c r="DI6" s="54">
        <f t="shared" si="28"/>
        <v>1347647.4431102362</v>
      </c>
      <c r="DJ6" s="54">
        <f t="shared" si="28"/>
        <v>1712080.3551296941</v>
      </c>
      <c r="DK6" s="54">
        <f t="shared" si="28"/>
        <v>1606621.6778808972</v>
      </c>
      <c r="DL6" s="54">
        <f t="shared" si="28"/>
        <v>915520.83333333326</v>
      </c>
      <c r="DM6" s="54">
        <f t="shared" si="28"/>
        <v>2044096.9281598157</v>
      </c>
      <c r="DN6" s="54">
        <f t="shared" si="28"/>
        <v>1408209.3042016805</v>
      </c>
      <c r="DO6" s="54">
        <f t="shared" si="28"/>
        <v>769979.91588571435</v>
      </c>
      <c r="DP6" s="54" t="str">
        <f t="shared" si="28"/>
        <v>-</v>
      </c>
      <c r="DQ6" s="54" t="str">
        <f t="shared" si="28"/>
        <v>-</v>
      </c>
      <c r="DR6" s="54" t="str">
        <f t="shared" si="28"/>
        <v>-</v>
      </c>
      <c r="DT6" s="112">
        <f>SUM(DU6:EF6)</f>
        <v>1825329.426550437</v>
      </c>
      <c r="DU6" s="114">
        <f>IFERROR(SUMIFS('01. KE30'!$X:$X,'01. KE30'!$C:$C,'06. BC BH THEO CUSTOMER-USD'!$D6,'01. KE30'!$F:$F,'06. BC BH THEO CUSTOMER-USD'!$H6,'01. KE30'!$A:$A,'06. BC BH THEO CUSTOMER-USD'!DU$4)-SUMIFS('01. KE30'!$AA:$AA,'01. KE30'!$C:$C,'06. BC BH THEO CUSTOMER-USD'!$D6,'01. KE30'!$F:$F,'06. BC BH THEO CUSTOMER-USD'!$H6,'01. KE30'!$A:$A,'06. BC BH THEO CUSTOMER-USD'!DU$4),"-")</f>
        <v>411631.53906061826</v>
      </c>
      <c r="DV6" s="114">
        <f>IFERROR(SUMIFS('01. KE30'!$X:$X,'01. KE30'!$C:$C,'06. BC BH THEO CUSTOMER-USD'!$D6,'01. KE30'!$F:$F,'06. BC BH THEO CUSTOMER-USD'!$H6,'01. KE30'!$A:$A,'06. BC BH THEO CUSTOMER-USD'!DV$4)-SUMIFS('01. KE30'!$AA:$AA,'01. KE30'!$C:$C,'06. BC BH THEO CUSTOMER-USD'!$D6,'01. KE30'!$F:$F,'06. BC BH THEO CUSTOMER-USD'!$H6,'01. KE30'!$A:$A,'06. BC BH THEO CUSTOMER-USD'!DV$4),"-")</f>
        <v>416199.12008664827</v>
      </c>
      <c r="DW6" s="114">
        <f>IFERROR(SUMIFS('01. KE30'!$X:$X,'01. KE30'!$C:$C,'06. BC BH THEO CUSTOMER-USD'!$D6,'01. KE30'!$F:$F,'06. BC BH THEO CUSTOMER-USD'!$H6,'01. KE30'!$A:$A,'06. BC BH THEO CUSTOMER-USD'!DW$4)-SUMIFS('01. KE30'!$AA:$AA,'01. KE30'!$C:$C,'06. BC BH THEO CUSTOMER-USD'!$D6,'01. KE30'!$F:$F,'06. BC BH THEO CUSTOMER-USD'!$H6,'01. KE30'!$A:$A,'06. BC BH THEO CUSTOMER-USD'!DW$4),"-")</f>
        <v>196949.53162106266</v>
      </c>
      <c r="DX6" s="114">
        <f>IFERROR(SUMIFS('01. KE30'!$X:$X,'01. KE30'!$C:$C,'06. BC BH THEO CUSTOMER-USD'!$D6,'01. KE30'!$F:$F,'06. BC BH THEO CUSTOMER-USD'!$H6,'01. KE30'!$A:$A,'06. BC BH THEO CUSTOMER-USD'!DX$4)-SUMIFS('01. KE30'!$AA:$AA,'01. KE30'!$C:$C,'06. BC BH THEO CUSTOMER-USD'!$D6,'01. KE30'!$F:$F,'06. BC BH THEO CUSTOMER-USD'!$H6,'01. KE30'!$A:$A,'06. BC BH THEO CUSTOMER-USD'!DX$4),"-")</f>
        <v>201116.46786682145</v>
      </c>
      <c r="DY6" s="114">
        <f>IFERROR(SUMIFS('01. KE30'!$X:$X,'01. KE30'!$C:$C,'06. BC BH THEO CUSTOMER-USD'!$D6,'01. KE30'!$F:$F,'06. BC BH THEO CUSTOMER-USD'!$H6,'01. KE30'!$A:$A,'06. BC BH THEO CUSTOMER-USD'!DY$4)-SUMIFS('01. KE30'!$AA:$AA,'01. KE30'!$C:$C,'06. BC BH THEO CUSTOMER-USD'!$D6,'01. KE30'!$F:$F,'06. BC BH THEO CUSTOMER-USD'!$H6,'01. KE30'!$A:$A,'06. BC BH THEO CUSTOMER-USD'!DY$4),"-")</f>
        <v>177878.35850734706</v>
      </c>
      <c r="DZ6" s="114">
        <f>IFERROR(SUMIFS('01. KE30'!$X:$X,'01. KE30'!$C:$C,'06. BC BH THEO CUSTOMER-USD'!$D6,'01. KE30'!$F:$F,'06. BC BH THEO CUSTOMER-USD'!$H6,'01. KE30'!$A:$A,'06. BC BH THEO CUSTOMER-USD'!DZ$4)-SUMIFS('01. KE30'!$AA:$AA,'01. KE30'!$C:$C,'06. BC BH THEO CUSTOMER-USD'!$D6,'01. KE30'!$F:$F,'06. BC BH THEO CUSTOMER-USD'!$H6,'01. KE30'!$A:$A,'06. BC BH THEO CUSTOMER-USD'!DZ$4),"-")</f>
        <v>82681.376311728382</v>
      </c>
      <c r="EA6" s="114">
        <f>IFERROR(SUMIFS('01. KE30'!$X:$X,'01. KE30'!$C:$C,'06. BC BH THEO CUSTOMER-USD'!$D6,'01. KE30'!$F:$F,'06. BC BH THEO CUSTOMER-USD'!$H6,'01. KE30'!$A:$A,'06. BC BH THEO CUSTOMER-USD'!EA$4)-SUMIFS('01. KE30'!$AA:$AA,'01. KE30'!$C:$C,'06. BC BH THEO CUSTOMER-USD'!$D6,'01. KE30'!$F:$F,'06. BC BH THEO CUSTOMER-USD'!$H6,'01. KE30'!$A:$A,'06. BC BH THEO CUSTOMER-USD'!EA$4),"-")</f>
        <v>156406.15920092189</v>
      </c>
      <c r="EB6" s="114">
        <f>IFERROR(SUMIFS('01. KE30'!$X:$X,'01. KE30'!$C:$C,'06. BC BH THEO CUSTOMER-USD'!$D6,'01. KE30'!$F:$F,'06. BC BH THEO CUSTOMER-USD'!$H6,'01. KE30'!$A:$A,'06. BC BH THEO CUSTOMER-USD'!EB$4)-SUMIFS('01. KE30'!$AA:$AA,'01. KE30'!$C:$C,'06. BC BH THEO CUSTOMER-USD'!$D6,'01. KE30'!$F:$F,'06. BC BH THEO CUSTOMER-USD'!$H6,'01. KE30'!$A:$A,'06. BC BH THEO CUSTOMER-USD'!EB$4),"-")</f>
        <v>86097.925019098446</v>
      </c>
      <c r="EC6" s="114">
        <f>IFERROR(SUMIFS('01. KE30'!$X:$X,'01. KE30'!$C:$C,'06. BC BH THEO CUSTOMER-USD'!$D6,'01. KE30'!$F:$F,'06. BC BH THEO CUSTOMER-USD'!$H6,'01. KE30'!$A:$A,'06. BC BH THEO CUSTOMER-USD'!EC$4)-SUMIFS('01. KE30'!$AA:$AA,'01. KE30'!$C:$C,'06. BC BH THEO CUSTOMER-USD'!$D6,'01. KE30'!$F:$F,'06. BC BH THEO CUSTOMER-USD'!$H6,'01. KE30'!$A:$A,'06. BC BH THEO CUSTOMER-USD'!EC$4),"-")</f>
        <v>96368.948876190465</v>
      </c>
      <c r="ED6" s="114">
        <f>IFERROR(SUMIFS('01. KE30'!$X:$X,'01. KE30'!$C:$C,'06. BC BH THEO CUSTOMER-USD'!$D6,'01. KE30'!$F:$F,'06. BC BH THEO CUSTOMER-USD'!$H6,'01. KE30'!$A:$A,'06. BC BH THEO CUSTOMER-USD'!ED$4)-SUMIFS('01. KE30'!$AA:$AA,'01. KE30'!$C:$C,'06. BC BH THEO CUSTOMER-USD'!$D6,'01. KE30'!$F:$F,'06. BC BH THEO CUSTOMER-USD'!$H6,'01. KE30'!$A:$A,'06. BC BH THEO CUSTOMER-USD'!ED$4),"-")</f>
        <v>0</v>
      </c>
      <c r="EE6" s="114">
        <f>IFERROR(SUMIFS('01. KE30'!$X:$X,'01. KE30'!$C:$C,'06. BC BH THEO CUSTOMER-USD'!$D6,'01. KE30'!$F:$F,'06. BC BH THEO CUSTOMER-USD'!$H6,'01. KE30'!$A:$A,'06. BC BH THEO CUSTOMER-USD'!EE$4)-SUMIFS('01. KE30'!$AA:$AA,'01. KE30'!$C:$C,'06. BC BH THEO CUSTOMER-USD'!$D6,'01. KE30'!$F:$F,'06. BC BH THEO CUSTOMER-USD'!$H6,'01. KE30'!$A:$A,'06. BC BH THEO CUSTOMER-USD'!EE$4),"-")</f>
        <v>0</v>
      </c>
      <c r="EF6" s="114">
        <f>IFERROR(SUMIFS('01. KE30'!$X:$X,'01. KE30'!$C:$C,'06. BC BH THEO CUSTOMER-USD'!$D6,'01. KE30'!$F:$F,'06. BC BH THEO CUSTOMER-USD'!$H6,'01. KE30'!$A:$A,'06. BC BH THEO CUSTOMER-USD'!EF$4)-SUMIFS('01. KE30'!$AA:$AA,'01. KE30'!$C:$C,'06. BC BH THEO CUSTOMER-USD'!$D6,'01. KE30'!$F:$F,'06. BC BH THEO CUSTOMER-USD'!$H6,'01. KE30'!$A:$A,'06. BC BH THEO CUSTOMER-USD'!EF$4),"-")</f>
        <v>0</v>
      </c>
      <c r="EH6" s="571">
        <f t="shared" ref="EH6:EH78" si="29">IFERROR(DT6/DF6,"-")</f>
        <v>0.1229201894852424</v>
      </c>
      <c r="EI6" s="572">
        <f t="shared" ref="EI6:EI78" si="30">IFERROR(DU6/DG6,"-")</f>
        <v>0.14087200418310217</v>
      </c>
      <c r="EJ6" s="572">
        <f t="shared" ref="EJ6:EJ78" si="31">IFERROR(DV6/DH6,"-")</f>
        <v>0.19599394461565017</v>
      </c>
      <c r="EK6" s="572">
        <f t="shared" ref="EK6:EK78" si="32">IFERROR(DW6/DI6,"-")</f>
        <v>0.14614321618606921</v>
      </c>
      <c r="EL6" s="572">
        <f t="shared" ref="EL6:EL78" si="33">IFERROR(DX6/DJ6,"-")</f>
        <v>0.11746905877650024</v>
      </c>
      <c r="EM6" s="572">
        <f t="shared" ref="EM6:EM78" si="34">IFERROR(DY6/DK6,"-")</f>
        <v>0.11071577145776171</v>
      </c>
      <c r="EN6" s="572">
        <f t="shared" ref="EN6:EN78" si="35">IFERROR(DZ6/DL6,"-")</f>
        <v>9.0310753509226599E-2</v>
      </c>
      <c r="EO6" s="572">
        <f t="shared" ref="EO6:EO78" si="36">IFERROR(EA6/DM6,"-")</f>
        <v>7.6516018906072847E-2</v>
      </c>
      <c r="EP6" s="572">
        <f t="shared" ref="EP6:EP78" si="37">IFERROR(EB6/DN6,"-")</f>
        <v>6.1140005794740653E-2</v>
      </c>
      <c r="EQ6" s="572">
        <f t="shared" ref="EQ6:EQ78" si="38">IFERROR(EC6/DO6,"-")</f>
        <v>0.12515774358261858</v>
      </c>
      <c r="ER6" s="572" t="str">
        <f t="shared" ref="ER6:ER78" si="39">IFERROR(ED6/DP6,"-")</f>
        <v>-</v>
      </c>
      <c r="ES6" s="572" t="str">
        <f t="shared" ref="ES6:ES78" si="40">IFERROR(EE6/DQ6,"-")</f>
        <v>-</v>
      </c>
      <c r="ET6" s="572" t="str">
        <f t="shared" ref="ET6:ET78" si="41">IFERROR(EF6/DR6,"-")</f>
        <v>-</v>
      </c>
    </row>
    <row r="7" spans="1:150" ht="15.5" hidden="1" outlineLevel="1" x14ac:dyDescent="0.35">
      <c r="A7" s="27">
        <f>A6+1</f>
        <v>2</v>
      </c>
      <c r="B7" s="27" t="s">
        <v>283</v>
      </c>
      <c r="C7" s="442" t="s">
        <v>501</v>
      </c>
      <c r="D7" s="9" t="s">
        <v>165</v>
      </c>
      <c r="E7" s="36" t="s">
        <v>164</v>
      </c>
      <c r="F7" s="36" t="s">
        <v>175</v>
      </c>
      <c r="G7" s="12" t="str">
        <f>_xlfn.XLOOKUP(F7,'Quy đổi'!$G$5:$G$32,'Quy đổi'!$H$5:$H$32,0)</f>
        <v>Bắc Mỹ</v>
      </c>
      <c r="H7" s="76" t="s">
        <v>100</v>
      </c>
      <c r="I7" s="12" t="s">
        <v>99</v>
      </c>
      <c r="J7" s="6" t="s">
        <v>26</v>
      </c>
      <c r="K7" s="35" t="s">
        <v>113</v>
      </c>
      <c r="L7" s="92" t="str">
        <f t="shared" ref="L7:L79" si="42">IFERROR(AVERAGE(M7:X7),"-")</f>
        <v>-</v>
      </c>
      <c r="M7" s="106" t="str">
        <f>IFERROR(SUMIFS('01. KE30'!$K:$K,'01. KE30'!$C:$C,'06. BC BH THEO CUSTOMER-USD'!$D7,'01. KE30'!$F:$F,'06. BC BH THEO CUSTOMER-USD'!$H7,'01. KE30'!$A:$A,'06. BC BH THEO CUSTOMER-USD'!M$4)/'06. BC BH THEO CUSTOMER-USD'!CS7/'02. Tỷ giá'!B$5,"-")</f>
        <v>-</v>
      </c>
      <c r="N7" s="106" t="str">
        <f>IFERROR(SUMIFS('01. KE30'!$K:$K,'01. KE30'!$C:$C,'06. BC BH THEO CUSTOMER-USD'!$D7,'01. KE30'!$F:$F,'06. BC BH THEO CUSTOMER-USD'!$H7,'01. KE30'!$A:$A,'06. BC BH THEO CUSTOMER-USD'!N$4)/'06. BC BH THEO CUSTOMER-USD'!CT7/'02. Tỷ giá'!C$5,"-")</f>
        <v>-</v>
      </c>
      <c r="O7" s="106" t="str">
        <f>IFERROR(SUMIFS('01. KE30'!$K:$K,'01. KE30'!$C:$C,'06. BC BH THEO CUSTOMER-USD'!$D7,'01. KE30'!$F:$F,'06. BC BH THEO CUSTOMER-USD'!$H7,'01. KE30'!$A:$A,'06. BC BH THEO CUSTOMER-USD'!O$4)/'06. BC BH THEO CUSTOMER-USD'!CU7/'02. Tỷ giá'!D$5,"-")</f>
        <v>-</v>
      </c>
      <c r="P7" s="106" t="str">
        <f>IFERROR(SUMIFS('01. KE30'!$K:$K,'01. KE30'!$C:$C,'06. BC BH THEO CUSTOMER-USD'!$D7,'01. KE30'!$F:$F,'06. BC BH THEO CUSTOMER-USD'!$H7,'01. KE30'!$A:$A,'06. BC BH THEO CUSTOMER-USD'!P$4)/'06. BC BH THEO CUSTOMER-USD'!CV7/'02. Tỷ giá'!E$5,"-")</f>
        <v>-</v>
      </c>
      <c r="Q7" s="106" t="str">
        <f>IFERROR(SUMIFS('01. KE30'!$K:$K,'01. KE30'!$C:$C,'06. BC BH THEO CUSTOMER-USD'!$D7,'01. KE30'!$F:$F,'06. BC BH THEO CUSTOMER-USD'!$H7,'01. KE30'!$A:$A,'06. BC BH THEO CUSTOMER-USD'!Q$4)/'06. BC BH THEO CUSTOMER-USD'!CW7/'02. Tỷ giá'!F$5,"-")</f>
        <v>-</v>
      </c>
      <c r="R7" s="106" t="str">
        <f>IFERROR(SUMIFS('01. KE30'!$K:$K,'01. KE30'!$C:$C,'06. BC BH THEO CUSTOMER-USD'!$D7,'01. KE30'!$F:$F,'06. BC BH THEO CUSTOMER-USD'!$H7,'01. KE30'!$A:$A,'06. BC BH THEO CUSTOMER-USD'!R$4)/'06. BC BH THEO CUSTOMER-USD'!CX7/'02. Tỷ giá'!G$5,"-")</f>
        <v>-</v>
      </c>
      <c r="S7" s="106" t="str">
        <f>IFERROR(SUMIFS('01. KE30'!$K:$K,'01. KE30'!$C:$C,'06. BC BH THEO CUSTOMER-USD'!$D7,'01. KE30'!$F:$F,'06. BC BH THEO CUSTOMER-USD'!$H7,'01. KE30'!$A:$A,'06. BC BH THEO CUSTOMER-USD'!S$4)/'06. BC BH THEO CUSTOMER-USD'!CY7/'02. Tỷ giá'!H$5,"-")</f>
        <v>-</v>
      </c>
      <c r="T7" s="106" t="str">
        <f>IFERROR(SUMIFS('01. KE30'!$K:$K,'01. KE30'!$C:$C,'06. BC BH THEO CUSTOMER-USD'!$D7,'01. KE30'!$F:$F,'06. BC BH THEO CUSTOMER-USD'!$H7,'01. KE30'!$A:$A,'06. BC BH THEO CUSTOMER-USD'!T$4)/'06. BC BH THEO CUSTOMER-USD'!CZ7/'02. Tỷ giá'!I$5,"-")</f>
        <v>-</v>
      </c>
      <c r="U7" s="106" t="str">
        <f>IFERROR(SUMIFS('01. KE30'!$K:$K,'01. KE30'!$C:$C,'06. BC BH THEO CUSTOMER-USD'!$D7,'01. KE30'!$F:$F,'06. BC BH THEO CUSTOMER-USD'!$H7,'01. KE30'!$A:$A,'06. BC BH THEO CUSTOMER-USD'!U$4)/'06. BC BH THEO CUSTOMER-USD'!DA7/'02. Tỷ giá'!J$5,"-")</f>
        <v>-</v>
      </c>
      <c r="V7" s="106" t="str">
        <f>IFERROR(SUMIFS('01. KE30'!$K:$K,'01. KE30'!$C:$C,'06. BC BH THEO CUSTOMER-USD'!$D7,'01. KE30'!$F:$F,'06. BC BH THEO CUSTOMER-USD'!$H7,'01. KE30'!$A:$A,'06. BC BH THEO CUSTOMER-USD'!V$4)/'06. BC BH THEO CUSTOMER-USD'!DB7/'02. Tỷ giá'!K$5,"-")</f>
        <v>-</v>
      </c>
      <c r="W7" s="106" t="str">
        <f>IFERROR(SUMIFS('01. KE30'!$K:$K,'01. KE30'!$C:$C,'06. BC BH THEO CUSTOMER-USD'!$D7,'01. KE30'!$F:$F,'06. BC BH THEO CUSTOMER-USD'!$H7,'01. KE30'!$A:$A,'06. BC BH THEO CUSTOMER-USD'!W$4)/'06. BC BH THEO CUSTOMER-USD'!DC7/'02. Tỷ giá'!L$5,"-")</f>
        <v>-</v>
      </c>
      <c r="X7" s="106" t="str">
        <f>IFERROR(SUMIFS('01. KE30'!$K:$K,'01. KE30'!$C:$C,'06. BC BH THEO CUSTOMER-USD'!$D7,'01. KE30'!$F:$F,'06. BC BH THEO CUSTOMER-USD'!$H7,'01. KE30'!$A:$A,'06. BC BH THEO CUSTOMER-USD'!X$4)/'06. BC BH THEO CUSTOMER-USD'!DD7/'02. Tỷ giá'!M$5,"-")</f>
        <v>-</v>
      </c>
      <c r="Z7" s="92" t="str">
        <f t="shared" ref="Z7:Z79" si="43">IFERROR(AVERAGE(AA7:AL7),"-")</f>
        <v>-</v>
      </c>
      <c r="AA7" s="147" t="str">
        <f>IFERROR(SUMIFS('01. KE30'!$O:$O,'01. KE30'!$C:$C,'06. BC BH THEO CUSTOMER-USD'!$D7,'01. KE30'!$F:$F,'06. BC BH THEO CUSTOMER-USD'!$H7,'01. KE30'!$A:$A,'06. BC BH THEO CUSTOMER-USD'!M$4)/'06. BC BH THEO CUSTOMER-USD'!CS7/'02. Tỷ giá'!B$5,"-")</f>
        <v>-</v>
      </c>
      <c r="AB7" s="147" t="str">
        <f>IFERROR(SUMIFS('01. KE30'!$O:$O,'01. KE30'!$C:$C,'06. BC BH THEO CUSTOMER-USD'!$D7,'01. KE30'!$F:$F,'06. BC BH THEO CUSTOMER-USD'!$H7,'01. KE30'!$A:$A,'06. BC BH THEO CUSTOMER-USD'!N$4)/'06. BC BH THEO CUSTOMER-USD'!CT7/'02. Tỷ giá'!C$5,"-")</f>
        <v>-</v>
      </c>
      <c r="AC7" s="147" t="str">
        <f>IFERROR(SUMIFS('01. KE30'!$O:$O,'01. KE30'!$C:$C,'06. BC BH THEO CUSTOMER-USD'!$D7,'01. KE30'!$F:$F,'06. BC BH THEO CUSTOMER-USD'!$H7,'01. KE30'!$A:$A,'06. BC BH THEO CUSTOMER-USD'!O$4)/'06. BC BH THEO CUSTOMER-USD'!CU7/'02. Tỷ giá'!D$5,"-")</f>
        <v>-</v>
      </c>
      <c r="AD7" s="147" t="str">
        <f>IFERROR(SUMIFS('01. KE30'!$O:$O,'01. KE30'!$C:$C,'06. BC BH THEO CUSTOMER-USD'!$D7,'01. KE30'!$F:$F,'06. BC BH THEO CUSTOMER-USD'!$H7,'01. KE30'!$A:$A,'06. BC BH THEO CUSTOMER-USD'!P$4)/'06. BC BH THEO CUSTOMER-USD'!CV7/'02. Tỷ giá'!E$5,"-")</f>
        <v>-</v>
      </c>
      <c r="AE7" s="147" t="str">
        <f>IFERROR(SUMIFS('01. KE30'!$O:$O,'01. KE30'!$C:$C,'06. BC BH THEO CUSTOMER-USD'!$D7,'01. KE30'!$F:$F,'06. BC BH THEO CUSTOMER-USD'!$H7,'01. KE30'!$A:$A,'06. BC BH THEO CUSTOMER-USD'!Q$4)/'06. BC BH THEO CUSTOMER-USD'!CW7/'02. Tỷ giá'!F$5,"-")</f>
        <v>-</v>
      </c>
      <c r="AF7" s="147" t="str">
        <f>IFERROR(SUMIFS('01. KE30'!$O:$O,'01. KE30'!$C:$C,'06. BC BH THEO CUSTOMER-USD'!$D7,'01. KE30'!$F:$F,'06. BC BH THEO CUSTOMER-USD'!$H7,'01. KE30'!$A:$A,'06. BC BH THEO CUSTOMER-USD'!R$4)/'06. BC BH THEO CUSTOMER-USD'!CX7/'02. Tỷ giá'!G$5,"-")</f>
        <v>-</v>
      </c>
      <c r="AG7" s="147" t="str">
        <f>IFERROR(SUMIFS('01. KE30'!$O:$O,'01. KE30'!$C:$C,'06. BC BH THEO CUSTOMER-USD'!$D7,'01. KE30'!$F:$F,'06. BC BH THEO CUSTOMER-USD'!$H7,'01. KE30'!$A:$A,'06. BC BH THEO CUSTOMER-USD'!S$4)/'06. BC BH THEO CUSTOMER-USD'!CY7/'02. Tỷ giá'!H$5,"-")</f>
        <v>-</v>
      </c>
      <c r="AH7" s="147" t="str">
        <f>IFERROR(SUMIFS('01. KE30'!$O:$O,'01. KE30'!$C:$C,'06. BC BH THEO CUSTOMER-USD'!$D7,'01. KE30'!$F:$F,'06. BC BH THEO CUSTOMER-USD'!$H7,'01. KE30'!$A:$A,'06. BC BH THEO CUSTOMER-USD'!T$4)/'06. BC BH THEO CUSTOMER-USD'!CZ7/'02. Tỷ giá'!I$5,"-")</f>
        <v>-</v>
      </c>
      <c r="AI7" s="147" t="str">
        <f>IFERROR(SUMIFS('01. KE30'!$O:$O,'01. KE30'!$C:$C,'06. BC BH THEO CUSTOMER-USD'!$D7,'01. KE30'!$F:$F,'06. BC BH THEO CUSTOMER-USD'!$H7,'01. KE30'!$A:$A,'06. BC BH THEO CUSTOMER-USD'!U$4)/'06. BC BH THEO CUSTOMER-USD'!DA7/'02. Tỷ giá'!J$5,"-")</f>
        <v>-</v>
      </c>
      <c r="AJ7" s="147" t="str">
        <f>IFERROR(SUMIFS('01. KE30'!$O:$O,'01. KE30'!$C:$C,'06. BC BH THEO CUSTOMER-USD'!$D7,'01. KE30'!$F:$F,'06. BC BH THEO CUSTOMER-USD'!$H7,'01. KE30'!$A:$A,'06. BC BH THEO CUSTOMER-USD'!V$4)/'06. BC BH THEO CUSTOMER-USD'!DB7/'02. Tỷ giá'!K$5,"-")</f>
        <v>-</v>
      </c>
      <c r="AK7" s="147" t="str">
        <f>IFERROR(SUMIFS('01. KE30'!$O:$O,'01. KE30'!$C:$C,'06. BC BH THEO CUSTOMER-USD'!$D7,'01. KE30'!$F:$F,'06. BC BH THEO CUSTOMER-USD'!$H7,'01. KE30'!$A:$A,'06. BC BH THEO CUSTOMER-USD'!W$4)/'06. BC BH THEO CUSTOMER-USD'!DC7/'02. Tỷ giá'!L$5,"-")</f>
        <v>-</v>
      </c>
      <c r="AL7" s="147" t="str">
        <f>IFERROR(SUMIFS('01. KE30'!$O:$O,'01. KE30'!$C:$C,'06. BC BH THEO CUSTOMER-USD'!$D7,'01. KE30'!$F:$F,'06. BC BH THEO CUSTOMER-USD'!$H7,'01. KE30'!$A:$A,'06. BC BH THEO CUSTOMER-USD'!X$4)/'06. BC BH THEO CUSTOMER-USD'!DD7/'02. Tỷ giá'!M$5,"-")</f>
        <v>-</v>
      </c>
      <c r="AN7" s="92">
        <f t="shared" ref="AN7:AN79" si="44">IFERROR(AVERAGE(AO7:AZ7),"-")</f>
        <v>1266.6666666666667</v>
      </c>
      <c r="AO7" s="25">
        <v>1260</v>
      </c>
      <c r="AP7" s="25">
        <v>1260</v>
      </c>
      <c r="AQ7" s="4">
        <v>1260</v>
      </c>
      <c r="AR7" s="4">
        <f>AQ7+20</f>
        <v>1280</v>
      </c>
      <c r="AS7" s="4">
        <v>1280</v>
      </c>
      <c r="AT7" s="4">
        <v>1280</v>
      </c>
      <c r="AU7" s="4">
        <v>1280</v>
      </c>
      <c r="AV7" s="4">
        <f>AU7-30</f>
        <v>1250</v>
      </c>
      <c r="AW7" s="25">
        <v>1250</v>
      </c>
      <c r="AX7" s="25"/>
      <c r="AY7" s="4"/>
      <c r="AZ7" s="4"/>
      <c r="BB7" s="95" t="str">
        <f t="shared" ref="BB7:BB79" si="45">IF(L7&lt;&gt;"-",Z7-AN7,"-")</f>
        <v>-</v>
      </c>
      <c r="BC7" s="95" t="str">
        <f t="shared" ref="BC7:BC41" si="46">IF(M7&lt;&gt;"-",AA7-AO7,"-")</f>
        <v>-</v>
      </c>
      <c r="BD7" s="95" t="str">
        <f t="shared" si="6"/>
        <v>-</v>
      </c>
      <c r="BE7" s="95" t="str">
        <f t="shared" si="6"/>
        <v>-</v>
      </c>
      <c r="BF7" s="95" t="str">
        <f t="shared" si="6"/>
        <v>-</v>
      </c>
      <c r="BG7" s="95" t="str">
        <f t="shared" si="6"/>
        <v>-</v>
      </c>
      <c r="BH7" s="95" t="str">
        <f t="shared" si="6"/>
        <v>-</v>
      </c>
      <c r="BI7" s="95" t="str">
        <f t="shared" si="6"/>
        <v>-</v>
      </c>
      <c r="BJ7" s="95" t="str">
        <f t="shared" si="6"/>
        <v>-</v>
      </c>
      <c r="BK7" s="95" t="str">
        <f t="shared" si="6"/>
        <v>-</v>
      </c>
      <c r="BL7" s="95" t="str">
        <f t="shared" si="6"/>
        <v>-</v>
      </c>
      <c r="BM7" s="95" t="str">
        <f t="shared" si="6"/>
        <v>-</v>
      </c>
      <c r="BN7" s="95" t="str">
        <f t="shared" si="6"/>
        <v>-</v>
      </c>
      <c r="BP7" s="143" t="str">
        <f t="shared" ref="BP7:BP79" si="47">IFERROR(IF(BB7&lt;&gt;"-",BB7/AN7,"-"),"-")</f>
        <v>-</v>
      </c>
      <c r="BQ7" s="143" t="str">
        <f t="shared" si="8"/>
        <v>-</v>
      </c>
      <c r="BR7" s="143" t="str">
        <f t="shared" si="9"/>
        <v>-</v>
      </c>
      <c r="BS7" s="143" t="str">
        <f t="shared" si="10"/>
        <v>-</v>
      </c>
      <c r="BT7" s="143" t="str">
        <f t="shared" si="11"/>
        <v>-</v>
      </c>
      <c r="BU7" s="143" t="str">
        <f t="shared" si="12"/>
        <v>-</v>
      </c>
      <c r="BV7" s="143" t="str">
        <f t="shared" si="13"/>
        <v>-</v>
      </c>
      <c r="BW7" s="143" t="str">
        <f t="shared" si="14"/>
        <v>-</v>
      </c>
      <c r="BX7" s="143" t="str">
        <f t="shared" si="15"/>
        <v>-</v>
      </c>
      <c r="BY7" s="143" t="str">
        <f t="shared" si="16"/>
        <v>-</v>
      </c>
      <c r="BZ7" s="143" t="str">
        <f t="shared" si="17"/>
        <v>-</v>
      </c>
      <c r="CA7" s="143" t="str">
        <f t="shared" si="18"/>
        <v>-</v>
      </c>
      <c r="CB7" s="143" t="str">
        <f t="shared" si="19"/>
        <v>-</v>
      </c>
      <c r="CD7" s="112" t="str">
        <f t="shared" si="25"/>
        <v>-</v>
      </c>
      <c r="CE7" s="95" t="str">
        <f>IFERROR(SUMIFS('01. KE30'!$R:$R,'01. KE30'!$C:$C,'06. BC BH THEO CUSTOMER-USD'!$D7,'01. KE30'!$F:$F,'06. BC BH THEO CUSTOMER-USD'!$H7,'01. KE30'!$A:$A,'06. BC BH THEO CUSTOMER-USD'!CE$4)/CS7/'02. Tỷ giá'!B$5," -")</f>
        <v xml:space="preserve"> -</v>
      </c>
      <c r="CF7" s="95" t="str">
        <f>IFERROR(SUMIFS('01. KE30'!$R:$R,'01. KE30'!$C:$C,'06. BC BH THEO CUSTOMER-USD'!$D7,'01. KE30'!$F:$F,'06. BC BH THEO CUSTOMER-USD'!$H7,'01. KE30'!$A:$A,'06. BC BH THEO CUSTOMER-USD'!CF$4)/CT7/'02. Tỷ giá'!C$5," -")</f>
        <v xml:space="preserve"> -</v>
      </c>
      <c r="CG7" s="95" t="str">
        <f>IFERROR(SUMIFS('01. KE30'!$R:$R,'01. KE30'!$C:$C,'06. BC BH THEO CUSTOMER-USD'!$D7,'01. KE30'!$F:$F,'06. BC BH THEO CUSTOMER-USD'!$H7,'01. KE30'!$A:$A,'06. BC BH THEO CUSTOMER-USD'!CG$4)/CU7/'02. Tỷ giá'!D$5," -")</f>
        <v xml:space="preserve"> -</v>
      </c>
      <c r="CH7" s="95" t="str">
        <f>IFERROR(SUMIFS('01. KE30'!$R:$R,'01. KE30'!$C:$C,'06. BC BH THEO CUSTOMER-USD'!$D7,'01. KE30'!$F:$F,'06. BC BH THEO CUSTOMER-USD'!$H7,'01. KE30'!$A:$A,'06. BC BH THEO CUSTOMER-USD'!CH$4)/CV7/'02. Tỷ giá'!E$5," -")</f>
        <v xml:space="preserve"> -</v>
      </c>
      <c r="CI7" s="95" t="str">
        <f>IFERROR(SUMIFS('01. KE30'!$R:$R,'01. KE30'!$C:$C,'06. BC BH THEO CUSTOMER-USD'!$D7,'01. KE30'!$F:$F,'06. BC BH THEO CUSTOMER-USD'!$H7,'01. KE30'!$A:$A,'06. BC BH THEO CUSTOMER-USD'!CI$4)/CW7/'02. Tỷ giá'!F$5," -")</f>
        <v xml:space="preserve"> -</v>
      </c>
      <c r="CJ7" s="95" t="str">
        <f>IFERROR(SUMIFS('01. KE30'!$R:$R,'01. KE30'!$C:$C,'06. BC BH THEO CUSTOMER-USD'!$D7,'01. KE30'!$F:$F,'06. BC BH THEO CUSTOMER-USD'!$H7,'01. KE30'!$A:$A,'06. BC BH THEO CUSTOMER-USD'!CJ$4)/CX7/'02. Tỷ giá'!G$5," -")</f>
        <v xml:space="preserve"> -</v>
      </c>
      <c r="CK7" s="95" t="str">
        <f>IFERROR(SUMIFS('01. KE30'!$R:$R,'01. KE30'!$C:$C,'06. BC BH THEO CUSTOMER-USD'!$D7,'01. KE30'!$F:$F,'06. BC BH THEO CUSTOMER-USD'!$H7,'01. KE30'!$A:$A,'06. BC BH THEO CUSTOMER-USD'!CK$4)/CY7/'02. Tỷ giá'!H$5," -")</f>
        <v xml:space="preserve"> -</v>
      </c>
      <c r="CL7" s="95" t="str">
        <f>IFERROR(SUMIFS('01. KE30'!$R:$R,'01. KE30'!$C:$C,'06. BC BH THEO CUSTOMER-USD'!$D7,'01. KE30'!$F:$F,'06. BC BH THEO CUSTOMER-USD'!$H7,'01. KE30'!$A:$A,'06. BC BH THEO CUSTOMER-USD'!CL$4)/CZ7/'02. Tỷ giá'!I$5," -")</f>
        <v xml:space="preserve"> -</v>
      </c>
      <c r="CM7" s="95" t="str">
        <f>IFERROR(SUMIFS('01. KE30'!$R:$R,'01. KE30'!$C:$C,'06. BC BH THEO CUSTOMER-USD'!$D7,'01. KE30'!$F:$F,'06. BC BH THEO CUSTOMER-USD'!$H7,'01. KE30'!$A:$A,'06. BC BH THEO CUSTOMER-USD'!CM$4)/DA7/'02. Tỷ giá'!J$5," -")</f>
        <v xml:space="preserve"> -</v>
      </c>
      <c r="CN7" s="95" t="str">
        <f>IFERROR(SUMIFS('01. KE30'!$R:$R,'01. KE30'!$C:$C,'06. BC BH THEO CUSTOMER-USD'!$D7,'01. KE30'!$F:$F,'06. BC BH THEO CUSTOMER-USD'!$H7,'01. KE30'!$A:$A,'06. BC BH THEO CUSTOMER-USD'!CN$4)/DB7/'02. Tỷ giá'!K$5," -")</f>
        <v xml:space="preserve"> -</v>
      </c>
      <c r="CO7" s="95" t="str">
        <f>IFERROR(SUMIFS('01. KE30'!$R:$R,'01. KE30'!$C:$C,'06. BC BH THEO CUSTOMER-USD'!$D7,'01. KE30'!$F:$F,'06. BC BH THEO CUSTOMER-USD'!$H7,'01. KE30'!$A:$A,'06. BC BH THEO CUSTOMER-USD'!CO$4)/DC7/'02. Tỷ giá'!L$5," -")</f>
        <v xml:space="preserve"> -</v>
      </c>
      <c r="CP7" s="95" t="str">
        <f>IFERROR(SUMIFS('01. KE30'!$R:$R,'01. KE30'!$C:$C,'06. BC BH THEO CUSTOMER-USD'!$D7,'01. KE30'!$F:$F,'06. BC BH THEO CUSTOMER-USD'!$H7,'01. KE30'!$A:$A,'06. BC BH THEO CUSTOMER-USD'!CP$4)/DD7/'02. Tỷ giá'!M$5," -")</f>
        <v xml:space="preserve"> -</v>
      </c>
      <c r="CR7" s="112">
        <f t="shared" si="26"/>
        <v>0</v>
      </c>
      <c r="CS7" s="114">
        <f>SUMIFS('01. KE30'!$I:$I,'01. KE30'!$C:$C,'06. BC BH THEO CUSTOMER-USD'!$D7,'01. KE30'!$F:$F,'06. BC BH THEO CUSTOMER-USD'!$H7,'01. KE30'!$A:$A,'06. BC BH THEO CUSTOMER-USD'!CS$4)/1000</f>
        <v>0</v>
      </c>
      <c r="CT7" s="114">
        <f>SUMIFS('01. KE30'!$I:$I,'01. KE30'!$C:$C,'06. BC BH THEO CUSTOMER-USD'!$D7,'01. KE30'!$F:$F,'06. BC BH THEO CUSTOMER-USD'!$H7,'01. KE30'!$A:$A,'06. BC BH THEO CUSTOMER-USD'!CT$4)/1000</f>
        <v>0</v>
      </c>
      <c r="CU7" s="114">
        <f>SUMIFS('01. KE30'!$I:$I,'01. KE30'!$C:$C,'06. BC BH THEO CUSTOMER-USD'!$D7,'01. KE30'!$F:$F,'06. BC BH THEO CUSTOMER-USD'!$H7,'01. KE30'!$A:$A,'06. BC BH THEO CUSTOMER-USD'!CU$4)/1000</f>
        <v>0</v>
      </c>
      <c r="CV7" s="114">
        <f>SUMIFS('01. KE30'!$I:$I,'01. KE30'!$C:$C,'06. BC BH THEO CUSTOMER-USD'!$D7,'01. KE30'!$F:$F,'06. BC BH THEO CUSTOMER-USD'!$H7,'01. KE30'!$A:$A,'06. BC BH THEO CUSTOMER-USD'!CV$4)/1000</f>
        <v>0</v>
      </c>
      <c r="CW7" s="114">
        <f>SUMIFS('01. KE30'!$I:$I,'01. KE30'!$C:$C,'06. BC BH THEO CUSTOMER-USD'!$D7,'01. KE30'!$F:$F,'06. BC BH THEO CUSTOMER-USD'!$H7,'01. KE30'!$A:$A,'06. BC BH THEO CUSTOMER-USD'!CW$4)/1000</f>
        <v>0</v>
      </c>
      <c r="CX7" s="114">
        <f>SUMIFS('01. KE30'!$I:$I,'01. KE30'!$C:$C,'06. BC BH THEO CUSTOMER-USD'!$D7,'01. KE30'!$F:$F,'06. BC BH THEO CUSTOMER-USD'!$H7,'01. KE30'!$A:$A,'06. BC BH THEO CUSTOMER-USD'!CX$4)/1000</f>
        <v>0</v>
      </c>
      <c r="CY7" s="114">
        <f>SUMIFS('01. KE30'!$I:$I,'01. KE30'!$C:$C,'06. BC BH THEO CUSTOMER-USD'!$D7,'01. KE30'!$F:$F,'06. BC BH THEO CUSTOMER-USD'!$H7,'01. KE30'!$A:$A,'06. BC BH THEO CUSTOMER-USD'!CY$4)/1000</f>
        <v>0</v>
      </c>
      <c r="CZ7" s="114">
        <f>SUMIFS('01. KE30'!$I:$I,'01. KE30'!$C:$C,'06. BC BH THEO CUSTOMER-USD'!$D7,'01. KE30'!$F:$F,'06. BC BH THEO CUSTOMER-USD'!$H7,'01. KE30'!$A:$A,'06. BC BH THEO CUSTOMER-USD'!CZ$4)/1000</f>
        <v>0</v>
      </c>
      <c r="DA7" s="114">
        <f>SUMIFS('01. KE30'!$I:$I,'01. KE30'!$C:$C,'06. BC BH THEO CUSTOMER-USD'!$D7,'01. KE30'!$F:$F,'06. BC BH THEO CUSTOMER-USD'!$H7,'01. KE30'!$A:$A,'06. BC BH THEO CUSTOMER-USD'!DA$4)/1000</f>
        <v>0</v>
      </c>
      <c r="DB7" s="114">
        <f>SUMIFS('01. KE30'!$I:$I,'01. KE30'!$C:$C,'06. BC BH THEO CUSTOMER-USD'!$D7,'01. KE30'!$F:$F,'06. BC BH THEO CUSTOMER-USD'!$H7,'01. KE30'!$A:$A,'06. BC BH THEO CUSTOMER-USD'!DB$4)/1000</f>
        <v>0</v>
      </c>
      <c r="DC7" s="114">
        <f>SUMIFS('01. KE30'!$I:$I,'01. KE30'!$C:$C,'06. BC BH THEO CUSTOMER-USD'!$D7,'01. KE30'!$F:$F,'06. BC BH THEO CUSTOMER-USD'!$H7,'01. KE30'!$A:$A,'06. BC BH THEO CUSTOMER-USD'!DC$4)/1000</f>
        <v>0</v>
      </c>
      <c r="DD7" s="114">
        <f>SUMIFS('01. KE30'!$I:$I,'01. KE30'!$C:$C,'06. BC BH THEO CUSTOMER-USD'!$D7,'01. KE30'!$F:$F,'06. BC BH THEO CUSTOMER-USD'!$H7,'01. KE30'!$A:$A,'06. BC BH THEO CUSTOMER-USD'!DD$4)/1000</f>
        <v>0</v>
      </c>
      <c r="DF7" s="112">
        <f t="shared" si="27"/>
        <v>0</v>
      </c>
      <c r="DG7" s="54" t="str">
        <f t="shared" ref="DG7:DG79" si="48">IFERROR(M7*CS7,"-")</f>
        <v>-</v>
      </c>
      <c r="DH7" s="54" t="str">
        <f t="shared" ref="DH7:DH79" si="49">IFERROR(N7*CT7,"-")</f>
        <v>-</v>
      </c>
      <c r="DI7" s="54" t="str">
        <f t="shared" ref="DI7:DI79" si="50">IFERROR(O7*CU7,"-")</f>
        <v>-</v>
      </c>
      <c r="DJ7" s="54" t="str">
        <f t="shared" ref="DJ7:DJ79" si="51">IFERROR(P7*CV7,"-")</f>
        <v>-</v>
      </c>
      <c r="DK7" s="54" t="str">
        <f t="shared" ref="DK7:DK79" si="52">IFERROR(Q7*CW7,"-")</f>
        <v>-</v>
      </c>
      <c r="DL7" s="54" t="str">
        <f t="shared" ref="DL7:DL79" si="53">IFERROR(R7*CX7,"-")</f>
        <v>-</v>
      </c>
      <c r="DM7" s="54" t="str">
        <f t="shared" ref="DM7:DM79" si="54">IFERROR(S7*CY7,"-")</f>
        <v>-</v>
      </c>
      <c r="DN7" s="54" t="str">
        <f t="shared" ref="DN7:DN79" si="55">IFERROR(T7*CZ7,"-")</f>
        <v>-</v>
      </c>
      <c r="DO7" s="54" t="str">
        <f t="shared" ref="DO7:DO79" si="56">IFERROR(U7*DA7,"-")</f>
        <v>-</v>
      </c>
      <c r="DP7" s="54" t="str">
        <f t="shared" ref="DP7:DP79" si="57">IFERROR(V7*DB7,"-")</f>
        <v>-</v>
      </c>
      <c r="DQ7" s="54" t="str">
        <f t="shared" ref="DQ7:DQ79" si="58">IFERROR(W7*DC7,"-")</f>
        <v>-</v>
      </c>
      <c r="DR7" s="54" t="str">
        <f t="shared" ref="DR7:DR79" si="59">IFERROR(X7*DD7,"-")</f>
        <v>-</v>
      </c>
      <c r="DT7" s="112">
        <f t="shared" ref="DT7:DT79" si="60">SUM(DU7:EF7)</f>
        <v>0</v>
      </c>
      <c r="DU7" s="114">
        <f>IFERROR(SUMIFS('01. KE30'!$X:$X,'01. KE30'!$C:$C,'06. BC BH THEO CUSTOMER-USD'!$D7,'01. KE30'!$F:$F,'06. BC BH THEO CUSTOMER-USD'!$H7,'01. KE30'!$A:$A,'06. BC BH THEO CUSTOMER-USD'!DU$4)-SUMIFS('01. KE30'!$AA:$AA,'01. KE30'!$C:$C,'06. BC BH THEO CUSTOMER-USD'!$D7,'01. KE30'!$F:$F,'06. BC BH THEO CUSTOMER-USD'!$H7,'01. KE30'!$A:$A,'06. BC BH THEO CUSTOMER-USD'!DU$4),"-")</f>
        <v>0</v>
      </c>
      <c r="DV7" s="114">
        <f>IFERROR(SUMIFS('01. KE30'!$X:$X,'01. KE30'!$C:$C,'06. BC BH THEO CUSTOMER-USD'!$D7,'01. KE30'!$F:$F,'06. BC BH THEO CUSTOMER-USD'!$H7,'01. KE30'!$A:$A,'06. BC BH THEO CUSTOMER-USD'!DV$4)-SUMIFS('01. KE30'!$AA:$AA,'01. KE30'!$C:$C,'06. BC BH THEO CUSTOMER-USD'!$D7,'01. KE30'!$F:$F,'06. BC BH THEO CUSTOMER-USD'!$H7,'01. KE30'!$A:$A,'06. BC BH THEO CUSTOMER-USD'!DV$4),"-")</f>
        <v>0</v>
      </c>
      <c r="DW7" s="114">
        <f>IFERROR(SUMIFS('01. KE30'!$X:$X,'01. KE30'!$C:$C,'06. BC BH THEO CUSTOMER-USD'!$D7,'01. KE30'!$F:$F,'06. BC BH THEO CUSTOMER-USD'!$H7,'01. KE30'!$A:$A,'06. BC BH THEO CUSTOMER-USD'!DW$4)-SUMIFS('01. KE30'!$AA:$AA,'01. KE30'!$C:$C,'06. BC BH THEO CUSTOMER-USD'!$D7,'01. KE30'!$F:$F,'06. BC BH THEO CUSTOMER-USD'!$H7,'01. KE30'!$A:$A,'06. BC BH THEO CUSTOMER-USD'!DW$4),"-")</f>
        <v>0</v>
      </c>
      <c r="DX7" s="114">
        <f>IFERROR(SUMIFS('01. KE30'!$X:$X,'01. KE30'!$C:$C,'06. BC BH THEO CUSTOMER-USD'!$D7,'01. KE30'!$F:$F,'06. BC BH THEO CUSTOMER-USD'!$H7,'01. KE30'!$A:$A,'06. BC BH THEO CUSTOMER-USD'!DX$4)-SUMIFS('01. KE30'!$AA:$AA,'01. KE30'!$C:$C,'06. BC BH THEO CUSTOMER-USD'!$D7,'01. KE30'!$F:$F,'06. BC BH THEO CUSTOMER-USD'!$H7,'01. KE30'!$A:$A,'06. BC BH THEO CUSTOMER-USD'!DX$4),"-")</f>
        <v>0</v>
      </c>
      <c r="DY7" s="114">
        <f>IFERROR(SUMIFS('01. KE30'!$X:$X,'01. KE30'!$C:$C,'06. BC BH THEO CUSTOMER-USD'!$D7,'01. KE30'!$F:$F,'06. BC BH THEO CUSTOMER-USD'!$H7,'01. KE30'!$A:$A,'06. BC BH THEO CUSTOMER-USD'!DY$4)-SUMIFS('01. KE30'!$AA:$AA,'01. KE30'!$C:$C,'06. BC BH THEO CUSTOMER-USD'!$D7,'01. KE30'!$F:$F,'06. BC BH THEO CUSTOMER-USD'!$H7,'01. KE30'!$A:$A,'06. BC BH THEO CUSTOMER-USD'!DY$4),"-")</f>
        <v>0</v>
      </c>
      <c r="DZ7" s="114">
        <f>IFERROR(SUMIFS('01. KE30'!$X:$X,'01. KE30'!$C:$C,'06. BC BH THEO CUSTOMER-USD'!$D7,'01. KE30'!$F:$F,'06. BC BH THEO CUSTOMER-USD'!$H7,'01. KE30'!$A:$A,'06. BC BH THEO CUSTOMER-USD'!DZ$4)-SUMIFS('01. KE30'!$AA:$AA,'01. KE30'!$C:$C,'06. BC BH THEO CUSTOMER-USD'!$D7,'01. KE30'!$F:$F,'06. BC BH THEO CUSTOMER-USD'!$H7,'01. KE30'!$A:$A,'06. BC BH THEO CUSTOMER-USD'!DZ$4),"-")</f>
        <v>0</v>
      </c>
      <c r="EA7" s="114">
        <f>IFERROR(SUMIFS('01. KE30'!$X:$X,'01. KE30'!$C:$C,'06. BC BH THEO CUSTOMER-USD'!$D7,'01. KE30'!$F:$F,'06. BC BH THEO CUSTOMER-USD'!$H7,'01. KE30'!$A:$A,'06. BC BH THEO CUSTOMER-USD'!EA$4)-SUMIFS('01. KE30'!$AA:$AA,'01. KE30'!$C:$C,'06. BC BH THEO CUSTOMER-USD'!$D7,'01. KE30'!$F:$F,'06. BC BH THEO CUSTOMER-USD'!$H7,'01. KE30'!$A:$A,'06. BC BH THEO CUSTOMER-USD'!EA$4),"-")</f>
        <v>0</v>
      </c>
      <c r="EB7" s="114">
        <f>IFERROR(SUMIFS('01. KE30'!$X:$X,'01. KE30'!$C:$C,'06. BC BH THEO CUSTOMER-USD'!$D7,'01. KE30'!$F:$F,'06. BC BH THEO CUSTOMER-USD'!$H7,'01. KE30'!$A:$A,'06. BC BH THEO CUSTOMER-USD'!EB$4)-SUMIFS('01. KE30'!$AA:$AA,'01. KE30'!$C:$C,'06. BC BH THEO CUSTOMER-USD'!$D7,'01. KE30'!$F:$F,'06. BC BH THEO CUSTOMER-USD'!$H7,'01. KE30'!$A:$A,'06. BC BH THEO CUSTOMER-USD'!EB$4),"-")</f>
        <v>0</v>
      </c>
      <c r="EC7" s="114">
        <f>IFERROR(SUMIFS('01. KE30'!$X:$X,'01. KE30'!$C:$C,'06. BC BH THEO CUSTOMER-USD'!$D7,'01. KE30'!$F:$F,'06. BC BH THEO CUSTOMER-USD'!$H7,'01. KE30'!$A:$A,'06. BC BH THEO CUSTOMER-USD'!EC$4)-SUMIFS('01. KE30'!$AA:$AA,'01. KE30'!$C:$C,'06. BC BH THEO CUSTOMER-USD'!$D7,'01. KE30'!$F:$F,'06. BC BH THEO CUSTOMER-USD'!$H7,'01. KE30'!$A:$A,'06. BC BH THEO CUSTOMER-USD'!EC$4),"-")</f>
        <v>0</v>
      </c>
      <c r="ED7" s="114">
        <f>IFERROR(SUMIFS('01. KE30'!$X:$X,'01. KE30'!$C:$C,'06. BC BH THEO CUSTOMER-USD'!$D7,'01. KE30'!$F:$F,'06. BC BH THEO CUSTOMER-USD'!$H7,'01. KE30'!$A:$A,'06. BC BH THEO CUSTOMER-USD'!ED$4)-SUMIFS('01. KE30'!$AA:$AA,'01. KE30'!$C:$C,'06. BC BH THEO CUSTOMER-USD'!$D7,'01. KE30'!$F:$F,'06. BC BH THEO CUSTOMER-USD'!$H7,'01. KE30'!$A:$A,'06. BC BH THEO CUSTOMER-USD'!ED$4),"-")</f>
        <v>0</v>
      </c>
      <c r="EE7" s="114">
        <f>IFERROR(SUMIFS('01. KE30'!$X:$X,'01. KE30'!$C:$C,'06. BC BH THEO CUSTOMER-USD'!$D7,'01. KE30'!$F:$F,'06. BC BH THEO CUSTOMER-USD'!$H7,'01. KE30'!$A:$A,'06. BC BH THEO CUSTOMER-USD'!EE$4)-SUMIFS('01. KE30'!$AA:$AA,'01. KE30'!$C:$C,'06. BC BH THEO CUSTOMER-USD'!$D7,'01. KE30'!$F:$F,'06. BC BH THEO CUSTOMER-USD'!$H7,'01. KE30'!$A:$A,'06. BC BH THEO CUSTOMER-USD'!EE$4),"-")</f>
        <v>0</v>
      </c>
      <c r="EF7" s="114">
        <f>IFERROR(SUMIFS('01. KE30'!$X:$X,'01. KE30'!$C:$C,'06. BC BH THEO CUSTOMER-USD'!$D7,'01. KE30'!$F:$F,'06. BC BH THEO CUSTOMER-USD'!$H7,'01. KE30'!$A:$A,'06. BC BH THEO CUSTOMER-USD'!EF$4)-SUMIFS('01. KE30'!$AA:$AA,'01. KE30'!$C:$C,'06. BC BH THEO CUSTOMER-USD'!$D7,'01. KE30'!$F:$F,'06. BC BH THEO CUSTOMER-USD'!$H7,'01. KE30'!$A:$A,'06. BC BH THEO CUSTOMER-USD'!EF$4),"-")</f>
        <v>0</v>
      </c>
      <c r="EH7" s="571" t="str">
        <f t="shared" si="29"/>
        <v>-</v>
      </c>
      <c r="EI7" s="572" t="str">
        <f t="shared" si="30"/>
        <v>-</v>
      </c>
      <c r="EJ7" s="572" t="str">
        <f t="shared" si="31"/>
        <v>-</v>
      </c>
      <c r="EK7" s="572" t="str">
        <f t="shared" si="32"/>
        <v>-</v>
      </c>
      <c r="EL7" s="572" t="str">
        <f t="shared" si="33"/>
        <v>-</v>
      </c>
      <c r="EM7" s="572" t="str">
        <f t="shared" si="34"/>
        <v>-</v>
      </c>
      <c r="EN7" s="572" t="str">
        <f t="shared" si="35"/>
        <v>-</v>
      </c>
      <c r="EO7" s="572" t="str">
        <f t="shared" si="36"/>
        <v>-</v>
      </c>
      <c r="EP7" s="572" t="str">
        <f t="shared" si="37"/>
        <v>-</v>
      </c>
      <c r="EQ7" s="572" t="str">
        <f t="shared" si="38"/>
        <v>-</v>
      </c>
      <c r="ER7" s="572" t="str">
        <f t="shared" si="39"/>
        <v>-</v>
      </c>
      <c r="ES7" s="572" t="str">
        <f t="shared" si="40"/>
        <v>-</v>
      </c>
      <c r="ET7" s="572" t="str">
        <f t="shared" si="41"/>
        <v>-</v>
      </c>
    </row>
    <row r="8" spans="1:150" ht="15.5" hidden="1" outlineLevel="1" x14ac:dyDescent="0.35">
      <c r="A8" s="27">
        <f>A7+1</f>
        <v>3</v>
      </c>
      <c r="B8" s="27" t="s">
        <v>283</v>
      </c>
      <c r="C8" s="442" t="s">
        <v>501</v>
      </c>
      <c r="D8" s="9" t="s">
        <v>163</v>
      </c>
      <c r="E8" s="36" t="s">
        <v>162</v>
      </c>
      <c r="F8" s="36" t="s">
        <v>229</v>
      </c>
      <c r="G8" s="12" t="str">
        <f>_xlfn.XLOOKUP(F8,'Quy đổi'!$G$5:$G$32,'Quy đổi'!$H$5:$H$32,0)</f>
        <v>Bắc Mỹ</v>
      </c>
      <c r="H8" s="77" t="s">
        <v>110</v>
      </c>
      <c r="I8" s="31" t="s">
        <v>109</v>
      </c>
      <c r="J8" s="13" t="s">
        <v>26</v>
      </c>
      <c r="K8" s="35" t="s">
        <v>113</v>
      </c>
      <c r="L8" s="92" t="str">
        <f t="shared" si="42"/>
        <v>-</v>
      </c>
      <c r="M8" s="106" t="str">
        <f>IFERROR(SUMIFS('01. KE30'!$K:$K,'01. KE30'!$C:$C,'06. BC BH THEO CUSTOMER-USD'!$D8,'01. KE30'!$F:$F,'06. BC BH THEO CUSTOMER-USD'!$H8,'01. KE30'!$A:$A,'06. BC BH THEO CUSTOMER-USD'!M$4)/'06. BC BH THEO CUSTOMER-USD'!CS8/'02. Tỷ giá'!B$5,"-")</f>
        <v>-</v>
      </c>
      <c r="N8" s="106" t="str">
        <f>IFERROR(SUMIFS('01. KE30'!$K:$K,'01. KE30'!$C:$C,'06. BC BH THEO CUSTOMER-USD'!$D8,'01. KE30'!$F:$F,'06. BC BH THEO CUSTOMER-USD'!$H8,'01. KE30'!$A:$A,'06. BC BH THEO CUSTOMER-USD'!N$4)/'06. BC BH THEO CUSTOMER-USD'!CT8/'02. Tỷ giá'!C$5,"-")</f>
        <v>-</v>
      </c>
      <c r="O8" s="106" t="str">
        <f>IFERROR(SUMIFS('01. KE30'!$K:$K,'01. KE30'!$C:$C,'06. BC BH THEO CUSTOMER-USD'!$D8,'01. KE30'!$F:$F,'06. BC BH THEO CUSTOMER-USD'!$H8,'01. KE30'!$A:$A,'06. BC BH THEO CUSTOMER-USD'!O$4)/'06. BC BH THEO CUSTOMER-USD'!CU8/'02. Tỷ giá'!D$5,"-")</f>
        <v>-</v>
      </c>
      <c r="P8" s="106" t="str">
        <f>IFERROR(SUMIFS('01. KE30'!$K:$K,'01. KE30'!$C:$C,'06. BC BH THEO CUSTOMER-USD'!$D8,'01. KE30'!$F:$F,'06. BC BH THEO CUSTOMER-USD'!$H8,'01. KE30'!$A:$A,'06. BC BH THEO CUSTOMER-USD'!P$4)/'06. BC BH THEO CUSTOMER-USD'!CV8/'02. Tỷ giá'!E$5,"-")</f>
        <v>-</v>
      </c>
      <c r="Q8" s="106" t="str">
        <f>IFERROR(SUMIFS('01. KE30'!$K:$K,'01. KE30'!$C:$C,'06. BC BH THEO CUSTOMER-USD'!$D8,'01. KE30'!$F:$F,'06. BC BH THEO CUSTOMER-USD'!$H8,'01. KE30'!$A:$A,'06. BC BH THEO CUSTOMER-USD'!Q$4)/'06. BC BH THEO CUSTOMER-USD'!CW8/'02. Tỷ giá'!F$5,"-")</f>
        <v>-</v>
      </c>
      <c r="R8" s="106" t="str">
        <f>IFERROR(SUMIFS('01. KE30'!$K:$K,'01. KE30'!$C:$C,'06. BC BH THEO CUSTOMER-USD'!$D8,'01. KE30'!$F:$F,'06. BC BH THEO CUSTOMER-USD'!$H8,'01. KE30'!$A:$A,'06. BC BH THEO CUSTOMER-USD'!R$4)/'06. BC BH THEO CUSTOMER-USD'!CX8/'02. Tỷ giá'!G$5,"-")</f>
        <v>-</v>
      </c>
      <c r="S8" s="106" t="str">
        <f>IFERROR(SUMIFS('01. KE30'!$K:$K,'01. KE30'!$C:$C,'06. BC BH THEO CUSTOMER-USD'!$D8,'01. KE30'!$F:$F,'06. BC BH THEO CUSTOMER-USD'!$H8,'01. KE30'!$A:$A,'06. BC BH THEO CUSTOMER-USD'!S$4)/'06. BC BH THEO CUSTOMER-USD'!CY8/'02. Tỷ giá'!H$5,"-")</f>
        <v>-</v>
      </c>
      <c r="T8" s="106" t="str">
        <f>IFERROR(SUMIFS('01. KE30'!$K:$K,'01. KE30'!$C:$C,'06. BC BH THEO CUSTOMER-USD'!$D8,'01. KE30'!$F:$F,'06. BC BH THEO CUSTOMER-USD'!$H8,'01. KE30'!$A:$A,'06. BC BH THEO CUSTOMER-USD'!T$4)/'06. BC BH THEO CUSTOMER-USD'!CZ8/'02. Tỷ giá'!I$5,"-")</f>
        <v>-</v>
      </c>
      <c r="U8" s="106" t="str">
        <f>IFERROR(SUMIFS('01. KE30'!$K:$K,'01. KE30'!$C:$C,'06. BC BH THEO CUSTOMER-USD'!$D8,'01. KE30'!$F:$F,'06. BC BH THEO CUSTOMER-USD'!$H8,'01. KE30'!$A:$A,'06. BC BH THEO CUSTOMER-USD'!U$4)/'06. BC BH THEO CUSTOMER-USD'!DA8/'02. Tỷ giá'!J$5,"-")</f>
        <v>-</v>
      </c>
      <c r="V8" s="106" t="str">
        <f>IFERROR(SUMIFS('01. KE30'!$K:$K,'01. KE30'!$C:$C,'06. BC BH THEO CUSTOMER-USD'!$D8,'01. KE30'!$F:$F,'06. BC BH THEO CUSTOMER-USD'!$H8,'01. KE30'!$A:$A,'06. BC BH THEO CUSTOMER-USD'!V$4)/'06. BC BH THEO CUSTOMER-USD'!DB8/'02. Tỷ giá'!K$5,"-")</f>
        <v>-</v>
      </c>
      <c r="W8" s="106" t="str">
        <f>IFERROR(SUMIFS('01. KE30'!$K:$K,'01. KE30'!$C:$C,'06. BC BH THEO CUSTOMER-USD'!$D8,'01. KE30'!$F:$F,'06. BC BH THEO CUSTOMER-USD'!$H8,'01. KE30'!$A:$A,'06. BC BH THEO CUSTOMER-USD'!W$4)/'06. BC BH THEO CUSTOMER-USD'!DC8/'02. Tỷ giá'!L$5,"-")</f>
        <v>-</v>
      </c>
      <c r="X8" s="106" t="str">
        <f>IFERROR(SUMIFS('01. KE30'!$K:$K,'01. KE30'!$C:$C,'06. BC BH THEO CUSTOMER-USD'!$D8,'01. KE30'!$F:$F,'06. BC BH THEO CUSTOMER-USD'!$H8,'01. KE30'!$A:$A,'06. BC BH THEO CUSTOMER-USD'!X$4)/'06. BC BH THEO CUSTOMER-USD'!DD8/'02. Tỷ giá'!M$5,"-")</f>
        <v>-</v>
      </c>
      <c r="Z8" s="92" t="str">
        <f t="shared" si="43"/>
        <v>-</v>
      </c>
      <c r="AA8" s="147" t="str">
        <f>IFERROR(SUMIFS('01. KE30'!$O:$O,'01. KE30'!$C:$C,'06. BC BH THEO CUSTOMER-USD'!$D8,'01. KE30'!$F:$F,'06. BC BH THEO CUSTOMER-USD'!$H8,'01. KE30'!$A:$A,'06. BC BH THEO CUSTOMER-USD'!M$4)/'06. BC BH THEO CUSTOMER-USD'!CS8/'02. Tỷ giá'!B$5,"-")</f>
        <v>-</v>
      </c>
      <c r="AB8" s="147" t="str">
        <f>IFERROR(SUMIFS('01. KE30'!$O:$O,'01. KE30'!$C:$C,'06. BC BH THEO CUSTOMER-USD'!$D8,'01. KE30'!$F:$F,'06. BC BH THEO CUSTOMER-USD'!$H8,'01. KE30'!$A:$A,'06. BC BH THEO CUSTOMER-USD'!N$4)/'06. BC BH THEO CUSTOMER-USD'!CT8/'02. Tỷ giá'!C$5,"-")</f>
        <v>-</v>
      </c>
      <c r="AC8" s="147" t="str">
        <f>IFERROR(SUMIFS('01. KE30'!$O:$O,'01. KE30'!$C:$C,'06. BC BH THEO CUSTOMER-USD'!$D8,'01. KE30'!$F:$F,'06. BC BH THEO CUSTOMER-USD'!$H8,'01. KE30'!$A:$A,'06. BC BH THEO CUSTOMER-USD'!O$4)/'06. BC BH THEO CUSTOMER-USD'!CU8/'02. Tỷ giá'!D$5,"-")</f>
        <v>-</v>
      </c>
      <c r="AD8" s="147" t="str">
        <f>IFERROR(SUMIFS('01. KE30'!$O:$O,'01. KE30'!$C:$C,'06. BC BH THEO CUSTOMER-USD'!$D8,'01. KE30'!$F:$F,'06. BC BH THEO CUSTOMER-USD'!$H8,'01. KE30'!$A:$A,'06. BC BH THEO CUSTOMER-USD'!P$4)/'06. BC BH THEO CUSTOMER-USD'!CV8/'02. Tỷ giá'!E$5,"-")</f>
        <v>-</v>
      </c>
      <c r="AE8" s="147" t="str">
        <f>IFERROR(SUMIFS('01. KE30'!$O:$O,'01. KE30'!$C:$C,'06. BC BH THEO CUSTOMER-USD'!$D8,'01. KE30'!$F:$F,'06. BC BH THEO CUSTOMER-USD'!$H8,'01. KE30'!$A:$A,'06. BC BH THEO CUSTOMER-USD'!Q$4)/'06. BC BH THEO CUSTOMER-USD'!CW8/'02. Tỷ giá'!F$5,"-")</f>
        <v>-</v>
      </c>
      <c r="AF8" s="147" t="str">
        <f>IFERROR(SUMIFS('01. KE30'!$O:$O,'01. KE30'!$C:$C,'06. BC BH THEO CUSTOMER-USD'!$D8,'01. KE30'!$F:$F,'06. BC BH THEO CUSTOMER-USD'!$H8,'01. KE30'!$A:$A,'06. BC BH THEO CUSTOMER-USD'!R$4)/'06. BC BH THEO CUSTOMER-USD'!CX8/'02. Tỷ giá'!G$5,"-")</f>
        <v>-</v>
      </c>
      <c r="AG8" s="147" t="str">
        <f>IFERROR(SUMIFS('01. KE30'!$O:$O,'01. KE30'!$C:$C,'06. BC BH THEO CUSTOMER-USD'!$D8,'01. KE30'!$F:$F,'06. BC BH THEO CUSTOMER-USD'!$H8,'01. KE30'!$A:$A,'06. BC BH THEO CUSTOMER-USD'!S$4)/'06. BC BH THEO CUSTOMER-USD'!CY8/'02. Tỷ giá'!H$5,"-")</f>
        <v>-</v>
      </c>
      <c r="AH8" s="147" t="str">
        <f>IFERROR(SUMIFS('01. KE30'!$O:$O,'01. KE30'!$C:$C,'06. BC BH THEO CUSTOMER-USD'!$D8,'01. KE30'!$F:$F,'06. BC BH THEO CUSTOMER-USD'!$H8,'01. KE30'!$A:$A,'06. BC BH THEO CUSTOMER-USD'!T$4)/'06. BC BH THEO CUSTOMER-USD'!CZ8/'02. Tỷ giá'!I$5,"-")</f>
        <v>-</v>
      </c>
      <c r="AI8" s="147" t="str">
        <f>IFERROR(SUMIFS('01. KE30'!$O:$O,'01. KE30'!$C:$C,'06. BC BH THEO CUSTOMER-USD'!$D8,'01. KE30'!$F:$F,'06. BC BH THEO CUSTOMER-USD'!$H8,'01. KE30'!$A:$A,'06. BC BH THEO CUSTOMER-USD'!U$4)/'06. BC BH THEO CUSTOMER-USD'!DA8/'02. Tỷ giá'!J$5,"-")</f>
        <v>-</v>
      </c>
      <c r="AJ8" s="147" t="str">
        <f>IFERROR(SUMIFS('01. KE30'!$O:$O,'01. KE30'!$C:$C,'06. BC BH THEO CUSTOMER-USD'!$D8,'01. KE30'!$F:$F,'06. BC BH THEO CUSTOMER-USD'!$H8,'01. KE30'!$A:$A,'06. BC BH THEO CUSTOMER-USD'!V$4)/'06. BC BH THEO CUSTOMER-USD'!DB8/'02. Tỷ giá'!K$5,"-")</f>
        <v>-</v>
      </c>
      <c r="AK8" s="147" t="str">
        <f>IFERROR(SUMIFS('01. KE30'!$O:$O,'01. KE30'!$C:$C,'06. BC BH THEO CUSTOMER-USD'!$D8,'01. KE30'!$F:$F,'06. BC BH THEO CUSTOMER-USD'!$H8,'01. KE30'!$A:$A,'06. BC BH THEO CUSTOMER-USD'!W$4)/'06. BC BH THEO CUSTOMER-USD'!DC8/'02. Tỷ giá'!L$5,"-")</f>
        <v>-</v>
      </c>
      <c r="AL8" s="147" t="str">
        <f>IFERROR(SUMIFS('01. KE30'!$O:$O,'01. KE30'!$C:$C,'06. BC BH THEO CUSTOMER-USD'!$D8,'01. KE30'!$F:$F,'06. BC BH THEO CUSTOMER-USD'!$H8,'01. KE30'!$A:$A,'06. BC BH THEO CUSTOMER-USD'!X$4)/'06. BC BH THEO CUSTOMER-USD'!DD8/'02. Tỷ giá'!M$5,"-")</f>
        <v>-</v>
      </c>
      <c r="AN8" s="92">
        <f t="shared" si="44"/>
        <v>1236.6666666666667</v>
      </c>
      <c r="AO8" s="25">
        <v>1230</v>
      </c>
      <c r="AP8" s="25">
        <v>1230</v>
      </c>
      <c r="AQ8" s="25">
        <v>1230</v>
      </c>
      <c r="AR8" s="25">
        <f t="shared" ref="AR8:AR9" si="61">AQ8+20</f>
        <v>1250</v>
      </c>
      <c r="AS8" s="25">
        <v>1250</v>
      </c>
      <c r="AT8" s="25">
        <v>1250</v>
      </c>
      <c r="AU8" s="25">
        <v>1250</v>
      </c>
      <c r="AV8" s="4">
        <f t="shared" ref="AV8:AV9" si="62">AU8-30</f>
        <v>1220</v>
      </c>
      <c r="AW8" s="25">
        <v>1220</v>
      </c>
      <c r="AX8" s="25"/>
      <c r="AY8" s="4"/>
      <c r="AZ8" s="4"/>
      <c r="BB8" s="95" t="str">
        <f t="shared" si="45"/>
        <v>-</v>
      </c>
      <c r="BC8" s="95" t="str">
        <f t="shared" si="46"/>
        <v>-</v>
      </c>
      <c r="BD8" s="95" t="str">
        <f t="shared" si="6"/>
        <v>-</v>
      </c>
      <c r="BE8" s="95" t="str">
        <f t="shared" si="6"/>
        <v>-</v>
      </c>
      <c r="BF8" s="95" t="str">
        <f t="shared" si="6"/>
        <v>-</v>
      </c>
      <c r="BG8" s="95" t="str">
        <f t="shared" si="6"/>
        <v>-</v>
      </c>
      <c r="BH8" s="95" t="str">
        <f t="shared" si="6"/>
        <v>-</v>
      </c>
      <c r="BI8" s="95" t="str">
        <f t="shared" si="6"/>
        <v>-</v>
      </c>
      <c r="BJ8" s="95" t="str">
        <f t="shared" si="6"/>
        <v>-</v>
      </c>
      <c r="BK8" s="95" t="str">
        <f t="shared" si="6"/>
        <v>-</v>
      </c>
      <c r="BL8" s="95" t="str">
        <f t="shared" si="6"/>
        <v>-</v>
      </c>
      <c r="BM8" s="95" t="str">
        <f t="shared" si="6"/>
        <v>-</v>
      </c>
      <c r="BN8" s="95" t="str">
        <f t="shared" si="6"/>
        <v>-</v>
      </c>
      <c r="BP8" s="143" t="str">
        <f t="shared" si="47"/>
        <v>-</v>
      </c>
      <c r="BQ8" s="143" t="str">
        <f t="shared" si="8"/>
        <v>-</v>
      </c>
      <c r="BR8" s="143" t="str">
        <f t="shared" si="9"/>
        <v>-</v>
      </c>
      <c r="BS8" s="143" t="str">
        <f t="shared" si="10"/>
        <v>-</v>
      </c>
      <c r="BT8" s="143" t="str">
        <f t="shared" si="11"/>
        <v>-</v>
      </c>
      <c r="BU8" s="143" t="str">
        <f t="shared" si="12"/>
        <v>-</v>
      </c>
      <c r="BV8" s="143" t="str">
        <f t="shared" si="13"/>
        <v>-</v>
      </c>
      <c r="BW8" s="143" t="str">
        <f t="shared" si="14"/>
        <v>-</v>
      </c>
      <c r="BX8" s="143" t="str">
        <f t="shared" si="15"/>
        <v>-</v>
      </c>
      <c r="BY8" s="143" t="str">
        <f t="shared" si="16"/>
        <v>-</v>
      </c>
      <c r="BZ8" s="143" t="str">
        <f t="shared" si="17"/>
        <v>-</v>
      </c>
      <c r="CA8" s="143" t="str">
        <f t="shared" si="18"/>
        <v>-</v>
      </c>
      <c r="CB8" s="143" t="str">
        <f t="shared" si="19"/>
        <v>-</v>
      </c>
      <c r="CD8" s="112" t="str">
        <f t="shared" si="25"/>
        <v>-</v>
      </c>
      <c r="CE8" s="95" t="str">
        <f>IFERROR(SUMIFS('01. KE30'!$R:$R,'01. KE30'!$C:$C,'06. BC BH THEO CUSTOMER-USD'!$D8,'01. KE30'!$F:$F,'06. BC BH THEO CUSTOMER-USD'!$H8,'01. KE30'!$A:$A,'06. BC BH THEO CUSTOMER-USD'!CE$4)/CS8/'02. Tỷ giá'!B$5," -")</f>
        <v xml:space="preserve"> -</v>
      </c>
      <c r="CF8" s="95" t="str">
        <f>IFERROR(SUMIFS('01. KE30'!$R:$R,'01. KE30'!$C:$C,'06. BC BH THEO CUSTOMER-USD'!$D8,'01. KE30'!$F:$F,'06. BC BH THEO CUSTOMER-USD'!$H8,'01. KE30'!$A:$A,'06. BC BH THEO CUSTOMER-USD'!CF$4)/CT8/'02. Tỷ giá'!C$5," -")</f>
        <v xml:space="preserve"> -</v>
      </c>
      <c r="CG8" s="95" t="str">
        <f>IFERROR(SUMIFS('01. KE30'!$R:$R,'01. KE30'!$C:$C,'06. BC BH THEO CUSTOMER-USD'!$D8,'01. KE30'!$F:$F,'06. BC BH THEO CUSTOMER-USD'!$H8,'01. KE30'!$A:$A,'06. BC BH THEO CUSTOMER-USD'!CG$4)/CU8/'02. Tỷ giá'!D$5," -")</f>
        <v xml:space="preserve"> -</v>
      </c>
      <c r="CH8" s="95" t="str">
        <f>IFERROR(SUMIFS('01. KE30'!$R:$R,'01. KE30'!$C:$C,'06. BC BH THEO CUSTOMER-USD'!$D8,'01. KE30'!$F:$F,'06. BC BH THEO CUSTOMER-USD'!$H8,'01. KE30'!$A:$A,'06. BC BH THEO CUSTOMER-USD'!CH$4)/CV8/'02. Tỷ giá'!E$5," -")</f>
        <v xml:space="preserve"> -</v>
      </c>
      <c r="CI8" s="95" t="str">
        <f>IFERROR(SUMIFS('01. KE30'!$R:$R,'01. KE30'!$C:$C,'06. BC BH THEO CUSTOMER-USD'!$D8,'01. KE30'!$F:$F,'06. BC BH THEO CUSTOMER-USD'!$H8,'01. KE30'!$A:$A,'06. BC BH THEO CUSTOMER-USD'!CI$4)/CW8/'02. Tỷ giá'!F$5," -")</f>
        <v xml:space="preserve"> -</v>
      </c>
      <c r="CJ8" s="95" t="str">
        <f>IFERROR(SUMIFS('01. KE30'!$R:$R,'01. KE30'!$C:$C,'06. BC BH THEO CUSTOMER-USD'!$D8,'01. KE30'!$F:$F,'06. BC BH THEO CUSTOMER-USD'!$H8,'01. KE30'!$A:$A,'06. BC BH THEO CUSTOMER-USD'!CJ$4)/CX8/'02. Tỷ giá'!G$5," -")</f>
        <v xml:space="preserve"> -</v>
      </c>
      <c r="CK8" s="95" t="str">
        <f>IFERROR(SUMIFS('01. KE30'!$R:$R,'01. KE30'!$C:$C,'06. BC BH THEO CUSTOMER-USD'!$D8,'01. KE30'!$F:$F,'06. BC BH THEO CUSTOMER-USD'!$H8,'01. KE30'!$A:$A,'06. BC BH THEO CUSTOMER-USD'!CK$4)/CY8/'02. Tỷ giá'!H$5," -")</f>
        <v xml:space="preserve"> -</v>
      </c>
      <c r="CL8" s="95" t="str">
        <f>IFERROR(SUMIFS('01. KE30'!$R:$R,'01. KE30'!$C:$C,'06. BC BH THEO CUSTOMER-USD'!$D8,'01. KE30'!$F:$F,'06. BC BH THEO CUSTOMER-USD'!$H8,'01. KE30'!$A:$A,'06. BC BH THEO CUSTOMER-USD'!CL$4)/CZ8/'02. Tỷ giá'!I$5," -")</f>
        <v xml:space="preserve"> -</v>
      </c>
      <c r="CM8" s="95" t="str">
        <f>IFERROR(SUMIFS('01. KE30'!$R:$R,'01. KE30'!$C:$C,'06. BC BH THEO CUSTOMER-USD'!$D8,'01. KE30'!$F:$F,'06. BC BH THEO CUSTOMER-USD'!$H8,'01. KE30'!$A:$A,'06. BC BH THEO CUSTOMER-USD'!CM$4)/DA8/'02. Tỷ giá'!J$5," -")</f>
        <v xml:space="preserve"> -</v>
      </c>
      <c r="CN8" s="95" t="str">
        <f>IFERROR(SUMIFS('01. KE30'!$R:$R,'01. KE30'!$C:$C,'06. BC BH THEO CUSTOMER-USD'!$D8,'01. KE30'!$F:$F,'06. BC BH THEO CUSTOMER-USD'!$H8,'01. KE30'!$A:$A,'06. BC BH THEO CUSTOMER-USD'!CN$4)/DB8/'02. Tỷ giá'!K$5," -")</f>
        <v xml:space="preserve"> -</v>
      </c>
      <c r="CO8" s="95" t="str">
        <f>IFERROR(SUMIFS('01. KE30'!$R:$R,'01. KE30'!$C:$C,'06. BC BH THEO CUSTOMER-USD'!$D8,'01. KE30'!$F:$F,'06. BC BH THEO CUSTOMER-USD'!$H8,'01. KE30'!$A:$A,'06. BC BH THEO CUSTOMER-USD'!CO$4)/DC8/'02. Tỷ giá'!L$5," -")</f>
        <v xml:space="preserve"> -</v>
      </c>
      <c r="CP8" s="95" t="str">
        <f>IFERROR(SUMIFS('01. KE30'!$R:$R,'01. KE30'!$C:$C,'06. BC BH THEO CUSTOMER-USD'!$D8,'01. KE30'!$F:$F,'06. BC BH THEO CUSTOMER-USD'!$H8,'01. KE30'!$A:$A,'06. BC BH THEO CUSTOMER-USD'!CP$4)/DD8/'02. Tỷ giá'!M$5," -")</f>
        <v xml:space="preserve"> -</v>
      </c>
      <c r="CR8" s="112">
        <f t="shared" si="26"/>
        <v>0</v>
      </c>
      <c r="CS8" s="114">
        <f>SUMIFS('01. KE30'!$I:$I,'01. KE30'!$C:$C,'06. BC BH THEO CUSTOMER-USD'!$D8,'01. KE30'!$F:$F,'06. BC BH THEO CUSTOMER-USD'!$H8,'01. KE30'!$A:$A,'06. BC BH THEO CUSTOMER-USD'!CS$4)/1000</f>
        <v>0</v>
      </c>
      <c r="CT8" s="114">
        <f>SUMIFS('01. KE30'!$I:$I,'01. KE30'!$C:$C,'06. BC BH THEO CUSTOMER-USD'!$D8,'01. KE30'!$F:$F,'06. BC BH THEO CUSTOMER-USD'!$H8,'01. KE30'!$A:$A,'06. BC BH THEO CUSTOMER-USD'!CT$4)/1000</f>
        <v>0</v>
      </c>
      <c r="CU8" s="114">
        <f>SUMIFS('01. KE30'!$I:$I,'01. KE30'!$C:$C,'06. BC BH THEO CUSTOMER-USD'!$D8,'01. KE30'!$F:$F,'06. BC BH THEO CUSTOMER-USD'!$H8,'01. KE30'!$A:$A,'06. BC BH THEO CUSTOMER-USD'!CU$4)/1000</f>
        <v>0</v>
      </c>
      <c r="CV8" s="114">
        <f>SUMIFS('01. KE30'!$I:$I,'01. KE30'!$C:$C,'06. BC BH THEO CUSTOMER-USD'!$D8,'01. KE30'!$F:$F,'06. BC BH THEO CUSTOMER-USD'!$H8,'01. KE30'!$A:$A,'06. BC BH THEO CUSTOMER-USD'!CV$4)/1000</f>
        <v>0</v>
      </c>
      <c r="CW8" s="114">
        <f>SUMIFS('01. KE30'!$I:$I,'01. KE30'!$C:$C,'06. BC BH THEO CUSTOMER-USD'!$D8,'01. KE30'!$F:$F,'06. BC BH THEO CUSTOMER-USD'!$H8,'01. KE30'!$A:$A,'06. BC BH THEO CUSTOMER-USD'!CW$4)/1000</f>
        <v>0</v>
      </c>
      <c r="CX8" s="114">
        <f>SUMIFS('01. KE30'!$I:$I,'01. KE30'!$C:$C,'06. BC BH THEO CUSTOMER-USD'!$D8,'01. KE30'!$F:$F,'06. BC BH THEO CUSTOMER-USD'!$H8,'01. KE30'!$A:$A,'06. BC BH THEO CUSTOMER-USD'!CX$4)/1000</f>
        <v>0</v>
      </c>
      <c r="CY8" s="114">
        <f>SUMIFS('01. KE30'!$I:$I,'01. KE30'!$C:$C,'06. BC BH THEO CUSTOMER-USD'!$D8,'01. KE30'!$F:$F,'06. BC BH THEO CUSTOMER-USD'!$H8,'01. KE30'!$A:$A,'06. BC BH THEO CUSTOMER-USD'!CY$4)/1000</f>
        <v>0</v>
      </c>
      <c r="CZ8" s="114">
        <f>SUMIFS('01. KE30'!$I:$I,'01. KE30'!$C:$C,'06. BC BH THEO CUSTOMER-USD'!$D8,'01. KE30'!$F:$F,'06. BC BH THEO CUSTOMER-USD'!$H8,'01. KE30'!$A:$A,'06. BC BH THEO CUSTOMER-USD'!CZ$4)/1000</f>
        <v>0</v>
      </c>
      <c r="DA8" s="114">
        <f>SUMIFS('01. KE30'!$I:$I,'01. KE30'!$C:$C,'06. BC BH THEO CUSTOMER-USD'!$D8,'01. KE30'!$F:$F,'06. BC BH THEO CUSTOMER-USD'!$H8,'01. KE30'!$A:$A,'06. BC BH THEO CUSTOMER-USD'!DA$4)/1000</f>
        <v>0</v>
      </c>
      <c r="DB8" s="114">
        <f>SUMIFS('01. KE30'!$I:$I,'01. KE30'!$C:$C,'06. BC BH THEO CUSTOMER-USD'!$D8,'01. KE30'!$F:$F,'06. BC BH THEO CUSTOMER-USD'!$H8,'01. KE30'!$A:$A,'06. BC BH THEO CUSTOMER-USD'!DB$4)/1000</f>
        <v>0</v>
      </c>
      <c r="DC8" s="114">
        <f>SUMIFS('01. KE30'!$I:$I,'01. KE30'!$C:$C,'06. BC BH THEO CUSTOMER-USD'!$D8,'01. KE30'!$F:$F,'06. BC BH THEO CUSTOMER-USD'!$H8,'01. KE30'!$A:$A,'06. BC BH THEO CUSTOMER-USD'!DC$4)/1000</f>
        <v>0</v>
      </c>
      <c r="DD8" s="114">
        <f>SUMIFS('01. KE30'!$I:$I,'01. KE30'!$C:$C,'06. BC BH THEO CUSTOMER-USD'!$D8,'01. KE30'!$F:$F,'06. BC BH THEO CUSTOMER-USD'!$H8,'01. KE30'!$A:$A,'06. BC BH THEO CUSTOMER-USD'!DD$4)/1000</f>
        <v>0</v>
      </c>
      <c r="DF8" s="112">
        <f t="shared" si="27"/>
        <v>0</v>
      </c>
      <c r="DG8" s="54" t="str">
        <f t="shared" si="48"/>
        <v>-</v>
      </c>
      <c r="DH8" s="54" t="str">
        <f t="shared" si="49"/>
        <v>-</v>
      </c>
      <c r="DI8" s="54" t="str">
        <f t="shared" si="50"/>
        <v>-</v>
      </c>
      <c r="DJ8" s="54" t="str">
        <f t="shared" si="51"/>
        <v>-</v>
      </c>
      <c r="DK8" s="54" t="str">
        <f t="shared" si="52"/>
        <v>-</v>
      </c>
      <c r="DL8" s="54" t="str">
        <f t="shared" si="53"/>
        <v>-</v>
      </c>
      <c r="DM8" s="54" t="str">
        <f t="shared" si="54"/>
        <v>-</v>
      </c>
      <c r="DN8" s="54" t="str">
        <f t="shared" si="55"/>
        <v>-</v>
      </c>
      <c r="DO8" s="54" t="str">
        <f t="shared" si="56"/>
        <v>-</v>
      </c>
      <c r="DP8" s="54" t="str">
        <f t="shared" si="57"/>
        <v>-</v>
      </c>
      <c r="DQ8" s="54" t="str">
        <f t="shared" si="58"/>
        <v>-</v>
      </c>
      <c r="DR8" s="54" t="str">
        <f t="shared" si="59"/>
        <v>-</v>
      </c>
      <c r="DT8" s="112">
        <f t="shared" si="60"/>
        <v>0</v>
      </c>
      <c r="DU8" s="114">
        <f>IFERROR(SUMIFS('01. KE30'!$X:$X,'01. KE30'!$C:$C,'06. BC BH THEO CUSTOMER-USD'!$D8,'01. KE30'!$F:$F,'06. BC BH THEO CUSTOMER-USD'!$H8,'01. KE30'!$A:$A,'06. BC BH THEO CUSTOMER-USD'!DU$4)-SUMIFS('01. KE30'!$AA:$AA,'01. KE30'!$C:$C,'06. BC BH THEO CUSTOMER-USD'!$D8,'01. KE30'!$F:$F,'06. BC BH THEO CUSTOMER-USD'!$H8,'01. KE30'!$A:$A,'06. BC BH THEO CUSTOMER-USD'!DU$4),"-")</f>
        <v>0</v>
      </c>
      <c r="DV8" s="114">
        <f>IFERROR(SUMIFS('01. KE30'!$X:$X,'01. KE30'!$C:$C,'06. BC BH THEO CUSTOMER-USD'!$D8,'01. KE30'!$F:$F,'06. BC BH THEO CUSTOMER-USD'!$H8,'01. KE30'!$A:$A,'06. BC BH THEO CUSTOMER-USD'!DV$4)-SUMIFS('01. KE30'!$AA:$AA,'01. KE30'!$C:$C,'06. BC BH THEO CUSTOMER-USD'!$D8,'01. KE30'!$F:$F,'06. BC BH THEO CUSTOMER-USD'!$H8,'01. KE30'!$A:$A,'06. BC BH THEO CUSTOMER-USD'!DV$4),"-")</f>
        <v>0</v>
      </c>
      <c r="DW8" s="114">
        <f>IFERROR(SUMIFS('01. KE30'!$X:$X,'01. KE30'!$C:$C,'06. BC BH THEO CUSTOMER-USD'!$D8,'01. KE30'!$F:$F,'06. BC BH THEO CUSTOMER-USD'!$H8,'01. KE30'!$A:$A,'06. BC BH THEO CUSTOMER-USD'!DW$4)-SUMIFS('01. KE30'!$AA:$AA,'01. KE30'!$C:$C,'06. BC BH THEO CUSTOMER-USD'!$D8,'01. KE30'!$F:$F,'06. BC BH THEO CUSTOMER-USD'!$H8,'01. KE30'!$A:$A,'06. BC BH THEO CUSTOMER-USD'!DW$4),"-")</f>
        <v>0</v>
      </c>
      <c r="DX8" s="114">
        <f>IFERROR(SUMIFS('01. KE30'!$X:$X,'01. KE30'!$C:$C,'06. BC BH THEO CUSTOMER-USD'!$D8,'01. KE30'!$F:$F,'06. BC BH THEO CUSTOMER-USD'!$H8,'01. KE30'!$A:$A,'06. BC BH THEO CUSTOMER-USD'!DX$4)-SUMIFS('01. KE30'!$AA:$AA,'01. KE30'!$C:$C,'06. BC BH THEO CUSTOMER-USD'!$D8,'01. KE30'!$F:$F,'06. BC BH THEO CUSTOMER-USD'!$H8,'01. KE30'!$A:$A,'06. BC BH THEO CUSTOMER-USD'!DX$4),"-")</f>
        <v>0</v>
      </c>
      <c r="DY8" s="114">
        <f>IFERROR(SUMIFS('01. KE30'!$X:$X,'01. KE30'!$C:$C,'06. BC BH THEO CUSTOMER-USD'!$D8,'01. KE30'!$F:$F,'06. BC BH THEO CUSTOMER-USD'!$H8,'01. KE30'!$A:$A,'06. BC BH THEO CUSTOMER-USD'!DY$4)-SUMIFS('01. KE30'!$AA:$AA,'01. KE30'!$C:$C,'06. BC BH THEO CUSTOMER-USD'!$D8,'01. KE30'!$F:$F,'06. BC BH THEO CUSTOMER-USD'!$H8,'01. KE30'!$A:$A,'06. BC BH THEO CUSTOMER-USD'!DY$4),"-")</f>
        <v>0</v>
      </c>
      <c r="DZ8" s="114">
        <f>IFERROR(SUMIFS('01. KE30'!$X:$X,'01. KE30'!$C:$C,'06. BC BH THEO CUSTOMER-USD'!$D8,'01. KE30'!$F:$F,'06. BC BH THEO CUSTOMER-USD'!$H8,'01. KE30'!$A:$A,'06. BC BH THEO CUSTOMER-USD'!DZ$4)-SUMIFS('01. KE30'!$AA:$AA,'01. KE30'!$C:$C,'06. BC BH THEO CUSTOMER-USD'!$D8,'01. KE30'!$F:$F,'06. BC BH THEO CUSTOMER-USD'!$H8,'01. KE30'!$A:$A,'06. BC BH THEO CUSTOMER-USD'!DZ$4),"-")</f>
        <v>0</v>
      </c>
      <c r="EA8" s="114">
        <f>IFERROR(SUMIFS('01. KE30'!$X:$X,'01. KE30'!$C:$C,'06. BC BH THEO CUSTOMER-USD'!$D8,'01. KE30'!$F:$F,'06. BC BH THEO CUSTOMER-USD'!$H8,'01. KE30'!$A:$A,'06. BC BH THEO CUSTOMER-USD'!EA$4)-SUMIFS('01. KE30'!$AA:$AA,'01. KE30'!$C:$C,'06. BC BH THEO CUSTOMER-USD'!$D8,'01. KE30'!$F:$F,'06. BC BH THEO CUSTOMER-USD'!$H8,'01. KE30'!$A:$A,'06. BC BH THEO CUSTOMER-USD'!EA$4),"-")</f>
        <v>0</v>
      </c>
      <c r="EB8" s="114">
        <f>IFERROR(SUMIFS('01. KE30'!$X:$X,'01. KE30'!$C:$C,'06. BC BH THEO CUSTOMER-USD'!$D8,'01. KE30'!$F:$F,'06. BC BH THEO CUSTOMER-USD'!$H8,'01. KE30'!$A:$A,'06. BC BH THEO CUSTOMER-USD'!EB$4)-SUMIFS('01. KE30'!$AA:$AA,'01. KE30'!$C:$C,'06. BC BH THEO CUSTOMER-USD'!$D8,'01. KE30'!$F:$F,'06. BC BH THEO CUSTOMER-USD'!$H8,'01. KE30'!$A:$A,'06. BC BH THEO CUSTOMER-USD'!EB$4),"-")</f>
        <v>0</v>
      </c>
      <c r="EC8" s="114">
        <f>IFERROR(SUMIFS('01. KE30'!$X:$X,'01. KE30'!$C:$C,'06. BC BH THEO CUSTOMER-USD'!$D8,'01. KE30'!$F:$F,'06. BC BH THEO CUSTOMER-USD'!$H8,'01. KE30'!$A:$A,'06. BC BH THEO CUSTOMER-USD'!EC$4)-SUMIFS('01. KE30'!$AA:$AA,'01. KE30'!$C:$C,'06. BC BH THEO CUSTOMER-USD'!$D8,'01. KE30'!$F:$F,'06. BC BH THEO CUSTOMER-USD'!$H8,'01. KE30'!$A:$A,'06. BC BH THEO CUSTOMER-USD'!EC$4),"-")</f>
        <v>0</v>
      </c>
      <c r="ED8" s="114">
        <f>IFERROR(SUMIFS('01. KE30'!$X:$X,'01. KE30'!$C:$C,'06. BC BH THEO CUSTOMER-USD'!$D8,'01. KE30'!$F:$F,'06. BC BH THEO CUSTOMER-USD'!$H8,'01. KE30'!$A:$A,'06. BC BH THEO CUSTOMER-USD'!ED$4)-SUMIFS('01. KE30'!$AA:$AA,'01. KE30'!$C:$C,'06. BC BH THEO CUSTOMER-USD'!$D8,'01. KE30'!$F:$F,'06. BC BH THEO CUSTOMER-USD'!$H8,'01. KE30'!$A:$A,'06. BC BH THEO CUSTOMER-USD'!ED$4),"-")</f>
        <v>0</v>
      </c>
      <c r="EE8" s="114">
        <f>IFERROR(SUMIFS('01. KE30'!$X:$X,'01. KE30'!$C:$C,'06. BC BH THEO CUSTOMER-USD'!$D8,'01. KE30'!$F:$F,'06. BC BH THEO CUSTOMER-USD'!$H8,'01. KE30'!$A:$A,'06. BC BH THEO CUSTOMER-USD'!EE$4)-SUMIFS('01. KE30'!$AA:$AA,'01. KE30'!$C:$C,'06. BC BH THEO CUSTOMER-USD'!$D8,'01. KE30'!$F:$F,'06. BC BH THEO CUSTOMER-USD'!$H8,'01. KE30'!$A:$A,'06. BC BH THEO CUSTOMER-USD'!EE$4),"-")</f>
        <v>0</v>
      </c>
      <c r="EF8" s="114">
        <f>IFERROR(SUMIFS('01. KE30'!$X:$X,'01. KE30'!$C:$C,'06. BC BH THEO CUSTOMER-USD'!$D8,'01. KE30'!$F:$F,'06. BC BH THEO CUSTOMER-USD'!$H8,'01. KE30'!$A:$A,'06. BC BH THEO CUSTOMER-USD'!EF$4)-SUMIFS('01. KE30'!$AA:$AA,'01. KE30'!$C:$C,'06. BC BH THEO CUSTOMER-USD'!$D8,'01. KE30'!$F:$F,'06. BC BH THEO CUSTOMER-USD'!$H8,'01. KE30'!$A:$A,'06. BC BH THEO CUSTOMER-USD'!EF$4),"-")</f>
        <v>0</v>
      </c>
      <c r="EH8" s="571" t="str">
        <f t="shared" si="29"/>
        <v>-</v>
      </c>
      <c r="EI8" s="572" t="str">
        <f t="shared" si="30"/>
        <v>-</v>
      </c>
      <c r="EJ8" s="572" t="str">
        <f t="shared" si="31"/>
        <v>-</v>
      </c>
      <c r="EK8" s="572" t="str">
        <f t="shared" si="32"/>
        <v>-</v>
      </c>
      <c r="EL8" s="572" t="str">
        <f t="shared" si="33"/>
        <v>-</v>
      </c>
      <c r="EM8" s="572" t="str">
        <f t="shared" si="34"/>
        <v>-</v>
      </c>
      <c r="EN8" s="572" t="str">
        <f t="shared" si="35"/>
        <v>-</v>
      </c>
      <c r="EO8" s="572" t="str">
        <f t="shared" si="36"/>
        <v>-</v>
      </c>
      <c r="EP8" s="572" t="str">
        <f t="shared" si="37"/>
        <v>-</v>
      </c>
      <c r="EQ8" s="572" t="str">
        <f t="shared" si="38"/>
        <v>-</v>
      </c>
      <c r="ER8" s="572" t="str">
        <f t="shared" si="39"/>
        <v>-</v>
      </c>
      <c r="ES8" s="572" t="str">
        <f t="shared" si="40"/>
        <v>-</v>
      </c>
      <c r="ET8" s="572" t="str">
        <f t="shared" si="41"/>
        <v>-</v>
      </c>
    </row>
    <row r="9" spans="1:150" ht="15.5" hidden="1" outlineLevel="1" x14ac:dyDescent="0.35">
      <c r="A9" s="27">
        <f>A8+1</f>
        <v>4</v>
      </c>
      <c r="B9" s="27" t="s">
        <v>283</v>
      </c>
      <c r="C9" s="442" t="s">
        <v>572</v>
      </c>
      <c r="D9" s="9" t="s">
        <v>161</v>
      </c>
      <c r="E9" s="31" t="s">
        <v>160</v>
      </c>
      <c r="F9" s="31" t="s">
        <v>175</v>
      </c>
      <c r="G9" s="12" t="str">
        <f>_xlfn.XLOOKUP(F9,'Quy đổi'!$G$5:$G$32,'Quy đổi'!$H$5:$H$32,0)</f>
        <v>Bắc Mỹ</v>
      </c>
      <c r="H9" s="77" t="s">
        <v>110</v>
      </c>
      <c r="I9" s="31" t="s">
        <v>109</v>
      </c>
      <c r="J9" s="13" t="s">
        <v>26</v>
      </c>
      <c r="K9" s="35" t="s">
        <v>113</v>
      </c>
      <c r="L9" s="92">
        <f t="shared" si="42"/>
        <v>1248.6494482736321</v>
      </c>
      <c r="M9" s="106" t="str">
        <f>IFERROR(SUMIFS('01. KE30'!$K:$K,'01. KE30'!$C:$C,'06. BC BH THEO CUSTOMER-USD'!$D9,'01. KE30'!$F:$F,'06. BC BH THEO CUSTOMER-USD'!$H9,'01. KE30'!$A:$A,'06. BC BH THEO CUSTOMER-USD'!M$4)/'06. BC BH THEO CUSTOMER-USD'!CS9/'02. Tỷ giá'!B$5,"-")</f>
        <v>-</v>
      </c>
      <c r="N9" s="106" t="str">
        <f>IFERROR(SUMIFS('01. KE30'!$K:$K,'01. KE30'!$C:$C,'06. BC BH THEO CUSTOMER-USD'!$D9,'01. KE30'!$F:$F,'06. BC BH THEO CUSTOMER-USD'!$H9,'01. KE30'!$A:$A,'06. BC BH THEO CUSTOMER-USD'!N$4)/'06. BC BH THEO CUSTOMER-USD'!CT9/'02. Tỷ giá'!C$5,"-")</f>
        <v>-</v>
      </c>
      <c r="O9" s="106">
        <f>IFERROR(SUMIFS('01. KE30'!$K:$K,'01. KE30'!$C:$C,'06. BC BH THEO CUSTOMER-USD'!$D9,'01. KE30'!$F:$F,'06. BC BH THEO CUSTOMER-USD'!$H9,'01. KE30'!$A:$A,'06. BC BH THEO CUSTOMER-USD'!O$4)/'06. BC BH THEO CUSTOMER-USD'!CU9/'02. Tỷ giá'!D$5,"-")</f>
        <v>1252.0999999999999</v>
      </c>
      <c r="P9" s="106">
        <f>IFERROR(SUMIFS('01. KE30'!$K:$K,'01. KE30'!$C:$C,'06. BC BH THEO CUSTOMER-USD'!$D9,'01. KE30'!$F:$F,'06. BC BH THEO CUSTOMER-USD'!$H9,'01. KE30'!$A:$A,'06. BC BH THEO CUSTOMER-USD'!P$4)/'06. BC BH THEO CUSTOMER-USD'!CV9/'02. Tỷ giá'!E$5,"-")</f>
        <v>1258.25737514518</v>
      </c>
      <c r="Q9" s="106">
        <f>IFERROR(SUMIFS('01. KE30'!$K:$K,'01. KE30'!$C:$C,'06. BC BH THEO CUSTOMER-USD'!$D9,'01. KE30'!$F:$F,'06. BC BH THEO CUSTOMER-USD'!$H9,'01. KE30'!$A:$A,'06. BC BH THEO CUSTOMER-USD'!Q$4)/'06. BC BH THEO CUSTOMER-USD'!CW9/'02. Tỷ giá'!F$5,"-")</f>
        <v>1246.8425174013921</v>
      </c>
      <c r="R9" s="106">
        <f>IFERROR(SUMIFS('01. KE30'!$K:$K,'01. KE30'!$C:$C,'06. BC BH THEO CUSTOMER-USD'!$D9,'01. KE30'!$F:$F,'06. BC BH THEO CUSTOMER-USD'!$H9,'01. KE30'!$A:$A,'06. BC BH THEO CUSTOMER-USD'!R$4)/'06. BC BH THEO CUSTOMER-USD'!CX9/'02. Tỷ giá'!G$5,"-")</f>
        <v>1251.4467592592594</v>
      </c>
      <c r="S9" s="106">
        <f>IFERROR(SUMIFS('01. KE30'!$K:$K,'01. KE30'!$C:$C,'06. BC BH THEO CUSTOMER-USD'!$D9,'01. KE30'!$F:$F,'06. BC BH THEO CUSTOMER-USD'!$H9,'01. KE30'!$A:$A,'06. BC BH THEO CUSTOMER-USD'!S$4)/'06. BC BH THEO CUSTOMER-USD'!CY9/'02. Tỷ giá'!H$5,"-")</f>
        <v>1247.7783036877561</v>
      </c>
      <c r="T9" s="106">
        <f>IFERROR(SUMIFS('01. KE30'!$K:$K,'01. KE30'!$C:$C,'06. BC BH THEO CUSTOMER-USD'!$D9,'01. KE30'!$F:$F,'06. BC BH THEO CUSTOMER-USD'!$H9,'01. KE30'!$A:$A,'06. BC BH THEO CUSTOMER-USD'!T$4)/'06. BC BH THEO CUSTOMER-USD'!CZ9/'02. Tỷ giá'!I$5,"-")</f>
        <v>1235.4717341482046</v>
      </c>
      <c r="U9" s="106" t="str">
        <f>IFERROR(SUMIFS('01. KE30'!$K:$K,'01. KE30'!$C:$C,'06. BC BH THEO CUSTOMER-USD'!$D9,'01. KE30'!$F:$F,'06. BC BH THEO CUSTOMER-USD'!$H9,'01. KE30'!$A:$A,'06. BC BH THEO CUSTOMER-USD'!U$4)/'06. BC BH THEO CUSTOMER-USD'!DA9/'02. Tỷ giá'!J$5,"-")</f>
        <v>-</v>
      </c>
      <c r="V9" s="106" t="str">
        <f>IFERROR(SUMIFS('01. KE30'!$K:$K,'01. KE30'!$C:$C,'06. BC BH THEO CUSTOMER-USD'!$D9,'01. KE30'!$F:$F,'06. BC BH THEO CUSTOMER-USD'!$H9,'01. KE30'!$A:$A,'06. BC BH THEO CUSTOMER-USD'!V$4)/'06. BC BH THEO CUSTOMER-USD'!DB9/'02. Tỷ giá'!K$5,"-")</f>
        <v>-</v>
      </c>
      <c r="W9" s="106" t="str">
        <f>IFERROR(SUMIFS('01. KE30'!$K:$K,'01. KE30'!$C:$C,'06. BC BH THEO CUSTOMER-USD'!$D9,'01. KE30'!$F:$F,'06. BC BH THEO CUSTOMER-USD'!$H9,'01. KE30'!$A:$A,'06. BC BH THEO CUSTOMER-USD'!W$4)/'06. BC BH THEO CUSTOMER-USD'!DC9/'02. Tỷ giá'!L$5,"-")</f>
        <v>-</v>
      </c>
      <c r="X9" s="106" t="str">
        <f>IFERROR(SUMIFS('01. KE30'!$K:$K,'01. KE30'!$C:$C,'06. BC BH THEO CUSTOMER-USD'!$D9,'01. KE30'!$F:$F,'06. BC BH THEO CUSTOMER-USD'!$H9,'01. KE30'!$A:$A,'06. BC BH THEO CUSTOMER-USD'!X$4)/'06. BC BH THEO CUSTOMER-USD'!DD9/'02. Tỷ giá'!M$5,"-")</f>
        <v>-</v>
      </c>
      <c r="Z9" s="92">
        <f t="shared" si="43"/>
        <v>1230.8619933197922</v>
      </c>
      <c r="AA9" s="147" t="str">
        <f>IFERROR(SUMIFS('01. KE30'!$O:$O,'01. KE30'!$C:$C,'06. BC BH THEO CUSTOMER-USD'!$D9,'01. KE30'!$F:$F,'06. BC BH THEO CUSTOMER-USD'!$H9,'01. KE30'!$A:$A,'06. BC BH THEO CUSTOMER-USD'!M$4)/'06. BC BH THEO CUSTOMER-USD'!CS9/'02. Tỷ giá'!B$5,"-")</f>
        <v>-</v>
      </c>
      <c r="AB9" s="147" t="str">
        <f>IFERROR(SUMIFS('01. KE30'!$O:$O,'01. KE30'!$C:$C,'06. BC BH THEO CUSTOMER-USD'!$D9,'01. KE30'!$F:$F,'06. BC BH THEO CUSTOMER-USD'!$H9,'01. KE30'!$A:$A,'06. BC BH THEO CUSTOMER-USD'!N$4)/'06. BC BH THEO CUSTOMER-USD'!CT9/'02. Tỷ giá'!C$5,"-")</f>
        <v>-</v>
      </c>
      <c r="AC9" s="147">
        <f>IFERROR(SUMIFS('01. KE30'!$O:$O,'01. KE30'!$C:$C,'06. BC BH THEO CUSTOMER-USD'!$D9,'01. KE30'!$F:$F,'06. BC BH THEO CUSTOMER-USD'!$H9,'01. KE30'!$A:$A,'06. BC BH THEO CUSTOMER-USD'!O$4)/'06. BC BH THEO CUSTOMER-USD'!CU9/'02. Tỷ giá'!D$5,"-")</f>
        <v>1232.990220114531</v>
      </c>
      <c r="AD9" s="147">
        <f>IFERROR(SUMIFS('01. KE30'!$O:$O,'01. KE30'!$C:$C,'06. BC BH THEO CUSTOMER-USD'!$D9,'01. KE30'!$F:$F,'06. BC BH THEO CUSTOMER-USD'!$H9,'01. KE30'!$A:$A,'06. BC BH THEO CUSTOMER-USD'!P$4)/'06. BC BH THEO CUSTOMER-USD'!CV9/'02. Tỷ giá'!E$5,"-")</f>
        <v>1240.7913877450462</v>
      </c>
      <c r="AE9" s="147">
        <f>IFERROR(SUMIFS('01. KE30'!$O:$O,'01. KE30'!$C:$C,'06. BC BH THEO CUSTOMER-USD'!$D9,'01. KE30'!$F:$F,'06. BC BH THEO CUSTOMER-USD'!$H9,'01. KE30'!$A:$A,'06. BC BH THEO CUSTOMER-USD'!Q$4)/'06. BC BH THEO CUSTOMER-USD'!CW9/'02. Tỷ giá'!F$5,"-")</f>
        <v>1229.0354425929831</v>
      </c>
      <c r="AF9" s="147">
        <f>IFERROR(SUMIFS('01. KE30'!$O:$O,'01. KE30'!$C:$C,'06. BC BH THEO CUSTOMER-USD'!$D9,'01. KE30'!$F:$F,'06. BC BH THEO CUSTOMER-USD'!$H9,'01. KE30'!$A:$A,'06. BC BH THEO CUSTOMER-USD'!R$4)/'06. BC BH THEO CUSTOMER-USD'!CX9/'02. Tỷ giá'!G$5,"-")</f>
        <v>1233.1157109287317</v>
      </c>
      <c r="AG9" s="147">
        <f>IFERROR(SUMIFS('01. KE30'!$O:$O,'01. KE30'!$C:$C,'06. BC BH THEO CUSTOMER-USD'!$D9,'01. KE30'!$F:$F,'06. BC BH THEO CUSTOMER-USD'!$H9,'01. KE30'!$A:$A,'06. BC BH THEO CUSTOMER-USD'!S$4)/'06. BC BH THEO CUSTOMER-USD'!CY9/'02. Tỷ giá'!H$5,"-")</f>
        <v>1229.0588422627202</v>
      </c>
      <c r="AH9" s="147">
        <f>IFERROR(SUMIFS('01. KE30'!$O:$O,'01. KE30'!$C:$C,'06. BC BH THEO CUSTOMER-USD'!$D9,'01. KE30'!$F:$F,'06. BC BH THEO CUSTOMER-USD'!$H9,'01. KE30'!$A:$A,'06. BC BH THEO CUSTOMER-USD'!T$4)/'06. BC BH THEO CUSTOMER-USD'!CZ9/'02. Tỷ giá'!I$5,"-")</f>
        <v>1220.1803562747414</v>
      </c>
      <c r="AI9" s="147" t="str">
        <f>IFERROR(SUMIFS('01. KE30'!$O:$O,'01. KE30'!$C:$C,'06. BC BH THEO CUSTOMER-USD'!$D9,'01. KE30'!$F:$F,'06. BC BH THEO CUSTOMER-USD'!$H9,'01. KE30'!$A:$A,'06. BC BH THEO CUSTOMER-USD'!U$4)/'06. BC BH THEO CUSTOMER-USD'!DA9/'02. Tỷ giá'!J$5,"-")</f>
        <v>-</v>
      </c>
      <c r="AJ9" s="147" t="str">
        <f>IFERROR(SUMIFS('01. KE30'!$O:$O,'01. KE30'!$C:$C,'06. BC BH THEO CUSTOMER-USD'!$D9,'01. KE30'!$F:$F,'06. BC BH THEO CUSTOMER-USD'!$H9,'01. KE30'!$A:$A,'06. BC BH THEO CUSTOMER-USD'!V$4)/'06. BC BH THEO CUSTOMER-USD'!DB9/'02. Tỷ giá'!K$5,"-")</f>
        <v>-</v>
      </c>
      <c r="AK9" s="147" t="str">
        <f>IFERROR(SUMIFS('01. KE30'!$O:$O,'01. KE30'!$C:$C,'06. BC BH THEO CUSTOMER-USD'!$D9,'01. KE30'!$F:$F,'06. BC BH THEO CUSTOMER-USD'!$H9,'01. KE30'!$A:$A,'06. BC BH THEO CUSTOMER-USD'!W$4)/'06. BC BH THEO CUSTOMER-USD'!DC9/'02. Tỷ giá'!L$5,"-")</f>
        <v>-</v>
      </c>
      <c r="AL9" s="147" t="str">
        <f>IFERROR(SUMIFS('01. KE30'!$O:$O,'01. KE30'!$C:$C,'06. BC BH THEO CUSTOMER-USD'!$D9,'01. KE30'!$F:$F,'06. BC BH THEO CUSTOMER-USD'!$H9,'01. KE30'!$A:$A,'06. BC BH THEO CUSTOMER-USD'!X$4)/'06. BC BH THEO CUSTOMER-USD'!DD9/'02. Tỷ giá'!M$5,"-")</f>
        <v>-</v>
      </c>
      <c r="AN9" s="92">
        <f t="shared" si="44"/>
        <v>1236.6666666666667</v>
      </c>
      <c r="AO9" s="25">
        <v>1230</v>
      </c>
      <c r="AP9" s="25">
        <v>1230</v>
      </c>
      <c r="AQ9" s="25">
        <v>1230</v>
      </c>
      <c r="AR9" s="25">
        <f t="shared" si="61"/>
        <v>1250</v>
      </c>
      <c r="AS9" s="25">
        <v>1250</v>
      </c>
      <c r="AT9" s="25">
        <v>1250</v>
      </c>
      <c r="AU9" s="25">
        <v>1250</v>
      </c>
      <c r="AV9" s="4">
        <f t="shared" si="62"/>
        <v>1220</v>
      </c>
      <c r="AW9" s="25">
        <v>1220</v>
      </c>
      <c r="AX9" s="25"/>
      <c r="AY9" s="4"/>
      <c r="AZ9" s="4"/>
      <c r="BB9" s="95">
        <f t="shared" si="45"/>
        <v>-5.8046733468745515</v>
      </c>
      <c r="BC9" s="95" t="str">
        <f t="shared" si="46"/>
        <v>-</v>
      </c>
      <c r="BD9" s="95" t="str">
        <f t="shared" si="6"/>
        <v>-</v>
      </c>
      <c r="BE9" s="95">
        <f t="shared" si="6"/>
        <v>2.9902201145309846</v>
      </c>
      <c r="BF9" s="95">
        <f t="shared" si="6"/>
        <v>-9.2086122549537777</v>
      </c>
      <c r="BG9" s="95">
        <f t="shared" si="6"/>
        <v>-20.964557407016855</v>
      </c>
      <c r="BH9" s="95">
        <f t="shared" si="6"/>
        <v>-16.884289071268313</v>
      </c>
      <c r="BI9" s="95">
        <f t="shared" si="6"/>
        <v>-20.941157737279809</v>
      </c>
      <c r="BJ9" s="95">
        <f t="shared" si="6"/>
        <v>0.18035627474137073</v>
      </c>
      <c r="BK9" s="95" t="str">
        <f t="shared" si="6"/>
        <v>-</v>
      </c>
      <c r="BL9" s="95" t="str">
        <f t="shared" si="6"/>
        <v>-</v>
      </c>
      <c r="BM9" s="95" t="str">
        <f t="shared" si="6"/>
        <v>-</v>
      </c>
      <c r="BN9" s="95" t="str">
        <f t="shared" si="6"/>
        <v>-</v>
      </c>
      <c r="BP9" s="143">
        <f t="shared" si="47"/>
        <v>-4.6938059408689094E-3</v>
      </c>
      <c r="BQ9" s="143" t="str">
        <f t="shared" si="8"/>
        <v>-</v>
      </c>
      <c r="BR9" s="143" t="str">
        <f t="shared" si="9"/>
        <v>-</v>
      </c>
      <c r="BS9" s="143">
        <f t="shared" si="10"/>
        <v>2.4310732638463291E-3</v>
      </c>
      <c r="BT9" s="143">
        <f t="shared" si="11"/>
        <v>-7.3668898039630218E-3</v>
      </c>
      <c r="BU9" s="143">
        <f t="shared" si="12"/>
        <v>-1.6771645925613483E-2</v>
      </c>
      <c r="BV9" s="143">
        <f t="shared" si="13"/>
        <v>-1.3507431257014651E-2</v>
      </c>
      <c r="BW9" s="143">
        <f t="shared" si="14"/>
        <v>-1.6752926189823849E-2</v>
      </c>
      <c r="BX9" s="143">
        <f t="shared" si="15"/>
        <v>1.4783301208309076E-4</v>
      </c>
      <c r="BY9" s="143" t="str">
        <f t="shared" si="16"/>
        <v>-</v>
      </c>
      <c r="BZ9" s="143" t="str">
        <f t="shared" si="17"/>
        <v>-</v>
      </c>
      <c r="CA9" s="143" t="str">
        <f t="shared" si="18"/>
        <v>-</v>
      </c>
      <c r="CB9" s="143" t="str">
        <f t="shared" si="19"/>
        <v>-</v>
      </c>
      <c r="CD9" s="112">
        <f t="shared" si="25"/>
        <v>1059.6199056615039</v>
      </c>
      <c r="CE9" s="95" t="str">
        <f>IFERROR(SUMIFS('01. KE30'!$R:$R,'01. KE30'!$C:$C,'06. BC BH THEO CUSTOMER-USD'!$D9,'01. KE30'!$F:$F,'06. BC BH THEO CUSTOMER-USD'!$H9,'01. KE30'!$A:$A,'06. BC BH THEO CUSTOMER-USD'!CE$4)/CS9/'02. Tỷ giá'!B$5," -")</f>
        <v xml:space="preserve"> -</v>
      </c>
      <c r="CF9" s="95" t="str">
        <f>IFERROR(SUMIFS('01. KE30'!$R:$R,'01. KE30'!$C:$C,'06. BC BH THEO CUSTOMER-USD'!$D9,'01. KE30'!$F:$F,'06. BC BH THEO CUSTOMER-USD'!$H9,'01. KE30'!$A:$A,'06. BC BH THEO CUSTOMER-USD'!CF$4)/CT9/'02. Tỷ giá'!C$5," -")</f>
        <v xml:space="preserve"> -</v>
      </c>
      <c r="CG9" s="95">
        <f>IFERROR(SUMIFS('01. KE30'!$R:$R,'01. KE30'!$C:$C,'06. BC BH THEO CUSTOMER-USD'!$D9,'01. KE30'!$F:$F,'06. BC BH THEO CUSTOMER-USD'!$H9,'01. KE30'!$A:$A,'06. BC BH THEO CUSTOMER-USD'!CG$4)/CU9/'02. Tỷ giá'!D$5," -")</f>
        <v>1032.9728990694346</v>
      </c>
      <c r="CH9" s="95">
        <f>IFERROR(SUMIFS('01. KE30'!$R:$R,'01. KE30'!$C:$C,'06. BC BH THEO CUSTOMER-USD'!$D9,'01. KE30'!$F:$F,'06. BC BH THEO CUSTOMER-USD'!$H9,'01. KE30'!$A:$A,'06. BC BH THEO CUSTOMER-USD'!CH$4)/CV9/'02. Tỷ giá'!E$5," -")</f>
        <v>1040.2917045014606</v>
      </c>
      <c r="CI9" s="95">
        <f>IFERROR(SUMIFS('01. KE30'!$R:$R,'01. KE30'!$C:$C,'06. BC BH THEO CUSTOMER-USD'!$D9,'01. KE30'!$F:$F,'06. BC BH THEO CUSTOMER-USD'!$H9,'01. KE30'!$A:$A,'06. BC BH THEO CUSTOMER-USD'!CI$4)/CW9/'02. Tỷ giá'!F$5," -")</f>
        <v>1049.5963931659987</v>
      </c>
      <c r="CJ9" s="95">
        <f>IFERROR(SUMIFS('01. KE30'!$R:$R,'01. KE30'!$C:$C,'06. BC BH THEO CUSTOMER-USD'!$D9,'01. KE30'!$F:$F,'06. BC BH THEO CUSTOMER-USD'!$H9,'01. KE30'!$A:$A,'06. BC BH THEO CUSTOMER-USD'!CJ$4)/CX9/'02. Tỷ giá'!G$5," -")</f>
        <v>1078.8699266975309</v>
      </c>
      <c r="CK9" s="95">
        <f>IFERROR(SUMIFS('01. KE30'!$R:$R,'01. KE30'!$C:$C,'06. BC BH THEO CUSTOMER-USD'!$D9,'01. KE30'!$F:$F,'06. BC BH THEO CUSTOMER-USD'!$H9,'01. KE30'!$A:$A,'06. BC BH THEO CUSTOMER-USD'!CK$4)/CY9/'02. Tỷ giá'!H$5," -")</f>
        <v>1095.1091942626351</v>
      </c>
      <c r="CL9" s="95">
        <f>IFERROR(SUMIFS('01. KE30'!$R:$R,'01. KE30'!$C:$C,'06. BC BH THEO CUSTOMER-USD'!$D9,'01. KE30'!$F:$F,'06. BC BH THEO CUSTOMER-USD'!$H9,'01. KE30'!$A:$A,'06. BC BH THEO CUSTOMER-USD'!CL$4)/CZ9/'02. Tỷ giá'!I$5," -")</f>
        <v>1060.8793162719633</v>
      </c>
      <c r="CM9" s="95" t="str">
        <f>IFERROR(SUMIFS('01. KE30'!$R:$R,'01. KE30'!$C:$C,'06. BC BH THEO CUSTOMER-USD'!$D9,'01. KE30'!$F:$F,'06. BC BH THEO CUSTOMER-USD'!$H9,'01. KE30'!$A:$A,'06. BC BH THEO CUSTOMER-USD'!CM$4)/DA9/'02. Tỷ giá'!J$5," -")</f>
        <v xml:space="preserve"> -</v>
      </c>
      <c r="CN9" s="95" t="str">
        <f>IFERROR(SUMIFS('01. KE30'!$R:$R,'01. KE30'!$C:$C,'06. BC BH THEO CUSTOMER-USD'!$D9,'01. KE30'!$F:$F,'06. BC BH THEO CUSTOMER-USD'!$H9,'01. KE30'!$A:$A,'06. BC BH THEO CUSTOMER-USD'!CN$4)/DB9/'02. Tỷ giá'!K$5," -")</f>
        <v xml:space="preserve"> -</v>
      </c>
      <c r="CO9" s="95" t="str">
        <f>IFERROR(SUMIFS('01. KE30'!$R:$R,'01. KE30'!$C:$C,'06. BC BH THEO CUSTOMER-USD'!$D9,'01. KE30'!$F:$F,'06. BC BH THEO CUSTOMER-USD'!$H9,'01. KE30'!$A:$A,'06. BC BH THEO CUSTOMER-USD'!CO$4)/DC9/'02. Tỷ giá'!L$5," -")</f>
        <v xml:space="preserve"> -</v>
      </c>
      <c r="CP9" s="95" t="str">
        <f>IFERROR(SUMIFS('01. KE30'!$R:$R,'01. KE30'!$C:$C,'06. BC BH THEO CUSTOMER-USD'!$D9,'01. KE30'!$F:$F,'06. BC BH THEO CUSTOMER-USD'!$H9,'01. KE30'!$A:$A,'06. BC BH THEO CUSTOMER-USD'!CP$4)/DD9/'02. Tỷ giá'!M$5," -")</f>
        <v xml:space="preserve"> -</v>
      </c>
      <c r="CR9" s="112">
        <f t="shared" si="26"/>
        <v>350.9</v>
      </c>
      <c r="CS9" s="114">
        <f>SUMIFS('01. KE30'!$I:$I,'01. KE30'!$C:$C,'06. BC BH THEO CUSTOMER-USD'!$D9,'01. KE30'!$F:$F,'06. BC BH THEO CUSTOMER-USD'!$H9,'01. KE30'!$A:$A,'06. BC BH THEO CUSTOMER-USD'!CS$4)/1000</f>
        <v>0</v>
      </c>
      <c r="CT9" s="114">
        <f>SUMIFS('01. KE30'!$I:$I,'01. KE30'!$C:$C,'06. BC BH THEO CUSTOMER-USD'!$D9,'01. KE30'!$F:$F,'06. BC BH THEO CUSTOMER-USD'!$H9,'01. KE30'!$A:$A,'06. BC BH THEO CUSTOMER-USD'!CT$4)/1000</f>
        <v>0</v>
      </c>
      <c r="CU9" s="114">
        <f>SUMIFS('01. KE30'!$I:$I,'01. KE30'!$C:$C,'06. BC BH THEO CUSTOMER-USD'!$D9,'01. KE30'!$F:$F,'06. BC BH THEO CUSTOMER-USD'!$H9,'01. KE30'!$A:$A,'06. BC BH THEO CUSTOMER-USD'!CU$4)/1000</f>
        <v>44</v>
      </c>
      <c r="CV9" s="725">
        <f>SUMIFS('01. KE30'!$I:$I,'01. KE30'!$C:$C,'06. BC BH THEO CUSTOMER-USD'!$D9,'01. KE30'!$F:$F,'06. BC BH THEO CUSTOMER-USD'!$H9,'01. KE30'!$A:$A,'06. BC BH THEO CUSTOMER-USD'!CV$4)/1000</f>
        <v>44</v>
      </c>
      <c r="CW9" s="114">
        <f>SUMIFS('01. KE30'!$I:$I,'01. KE30'!$C:$C,'06. BC BH THEO CUSTOMER-USD'!$D9,'01. KE30'!$F:$F,'06. BC BH THEO CUSTOMER-USD'!$H9,'01. KE30'!$A:$A,'06. BC BH THEO CUSTOMER-USD'!CW$4)/1000</f>
        <v>88</v>
      </c>
      <c r="CX9" s="114">
        <f>SUMIFS('01. KE30'!$I:$I,'01. KE30'!$C:$C,'06. BC BH THEO CUSTOMER-USD'!$D9,'01. KE30'!$F:$F,'06. BC BH THEO CUSTOMER-USD'!$H9,'01. KE30'!$A:$A,'06. BC BH THEO CUSTOMER-USD'!CX$4)/1000</f>
        <v>44</v>
      </c>
      <c r="CY9" s="114">
        <f>SUMIFS('01. KE30'!$I:$I,'01. KE30'!$C:$C,'06. BC BH THEO CUSTOMER-USD'!$D9,'01. KE30'!$F:$F,'06. BC BH THEO CUSTOMER-USD'!$H9,'01. KE30'!$A:$A,'06. BC BH THEO CUSTOMER-USD'!CY$4)/1000</f>
        <v>64.900000000000006</v>
      </c>
      <c r="CZ9" s="114">
        <f>SUMIFS('01. KE30'!$I:$I,'01. KE30'!$C:$C,'06. BC BH THEO CUSTOMER-USD'!$D9,'01. KE30'!$F:$F,'06. BC BH THEO CUSTOMER-USD'!$H9,'01. KE30'!$A:$A,'06. BC BH THEO CUSTOMER-USD'!CZ$4)/1000</f>
        <v>66</v>
      </c>
      <c r="DA9" s="114">
        <f>SUMIFS('01. KE30'!$I:$I,'01. KE30'!$C:$C,'06. BC BH THEO CUSTOMER-USD'!$D9,'01. KE30'!$F:$F,'06. BC BH THEO CUSTOMER-USD'!$H9,'01. KE30'!$A:$A,'06. BC BH THEO CUSTOMER-USD'!DA$4)/1000</f>
        <v>0</v>
      </c>
      <c r="DB9" s="114">
        <f>SUMIFS('01. KE30'!$I:$I,'01. KE30'!$C:$C,'06. BC BH THEO CUSTOMER-USD'!$D9,'01. KE30'!$F:$F,'06. BC BH THEO CUSTOMER-USD'!$H9,'01. KE30'!$A:$A,'06. BC BH THEO CUSTOMER-USD'!DB$4)/1000</f>
        <v>0</v>
      </c>
      <c r="DC9" s="114">
        <f>SUMIFS('01. KE30'!$I:$I,'01. KE30'!$C:$C,'06. BC BH THEO CUSTOMER-USD'!$D9,'01. KE30'!$F:$F,'06. BC BH THEO CUSTOMER-USD'!$H9,'01. KE30'!$A:$A,'06. BC BH THEO CUSTOMER-USD'!DC$4)/1000</f>
        <v>0</v>
      </c>
      <c r="DD9" s="114">
        <f>SUMIFS('01. KE30'!$I:$I,'01. KE30'!$C:$C,'06. BC BH THEO CUSTOMER-USD'!$D9,'01. KE30'!$F:$F,'06. BC BH THEO CUSTOMER-USD'!$H9,'01. KE30'!$A:$A,'06. BC BH THEO CUSTOMER-USD'!DD$4)/1000</f>
        <v>0</v>
      </c>
      <c r="DF9" s="112">
        <f t="shared" si="27"/>
        <v>437763.46980823472</v>
      </c>
      <c r="DG9" s="54" t="str">
        <f t="shared" si="48"/>
        <v>-</v>
      </c>
      <c r="DH9" s="54" t="str">
        <f t="shared" si="49"/>
        <v>-</v>
      </c>
      <c r="DI9" s="54">
        <f t="shared" si="50"/>
        <v>55092.399999999994</v>
      </c>
      <c r="DJ9" s="54">
        <f t="shared" si="51"/>
        <v>55363.324506387922</v>
      </c>
      <c r="DK9" s="54">
        <f t="shared" si="52"/>
        <v>109722.1415313225</v>
      </c>
      <c r="DL9" s="54">
        <f t="shared" si="53"/>
        <v>55063.657407407409</v>
      </c>
      <c r="DM9" s="54">
        <f t="shared" si="54"/>
        <v>80980.811909335374</v>
      </c>
      <c r="DN9" s="54">
        <f t="shared" si="55"/>
        <v>81541.134453781502</v>
      </c>
      <c r="DO9" s="54" t="str">
        <f t="shared" si="56"/>
        <v>-</v>
      </c>
      <c r="DP9" s="54" t="str">
        <f t="shared" si="57"/>
        <v>-</v>
      </c>
      <c r="DQ9" s="54" t="str">
        <f t="shared" si="58"/>
        <v>-</v>
      </c>
      <c r="DR9" s="54" t="str">
        <f t="shared" si="59"/>
        <v>-</v>
      </c>
      <c r="DT9" s="112">
        <f t="shared" si="60"/>
        <v>59407.399839838348</v>
      </c>
      <c r="DU9" s="114">
        <f>IFERROR(SUMIFS('01. KE30'!$X:$X,'01. KE30'!$C:$C,'06. BC BH THEO CUSTOMER-USD'!$D9,'01. KE30'!$F:$F,'06. BC BH THEO CUSTOMER-USD'!$H9,'01. KE30'!$A:$A,'06. BC BH THEO CUSTOMER-USD'!DU$4)-SUMIFS('01. KE30'!$AA:$AA,'01. KE30'!$C:$C,'06. BC BH THEO CUSTOMER-USD'!$D9,'01. KE30'!$F:$F,'06. BC BH THEO CUSTOMER-USD'!$H9,'01. KE30'!$A:$A,'06. BC BH THEO CUSTOMER-USD'!DU$4),"-")</f>
        <v>0</v>
      </c>
      <c r="DV9" s="114">
        <f>IFERROR(SUMIFS('01. KE30'!$X:$X,'01. KE30'!$C:$C,'06. BC BH THEO CUSTOMER-USD'!$D9,'01. KE30'!$F:$F,'06. BC BH THEO CUSTOMER-USD'!$H9,'01. KE30'!$A:$A,'06. BC BH THEO CUSTOMER-USD'!DV$4)-SUMIFS('01. KE30'!$AA:$AA,'01. KE30'!$C:$C,'06. BC BH THEO CUSTOMER-USD'!$D9,'01. KE30'!$F:$F,'06. BC BH THEO CUSTOMER-USD'!$H9,'01. KE30'!$A:$A,'06. BC BH THEO CUSTOMER-USD'!DV$4),"-")</f>
        <v>0</v>
      </c>
      <c r="DW9" s="114">
        <f>IFERROR(SUMIFS('01. KE30'!$X:$X,'01. KE30'!$C:$C,'06. BC BH THEO CUSTOMER-USD'!$D9,'01. KE30'!$F:$F,'06. BC BH THEO CUSTOMER-USD'!$H9,'01. KE30'!$A:$A,'06. BC BH THEO CUSTOMER-USD'!DW$4)-SUMIFS('01. KE30'!$AA:$AA,'01. KE30'!$C:$C,'06. BC BH THEO CUSTOMER-USD'!$D9,'01. KE30'!$F:$F,'06. BC BH THEO CUSTOMER-USD'!$H9,'01. KE30'!$A:$A,'06. BC BH THEO CUSTOMER-USD'!DW$4),"-")</f>
        <v>8800.7621259842563</v>
      </c>
      <c r="DX9" s="114">
        <f>IFERROR(SUMIFS('01. KE30'!$X:$X,'01. KE30'!$C:$C,'06. BC BH THEO CUSTOMER-USD'!$D9,'01. KE30'!$F:$F,'06. BC BH THEO CUSTOMER-USD'!$H9,'01. KE30'!$A:$A,'06. BC BH THEO CUSTOMER-USD'!DX$4)-SUMIFS('01. KE30'!$AA:$AA,'01. KE30'!$C:$C,'06. BC BH THEO CUSTOMER-USD'!$D9,'01. KE30'!$F:$F,'06. BC BH THEO CUSTOMER-USD'!$H9,'01. KE30'!$A:$A,'06. BC BH THEO CUSTOMER-USD'!DX$4),"-")</f>
        <v>8821.9860627177695</v>
      </c>
      <c r="DY9" s="114">
        <f>IFERROR(SUMIFS('01. KE30'!$X:$X,'01. KE30'!$C:$C,'06. BC BH THEO CUSTOMER-USD'!$D9,'01. KE30'!$F:$F,'06. BC BH THEO CUSTOMER-USD'!$H9,'01. KE30'!$A:$A,'06. BC BH THEO CUSTOMER-USD'!DY$4)-SUMIFS('01. KE30'!$AA:$AA,'01. KE30'!$C:$C,'06. BC BH THEO CUSTOMER-USD'!$D9,'01. KE30'!$F:$F,'06. BC BH THEO CUSTOMER-USD'!$H9,'01. KE30'!$A:$A,'06. BC BH THEO CUSTOMER-USD'!DY$4),"-")</f>
        <v>15790.636349574619</v>
      </c>
      <c r="DZ9" s="114">
        <f>IFERROR(SUMIFS('01. KE30'!$X:$X,'01. KE30'!$C:$C,'06. BC BH THEO CUSTOMER-USD'!$D9,'01. KE30'!$F:$F,'06. BC BH THEO CUSTOMER-USD'!$H9,'01. KE30'!$A:$A,'06. BC BH THEO CUSTOMER-USD'!DZ$4)-SUMIFS('01. KE30'!$AA:$AA,'01. KE30'!$C:$C,'06. BC BH THEO CUSTOMER-USD'!$D9,'01. KE30'!$F:$F,'06. BC BH THEO CUSTOMER-USD'!$H9,'01. KE30'!$A:$A,'06. BC BH THEO CUSTOMER-USD'!DZ$4),"-")</f>
        <v>6786.8145061728355</v>
      </c>
      <c r="EA9" s="114">
        <f>IFERROR(SUMIFS('01. KE30'!$X:$X,'01. KE30'!$C:$C,'06. BC BH THEO CUSTOMER-USD'!$D9,'01. KE30'!$F:$F,'06. BC BH THEO CUSTOMER-USD'!$H9,'01. KE30'!$A:$A,'06. BC BH THEO CUSTOMER-USD'!EA$4)-SUMIFS('01. KE30'!$AA:$AA,'01. KE30'!$C:$C,'06. BC BH THEO CUSTOMER-USD'!$D9,'01. KE30'!$F:$F,'06. BC BH THEO CUSTOMER-USD'!$H9,'01. KE30'!$A:$A,'06. BC BH THEO CUSTOMER-USD'!EA$4),"-")</f>
        <v>8693.3321552055277</v>
      </c>
      <c r="EB9" s="114">
        <f>IFERROR(SUMIFS('01. KE30'!$X:$X,'01. KE30'!$C:$C,'06. BC BH THEO CUSTOMER-USD'!$D9,'01. KE30'!$F:$F,'06. BC BH THEO CUSTOMER-USD'!$H9,'01. KE30'!$A:$A,'06. BC BH THEO CUSTOMER-USD'!EB$4)-SUMIFS('01. KE30'!$AA:$AA,'01. KE30'!$C:$C,'06. BC BH THEO CUSTOMER-USD'!$D9,'01. KE30'!$F:$F,'06. BC BH THEO CUSTOMER-USD'!$H9,'01. KE30'!$A:$A,'06. BC BH THEO CUSTOMER-USD'!EB$4),"-")</f>
        <v>10513.86864018334</v>
      </c>
      <c r="EC9" s="114">
        <f>IFERROR(SUMIFS('01. KE30'!$X:$X,'01. KE30'!$C:$C,'06. BC BH THEO CUSTOMER-USD'!$D9,'01. KE30'!$F:$F,'06. BC BH THEO CUSTOMER-USD'!$H9,'01. KE30'!$A:$A,'06. BC BH THEO CUSTOMER-USD'!EC$4)-SUMIFS('01. KE30'!$AA:$AA,'01. KE30'!$C:$C,'06. BC BH THEO CUSTOMER-USD'!$D9,'01. KE30'!$F:$F,'06. BC BH THEO CUSTOMER-USD'!$H9,'01. KE30'!$A:$A,'06. BC BH THEO CUSTOMER-USD'!EC$4),"-")</f>
        <v>0</v>
      </c>
      <c r="ED9" s="114">
        <f>IFERROR(SUMIFS('01. KE30'!$X:$X,'01. KE30'!$C:$C,'06. BC BH THEO CUSTOMER-USD'!$D9,'01. KE30'!$F:$F,'06. BC BH THEO CUSTOMER-USD'!$H9,'01. KE30'!$A:$A,'06. BC BH THEO CUSTOMER-USD'!ED$4)-SUMIFS('01. KE30'!$AA:$AA,'01. KE30'!$C:$C,'06. BC BH THEO CUSTOMER-USD'!$D9,'01. KE30'!$F:$F,'06. BC BH THEO CUSTOMER-USD'!$H9,'01. KE30'!$A:$A,'06. BC BH THEO CUSTOMER-USD'!ED$4),"-")</f>
        <v>0</v>
      </c>
      <c r="EE9" s="114">
        <f>IFERROR(SUMIFS('01. KE30'!$X:$X,'01. KE30'!$C:$C,'06. BC BH THEO CUSTOMER-USD'!$D9,'01. KE30'!$F:$F,'06. BC BH THEO CUSTOMER-USD'!$H9,'01. KE30'!$A:$A,'06. BC BH THEO CUSTOMER-USD'!EE$4)-SUMIFS('01. KE30'!$AA:$AA,'01. KE30'!$C:$C,'06. BC BH THEO CUSTOMER-USD'!$D9,'01. KE30'!$F:$F,'06. BC BH THEO CUSTOMER-USD'!$H9,'01. KE30'!$A:$A,'06. BC BH THEO CUSTOMER-USD'!EE$4),"-")</f>
        <v>0</v>
      </c>
      <c r="EF9" s="114">
        <f>IFERROR(SUMIFS('01. KE30'!$X:$X,'01. KE30'!$C:$C,'06. BC BH THEO CUSTOMER-USD'!$D9,'01. KE30'!$F:$F,'06. BC BH THEO CUSTOMER-USD'!$H9,'01. KE30'!$A:$A,'06. BC BH THEO CUSTOMER-USD'!EF$4)-SUMIFS('01. KE30'!$AA:$AA,'01. KE30'!$C:$C,'06. BC BH THEO CUSTOMER-USD'!$D9,'01. KE30'!$F:$F,'06. BC BH THEO CUSTOMER-USD'!$H9,'01. KE30'!$A:$A,'06. BC BH THEO CUSTOMER-USD'!EF$4),"-")</f>
        <v>0</v>
      </c>
      <c r="EH9" s="571">
        <f t="shared" si="29"/>
        <v>0.13570661769896461</v>
      </c>
      <c r="EI9" s="572" t="str">
        <f t="shared" si="30"/>
        <v>-</v>
      </c>
      <c r="EJ9" s="572" t="str">
        <f t="shared" si="31"/>
        <v>-</v>
      </c>
      <c r="EK9" s="572">
        <f t="shared" si="32"/>
        <v>0.15974548442224804</v>
      </c>
      <c r="EL9" s="572">
        <f t="shared" si="33"/>
        <v>0.15934711546630248</v>
      </c>
      <c r="EM9" s="572">
        <f t="shared" si="34"/>
        <v>0.14391476623764993</v>
      </c>
      <c r="EN9" s="572">
        <f t="shared" si="35"/>
        <v>0.1232539723244</v>
      </c>
      <c r="EO9" s="572">
        <f t="shared" si="36"/>
        <v>0.10735051860110296</v>
      </c>
      <c r="EP9" s="572">
        <f t="shared" si="37"/>
        <v>0.1289394452335309</v>
      </c>
      <c r="EQ9" s="572" t="str">
        <f t="shared" si="38"/>
        <v>-</v>
      </c>
      <c r="ER9" s="572" t="str">
        <f t="shared" si="39"/>
        <v>-</v>
      </c>
      <c r="ES9" s="572" t="str">
        <f t="shared" si="40"/>
        <v>-</v>
      </c>
      <c r="ET9" s="572" t="str">
        <f t="shared" si="41"/>
        <v>-</v>
      </c>
    </row>
    <row r="10" spans="1:150" ht="15.5" hidden="1" outlineLevel="1" x14ac:dyDescent="0.35">
      <c r="A10" s="27">
        <f t="shared" ref="A10:A83" si="63">A9+1</f>
        <v>5</v>
      </c>
      <c r="B10" s="27" t="s">
        <v>283</v>
      </c>
      <c r="C10" s="442" t="s">
        <v>572</v>
      </c>
      <c r="D10" s="9" t="s">
        <v>161</v>
      </c>
      <c r="E10" s="31" t="s">
        <v>160</v>
      </c>
      <c r="F10" s="31" t="s">
        <v>175</v>
      </c>
      <c r="G10" s="12" t="str">
        <f>_xlfn.XLOOKUP(F10,'Quy đổi'!$G$5:$G$32,'Quy đổi'!$H$5:$H$32,0)</f>
        <v>Bắc Mỹ</v>
      </c>
      <c r="H10" s="77" t="s">
        <v>126</v>
      </c>
      <c r="I10" s="31" t="s">
        <v>159</v>
      </c>
      <c r="J10" s="13" t="s">
        <v>26</v>
      </c>
      <c r="K10" s="35" t="s">
        <v>113</v>
      </c>
      <c r="L10" s="92" t="str">
        <f t="shared" si="42"/>
        <v>-</v>
      </c>
      <c r="M10" s="106" t="str">
        <f>IFERROR(SUMIFS('01. KE30'!$K:$K,'01. KE30'!$C:$C,'06. BC BH THEO CUSTOMER-USD'!$D10,'01. KE30'!$F:$F,'06. BC BH THEO CUSTOMER-USD'!$H10,'01. KE30'!$A:$A,'06. BC BH THEO CUSTOMER-USD'!M$4)/'06. BC BH THEO CUSTOMER-USD'!CS10/'02. Tỷ giá'!B$5,"-")</f>
        <v>-</v>
      </c>
      <c r="N10" s="106" t="str">
        <f>IFERROR(SUMIFS('01. KE30'!$K:$K,'01. KE30'!$C:$C,'06. BC BH THEO CUSTOMER-USD'!$D10,'01. KE30'!$F:$F,'06. BC BH THEO CUSTOMER-USD'!$H10,'01. KE30'!$A:$A,'06. BC BH THEO CUSTOMER-USD'!N$4)/'06. BC BH THEO CUSTOMER-USD'!CT10/'02. Tỷ giá'!C$5,"-")</f>
        <v>-</v>
      </c>
      <c r="O10" s="106" t="str">
        <f>IFERROR(SUMIFS('01. KE30'!$K:$K,'01. KE30'!$C:$C,'06. BC BH THEO CUSTOMER-USD'!$D10,'01. KE30'!$F:$F,'06. BC BH THEO CUSTOMER-USD'!$H10,'01. KE30'!$A:$A,'06. BC BH THEO CUSTOMER-USD'!O$4)/'06. BC BH THEO CUSTOMER-USD'!CU10/'02. Tỷ giá'!D$5,"-")</f>
        <v>-</v>
      </c>
      <c r="P10" s="106" t="str">
        <f>IFERROR(SUMIFS('01. KE30'!$K:$K,'01. KE30'!$C:$C,'06. BC BH THEO CUSTOMER-USD'!$D10,'01. KE30'!$F:$F,'06. BC BH THEO CUSTOMER-USD'!$H10,'01. KE30'!$A:$A,'06. BC BH THEO CUSTOMER-USD'!P$4)/'06. BC BH THEO CUSTOMER-USD'!CV10/'02. Tỷ giá'!E$5,"-")</f>
        <v>-</v>
      </c>
      <c r="Q10" s="106" t="str">
        <f>IFERROR(SUMIFS('01. KE30'!$K:$K,'01. KE30'!$C:$C,'06. BC BH THEO CUSTOMER-USD'!$D10,'01. KE30'!$F:$F,'06. BC BH THEO CUSTOMER-USD'!$H10,'01. KE30'!$A:$A,'06. BC BH THEO CUSTOMER-USD'!Q$4)/'06. BC BH THEO CUSTOMER-USD'!CW10/'02. Tỷ giá'!F$5,"-")</f>
        <v>-</v>
      </c>
      <c r="R10" s="106" t="str">
        <f>IFERROR(SUMIFS('01. KE30'!$K:$K,'01. KE30'!$C:$C,'06. BC BH THEO CUSTOMER-USD'!$D10,'01. KE30'!$F:$F,'06. BC BH THEO CUSTOMER-USD'!$H10,'01. KE30'!$A:$A,'06. BC BH THEO CUSTOMER-USD'!R$4)/'06. BC BH THEO CUSTOMER-USD'!CX10/'02. Tỷ giá'!G$5,"-")</f>
        <v>-</v>
      </c>
      <c r="S10" s="106" t="str">
        <f>IFERROR(SUMIFS('01. KE30'!$K:$K,'01. KE30'!$C:$C,'06. BC BH THEO CUSTOMER-USD'!$D10,'01. KE30'!$F:$F,'06. BC BH THEO CUSTOMER-USD'!$H10,'01. KE30'!$A:$A,'06. BC BH THEO CUSTOMER-USD'!S$4)/'06. BC BH THEO CUSTOMER-USD'!CY10/'02. Tỷ giá'!H$5,"-")</f>
        <v>-</v>
      </c>
      <c r="T10" s="106" t="str">
        <f>IFERROR(SUMIFS('01. KE30'!$K:$K,'01. KE30'!$C:$C,'06. BC BH THEO CUSTOMER-USD'!$D10,'01. KE30'!$F:$F,'06. BC BH THEO CUSTOMER-USD'!$H10,'01. KE30'!$A:$A,'06. BC BH THEO CUSTOMER-USD'!T$4)/'06. BC BH THEO CUSTOMER-USD'!CZ10/'02. Tỷ giá'!I$5,"-")</f>
        <v>-</v>
      </c>
      <c r="U10" s="106" t="str">
        <f>IFERROR(SUMIFS('01. KE30'!$K:$K,'01. KE30'!$C:$C,'06. BC BH THEO CUSTOMER-USD'!$D10,'01. KE30'!$F:$F,'06. BC BH THEO CUSTOMER-USD'!$H10,'01. KE30'!$A:$A,'06. BC BH THEO CUSTOMER-USD'!U$4)/'06. BC BH THEO CUSTOMER-USD'!DA10/'02. Tỷ giá'!J$5,"-")</f>
        <v>-</v>
      </c>
      <c r="V10" s="106" t="str">
        <f>IFERROR(SUMIFS('01. KE30'!$K:$K,'01. KE30'!$C:$C,'06. BC BH THEO CUSTOMER-USD'!$D10,'01. KE30'!$F:$F,'06. BC BH THEO CUSTOMER-USD'!$H10,'01. KE30'!$A:$A,'06. BC BH THEO CUSTOMER-USD'!V$4)/'06. BC BH THEO CUSTOMER-USD'!DB10/'02. Tỷ giá'!K$5,"-")</f>
        <v>-</v>
      </c>
      <c r="W10" s="106" t="str">
        <f>IFERROR(SUMIFS('01. KE30'!$K:$K,'01. KE30'!$C:$C,'06. BC BH THEO CUSTOMER-USD'!$D10,'01. KE30'!$F:$F,'06. BC BH THEO CUSTOMER-USD'!$H10,'01. KE30'!$A:$A,'06. BC BH THEO CUSTOMER-USD'!W$4)/'06. BC BH THEO CUSTOMER-USD'!DC10/'02. Tỷ giá'!L$5,"-")</f>
        <v>-</v>
      </c>
      <c r="X10" s="106" t="str">
        <f>IFERROR(SUMIFS('01. KE30'!$K:$K,'01. KE30'!$C:$C,'06. BC BH THEO CUSTOMER-USD'!$D10,'01. KE30'!$F:$F,'06. BC BH THEO CUSTOMER-USD'!$H10,'01. KE30'!$A:$A,'06. BC BH THEO CUSTOMER-USD'!X$4)/'06. BC BH THEO CUSTOMER-USD'!DD10/'02. Tỷ giá'!M$5,"-")</f>
        <v>-</v>
      </c>
      <c r="Z10" s="92" t="str">
        <f t="shared" si="43"/>
        <v>-</v>
      </c>
      <c r="AA10" s="147" t="str">
        <f>IFERROR(SUMIFS('01. KE30'!$O:$O,'01. KE30'!$C:$C,'06. BC BH THEO CUSTOMER-USD'!$D10,'01. KE30'!$F:$F,'06. BC BH THEO CUSTOMER-USD'!$H10,'01. KE30'!$A:$A,'06. BC BH THEO CUSTOMER-USD'!M$4)/'06. BC BH THEO CUSTOMER-USD'!CS10/'02. Tỷ giá'!B$5,"-")</f>
        <v>-</v>
      </c>
      <c r="AB10" s="147" t="str">
        <f>IFERROR(SUMIFS('01. KE30'!$O:$O,'01. KE30'!$C:$C,'06. BC BH THEO CUSTOMER-USD'!$D10,'01. KE30'!$F:$F,'06. BC BH THEO CUSTOMER-USD'!$H10,'01. KE30'!$A:$A,'06. BC BH THEO CUSTOMER-USD'!N$4)/'06. BC BH THEO CUSTOMER-USD'!CT10/'02. Tỷ giá'!C$5,"-")</f>
        <v>-</v>
      </c>
      <c r="AC10" s="147" t="str">
        <f>IFERROR(SUMIFS('01. KE30'!$O:$O,'01. KE30'!$C:$C,'06. BC BH THEO CUSTOMER-USD'!$D10,'01. KE30'!$F:$F,'06. BC BH THEO CUSTOMER-USD'!$H10,'01. KE30'!$A:$A,'06. BC BH THEO CUSTOMER-USD'!O$4)/'06. BC BH THEO CUSTOMER-USD'!CU10/'02. Tỷ giá'!D$5,"-")</f>
        <v>-</v>
      </c>
      <c r="AD10" s="147" t="str">
        <f>IFERROR(SUMIFS('01. KE30'!$O:$O,'01. KE30'!$C:$C,'06. BC BH THEO CUSTOMER-USD'!$D10,'01. KE30'!$F:$F,'06. BC BH THEO CUSTOMER-USD'!$H10,'01. KE30'!$A:$A,'06. BC BH THEO CUSTOMER-USD'!P$4)/'06. BC BH THEO CUSTOMER-USD'!CV10/'02. Tỷ giá'!E$5,"-")</f>
        <v>-</v>
      </c>
      <c r="AE10" s="147" t="str">
        <f>IFERROR(SUMIFS('01. KE30'!$O:$O,'01. KE30'!$C:$C,'06. BC BH THEO CUSTOMER-USD'!$D10,'01. KE30'!$F:$F,'06. BC BH THEO CUSTOMER-USD'!$H10,'01. KE30'!$A:$A,'06. BC BH THEO CUSTOMER-USD'!Q$4)/'06. BC BH THEO CUSTOMER-USD'!CW10/'02. Tỷ giá'!F$5,"-")</f>
        <v>-</v>
      </c>
      <c r="AF10" s="147" t="str">
        <f>IFERROR(SUMIFS('01. KE30'!$O:$O,'01. KE30'!$C:$C,'06. BC BH THEO CUSTOMER-USD'!$D10,'01. KE30'!$F:$F,'06. BC BH THEO CUSTOMER-USD'!$H10,'01. KE30'!$A:$A,'06. BC BH THEO CUSTOMER-USD'!R$4)/'06. BC BH THEO CUSTOMER-USD'!CX10/'02. Tỷ giá'!G$5,"-")</f>
        <v>-</v>
      </c>
      <c r="AG10" s="147" t="str">
        <f>IFERROR(SUMIFS('01. KE30'!$O:$O,'01. KE30'!$C:$C,'06. BC BH THEO CUSTOMER-USD'!$D10,'01. KE30'!$F:$F,'06. BC BH THEO CUSTOMER-USD'!$H10,'01. KE30'!$A:$A,'06. BC BH THEO CUSTOMER-USD'!S$4)/'06. BC BH THEO CUSTOMER-USD'!CY10/'02. Tỷ giá'!H$5,"-")</f>
        <v>-</v>
      </c>
      <c r="AH10" s="147" t="str">
        <f>IFERROR(SUMIFS('01. KE30'!$O:$O,'01. KE30'!$C:$C,'06. BC BH THEO CUSTOMER-USD'!$D10,'01. KE30'!$F:$F,'06. BC BH THEO CUSTOMER-USD'!$H10,'01. KE30'!$A:$A,'06. BC BH THEO CUSTOMER-USD'!T$4)/'06. BC BH THEO CUSTOMER-USD'!CZ10/'02. Tỷ giá'!I$5,"-")</f>
        <v>-</v>
      </c>
      <c r="AI10" s="147" t="str">
        <f>IFERROR(SUMIFS('01. KE30'!$O:$O,'01. KE30'!$C:$C,'06. BC BH THEO CUSTOMER-USD'!$D10,'01. KE30'!$F:$F,'06. BC BH THEO CUSTOMER-USD'!$H10,'01. KE30'!$A:$A,'06. BC BH THEO CUSTOMER-USD'!U$4)/'06. BC BH THEO CUSTOMER-USD'!DA10/'02. Tỷ giá'!J$5,"-")</f>
        <v>-</v>
      </c>
      <c r="AJ10" s="147" t="str">
        <f>IFERROR(SUMIFS('01. KE30'!$O:$O,'01. KE30'!$C:$C,'06. BC BH THEO CUSTOMER-USD'!$D10,'01. KE30'!$F:$F,'06. BC BH THEO CUSTOMER-USD'!$H10,'01. KE30'!$A:$A,'06. BC BH THEO CUSTOMER-USD'!V$4)/'06. BC BH THEO CUSTOMER-USD'!DB10/'02. Tỷ giá'!K$5,"-")</f>
        <v>-</v>
      </c>
      <c r="AK10" s="147" t="str">
        <f>IFERROR(SUMIFS('01. KE30'!$O:$O,'01. KE30'!$C:$C,'06. BC BH THEO CUSTOMER-USD'!$D10,'01. KE30'!$F:$F,'06. BC BH THEO CUSTOMER-USD'!$H10,'01. KE30'!$A:$A,'06. BC BH THEO CUSTOMER-USD'!W$4)/'06. BC BH THEO CUSTOMER-USD'!DC10/'02. Tỷ giá'!L$5,"-")</f>
        <v>-</v>
      </c>
      <c r="AL10" s="147" t="str">
        <f>IFERROR(SUMIFS('01. KE30'!$O:$O,'01. KE30'!$C:$C,'06. BC BH THEO CUSTOMER-USD'!$D10,'01. KE30'!$F:$F,'06. BC BH THEO CUSTOMER-USD'!$H10,'01. KE30'!$A:$A,'06. BC BH THEO CUSTOMER-USD'!X$4)/'06. BC BH THEO CUSTOMER-USD'!DD10/'02. Tỷ giá'!M$5,"-")</f>
        <v>-</v>
      </c>
      <c r="AN10" s="92">
        <f t="shared" si="44"/>
        <v>1323.3333333333333</v>
      </c>
      <c r="AO10" s="25">
        <v>1320</v>
      </c>
      <c r="AP10" s="25">
        <f>1320-40</f>
        <v>1280</v>
      </c>
      <c r="AQ10" s="25">
        <v>1320</v>
      </c>
      <c r="AR10" s="25">
        <f t="shared" ref="AR10:AR13" si="64">AQ10+20</f>
        <v>1340</v>
      </c>
      <c r="AS10" s="25">
        <v>1340</v>
      </c>
      <c r="AT10" s="25">
        <v>1340</v>
      </c>
      <c r="AU10" s="25"/>
      <c r="AV10" s="25"/>
      <c r="AW10" s="25"/>
      <c r="AX10" s="25"/>
      <c r="AY10" s="25"/>
      <c r="AZ10" s="4"/>
      <c r="BB10" s="95" t="str">
        <f t="shared" si="45"/>
        <v>-</v>
      </c>
      <c r="BC10" s="95" t="str">
        <f t="shared" si="46"/>
        <v>-</v>
      </c>
      <c r="BD10" s="95" t="str">
        <f t="shared" si="6"/>
        <v>-</v>
      </c>
      <c r="BE10" s="95" t="str">
        <f t="shared" si="6"/>
        <v>-</v>
      </c>
      <c r="BF10" s="95" t="str">
        <f t="shared" si="6"/>
        <v>-</v>
      </c>
      <c r="BG10" s="95" t="str">
        <f t="shared" si="6"/>
        <v>-</v>
      </c>
      <c r="BH10" s="95" t="str">
        <f t="shared" si="6"/>
        <v>-</v>
      </c>
      <c r="BI10" s="95" t="str">
        <f t="shared" si="6"/>
        <v>-</v>
      </c>
      <c r="BJ10" s="95" t="str">
        <f t="shared" si="6"/>
        <v>-</v>
      </c>
      <c r="BK10" s="95" t="str">
        <f t="shared" si="6"/>
        <v>-</v>
      </c>
      <c r="BL10" s="95" t="str">
        <f t="shared" si="6"/>
        <v>-</v>
      </c>
      <c r="BM10" s="95" t="str">
        <f t="shared" si="6"/>
        <v>-</v>
      </c>
      <c r="BN10" s="95" t="str">
        <f t="shared" si="6"/>
        <v>-</v>
      </c>
      <c r="BP10" s="143" t="str">
        <f t="shared" si="47"/>
        <v>-</v>
      </c>
      <c r="BQ10" s="143" t="str">
        <f t="shared" si="8"/>
        <v>-</v>
      </c>
      <c r="BR10" s="143" t="str">
        <f t="shared" si="9"/>
        <v>-</v>
      </c>
      <c r="BS10" s="143" t="str">
        <f t="shared" si="10"/>
        <v>-</v>
      </c>
      <c r="BT10" s="143" t="str">
        <f t="shared" si="11"/>
        <v>-</v>
      </c>
      <c r="BU10" s="143" t="str">
        <f t="shared" si="12"/>
        <v>-</v>
      </c>
      <c r="BV10" s="143" t="str">
        <f t="shared" si="13"/>
        <v>-</v>
      </c>
      <c r="BW10" s="143" t="str">
        <f t="shared" si="14"/>
        <v>-</v>
      </c>
      <c r="BX10" s="143" t="str">
        <f t="shared" si="15"/>
        <v>-</v>
      </c>
      <c r="BY10" s="143" t="str">
        <f t="shared" si="16"/>
        <v>-</v>
      </c>
      <c r="BZ10" s="143" t="str">
        <f t="shared" si="17"/>
        <v>-</v>
      </c>
      <c r="CA10" s="143" t="str">
        <f t="shared" si="18"/>
        <v>-</v>
      </c>
      <c r="CB10" s="143" t="str">
        <f t="shared" si="19"/>
        <v>-</v>
      </c>
      <c r="CD10" s="112" t="str">
        <f t="shared" si="25"/>
        <v>-</v>
      </c>
      <c r="CE10" s="95" t="str">
        <f>IFERROR(SUMIFS('01. KE30'!$R:$R,'01. KE30'!$C:$C,'06. BC BH THEO CUSTOMER-USD'!$D10,'01. KE30'!$F:$F,'06. BC BH THEO CUSTOMER-USD'!$H10,'01. KE30'!$A:$A,'06. BC BH THEO CUSTOMER-USD'!CE$4)/CS10/'02. Tỷ giá'!B$5," -")</f>
        <v xml:space="preserve"> -</v>
      </c>
      <c r="CF10" s="95" t="str">
        <f>IFERROR(SUMIFS('01. KE30'!$R:$R,'01. KE30'!$C:$C,'06. BC BH THEO CUSTOMER-USD'!$D10,'01. KE30'!$F:$F,'06. BC BH THEO CUSTOMER-USD'!$H10,'01. KE30'!$A:$A,'06. BC BH THEO CUSTOMER-USD'!CF$4)/CT10/'02. Tỷ giá'!C$5," -")</f>
        <v xml:space="preserve"> -</v>
      </c>
      <c r="CG10" s="95" t="str">
        <f>IFERROR(SUMIFS('01. KE30'!$R:$R,'01. KE30'!$C:$C,'06. BC BH THEO CUSTOMER-USD'!$D10,'01. KE30'!$F:$F,'06. BC BH THEO CUSTOMER-USD'!$H10,'01. KE30'!$A:$A,'06. BC BH THEO CUSTOMER-USD'!CG$4)/CU10/'02. Tỷ giá'!D$5," -")</f>
        <v xml:space="preserve"> -</v>
      </c>
      <c r="CH10" s="95" t="str">
        <f>IFERROR(SUMIFS('01. KE30'!$R:$R,'01. KE30'!$C:$C,'06. BC BH THEO CUSTOMER-USD'!$D10,'01. KE30'!$F:$F,'06. BC BH THEO CUSTOMER-USD'!$H10,'01. KE30'!$A:$A,'06. BC BH THEO CUSTOMER-USD'!CH$4)/CV10/'02. Tỷ giá'!E$5," -")</f>
        <v xml:space="preserve"> -</v>
      </c>
      <c r="CI10" s="95" t="str">
        <f>IFERROR(SUMIFS('01. KE30'!$R:$R,'01. KE30'!$C:$C,'06. BC BH THEO CUSTOMER-USD'!$D10,'01. KE30'!$F:$F,'06. BC BH THEO CUSTOMER-USD'!$H10,'01. KE30'!$A:$A,'06. BC BH THEO CUSTOMER-USD'!CI$4)/CW10/'02. Tỷ giá'!F$5," -")</f>
        <v xml:space="preserve"> -</v>
      </c>
      <c r="CJ10" s="95" t="str">
        <f>IFERROR(SUMIFS('01. KE30'!$R:$R,'01. KE30'!$C:$C,'06. BC BH THEO CUSTOMER-USD'!$D10,'01. KE30'!$F:$F,'06. BC BH THEO CUSTOMER-USD'!$H10,'01. KE30'!$A:$A,'06. BC BH THEO CUSTOMER-USD'!CJ$4)/CX10/'02. Tỷ giá'!G$5," -")</f>
        <v xml:space="preserve"> -</v>
      </c>
      <c r="CK10" s="95" t="str">
        <f>IFERROR(SUMIFS('01. KE30'!$R:$R,'01. KE30'!$C:$C,'06. BC BH THEO CUSTOMER-USD'!$D10,'01. KE30'!$F:$F,'06. BC BH THEO CUSTOMER-USD'!$H10,'01. KE30'!$A:$A,'06. BC BH THEO CUSTOMER-USD'!CK$4)/CY10/'02. Tỷ giá'!H$5," -")</f>
        <v xml:space="preserve"> -</v>
      </c>
      <c r="CL10" s="95" t="str">
        <f>IFERROR(SUMIFS('01. KE30'!$R:$R,'01. KE30'!$C:$C,'06. BC BH THEO CUSTOMER-USD'!$D10,'01. KE30'!$F:$F,'06. BC BH THEO CUSTOMER-USD'!$H10,'01. KE30'!$A:$A,'06. BC BH THEO CUSTOMER-USD'!CL$4)/CZ10/'02. Tỷ giá'!I$5," -")</f>
        <v xml:space="preserve"> -</v>
      </c>
      <c r="CM10" s="95" t="str">
        <f>IFERROR(SUMIFS('01. KE30'!$R:$R,'01. KE30'!$C:$C,'06. BC BH THEO CUSTOMER-USD'!$D10,'01. KE30'!$F:$F,'06. BC BH THEO CUSTOMER-USD'!$H10,'01. KE30'!$A:$A,'06. BC BH THEO CUSTOMER-USD'!CM$4)/DA10/'02. Tỷ giá'!J$5," -")</f>
        <v xml:space="preserve"> -</v>
      </c>
      <c r="CN10" s="95" t="str">
        <f>IFERROR(SUMIFS('01. KE30'!$R:$R,'01. KE30'!$C:$C,'06. BC BH THEO CUSTOMER-USD'!$D10,'01. KE30'!$F:$F,'06. BC BH THEO CUSTOMER-USD'!$H10,'01. KE30'!$A:$A,'06. BC BH THEO CUSTOMER-USD'!CN$4)/DB10/'02. Tỷ giá'!K$5," -")</f>
        <v xml:space="preserve"> -</v>
      </c>
      <c r="CO10" s="95" t="str">
        <f>IFERROR(SUMIFS('01. KE30'!$R:$R,'01. KE30'!$C:$C,'06. BC BH THEO CUSTOMER-USD'!$D10,'01. KE30'!$F:$F,'06. BC BH THEO CUSTOMER-USD'!$H10,'01. KE30'!$A:$A,'06. BC BH THEO CUSTOMER-USD'!CO$4)/DC10/'02. Tỷ giá'!L$5," -")</f>
        <v xml:space="preserve"> -</v>
      </c>
      <c r="CP10" s="95" t="str">
        <f>IFERROR(SUMIFS('01. KE30'!$R:$R,'01. KE30'!$C:$C,'06. BC BH THEO CUSTOMER-USD'!$D10,'01. KE30'!$F:$F,'06. BC BH THEO CUSTOMER-USD'!$H10,'01. KE30'!$A:$A,'06. BC BH THEO CUSTOMER-USD'!CP$4)/DD10/'02. Tỷ giá'!M$5," -")</f>
        <v xml:space="preserve"> -</v>
      </c>
      <c r="CR10" s="112">
        <f t="shared" si="26"/>
        <v>0</v>
      </c>
      <c r="CS10" s="114">
        <f>SUMIFS('01. KE30'!$I:$I,'01. KE30'!$C:$C,'06. BC BH THEO CUSTOMER-USD'!$D10,'01. KE30'!$F:$F,'06. BC BH THEO CUSTOMER-USD'!$H10,'01. KE30'!$A:$A,'06. BC BH THEO CUSTOMER-USD'!CS$4)/1000</f>
        <v>0</v>
      </c>
      <c r="CT10" s="114">
        <f>SUMIFS('01. KE30'!$I:$I,'01. KE30'!$C:$C,'06. BC BH THEO CUSTOMER-USD'!$D10,'01. KE30'!$F:$F,'06. BC BH THEO CUSTOMER-USD'!$H10,'01. KE30'!$A:$A,'06. BC BH THEO CUSTOMER-USD'!CT$4)/1000</f>
        <v>0</v>
      </c>
      <c r="CU10" s="114">
        <f>SUMIFS('01. KE30'!$I:$I,'01. KE30'!$C:$C,'06. BC BH THEO CUSTOMER-USD'!$D10,'01. KE30'!$F:$F,'06. BC BH THEO CUSTOMER-USD'!$H10,'01. KE30'!$A:$A,'06. BC BH THEO CUSTOMER-USD'!CU$4)/1000</f>
        <v>0</v>
      </c>
      <c r="CV10" s="114">
        <f>SUMIFS('01. KE30'!$I:$I,'01. KE30'!$C:$C,'06. BC BH THEO CUSTOMER-USD'!$D10,'01. KE30'!$F:$F,'06. BC BH THEO CUSTOMER-USD'!$H10,'01. KE30'!$A:$A,'06. BC BH THEO CUSTOMER-USD'!CV$4)/1000</f>
        <v>0</v>
      </c>
      <c r="CW10" s="114">
        <f>SUMIFS('01. KE30'!$I:$I,'01. KE30'!$C:$C,'06. BC BH THEO CUSTOMER-USD'!$D10,'01. KE30'!$F:$F,'06. BC BH THEO CUSTOMER-USD'!$H10,'01. KE30'!$A:$A,'06. BC BH THEO CUSTOMER-USD'!CW$4)/1000</f>
        <v>0</v>
      </c>
      <c r="CX10" s="114">
        <f>SUMIFS('01. KE30'!$I:$I,'01. KE30'!$C:$C,'06. BC BH THEO CUSTOMER-USD'!$D10,'01. KE30'!$F:$F,'06. BC BH THEO CUSTOMER-USD'!$H10,'01. KE30'!$A:$A,'06. BC BH THEO CUSTOMER-USD'!CX$4)/1000</f>
        <v>0</v>
      </c>
      <c r="CY10" s="114">
        <f>SUMIFS('01. KE30'!$I:$I,'01. KE30'!$C:$C,'06. BC BH THEO CUSTOMER-USD'!$D10,'01. KE30'!$F:$F,'06. BC BH THEO CUSTOMER-USD'!$H10,'01. KE30'!$A:$A,'06. BC BH THEO CUSTOMER-USD'!CY$4)/1000</f>
        <v>0</v>
      </c>
      <c r="CZ10" s="114">
        <f>SUMIFS('01. KE30'!$I:$I,'01. KE30'!$C:$C,'06. BC BH THEO CUSTOMER-USD'!$D10,'01. KE30'!$F:$F,'06. BC BH THEO CUSTOMER-USD'!$H10,'01. KE30'!$A:$A,'06. BC BH THEO CUSTOMER-USD'!CZ$4)/1000</f>
        <v>0</v>
      </c>
      <c r="DA10" s="114">
        <f>SUMIFS('01. KE30'!$I:$I,'01. KE30'!$C:$C,'06. BC BH THEO CUSTOMER-USD'!$D10,'01. KE30'!$F:$F,'06. BC BH THEO CUSTOMER-USD'!$H10,'01. KE30'!$A:$A,'06. BC BH THEO CUSTOMER-USD'!DA$4)/1000</f>
        <v>0</v>
      </c>
      <c r="DB10" s="114">
        <f>SUMIFS('01. KE30'!$I:$I,'01. KE30'!$C:$C,'06. BC BH THEO CUSTOMER-USD'!$D10,'01. KE30'!$F:$F,'06. BC BH THEO CUSTOMER-USD'!$H10,'01. KE30'!$A:$A,'06. BC BH THEO CUSTOMER-USD'!DB$4)/1000</f>
        <v>0</v>
      </c>
      <c r="DC10" s="114">
        <f>SUMIFS('01. KE30'!$I:$I,'01. KE30'!$C:$C,'06. BC BH THEO CUSTOMER-USD'!$D10,'01. KE30'!$F:$F,'06. BC BH THEO CUSTOMER-USD'!$H10,'01. KE30'!$A:$A,'06. BC BH THEO CUSTOMER-USD'!DC$4)/1000</f>
        <v>0</v>
      </c>
      <c r="DD10" s="114">
        <f>SUMIFS('01. KE30'!$I:$I,'01. KE30'!$C:$C,'06. BC BH THEO CUSTOMER-USD'!$D10,'01. KE30'!$F:$F,'06. BC BH THEO CUSTOMER-USD'!$H10,'01. KE30'!$A:$A,'06. BC BH THEO CUSTOMER-USD'!DD$4)/1000</f>
        <v>0</v>
      </c>
      <c r="DF10" s="112">
        <f t="shared" si="27"/>
        <v>0</v>
      </c>
      <c r="DG10" s="54" t="str">
        <f t="shared" si="48"/>
        <v>-</v>
      </c>
      <c r="DH10" s="54" t="str">
        <f t="shared" si="49"/>
        <v>-</v>
      </c>
      <c r="DI10" s="54" t="str">
        <f t="shared" si="50"/>
        <v>-</v>
      </c>
      <c r="DJ10" s="54" t="str">
        <f t="shared" si="51"/>
        <v>-</v>
      </c>
      <c r="DK10" s="54" t="str">
        <f t="shared" si="52"/>
        <v>-</v>
      </c>
      <c r="DL10" s="54" t="str">
        <f t="shared" si="53"/>
        <v>-</v>
      </c>
      <c r="DM10" s="54" t="str">
        <f t="shared" si="54"/>
        <v>-</v>
      </c>
      <c r="DN10" s="54" t="str">
        <f t="shared" si="55"/>
        <v>-</v>
      </c>
      <c r="DO10" s="54" t="str">
        <f t="shared" si="56"/>
        <v>-</v>
      </c>
      <c r="DP10" s="54" t="str">
        <f t="shared" si="57"/>
        <v>-</v>
      </c>
      <c r="DQ10" s="54" t="str">
        <f t="shared" si="58"/>
        <v>-</v>
      </c>
      <c r="DR10" s="54" t="str">
        <f t="shared" si="59"/>
        <v>-</v>
      </c>
      <c r="DT10" s="112">
        <f t="shared" si="60"/>
        <v>0</v>
      </c>
      <c r="DU10" s="114">
        <f>IFERROR(SUMIFS('01. KE30'!$X:$X,'01. KE30'!$C:$C,'06. BC BH THEO CUSTOMER-USD'!$D10,'01. KE30'!$F:$F,'06. BC BH THEO CUSTOMER-USD'!$H10,'01. KE30'!$A:$A,'06. BC BH THEO CUSTOMER-USD'!DU$4)-SUMIFS('01. KE30'!$AA:$AA,'01. KE30'!$C:$C,'06. BC BH THEO CUSTOMER-USD'!$D10,'01. KE30'!$F:$F,'06. BC BH THEO CUSTOMER-USD'!$H10,'01. KE30'!$A:$A,'06. BC BH THEO CUSTOMER-USD'!DU$4),"-")</f>
        <v>0</v>
      </c>
      <c r="DV10" s="114">
        <f>IFERROR(SUMIFS('01. KE30'!$X:$X,'01. KE30'!$C:$C,'06. BC BH THEO CUSTOMER-USD'!$D10,'01. KE30'!$F:$F,'06. BC BH THEO CUSTOMER-USD'!$H10,'01. KE30'!$A:$A,'06. BC BH THEO CUSTOMER-USD'!DV$4)-SUMIFS('01. KE30'!$AA:$AA,'01. KE30'!$C:$C,'06. BC BH THEO CUSTOMER-USD'!$D10,'01. KE30'!$F:$F,'06. BC BH THEO CUSTOMER-USD'!$H10,'01. KE30'!$A:$A,'06. BC BH THEO CUSTOMER-USD'!DV$4),"-")</f>
        <v>0</v>
      </c>
      <c r="DW10" s="114">
        <f>IFERROR(SUMIFS('01. KE30'!$X:$X,'01. KE30'!$C:$C,'06. BC BH THEO CUSTOMER-USD'!$D10,'01. KE30'!$F:$F,'06. BC BH THEO CUSTOMER-USD'!$H10,'01. KE30'!$A:$A,'06. BC BH THEO CUSTOMER-USD'!DW$4)-SUMIFS('01. KE30'!$AA:$AA,'01. KE30'!$C:$C,'06. BC BH THEO CUSTOMER-USD'!$D10,'01. KE30'!$F:$F,'06. BC BH THEO CUSTOMER-USD'!$H10,'01. KE30'!$A:$A,'06. BC BH THEO CUSTOMER-USD'!DW$4),"-")</f>
        <v>0</v>
      </c>
      <c r="DX10" s="114">
        <f>IFERROR(SUMIFS('01. KE30'!$X:$X,'01. KE30'!$C:$C,'06. BC BH THEO CUSTOMER-USD'!$D10,'01. KE30'!$F:$F,'06. BC BH THEO CUSTOMER-USD'!$H10,'01. KE30'!$A:$A,'06. BC BH THEO CUSTOMER-USD'!DX$4)-SUMIFS('01. KE30'!$AA:$AA,'01. KE30'!$C:$C,'06. BC BH THEO CUSTOMER-USD'!$D10,'01. KE30'!$F:$F,'06. BC BH THEO CUSTOMER-USD'!$H10,'01. KE30'!$A:$A,'06. BC BH THEO CUSTOMER-USD'!DX$4),"-")</f>
        <v>0</v>
      </c>
      <c r="DY10" s="114">
        <f>IFERROR(SUMIFS('01. KE30'!$X:$X,'01. KE30'!$C:$C,'06. BC BH THEO CUSTOMER-USD'!$D10,'01. KE30'!$F:$F,'06. BC BH THEO CUSTOMER-USD'!$H10,'01. KE30'!$A:$A,'06. BC BH THEO CUSTOMER-USD'!DY$4)-SUMIFS('01. KE30'!$AA:$AA,'01. KE30'!$C:$C,'06. BC BH THEO CUSTOMER-USD'!$D10,'01. KE30'!$F:$F,'06. BC BH THEO CUSTOMER-USD'!$H10,'01. KE30'!$A:$A,'06. BC BH THEO CUSTOMER-USD'!DY$4),"-")</f>
        <v>0</v>
      </c>
      <c r="DZ10" s="114">
        <f>IFERROR(SUMIFS('01. KE30'!$X:$X,'01. KE30'!$C:$C,'06. BC BH THEO CUSTOMER-USD'!$D10,'01. KE30'!$F:$F,'06. BC BH THEO CUSTOMER-USD'!$H10,'01. KE30'!$A:$A,'06. BC BH THEO CUSTOMER-USD'!DZ$4)-SUMIFS('01. KE30'!$AA:$AA,'01. KE30'!$C:$C,'06. BC BH THEO CUSTOMER-USD'!$D10,'01. KE30'!$F:$F,'06. BC BH THEO CUSTOMER-USD'!$H10,'01. KE30'!$A:$A,'06. BC BH THEO CUSTOMER-USD'!DZ$4),"-")</f>
        <v>0</v>
      </c>
      <c r="EA10" s="114">
        <f>IFERROR(SUMIFS('01. KE30'!$X:$X,'01. KE30'!$C:$C,'06. BC BH THEO CUSTOMER-USD'!$D10,'01. KE30'!$F:$F,'06. BC BH THEO CUSTOMER-USD'!$H10,'01. KE30'!$A:$A,'06. BC BH THEO CUSTOMER-USD'!EA$4)-SUMIFS('01. KE30'!$AA:$AA,'01. KE30'!$C:$C,'06. BC BH THEO CUSTOMER-USD'!$D10,'01. KE30'!$F:$F,'06. BC BH THEO CUSTOMER-USD'!$H10,'01. KE30'!$A:$A,'06. BC BH THEO CUSTOMER-USD'!EA$4),"-")</f>
        <v>0</v>
      </c>
      <c r="EB10" s="114">
        <f>IFERROR(SUMIFS('01. KE30'!$X:$X,'01. KE30'!$C:$C,'06. BC BH THEO CUSTOMER-USD'!$D10,'01. KE30'!$F:$F,'06. BC BH THEO CUSTOMER-USD'!$H10,'01. KE30'!$A:$A,'06. BC BH THEO CUSTOMER-USD'!EB$4)-SUMIFS('01. KE30'!$AA:$AA,'01. KE30'!$C:$C,'06. BC BH THEO CUSTOMER-USD'!$D10,'01. KE30'!$F:$F,'06. BC BH THEO CUSTOMER-USD'!$H10,'01. KE30'!$A:$A,'06. BC BH THEO CUSTOMER-USD'!EB$4),"-")</f>
        <v>0</v>
      </c>
      <c r="EC10" s="114">
        <f>IFERROR(SUMIFS('01. KE30'!$X:$X,'01. KE30'!$C:$C,'06. BC BH THEO CUSTOMER-USD'!$D10,'01. KE30'!$F:$F,'06. BC BH THEO CUSTOMER-USD'!$H10,'01. KE30'!$A:$A,'06. BC BH THEO CUSTOMER-USD'!EC$4)-SUMIFS('01. KE30'!$AA:$AA,'01. KE30'!$C:$C,'06. BC BH THEO CUSTOMER-USD'!$D10,'01. KE30'!$F:$F,'06. BC BH THEO CUSTOMER-USD'!$H10,'01. KE30'!$A:$A,'06. BC BH THEO CUSTOMER-USD'!EC$4),"-")</f>
        <v>0</v>
      </c>
      <c r="ED10" s="114">
        <f>IFERROR(SUMIFS('01. KE30'!$X:$X,'01. KE30'!$C:$C,'06. BC BH THEO CUSTOMER-USD'!$D10,'01. KE30'!$F:$F,'06. BC BH THEO CUSTOMER-USD'!$H10,'01. KE30'!$A:$A,'06. BC BH THEO CUSTOMER-USD'!ED$4)-SUMIFS('01. KE30'!$AA:$AA,'01. KE30'!$C:$C,'06. BC BH THEO CUSTOMER-USD'!$D10,'01. KE30'!$F:$F,'06. BC BH THEO CUSTOMER-USD'!$H10,'01. KE30'!$A:$A,'06. BC BH THEO CUSTOMER-USD'!ED$4),"-")</f>
        <v>0</v>
      </c>
      <c r="EE10" s="114">
        <f>IFERROR(SUMIFS('01. KE30'!$X:$X,'01. KE30'!$C:$C,'06. BC BH THEO CUSTOMER-USD'!$D10,'01. KE30'!$F:$F,'06. BC BH THEO CUSTOMER-USD'!$H10,'01. KE30'!$A:$A,'06. BC BH THEO CUSTOMER-USD'!EE$4)-SUMIFS('01. KE30'!$AA:$AA,'01. KE30'!$C:$C,'06. BC BH THEO CUSTOMER-USD'!$D10,'01. KE30'!$F:$F,'06. BC BH THEO CUSTOMER-USD'!$H10,'01. KE30'!$A:$A,'06. BC BH THEO CUSTOMER-USD'!EE$4),"-")</f>
        <v>0</v>
      </c>
      <c r="EF10" s="114">
        <f>IFERROR(SUMIFS('01. KE30'!$X:$X,'01. KE30'!$C:$C,'06. BC BH THEO CUSTOMER-USD'!$D10,'01. KE30'!$F:$F,'06. BC BH THEO CUSTOMER-USD'!$H10,'01. KE30'!$A:$A,'06. BC BH THEO CUSTOMER-USD'!EF$4)-SUMIFS('01. KE30'!$AA:$AA,'01. KE30'!$C:$C,'06. BC BH THEO CUSTOMER-USD'!$D10,'01. KE30'!$F:$F,'06. BC BH THEO CUSTOMER-USD'!$H10,'01. KE30'!$A:$A,'06. BC BH THEO CUSTOMER-USD'!EF$4),"-")</f>
        <v>0</v>
      </c>
      <c r="EH10" s="571" t="str">
        <f t="shared" si="29"/>
        <v>-</v>
      </c>
      <c r="EI10" s="572" t="str">
        <f t="shared" si="30"/>
        <v>-</v>
      </c>
      <c r="EJ10" s="572" t="str">
        <f t="shared" si="31"/>
        <v>-</v>
      </c>
      <c r="EK10" s="572" t="str">
        <f t="shared" si="32"/>
        <v>-</v>
      </c>
      <c r="EL10" s="572" t="str">
        <f t="shared" si="33"/>
        <v>-</v>
      </c>
      <c r="EM10" s="572" t="str">
        <f t="shared" si="34"/>
        <v>-</v>
      </c>
      <c r="EN10" s="572" t="str">
        <f t="shared" si="35"/>
        <v>-</v>
      </c>
      <c r="EO10" s="572" t="str">
        <f t="shared" si="36"/>
        <v>-</v>
      </c>
      <c r="EP10" s="572" t="str">
        <f t="shared" si="37"/>
        <v>-</v>
      </c>
      <c r="EQ10" s="572" t="str">
        <f t="shared" si="38"/>
        <v>-</v>
      </c>
      <c r="ER10" s="572" t="str">
        <f t="shared" si="39"/>
        <v>-</v>
      </c>
      <c r="ES10" s="572" t="str">
        <f t="shared" si="40"/>
        <v>-</v>
      </c>
      <c r="ET10" s="572" t="str">
        <f t="shared" si="41"/>
        <v>-</v>
      </c>
    </row>
    <row r="11" spans="1:150" s="24" customFormat="1" ht="15.5" hidden="1" outlineLevel="1" x14ac:dyDescent="0.35">
      <c r="A11" s="27">
        <f t="shared" si="63"/>
        <v>6</v>
      </c>
      <c r="B11" s="27" t="s">
        <v>283</v>
      </c>
      <c r="C11" s="442" t="s">
        <v>489</v>
      </c>
      <c r="D11" s="23" t="s">
        <v>158</v>
      </c>
      <c r="E11" s="34" t="s">
        <v>157</v>
      </c>
      <c r="F11" s="31" t="s">
        <v>175</v>
      </c>
      <c r="G11" s="12" t="str">
        <f>_xlfn.XLOOKUP(F11,'Quy đổi'!$G$5:$G$32,'Quy đổi'!$H$5:$H$32,0)</f>
        <v>Bắc Mỹ</v>
      </c>
      <c r="H11" s="78" t="s">
        <v>126</v>
      </c>
      <c r="I11" s="28" t="s">
        <v>159</v>
      </c>
      <c r="J11" s="13" t="s">
        <v>26</v>
      </c>
      <c r="K11" s="33" t="s">
        <v>156</v>
      </c>
      <c r="L11" s="92" t="str">
        <f t="shared" si="42"/>
        <v>-</v>
      </c>
      <c r="M11" s="106" t="str">
        <f>IFERROR(SUMIFS('01. KE30'!$K:$K,'01. KE30'!$C:$C,'06. BC BH THEO CUSTOMER-USD'!$D11,'01. KE30'!$F:$F,'06. BC BH THEO CUSTOMER-USD'!$H11,'01. KE30'!$A:$A,'06. BC BH THEO CUSTOMER-USD'!M$4)/'06. BC BH THEO CUSTOMER-USD'!CS11/'02. Tỷ giá'!B$5,"-")</f>
        <v>-</v>
      </c>
      <c r="N11" s="106" t="str">
        <f>IFERROR(SUMIFS('01. KE30'!$K:$K,'01. KE30'!$C:$C,'06. BC BH THEO CUSTOMER-USD'!$D11,'01. KE30'!$F:$F,'06. BC BH THEO CUSTOMER-USD'!$H11,'01. KE30'!$A:$A,'06. BC BH THEO CUSTOMER-USD'!N$4)/'06. BC BH THEO CUSTOMER-USD'!CT11/'02. Tỷ giá'!C$5,"-")</f>
        <v>-</v>
      </c>
      <c r="O11" s="106" t="str">
        <f>IFERROR(SUMIFS('01. KE30'!$K:$K,'01. KE30'!$C:$C,'06. BC BH THEO CUSTOMER-USD'!$D11,'01. KE30'!$F:$F,'06. BC BH THEO CUSTOMER-USD'!$H11,'01. KE30'!$A:$A,'06. BC BH THEO CUSTOMER-USD'!O$4)/'06. BC BH THEO CUSTOMER-USD'!CU11/'02. Tỷ giá'!D$5,"-")</f>
        <v>-</v>
      </c>
      <c r="P11" s="106" t="str">
        <f>IFERROR(SUMIFS('01. KE30'!$K:$K,'01. KE30'!$C:$C,'06. BC BH THEO CUSTOMER-USD'!$D11,'01. KE30'!$F:$F,'06. BC BH THEO CUSTOMER-USD'!$H11,'01. KE30'!$A:$A,'06. BC BH THEO CUSTOMER-USD'!P$4)/'06. BC BH THEO CUSTOMER-USD'!CV11/'02. Tỷ giá'!E$5,"-")</f>
        <v>-</v>
      </c>
      <c r="Q11" s="106" t="str">
        <f>IFERROR(SUMIFS('01. KE30'!$K:$K,'01. KE30'!$C:$C,'06. BC BH THEO CUSTOMER-USD'!$D11,'01. KE30'!$F:$F,'06. BC BH THEO CUSTOMER-USD'!$H11,'01. KE30'!$A:$A,'06. BC BH THEO CUSTOMER-USD'!Q$4)/'06. BC BH THEO CUSTOMER-USD'!CW11/'02. Tỷ giá'!F$5,"-")</f>
        <v>-</v>
      </c>
      <c r="R11" s="106" t="str">
        <f>IFERROR(SUMIFS('01. KE30'!$K:$K,'01. KE30'!$C:$C,'06. BC BH THEO CUSTOMER-USD'!$D11,'01. KE30'!$F:$F,'06. BC BH THEO CUSTOMER-USD'!$H11,'01. KE30'!$A:$A,'06. BC BH THEO CUSTOMER-USD'!R$4)/'06. BC BH THEO CUSTOMER-USD'!CX11/'02. Tỷ giá'!G$5,"-")</f>
        <v>-</v>
      </c>
      <c r="S11" s="106" t="str">
        <f>IFERROR(SUMIFS('01. KE30'!$K:$K,'01. KE30'!$C:$C,'06. BC BH THEO CUSTOMER-USD'!$D11,'01. KE30'!$F:$F,'06. BC BH THEO CUSTOMER-USD'!$H11,'01. KE30'!$A:$A,'06. BC BH THEO CUSTOMER-USD'!S$4)/'06. BC BH THEO CUSTOMER-USD'!CY11/'02. Tỷ giá'!H$5,"-")</f>
        <v>-</v>
      </c>
      <c r="T11" s="106" t="str">
        <f>IFERROR(SUMIFS('01. KE30'!$K:$K,'01. KE30'!$C:$C,'06. BC BH THEO CUSTOMER-USD'!$D11,'01. KE30'!$F:$F,'06. BC BH THEO CUSTOMER-USD'!$H11,'01. KE30'!$A:$A,'06. BC BH THEO CUSTOMER-USD'!T$4)/'06. BC BH THEO CUSTOMER-USD'!CZ11/'02. Tỷ giá'!I$5,"-")</f>
        <v>-</v>
      </c>
      <c r="U11" s="106" t="str">
        <f>IFERROR(SUMIFS('01. KE30'!$K:$K,'01. KE30'!$C:$C,'06. BC BH THEO CUSTOMER-USD'!$D11,'01. KE30'!$F:$F,'06. BC BH THEO CUSTOMER-USD'!$H11,'01. KE30'!$A:$A,'06. BC BH THEO CUSTOMER-USD'!U$4)/'06. BC BH THEO CUSTOMER-USD'!DA11/'02. Tỷ giá'!J$5,"-")</f>
        <v>-</v>
      </c>
      <c r="V11" s="106" t="str">
        <f>IFERROR(SUMIFS('01. KE30'!$K:$K,'01. KE30'!$C:$C,'06. BC BH THEO CUSTOMER-USD'!$D11,'01. KE30'!$F:$F,'06. BC BH THEO CUSTOMER-USD'!$H11,'01. KE30'!$A:$A,'06. BC BH THEO CUSTOMER-USD'!V$4)/'06. BC BH THEO CUSTOMER-USD'!DB11/'02. Tỷ giá'!K$5,"-")</f>
        <v>-</v>
      </c>
      <c r="W11" s="106" t="str">
        <f>IFERROR(SUMIFS('01. KE30'!$K:$K,'01. KE30'!$C:$C,'06. BC BH THEO CUSTOMER-USD'!$D11,'01. KE30'!$F:$F,'06. BC BH THEO CUSTOMER-USD'!$H11,'01. KE30'!$A:$A,'06. BC BH THEO CUSTOMER-USD'!W$4)/'06. BC BH THEO CUSTOMER-USD'!DC11/'02. Tỷ giá'!L$5,"-")</f>
        <v>-</v>
      </c>
      <c r="X11" s="106" t="str">
        <f>IFERROR(SUMIFS('01. KE30'!$K:$K,'01. KE30'!$C:$C,'06. BC BH THEO CUSTOMER-USD'!$D11,'01. KE30'!$F:$F,'06. BC BH THEO CUSTOMER-USD'!$H11,'01. KE30'!$A:$A,'06. BC BH THEO CUSTOMER-USD'!X$4)/'06. BC BH THEO CUSTOMER-USD'!DD11/'02. Tỷ giá'!M$5,"-")</f>
        <v>-</v>
      </c>
      <c r="Z11" s="92" t="str">
        <f t="shared" si="43"/>
        <v>-</v>
      </c>
      <c r="AA11" s="147" t="str">
        <f>IFERROR(SUMIFS('01. KE30'!$O:$O,'01. KE30'!$C:$C,'06. BC BH THEO CUSTOMER-USD'!$D11,'01. KE30'!$F:$F,'06. BC BH THEO CUSTOMER-USD'!$H11,'01. KE30'!$A:$A,'06. BC BH THEO CUSTOMER-USD'!M$4)/'06. BC BH THEO CUSTOMER-USD'!CS11/'02. Tỷ giá'!B$5,"-")</f>
        <v>-</v>
      </c>
      <c r="AB11" s="147" t="str">
        <f>IFERROR(SUMIFS('01. KE30'!$O:$O,'01. KE30'!$C:$C,'06. BC BH THEO CUSTOMER-USD'!$D11,'01. KE30'!$F:$F,'06. BC BH THEO CUSTOMER-USD'!$H11,'01. KE30'!$A:$A,'06. BC BH THEO CUSTOMER-USD'!N$4)/'06. BC BH THEO CUSTOMER-USD'!CT11/'02. Tỷ giá'!C$5,"-")</f>
        <v>-</v>
      </c>
      <c r="AC11" s="147" t="str">
        <f>IFERROR(SUMIFS('01. KE30'!$O:$O,'01. KE30'!$C:$C,'06. BC BH THEO CUSTOMER-USD'!$D11,'01. KE30'!$F:$F,'06. BC BH THEO CUSTOMER-USD'!$H11,'01. KE30'!$A:$A,'06. BC BH THEO CUSTOMER-USD'!O$4)/'06. BC BH THEO CUSTOMER-USD'!CU11/'02. Tỷ giá'!D$5,"-")</f>
        <v>-</v>
      </c>
      <c r="AD11" s="147" t="str">
        <f>IFERROR(SUMIFS('01. KE30'!$O:$O,'01. KE30'!$C:$C,'06. BC BH THEO CUSTOMER-USD'!$D11,'01. KE30'!$F:$F,'06. BC BH THEO CUSTOMER-USD'!$H11,'01. KE30'!$A:$A,'06. BC BH THEO CUSTOMER-USD'!P$4)/'06. BC BH THEO CUSTOMER-USD'!CV11/'02. Tỷ giá'!E$5,"-")</f>
        <v>-</v>
      </c>
      <c r="AE11" s="147" t="str">
        <f>IFERROR(SUMIFS('01. KE30'!$O:$O,'01. KE30'!$C:$C,'06. BC BH THEO CUSTOMER-USD'!$D11,'01. KE30'!$F:$F,'06. BC BH THEO CUSTOMER-USD'!$H11,'01. KE30'!$A:$A,'06. BC BH THEO CUSTOMER-USD'!Q$4)/'06. BC BH THEO CUSTOMER-USD'!CW11/'02. Tỷ giá'!F$5,"-")</f>
        <v>-</v>
      </c>
      <c r="AF11" s="147" t="str">
        <f>IFERROR(SUMIFS('01. KE30'!$O:$O,'01. KE30'!$C:$C,'06. BC BH THEO CUSTOMER-USD'!$D11,'01. KE30'!$F:$F,'06. BC BH THEO CUSTOMER-USD'!$H11,'01. KE30'!$A:$A,'06. BC BH THEO CUSTOMER-USD'!R$4)/'06. BC BH THEO CUSTOMER-USD'!CX11/'02. Tỷ giá'!G$5,"-")</f>
        <v>-</v>
      </c>
      <c r="AG11" s="147" t="str">
        <f>IFERROR(SUMIFS('01. KE30'!$O:$O,'01. KE30'!$C:$C,'06. BC BH THEO CUSTOMER-USD'!$D11,'01. KE30'!$F:$F,'06. BC BH THEO CUSTOMER-USD'!$H11,'01. KE30'!$A:$A,'06. BC BH THEO CUSTOMER-USD'!S$4)/'06. BC BH THEO CUSTOMER-USD'!CY11/'02. Tỷ giá'!H$5,"-")</f>
        <v>-</v>
      </c>
      <c r="AH11" s="147" t="str">
        <f>IFERROR(SUMIFS('01. KE30'!$O:$O,'01. KE30'!$C:$C,'06. BC BH THEO CUSTOMER-USD'!$D11,'01. KE30'!$F:$F,'06. BC BH THEO CUSTOMER-USD'!$H11,'01. KE30'!$A:$A,'06. BC BH THEO CUSTOMER-USD'!T$4)/'06. BC BH THEO CUSTOMER-USD'!CZ11/'02. Tỷ giá'!I$5,"-")</f>
        <v>-</v>
      </c>
      <c r="AI11" s="147" t="str">
        <f>IFERROR(SUMIFS('01. KE30'!$O:$O,'01. KE30'!$C:$C,'06. BC BH THEO CUSTOMER-USD'!$D11,'01. KE30'!$F:$F,'06. BC BH THEO CUSTOMER-USD'!$H11,'01. KE30'!$A:$A,'06. BC BH THEO CUSTOMER-USD'!U$4)/'06. BC BH THEO CUSTOMER-USD'!DA11/'02. Tỷ giá'!J$5,"-")</f>
        <v>-</v>
      </c>
      <c r="AJ11" s="147" t="str">
        <f>IFERROR(SUMIFS('01. KE30'!$O:$O,'01. KE30'!$C:$C,'06. BC BH THEO CUSTOMER-USD'!$D11,'01. KE30'!$F:$F,'06. BC BH THEO CUSTOMER-USD'!$H11,'01. KE30'!$A:$A,'06. BC BH THEO CUSTOMER-USD'!V$4)/'06. BC BH THEO CUSTOMER-USD'!DB11/'02. Tỷ giá'!K$5,"-")</f>
        <v>-</v>
      </c>
      <c r="AK11" s="147" t="str">
        <f>IFERROR(SUMIFS('01. KE30'!$O:$O,'01. KE30'!$C:$C,'06. BC BH THEO CUSTOMER-USD'!$D11,'01. KE30'!$F:$F,'06. BC BH THEO CUSTOMER-USD'!$H11,'01. KE30'!$A:$A,'06. BC BH THEO CUSTOMER-USD'!W$4)/'06. BC BH THEO CUSTOMER-USD'!DC11/'02. Tỷ giá'!L$5,"-")</f>
        <v>-</v>
      </c>
      <c r="AL11" s="147" t="str">
        <f>IFERROR(SUMIFS('01. KE30'!$O:$O,'01. KE30'!$C:$C,'06. BC BH THEO CUSTOMER-USD'!$D11,'01. KE30'!$F:$F,'06. BC BH THEO CUSTOMER-USD'!$H11,'01. KE30'!$A:$A,'06. BC BH THEO CUSTOMER-USD'!X$4)/'06. BC BH THEO CUSTOMER-USD'!DD11/'02. Tỷ giá'!M$5,"-")</f>
        <v>-</v>
      </c>
      <c r="AN11" s="92">
        <f t="shared" si="44"/>
        <v>1323.3333333333333</v>
      </c>
      <c r="AO11" s="25">
        <v>1320</v>
      </c>
      <c r="AP11" s="25">
        <f t="shared" ref="AP11:AP12" si="65">1320-40</f>
        <v>1280</v>
      </c>
      <c r="AQ11" s="25">
        <v>1320</v>
      </c>
      <c r="AR11" s="25">
        <f t="shared" si="64"/>
        <v>1340</v>
      </c>
      <c r="AS11" s="25">
        <v>1340</v>
      </c>
      <c r="AT11" s="25">
        <v>1340</v>
      </c>
      <c r="AU11" s="25"/>
      <c r="AV11" s="25"/>
      <c r="AW11" s="25"/>
      <c r="AX11" s="25"/>
      <c r="AY11" s="25"/>
      <c r="AZ11" s="25"/>
      <c r="BB11" s="95" t="str">
        <f t="shared" si="45"/>
        <v>-</v>
      </c>
      <c r="BC11" s="95" t="str">
        <f t="shared" si="46"/>
        <v>-</v>
      </c>
      <c r="BD11" s="95" t="str">
        <f t="shared" si="6"/>
        <v>-</v>
      </c>
      <c r="BE11" s="95" t="str">
        <f t="shared" si="6"/>
        <v>-</v>
      </c>
      <c r="BF11" s="95" t="str">
        <f t="shared" si="6"/>
        <v>-</v>
      </c>
      <c r="BG11" s="95" t="str">
        <f t="shared" si="6"/>
        <v>-</v>
      </c>
      <c r="BH11" s="95" t="str">
        <f t="shared" si="6"/>
        <v>-</v>
      </c>
      <c r="BI11" s="95" t="str">
        <f t="shared" si="6"/>
        <v>-</v>
      </c>
      <c r="BJ11" s="95" t="str">
        <f t="shared" si="6"/>
        <v>-</v>
      </c>
      <c r="BK11" s="95" t="str">
        <f t="shared" si="6"/>
        <v>-</v>
      </c>
      <c r="BL11" s="95" t="str">
        <f t="shared" si="6"/>
        <v>-</v>
      </c>
      <c r="BM11" s="95" t="str">
        <f t="shared" si="6"/>
        <v>-</v>
      </c>
      <c r="BN11" s="95" t="str">
        <f t="shared" si="6"/>
        <v>-</v>
      </c>
      <c r="BP11" s="143" t="str">
        <f t="shared" si="47"/>
        <v>-</v>
      </c>
      <c r="BQ11" s="143" t="str">
        <f t="shared" si="8"/>
        <v>-</v>
      </c>
      <c r="BR11" s="143" t="str">
        <f t="shared" si="9"/>
        <v>-</v>
      </c>
      <c r="BS11" s="143" t="str">
        <f t="shared" si="10"/>
        <v>-</v>
      </c>
      <c r="BT11" s="143" t="str">
        <f t="shared" si="11"/>
        <v>-</v>
      </c>
      <c r="BU11" s="143" t="str">
        <f t="shared" si="12"/>
        <v>-</v>
      </c>
      <c r="BV11" s="143" t="str">
        <f t="shared" si="13"/>
        <v>-</v>
      </c>
      <c r="BW11" s="143" t="str">
        <f t="shared" si="14"/>
        <v>-</v>
      </c>
      <c r="BX11" s="143" t="str">
        <f t="shared" si="15"/>
        <v>-</v>
      </c>
      <c r="BY11" s="143" t="str">
        <f t="shared" si="16"/>
        <v>-</v>
      </c>
      <c r="BZ11" s="143" t="str">
        <f t="shared" si="17"/>
        <v>-</v>
      </c>
      <c r="CA11" s="143" t="str">
        <f t="shared" si="18"/>
        <v>-</v>
      </c>
      <c r="CB11" s="143" t="str">
        <f t="shared" si="19"/>
        <v>-</v>
      </c>
      <c r="CD11" s="112" t="str">
        <f t="shared" si="25"/>
        <v>-</v>
      </c>
      <c r="CE11" s="95" t="str">
        <f>IFERROR(SUMIFS('01. KE30'!$R:$R,'01. KE30'!$C:$C,'06. BC BH THEO CUSTOMER-USD'!$D11,'01. KE30'!$F:$F,'06. BC BH THEO CUSTOMER-USD'!$H11,'01. KE30'!$A:$A,'06. BC BH THEO CUSTOMER-USD'!CE$4)/CS11/'02. Tỷ giá'!B$5," -")</f>
        <v xml:space="preserve"> -</v>
      </c>
      <c r="CF11" s="95" t="str">
        <f>IFERROR(SUMIFS('01. KE30'!$R:$R,'01. KE30'!$C:$C,'06. BC BH THEO CUSTOMER-USD'!$D11,'01. KE30'!$F:$F,'06. BC BH THEO CUSTOMER-USD'!$H11,'01. KE30'!$A:$A,'06. BC BH THEO CUSTOMER-USD'!CF$4)/CT11/'02. Tỷ giá'!C$5," -")</f>
        <v xml:space="preserve"> -</v>
      </c>
      <c r="CG11" s="95" t="str">
        <f>IFERROR(SUMIFS('01. KE30'!$R:$R,'01. KE30'!$C:$C,'06. BC BH THEO CUSTOMER-USD'!$D11,'01. KE30'!$F:$F,'06. BC BH THEO CUSTOMER-USD'!$H11,'01. KE30'!$A:$A,'06. BC BH THEO CUSTOMER-USD'!CG$4)/CU11/'02. Tỷ giá'!D$5," -")</f>
        <v xml:space="preserve"> -</v>
      </c>
      <c r="CH11" s="95" t="str">
        <f>IFERROR(SUMIFS('01. KE30'!$R:$R,'01. KE30'!$C:$C,'06. BC BH THEO CUSTOMER-USD'!$D11,'01. KE30'!$F:$F,'06. BC BH THEO CUSTOMER-USD'!$H11,'01. KE30'!$A:$A,'06. BC BH THEO CUSTOMER-USD'!CH$4)/CV11/'02. Tỷ giá'!E$5," -")</f>
        <v xml:space="preserve"> -</v>
      </c>
      <c r="CI11" s="95" t="str">
        <f>IFERROR(SUMIFS('01. KE30'!$R:$R,'01. KE30'!$C:$C,'06. BC BH THEO CUSTOMER-USD'!$D11,'01. KE30'!$F:$F,'06. BC BH THEO CUSTOMER-USD'!$H11,'01. KE30'!$A:$A,'06. BC BH THEO CUSTOMER-USD'!CI$4)/CW11/'02. Tỷ giá'!F$5," -")</f>
        <v xml:space="preserve"> -</v>
      </c>
      <c r="CJ11" s="95" t="str">
        <f>IFERROR(SUMIFS('01. KE30'!$R:$R,'01. KE30'!$C:$C,'06. BC BH THEO CUSTOMER-USD'!$D11,'01. KE30'!$F:$F,'06. BC BH THEO CUSTOMER-USD'!$H11,'01. KE30'!$A:$A,'06. BC BH THEO CUSTOMER-USD'!CJ$4)/CX11/'02. Tỷ giá'!G$5," -")</f>
        <v xml:space="preserve"> -</v>
      </c>
      <c r="CK11" s="95" t="str">
        <f>IFERROR(SUMIFS('01. KE30'!$R:$R,'01. KE30'!$C:$C,'06. BC BH THEO CUSTOMER-USD'!$D11,'01. KE30'!$F:$F,'06. BC BH THEO CUSTOMER-USD'!$H11,'01. KE30'!$A:$A,'06. BC BH THEO CUSTOMER-USD'!CK$4)/CY11/'02. Tỷ giá'!H$5," -")</f>
        <v xml:space="preserve"> -</v>
      </c>
      <c r="CL11" s="95" t="str">
        <f>IFERROR(SUMIFS('01. KE30'!$R:$R,'01. KE30'!$C:$C,'06. BC BH THEO CUSTOMER-USD'!$D11,'01. KE30'!$F:$F,'06. BC BH THEO CUSTOMER-USD'!$H11,'01. KE30'!$A:$A,'06. BC BH THEO CUSTOMER-USD'!CL$4)/CZ11/'02. Tỷ giá'!I$5," -")</f>
        <v xml:space="preserve"> -</v>
      </c>
      <c r="CM11" s="95" t="str">
        <f>IFERROR(SUMIFS('01. KE30'!$R:$R,'01. KE30'!$C:$C,'06. BC BH THEO CUSTOMER-USD'!$D11,'01. KE30'!$F:$F,'06. BC BH THEO CUSTOMER-USD'!$H11,'01. KE30'!$A:$A,'06. BC BH THEO CUSTOMER-USD'!CM$4)/DA11/'02. Tỷ giá'!J$5," -")</f>
        <v xml:space="preserve"> -</v>
      </c>
      <c r="CN11" s="95" t="str">
        <f>IFERROR(SUMIFS('01. KE30'!$R:$R,'01. KE30'!$C:$C,'06. BC BH THEO CUSTOMER-USD'!$D11,'01. KE30'!$F:$F,'06. BC BH THEO CUSTOMER-USD'!$H11,'01. KE30'!$A:$A,'06. BC BH THEO CUSTOMER-USD'!CN$4)/DB11/'02. Tỷ giá'!K$5," -")</f>
        <v xml:space="preserve"> -</v>
      </c>
      <c r="CO11" s="95" t="str">
        <f>IFERROR(SUMIFS('01. KE30'!$R:$R,'01. KE30'!$C:$C,'06. BC BH THEO CUSTOMER-USD'!$D11,'01. KE30'!$F:$F,'06. BC BH THEO CUSTOMER-USD'!$H11,'01. KE30'!$A:$A,'06. BC BH THEO CUSTOMER-USD'!CO$4)/DC11/'02. Tỷ giá'!L$5," -")</f>
        <v xml:space="preserve"> -</v>
      </c>
      <c r="CP11" s="95" t="str">
        <f>IFERROR(SUMIFS('01. KE30'!$R:$R,'01. KE30'!$C:$C,'06. BC BH THEO CUSTOMER-USD'!$D11,'01. KE30'!$F:$F,'06. BC BH THEO CUSTOMER-USD'!$H11,'01. KE30'!$A:$A,'06. BC BH THEO CUSTOMER-USD'!CP$4)/DD11/'02. Tỷ giá'!M$5," -")</f>
        <v xml:space="preserve"> -</v>
      </c>
      <c r="CR11" s="112">
        <f t="shared" si="26"/>
        <v>0</v>
      </c>
      <c r="CS11" s="54">
        <f>SUMIFS('01. KE30'!$I:$I,'01. KE30'!$C:$C,'06. BC BH THEO CUSTOMER-USD'!$D11,'01. KE30'!$F:$F,'06. BC BH THEO CUSTOMER-USD'!$H11,'01. KE30'!$A:$A,'06. BC BH THEO CUSTOMER-USD'!CS$4)/1000</f>
        <v>0</v>
      </c>
      <c r="CT11" s="54">
        <f>SUMIFS('01. KE30'!$I:$I,'01. KE30'!$C:$C,'06. BC BH THEO CUSTOMER-USD'!$D11,'01. KE30'!$F:$F,'06. BC BH THEO CUSTOMER-USD'!$H11,'01. KE30'!$A:$A,'06. BC BH THEO CUSTOMER-USD'!CT$4)/1000</f>
        <v>0</v>
      </c>
      <c r="CU11" s="54">
        <f>SUMIFS('01. KE30'!$I:$I,'01. KE30'!$C:$C,'06. BC BH THEO CUSTOMER-USD'!$D11,'01. KE30'!$F:$F,'06. BC BH THEO CUSTOMER-USD'!$H11,'01. KE30'!$A:$A,'06. BC BH THEO CUSTOMER-USD'!CU$4)/1000</f>
        <v>0</v>
      </c>
      <c r="CV11" s="54">
        <f>SUMIFS('01. KE30'!$I:$I,'01. KE30'!$C:$C,'06. BC BH THEO CUSTOMER-USD'!$D11,'01. KE30'!$F:$F,'06. BC BH THEO CUSTOMER-USD'!$H11,'01. KE30'!$A:$A,'06. BC BH THEO CUSTOMER-USD'!CV$4)/1000</f>
        <v>0</v>
      </c>
      <c r="CW11" s="54">
        <f>SUMIFS('01. KE30'!$I:$I,'01. KE30'!$C:$C,'06. BC BH THEO CUSTOMER-USD'!$D11,'01. KE30'!$F:$F,'06. BC BH THEO CUSTOMER-USD'!$H11,'01. KE30'!$A:$A,'06. BC BH THEO CUSTOMER-USD'!CW$4)/1000</f>
        <v>0</v>
      </c>
      <c r="CX11" s="54">
        <f>SUMIFS('01. KE30'!$I:$I,'01. KE30'!$C:$C,'06. BC BH THEO CUSTOMER-USD'!$D11,'01. KE30'!$F:$F,'06. BC BH THEO CUSTOMER-USD'!$H11,'01. KE30'!$A:$A,'06. BC BH THEO CUSTOMER-USD'!CX$4)/1000</f>
        <v>0</v>
      </c>
      <c r="CY11" s="54">
        <f>SUMIFS('01. KE30'!$I:$I,'01. KE30'!$C:$C,'06. BC BH THEO CUSTOMER-USD'!$D11,'01. KE30'!$F:$F,'06. BC BH THEO CUSTOMER-USD'!$H11,'01. KE30'!$A:$A,'06. BC BH THEO CUSTOMER-USD'!CY$4)/1000</f>
        <v>0</v>
      </c>
      <c r="CZ11" s="54">
        <f>SUMIFS('01. KE30'!$I:$I,'01. KE30'!$C:$C,'06. BC BH THEO CUSTOMER-USD'!$D11,'01. KE30'!$F:$F,'06. BC BH THEO CUSTOMER-USD'!$H11,'01. KE30'!$A:$A,'06. BC BH THEO CUSTOMER-USD'!CZ$4)/1000</f>
        <v>0</v>
      </c>
      <c r="DA11" s="54">
        <f>SUMIFS('01. KE30'!$I:$I,'01. KE30'!$C:$C,'06. BC BH THEO CUSTOMER-USD'!$D11,'01. KE30'!$F:$F,'06. BC BH THEO CUSTOMER-USD'!$H11,'01. KE30'!$A:$A,'06. BC BH THEO CUSTOMER-USD'!DA$4)/1000</f>
        <v>0</v>
      </c>
      <c r="DB11" s="54">
        <f>SUMIFS('01. KE30'!$I:$I,'01. KE30'!$C:$C,'06. BC BH THEO CUSTOMER-USD'!$D11,'01. KE30'!$F:$F,'06. BC BH THEO CUSTOMER-USD'!$H11,'01. KE30'!$A:$A,'06. BC BH THEO CUSTOMER-USD'!DB$4)/1000</f>
        <v>0</v>
      </c>
      <c r="DC11" s="54">
        <f>SUMIFS('01. KE30'!$I:$I,'01. KE30'!$C:$C,'06. BC BH THEO CUSTOMER-USD'!$D11,'01. KE30'!$F:$F,'06. BC BH THEO CUSTOMER-USD'!$H11,'01. KE30'!$A:$A,'06. BC BH THEO CUSTOMER-USD'!DC$4)/1000</f>
        <v>0</v>
      </c>
      <c r="DD11" s="54">
        <f>SUMIFS('01. KE30'!$I:$I,'01. KE30'!$C:$C,'06. BC BH THEO CUSTOMER-USD'!$D11,'01. KE30'!$F:$F,'06. BC BH THEO CUSTOMER-USD'!$H11,'01. KE30'!$A:$A,'06. BC BH THEO CUSTOMER-USD'!DD$4)/1000</f>
        <v>0</v>
      </c>
      <c r="DF11" s="112">
        <f t="shared" si="27"/>
        <v>0</v>
      </c>
      <c r="DG11" s="54" t="str">
        <f t="shared" si="48"/>
        <v>-</v>
      </c>
      <c r="DH11" s="54" t="str">
        <f t="shared" si="49"/>
        <v>-</v>
      </c>
      <c r="DI11" s="54" t="str">
        <f t="shared" si="50"/>
        <v>-</v>
      </c>
      <c r="DJ11" s="54" t="str">
        <f t="shared" si="51"/>
        <v>-</v>
      </c>
      <c r="DK11" s="54" t="str">
        <f t="shared" si="52"/>
        <v>-</v>
      </c>
      <c r="DL11" s="54" t="str">
        <f t="shared" si="53"/>
        <v>-</v>
      </c>
      <c r="DM11" s="54" t="str">
        <f t="shared" si="54"/>
        <v>-</v>
      </c>
      <c r="DN11" s="54" t="str">
        <f t="shared" si="55"/>
        <v>-</v>
      </c>
      <c r="DO11" s="54" t="str">
        <f t="shared" si="56"/>
        <v>-</v>
      </c>
      <c r="DP11" s="54" t="str">
        <f t="shared" si="57"/>
        <v>-</v>
      </c>
      <c r="DQ11" s="54" t="str">
        <f t="shared" si="58"/>
        <v>-</v>
      </c>
      <c r="DR11" s="54" t="str">
        <f t="shared" si="59"/>
        <v>-</v>
      </c>
      <c r="DT11" s="112">
        <f t="shared" si="60"/>
        <v>0</v>
      </c>
      <c r="DU11" s="114">
        <f>IFERROR(SUMIFS('01. KE30'!$X:$X,'01. KE30'!$C:$C,'06. BC BH THEO CUSTOMER-USD'!$D11,'01. KE30'!$F:$F,'06. BC BH THEO CUSTOMER-USD'!$H11,'01. KE30'!$A:$A,'06. BC BH THEO CUSTOMER-USD'!DU$4)-SUMIFS('01. KE30'!$AA:$AA,'01. KE30'!$C:$C,'06. BC BH THEO CUSTOMER-USD'!$D11,'01. KE30'!$F:$F,'06. BC BH THEO CUSTOMER-USD'!$H11,'01. KE30'!$A:$A,'06. BC BH THEO CUSTOMER-USD'!DU$4),"-")</f>
        <v>0</v>
      </c>
      <c r="DV11" s="114">
        <f>IFERROR(SUMIFS('01. KE30'!$X:$X,'01. KE30'!$C:$C,'06. BC BH THEO CUSTOMER-USD'!$D11,'01. KE30'!$F:$F,'06. BC BH THEO CUSTOMER-USD'!$H11,'01. KE30'!$A:$A,'06. BC BH THEO CUSTOMER-USD'!DV$4)-SUMIFS('01. KE30'!$AA:$AA,'01. KE30'!$C:$C,'06. BC BH THEO CUSTOMER-USD'!$D11,'01. KE30'!$F:$F,'06. BC BH THEO CUSTOMER-USD'!$H11,'01. KE30'!$A:$A,'06. BC BH THEO CUSTOMER-USD'!DV$4),"-")</f>
        <v>0</v>
      </c>
      <c r="DW11" s="114">
        <f>IFERROR(SUMIFS('01. KE30'!$X:$X,'01. KE30'!$C:$C,'06. BC BH THEO CUSTOMER-USD'!$D11,'01. KE30'!$F:$F,'06. BC BH THEO CUSTOMER-USD'!$H11,'01. KE30'!$A:$A,'06. BC BH THEO CUSTOMER-USD'!DW$4)-SUMIFS('01. KE30'!$AA:$AA,'01. KE30'!$C:$C,'06. BC BH THEO CUSTOMER-USD'!$D11,'01. KE30'!$F:$F,'06. BC BH THEO CUSTOMER-USD'!$H11,'01. KE30'!$A:$A,'06. BC BH THEO CUSTOMER-USD'!DW$4),"-")</f>
        <v>0</v>
      </c>
      <c r="DX11" s="114">
        <f>IFERROR(SUMIFS('01. KE30'!$X:$X,'01. KE30'!$C:$C,'06. BC BH THEO CUSTOMER-USD'!$D11,'01. KE30'!$F:$F,'06. BC BH THEO CUSTOMER-USD'!$H11,'01. KE30'!$A:$A,'06. BC BH THEO CUSTOMER-USD'!DX$4)-SUMIFS('01. KE30'!$AA:$AA,'01. KE30'!$C:$C,'06. BC BH THEO CUSTOMER-USD'!$D11,'01. KE30'!$F:$F,'06. BC BH THEO CUSTOMER-USD'!$H11,'01. KE30'!$A:$A,'06. BC BH THEO CUSTOMER-USD'!DX$4),"-")</f>
        <v>0</v>
      </c>
      <c r="DY11" s="114">
        <f>IFERROR(SUMIFS('01. KE30'!$X:$X,'01. KE30'!$C:$C,'06. BC BH THEO CUSTOMER-USD'!$D11,'01. KE30'!$F:$F,'06. BC BH THEO CUSTOMER-USD'!$H11,'01. KE30'!$A:$A,'06. BC BH THEO CUSTOMER-USD'!DY$4)-SUMIFS('01. KE30'!$AA:$AA,'01. KE30'!$C:$C,'06. BC BH THEO CUSTOMER-USD'!$D11,'01. KE30'!$F:$F,'06. BC BH THEO CUSTOMER-USD'!$H11,'01. KE30'!$A:$A,'06. BC BH THEO CUSTOMER-USD'!DY$4),"-")</f>
        <v>0</v>
      </c>
      <c r="DZ11" s="114">
        <f>IFERROR(SUMIFS('01. KE30'!$X:$X,'01. KE30'!$C:$C,'06. BC BH THEO CUSTOMER-USD'!$D11,'01. KE30'!$F:$F,'06. BC BH THEO CUSTOMER-USD'!$H11,'01. KE30'!$A:$A,'06. BC BH THEO CUSTOMER-USD'!DZ$4)-SUMIFS('01. KE30'!$AA:$AA,'01. KE30'!$C:$C,'06. BC BH THEO CUSTOMER-USD'!$D11,'01. KE30'!$F:$F,'06. BC BH THEO CUSTOMER-USD'!$H11,'01. KE30'!$A:$A,'06. BC BH THEO CUSTOMER-USD'!DZ$4),"-")</f>
        <v>0</v>
      </c>
      <c r="EA11" s="114">
        <f>IFERROR(SUMIFS('01. KE30'!$X:$X,'01. KE30'!$C:$C,'06. BC BH THEO CUSTOMER-USD'!$D11,'01. KE30'!$F:$F,'06. BC BH THEO CUSTOMER-USD'!$H11,'01. KE30'!$A:$A,'06. BC BH THEO CUSTOMER-USD'!EA$4)-SUMIFS('01. KE30'!$AA:$AA,'01. KE30'!$C:$C,'06. BC BH THEO CUSTOMER-USD'!$D11,'01. KE30'!$F:$F,'06. BC BH THEO CUSTOMER-USD'!$H11,'01. KE30'!$A:$A,'06. BC BH THEO CUSTOMER-USD'!EA$4),"-")</f>
        <v>0</v>
      </c>
      <c r="EB11" s="114">
        <f>IFERROR(SUMIFS('01. KE30'!$X:$X,'01. KE30'!$C:$C,'06. BC BH THEO CUSTOMER-USD'!$D11,'01. KE30'!$F:$F,'06. BC BH THEO CUSTOMER-USD'!$H11,'01. KE30'!$A:$A,'06. BC BH THEO CUSTOMER-USD'!EB$4)-SUMIFS('01. KE30'!$AA:$AA,'01. KE30'!$C:$C,'06. BC BH THEO CUSTOMER-USD'!$D11,'01. KE30'!$F:$F,'06. BC BH THEO CUSTOMER-USD'!$H11,'01. KE30'!$A:$A,'06. BC BH THEO CUSTOMER-USD'!EB$4),"-")</f>
        <v>0</v>
      </c>
      <c r="EC11" s="114">
        <f>IFERROR(SUMIFS('01. KE30'!$X:$X,'01. KE30'!$C:$C,'06. BC BH THEO CUSTOMER-USD'!$D11,'01. KE30'!$F:$F,'06. BC BH THEO CUSTOMER-USD'!$H11,'01. KE30'!$A:$A,'06. BC BH THEO CUSTOMER-USD'!EC$4)-SUMIFS('01. KE30'!$AA:$AA,'01. KE30'!$C:$C,'06. BC BH THEO CUSTOMER-USD'!$D11,'01. KE30'!$F:$F,'06. BC BH THEO CUSTOMER-USD'!$H11,'01. KE30'!$A:$A,'06. BC BH THEO CUSTOMER-USD'!EC$4),"-")</f>
        <v>0</v>
      </c>
      <c r="ED11" s="114">
        <f>IFERROR(SUMIFS('01. KE30'!$X:$X,'01. KE30'!$C:$C,'06. BC BH THEO CUSTOMER-USD'!$D11,'01. KE30'!$F:$F,'06. BC BH THEO CUSTOMER-USD'!$H11,'01. KE30'!$A:$A,'06. BC BH THEO CUSTOMER-USD'!ED$4)-SUMIFS('01. KE30'!$AA:$AA,'01. KE30'!$C:$C,'06. BC BH THEO CUSTOMER-USD'!$D11,'01. KE30'!$F:$F,'06. BC BH THEO CUSTOMER-USD'!$H11,'01. KE30'!$A:$A,'06. BC BH THEO CUSTOMER-USD'!ED$4),"-")</f>
        <v>0</v>
      </c>
      <c r="EE11" s="114">
        <f>IFERROR(SUMIFS('01. KE30'!$X:$X,'01. KE30'!$C:$C,'06. BC BH THEO CUSTOMER-USD'!$D11,'01. KE30'!$F:$F,'06. BC BH THEO CUSTOMER-USD'!$H11,'01. KE30'!$A:$A,'06. BC BH THEO CUSTOMER-USD'!EE$4)-SUMIFS('01. KE30'!$AA:$AA,'01. KE30'!$C:$C,'06. BC BH THEO CUSTOMER-USD'!$D11,'01. KE30'!$F:$F,'06. BC BH THEO CUSTOMER-USD'!$H11,'01. KE30'!$A:$A,'06. BC BH THEO CUSTOMER-USD'!EE$4),"-")</f>
        <v>0</v>
      </c>
      <c r="EF11" s="114">
        <f>IFERROR(SUMIFS('01. KE30'!$X:$X,'01. KE30'!$C:$C,'06. BC BH THEO CUSTOMER-USD'!$D11,'01. KE30'!$F:$F,'06. BC BH THEO CUSTOMER-USD'!$H11,'01. KE30'!$A:$A,'06. BC BH THEO CUSTOMER-USD'!EF$4)-SUMIFS('01. KE30'!$AA:$AA,'01. KE30'!$C:$C,'06. BC BH THEO CUSTOMER-USD'!$D11,'01. KE30'!$F:$F,'06. BC BH THEO CUSTOMER-USD'!$H11,'01. KE30'!$A:$A,'06. BC BH THEO CUSTOMER-USD'!EF$4),"-")</f>
        <v>0</v>
      </c>
      <c r="EH11" s="571" t="str">
        <f t="shared" si="29"/>
        <v>-</v>
      </c>
      <c r="EI11" s="572" t="str">
        <f t="shared" si="30"/>
        <v>-</v>
      </c>
      <c r="EJ11" s="572" t="str">
        <f t="shared" si="31"/>
        <v>-</v>
      </c>
      <c r="EK11" s="572" t="str">
        <f t="shared" si="32"/>
        <v>-</v>
      </c>
      <c r="EL11" s="572" t="str">
        <f t="shared" si="33"/>
        <v>-</v>
      </c>
      <c r="EM11" s="572" t="str">
        <f t="shared" si="34"/>
        <v>-</v>
      </c>
      <c r="EN11" s="572" t="str">
        <f t="shared" si="35"/>
        <v>-</v>
      </c>
      <c r="EO11" s="572" t="str">
        <f t="shared" si="36"/>
        <v>-</v>
      </c>
      <c r="EP11" s="572" t="str">
        <f t="shared" si="37"/>
        <v>-</v>
      </c>
      <c r="EQ11" s="572" t="str">
        <f t="shared" si="38"/>
        <v>-</v>
      </c>
      <c r="ER11" s="572" t="str">
        <f t="shared" si="39"/>
        <v>-</v>
      </c>
      <c r="ES11" s="572" t="str">
        <f t="shared" si="40"/>
        <v>-</v>
      </c>
      <c r="ET11" s="572" t="str">
        <f t="shared" si="41"/>
        <v>-</v>
      </c>
    </row>
    <row r="12" spans="1:150" ht="15.5" hidden="1" outlineLevel="1" x14ac:dyDescent="0.35">
      <c r="A12" s="27">
        <f t="shared" si="63"/>
        <v>7</v>
      </c>
      <c r="B12" s="27" t="s">
        <v>283</v>
      </c>
      <c r="C12" s="442" t="s">
        <v>489</v>
      </c>
      <c r="D12" s="392"/>
      <c r="E12" s="12" t="s">
        <v>155</v>
      </c>
      <c r="F12" s="31" t="s">
        <v>175</v>
      </c>
      <c r="G12" s="12" t="str">
        <f>_xlfn.XLOOKUP(F12,'Quy đổi'!$G$5:$G$32,'Quy đổi'!$H$5:$H$32,0)</f>
        <v>Bắc Mỹ</v>
      </c>
      <c r="H12" s="76" t="s">
        <v>127</v>
      </c>
      <c r="I12" s="7" t="s">
        <v>114</v>
      </c>
      <c r="J12" s="13" t="s">
        <v>26</v>
      </c>
      <c r="K12" s="33" t="s">
        <v>156</v>
      </c>
      <c r="L12" s="92" t="str">
        <f t="shared" si="42"/>
        <v>-</v>
      </c>
      <c r="M12" s="106" t="str">
        <f>IFERROR(SUMIFS('01. KE30'!$K:$K,'01. KE30'!$C:$C,'06. BC BH THEO CUSTOMER-USD'!$D12,'01. KE30'!$F:$F,'06. BC BH THEO CUSTOMER-USD'!$H12,'01. KE30'!$A:$A,'06. BC BH THEO CUSTOMER-USD'!M$4)/'06. BC BH THEO CUSTOMER-USD'!CS12/'02. Tỷ giá'!B$5,"-")</f>
        <v>-</v>
      </c>
      <c r="N12" s="106" t="str">
        <f>IFERROR(SUMIFS('01. KE30'!$K:$K,'01. KE30'!$C:$C,'06. BC BH THEO CUSTOMER-USD'!$D12,'01. KE30'!$F:$F,'06. BC BH THEO CUSTOMER-USD'!$H12,'01. KE30'!$A:$A,'06. BC BH THEO CUSTOMER-USD'!N$4)/'06. BC BH THEO CUSTOMER-USD'!CT12/'02. Tỷ giá'!C$5,"-")</f>
        <v>-</v>
      </c>
      <c r="O12" s="106" t="str">
        <f>IFERROR(SUMIFS('01. KE30'!$K:$K,'01. KE30'!$C:$C,'06. BC BH THEO CUSTOMER-USD'!$D12,'01. KE30'!$F:$F,'06. BC BH THEO CUSTOMER-USD'!$H12,'01. KE30'!$A:$A,'06. BC BH THEO CUSTOMER-USD'!O$4)/'06. BC BH THEO CUSTOMER-USD'!CU12/'02. Tỷ giá'!D$5,"-")</f>
        <v>-</v>
      </c>
      <c r="P12" s="106" t="str">
        <f>IFERROR(SUMIFS('01. KE30'!$K:$K,'01. KE30'!$C:$C,'06. BC BH THEO CUSTOMER-USD'!$D12,'01. KE30'!$F:$F,'06. BC BH THEO CUSTOMER-USD'!$H12,'01. KE30'!$A:$A,'06. BC BH THEO CUSTOMER-USD'!P$4)/'06. BC BH THEO CUSTOMER-USD'!CV12/'02. Tỷ giá'!E$5,"-")</f>
        <v>-</v>
      </c>
      <c r="Q12" s="106" t="str">
        <f>IFERROR(SUMIFS('01. KE30'!$K:$K,'01. KE30'!$C:$C,'06. BC BH THEO CUSTOMER-USD'!$D12,'01. KE30'!$F:$F,'06. BC BH THEO CUSTOMER-USD'!$H12,'01. KE30'!$A:$A,'06. BC BH THEO CUSTOMER-USD'!Q$4)/'06. BC BH THEO CUSTOMER-USD'!CW12/'02. Tỷ giá'!F$5,"-")</f>
        <v>-</v>
      </c>
      <c r="R12" s="106" t="str">
        <f>IFERROR(SUMIFS('01. KE30'!$K:$K,'01. KE30'!$C:$C,'06. BC BH THEO CUSTOMER-USD'!$D12,'01. KE30'!$F:$F,'06. BC BH THEO CUSTOMER-USD'!$H12,'01. KE30'!$A:$A,'06. BC BH THEO CUSTOMER-USD'!R$4)/'06. BC BH THEO CUSTOMER-USD'!CX12/'02. Tỷ giá'!G$5,"-")</f>
        <v>-</v>
      </c>
      <c r="S12" s="106" t="str">
        <f>IFERROR(SUMIFS('01. KE30'!$K:$K,'01. KE30'!$C:$C,'06. BC BH THEO CUSTOMER-USD'!$D12,'01. KE30'!$F:$F,'06. BC BH THEO CUSTOMER-USD'!$H12,'01. KE30'!$A:$A,'06. BC BH THEO CUSTOMER-USD'!S$4)/'06. BC BH THEO CUSTOMER-USD'!CY12/'02. Tỷ giá'!H$5,"-")</f>
        <v>-</v>
      </c>
      <c r="T12" s="106" t="str">
        <f>IFERROR(SUMIFS('01. KE30'!$K:$K,'01. KE30'!$C:$C,'06. BC BH THEO CUSTOMER-USD'!$D12,'01. KE30'!$F:$F,'06. BC BH THEO CUSTOMER-USD'!$H12,'01. KE30'!$A:$A,'06. BC BH THEO CUSTOMER-USD'!T$4)/'06. BC BH THEO CUSTOMER-USD'!CZ12/'02. Tỷ giá'!I$5,"-")</f>
        <v>-</v>
      </c>
      <c r="U12" s="106" t="str">
        <f>IFERROR(SUMIFS('01. KE30'!$K:$K,'01. KE30'!$C:$C,'06. BC BH THEO CUSTOMER-USD'!$D12,'01. KE30'!$F:$F,'06. BC BH THEO CUSTOMER-USD'!$H12,'01. KE30'!$A:$A,'06. BC BH THEO CUSTOMER-USD'!U$4)/'06. BC BH THEO CUSTOMER-USD'!DA12/'02. Tỷ giá'!J$5,"-")</f>
        <v>-</v>
      </c>
      <c r="V12" s="106" t="str">
        <f>IFERROR(SUMIFS('01. KE30'!$K:$K,'01. KE30'!$C:$C,'06. BC BH THEO CUSTOMER-USD'!$D12,'01. KE30'!$F:$F,'06. BC BH THEO CUSTOMER-USD'!$H12,'01. KE30'!$A:$A,'06. BC BH THEO CUSTOMER-USD'!V$4)/'06. BC BH THEO CUSTOMER-USD'!DB12/'02. Tỷ giá'!K$5,"-")</f>
        <v>-</v>
      </c>
      <c r="W12" s="106" t="str">
        <f>IFERROR(SUMIFS('01. KE30'!$K:$K,'01. KE30'!$C:$C,'06. BC BH THEO CUSTOMER-USD'!$D12,'01. KE30'!$F:$F,'06. BC BH THEO CUSTOMER-USD'!$H12,'01. KE30'!$A:$A,'06. BC BH THEO CUSTOMER-USD'!W$4)/'06. BC BH THEO CUSTOMER-USD'!DC12/'02. Tỷ giá'!L$5,"-")</f>
        <v>-</v>
      </c>
      <c r="X12" s="106" t="str">
        <f>IFERROR(SUMIFS('01. KE30'!$K:$K,'01. KE30'!$C:$C,'06. BC BH THEO CUSTOMER-USD'!$D12,'01. KE30'!$F:$F,'06. BC BH THEO CUSTOMER-USD'!$H12,'01. KE30'!$A:$A,'06. BC BH THEO CUSTOMER-USD'!X$4)/'06. BC BH THEO CUSTOMER-USD'!DD12/'02. Tỷ giá'!M$5,"-")</f>
        <v>-</v>
      </c>
      <c r="Z12" s="92" t="str">
        <f t="shared" si="43"/>
        <v>-</v>
      </c>
      <c r="AA12" s="147" t="str">
        <f>IFERROR(SUMIFS('01. KE30'!$O:$O,'01. KE30'!$C:$C,'06. BC BH THEO CUSTOMER-USD'!$D12,'01. KE30'!$F:$F,'06. BC BH THEO CUSTOMER-USD'!$H12,'01. KE30'!$A:$A,'06. BC BH THEO CUSTOMER-USD'!M$4)/'06. BC BH THEO CUSTOMER-USD'!CS12/'02. Tỷ giá'!B$5,"-")</f>
        <v>-</v>
      </c>
      <c r="AB12" s="147" t="str">
        <f>IFERROR(SUMIFS('01. KE30'!$O:$O,'01. KE30'!$C:$C,'06. BC BH THEO CUSTOMER-USD'!$D12,'01. KE30'!$F:$F,'06. BC BH THEO CUSTOMER-USD'!$H12,'01. KE30'!$A:$A,'06. BC BH THEO CUSTOMER-USD'!N$4)/'06. BC BH THEO CUSTOMER-USD'!CT12/'02. Tỷ giá'!C$5,"-")</f>
        <v>-</v>
      </c>
      <c r="AC12" s="147" t="str">
        <f>IFERROR(SUMIFS('01. KE30'!$O:$O,'01. KE30'!$C:$C,'06. BC BH THEO CUSTOMER-USD'!$D12,'01. KE30'!$F:$F,'06. BC BH THEO CUSTOMER-USD'!$H12,'01. KE30'!$A:$A,'06. BC BH THEO CUSTOMER-USD'!O$4)/'06. BC BH THEO CUSTOMER-USD'!CU12/'02. Tỷ giá'!D$5,"-")</f>
        <v>-</v>
      </c>
      <c r="AD12" s="147" t="str">
        <f>IFERROR(SUMIFS('01. KE30'!$O:$O,'01. KE30'!$C:$C,'06. BC BH THEO CUSTOMER-USD'!$D12,'01. KE30'!$F:$F,'06. BC BH THEO CUSTOMER-USD'!$H12,'01. KE30'!$A:$A,'06. BC BH THEO CUSTOMER-USD'!P$4)/'06. BC BH THEO CUSTOMER-USD'!CV12/'02. Tỷ giá'!E$5,"-")</f>
        <v>-</v>
      </c>
      <c r="AE12" s="147" t="str">
        <f>IFERROR(SUMIFS('01. KE30'!$O:$O,'01. KE30'!$C:$C,'06. BC BH THEO CUSTOMER-USD'!$D12,'01. KE30'!$F:$F,'06. BC BH THEO CUSTOMER-USD'!$H12,'01. KE30'!$A:$A,'06. BC BH THEO CUSTOMER-USD'!Q$4)/'06. BC BH THEO CUSTOMER-USD'!CW12/'02. Tỷ giá'!F$5,"-")</f>
        <v>-</v>
      </c>
      <c r="AF12" s="147" t="str">
        <f>IFERROR(SUMIFS('01. KE30'!$O:$O,'01. KE30'!$C:$C,'06. BC BH THEO CUSTOMER-USD'!$D12,'01. KE30'!$F:$F,'06. BC BH THEO CUSTOMER-USD'!$H12,'01. KE30'!$A:$A,'06. BC BH THEO CUSTOMER-USD'!R$4)/'06. BC BH THEO CUSTOMER-USD'!CX12/'02. Tỷ giá'!G$5,"-")</f>
        <v>-</v>
      </c>
      <c r="AG12" s="147" t="str">
        <f>IFERROR(SUMIFS('01. KE30'!$O:$O,'01. KE30'!$C:$C,'06. BC BH THEO CUSTOMER-USD'!$D12,'01. KE30'!$F:$F,'06. BC BH THEO CUSTOMER-USD'!$H12,'01. KE30'!$A:$A,'06. BC BH THEO CUSTOMER-USD'!S$4)/'06. BC BH THEO CUSTOMER-USD'!CY12/'02. Tỷ giá'!H$5,"-")</f>
        <v>-</v>
      </c>
      <c r="AH12" s="147" t="str">
        <f>IFERROR(SUMIFS('01. KE30'!$O:$O,'01. KE30'!$C:$C,'06. BC BH THEO CUSTOMER-USD'!$D12,'01. KE30'!$F:$F,'06. BC BH THEO CUSTOMER-USD'!$H12,'01. KE30'!$A:$A,'06. BC BH THEO CUSTOMER-USD'!T$4)/'06. BC BH THEO CUSTOMER-USD'!CZ12/'02. Tỷ giá'!I$5,"-")</f>
        <v>-</v>
      </c>
      <c r="AI12" s="147" t="str">
        <f>IFERROR(SUMIFS('01. KE30'!$O:$O,'01. KE30'!$C:$C,'06. BC BH THEO CUSTOMER-USD'!$D12,'01. KE30'!$F:$F,'06. BC BH THEO CUSTOMER-USD'!$H12,'01. KE30'!$A:$A,'06. BC BH THEO CUSTOMER-USD'!U$4)/'06. BC BH THEO CUSTOMER-USD'!DA12/'02. Tỷ giá'!J$5,"-")</f>
        <v>-</v>
      </c>
      <c r="AJ12" s="147" t="str">
        <f>IFERROR(SUMIFS('01. KE30'!$O:$O,'01. KE30'!$C:$C,'06. BC BH THEO CUSTOMER-USD'!$D12,'01. KE30'!$F:$F,'06. BC BH THEO CUSTOMER-USD'!$H12,'01. KE30'!$A:$A,'06. BC BH THEO CUSTOMER-USD'!V$4)/'06. BC BH THEO CUSTOMER-USD'!DB12/'02. Tỷ giá'!K$5,"-")</f>
        <v>-</v>
      </c>
      <c r="AK12" s="147" t="str">
        <f>IFERROR(SUMIFS('01. KE30'!$O:$O,'01. KE30'!$C:$C,'06. BC BH THEO CUSTOMER-USD'!$D12,'01. KE30'!$F:$F,'06. BC BH THEO CUSTOMER-USD'!$H12,'01. KE30'!$A:$A,'06. BC BH THEO CUSTOMER-USD'!W$4)/'06. BC BH THEO CUSTOMER-USD'!DC12/'02. Tỷ giá'!L$5,"-")</f>
        <v>-</v>
      </c>
      <c r="AL12" s="147" t="str">
        <f>IFERROR(SUMIFS('01. KE30'!$O:$O,'01. KE30'!$C:$C,'06. BC BH THEO CUSTOMER-USD'!$D12,'01. KE30'!$F:$F,'06. BC BH THEO CUSTOMER-USD'!$H12,'01. KE30'!$A:$A,'06. BC BH THEO CUSTOMER-USD'!X$4)/'06. BC BH THEO CUSTOMER-USD'!DD12/'02. Tỷ giá'!M$5,"-")</f>
        <v>-</v>
      </c>
      <c r="AN12" s="92">
        <f t="shared" si="44"/>
        <v>1322.2222222222222</v>
      </c>
      <c r="AO12" s="25">
        <v>1320</v>
      </c>
      <c r="AP12" s="25">
        <f t="shared" si="65"/>
        <v>1280</v>
      </c>
      <c r="AQ12" s="25">
        <v>1320</v>
      </c>
      <c r="AR12" s="4">
        <f t="shared" si="64"/>
        <v>1340</v>
      </c>
      <c r="AS12" s="4">
        <v>1340</v>
      </c>
      <c r="AT12" s="4">
        <v>1340</v>
      </c>
      <c r="AU12" s="4">
        <v>1340</v>
      </c>
      <c r="AV12" s="4">
        <f t="shared" ref="AV12:AV31" si="66">AU12-30</f>
        <v>1310</v>
      </c>
      <c r="AW12" s="25">
        <v>1310</v>
      </c>
      <c r="AX12" s="25"/>
      <c r="AY12" s="4"/>
      <c r="AZ12" s="4"/>
      <c r="BB12" s="95" t="str">
        <f t="shared" si="45"/>
        <v>-</v>
      </c>
      <c r="BC12" s="95" t="str">
        <f t="shared" si="46"/>
        <v>-</v>
      </c>
      <c r="BD12" s="95" t="str">
        <f t="shared" si="6"/>
        <v>-</v>
      </c>
      <c r="BE12" s="95" t="str">
        <f t="shared" si="6"/>
        <v>-</v>
      </c>
      <c r="BF12" s="95" t="str">
        <f t="shared" si="6"/>
        <v>-</v>
      </c>
      <c r="BG12" s="95" t="str">
        <f t="shared" si="6"/>
        <v>-</v>
      </c>
      <c r="BH12" s="95" t="str">
        <f t="shared" si="6"/>
        <v>-</v>
      </c>
      <c r="BI12" s="95" t="str">
        <f t="shared" si="6"/>
        <v>-</v>
      </c>
      <c r="BJ12" s="95" t="str">
        <f t="shared" si="6"/>
        <v>-</v>
      </c>
      <c r="BK12" s="95" t="str">
        <f t="shared" si="6"/>
        <v>-</v>
      </c>
      <c r="BL12" s="95" t="str">
        <f t="shared" si="6"/>
        <v>-</v>
      </c>
      <c r="BM12" s="95" t="str">
        <f t="shared" si="6"/>
        <v>-</v>
      </c>
      <c r="BN12" s="95" t="str">
        <f t="shared" si="6"/>
        <v>-</v>
      </c>
      <c r="BP12" s="143" t="str">
        <f t="shared" si="47"/>
        <v>-</v>
      </c>
      <c r="BQ12" s="143" t="str">
        <f t="shared" si="8"/>
        <v>-</v>
      </c>
      <c r="BR12" s="143" t="str">
        <f t="shared" si="9"/>
        <v>-</v>
      </c>
      <c r="BS12" s="143" t="str">
        <f t="shared" si="10"/>
        <v>-</v>
      </c>
      <c r="BT12" s="143" t="str">
        <f t="shared" si="11"/>
        <v>-</v>
      </c>
      <c r="BU12" s="143" t="str">
        <f t="shared" si="12"/>
        <v>-</v>
      </c>
      <c r="BV12" s="143" t="str">
        <f t="shared" si="13"/>
        <v>-</v>
      </c>
      <c r="BW12" s="143" t="str">
        <f t="shared" si="14"/>
        <v>-</v>
      </c>
      <c r="BX12" s="143" t="str">
        <f t="shared" si="15"/>
        <v>-</v>
      </c>
      <c r="BY12" s="143" t="str">
        <f t="shared" si="16"/>
        <v>-</v>
      </c>
      <c r="BZ12" s="143" t="str">
        <f t="shared" si="17"/>
        <v>-</v>
      </c>
      <c r="CA12" s="143" t="str">
        <f t="shared" si="18"/>
        <v>-</v>
      </c>
      <c r="CB12" s="143" t="str">
        <f t="shared" si="19"/>
        <v>-</v>
      </c>
      <c r="CD12" s="112" t="str">
        <f t="shared" si="25"/>
        <v>-</v>
      </c>
      <c r="CE12" s="95" t="str">
        <f>IFERROR(SUMIFS('01. KE30'!$R:$R,'01. KE30'!$C:$C,'06. BC BH THEO CUSTOMER-USD'!$D12,'01. KE30'!$F:$F,'06. BC BH THEO CUSTOMER-USD'!$H12,'01. KE30'!$A:$A,'06. BC BH THEO CUSTOMER-USD'!CE$4)/CS12/'02. Tỷ giá'!B$5," -")</f>
        <v xml:space="preserve"> -</v>
      </c>
      <c r="CF12" s="95" t="str">
        <f>IFERROR(SUMIFS('01. KE30'!$R:$R,'01. KE30'!$C:$C,'06. BC BH THEO CUSTOMER-USD'!$D12,'01. KE30'!$F:$F,'06. BC BH THEO CUSTOMER-USD'!$H12,'01. KE30'!$A:$A,'06. BC BH THEO CUSTOMER-USD'!CF$4)/CT12/'02. Tỷ giá'!C$5," -")</f>
        <v xml:space="preserve"> -</v>
      </c>
      <c r="CG12" s="95" t="str">
        <f>IFERROR(SUMIFS('01. KE30'!$R:$R,'01. KE30'!$C:$C,'06. BC BH THEO CUSTOMER-USD'!$D12,'01. KE30'!$F:$F,'06. BC BH THEO CUSTOMER-USD'!$H12,'01. KE30'!$A:$A,'06. BC BH THEO CUSTOMER-USD'!CG$4)/CU12/'02. Tỷ giá'!D$5," -")</f>
        <v xml:space="preserve"> -</v>
      </c>
      <c r="CH12" s="95" t="str">
        <f>IFERROR(SUMIFS('01. KE30'!$R:$R,'01. KE30'!$C:$C,'06. BC BH THEO CUSTOMER-USD'!$D12,'01. KE30'!$F:$F,'06. BC BH THEO CUSTOMER-USD'!$H12,'01. KE30'!$A:$A,'06. BC BH THEO CUSTOMER-USD'!CH$4)/CV12/'02. Tỷ giá'!E$5," -")</f>
        <v xml:space="preserve"> -</v>
      </c>
      <c r="CI12" s="95" t="str">
        <f>IFERROR(SUMIFS('01. KE30'!$R:$R,'01. KE30'!$C:$C,'06. BC BH THEO CUSTOMER-USD'!$D12,'01. KE30'!$F:$F,'06. BC BH THEO CUSTOMER-USD'!$H12,'01. KE30'!$A:$A,'06. BC BH THEO CUSTOMER-USD'!CI$4)/CW12/'02. Tỷ giá'!F$5," -")</f>
        <v xml:space="preserve"> -</v>
      </c>
      <c r="CJ12" s="95" t="str">
        <f>IFERROR(SUMIFS('01. KE30'!$R:$R,'01. KE30'!$C:$C,'06. BC BH THEO CUSTOMER-USD'!$D12,'01. KE30'!$F:$F,'06. BC BH THEO CUSTOMER-USD'!$H12,'01. KE30'!$A:$A,'06. BC BH THEO CUSTOMER-USD'!CJ$4)/CX12/'02. Tỷ giá'!G$5," -")</f>
        <v xml:space="preserve"> -</v>
      </c>
      <c r="CK12" s="95" t="str">
        <f>IFERROR(SUMIFS('01. KE30'!$R:$R,'01. KE30'!$C:$C,'06. BC BH THEO CUSTOMER-USD'!$D12,'01. KE30'!$F:$F,'06. BC BH THEO CUSTOMER-USD'!$H12,'01. KE30'!$A:$A,'06. BC BH THEO CUSTOMER-USD'!CK$4)/CY12/'02. Tỷ giá'!H$5," -")</f>
        <v xml:space="preserve"> -</v>
      </c>
      <c r="CL12" s="95" t="str">
        <f>IFERROR(SUMIFS('01. KE30'!$R:$R,'01. KE30'!$C:$C,'06. BC BH THEO CUSTOMER-USD'!$D12,'01. KE30'!$F:$F,'06. BC BH THEO CUSTOMER-USD'!$H12,'01. KE30'!$A:$A,'06. BC BH THEO CUSTOMER-USD'!CL$4)/CZ12/'02. Tỷ giá'!I$5," -")</f>
        <v xml:space="preserve"> -</v>
      </c>
      <c r="CM12" s="95" t="str">
        <f>IFERROR(SUMIFS('01. KE30'!$R:$R,'01. KE30'!$C:$C,'06. BC BH THEO CUSTOMER-USD'!$D12,'01. KE30'!$F:$F,'06. BC BH THEO CUSTOMER-USD'!$H12,'01. KE30'!$A:$A,'06. BC BH THEO CUSTOMER-USD'!CM$4)/DA12/'02. Tỷ giá'!J$5," -")</f>
        <v xml:space="preserve"> -</v>
      </c>
      <c r="CN12" s="95" t="str">
        <f>IFERROR(SUMIFS('01. KE30'!$R:$R,'01. KE30'!$C:$C,'06. BC BH THEO CUSTOMER-USD'!$D12,'01. KE30'!$F:$F,'06. BC BH THEO CUSTOMER-USD'!$H12,'01. KE30'!$A:$A,'06. BC BH THEO CUSTOMER-USD'!CN$4)/DB12/'02. Tỷ giá'!K$5," -")</f>
        <v xml:space="preserve"> -</v>
      </c>
      <c r="CO12" s="95" t="str">
        <f>IFERROR(SUMIFS('01. KE30'!$R:$R,'01. KE30'!$C:$C,'06. BC BH THEO CUSTOMER-USD'!$D12,'01. KE30'!$F:$F,'06. BC BH THEO CUSTOMER-USD'!$H12,'01. KE30'!$A:$A,'06. BC BH THEO CUSTOMER-USD'!CO$4)/DC12/'02. Tỷ giá'!L$5," -")</f>
        <v xml:space="preserve"> -</v>
      </c>
      <c r="CP12" s="95" t="str">
        <f>IFERROR(SUMIFS('01. KE30'!$R:$R,'01. KE30'!$C:$C,'06. BC BH THEO CUSTOMER-USD'!$D12,'01. KE30'!$F:$F,'06. BC BH THEO CUSTOMER-USD'!$H12,'01. KE30'!$A:$A,'06. BC BH THEO CUSTOMER-USD'!CP$4)/DD12/'02. Tỷ giá'!M$5," -")</f>
        <v xml:space="preserve"> -</v>
      </c>
      <c r="CR12" s="112">
        <f t="shared" si="26"/>
        <v>0</v>
      </c>
      <c r="CS12" s="114">
        <f>SUMIFS('01. KE30'!$I:$I,'01. KE30'!$C:$C,'06. BC BH THEO CUSTOMER-USD'!$D12,'01. KE30'!$F:$F,'06. BC BH THEO CUSTOMER-USD'!$H12,'01. KE30'!$A:$A,'06. BC BH THEO CUSTOMER-USD'!CS$4)/1000</f>
        <v>0</v>
      </c>
      <c r="CT12" s="114">
        <f>SUMIFS('01. KE30'!$I:$I,'01. KE30'!$C:$C,'06. BC BH THEO CUSTOMER-USD'!$D12,'01. KE30'!$F:$F,'06. BC BH THEO CUSTOMER-USD'!$H12,'01. KE30'!$A:$A,'06. BC BH THEO CUSTOMER-USD'!CT$4)/1000</f>
        <v>0</v>
      </c>
      <c r="CU12" s="114">
        <f>SUMIFS('01. KE30'!$I:$I,'01. KE30'!$C:$C,'06. BC BH THEO CUSTOMER-USD'!$D12,'01. KE30'!$F:$F,'06. BC BH THEO CUSTOMER-USD'!$H12,'01. KE30'!$A:$A,'06. BC BH THEO CUSTOMER-USD'!CU$4)/1000</f>
        <v>0</v>
      </c>
      <c r="CV12" s="114">
        <f>SUMIFS('01. KE30'!$I:$I,'01. KE30'!$C:$C,'06. BC BH THEO CUSTOMER-USD'!$D12,'01. KE30'!$F:$F,'06. BC BH THEO CUSTOMER-USD'!$H12,'01. KE30'!$A:$A,'06. BC BH THEO CUSTOMER-USD'!CV$4)/1000</f>
        <v>0</v>
      </c>
      <c r="CW12" s="114">
        <f>SUMIFS('01. KE30'!$I:$I,'01. KE30'!$C:$C,'06. BC BH THEO CUSTOMER-USD'!$D12,'01. KE30'!$F:$F,'06. BC BH THEO CUSTOMER-USD'!$H12,'01. KE30'!$A:$A,'06. BC BH THEO CUSTOMER-USD'!CW$4)/1000</f>
        <v>0</v>
      </c>
      <c r="CX12" s="114">
        <f>SUMIFS('01. KE30'!$I:$I,'01. KE30'!$C:$C,'06. BC BH THEO CUSTOMER-USD'!$D12,'01. KE30'!$F:$F,'06. BC BH THEO CUSTOMER-USD'!$H12,'01. KE30'!$A:$A,'06. BC BH THEO CUSTOMER-USD'!CX$4)/1000</f>
        <v>0</v>
      </c>
      <c r="CY12" s="114">
        <f>SUMIFS('01. KE30'!$I:$I,'01. KE30'!$C:$C,'06. BC BH THEO CUSTOMER-USD'!$D12,'01. KE30'!$F:$F,'06. BC BH THEO CUSTOMER-USD'!$H12,'01. KE30'!$A:$A,'06. BC BH THEO CUSTOMER-USD'!CY$4)/1000</f>
        <v>0</v>
      </c>
      <c r="CZ12" s="114">
        <f>SUMIFS('01. KE30'!$I:$I,'01. KE30'!$C:$C,'06. BC BH THEO CUSTOMER-USD'!$D12,'01. KE30'!$F:$F,'06. BC BH THEO CUSTOMER-USD'!$H12,'01. KE30'!$A:$A,'06. BC BH THEO CUSTOMER-USD'!CZ$4)/1000</f>
        <v>0</v>
      </c>
      <c r="DA12" s="114">
        <f>SUMIFS('01. KE30'!$I:$I,'01. KE30'!$C:$C,'06. BC BH THEO CUSTOMER-USD'!$D12,'01. KE30'!$F:$F,'06. BC BH THEO CUSTOMER-USD'!$H12,'01. KE30'!$A:$A,'06. BC BH THEO CUSTOMER-USD'!DA$4)/1000</f>
        <v>0</v>
      </c>
      <c r="DB12" s="114">
        <f>SUMIFS('01. KE30'!$I:$I,'01. KE30'!$C:$C,'06. BC BH THEO CUSTOMER-USD'!$D12,'01. KE30'!$F:$F,'06. BC BH THEO CUSTOMER-USD'!$H12,'01. KE30'!$A:$A,'06. BC BH THEO CUSTOMER-USD'!DB$4)/1000</f>
        <v>0</v>
      </c>
      <c r="DC12" s="114">
        <f>SUMIFS('01. KE30'!$I:$I,'01. KE30'!$C:$C,'06. BC BH THEO CUSTOMER-USD'!$D12,'01. KE30'!$F:$F,'06. BC BH THEO CUSTOMER-USD'!$H12,'01. KE30'!$A:$A,'06. BC BH THEO CUSTOMER-USD'!DC$4)/1000</f>
        <v>0</v>
      </c>
      <c r="DD12" s="114">
        <f>SUMIFS('01. KE30'!$I:$I,'01. KE30'!$C:$C,'06. BC BH THEO CUSTOMER-USD'!$D12,'01. KE30'!$F:$F,'06. BC BH THEO CUSTOMER-USD'!$H12,'01. KE30'!$A:$A,'06. BC BH THEO CUSTOMER-USD'!DD$4)/1000</f>
        <v>0</v>
      </c>
      <c r="DF12" s="112">
        <f t="shared" si="27"/>
        <v>0</v>
      </c>
      <c r="DG12" s="54" t="str">
        <f t="shared" si="48"/>
        <v>-</v>
      </c>
      <c r="DH12" s="54" t="str">
        <f t="shared" si="49"/>
        <v>-</v>
      </c>
      <c r="DI12" s="54" t="str">
        <f t="shared" si="50"/>
        <v>-</v>
      </c>
      <c r="DJ12" s="54" t="str">
        <f t="shared" si="51"/>
        <v>-</v>
      </c>
      <c r="DK12" s="54" t="str">
        <f t="shared" si="52"/>
        <v>-</v>
      </c>
      <c r="DL12" s="54" t="str">
        <f t="shared" si="53"/>
        <v>-</v>
      </c>
      <c r="DM12" s="54" t="str">
        <f t="shared" si="54"/>
        <v>-</v>
      </c>
      <c r="DN12" s="54" t="str">
        <f t="shared" si="55"/>
        <v>-</v>
      </c>
      <c r="DO12" s="54" t="str">
        <f t="shared" si="56"/>
        <v>-</v>
      </c>
      <c r="DP12" s="54" t="str">
        <f t="shared" si="57"/>
        <v>-</v>
      </c>
      <c r="DQ12" s="54" t="str">
        <f t="shared" si="58"/>
        <v>-</v>
      </c>
      <c r="DR12" s="54" t="str">
        <f t="shared" si="59"/>
        <v>-</v>
      </c>
      <c r="DT12" s="112">
        <f t="shared" si="60"/>
        <v>0</v>
      </c>
      <c r="DU12" s="114">
        <f>IFERROR(SUMIFS('01. KE30'!$X:$X,'01. KE30'!$C:$C,'06. BC BH THEO CUSTOMER-USD'!$D12,'01. KE30'!$F:$F,'06. BC BH THEO CUSTOMER-USD'!$H12,'01. KE30'!$A:$A,'06. BC BH THEO CUSTOMER-USD'!DU$4)-SUMIFS('01. KE30'!$AA:$AA,'01. KE30'!$C:$C,'06. BC BH THEO CUSTOMER-USD'!$D12,'01. KE30'!$F:$F,'06. BC BH THEO CUSTOMER-USD'!$H12,'01. KE30'!$A:$A,'06. BC BH THEO CUSTOMER-USD'!DU$4),"-")</f>
        <v>0</v>
      </c>
      <c r="DV12" s="114">
        <f>IFERROR(SUMIFS('01. KE30'!$X:$X,'01. KE30'!$C:$C,'06. BC BH THEO CUSTOMER-USD'!$D12,'01. KE30'!$F:$F,'06. BC BH THEO CUSTOMER-USD'!$H12,'01. KE30'!$A:$A,'06. BC BH THEO CUSTOMER-USD'!DV$4)-SUMIFS('01. KE30'!$AA:$AA,'01. KE30'!$C:$C,'06. BC BH THEO CUSTOMER-USD'!$D12,'01. KE30'!$F:$F,'06. BC BH THEO CUSTOMER-USD'!$H12,'01. KE30'!$A:$A,'06. BC BH THEO CUSTOMER-USD'!DV$4),"-")</f>
        <v>0</v>
      </c>
      <c r="DW12" s="114">
        <f>IFERROR(SUMIFS('01. KE30'!$X:$X,'01. KE30'!$C:$C,'06. BC BH THEO CUSTOMER-USD'!$D12,'01. KE30'!$F:$F,'06. BC BH THEO CUSTOMER-USD'!$H12,'01. KE30'!$A:$A,'06. BC BH THEO CUSTOMER-USD'!DW$4)-SUMIFS('01. KE30'!$AA:$AA,'01. KE30'!$C:$C,'06. BC BH THEO CUSTOMER-USD'!$D12,'01. KE30'!$F:$F,'06. BC BH THEO CUSTOMER-USD'!$H12,'01. KE30'!$A:$A,'06. BC BH THEO CUSTOMER-USD'!DW$4),"-")</f>
        <v>0</v>
      </c>
      <c r="DX12" s="114">
        <f>IFERROR(SUMIFS('01. KE30'!$X:$X,'01. KE30'!$C:$C,'06. BC BH THEO CUSTOMER-USD'!$D12,'01. KE30'!$F:$F,'06. BC BH THEO CUSTOMER-USD'!$H12,'01. KE30'!$A:$A,'06. BC BH THEO CUSTOMER-USD'!DX$4)-SUMIFS('01. KE30'!$AA:$AA,'01. KE30'!$C:$C,'06. BC BH THEO CUSTOMER-USD'!$D12,'01. KE30'!$F:$F,'06. BC BH THEO CUSTOMER-USD'!$H12,'01. KE30'!$A:$A,'06. BC BH THEO CUSTOMER-USD'!DX$4),"-")</f>
        <v>0</v>
      </c>
      <c r="DY12" s="114">
        <f>IFERROR(SUMIFS('01. KE30'!$X:$X,'01. KE30'!$C:$C,'06. BC BH THEO CUSTOMER-USD'!$D12,'01. KE30'!$F:$F,'06. BC BH THEO CUSTOMER-USD'!$H12,'01. KE30'!$A:$A,'06. BC BH THEO CUSTOMER-USD'!DY$4)-SUMIFS('01. KE30'!$AA:$AA,'01. KE30'!$C:$C,'06. BC BH THEO CUSTOMER-USD'!$D12,'01. KE30'!$F:$F,'06. BC BH THEO CUSTOMER-USD'!$H12,'01. KE30'!$A:$A,'06. BC BH THEO CUSTOMER-USD'!DY$4),"-")</f>
        <v>0</v>
      </c>
      <c r="DZ12" s="114">
        <f>IFERROR(SUMIFS('01. KE30'!$X:$X,'01. KE30'!$C:$C,'06. BC BH THEO CUSTOMER-USD'!$D12,'01. KE30'!$F:$F,'06. BC BH THEO CUSTOMER-USD'!$H12,'01. KE30'!$A:$A,'06. BC BH THEO CUSTOMER-USD'!DZ$4)-SUMIFS('01. KE30'!$AA:$AA,'01. KE30'!$C:$C,'06. BC BH THEO CUSTOMER-USD'!$D12,'01. KE30'!$F:$F,'06. BC BH THEO CUSTOMER-USD'!$H12,'01. KE30'!$A:$A,'06. BC BH THEO CUSTOMER-USD'!DZ$4),"-")</f>
        <v>0</v>
      </c>
      <c r="EA12" s="114">
        <f>IFERROR(SUMIFS('01. KE30'!$X:$X,'01. KE30'!$C:$C,'06. BC BH THEO CUSTOMER-USD'!$D12,'01. KE30'!$F:$F,'06. BC BH THEO CUSTOMER-USD'!$H12,'01. KE30'!$A:$A,'06. BC BH THEO CUSTOMER-USD'!EA$4)-SUMIFS('01. KE30'!$AA:$AA,'01. KE30'!$C:$C,'06. BC BH THEO CUSTOMER-USD'!$D12,'01. KE30'!$F:$F,'06. BC BH THEO CUSTOMER-USD'!$H12,'01. KE30'!$A:$A,'06. BC BH THEO CUSTOMER-USD'!EA$4),"-")</f>
        <v>0</v>
      </c>
      <c r="EB12" s="114">
        <f>IFERROR(SUMIFS('01. KE30'!$X:$X,'01. KE30'!$C:$C,'06. BC BH THEO CUSTOMER-USD'!$D12,'01. KE30'!$F:$F,'06. BC BH THEO CUSTOMER-USD'!$H12,'01. KE30'!$A:$A,'06. BC BH THEO CUSTOMER-USD'!EB$4)-SUMIFS('01. KE30'!$AA:$AA,'01. KE30'!$C:$C,'06. BC BH THEO CUSTOMER-USD'!$D12,'01. KE30'!$F:$F,'06. BC BH THEO CUSTOMER-USD'!$H12,'01. KE30'!$A:$A,'06. BC BH THEO CUSTOMER-USD'!EB$4),"-")</f>
        <v>0</v>
      </c>
      <c r="EC12" s="114">
        <f>IFERROR(SUMIFS('01. KE30'!$X:$X,'01. KE30'!$C:$C,'06. BC BH THEO CUSTOMER-USD'!$D12,'01. KE30'!$F:$F,'06. BC BH THEO CUSTOMER-USD'!$H12,'01. KE30'!$A:$A,'06. BC BH THEO CUSTOMER-USD'!EC$4)-SUMIFS('01. KE30'!$AA:$AA,'01. KE30'!$C:$C,'06. BC BH THEO CUSTOMER-USD'!$D12,'01. KE30'!$F:$F,'06. BC BH THEO CUSTOMER-USD'!$H12,'01. KE30'!$A:$A,'06. BC BH THEO CUSTOMER-USD'!EC$4),"-")</f>
        <v>0</v>
      </c>
      <c r="ED12" s="114">
        <f>IFERROR(SUMIFS('01. KE30'!$X:$X,'01. KE30'!$C:$C,'06. BC BH THEO CUSTOMER-USD'!$D12,'01. KE30'!$F:$F,'06. BC BH THEO CUSTOMER-USD'!$H12,'01. KE30'!$A:$A,'06. BC BH THEO CUSTOMER-USD'!ED$4)-SUMIFS('01. KE30'!$AA:$AA,'01. KE30'!$C:$C,'06. BC BH THEO CUSTOMER-USD'!$D12,'01. KE30'!$F:$F,'06. BC BH THEO CUSTOMER-USD'!$H12,'01. KE30'!$A:$A,'06. BC BH THEO CUSTOMER-USD'!ED$4),"-")</f>
        <v>0</v>
      </c>
      <c r="EE12" s="114">
        <f>IFERROR(SUMIFS('01. KE30'!$X:$X,'01. KE30'!$C:$C,'06. BC BH THEO CUSTOMER-USD'!$D12,'01. KE30'!$F:$F,'06. BC BH THEO CUSTOMER-USD'!$H12,'01. KE30'!$A:$A,'06. BC BH THEO CUSTOMER-USD'!EE$4)-SUMIFS('01. KE30'!$AA:$AA,'01. KE30'!$C:$C,'06. BC BH THEO CUSTOMER-USD'!$D12,'01. KE30'!$F:$F,'06. BC BH THEO CUSTOMER-USD'!$H12,'01. KE30'!$A:$A,'06. BC BH THEO CUSTOMER-USD'!EE$4),"-")</f>
        <v>0</v>
      </c>
      <c r="EF12" s="114">
        <f>IFERROR(SUMIFS('01. KE30'!$X:$X,'01. KE30'!$C:$C,'06. BC BH THEO CUSTOMER-USD'!$D12,'01. KE30'!$F:$F,'06. BC BH THEO CUSTOMER-USD'!$H12,'01. KE30'!$A:$A,'06. BC BH THEO CUSTOMER-USD'!EF$4)-SUMIFS('01. KE30'!$AA:$AA,'01. KE30'!$C:$C,'06. BC BH THEO CUSTOMER-USD'!$D12,'01. KE30'!$F:$F,'06. BC BH THEO CUSTOMER-USD'!$H12,'01. KE30'!$A:$A,'06. BC BH THEO CUSTOMER-USD'!EF$4),"-")</f>
        <v>0</v>
      </c>
      <c r="EH12" s="571" t="str">
        <f t="shared" si="29"/>
        <v>-</v>
      </c>
      <c r="EI12" s="572" t="str">
        <f t="shared" si="30"/>
        <v>-</v>
      </c>
      <c r="EJ12" s="572" t="str">
        <f t="shared" si="31"/>
        <v>-</v>
      </c>
      <c r="EK12" s="572" t="str">
        <f t="shared" si="32"/>
        <v>-</v>
      </c>
      <c r="EL12" s="572" t="str">
        <f t="shared" si="33"/>
        <v>-</v>
      </c>
      <c r="EM12" s="572" t="str">
        <f t="shared" si="34"/>
        <v>-</v>
      </c>
      <c r="EN12" s="572" t="str">
        <f t="shared" si="35"/>
        <v>-</v>
      </c>
      <c r="EO12" s="572" t="str">
        <f t="shared" si="36"/>
        <v>-</v>
      </c>
      <c r="EP12" s="572" t="str">
        <f t="shared" si="37"/>
        <v>-</v>
      </c>
      <c r="EQ12" s="572" t="str">
        <f t="shared" si="38"/>
        <v>-</v>
      </c>
      <c r="ER12" s="572" t="str">
        <f t="shared" si="39"/>
        <v>-</v>
      </c>
      <c r="ES12" s="572" t="str">
        <f t="shared" si="40"/>
        <v>-</v>
      </c>
      <c r="ET12" s="572" t="str">
        <f t="shared" si="41"/>
        <v>-</v>
      </c>
    </row>
    <row r="13" spans="1:150" s="24" customFormat="1" ht="15.5" hidden="1" outlineLevel="1" x14ac:dyDescent="0.35">
      <c r="A13" s="27">
        <f t="shared" si="63"/>
        <v>8</v>
      </c>
      <c r="B13" s="27" t="s">
        <v>283</v>
      </c>
      <c r="C13" s="442" t="s">
        <v>45</v>
      </c>
      <c r="D13" s="23" t="s">
        <v>46</v>
      </c>
      <c r="E13" s="12" t="s">
        <v>45</v>
      </c>
      <c r="F13" s="12" t="s">
        <v>246</v>
      </c>
      <c r="G13" s="12" t="str">
        <f>_xlfn.XLOOKUP(F13,'Quy đổi'!$G$5:$G$32,'Quy đổi'!$H$5:$H$32,0)</f>
        <v>Châu Âu</v>
      </c>
      <c r="H13" s="76" t="s">
        <v>100</v>
      </c>
      <c r="I13" s="28" t="s">
        <v>99</v>
      </c>
      <c r="J13" s="13" t="s">
        <v>26</v>
      </c>
      <c r="K13" s="11" t="s">
        <v>113</v>
      </c>
      <c r="L13" s="92">
        <f t="shared" si="42"/>
        <v>1247.2422153679877</v>
      </c>
      <c r="M13" s="106" t="str">
        <f>IFERROR(SUMIFS('01. KE30'!$K:$K,'01. KE30'!$C:$C,'06. BC BH THEO CUSTOMER-USD'!$D13,'01. KE30'!$F:$F,'06. BC BH THEO CUSTOMER-USD'!$H13,'01. KE30'!$A:$A,'06. BC BH THEO CUSTOMER-USD'!M$4)/'06. BC BH THEO CUSTOMER-USD'!CS13/'02. Tỷ giá'!B$5,"-")</f>
        <v>-</v>
      </c>
      <c r="N13" s="106">
        <f>IFERROR(SUMIFS('01. KE30'!$K:$K,'01. KE30'!$C:$C,'06. BC BH THEO CUSTOMER-USD'!$D13,'01. KE30'!$F:$F,'06. BC BH THEO CUSTOMER-USD'!$H13,'01. KE30'!$A:$A,'06. BC BH THEO CUSTOMER-USD'!N$4)/'06. BC BH THEO CUSTOMER-USD'!CT13/'02. Tỷ giá'!C$5,"-")</f>
        <v>1247.2307010634108</v>
      </c>
      <c r="O13" s="106">
        <f>IFERROR(SUMIFS('01. KE30'!$K:$K,'01. KE30'!$C:$C,'06. BC BH THEO CUSTOMER-USD'!$D13,'01. KE30'!$F:$F,'06. BC BH THEO CUSTOMER-USD'!$H13,'01. KE30'!$A:$A,'06. BC BH THEO CUSTOMER-USD'!O$4)/'06. BC BH THEO CUSTOMER-USD'!CU13/'02. Tỷ giá'!D$5,"-")</f>
        <v>1246.6289370078741</v>
      </c>
      <c r="P13" s="106">
        <f>IFERROR(SUMIFS('01. KE30'!$K:$K,'01. KE30'!$C:$C,'06. BC BH THEO CUSTOMER-USD'!$D13,'01. KE30'!$F:$F,'06. BC BH THEO CUSTOMER-USD'!$H13,'01. KE30'!$A:$A,'06. BC BH THEO CUSTOMER-USD'!P$4)/'06. BC BH THEO CUSTOMER-USD'!CV13/'02. Tỷ giá'!E$5,"-")</f>
        <v>1244.3137824235384</v>
      </c>
      <c r="Q13" s="106">
        <f>IFERROR(SUMIFS('01. KE30'!$K:$K,'01. KE30'!$C:$C,'06. BC BH THEO CUSTOMER-USD'!$D13,'01. KE30'!$F:$F,'06. BC BH THEO CUSTOMER-USD'!$H13,'01. KE30'!$A:$A,'06. BC BH THEO CUSTOMER-USD'!Q$4)/'06. BC BH THEO CUSTOMER-USD'!CW13/'02. Tỷ giá'!F$5,"-")</f>
        <v>1246.012180974478</v>
      </c>
      <c r="R13" s="106">
        <f>IFERROR(SUMIFS('01. KE30'!$K:$K,'01. KE30'!$C:$C,'06. BC BH THEO CUSTOMER-USD'!$D13,'01. KE30'!$F:$F,'06. BC BH THEO CUSTOMER-USD'!$H13,'01. KE30'!$A:$A,'06. BC BH THEO CUSTOMER-USD'!R$4)/'06. BC BH THEO CUSTOMER-USD'!CX13/'02. Tỷ giá'!G$5,"-")</f>
        <v>1248.7943672839506</v>
      </c>
      <c r="S13" s="106">
        <f>IFERROR(SUMIFS('01. KE30'!$K:$K,'01. KE30'!$C:$C,'06. BC BH THEO CUSTOMER-USD'!$D13,'01. KE30'!$F:$F,'06. BC BH THEO CUSTOMER-USD'!$H13,'01. KE30'!$A:$A,'06. BC BH THEO CUSTOMER-USD'!S$4)/'06. BC BH THEO CUSTOMER-USD'!CY13/'02. Tỷ giá'!H$5,"-")</f>
        <v>1247.1187091817135</v>
      </c>
      <c r="T13" s="106">
        <f>IFERROR(SUMIFS('01. KE30'!$K:$K,'01. KE30'!$C:$C,'06. BC BH THEO CUSTOMER-USD'!$D13,'01. KE30'!$F:$F,'06. BC BH THEO CUSTOMER-USD'!$H13,'01. KE30'!$A:$A,'06. BC BH THEO CUSTOMER-USD'!T$4)/'06. BC BH THEO CUSTOMER-USD'!CZ13/'02. Tỷ giá'!I$5,"-")</f>
        <v>1250.5968296409474</v>
      </c>
      <c r="U13" s="106" t="str">
        <f>IFERROR(SUMIFS('01. KE30'!$K:$K,'01. KE30'!$C:$C,'06. BC BH THEO CUSTOMER-USD'!$D13,'01. KE30'!$F:$F,'06. BC BH THEO CUSTOMER-USD'!$H13,'01. KE30'!$A:$A,'06. BC BH THEO CUSTOMER-USD'!U$4)/'06. BC BH THEO CUSTOMER-USD'!DA13/'02. Tỷ giá'!J$5,"-")</f>
        <v>-</v>
      </c>
      <c r="V13" s="106" t="str">
        <f>IFERROR(SUMIFS('01. KE30'!$K:$K,'01. KE30'!$C:$C,'06. BC BH THEO CUSTOMER-USD'!$D13,'01. KE30'!$F:$F,'06. BC BH THEO CUSTOMER-USD'!$H13,'01. KE30'!$A:$A,'06. BC BH THEO CUSTOMER-USD'!V$4)/'06. BC BH THEO CUSTOMER-USD'!DB13/'02. Tỷ giá'!K$5,"-")</f>
        <v>-</v>
      </c>
      <c r="W13" s="106" t="str">
        <f>IFERROR(SUMIFS('01. KE30'!$K:$K,'01. KE30'!$C:$C,'06. BC BH THEO CUSTOMER-USD'!$D13,'01. KE30'!$F:$F,'06. BC BH THEO CUSTOMER-USD'!$H13,'01. KE30'!$A:$A,'06. BC BH THEO CUSTOMER-USD'!W$4)/'06. BC BH THEO CUSTOMER-USD'!DC13/'02. Tỷ giá'!L$5,"-")</f>
        <v>-</v>
      </c>
      <c r="X13" s="106" t="str">
        <f>IFERROR(SUMIFS('01. KE30'!$K:$K,'01. KE30'!$C:$C,'06. BC BH THEO CUSTOMER-USD'!$D13,'01. KE30'!$F:$F,'06. BC BH THEO CUSTOMER-USD'!$H13,'01. KE30'!$A:$A,'06. BC BH THEO CUSTOMER-USD'!X$4)/'06. BC BH THEO CUSTOMER-USD'!DD13/'02. Tỷ giá'!M$5,"-")</f>
        <v>-</v>
      </c>
      <c r="Z13" s="92">
        <f t="shared" si="43"/>
        <v>1231.0342268752413</v>
      </c>
      <c r="AA13" s="147" t="str">
        <f>IFERROR(SUMIFS('01. KE30'!$O:$O,'01. KE30'!$C:$C,'06. BC BH THEO CUSTOMER-USD'!$D13,'01. KE30'!$F:$F,'06. BC BH THEO CUSTOMER-USD'!$H13,'01. KE30'!$A:$A,'06. BC BH THEO CUSTOMER-USD'!M$4)/'06. BC BH THEO CUSTOMER-USD'!CS13/'02. Tỷ giá'!B$5,"-")</f>
        <v>-</v>
      </c>
      <c r="AB13" s="147">
        <f>IFERROR(SUMIFS('01. KE30'!$O:$O,'01. KE30'!$C:$C,'06. BC BH THEO CUSTOMER-USD'!$D13,'01. KE30'!$F:$F,'06. BC BH THEO CUSTOMER-USD'!$H13,'01. KE30'!$A:$A,'06. BC BH THEO CUSTOMER-USD'!N$4)/'06. BC BH THEO CUSTOMER-USD'!CT13/'02. Tỷ giá'!C$5,"-")</f>
        <v>1231.842585663647</v>
      </c>
      <c r="AC13" s="147">
        <f>IFERROR(SUMIFS('01. KE30'!$O:$O,'01. KE30'!$C:$C,'06. BC BH THEO CUSTOMER-USD'!$D13,'01. KE30'!$F:$F,'06. BC BH THEO CUSTOMER-USD'!$H13,'01. KE30'!$A:$A,'06. BC BH THEO CUSTOMER-USD'!O$4)/'06. BC BH THEO CUSTOMER-USD'!CU13/'02. Tỷ giá'!D$5,"-")</f>
        <v>1229.5402699087331</v>
      </c>
      <c r="AD13" s="147">
        <f>IFERROR(SUMIFS('01. KE30'!$O:$O,'01. KE30'!$C:$C,'06. BC BH THEO CUSTOMER-USD'!$D13,'01. KE30'!$F:$F,'06. BC BH THEO CUSTOMER-USD'!$H13,'01. KE30'!$A:$A,'06. BC BH THEO CUSTOMER-USD'!P$4)/'06. BC BH THEO CUSTOMER-USD'!CV13/'02. Tỷ giá'!E$5,"-")</f>
        <v>1228.096244896702</v>
      </c>
      <c r="AE13" s="147">
        <f>IFERROR(SUMIFS('01. KE30'!$O:$O,'01. KE30'!$C:$C,'06. BC BH THEO CUSTOMER-USD'!$D13,'01. KE30'!$F:$F,'06. BC BH THEO CUSTOMER-USD'!$H13,'01. KE30'!$A:$A,'06. BC BH THEO CUSTOMER-USD'!Q$4)/'06. BC BH THEO CUSTOMER-USD'!CW13/'02. Tỷ giá'!F$5,"-")</f>
        <v>1229.7714675174013</v>
      </c>
      <c r="AF13" s="147">
        <f>IFERROR(SUMIFS('01. KE30'!$O:$O,'01. KE30'!$C:$C,'06. BC BH THEO CUSTOMER-USD'!$D13,'01. KE30'!$F:$F,'06. BC BH THEO CUSTOMER-USD'!$H13,'01. KE30'!$A:$A,'06. BC BH THEO CUSTOMER-USD'!R$4)/'06. BC BH THEO CUSTOMER-USD'!CX13/'02. Tỷ giá'!G$5,"-")</f>
        <v>1232.4971276567762</v>
      </c>
      <c r="AG13" s="147">
        <f>IFERROR(SUMIFS('01. KE30'!$O:$O,'01. KE30'!$C:$C,'06. BC BH THEO CUSTOMER-USD'!$D13,'01. KE30'!$F:$F,'06. BC BH THEO CUSTOMER-USD'!$H13,'01. KE30'!$A:$A,'06. BC BH THEO CUSTOMER-USD'!S$4)/'06. BC BH THEO CUSTOMER-USD'!CY13/'02. Tỷ giá'!H$5,"-")</f>
        <v>1230.9770211381972</v>
      </c>
      <c r="AH13" s="147">
        <f>IFERROR(SUMIFS('01. KE30'!$O:$O,'01. KE30'!$C:$C,'06. BC BH THEO CUSTOMER-USD'!$D13,'01. KE30'!$F:$F,'06. BC BH THEO CUSTOMER-USD'!$H13,'01. KE30'!$A:$A,'06. BC BH THEO CUSTOMER-USD'!T$4)/'06. BC BH THEO CUSTOMER-USD'!CZ13/'02. Tỷ giá'!I$5,"-")</f>
        <v>1234.5148713452322</v>
      </c>
      <c r="AI13" s="147" t="str">
        <f>IFERROR(SUMIFS('01. KE30'!$O:$O,'01. KE30'!$C:$C,'06. BC BH THEO CUSTOMER-USD'!$D13,'01. KE30'!$F:$F,'06. BC BH THEO CUSTOMER-USD'!$H13,'01. KE30'!$A:$A,'06. BC BH THEO CUSTOMER-USD'!U$4)/'06. BC BH THEO CUSTOMER-USD'!DA13/'02. Tỷ giá'!J$5,"-")</f>
        <v>-</v>
      </c>
      <c r="AJ13" s="147" t="str">
        <f>IFERROR(SUMIFS('01. KE30'!$O:$O,'01. KE30'!$C:$C,'06. BC BH THEO CUSTOMER-USD'!$D13,'01. KE30'!$F:$F,'06. BC BH THEO CUSTOMER-USD'!$H13,'01. KE30'!$A:$A,'06. BC BH THEO CUSTOMER-USD'!V$4)/'06. BC BH THEO CUSTOMER-USD'!DB13/'02. Tỷ giá'!K$5,"-")</f>
        <v>-</v>
      </c>
      <c r="AK13" s="147" t="str">
        <f>IFERROR(SUMIFS('01. KE30'!$O:$O,'01. KE30'!$C:$C,'06. BC BH THEO CUSTOMER-USD'!$D13,'01. KE30'!$F:$F,'06. BC BH THEO CUSTOMER-USD'!$H13,'01. KE30'!$A:$A,'06. BC BH THEO CUSTOMER-USD'!W$4)/'06. BC BH THEO CUSTOMER-USD'!DC13/'02. Tỷ giá'!L$5,"-")</f>
        <v>-</v>
      </c>
      <c r="AL13" s="147" t="str">
        <f>IFERROR(SUMIFS('01. KE30'!$O:$O,'01. KE30'!$C:$C,'06. BC BH THEO CUSTOMER-USD'!$D13,'01. KE30'!$F:$F,'06. BC BH THEO CUSTOMER-USD'!$H13,'01. KE30'!$A:$A,'06. BC BH THEO CUSTOMER-USD'!X$4)/'06. BC BH THEO CUSTOMER-USD'!DD13/'02. Tỷ giá'!M$5,"-")</f>
        <v>-</v>
      </c>
      <c r="AN13" s="92">
        <f t="shared" si="44"/>
        <v>1266.6666666666667</v>
      </c>
      <c r="AO13" s="25">
        <v>1260</v>
      </c>
      <c r="AP13" s="25">
        <v>1260</v>
      </c>
      <c r="AQ13" s="25">
        <v>1260</v>
      </c>
      <c r="AR13" s="4">
        <f t="shared" si="64"/>
        <v>1280</v>
      </c>
      <c r="AS13" s="4">
        <v>1280</v>
      </c>
      <c r="AT13" s="4">
        <v>1280</v>
      </c>
      <c r="AU13" s="4">
        <v>1280</v>
      </c>
      <c r="AV13" s="4">
        <f t="shared" si="66"/>
        <v>1250</v>
      </c>
      <c r="AW13" s="25">
        <v>1250</v>
      </c>
      <c r="AX13" s="25"/>
      <c r="AY13" s="25"/>
      <c r="AZ13" s="25"/>
      <c r="BB13" s="95">
        <f t="shared" si="45"/>
        <v>-35.63243979142544</v>
      </c>
      <c r="BC13" s="95" t="str">
        <f t="shared" si="46"/>
        <v>-</v>
      </c>
      <c r="BD13" s="95">
        <f t="shared" si="6"/>
        <v>-28.157414336352986</v>
      </c>
      <c r="BE13" s="95">
        <f t="shared" si="6"/>
        <v>-30.45973009126692</v>
      </c>
      <c r="BF13" s="95">
        <f t="shared" si="6"/>
        <v>-51.903755103297954</v>
      </c>
      <c r="BG13" s="95">
        <f t="shared" si="6"/>
        <v>-50.228532482598666</v>
      </c>
      <c r="BH13" s="95">
        <f t="shared" si="6"/>
        <v>-47.502872343223771</v>
      </c>
      <c r="BI13" s="95">
        <f t="shared" si="6"/>
        <v>-49.022978861802812</v>
      </c>
      <c r="BJ13" s="95">
        <f t="shared" si="6"/>
        <v>-15.485128654767777</v>
      </c>
      <c r="BK13" s="95" t="str">
        <f t="shared" si="6"/>
        <v>-</v>
      </c>
      <c r="BL13" s="95" t="str">
        <f t="shared" si="6"/>
        <v>-</v>
      </c>
      <c r="BM13" s="95" t="str">
        <f t="shared" si="6"/>
        <v>-</v>
      </c>
      <c r="BN13" s="95" t="str">
        <f t="shared" si="6"/>
        <v>-</v>
      </c>
      <c r="BP13" s="143">
        <f t="shared" si="47"/>
        <v>-2.81308735195464E-2</v>
      </c>
      <c r="BQ13" s="143" t="str">
        <f t="shared" si="8"/>
        <v>-</v>
      </c>
      <c r="BR13" s="143">
        <f t="shared" si="9"/>
        <v>-2.2347154235200783E-2</v>
      </c>
      <c r="BS13" s="143">
        <f t="shared" si="10"/>
        <v>-2.4174388961322953E-2</v>
      </c>
      <c r="BT13" s="143">
        <f t="shared" si="11"/>
        <v>-4.0549808674451529E-2</v>
      </c>
      <c r="BU13" s="143">
        <f t="shared" si="12"/>
        <v>-3.9241041002030207E-2</v>
      </c>
      <c r="BV13" s="143">
        <f t="shared" si="13"/>
        <v>-3.7111619018143568E-2</v>
      </c>
      <c r="BW13" s="143">
        <f t="shared" si="14"/>
        <v>-3.8299202235783446E-2</v>
      </c>
      <c r="BX13" s="143">
        <f t="shared" si="15"/>
        <v>-1.2388102923814221E-2</v>
      </c>
      <c r="BY13" s="143" t="str">
        <f t="shared" si="16"/>
        <v>-</v>
      </c>
      <c r="BZ13" s="143" t="str">
        <f t="shared" si="17"/>
        <v>-</v>
      </c>
      <c r="CA13" s="143" t="str">
        <f t="shared" si="18"/>
        <v>-</v>
      </c>
      <c r="CB13" s="143" t="str">
        <f t="shared" si="19"/>
        <v>-</v>
      </c>
      <c r="CD13" s="112">
        <f t="shared" si="25"/>
        <v>1002.9154735993345</v>
      </c>
      <c r="CE13" s="95" t="str">
        <f>IFERROR(SUMIFS('01. KE30'!$R:$R,'01. KE30'!$C:$C,'06. BC BH THEO CUSTOMER-USD'!$D13,'01. KE30'!$F:$F,'06. BC BH THEO CUSTOMER-USD'!$H13,'01. KE30'!$A:$A,'06. BC BH THEO CUSTOMER-USD'!CE$4)/CS13/'02. Tỷ giá'!B$5," -")</f>
        <v xml:space="preserve"> -</v>
      </c>
      <c r="CF13" s="95">
        <f>IFERROR(SUMIFS('01. KE30'!$R:$R,'01. KE30'!$C:$C,'06. BC BH THEO CUSTOMER-USD'!$D13,'01. KE30'!$F:$F,'06. BC BH THEO CUSTOMER-USD'!$H13,'01. KE30'!$A:$A,'06. BC BH THEO CUSTOMER-USD'!CF$4)/CT13/'02. Tỷ giá'!C$5," -")</f>
        <v>989.75531526370435</v>
      </c>
      <c r="CG13" s="95">
        <f>IFERROR(SUMIFS('01. KE30'!$R:$R,'01. KE30'!$C:$C,'06. BC BH THEO CUSTOMER-USD'!$D13,'01. KE30'!$F:$F,'06. BC BH THEO CUSTOMER-USD'!$H13,'01. KE30'!$A:$A,'06. BC BH THEO CUSTOMER-USD'!CG$4)/CU13/'02. Tỷ giá'!D$5," -")</f>
        <v>997.67758768790259</v>
      </c>
      <c r="CH13" s="95">
        <f>IFERROR(SUMIFS('01. KE30'!$R:$R,'01. KE30'!$C:$C,'06. BC BH THEO CUSTOMER-USD'!$D13,'01. KE30'!$F:$F,'06. BC BH THEO CUSTOMER-USD'!$H13,'01. KE30'!$A:$A,'06. BC BH THEO CUSTOMER-USD'!CH$4)/CV13/'02. Tỷ giá'!E$5," -")</f>
        <v>973.57141977263927</v>
      </c>
      <c r="CI13" s="95">
        <f>IFERROR(SUMIFS('01. KE30'!$R:$R,'01. KE30'!$C:$C,'06. BC BH THEO CUSTOMER-USD'!$D13,'01. KE30'!$F:$F,'06. BC BH THEO CUSTOMER-USD'!$H13,'01. KE30'!$A:$A,'06. BC BH THEO CUSTOMER-USD'!CI$4)/CW13/'02. Tỷ giá'!F$5," -")</f>
        <v>996.76039337692475</v>
      </c>
      <c r="CJ13" s="95">
        <f>IFERROR(SUMIFS('01. KE30'!$R:$R,'01. KE30'!$C:$C,'06. BC BH THEO CUSTOMER-USD'!$D13,'01. KE30'!$F:$F,'06. BC BH THEO CUSTOMER-USD'!$H13,'01. KE30'!$A:$A,'06. BC BH THEO CUSTOMER-USD'!CJ$4)/CX13/'02. Tỷ giá'!G$5," -")</f>
        <v>1038.0898621632996</v>
      </c>
      <c r="CK13" s="95">
        <f>IFERROR(SUMIFS('01. KE30'!$R:$R,'01. KE30'!$C:$C,'06. BC BH THEO CUSTOMER-USD'!$D13,'01. KE30'!$F:$F,'06. BC BH THEO CUSTOMER-USD'!$H13,'01. KE30'!$A:$A,'06. BC BH THEO CUSTOMER-USD'!CK$4)/CY13/'02. Tỷ giá'!H$5," -")</f>
        <v>1017.9182796074459</v>
      </c>
      <c r="CL13" s="95">
        <f>IFERROR(SUMIFS('01. KE30'!$R:$R,'01. KE30'!$C:$C,'06. BC BH THEO CUSTOMER-USD'!$D13,'01. KE30'!$F:$F,'06. BC BH THEO CUSTOMER-USD'!$H13,'01. KE30'!$A:$A,'06. BC BH THEO CUSTOMER-USD'!CL$4)/CZ13/'02. Tỷ giá'!I$5," -")</f>
        <v>1006.6354573234253</v>
      </c>
      <c r="CM13" s="95" t="str">
        <f>IFERROR(SUMIFS('01. KE30'!$R:$R,'01. KE30'!$C:$C,'06. BC BH THEO CUSTOMER-USD'!$D13,'01. KE30'!$F:$F,'06. BC BH THEO CUSTOMER-USD'!$H13,'01. KE30'!$A:$A,'06. BC BH THEO CUSTOMER-USD'!CM$4)/DA13/'02. Tỷ giá'!J$5," -")</f>
        <v xml:space="preserve"> -</v>
      </c>
      <c r="CN13" s="95" t="str">
        <f>IFERROR(SUMIFS('01. KE30'!$R:$R,'01. KE30'!$C:$C,'06. BC BH THEO CUSTOMER-USD'!$D13,'01. KE30'!$F:$F,'06. BC BH THEO CUSTOMER-USD'!$H13,'01. KE30'!$A:$A,'06. BC BH THEO CUSTOMER-USD'!CN$4)/DB13/'02. Tỷ giá'!K$5," -")</f>
        <v xml:space="preserve"> -</v>
      </c>
      <c r="CO13" s="95" t="str">
        <f>IFERROR(SUMIFS('01. KE30'!$R:$R,'01. KE30'!$C:$C,'06. BC BH THEO CUSTOMER-USD'!$D13,'01. KE30'!$F:$F,'06. BC BH THEO CUSTOMER-USD'!$H13,'01. KE30'!$A:$A,'06. BC BH THEO CUSTOMER-USD'!CO$4)/DC13/'02. Tỷ giá'!L$5," -")</f>
        <v xml:space="preserve"> -</v>
      </c>
      <c r="CP13" s="95" t="str">
        <f>IFERROR(SUMIFS('01. KE30'!$R:$R,'01. KE30'!$C:$C,'06. BC BH THEO CUSTOMER-USD'!$D13,'01. KE30'!$F:$F,'06. BC BH THEO CUSTOMER-USD'!$H13,'01. KE30'!$A:$A,'06. BC BH THEO CUSTOMER-USD'!CP$4)/DD13/'02. Tỷ giá'!M$5," -")</f>
        <v xml:space="preserve"> -</v>
      </c>
      <c r="CR13" s="112">
        <f t="shared" si="26"/>
        <v>6160</v>
      </c>
      <c r="CS13" s="54">
        <f>SUMIFS('01. KE30'!$I:$I,'01. KE30'!$C:$C,'06. BC BH THEO CUSTOMER-USD'!$D13,'01. KE30'!$F:$F,'06. BC BH THEO CUSTOMER-USD'!$H13,'01. KE30'!$A:$A,'06. BC BH THEO CUSTOMER-USD'!CS$4)/1000</f>
        <v>0</v>
      </c>
      <c r="CT13" s="54">
        <f>SUMIFS('01. KE30'!$I:$I,'01. KE30'!$C:$C,'06. BC BH THEO CUSTOMER-USD'!$D13,'01. KE30'!$F:$F,'06. BC BH THEO CUSTOMER-USD'!$H13,'01. KE30'!$A:$A,'06. BC BH THEO CUSTOMER-USD'!CT$4)/1000</f>
        <v>880</v>
      </c>
      <c r="CU13" s="54">
        <f>SUMIFS('01. KE30'!$I:$I,'01. KE30'!$C:$C,'06. BC BH THEO CUSTOMER-USD'!$D13,'01. KE30'!$F:$F,'06. BC BH THEO CUSTOMER-USD'!$H13,'01. KE30'!$A:$A,'06. BC BH THEO CUSTOMER-USD'!CU$4)/1000</f>
        <v>880</v>
      </c>
      <c r="CV13" s="724">
        <f>SUMIFS('01. KE30'!$I:$I,'01. KE30'!$C:$C,'06. BC BH THEO CUSTOMER-USD'!$D13,'01. KE30'!$F:$F,'06. BC BH THEO CUSTOMER-USD'!$H13,'01. KE30'!$A:$A,'06. BC BH THEO CUSTOMER-USD'!CV$4)/1000</f>
        <v>880</v>
      </c>
      <c r="CW13" s="54">
        <f>SUMIFS('01. KE30'!$I:$I,'01. KE30'!$C:$C,'06. BC BH THEO CUSTOMER-USD'!$D13,'01. KE30'!$F:$F,'06. BC BH THEO CUSTOMER-USD'!$H13,'01. KE30'!$A:$A,'06. BC BH THEO CUSTOMER-USD'!CW$4)/1000</f>
        <v>880</v>
      </c>
      <c r="CX13" s="54">
        <f>SUMIFS('01. KE30'!$I:$I,'01. KE30'!$C:$C,'06. BC BH THEO CUSTOMER-USD'!$D13,'01. KE30'!$F:$F,'06. BC BH THEO CUSTOMER-USD'!$H13,'01. KE30'!$A:$A,'06. BC BH THEO CUSTOMER-USD'!CX$4)/1000</f>
        <v>880</v>
      </c>
      <c r="CY13" s="54">
        <f>SUMIFS('01. KE30'!$I:$I,'01. KE30'!$C:$C,'06. BC BH THEO CUSTOMER-USD'!$D13,'01. KE30'!$F:$F,'06. BC BH THEO CUSTOMER-USD'!$H13,'01. KE30'!$A:$A,'06. BC BH THEO CUSTOMER-USD'!CY$4)/1000</f>
        <v>880</v>
      </c>
      <c r="CZ13" s="54">
        <f>SUMIFS('01. KE30'!$I:$I,'01. KE30'!$C:$C,'06. BC BH THEO CUSTOMER-USD'!$D13,'01. KE30'!$F:$F,'06. BC BH THEO CUSTOMER-USD'!$H13,'01. KE30'!$A:$A,'06. BC BH THEO CUSTOMER-USD'!CZ$4)/1000</f>
        <v>880</v>
      </c>
      <c r="DA13" s="54">
        <f>SUMIFS('01. KE30'!$I:$I,'01. KE30'!$C:$C,'06. BC BH THEO CUSTOMER-USD'!$D13,'01. KE30'!$F:$F,'06. BC BH THEO CUSTOMER-USD'!$H13,'01. KE30'!$A:$A,'06. BC BH THEO CUSTOMER-USD'!DA$4)/1000</f>
        <v>0</v>
      </c>
      <c r="DB13" s="54">
        <f>SUMIFS('01. KE30'!$I:$I,'01. KE30'!$C:$C,'06. BC BH THEO CUSTOMER-USD'!$D13,'01. KE30'!$F:$F,'06. BC BH THEO CUSTOMER-USD'!$H13,'01. KE30'!$A:$A,'06. BC BH THEO CUSTOMER-USD'!DB$4)/1000</f>
        <v>0</v>
      </c>
      <c r="DC13" s="54">
        <f>SUMIFS('01. KE30'!$I:$I,'01. KE30'!$C:$C,'06. BC BH THEO CUSTOMER-USD'!$D13,'01. KE30'!$F:$F,'06. BC BH THEO CUSTOMER-USD'!$H13,'01. KE30'!$A:$A,'06. BC BH THEO CUSTOMER-USD'!DC$4)/1000</f>
        <v>0</v>
      </c>
      <c r="DD13" s="54">
        <f>SUMIFS('01. KE30'!$I:$I,'01. KE30'!$C:$C,'06. BC BH THEO CUSTOMER-USD'!$D13,'01. KE30'!$F:$F,'06. BC BH THEO CUSTOMER-USD'!$H13,'01. KE30'!$A:$A,'06. BC BH THEO CUSTOMER-USD'!DD$4)/1000</f>
        <v>0</v>
      </c>
      <c r="DF13" s="112">
        <f t="shared" si="27"/>
        <v>7683012.0466668028</v>
      </c>
      <c r="DG13" s="54" t="str">
        <f t="shared" si="48"/>
        <v>-</v>
      </c>
      <c r="DH13" s="54">
        <f t="shared" si="49"/>
        <v>1097563.0169358016</v>
      </c>
      <c r="DI13" s="54">
        <f t="shared" si="50"/>
        <v>1097033.4645669293</v>
      </c>
      <c r="DJ13" s="54">
        <f t="shared" si="51"/>
        <v>1094996.1285327137</v>
      </c>
      <c r="DK13" s="54">
        <f t="shared" si="52"/>
        <v>1096490.7192575408</v>
      </c>
      <c r="DL13" s="54">
        <f t="shared" si="53"/>
        <v>1098939.0432098764</v>
      </c>
      <c r="DM13" s="54">
        <f t="shared" si="54"/>
        <v>1097464.4640799079</v>
      </c>
      <c r="DN13" s="54">
        <f t="shared" si="55"/>
        <v>1100525.2100840337</v>
      </c>
      <c r="DO13" s="54" t="str">
        <f t="shared" si="56"/>
        <v>-</v>
      </c>
      <c r="DP13" s="54" t="str">
        <f t="shared" si="57"/>
        <v>-</v>
      </c>
      <c r="DQ13" s="54" t="str">
        <f t="shared" si="58"/>
        <v>-</v>
      </c>
      <c r="DR13" s="54" t="str">
        <f t="shared" si="59"/>
        <v>-</v>
      </c>
      <c r="DT13" s="112">
        <f t="shared" si="60"/>
        <v>1405211.520179586</v>
      </c>
      <c r="DU13" s="114">
        <f>IFERROR(SUMIFS('01. KE30'!$X:$X,'01. KE30'!$C:$C,'06. BC BH THEO CUSTOMER-USD'!$D13,'01. KE30'!$F:$F,'06. BC BH THEO CUSTOMER-USD'!$H13,'01. KE30'!$A:$A,'06. BC BH THEO CUSTOMER-USD'!DU$4)-SUMIFS('01. KE30'!$AA:$AA,'01. KE30'!$C:$C,'06. BC BH THEO CUSTOMER-USD'!$D13,'01. KE30'!$F:$F,'06. BC BH THEO CUSTOMER-USD'!$H13,'01. KE30'!$A:$A,'06. BC BH THEO CUSTOMER-USD'!DU$4),"-")</f>
        <v>0</v>
      </c>
      <c r="DV13" s="114">
        <f>IFERROR(SUMIFS('01. KE30'!$X:$X,'01. KE30'!$C:$C,'06. BC BH THEO CUSTOMER-USD'!$D13,'01. KE30'!$F:$F,'06. BC BH THEO CUSTOMER-USD'!$H13,'01. KE30'!$A:$A,'06. BC BH THEO CUSTOMER-USD'!DV$4)-SUMIFS('01. KE30'!$AA:$AA,'01. KE30'!$C:$C,'06. BC BH THEO CUSTOMER-USD'!$D13,'01. KE30'!$F:$F,'06. BC BH THEO CUSTOMER-USD'!$H13,'01. KE30'!$A:$A,'06. BC BH THEO CUSTOMER-USD'!DV$4),"-")</f>
        <v>213036.79795194964</v>
      </c>
      <c r="DW13" s="114">
        <f>IFERROR(SUMIFS('01. KE30'!$X:$X,'01. KE30'!$C:$C,'06. BC BH THEO CUSTOMER-USD'!$D13,'01. KE30'!$F:$F,'06. BC BH THEO CUSTOMER-USD'!$H13,'01. KE30'!$A:$A,'06. BC BH THEO CUSTOMER-USD'!DW$4)-SUMIFS('01. KE30'!$AA:$AA,'01. KE30'!$C:$C,'06. BC BH THEO CUSTOMER-USD'!$D13,'01. KE30'!$F:$F,'06. BC BH THEO CUSTOMER-USD'!$H13,'01. KE30'!$A:$A,'06. BC BH THEO CUSTOMER-USD'!DW$4),"-")</f>
        <v>204039.16035433079</v>
      </c>
      <c r="DX13" s="114">
        <f>IFERROR(SUMIFS('01. KE30'!$X:$X,'01. KE30'!$C:$C,'06. BC BH THEO CUSTOMER-USD'!$D13,'01. KE30'!$F:$F,'06. BC BH THEO CUSTOMER-USD'!$H13,'01. KE30'!$A:$A,'06. BC BH THEO CUSTOMER-USD'!DX$4)-SUMIFS('01. KE30'!$AA:$AA,'01. KE30'!$C:$C,'06. BC BH THEO CUSTOMER-USD'!$D13,'01. KE30'!$F:$F,'06. BC BH THEO CUSTOMER-USD'!$H13,'01. KE30'!$A:$A,'06. BC BH THEO CUSTOMER-USD'!DX$4),"-")</f>
        <v>223981.84610917547</v>
      </c>
      <c r="DY13" s="114">
        <f>IFERROR(SUMIFS('01. KE30'!$X:$X,'01. KE30'!$C:$C,'06. BC BH THEO CUSTOMER-USD'!$D13,'01. KE30'!$F:$F,'06. BC BH THEO CUSTOMER-USD'!$H13,'01. KE30'!$A:$A,'06. BC BH THEO CUSTOMER-USD'!DY$4)-SUMIFS('01. KE30'!$AA:$AA,'01. KE30'!$C:$C,'06. BC BH THEO CUSTOMER-USD'!$D13,'01. KE30'!$F:$F,'06. BC BH THEO CUSTOMER-USD'!$H13,'01. KE30'!$A:$A,'06. BC BH THEO CUSTOMER-USD'!DY$4),"-")</f>
        <v>205049.74524361943</v>
      </c>
      <c r="DZ13" s="114">
        <f>IFERROR(SUMIFS('01. KE30'!$X:$X,'01. KE30'!$C:$C,'06. BC BH THEO CUSTOMER-USD'!$D13,'01. KE30'!$F:$F,'06. BC BH THEO CUSTOMER-USD'!$H13,'01. KE30'!$A:$A,'06. BC BH THEO CUSTOMER-USD'!DZ$4)-SUMIFS('01. KE30'!$AA:$AA,'01. KE30'!$C:$C,'06. BC BH THEO CUSTOMER-USD'!$D13,'01. KE30'!$F:$F,'06. BC BH THEO CUSTOMER-USD'!$H13,'01. KE30'!$A:$A,'06. BC BH THEO CUSTOMER-USD'!DZ$4),"-")</f>
        <v>171078.39363425935</v>
      </c>
      <c r="EA13" s="114">
        <f>IFERROR(SUMIFS('01. KE30'!$X:$X,'01. KE30'!$C:$C,'06. BC BH THEO CUSTOMER-USD'!$D13,'01. KE30'!$F:$F,'06. BC BH THEO CUSTOMER-USD'!$H13,'01. KE30'!$A:$A,'06. BC BH THEO CUSTOMER-USD'!EA$4)-SUMIFS('01. KE30'!$AA:$AA,'01. KE30'!$C:$C,'06. BC BH THEO CUSTOMER-USD'!$D13,'01. KE30'!$F:$F,'06. BC BH THEO CUSTOMER-USD'!$H13,'01. KE30'!$A:$A,'06. BC BH THEO CUSTOMER-USD'!EA$4),"-")</f>
        <v>187491.69254706113</v>
      </c>
      <c r="EB13" s="114">
        <f>IFERROR(SUMIFS('01. KE30'!$X:$X,'01. KE30'!$C:$C,'06. BC BH THEO CUSTOMER-USD'!$D13,'01. KE30'!$F:$F,'06. BC BH THEO CUSTOMER-USD'!$H13,'01. KE30'!$A:$A,'06. BC BH THEO CUSTOMER-USD'!EB$4)-SUMIFS('01. KE30'!$AA:$AA,'01. KE30'!$C:$C,'06. BC BH THEO CUSTOMER-USD'!$D13,'01. KE30'!$F:$F,'06. BC BH THEO CUSTOMER-USD'!$H13,'01. KE30'!$A:$A,'06. BC BH THEO CUSTOMER-USD'!EB$4),"-")</f>
        <v>200533.8843391902</v>
      </c>
      <c r="EC13" s="114">
        <f>IFERROR(SUMIFS('01. KE30'!$X:$X,'01. KE30'!$C:$C,'06. BC BH THEO CUSTOMER-USD'!$D13,'01. KE30'!$F:$F,'06. BC BH THEO CUSTOMER-USD'!$H13,'01. KE30'!$A:$A,'06. BC BH THEO CUSTOMER-USD'!EC$4)-SUMIFS('01. KE30'!$AA:$AA,'01. KE30'!$C:$C,'06. BC BH THEO CUSTOMER-USD'!$D13,'01. KE30'!$F:$F,'06. BC BH THEO CUSTOMER-USD'!$H13,'01. KE30'!$A:$A,'06. BC BH THEO CUSTOMER-USD'!EC$4),"-")</f>
        <v>0</v>
      </c>
      <c r="ED13" s="114">
        <f>IFERROR(SUMIFS('01. KE30'!$X:$X,'01. KE30'!$C:$C,'06. BC BH THEO CUSTOMER-USD'!$D13,'01. KE30'!$F:$F,'06. BC BH THEO CUSTOMER-USD'!$H13,'01. KE30'!$A:$A,'06. BC BH THEO CUSTOMER-USD'!ED$4)-SUMIFS('01. KE30'!$AA:$AA,'01. KE30'!$C:$C,'06. BC BH THEO CUSTOMER-USD'!$D13,'01. KE30'!$F:$F,'06. BC BH THEO CUSTOMER-USD'!$H13,'01. KE30'!$A:$A,'06. BC BH THEO CUSTOMER-USD'!ED$4),"-")</f>
        <v>0</v>
      </c>
      <c r="EE13" s="114">
        <f>IFERROR(SUMIFS('01. KE30'!$X:$X,'01. KE30'!$C:$C,'06. BC BH THEO CUSTOMER-USD'!$D13,'01. KE30'!$F:$F,'06. BC BH THEO CUSTOMER-USD'!$H13,'01. KE30'!$A:$A,'06. BC BH THEO CUSTOMER-USD'!EE$4)-SUMIFS('01. KE30'!$AA:$AA,'01. KE30'!$C:$C,'06. BC BH THEO CUSTOMER-USD'!$D13,'01. KE30'!$F:$F,'06. BC BH THEO CUSTOMER-USD'!$H13,'01. KE30'!$A:$A,'06. BC BH THEO CUSTOMER-USD'!EE$4),"-")</f>
        <v>0</v>
      </c>
      <c r="EF13" s="114">
        <f>IFERROR(SUMIFS('01. KE30'!$X:$X,'01. KE30'!$C:$C,'06. BC BH THEO CUSTOMER-USD'!$D13,'01. KE30'!$F:$F,'06. BC BH THEO CUSTOMER-USD'!$H13,'01. KE30'!$A:$A,'06. BC BH THEO CUSTOMER-USD'!EF$4)-SUMIFS('01. KE30'!$AA:$AA,'01. KE30'!$C:$C,'06. BC BH THEO CUSTOMER-USD'!$D13,'01. KE30'!$F:$F,'06. BC BH THEO CUSTOMER-USD'!$H13,'01. KE30'!$A:$A,'06. BC BH THEO CUSTOMER-USD'!EF$4),"-")</f>
        <v>0</v>
      </c>
      <c r="EH13" s="571">
        <f t="shared" si="29"/>
        <v>0.18289851839933308</v>
      </c>
      <c r="EI13" s="572" t="str">
        <f t="shared" si="30"/>
        <v>-</v>
      </c>
      <c r="EJ13" s="572">
        <f t="shared" si="31"/>
        <v>0.19409983268815859</v>
      </c>
      <c r="EK13" s="572">
        <f t="shared" si="32"/>
        <v>0.18599173766761834</v>
      </c>
      <c r="EL13" s="572">
        <f t="shared" si="33"/>
        <v>0.20455035435541621</v>
      </c>
      <c r="EM13" s="572">
        <f t="shared" si="34"/>
        <v>0.18700545443965394</v>
      </c>
      <c r="EN13" s="572">
        <f t="shared" si="35"/>
        <v>0.1556759628218857</v>
      </c>
      <c r="EO13" s="572">
        <f t="shared" si="36"/>
        <v>0.17084078681695666</v>
      </c>
      <c r="EP13" s="572">
        <f t="shared" si="37"/>
        <v>0.18221652943677491</v>
      </c>
      <c r="EQ13" s="572" t="str">
        <f t="shared" si="38"/>
        <v>-</v>
      </c>
      <c r="ER13" s="572" t="str">
        <f t="shared" si="39"/>
        <v>-</v>
      </c>
      <c r="ES13" s="572" t="str">
        <f t="shared" si="40"/>
        <v>-</v>
      </c>
      <c r="ET13" s="572" t="str">
        <f t="shared" si="41"/>
        <v>-</v>
      </c>
    </row>
    <row r="14" spans="1:150" s="24" customFormat="1" ht="15.5" hidden="1" outlineLevel="1" x14ac:dyDescent="0.35">
      <c r="A14" s="27">
        <f t="shared" si="63"/>
        <v>9</v>
      </c>
      <c r="B14" s="27" t="s">
        <v>283</v>
      </c>
      <c r="C14" s="442" t="s">
        <v>489</v>
      </c>
      <c r="D14" s="23" t="s">
        <v>154</v>
      </c>
      <c r="E14" s="12" t="s">
        <v>153</v>
      </c>
      <c r="F14" s="12" t="s">
        <v>229</v>
      </c>
      <c r="G14" s="12" t="str">
        <f>_xlfn.XLOOKUP(F14,'Quy đổi'!$G$5:$G$32,'Quy đổi'!$H$5:$H$32,0)</f>
        <v>Bắc Mỹ</v>
      </c>
      <c r="H14" s="76" t="s">
        <v>127</v>
      </c>
      <c r="I14" s="28" t="s">
        <v>114</v>
      </c>
      <c r="J14" s="13" t="s">
        <v>26</v>
      </c>
      <c r="K14" s="11" t="s">
        <v>90</v>
      </c>
      <c r="L14" s="92" t="str">
        <f t="shared" si="42"/>
        <v>-</v>
      </c>
      <c r="M14" s="106" t="str">
        <f>IFERROR(SUMIFS('01. KE30'!$K:$K,'01. KE30'!$C:$C,'06. BC BH THEO CUSTOMER-USD'!$D14,'01. KE30'!$F:$F,'06. BC BH THEO CUSTOMER-USD'!$H14,'01. KE30'!$A:$A,'06. BC BH THEO CUSTOMER-USD'!M$4)/'06. BC BH THEO CUSTOMER-USD'!CS14/'02. Tỷ giá'!B$5,"-")</f>
        <v>-</v>
      </c>
      <c r="N14" s="106" t="str">
        <f>IFERROR(SUMIFS('01. KE30'!$K:$K,'01. KE30'!$C:$C,'06. BC BH THEO CUSTOMER-USD'!$D14,'01. KE30'!$F:$F,'06. BC BH THEO CUSTOMER-USD'!$H14,'01. KE30'!$A:$A,'06. BC BH THEO CUSTOMER-USD'!N$4)/'06. BC BH THEO CUSTOMER-USD'!CT14/'02. Tỷ giá'!C$5,"-")</f>
        <v>-</v>
      </c>
      <c r="O14" s="106" t="str">
        <f>IFERROR(SUMIFS('01. KE30'!$K:$K,'01. KE30'!$C:$C,'06. BC BH THEO CUSTOMER-USD'!$D14,'01. KE30'!$F:$F,'06. BC BH THEO CUSTOMER-USD'!$H14,'01. KE30'!$A:$A,'06. BC BH THEO CUSTOMER-USD'!O$4)/'06. BC BH THEO CUSTOMER-USD'!CU14/'02. Tỷ giá'!D$5,"-")</f>
        <v>-</v>
      </c>
      <c r="P14" s="106" t="str">
        <f>IFERROR(SUMIFS('01. KE30'!$K:$K,'01. KE30'!$C:$C,'06. BC BH THEO CUSTOMER-USD'!$D14,'01. KE30'!$F:$F,'06. BC BH THEO CUSTOMER-USD'!$H14,'01. KE30'!$A:$A,'06. BC BH THEO CUSTOMER-USD'!P$4)/'06. BC BH THEO CUSTOMER-USD'!CV14/'02. Tỷ giá'!E$5,"-")</f>
        <v>-</v>
      </c>
      <c r="Q14" s="106" t="str">
        <f>IFERROR(SUMIFS('01. KE30'!$K:$K,'01. KE30'!$C:$C,'06. BC BH THEO CUSTOMER-USD'!$D14,'01. KE30'!$F:$F,'06. BC BH THEO CUSTOMER-USD'!$H14,'01. KE30'!$A:$A,'06. BC BH THEO CUSTOMER-USD'!Q$4)/'06. BC BH THEO CUSTOMER-USD'!CW14/'02. Tỷ giá'!F$5,"-")</f>
        <v>-</v>
      </c>
      <c r="R14" s="106" t="str">
        <f>IFERROR(SUMIFS('01. KE30'!$K:$K,'01. KE30'!$C:$C,'06. BC BH THEO CUSTOMER-USD'!$D14,'01. KE30'!$F:$F,'06. BC BH THEO CUSTOMER-USD'!$H14,'01. KE30'!$A:$A,'06. BC BH THEO CUSTOMER-USD'!R$4)/'06. BC BH THEO CUSTOMER-USD'!CX14/'02. Tỷ giá'!G$5,"-")</f>
        <v>-</v>
      </c>
      <c r="S14" s="106" t="str">
        <f>IFERROR(SUMIFS('01. KE30'!$K:$K,'01. KE30'!$C:$C,'06. BC BH THEO CUSTOMER-USD'!$D14,'01. KE30'!$F:$F,'06. BC BH THEO CUSTOMER-USD'!$H14,'01. KE30'!$A:$A,'06. BC BH THEO CUSTOMER-USD'!S$4)/'06. BC BH THEO CUSTOMER-USD'!CY14/'02. Tỷ giá'!H$5,"-")</f>
        <v>-</v>
      </c>
      <c r="T14" s="106" t="str">
        <f>IFERROR(SUMIFS('01. KE30'!$K:$K,'01. KE30'!$C:$C,'06. BC BH THEO CUSTOMER-USD'!$D14,'01. KE30'!$F:$F,'06. BC BH THEO CUSTOMER-USD'!$H14,'01. KE30'!$A:$A,'06. BC BH THEO CUSTOMER-USD'!T$4)/'06. BC BH THEO CUSTOMER-USD'!CZ14/'02. Tỷ giá'!I$5,"-")</f>
        <v>-</v>
      </c>
      <c r="U14" s="106" t="str">
        <f>IFERROR(SUMIFS('01. KE30'!$K:$K,'01. KE30'!$C:$C,'06. BC BH THEO CUSTOMER-USD'!$D14,'01. KE30'!$F:$F,'06. BC BH THEO CUSTOMER-USD'!$H14,'01. KE30'!$A:$A,'06. BC BH THEO CUSTOMER-USD'!U$4)/'06. BC BH THEO CUSTOMER-USD'!DA14/'02. Tỷ giá'!J$5,"-")</f>
        <v>-</v>
      </c>
      <c r="V14" s="106" t="str">
        <f>IFERROR(SUMIFS('01. KE30'!$K:$K,'01. KE30'!$C:$C,'06. BC BH THEO CUSTOMER-USD'!$D14,'01. KE30'!$F:$F,'06. BC BH THEO CUSTOMER-USD'!$H14,'01. KE30'!$A:$A,'06. BC BH THEO CUSTOMER-USD'!V$4)/'06. BC BH THEO CUSTOMER-USD'!DB14/'02. Tỷ giá'!K$5,"-")</f>
        <v>-</v>
      </c>
      <c r="W14" s="106" t="str">
        <f>IFERROR(SUMIFS('01. KE30'!$K:$K,'01. KE30'!$C:$C,'06. BC BH THEO CUSTOMER-USD'!$D14,'01. KE30'!$F:$F,'06. BC BH THEO CUSTOMER-USD'!$H14,'01. KE30'!$A:$A,'06. BC BH THEO CUSTOMER-USD'!W$4)/'06. BC BH THEO CUSTOMER-USD'!DC14/'02. Tỷ giá'!L$5,"-")</f>
        <v>-</v>
      </c>
      <c r="X14" s="106" t="str">
        <f>IFERROR(SUMIFS('01. KE30'!$K:$K,'01. KE30'!$C:$C,'06. BC BH THEO CUSTOMER-USD'!$D14,'01. KE30'!$F:$F,'06. BC BH THEO CUSTOMER-USD'!$H14,'01. KE30'!$A:$A,'06. BC BH THEO CUSTOMER-USD'!X$4)/'06. BC BH THEO CUSTOMER-USD'!DD14/'02. Tỷ giá'!M$5,"-")</f>
        <v>-</v>
      </c>
      <c r="Z14" s="92" t="str">
        <f t="shared" si="43"/>
        <v>-</v>
      </c>
      <c r="AA14" s="147" t="str">
        <f>IFERROR(SUMIFS('01. KE30'!$O:$O,'01. KE30'!$C:$C,'06. BC BH THEO CUSTOMER-USD'!$D14,'01. KE30'!$F:$F,'06. BC BH THEO CUSTOMER-USD'!$H14,'01. KE30'!$A:$A,'06. BC BH THEO CUSTOMER-USD'!M$4)/'06. BC BH THEO CUSTOMER-USD'!CS14/'02. Tỷ giá'!B$5,"-")</f>
        <v>-</v>
      </c>
      <c r="AB14" s="147" t="str">
        <f>IFERROR(SUMIFS('01. KE30'!$O:$O,'01. KE30'!$C:$C,'06. BC BH THEO CUSTOMER-USD'!$D14,'01. KE30'!$F:$F,'06. BC BH THEO CUSTOMER-USD'!$H14,'01. KE30'!$A:$A,'06. BC BH THEO CUSTOMER-USD'!N$4)/'06. BC BH THEO CUSTOMER-USD'!CT14/'02. Tỷ giá'!C$5,"-")</f>
        <v>-</v>
      </c>
      <c r="AC14" s="147" t="str">
        <f>IFERROR(SUMIFS('01. KE30'!$O:$O,'01. KE30'!$C:$C,'06. BC BH THEO CUSTOMER-USD'!$D14,'01. KE30'!$F:$F,'06. BC BH THEO CUSTOMER-USD'!$H14,'01. KE30'!$A:$A,'06. BC BH THEO CUSTOMER-USD'!O$4)/'06. BC BH THEO CUSTOMER-USD'!CU14/'02. Tỷ giá'!D$5,"-")</f>
        <v>-</v>
      </c>
      <c r="AD14" s="147" t="str">
        <f>IFERROR(SUMIFS('01. KE30'!$O:$O,'01. KE30'!$C:$C,'06. BC BH THEO CUSTOMER-USD'!$D14,'01. KE30'!$F:$F,'06. BC BH THEO CUSTOMER-USD'!$H14,'01. KE30'!$A:$A,'06. BC BH THEO CUSTOMER-USD'!P$4)/'06. BC BH THEO CUSTOMER-USD'!CV14/'02. Tỷ giá'!E$5,"-")</f>
        <v>-</v>
      </c>
      <c r="AE14" s="147" t="str">
        <f>IFERROR(SUMIFS('01. KE30'!$O:$O,'01. KE30'!$C:$C,'06. BC BH THEO CUSTOMER-USD'!$D14,'01. KE30'!$F:$F,'06. BC BH THEO CUSTOMER-USD'!$H14,'01. KE30'!$A:$A,'06. BC BH THEO CUSTOMER-USD'!Q$4)/'06. BC BH THEO CUSTOMER-USD'!CW14/'02. Tỷ giá'!F$5,"-")</f>
        <v>-</v>
      </c>
      <c r="AF14" s="147" t="str">
        <f>IFERROR(SUMIFS('01. KE30'!$O:$O,'01. KE30'!$C:$C,'06. BC BH THEO CUSTOMER-USD'!$D14,'01. KE30'!$F:$F,'06. BC BH THEO CUSTOMER-USD'!$H14,'01. KE30'!$A:$A,'06. BC BH THEO CUSTOMER-USD'!R$4)/'06. BC BH THEO CUSTOMER-USD'!CX14/'02. Tỷ giá'!G$5,"-")</f>
        <v>-</v>
      </c>
      <c r="AG14" s="147" t="str">
        <f>IFERROR(SUMIFS('01. KE30'!$O:$O,'01. KE30'!$C:$C,'06. BC BH THEO CUSTOMER-USD'!$D14,'01. KE30'!$F:$F,'06. BC BH THEO CUSTOMER-USD'!$H14,'01. KE30'!$A:$A,'06. BC BH THEO CUSTOMER-USD'!S$4)/'06. BC BH THEO CUSTOMER-USD'!CY14/'02. Tỷ giá'!H$5,"-")</f>
        <v>-</v>
      </c>
      <c r="AH14" s="147" t="str">
        <f>IFERROR(SUMIFS('01. KE30'!$O:$O,'01. KE30'!$C:$C,'06. BC BH THEO CUSTOMER-USD'!$D14,'01. KE30'!$F:$F,'06. BC BH THEO CUSTOMER-USD'!$H14,'01. KE30'!$A:$A,'06. BC BH THEO CUSTOMER-USD'!T$4)/'06. BC BH THEO CUSTOMER-USD'!CZ14/'02. Tỷ giá'!I$5,"-")</f>
        <v>-</v>
      </c>
      <c r="AI14" s="147" t="str">
        <f>IFERROR(SUMIFS('01. KE30'!$O:$O,'01. KE30'!$C:$C,'06. BC BH THEO CUSTOMER-USD'!$D14,'01. KE30'!$F:$F,'06. BC BH THEO CUSTOMER-USD'!$H14,'01. KE30'!$A:$A,'06. BC BH THEO CUSTOMER-USD'!U$4)/'06. BC BH THEO CUSTOMER-USD'!DA14/'02. Tỷ giá'!J$5,"-")</f>
        <v>-</v>
      </c>
      <c r="AJ14" s="147" t="str">
        <f>IFERROR(SUMIFS('01. KE30'!$O:$O,'01. KE30'!$C:$C,'06. BC BH THEO CUSTOMER-USD'!$D14,'01. KE30'!$F:$F,'06. BC BH THEO CUSTOMER-USD'!$H14,'01. KE30'!$A:$A,'06. BC BH THEO CUSTOMER-USD'!V$4)/'06. BC BH THEO CUSTOMER-USD'!DB14/'02. Tỷ giá'!K$5,"-")</f>
        <v>-</v>
      </c>
      <c r="AK14" s="147" t="str">
        <f>IFERROR(SUMIFS('01. KE30'!$O:$O,'01. KE30'!$C:$C,'06. BC BH THEO CUSTOMER-USD'!$D14,'01. KE30'!$F:$F,'06. BC BH THEO CUSTOMER-USD'!$H14,'01. KE30'!$A:$A,'06. BC BH THEO CUSTOMER-USD'!W$4)/'06. BC BH THEO CUSTOMER-USD'!DC14/'02. Tỷ giá'!L$5,"-")</f>
        <v>-</v>
      </c>
      <c r="AL14" s="147" t="str">
        <f>IFERROR(SUMIFS('01. KE30'!$O:$O,'01. KE30'!$C:$C,'06. BC BH THEO CUSTOMER-USD'!$D14,'01. KE30'!$F:$F,'06. BC BH THEO CUSTOMER-USD'!$H14,'01. KE30'!$A:$A,'06. BC BH THEO CUSTOMER-USD'!X$4)/'06. BC BH THEO CUSTOMER-USD'!DD14/'02. Tỷ giá'!M$5,"-")</f>
        <v>-</v>
      </c>
      <c r="AN14" s="92">
        <f t="shared" si="44"/>
        <v>1322.2222222222222</v>
      </c>
      <c r="AO14" s="25">
        <v>1320</v>
      </c>
      <c r="AP14" s="25">
        <f t="shared" ref="AP14:AP15" si="67">1320-40</f>
        <v>1280</v>
      </c>
      <c r="AQ14" s="25">
        <v>1320</v>
      </c>
      <c r="AR14" s="4">
        <f t="shared" ref="AR14:AR15" si="68">AQ14+20</f>
        <v>1340</v>
      </c>
      <c r="AS14" s="4">
        <v>1340</v>
      </c>
      <c r="AT14" s="4">
        <v>1340</v>
      </c>
      <c r="AU14" s="4">
        <v>1340</v>
      </c>
      <c r="AV14" s="4">
        <f t="shared" si="66"/>
        <v>1310</v>
      </c>
      <c r="AW14" s="25">
        <v>1310</v>
      </c>
      <c r="AX14" s="25"/>
      <c r="AY14" s="25"/>
      <c r="AZ14" s="25"/>
      <c r="BB14" s="95" t="str">
        <f t="shared" si="45"/>
        <v>-</v>
      </c>
      <c r="BC14" s="95" t="str">
        <f t="shared" si="46"/>
        <v>-</v>
      </c>
      <c r="BD14" s="95" t="str">
        <f t="shared" si="6"/>
        <v>-</v>
      </c>
      <c r="BE14" s="95" t="str">
        <f t="shared" si="6"/>
        <v>-</v>
      </c>
      <c r="BF14" s="95" t="str">
        <f t="shared" si="6"/>
        <v>-</v>
      </c>
      <c r="BG14" s="95" t="str">
        <f t="shared" si="6"/>
        <v>-</v>
      </c>
      <c r="BH14" s="95" t="str">
        <f t="shared" si="6"/>
        <v>-</v>
      </c>
      <c r="BI14" s="95" t="str">
        <f t="shared" si="6"/>
        <v>-</v>
      </c>
      <c r="BJ14" s="95" t="str">
        <f t="shared" si="6"/>
        <v>-</v>
      </c>
      <c r="BK14" s="95" t="str">
        <f t="shared" si="6"/>
        <v>-</v>
      </c>
      <c r="BL14" s="95" t="str">
        <f t="shared" si="6"/>
        <v>-</v>
      </c>
      <c r="BM14" s="95" t="str">
        <f t="shared" si="6"/>
        <v>-</v>
      </c>
      <c r="BN14" s="95" t="str">
        <f t="shared" si="6"/>
        <v>-</v>
      </c>
      <c r="BP14" s="143" t="str">
        <f t="shared" si="47"/>
        <v>-</v>
      </c>
      <c r="BQ14" s="143" t="str">
        <f t="shared" si="8"/>
        <v>-</v>
      </c>
      <c r="BR14" s="143" t="str">
        <f t="shared" si="9"/>
        <v>-</v>
      </c>
      <c r="BS14" s="143" t="str">
        <f t="shared" si="10"/>
        <v>-</v>
      </c>
      <c r="BT14" s="143" t="str">
        <f t="shared" si="11"/>
        <v>-</v>
      </c>
      <c r="BU14" s="143" t="str">
        <f t="shared" si="12"/>
        <v>-</v>
      </c>
      <c r="BV14" s="143" t="str">
        <f t="shared" si="13"/>
        <v>-</v>
      </c>
      <c r="BW14" s="143" t="str">
        <f t="shared" si="14"/>
        <v>-</v>
      </c>
      <c r="BX14" s="143" t="str">
        <f t="shared" si="15"/>
        <v>-</v>
      </c>
      <c r="BY14" s="143" t="str">
        <f t="shared" si="16"/>
        <v>-</v>
      </c>
      <c r="BZ14" s="143" t="str">
        <f t="shared" si="17"/>
        <v>-</v>
      </c>
      <c r="CA14" s="143" t="str">
        <f t="shared" si="18"/>
        <v>-</v>
      </c>
      <c r="CB14" s="143" t="str">
        <f t="shared" si="19"/>
        <v>-</v>
      </c>
      <c r="CD14" s="112" t="str">
        <f t="shared" si="25"/>
        <v>-</v>
      </c>
      <c r="CE14" s="95" t="str">
        <f>IFERROR(SUMIFS('01. KE30'!$R:$R,'01. KE30'!$C:$C,'06. BC BH THEO CUSTOMER-USD'!$D14,'01. KE30'!$F:$F,'06. BC BH THEO CUSTOMER-USD'!$H14,'01. KE30'!$A:$A,'06. BC BH THEO CUSTOMER-USD'!CE$4)/CS14/'02. Tỷ giá'!B$5," -")</f>
        <v xml:space="preserve"> -</v>
      </c>
      <c r="CF14" s="95" t="str">
        <f>IFERROR(SUMIFS('01. KE30'!$R:$R,'01. KE30'!$C:$C,'06. BC BH THEO CUSTOMER-USD'!$D14,'01. KE30'!$F:$F,'06. BC BH THEO CUSTOMER-USD'!$H14,'01. KE30'!$A:$A,'06. BC BH THEO CUSTOMER-USD'!CF$4)/CT14/'02. Tỷ giá'!C$5," -")</f>
        <v xml:space="preserve"> -</v>
      </c>
      <c r="CG14" s="95" t="str">
        <f>IFERROR(SUMIFS('01. KE30'!$R:$R,'01. KE30'!$C:$C,'06. BC BH THEO CUSTOMER-USD'!$D14,'01. KE30'!$F:$F,'06. BC BH THEO CUSTOMER-USD'!$H14,'01. KE30'!$A:$A,'06. BC BH THEO CUSTOMER-USD'!CG$4)/CU14/'02. Tỷ giá'!D$5," -")</f>
        <v xml:space="preserve"> -</v>
      </c>
      <c r="CH14" s="95" t="str">
        <f>IFERROR(SUMIFS('01. KE30'!$R:$R,'01. KE30'!$C:$C,'06. BC BH THEO CUSTOMER-USD'!$D14,'01. KE30'!$F:$F,'06. BC BH THEO CUSTOMER-USD'!$H14,'01. KE30'!$A:$A,'06. BC BH THEO CUSTOMER-USD'!CH$4)/CV14/'02. Tỷ giá'!E$5," -")</f>
        <v xml:space="preserve"> -</v>
      </c>
      <c r="CI14" s="95" t="str">
        <f>IFERROR(SUMIFS('01. KE30'!$R:$R,'01. KE30'!$C:$C,'06. BC BH THEO CUSTOMER-USD'!$D14,'01. KE30'!$F:$F,'06. BC BH THEO CUSTOMER-USD'!$H14,'01. KE30'!$A:$A,'06. BC BH THEO CUSTOMER-USD'!CI$4)/CW14/'02. Tỷ giá'!F$5," -")</f>
        <v xml:space="preserve"> -</v>
      </c>
      <c r="CJ14" s="95" t="str">
        <f>IFERROR(SUMIFS('01. KE30'!$R:$R,'01. KE30'!$C:$C,'06. BC BH THEO CUSTOMER-USD'!$D14,'01. KE30'!$F:$F,'06. BC BH THEO CUSTOMER-USD'!$H14,'01. KE30'!$A:$A,'06. BC BH THEO CUSTOMER-USD'!CJ$4)/CX14/'02. Tỷ giá'!G$5," -")</f>
        <v xml:space="preserve"> -</v>
      </c>
      <c r="CK14" s="95" t="str">
        <f>IFERROR(SUMIFS('01. KE30'!$R:$R,'01. KE30'!$C:$C,'06. BC BH THEO CUSTOMER-USD'!$D14,'01. KE30'!$F:$F,'06. BC BH THEO CUSTOMER-USD'!$H14,'01. KE30'!$A:$A,'06. BC BH THEO CUSTOMER-USD'!CK$4)/CY14/'02. Tỷ giá'!H$5," -")</f>
        <v xml:space="preserve"> -</v>
      </c>
      <c r="CL14" s="95" t="str">
        <f>IFERROR(SUMIFS('01. KE30'!$R:$R,'01. KE30'!$C:$C,'06. BC BH THEO CUSTOMER-USD'!$D14,'01. KE30'!$F:$F,'06. BC BH THEO CUSTOMER-USD'!$H14,'01. KE30'!$A:$A,'06. BC BH THEO CUSTOMER-USD'!CL$4)/CZ14/'02. Tỷ giá'!I$5," -")</f>
        <v xml:space="preserve"> -</v>
      </c>
      <c r="CM14" s="95" t="str">
        <f>IFERROR(SUMIFS('01. KE30'!$R:$R,'01. KE30'!$C:$C,'06. BC BH THEO CUSTOMER-USD'!$D14,'01. KE30'!$F:$F,'06. BC BH THEO CUSTOMER-USD'!$H14,'01. KE30'!$A:$A,'06. BC BH THEO CUSTOMER-USD'!CM$4)/DA14/'02. Tỷ giá'!J$5," -")</f>
        <v xml:space="preserve"> -</v>
      </c>
      <c r="CN14" s="95" t="str">
        <f>IFERROR(SUMIFS('01. KE30'!$R:$R,'01. KE30'!$C:$C,'06. BC BH THEO CUSTOMER-USD'!$D14,'01. KE30'!$F:$F,'06. BC BH THEO CUSTOMER-USD'!$H14,'01. KE30'!$A:$A,'06. BC BH THEO CUSTOMER-USD'!CN$4)/DB14/'02. Tỷ giá'!K$5," -")</f>
        <v xml:space="preserve"> -</v>
      </c>
      <c r="CO14" s="95" t="str">
        <f>IFERROR(SUMIFS('01. KE30'!$R:$R,'01. KE30'!$C:$C,'06. BC BH THEO CUSTOMER-USD'!$D14,'01. KE30'!$F:$F,'06. BC BH THEO CUSTOMER-USD'!$H14,'01. KE30'!$A:$A,'06. BC BH THEO CUSTOMER-USD'!CO$4)/DC14/'02. Tỷ giá'!L$5," -")</f>
        <v xml:space="preserve"> -</v>
      </c>
      <c r="CP14" s="95" t="str">
        <f>IFERROR(SUMIFS('01. KE30'!$R:$R,'01. KE30'!$C:$C,'06. BC BH THEO CUSTOMER-USD'!$D14,'01. KE30'!$F:$F,'06. BC BH THEO CUSTOMER-USD'!$H14,'01. KE30'!$A:$A,'06. BC BH THEO CUSTOMER-USD'!CP$4)/DD14/'02. Tỷ giá'!M$5," -")</f>
        <v xml:space="preserve"> -</v>
      </c>
      <c r="CR14" s="112">
        <f t="shared" si="26"/>
        <v>0</v>
      </c>
      <c r="CS14" s="54">
        <f>SUMIFS('01. KE30'!$I:$I,'01. KE30'!$C:$C,'06. BC BH THEO CUSTOMER-USD'!$D14,'01. KE30'!$F:$F,'06. BC BH THEO CUSTOMER-USD'!$H14,'01. KE30'!$A:$A,'06. BC BH THEO CUSTOMER-USD'!CS$4)/1000</f>
        <v>0</v>
      </c>
      <c r="CT14" s="54">
        <f>SUMIFS('01. KE30'!$I:$I,'01. KE30'!$C:$C,'06. BC BH THEO CUSTOMER-USD'!$D14,'01. KE30'!$F:$F,'06. BC BH THEO CUSTOMER-USD'!$H14,'01. KE30'!$A:$A,'06. BC BH THEO CUSTOMER-USD'!CT$4)/1000</f>
        <v>0</v>
      </c>
      <c r="CU14" s="54">
        <f>SUMIFS('01. KE30'!$I:$I,'01. KE30'!$C:$C,'06. BC BH THEO CUSTOMER-USD'!$D14,'01. KE30'!$F:$F,'06. BC BH THEO CUSTOMER-USD'!$H14,'01. KE30'!$A:$A,'06. BC BH THEO CUSTOMER-USD'!CU$4)/1000</f>
        <v>0</v>
      </c>
      <c r="CV14" s="54">
        <f>SUMIFS('01. KE30'!$I:$I,'01. KE30'!$C:$C,'06. BC BH THEO CUSTOMER-USD'!$D14,'01. KE30'!$F:$F,'06. BC BH THEO CUSTOMER-USD'!$H14,'01. KE30'!$A:$A,'06. BC BH THEO CUSTOMER-USD'!CV$4)/1000</f>
        <v>0</v>
      </c>
      <c r="CW14" s="54">
        <f>SUMIFS('01. KE30'!$I:$I,'01. KE30'!$C:$C,'06. BC BH THEO CUSTOMER-USD'!$D14,'01. KE30'!$F:$F,'06. BC BH THEO CUSTOMER-USD'!$H14,'01. KE30'!$A:$A,'06. BC BH THEO CUSTOMER-USD'!CW$4)/1000</f>
        <v>0</v>
      </c>
      <c r="CX14" s="54">
        <f>SUMIFS('01. KE30'!$I:$I,'01. KE30'!$C:$C,'06. BC BH THEO CUSTOMER-USD'!$D14,'01. KE30'!$F:$F,'06. BC BH THEO CUSTOMER-USD'!$H14,'01. KE30'!$A:$A,'06. BC BH THEO CUSTOMER-USD'!CX$4)/1000</f>
        <v>0</v>
      </c>
      <c r="CY14" s="54">
        <f>SUMIFS('01. KE30'!$I:$I,'01. KE30'!$C:$C,'06. BC BH THEO CUSTOMER-USD'!$D14,'01. KE30'!$F:$F,'06. BC BH THEO CUSTOMER-USD'!$H14,'01. KE30'!$A:$A,'06. BC BH THEO CUSTOMER-USD'!CY$4)/1000</f>
        <v>0</v>
      </c>
      <c r="CZ14" s="54">
        <f>SUMIFS('01. KE30'!$I:$I,'01. KE30'!$C:$C,'06. BC BH THEO CUSTOMER-USD'!$D14,'01. KE30'!$F:$F,'06. BC BH THEO CUSTOMER-USD'!$H14,'01. KE30'!$A:$A,'06. BC BH THEO CUSTOMER-USD'!CZ$4)/1000</f>
        <v>0</v>
      </c>
      <c r="DA14" s="54">
        <f>SUMIFS('01. KE30'!$I:$I,'01. KE30'!$C:$C,'06. BC BH THEO CUSTOMER-USD'!$D14,'01. KE30'!$F:$F,'06. BC BH THEO CUSTOMER-USD'!$H14,'01. KE30'!$A:$A,'06. BC BH THEO CUSTOMER-USD'!DA$4)/1000</f>
        <v>0</v>
      </c>
      <c r="DB14" s="54">
        <f>SUMIFS('01. KE30'!$I:$I,'01. KE30'!$C:$C,'06. BC BH THEO CUSTOMER-USD'!$D14,'01. KE30'!$F:$F,'06. BC BH THEO CUSTOMER-USD'!$H14,'01. KE30'!$A:$A,'06. BC BH THEO CUSTOMER-USD'!DB$4)/1000</f>
        <v>0</v>
      </c>
      <c r="DC14" s="54">
        <f>SUMIFS('01. KE30'!$I:$I,'01. KE30'!$C:$C,'06. BC BH THEO CUSTOMER-USD'!$D14,'01. KE30'!$F:$F,'06. BC BH THEO CUSTOMER-USD'!$H14,'01. KE30'!$A:$A,'06. BC BH THEO CUSTOMER-USD'!DC$4)/1000</f>
        <v>0</v>
      </c>
      <c r="DD14" s="54">
        <f>SUMIFS('01. KE30'!$I:$I,'01. KE30'!$C:$C,'06. BC BH THEO CUSTOMER-USD'!$D14,'01. KE30'!$F:$F,'06. BC BH THEO CUSTOMER-USD'!$H14,'01. KE30'!$A:$A,'06. BC BH THEO CUSTOMER-USD'!DD$4)/1000</f>
        <v>0</v>
      </c>
      <c r="DF14" s="112">
        <f t="shared" si="27"/>
        <v>0</v>
      </c>
      <c r="DG14" s="54" t="str">
        <f t="shared" si="48"/>
        <v>-</v>
      </c>
      <c r="DH14" s="54" t="str">
        <f t="shared" si="49"/>
        <v>-</v>
      </c>
      <c r="DI14" s="54" t="str">
        <f t="shared" si="50"/>
        <v>-</v>
      </c>
      <c r="DJ14" s="54" t="str">
        <f t="shared" si="51"/>
        <v>-</v>
      </c>
      <c r="DK14" s="54" t="str">
        <f t="shared" si="52"/>
        <v>-</v>
      </c>
      <c r="DL14" s="54" t="str">
        <f t="shared" si="53"/>
        <v>-</v>
      </c>
      <c r="DM14" s="54" t="str">
        <f t="shared" si="54"/>
        <v>-</v>
      </c>
      <c r="DN14" s="54" t="str">
        <f t="shared" si="55"/>
        <v>-</v>
      </c>
      <c r="DO14" s="54" t="str">
        <f t="shared" si="56"/>
        <v>-</v>
      </c>
      <c r="DP14" s="54" t="str">
        <f t="shared" si="57"/>
        <v>-</v>
      </c>
      <c r="DQ14" s="54" t="str">
        <f t="shared" si="58"/>
        <v>-</v>
      </c>
      <c r="DR14" s="54" t="str">
        <f t="shared" si="59"/>
        <v>-</v>
      </c>
      <c r="DT14" s="112">
        <f t="shared" si="60"/>
        <v>0</v>
      </c>
      <c r="DU14" s="114">
        <f>IFERROR(SUMIFS('01. KE30'!$X:$X,'01. KE30'!$C:$C,'06. BC BH THEO CUSTOMER-USD'!$D14,'01. KE30'!$F:$F,'06. BC BH THEO CUSTOMER-USD'!$H14,'01. KE30'!$A:$A,'06. BC BH THEO CUSTOMER-USD'!DU$4)-SUMIFS('01. KE30'!$AA:$AA,'01. KE30'!$C:$C,'06. BC BH THEO CUSTOMER-USD'!$D14,'01. KE30'!$F:$F,'06. BC BH THEO CUSTOMER-USD'!$H14,'01. KE30'!$A:$A,'06. BC BH THEO CUSTOMER-USD'!DU$4),"-")</f>
        <v>0</v>
      </c>
      <c r="DV14" s="114">
        <f>IFERROR(SUMIFS('01. KE30'!$X:$X,'01. KE30'!$C:$C,'06. BC BH THEO CUSTOMER-USD'!$D14,'01. KE30'!$F:$F,'06. BC BH THEO CUSTOMER-USD'!$H14,'01. KE30'!$A:$A,'06. BC BH THEO CUSTOMER-USD'!DV$4)-SUMIFS('01. KE30'!$AA:$AA,'01. KE30'!$C:$C,'06. BC BH THEO CUSTOMER-USD'!$D14,'01. KE30'!$F:$F,'06. BC BH THEO CUSTOMER-USD'!$H14,'01. KE30'!$A:$A,'06. BC BH THEO CUSTOMER-USD'!DV$4),"-")</f>
        <v>0</v>
      </c>
      <c r="DW14" s="114">
        <f>IFERROR(SUMIFS('01. KE30'!$X:$X,'01. KE30'!$C:$C,'06. BC BH THEO CUSTOMER-USD'!$D14,'01. KE30'!$F:$F,'06. BC BH THEO CUSTOMER-USD'!$H14,'01. KE30'!$A:$A,'06. BC BH THEO CUSTOMER-USD'!DW$4)-SUMIFS('01. KE30'!$AA:$AA,'01. KE30'!$C:$C,'06. BC BH THEO CUSTOMER-USD'!$D14,'01. KE30'!$F:$F,'06. BC BH THEO CUSTOMER-USD'!$H14,'01. KE30'!$A:$A,'06. BC BH THEO CUSTOMER-USD'!DW$4),"-")</f>
        <v>0</v>
      </c>
      <c r="DX14" s="114">
        <f>IFERROR(SUMIFS('01. KE30'!$X:$X,'01. KE30'!$C:$C,'06. BC BH THEO CUSTOMER-USD'!$D14,'01. KE30'!$F:$F,'06. BC BH THEO CUSTOMER-USD'!$H14,'01. KE30'!$A:$A,'06. BC BH THEO CUSTOMER-USD'!DX$4)-SUMIFS('01. KE30'!$AA:$AA,'01. KE30'!$C:$C,'06. BC BH THEO CUSTOMER-USD'!$D14,'01. KE30'!$F:$F,'06. BC BH THEO CUSTOMER-USD'!$H14,'01. KE30'!$A:$A,'06. BC BH THEO CUSTOMER-USD'!DX$4),"-")</f>
        <v>0</v>
      </c>
      <c r="DY14" s="114">
        <f>IFERROR(SUMIFS('01. KE30'!$X:$X,'01. KE30'!$C:$C,'06. BC BH THEO CUSTOMER-USD'!$D14,'01. KE30'!$F:$F,'06. BC BH THEO CUSTOMER-USD'!$H14,'01. KE30'!$A:$A,'06. BC BH THEO CUSTOMER-USD'!DY$4)-SUMIFS('01. KE30'!$AA:$AA,'01. KE30'!$C:$C,'06. BC BH THEO CUSTOMER-USD'!$D14,'01. KE30'!$F:$F,'06. BC BH THEO CUSTOMER-USD'!$H14,'01. KE30'!$A:$A,'06. BC BH THEO CUSTOMER-USD'!DY$4),"-")</f>
        <v>0</v>
      </c>
      <c r="DZ14" s="114">
        <f>IFERROR(SUMIFS('01. KE30'!$X:$X,'01. KE30'!$C:$C,'06. BC BH THEO CUSTOMER-USD'!$D14,'01. KE30'!$F:$F,'06. BC BH THEO CUSTOMER-USD'!$H14,'01. KE30'!$A:$A,'06. BC BH THEO CUSTOMER-USD'!DZ$4)-SUMIFS('01. KE30'!$AA:$AA,'01. KE30'!$C:$C,'06. BC BH THEO CUSTOMER-USD'!$D14,'01. KE30'!$F:$F,'06. BC BH THEO CUSTOMER-USD'!$H14,'01. KE30'!$A:$A,'06. BC BH THEO CUSTOMER-USD'!DZ$4),"-")</f>
        <v>0</v>
      </c>
      <c r="EA14" s="114">
        <f>IFERROR(SUMIFS('01. KE30'!$X:$X,'01. KE30'!$C:$C,'06. BC BH THEO CUSTOMER-USD'!$D14,'01. KE30'!$F:$F,'06. BC BH THEO CUSTOMER-USD'!$H14,'01. KE30'!$A:$A,'06. BC BH THEO CUSTOMER-USD'!EA$4)-SUMIFS('01. KE30'!$AA:$AA,'01. KE30'!$C:$C,'06. BC BH THEO CUSTOMER-USD'!$D14,'01. KE30'!$F:$F,'06. BC BH THEO CUSTOMER-USD'!$H14,'01. KE30'!$A:$A,'06. BC BH THEO CUSTOMER-USD'!EA$4),"-")</f>
        <v>0</v>
      </c>
      <c r="EB14" s="114">
        <f>IFERROR(SUMIFS('01. KE30'!$X:$X,'01. KE30'!$C:$C,'06. BC BH THEO CUSTOMER-USD'!$D14,'01. KE30'!$F:$F,'06. BC BH THEO CUSTOMER-USD'!$H14,'01. KE30'!$A:$A,'06. BC BH THEO CUSTOMER-USD'!EB$4)-SUMIFS('01. KE30'!$AA:$AA,'01. KE30'!$C:$C,'06. BC BH THEO CUSTOMER-USD'!$D14,'01. KE30'!$F:$F,'06. BC BH THEO CUSTOMER-USD'!$H14,'01. KE30'!$A:$A,'06. BC BH THEO CUSTOMER-USD'!EB$4),"-")</f>
        <v>0</v>
      </c>
      <c r="EC14" s="114">
        <f>IFERROR(SUMIFS('01. KE30'!$X:$X,'01. KE30'!$C:$C,'06. BC BH THEO CUSTOMER-USD'!$D14,'01. KE30'!$F:$F,'06. BC BH THEO CUSTOMER-USD'!$H14,'01. KE30'!$A:$A,'06. BC BH THEO CUSTOMER-USD'!EC$4)-SUMIFS('01. KE30'!$AA:$AA,'01. KE30'!$C:$C,'06. BC BH THEO CUSTOMER-USD'!$D14,'01. KE30'!$F:$F,'06. BC BH THEO CUSTOMER-USD'!$H14,'01. KE30'!$A:$A,'06. BC BH THEO CUSTOMER-USD'!EC$4),"-")</f>
        <v>0</v>
      </c>
      <c r="ED14" s="114">
        <f>IFERROR(SUMIFS('01. KE30'!$X:$X,'01. KE30'!$C:$C,'06. BC BH THEO CUSTOMER-USD'!$D14,'01. KE30'!$F:$F,'06. BC BH THEO CUSTOMER-USD'!$H14,'01. KE30'!$A:$A,'06. BC BH THEO CUSTOMER-USD'!ED$4)-SUMIFS('01. KE30'!$AA:$AA,'01. KE30'!$C:$C,'06. BC BH THEO CUSTOMER-USD'!$D14,'01. KE30'!$F:$F,'06. BC BH THEO CUSTOMER-USD'!$H14,'01. KE30'!$A:$A,'06. BC BH THEO CUSTOMER-USD'!ED$4),"-")</f>
        <v>0</v>
      </c>
      <c r="EE14" s="114">
        <f>IFERROR(SUMIFS('01. KE30'!$X:$X,'01. KE30'!$C:$C,'06. BC BH THEO CUSTOMER-USD'!$D14,'01. KE30'!$F:$F,'06. BC BH THEO CUSTOMER-USD'!$H14,'01. KE30'!$A:$A,'06. BC BH THEO CUSTOMER-USD'!EE$4)-SUMIFS('01. KE30'!$AA:$AA,'01. KE30'!$C:$C,'06. BC BH THEO CUSTOMER-USD'!$D14,'01. KE30'!$F:$F,'06. BC BH THEO CUSTOMER-USD'!$H14,'01. KE30'!$A:$A,'06. BC BH THEO CUSTOMER-USD'!EE$4),"-")</f>
        <v>0</v>
      </c>
      <c r="EF14" s="114">
        <f>IFERROR(SUMIFS('01. KE30'!$X:$X,'01. KE30'!$C:$C,'06. BC BH THEO CUSTOMER-USD'!$D14,'01. KE30'!$F:$F,'06. BC BH THEO CUSTOMER-USD'!$H14,'01. KE30'!$A:$A,'06. BC BH THEO CUSTOMER-USD'!EF$4)-SUMIFS('01. KE30'!$AA:$AA,'01. KE30'!$C:$C,'06. BC BH THEO CUSTOMER-USD'!$D14,'01. KE30'!$F:$F,'06. BC BH THEO CUSTOMER-USD'!$H14,'01. KE30'!$A:$A,'06. BC BH THEO CUSTOMER-USD'!EF$4),"-")</f>
        <v>0</v>
      </c>
      <c r="EH14" s="571" t="str">
        <f t="shared" si="29"/>
        <v>-</v>
      </c>
      <c r="EI14" s="572" t="str">
        <f t="shared" si="30"/>
        <v>-</v>
      </c>
      <c r="EJ14" s="572" t="str">
        <f t="shared" si="31"/>
        <v>-</v>
      </c>
      <c r="EK14" s="572" t="str">
        <f t="shared" si="32"/>
        <v>-</v>
      </c>
      <c r="EL14" s="572" t="str">
        <f t="shared" si="33"/>
        <v>-</v>
      </c>
      <c r="EM14" s="572" t="str">
        <f t="shared" si="34"/>
        <v>-</v>
      </c>
      <c r="EN14" s="572" t="str">
        <f t="shared" si="35"/>
        <v>-</v>
      </c>
      <c r="EO14" s="572" t="str">
        <f t="shared" si="36"/>
        <v>-</v>
      </c>
      <c r="EP14" s="572" t="str">
        <f t="shared" si="37"/>
        <v>-</v>
      </c>
      <c r="EQ14" s="572" t="str">
        <f t="shared" si="38"/>
        <v>-</v>
      </c>
      <c r="ER14" s="572" t="str">
        <f t="shared" si="39"/>
        <v>-</v>
      </c>
      <c r="ES14" s="572" t="str">
        <f t="shared" si="40"/>
        <v>-</v>
      </c>
      <c r="ET14" s="572" t="str">
        <f t="shared" si="41"/>
        <v>-</v>
      </c>
    </row>
    <row r="15" spans="1:150" s="24" customFormat="1" ht="15.5" hidden="1" outlineLevel="1" x14ac:dyDescent="0.35">
      <c r="A15" s="27">
        <f t="shared" si="63"/>
        <v>10</v>
      </c>
      <c r="B15" s="27" t="s">
        <v>283</v>
      </c>
      <c r="C15" s="442" t="s">
        <v>489</v>
      </c>
      <c r="D15" s="32" t="s">
        <v>152</v>
      </c>
      <c r="E15" s="12" t="s">
        <v>151</v>
      </c>
      <c r="F15" s="12" t="s">
        <v>245</v>
      </c>
      <c r="G15" s="12" t="str">
        <f>_xlfn.XLOOKUP(F15,'Quy đổi'!$G$5:$G$32,'Quy đổi'!$H$5:$H$32,0)</f>
        <v>Nội địa</v>
      </c>
      <c r="H15" s="76" t="s">
        <v>127</v>
      </c>
      <c r="I15" s="28" t="s">
        <v>114</v>
      </c>
      <c r="J15" s="13" t="s">
        <v>22</v>
      </c>
      <c r="K15" s="11"/>
      <c r="L15" s="92" t="str">
        <f t="shared" si="42"/>
        <v>-</v>
      </c>
      <c r="M15" s="106" t="str">
        <f>IFERROR(SUMIFS('01. KE30'!$K:$K,'01. KE30'!$C:$C,'06. BC BH THEO CUSTOMER-USD'!$D15,'01. KE30'!$F:$F,'06. BC BH THEO CUSTOMER-USD'!$H15,'01. KE30'!$A:$A,'06. BC BH THEO CUSTOMER-USD'!M$4)/'06. BC BH THEO CUSTOMER-USD'!CS15/'02. Tỷ giá'!B$5,"-")</f>
        <v>-</v>
      </c>
      <c r="N15" s="106" t="str">
        <f>IFERROR(SUMIFS('01. KE30'!$K:$K,'01. KE30'!$C:$C,'06. BC BH THEO CUSTOMER-USD'!$D15,'01. KE30'!$F:$F,'06. BC BH THEO CUSTOMER-USD'!$H15,'01. KE30'!$A:$A,'06. BC BH THEO CUSTOMER-USD'!N$4)/'06. BC BH THEO CUSTOMER-USD'!CT15/'02. Tỷ giá'!C$5,"-")</f>
        <v>-</v>
      </c>
      <c r="O15" s="106" t="str">
        <f>IFERROR(SUMIFS('01. KE30'!$K:$K,'01. KE30'!$C:$C,'06. BC BH THEO CUSTOMER-USD'!$D15,'01. KE30'!$F:$F,'06. BC BH THEO CUSTOMER-USD'!$H15,'01. KE30'!$A:$A,'06. BC BH THEO CUSTOMER-USD'!O$4)/'06. BC BH THEO CUSTOMER-USD'!CU15/'02. Tỷ giá'!D$5,"-")</f>
        <v>-</v>
      </c>
      <c r="P15" s="106" t="str">
        <f>IFERROR(SUMIFS('01. KE30'!$K:$K,'01. KE30'!$C:$C,'06. BC BH THEO CUSTOMER-USD'!$D15,'01. KE30'!$F:$F,'06. BC BH THEO CUSTOMER-USD'!$H15,'01. KE30'!$A:$A,'06. BC BH THEO CUSTOMER-USD'!P$4)/'06. BC BH THEO CUSTOMER-USD'!CV15/'02. Tỷ giá'!E$5,"-")</f>
        <v>-</v>
      </c>
      <c r="Q15" s="106" t="str">
        <f>IFERROR(SUMIFS('01. KE30'!$K:$K,'01. KE30'!$C:$C,'06. BC BH THEO CUSTOMER-USD'!$D15,'01. KE30'!$F:$F,'06. BC BH THEO CUSTOMER-USD'!$H15,'01. KE30'!$A:$A,'06. BC BH THEO CUSTOMER-USD'!Q$4)/'06. BC BH THEO CUSTOMER-USD'!CW15/'02. Tỷ giá'!F$5,"-")</f>
        <v>-</v>
      </c>
      <c r="R15" s="106" t="str">
        <f>IFERROR(SUMIFS('01. KE30'!$K:$K,'01. KE30'!$C:$C,'06. BC BH THEO CUSTOMER-USD'!$D15,'01. KE30'!$F:$F,'06. BC BH THEO CUSTOMER-USD'!$H15,'01. KE30'!$A:$A,'06. BC BH THEO CUSTOMER-USD'!R$4)/'06. BC BH THEO CUSTOMER-USD'!CX15/'02. Tỷ giá'!G$5,"-")</f>
        <v>-</v>
      </c>
      <c r="S15" s="106" t="str">
        <f>IFERROR(SUMIFS('01. KE30'!$K:$K,'01. KE30'!$C:$C,'06. BC BH THEO CUSTOMER-USD'!$D15,'01. KE30'!$F:$F,'06. BC BH THEO CUSTOMER-USD'!$H15,'01. KE30'!$A:$A,'06. BC BH THEO CUSTOMER-USD'!S$4)/'06. BC BH THEO CUSTOMER-USD'!CY15/'02. Tỷ giá'!H$5,"-")</f>
        <v>-</v>
      </c>
      <c r="T15" s="106" t="str">
        <f>IFERROR(SUMIFS('01. KE30'!$K:$K,'01. KE30'!$C:$C,'06. BC BH THEO CUSTOMER-USD'!$D15,'01. KE30'!$F:$F,'06. BC BH THEO CUSTOMER-USD'!$H15,'01. KE30'!$A:$A,'06. BC BH THEO CUSTOMER-USD'!T$4)/'06. BC BH THEO CUSTOMER-USD'!CZ15/'02. Tỷ giá'!I$5,"-")</f>
        <v>-</v>
      </c>
      <c r="U15" s="106" t="str">
        <f>IFERROR(SUMIFS('01. KE30'!$K:$K,'01. KE30'!$C:$C,'06. BC BH THEO CUSTOMER-USD'!$D15,'01. KE30'!$F:$F,'06. BC BH THEO CUSTOMER-USD'!$H15,'01. KE30'!$A:$A,'06. BC BH THEO CUSTOMER-USD'!U$4)/'06. BC BH THEO CUSTOMER-USD'!DA15/'02. Tỷ giá'!J$5,"-")</f>
        <v>-</v>
      </c>
      <c r="V15" s="106" t="str">
        <f>IFERROR(SUMIFS('01. KE30'!$K:$K,'01. KE30'!$C:$C,'06. BC BH THEO CUSTOMER-USD'!$D15,'01. KE30'!$F:$F,'06. BC BH THEO CUSTOMER-USD'!$H15,'01. KE30'!$A:$A,'06. BC BH THEO CUSTOMER-USD'!V$4)/'06. BC BH THEO CUSTOMER-USD'!DB15/'02. Tỷ giá'!K$5,"-")</f>
        <v>-</v>
      </c>
      <c r="W15" s="106" t="str">
        <f>IFERROR(SUMIFS('01. KE30'!$K:$K,'01. KE30'!$C:$C,'06. BC BH THEO CUSTOMER-USD'!$D15,'01. KE30'!$F:$F,'06. BC BH THEO CUSTOMER-USD'!$H15,'01. KE30'!$A:$A,'06. BC BH THEO CUSTOMER-USD'!W$4)/'06. BC BH THEO CUSTOMER-USD'!DC15/'02. Tỷ giá'!L$5,"-")</f>
        <v>-</v>
      </c>
      <c r="X15" s="106" t="str">
        <f>IFERROR(SUMIFS('01. KE30'!$K:$K,'01. KE30'!$C:$C,'06. BC BH THEO CUSTOMER-USD'!$D15,'01. KE30'!$F:$F,'06. BC BH THEO CUSTOMER-USD'!$H15,'01. KE30'!$A:$A,'06. BC BH THEO CUSTOMER-USD'!X$4)/'06. BC BH THEO CUSTOMER-USD'!DD15/'02. Tỷ giá'!M$5,"-")</f>
        <v>-</v>
      </c>
      <c r="Z15" s="92" t="str">
        <f t="shared" si="43"/>
        <v>-</v>
      </c>
      <c r="AA15" s="147" t="str">
        <f>IFERROR(SUMIFS('01. KE30'!$O:$O,'01. KE30'!$C:$C,'06. BC BH THEO CUSTOMER-USD'!$D15,'01. KE30'!$F:$F,'06. BC BH THEO CUSTOMER-USD'!$H15,'01. KE30'!$A:$A,'06. BC BH THEO CUSTOMER-USD'!M$4)/'06. BC BH THEO CUSTOMER-USD'!CS15/'02. Tỷ giá'!B$5,"-")</f>
        <v>-</v>
      </c>
      <c r="AB15" s="147" t="str">
        <f>IFERROR(SUMIFS('01. KE30'!$O:$O,'01. KE30'!$C:$C,'06. BC BH THEO CUSTOMER-USD'!$D15,'01. KE30'!$F:$F,'06. BC BH THEO CUSTOMER-USD'!$H15,'01. KE30'!$A:$A,'06. BC BH THEO CUSTOMER-USD'!N$4)/'06. BC BH THEO CUSTOMER-USD'!CT15/'02. Tỷ giá'!C$5,"-")</f>
        <v>-</v>
      </c>
      <c r="AC15" s="147" t="str">
        <f>IFERROR(SUMIFS('01. KE30'!$O:$O,'01. KE30'!$C:$C,'06. BC BH THEO CUSTOMER-USD'!$D15,'01. KE30'!$F:$F,'06. BC BH THEO CUSTOMER-USD'!$H15,'01. KE30'!$A:$A,'06. BC BH THEO CUSTOMER-USD'!O$4)/'06. BC BH THEO CUSTOMER-USD'!CU15/'02. Tỷ giá'!D$5,"-")</f>
        <v>-</v>
      </c>
      <c r="AD15" s="147" t="str">
        <f>IFERROR(SUMIFS('01. KE30'!$O:$O,'01. KE30'!$C:$C,'06. BC BH THEO CUSTOMER-USD'!$D15,'01. KE30'!$F:$F,'06. BC BH THEO CUSTOMER-USD'!$H15,'01. KE30'!$A:$A,'06. BC BH THEO CUSTOMER-USD'!P$4)/'06. BC BH THEO CUSTOMER-USD'!CV15/'02. Tỷ giá'!E$5,"-")</f>
        <v>-</v>
      </c>
      <c r="AE15" s="147" t="str">
        <f>IFERROR(SUMIFS('01. KE30'!$O:$O,'01. KE30'!$C:$C,'06. BC BH THEO CUSTOMER-USD'!$D15,'01. KE30'!$F:$F,'06. BC BH THEO CUSTOMER-USD'!$H15,'01. KE30'!$A:$A,'06. BC BH THEO CUSTOMER-USD'!Q$4)/'06. BC BH THEO CUSTOMER-USD'!CW15/'02. Tỷ giá'!F$5,"-")</f>
        <v>-</v>
      </c>
      <c r="AF15" s="147" t="str">
        <f>IFERROR(SUMIFS('01. KE30'!$O:$O,'01. KE30'!$C:$C,'06. BC BH THEO CUSTOMER-USD'!$D15,'01. KE30'!$F:$F,'06. BC BH THEO CUSTOMER-USD'!$H15,'01. KE30'!$A:$A,'06. BC BH THEO CUSTOMER-USD'!R$4)/'06. BC BH THEO CUSTOMER-USD'!CX15/'02. Tỷ giá'!G$5,"-")</f>
        <v>-</v>
      </c>
      <c r="AG15" s="147" t="str">
        <f>IFERROR(SUMIFS('01. KE30'!$O:$O,'01. KE30'!$C:$C,'06. BC BH THEO CUSTOMER-USD'!$D15,'01. KE30'!$F:$F,'06. BC BH THEO CUSTOMER-USD'!$H15,'01. KE30'!$A:$A,'06. BC BH THEO CUSTOMER-USD'!S$4)/'06. BC BH THEO CUSTOMER-USD'!CY15/'02. Tỷ giá'!H$5,"-")</f>
        <v>-</v>
      </c>
      <c r="AH15" s="147" t="str">
        <f>IFERROR(SUMIFS('01. KE30'!$O:$O,'01. KE30'!$C:$C,'06. BC BH THEO CUSTOMER-USD'!$D15,'01. KE30'!$F:$F,'06. BC BH THEO CUSTOMER-USD'!$H15,'01. KE30'!$A:$A,'06. BC BH THEO CUSTOMER-USD'!T$4)/'06. BC BH THEO CUSTOMER-USD'!CZ15/'02. Tỷ giá'!I$5,"-")</f>
        <v>-</v>
      </c>
      <c r="AI15" s="147" t="str">
        <f>IFERROR(SUMIFS('01. KE30'!$O:$O,'01. KE30'!$C:$C,'06. BC BH THEO CUSTOMER-USD'!$D15,'01. KE30'!$F:$F,'06. BC BH THEO CUSTOMER-USD'!$H15,'01. KE30'!$A:$A,'06. BC BH THEO CUSTOMER-USD'!U$4)/'06. BC BH THEO CUSTOMER-USD'!DA15/'02. Tỷ giá'!J$5,"-")</f>
        <v>-</v>
      </c>
      <c r="AJ15" s="147" t="str">
        <f>IFERROR(SUMIFS('01. KE30'!$O:$O,'01. KE30'!$C:$C,'06. BC BH THEO CUSTOMER-USD'!$D15,'01. KE30'!$F:$F,'06. BC BH THEO CUSTOMER-USD'!$H15,'01. KE30'!$A:$A,'06. BC BH THEO CUSTOMER-USD'!V$4)/'06. BC BH THEO CUSTOMER-USD'!DB15/'02. Tỷ giá'!K$5,"-")</f>
        <v>-</v>
      </c>
      <c r="AK15" s="147" t="str">
        <f>IFERROR(SUMIFS('01. KE30'!$O:$O,'01. KE30'!$C:$C,'06. BC BH THEO CUSTOMER-USD'!$D15,'01. KE30'!$F:$F,'06. BC BH THEO CUSTOMER-USD'!$H15,'01. KE30'!$A:$A,'06. BC BH THEO CUSTOMER-USD'!W$4)/'06. BC BH THEO CUSTOMER-USD'!DC15/'02. Tỷ giá'!L$5,"-")</f>
        <v>-</v>
      </c>
      <c r="AL15" s="147" t="str">
        <f>IFERROR(SUMIFS('01. KE30'!$O:$O,'01. KE30'!$C:$C,'06. BC BH THEO CUSTOMER-USD'!$D15,'01. KE30'!$F:$F,'06. BC BH THEO CUSTOMER-USD'!$H15,'01. KE30'!$A:$A,'06. BC BH THEO CUSTOMER-USD'!X$4)/'06. BC BH THEO CUSTOMER-USD'!DD15/'02. Tỷ giá'!M$5,"-")</f>
        <v>-</v>
      </c>
      <c r="AN15" s="92">
        <f t="shared" si="44"/>
        <v>1322.2222222222222</v>
      </c>
      <c r="AO15" s="25">
        <v>1320</v>
      </c>
      <c r="AP15" s="25">
        <f t="shared" si="67"/>
        <v>1280</v>
      </c>
      <c r="AQ15" s="25">
        <v>1320</v>
      </c>
      <c r="AR15" s="4">
        <f t="shared" si="68"/>
        <v>1340</v>
      </c>
      <c r="AS15" s="4">
        <v>1340</v>
      </c>
      <c r="AT15" s="4">
        <v>1340</v>
      </c>
      <c r="AU15" s="4">
        <v>1340</v>
      </c>
      <c r="AV15" s="4">
        <f t="shared" si="66"/>
        <v>1310</v>
      </c>
      <c r="AW15" s="25">
        <v>1310</v>
      </c>
      <c r="AX15" s="25"/>
      <c r="AY15" s="25"/>
      <c r="AZ15" s="25"/>
      <c r="BB15" s="95" t="str">
        <f t="shared" si="45"/>
        <v>-</v>
      </c>
      <c r="BC15" s="95" t="str">
        <f t="shared" si="46"/>
        <v>-</v>
      </c>
      <c r="BD15" s="95" t="str">
        <f t="shared" si="6"/>
        <v>-</v>
      </c>
      <c r="BE15" s="95" t="str">
        <f t="shared" si="6"/>
        <v>-</v>
      </c>
      <c r="BF15" s="95" t="str">
        <f t="shared" si="6"/>
        <v>-</v>
      </c>
      <c r="BG15" s="95" t="str">
        <f t="shared" si="6"/>
        <v>-</v>
      </c>
      <c r="BH15" s="95" t="str">
        <f t="shared" si="6"/>
        <v>-</v>
      </c>
      <c r="BI15" s="95" t="str">
        <f t="shared" si="6"/>
        <v>-</v>
      </c>
      <c r="BJ15" s="95" t="str">
        <f t="shared" si="6"/>
        <v>-</v>
      </c>
      <c r="BK15" s="95" t="str">
        <f t="shared" si="6"/>
        <v>-</v>
      </c>
      <c r="BL15" s="95" t="str">
        <f t="shared" si="6"/>
        <v>-</v>
      </c>
      <c r="BM15" s="95" t="str">
        <f t="shared" si="6"/>
        <v>-</v>
      </c>
      <c r="BN15" s="95" t="str">
        <f t="shared" si="6"/>
        <v>-</v>
      </c>
      <c r="BP15" s="143" t="str">
        <f t="shared" si="47"/>
        <v>-</v>
      </c>
      <c r="BQ15" s="143" t="str">
        <f t="shared" si="8"/>
        <v>-</v>
      </c>
      <c r="BR15" s="143" t="str">
        <f t="shared" si="9"/>
        <v>-</v>
      </c>
      <c r="BS15" s="143" t="str">
        <f t="shared" si="10"/>
        <v>-</v>
      </c>
      <c r="BT15" s="143" t="str">
        <f t="shared" si="11"/>
        <v>-</v>
      </c>
      <c r="BU15" s="143" t="str">
        <f t="shared" si="12"/>
        <v>-</v>
      </c>
      <c r="BV15" s="143" t="str">
        <f t="shared" si="13"/>
        <v>-</v>
      </c>
      <c r="BW15" s="143" t="str">
        <f t="shared" si="14"/>
        <v>-</v>
      </c>
      <c r="BX15" s="143" t="str">
        <f t="shared" si="15"/>
        <v>-</v>
      </c>
      <c r="BY15" s="143" t="str">
        <f t="shared" si="16"/>
        <v>-</v>
      </c>
      <c r="BZ15" s="143" t="str">
        <f t="shared" si="17"/>
        <v>-</v>
      </c>
      <c r="CA15" s="143" t="str">
        <f t="shared" si="18"/>
        <v>-</v>
      </c>
      <c r="CB15" s="143" t="str">
        <f t="shared" si="19"/>
        <v>-</v>
      </c>
      <c r="CD15" s="112" t="str">
        <f t="shared" si="25"/>
        <v>-</v>
      </c>
      <c r="CE15" s="95" t="str">
        <f>IFERROR(SUMIFS('01. KE30'!$R:$R,'01. KE30'!$C:$C,'06. BC BH THEO CUSTOMER-USD'!$D15,'01. KE30'!$F:$F,'06. BC BH THEO CUSTOMER-USD'!$H15,'01. KE30'!$A:$A,'06. BC BH THEO CUSTOMER-USD'!CE$4)/CS15/'02. Tỷ giá'!B$5," -")</f>
        <v xml:space="preserve"> -</v>
      </c>
      <c r="CF15" s="95" t="str">
        <f>IFERROR(SUMIFS('01. KE30'!$R:$R,'01. KE30'!$C:$C,'06. BC BH THEO CUSTOMER-USD'!$D15,'01. KE30'!$F:$F,'06. BC BH THEO CUSTOMER-USD'!$H15,'01. KE30'!$A:$A,'06. BC BH THEO CUSTOMER-USD'!CF$4)/CT15/'02. Tỷ giá'!C$5," -")</f>
        <v xml:space="preserve"> -</v>
      </c>
      <c r="CG15" s="95" t="str">
        <f>IFERROR(SUMIFS('01. KE30'!$R:$R,'01. KE30'!$C:$C,'06. BC BH THEO CUSTOMER-USD'!$D15,'01. KE30'!$F:$F,'06. BC BH THEO CUSTOMER-USD'!$H15,'01. KE30'!$A:$A,'06. BC BH THEO CUSTOMER-USD'!CG$4)/CU15/'02. Tỷ giá'!D$5," -")</f>
        <v xml:space="preserve"> -</v>
      </c>
      <c r="CH15" s="95" t="str">
        <f>IFERROR(SUMIFS('01. KE30'!$R:$R,'01. KE30'!$C:$C,'06. BC BH THEO CUSTOMER-USD'!$D15,'01. KE30'!$F:$F,'06. BC BH THEO CUSTOMER-USD'!$H15,'01. KE30'!$A:$A,'06. BC BH THEO CUSTOMER-USD'!CH$4)/CV15/'02. Tỷ giá'!E$5," -")</f>
        <v xml:space="preserve"> -</v>
      </c>
      <c r="CI15" s="95" t="str">
        <f>IFERROR(SUMIFS('01. KE30'!$R:$R,'01. KE30'!$C:$C,'06. BC BH THEO CUSTOMER-USD'!$D15,'01. KE30'!$F:$F,'06. BC BH THEO CUSTOMER-USD'!$H15,'01. KE30'!$A:$A,'06. BC BH THEO CUSTOMER-USD'!CI$4)/CW15/'02. Tỷ giá'!F$5," -")</f>
        <v xml:space="preserve"> -</v>
      </c>
      <c r="CJ15" s="95" t="str">
        <f>IFERROR(SUMIFS('01. KE30'!$R:$R,'01. KE30'!$C:$C,'06. BC BH THEO CUSTOMER-USD'!$D15,'01. KE30'!$F:$F,'06. BC BH THEO CUSTOMER-USD'!$H15,'01. KE30'!$A:$A,'06. BC BH THEO CUSTOMER-USD'!CJ$4)/CX15/'02. Tỷ giá'!G$5," -")</f>
        <v xml:space="preserve"> -</v>
      </c>
      <c r="CK15" s="95" t="str">
        <f>IFERROR(SUMIFS('01. KE30'!$R:$R,'01. KE30'!$C:$C,'06. BC BH THEO CUSTOMER-USD'!$D15,'01. KE30'!$F:$F,'06. BC BH THEO CUSTOMER-USD'!$H15,'01. KE30'!$A:$A,'06. BC BH THEO CUSTOMER-USD'!CK$4)/CY15/'02. Tỷ giá'!H$5," -")</f>
        <v xml:space="preserve"> -</v>
      </c>
      <c r="CL15" s="95" t="str">
        <f>IFERROR(SUMIFS('01. KE30'!$R:$R,'01. KE30'!$C:$C,'06. BC BH THEO CUSTOMER-USD'!$D15,'01. KE30'!$F:$F,'06. BC BH THEO CUSTOMER-USD'!$H15,'01. KE30'!$A:$A,'06. BC BH THEO CUSTOMER-USD'!CL$4)/CZ15/'02. Tỷ giá'!I$5," -")</f>
        <v xml:space="preserve"> -</v>
      </c>
      <c r="CM15" s="95" t="str">
        <f>IFERROR(SUMIFS('01. KE30'!$R:$R,'01. KE30'!$C:$C,'06. BC BH THEO CUSTOMER-USD'!$D15,'01. KE30'!$F:$F,'06. BC BH THEO CUSTOMER-USD'!$H15,'01. KE30'!$A:$A,'06. BC BH THEO CUSTOMER-USD'!CM$4)/DA15/'02. Tỷ giá'!J$5," -")</f>
        <v xml:space="preserve"> -</v>
      </c>
      <c r="CN15" s="95" t="str">
        <f>IFERROR(SUMIFS('01. KE30'!$R:$R,'01. KE30'!$C:$C,'06. BC BH THEO CUSTOMER-USD'!$D15,'01. KE30'!$F:$F,'06. BC BH THEO CUSTOMER-USD'!$H15,'01. KE30'!$A:$A,'06. BC BH THEO CUSTOMER-USD'!CN$4)/DB15/'02. Tỷ giá'!K$5," -")</f>
        <v xml:space="preserve"> -</v>
      </c>
      <c r="CO15" s="95" t="str">
        <f>IFERROR(SUMIFS('01. KE30'!$R:$R,'01. KE30'!$C:$C,'06. BC BH THEO CUSTOMER-USD'!$D15,'01. KE30'!$F:$F,'06. BC BH THEO CUSTOMER-USD'!$H15,'01. KE30'!$A:$A,'06. BC BH THEO CUSTOMER-USD'!CO$4)/DC15/'02. Tỷ giá'!L$5," -")</f>
        <v xml:space="preserve"> -</v>
      </c>
      <c r="CP15" s="95" t="str">
        <f>IFERROR(SUMIFS('01. KE30'!$R:$R,'01. KE30'!$C:$C,'06. BC BH THEO CUSTOMER-USD'!$D15,'01. KE30'!$F:$F,'06. BC BH THEO CUSTOMER-USD'!$H15,'01. KE30'!$A:$A,'06. BC BH THEO CUSTOMER-USD'!CP$4)/DD15/'02. Tỷ giá'!M$5," -")</f>
        <v xml:space="preserve"> -</v>
      </c>
      <c r="CR15" s="112">
        <f t="shared" si="26"/>
        <v>0</v>
      </c>
      <c r="CS15" s="54">
        <f>SUMIFS('01. KE30'!$I:$I,'01. KE30'!$C:$C,'06. BC BH THEO CUSTOMER-USD'!$D15,'01. KE30'!$F:$F,'06. BC BH THEO CUSTOMER-USD'!$H15,'01. KE30'!$A:$A,'06. BC BH THEO CUSTOMER-USD'!CS$4)/1000</f>
        <v>0</v>
      </c>
      <c r="CT15" s="54">
        <f>SUMIFS('01. KE30'!$I:$I,'01. KE30'!$C:$C,'06. BC BH THEO CUSTOMER-USD'!$D15,'01. KE30'!$F:$F,'06. BC BH THEO CUSTOMER-USD'!$H15,'01. KE30'!$A:$A,'06. BC BH THEO CUSTOMER-USD'!CT$4)/1000</f>
        <v>0</v>
      </c>
      <c r="CU15" s="54">
        <f>SUMIFS('01. KE30'!$I:$I,'01. KE30'!$C:$C,'06. BC BH THEO CUSTOMER-USD'!$D15,'01. KE30'!$F:$F,'06. BC BH THEO CUSTOMER-USD'!$H15,'01. KE30'!$A:$A,'06. BC BH THEO CUSTOMER-USD'!CU$4)/1000</f>
        <v>0</v>
      </c>
      <c r="CV15" s="54">
        <f>SUMIFS('01. KE30'!$I:$I,'01. KE30'!$C:$C,'06. BC BH THEO CUSTOMER-USD'!$D15,'01. KE30'!$F:$F,'06. BC BH THEO CUSTOMER-USD'!$H15,'01. KE30'!$A:$A,'06. BC BH THEO CUSTOMER-USD'!CV$4)/1000</f>
        <v>0</v>
      </c>
      <c r="CW15" s="54">
        <f>SUMIFS('01. KE30'!$I:$I,'01. KE30'!$C:$C,'06. BC BH THEO CUSTOMER-USD'!$D15,'01. KE30'!$F:$F,'06. BC BH THEO CUSTOMER-USD'!$H15,'01. KE30'!$A:$A,'06. BC BH THEO CUSTOMER-USD'!CW$4)/1000</f>
        <v>0</v>
      </c>
      <c r="CX15" s="54">
        <f>SUMIFS('01. KE30'!$I:$I,'01. KE30'!$C:$C,'06. BC BH THEO CUSTOMER-USD'!$D15,'01. KE30'!$F:$F,'06. BC BH THEO CUSTOMER-USD'!$H15,'01. KE30'!$A:$A,'06. BC BH THEO CUSTOMER-USD'!CX$4)/1000</f>
        <v>0</v>
      </c>
      <c r="CY15" s="54">
        <f>SUMIFS('01. KE30'!$I:$I,'01. KE30'!$C:$C,'06. BC BH THEO CUSTOMER-USD'!$D15,'01. KE30'!$F:$F,'06. BC BH THEO CUSTOMER-USD'!$H15,'01. KE30'!$A:$A,'06. BC BH THEO CUSTOMER-USD'!CY$4)/1000</f>
        <v>0</v>
      </c>
      <c r="CZ15" s="54">
        <f>SUMIFS('01. KE30'!$I:$I,'01. KE30'!$C:$C,'06. BC BH THEO CUSTOMER-USD'!$D15,'01. KE30'!$F:$F,'06. BC BH THEO CUSTOMER-USD'!$H15,'01. KE30'!$A:$A,'06. BC BH THEO CUSTOMER-USD'!CZ$4)/1000</f>
        <v>0</v>
      </c>
      <c r="DA15" s="54">
        <f>SUMIFS('01. KE30'!$I:$I,'01. KE30'!$C:$C,'06. BC BH THEO CUSTOMER-USD'!$D15,'01. KE30'!$F:$F,'06. BC BH THEO CUSTOMER-USD'!$H15,'01. KE30'!$A:$A,'06. BC BH THEO CUSTOMER-USD'!DA$4)/1000</f>
        <v>0</v>
      </c>
      <c r="DB15" s="54">
        <f>SUMIFS('01. KE30'!$I:$I,'01. KE30'!$C:$C,'06. BC BH THEO CUSTOMER-USD'!$D15,'01. KE30'!$F:$F,'06. BC BH THEO CUSTOMER-USD'!$H15,'01. KE30'!$A:$A,'06. BC BH THEO CUSTOMER-USD'!DB$4)/1000</f>
        <v>0</v>
      </c>
      <c r="DC15" s="54">
        <f>SUMIFS('01. KE30'!$I:$I,'01. KE30'!$C:$C,'06. BC BH THEO CUSTOMER-USD'!$D15,'01. KE30'!$F:$F,'06. BC BH THEO CUSTOMER-USD'!$H15,'01. KE30'!$A:$A,'06. BC BH THEO CUSTOMER-USD'!DC$4)/1000</f>
        <v>0</v>
      </c>
      <c r="DD15" s="54">
        <f>SUMIFS('01. KE30'!$I:$I,'01. KE30'!$C:$C,'06. BC BH THEO CUSTOMER-USD'!$D15,'01. KE30'!$F:$F,'06. BC BH THEO CUSTOMER-USD'!$H15,'01. KE30'!$A:$A,'06. BC BH THEO CUSTOMER-USD'!DD$4)/1000</f>
        <v>0</v>
      </c>
      <c r="DF15" s="112">
        <f t="shared" si="27"/>
        <v>0</v>
      </c>
      <c r="DG15" s="54" t="str">
        <f t="shared" si="48"/>
        <v>-</v>
      </c>
      <c r="DH15" s="54" t="str">
        <f t="shared" si="49"/>
        <v>-</v>
      </c>
      <c r="DI15" s="54" t="str">
        <f t="shared" si="50"/>
        <v>-</v>
      </c>
      <c r="DJ15" s="54" t="str">
        <f t="shared" si="51"/>
        <v>-</v>
      </c>
      <c r="DK15" s="54" t="str">
        <f t="shared" si="52"/>
        <v>-</v>
      </c>
      <c r="DL15" s="54" t="str">
        <f t="shared" si="53"/>
        <v>-</v>
      </c>
      <c r="DM15" s="54" t="str">
        <f t="shared" si="54"/>
        <v>-</v>
      </c>
      <c r="DN15" s="54" t="str">
        <f t="shared" si="55"/>
        <v>-</v>
      </c>
      <c r="DO15" s="54" t="str">
        <f t="shared" si="56"/>
        <v>-</v>
      </c>
      <c r="DP15" s="54" t="str">
        <f t="shared" si="57"/>
        <v>-</v>
      </c>
      <c r="DQ15" s="54" t="str">
        <f t="shared" si="58"/>
        <v>-</v>
      </c>
      <c r="DR15" s="54" t="str">
        <f t="shared" si="59"/>
        <v>-</v>
      </c>
      <c r="DT15" s="112">
        <f t="shared" si="60"/>
        <v>0</v>
      </c>
      <c r="DU15" s="114">
        <f>IFERROR(SUMIFS('01. KE30'!$X:$X,'01. KE30'!$C:$C,'06. BC BH THEO CUSTOMER-USD'!$D15,'01. KE30'!$F:$F,'06. BC BH THEO CUSTOMER-USD'!$H15,'01. KE30'!$A:$A,'06. BC BH THEO CUSTOMER-USD'!DU$4)-SUMIFS('01. KE30'!$AA:$AA,'01. KE30'!$C:$C,'06. BC BH THEO CUSTOMER-USD'!$D15,'01. KE30'!$F:$F,'06. BC BH THEO CUSTOMER-USD'!$H15,'01. KE30'!$A:$A,'06. BC BH THEO CUSTOMER-USD'!DU$4),"-")</f>
        <v>0</v>
      </c>
      <c r="DV15" s="114">
        <f>IFERROR(SUMIFS('01. KE30'!$X:$X,'01. KE30'!$C:$C,'06. BC BH THEO CUSTOMER-USD'!$D15,'01. KE30'!$F:$F,'06. BC BH THEO CUSTOMER-USD'!$H15,'01. KE30'!$A:$A,'06. BC BH THEO CUSTOMER-USD'!DV$4)-SUMIFS('01. KE30'!$AA:$AA,'01. KE30'!$C:$C,'06. BC BH THEO CUSTOMER-USD'!$D15,'01. KE30'!$F:$F,'06. BC BH THEO CUSTOMER-USD'!$H15,'01. KE30'!$A:$A,'06. BC BH THEO CUSTOMER-USD'!DV$4),"-")</f>
        <v>0</v>
      </c>
      <c r="DW15" s="114">
        <f>IFERROR(SUMIFS('01. KE30'!$X:$X,'01. KE30'!$C:$C,'06. BC BH THEO CUSTOMER-USD'!$D15,'01. KE30'!$F:$F,'06. BC BH THEO CUSTOMER-USD'!$H15,'01. KE30'!$A:$A,'06. BC BH THEO CUSTOMER-USD'!DW$4)-SUMIFS('01. KE30'!$AA:$AA,'01. KE30'!$C:$C,'06. BC BH THEO CUSTOMER-USD'!$D15,'01. KE30'!$F:$F,'06. BC BH THEO CUSTOMER-USD'!$H15,'01. KE30'!$A:$A,'06. BC BH THEO CUSTOMER-USD'!DW$4),"-")</f>
        <v>0</v>
      </c>
      <c r="DX15" s="114">
        <f>IFERROR(SUMIFS('01. KE30'!$X:$X,'01. KE30'!$C:$C,'06. BC BH THEO CUSTOMER-USD'!$D15,'01. KE30'!$F:$F,'06. BC BH THEO CUSTOMER-USD'!$H15,'01. KE30'!$A:$A,'06. BC BH THEO CUSTOMER-USD'!DX$4)-SUMIFS('01. KE30'!$AA:$AA,'01. KE30'!$C:$C,'06. BC BH THEO CUSTOMER-USD'!$D15,'01. KE30'!$F:$F,'06. BC BH THEO CUSTOMER-USD'!$H15,'01. KE30'!$A:$A,'06. BC BH THEO CUSTOMER-USD'!DX$4),"-")</f>
        <v>0</v>
      </c>
      <c r="DY15" s="114">
        <f>IFERROR(SUMIFS('01. KE30'!$X:$X,'01. KE30'!$C:$C,'06. BC BH THEO CUSTOMER-USD'!$D15,'01. KE30'!$F:$F,'06. BC BH THEO CUSTOMER-USD'!$H15,'01. KE30'!$A:$A,'06. BC BH THEO CUSTOMER-USD'!DY$4)-SUMIFS('01. KE30'!$AA:$AA,'01. KE30'!$C:$C,'06. BC BH THEO CUSTOMER-USD'!$D15,'01. KE30'!$F:$F,'06. BC BH THEO CUSTOMER-USD'!$H15,'01. KE30'!$A:$A,'06. BC BH THEO CUSTOMER-USD'!DY$4),"-")</f>
        <v>0</v>
      </c>
      <c r="DZ15" s="114">
        <f>IFERROR(SUMIFS('01. KE30'!$X:$X,'01. KE30'!$C:$C,'06. BC BH THEO CUSTOMER-USD'!$D15,'01. KE30'!$F:$F,'06. BC BH THEO CUSTOMER-USD'!$H15,'01. KE30'!$A:$A,'06. BC BH THEO CUSTOMER-USD'!DZ$4)-SUMIFS('01. KE30'!$AA:$AA,'01. KE30'!$C:$C,'06. BC BH THEO CUSTOMER-USD'!$D15,'01. KE30'!$F:$F,'06. BC BH THEO CUSTOMER-USD'!$H15,'01. KE30'!$A:$A,'06. BC BH THEO CUSTOMER-USD'!DZ$4),"-")</f>
        <v>0</v>
      </c>
      <c r="EA15" s="114">
        <f>IFERROR(SUMIFS('01. KE30'!$X:$X,'01. KE30'!$C:$C,'06. BC BH THEO CUSTOMER-USD'!$D15,'01. KE30'!$F:$F,'06. BC BH THEO CUSTOMER-USD'!$H15,'01. KE30'!$A:$A,'06. BC BH THEO CUSTOMER-USD'!EA$4)-SUMIFS('01. KE30'!$AA:$AA,'01. KE30'!$C:$C,'06. BC BH THEO CUSTOMER-USD'!$D15,'01. KE30'!$F:$F,'06. BC BH THEO CUSTOMER-USD'!$H15,'01. KE30'!$A:$A,'06. BC BH THEO CUSTOMER-USD'!EA$4),"-")</f>
        <v>0</v>
      </c>
      <c r="EB15" s="114">
        <f>IFERROR(SUMIFS('01. KE30'!$X:$X,'01. KE30'!$C:$C,'06. BC BH THEO CUSTOMER-USD'!$D15,'01. KE30'!$F:$F,'06. BC BH THEO CUSTOMER-USD'!$H15,'01. KE30'!$A:$A,'06. BC BH THEO CUSTOMER-USD'!EB$4)-SUMIFS('01. KE30'!$AA:$AA,'01. KE30'!$C:$C,'06. BC BH THEO CUSTOMER-USD'!$D15,'01. KE30'!$F:$F,'06. BC BH THEO CUSTOMER-USD'!$H15,'01. KE30'!$A:$A,'06. BC BH THEO CUSTOMER-USD'!EB$4),"-")</f>
        <v>0</v>
      </c>
      <c r="EC15" s="114">
        <f>IFERROR(SUMIFS('01. KE30'!$X:$X,'01. KE30'!$C:$C,'06. BC BH THEO CUSTOMER-USD'!$D15,'01. KE30'!$F:$F,'06. BC BH THEO CUSTOMER-USD'!$H15,'01. KE30'!$A:$A,'06. BC BH THEO CUSTOMER-USD'!EC$4)-SUMIFS('01. KE30'!$AA:$AA,'01. KE30'!$C:$C,'06. BC BH THEO CUSTOMER-USD'!$D15,'01. KE30'!$F:$F,'06. BC BH THEO CUSTOMER-USD'!$H15,'01. KE30'!$A:$A,'06. BC BH THEO CUSTOMER-USD'!EC$4),"-")</f>
        <v>0</v>
      </c>
      <c r="ED15" s="114">
        <f>IFERROR(SUMIFS('01. KE30'!$X:$X,'01. KE30'!$C:$C,'06. BC BH THEO CUSTOMER-USD'!$D15,'01. KE30'!$F:$F,'06. BC BH THEO CUSTOMER-USD'!$H15,'01. KE30'!$A:$A,'06. BC BH THEO CUSTOMER-USD'!ED$4)-SUMIFS('01. KE30'!$AA:$AA,'01. KE30'!$C:$C,'06. BC BH THEO CUSTOMER-USD'!$D15,'01. KE30'!$F:$F,'06. BC BH THEO CUSTOMER-USD'!$H15,'01. KE30'!$A:$A,'06. BC BH THEO CUSTOMER-USD'!ED$4),"-")</f>
        <v>0</v>
      </c>
      <c r="EE15" s="114">
        <f>IFERROR(SUMIFS('01. KE30'!$X:$X,'01. KE30'!$C:$C,'06. BC BH THEO CUSTOMER-USD'!$D15,'01. KE30'!$F:$F,'06. BC BH THEO CUSTOMER-USD'!$H15,'01. KE30'!$A:$A,'06. BC BH THEO CUSTOMER-USD'!EE$4)-SUMIFS('01. KE30'!$AA:$AA,'01. KE30'!$C:$C,'06. BC BH THEO CUSTOMER-USD'!$D15,'01. KE30'!$F:$F,'06. BC BH THEO CUSTOMER-USD'!$H15,'01. KE30'!$A:$A,'06. BC BH THEO CUSTOMER-USD'!EE$4),"-")</f>
        <v>0</v>
      </c>
      <c r="EF15" s="114">
        <f>IFERROR(SUMIFS('01. KE30'!$X:$X,'01. KE30'!$C:$C,'06. BC BH THEO CUSTOMER-USD'!$D15,'01. KE30'!$F:$F,'06. BC BH THEO CUSTOMER-USD'!$H15,'01. KE30'!$A:$A,'06. BC BH THEO CUSTOMER-USD'!EF$4)-SUMIFS('01. KE30'!$AA:$AA,'01. KE30'!$C:$C,'06. BC BH THEO CUSTOMER-USD'!$D15,'01. KE30'!$F:$F,'06. BC BH THEO CUSTOMER-USD'!$H15,'01. KE30'!$A:$A,'06. BC BH THEO CUSTOMER-USD'!EF$4),"-")</f>
        <v>0</v>
      </c>
      <c r="EH15" s="571" t="str">
        <f t="shared" si="29"/>
        <v>-</v>
      </c>
      <c r="EI15" s="572" t="str">
        <f t="shared" si="30"/>
        <v>-</v>
      </c>
      <c r="EJ15" s="572" t="str">
        <f t="shared" si="31"/>
        <v>-</v>
      </c>
      <c r="EK15" s="572" t="str">
        <f t="shared" si="32"/>
        <v>-</v>
      </c>
      <c r="EL15" s="572" t="str">
        <f t="shared" si="33"/>
        <v>-</v>
      </c>
      <c r="EM15" s="572" t="str">
        <f t="shared" si="34"/>
        <v>-</v>
      </c>
      <c r="EN15" s="572" t="str">
        <f t="shared" si="35"/>
        <v>-</v>
      </c>
      <c r="EO15" s="572" t="str">
        <f t="shared" si="36"/>
        <v>-</v>
      </c>
      <c r="EP15" s="572" t="str">
        <f t="shared" si="37"/>
        <v>-</v>
      </c>
      <c r="EQ15" s="572" t="str">
        <f t="shared" si="38"/>
        <v>-</v>
      </c>
      <c r="ER15" s="572" t="str">
        <f t="shared" si="39"/>
        <v>-</v>
      </c>
      <c r="ES15" s="572" t="str">
        <f t="shared" si="40"/>
        <v>-</v>
      </c>
      <c r="ET15" s="572" t="str">
        <f t="shared" si="41"/>
        <v>-</v>
      </c>
    </row>
    <row r="16" spans="1:150" s="24" customFormat="1" ht="15.5" hidden="1" outlineLevel="1" x14ac:dyDescent="0.35">
      <c r="A16" s="27">
        <f t="shared" si="63"/>
        <v>11</v>
      </c>
      <c r="B16" s="27" t="s">
        <v>283</v>
      </c>
      <c r="C16" s="442" t="s">
        <v>572</v>
      </c>
      <c r="D16" s="23" t="s">
        <v>150</v>
      </c>
      <c r="E16" s="12" t="s">
        <v>149</v>
      </c>
      <c r="F16" s="12" t="s">
        <v>245</v>
      </c>
      <c r="G16" s="12" t="str">
        <f>_xlfn.XLOOKUP(F16,'Quy đổi'!$G$5:$G$32,'Quy đổi'!$H$5:$H$32,0)</f>
        <v>Nội địa</v>
      </c>
      <c r="H16" s="76" t="s">
        <v>122</v>
      </c>
      <c r="I16" s="28" t="s">
        <v>121</v>
      </c>
      <c r="J16" s="13" t="s">
        <v>22</v>
      </c>
      <c r="K16" s="11"/>
      <c r="L16" s="92">
        <f t="shared" si="42"/>
        <v>1310.9749498193496</v>
      </c>
      <c r="M16" s="106">
        <f>IFERROR(SUMIFS('01. KE30'!$K:$K,'01. KE30'!$C:$C,'06. BC BH THEO CUSTOMER-USD'!$D16,'01. KE30'!$F:$F,'06. BC BH THEO CUSTOMER-USD'!$H16,'01. KE30'!$A:$A,'06. BC BH THEO CUSTOMER-USD'!M$4)/'06. BC BH THEO CUSTOMER-USD'!CS16/'02. Tỷ giá'!B$5,"-")</f>
        <v>1310.9749498193496</v>
      </c>
      <c r="N16" s="106" t="str">
        <f>IFERROR(SUMIFS('01. KE30'!$K:$K,'01. KE30'!$C:$C,'06. BC BH THEO CUSTOMER-USD'!$D16,'01. KE30'!$F:$F,'06. BC BH THEO CUSTOMER-USD'!$H16,'01. KE30'!$A:$A,'06. BC BH THEO CUSTOMER-USD'!N$4)/'06. BC BH THEO CUSTOMER-USD'!CT16/'02. Tỷ giá'!C$5,"-")</f>
        <v>-</v>
      </c>
      <c r="O16" s="106" t="str">
        <f>IFERROR(SUMIFS('01. KE30'!$K:$K,'01. KE30'!$C:$C,'06. BC BH THEO CUSTOMER-USD'!$D16,'01. KE30'!$F:$F,'06. BC BH THEO CUSTOMER-USD'!$H16,'01. KE30'!$A:$A,'06. BC BH THEO CUSTOMER-USD'!O$4)/'06. BC BH THEO CUSTOMER-USD'!CU16/'02. Tỷ giá'!D$5,"-")</f>
        <v>-</v>
      </c>
      <c r="P16" s="106" t="str">
        <f>IFERROR(SUMIFS('01. KE30'!$K:$K,'01. KE30'!$C:$C,'06. BC BH THEO CUSTOMER-USD'!$D16,'01. KE30'!$F:$F,'06. BC BH THEO CUSTOMER-USD'!$H16,'01. KE30'!$A:$A,'06. BC BH THEO CUSTOMER-USD'!P$4)/'06. BC BH THEO CUSTOMER-USD'!CV16/'02. Tỷ giá'!E$5,"-")</f>
        <v>-</v>
      </c>
      <c r="Q16" s="106" t="str">
        <f>IFERROR(SUMIFS('01. KE30'!$K:$K,'01. KE30'!$C:$C,'06. BC BH THEO CUSTOMER-USD'!$D16,'01. KE30'!$F:$F,'06. BC BH THEO CUSTOMER-USD'!$H16,'01. KE30'!$A:$A,'06. BC BH THEO CUSTOMER-USD'!Q$4)/'06. BC BH THEO CUSTOMER-USD'!CW16/'02. Tỷ giá'!F$5,"-")</f>
        <v>-</v>
      </c>
      <c r="R16" s="106" t="str">
        <f>IFERROR(SUMIFS('01. KE30'!$K:$K,'01. KE30'!$C:$C,'06. BC BH THEO CUSTOMER-USD'!$D16,'01. KE30'!$F:$F,'06. BC BH THEO CUSTOMER-USD'!$H16,'01. KE30'!$A:$A,'06. BC BH THEO CUSTOMER-USD'!R$4)/'06. BC BH THEO CUSTOMER-USD'!CX16/'02. Tỷ giá'!G$5,"-")</f>
        <v>-</v>
      </c>
      <c r="S16" s="106" t="str">
        <f>IFERROR(SUMIFS('01. KE30'!$K:$K,'01. KE30'!$C:$C,'06. BC BH THEO CUSTOMER-USD'!$D16,'01. KE30'!$F:$F,'06. BC BH THEO CUSTOMER-USD'!$H16,'01. KE30'!$A:$A,'06. BC BH THEO CUSTOMER-USD'!S$4)/'06. BC BH THEO CUSTOMER-USD'!CY16/'02. Tỷ giá'!H$5,"-")</f>
        <v>-</v>
      </c>
      <c r="T16" s="106" t="str">
        <f>IFERROR(SUMIFS('01. KE30'!$K:$K,'01. KE30'!$C:$C,'06. BC BH THEO CUSTOMER-USD'!$D16,'01. KE30'!$F:$F,'06. BC BH THEO CUSTOMER-USD'!$H16,'01. KE30'!$A:$A,'06. BC BH THEO CUSTOMER-USD'!T$4)/'06. BC BH THEO CUSTOMER-USD'!CZ16/'02. Tỷ giá'!I$5,"-")</f>
        <v>-</v>
      </c>
      <c r="U16" s="106" t="str">
        <f>IFERROR(SUMIFS('01. KE30'!$K:$K,'01. KE30'!$C:$C,'06. BC BH THEO CUSTOMER-USD'!$D16,'01. KE30'!$F:$F,'06. BC BH THEO CUSTOMER-USD'!$H16,'01. KE30'!$A:$A,'06. BC BH THEO CUSTOMER-USD'!U$4)/'06. BC BH THEO CUSTOMER-USD'!DA16/'02. Tỷ giá'!J$5,"-")</f>
        <v>-</v>
      </c>
      <c r="V16" s="106" t="str">
        <f>IFERROR(SUMIFS('01. KE30'!$K:$K,'01. KE30'!$C:$C,'06. BC BH THEO CUSTOMER-USD'!$D16,'01. KE30'!$F:$F,'06. BC BH THEO CUSTOMER-USD'!$H16,'01. KE30'!$A:$A,'06. BC BH THEO CUSTOMER-USD'!V$4)/'06. BC BH THEO CUSTOMER-USD'!DB16/'02. Tỷ giá'!K$5,"-")</f>
        <v>-</v>
      </c>
      <c r="W16" s="106" t="str">
        <f>IFERROR(SUMIFS('01. KE30'!$K:$K,'01. KE30'!$C:$C,'06. BC BH THEO CUSTOMER-USD'!$D16,'01. KE30'!$F:$F,'06. BC BH THEO CUSTOMER-USD'!$H16,'01. KE30'!$A:$A,'06. BC BH THEO CUSTOMER-USD'!W$4)/'06. BC BH THEO CUSTOMER-USD'!DC16/'02. Tỷ giá'!L$5,"-")</f>
        <v>-</v>
      </c>
      <c r="X16" s="106" t="str">
        <f>IFERROR(SUMIFS('01. KE30'!$K:$K,'01. KE30'!$C:$C,'06. BC BH THEO CUSTOMER-USD'!$D16,'01. KE30'!$F:$F,'06. BC BH THEO CUSTOMER-USD'!$H16,'01. KE30'!$A:$A,'06. BC BH THEO CUSTOMER-USD'!X$4)/'06. BC BH THEO CUSTOMER-USD'!DD16/'02. Tỷ giá'!M$5,"-")</f>
        <v>-</v>
      </c>
      <c r="Z16" s="92">
        <f t="shared" si="43"/>
        <v>1310.9749498193496</v>
      </c>
      <c r="AA16" s="147">
        <f>IFERROR(SUMIFS('01. KE30'!$O:$O,'01. KE30'!$C:$C,'06. BC BH THEO CUSTOMER-USD'!$D16,'01. KE30'!$F:$F,'06. BC BH THEO CUSTOMER-USD'!$H16,'01. KE30'!$A:$A,'06. BC BH THEO CUSTOMER-USD'!M$4)/'06. BC BH THEO CUSTOMER-USD'!CS16/'02. Tỷ giá'!B$5,"-")</f>
        <v>1310.9749498193496</v>
      </c>
      <c r="AB16" s="147" t="str">
        <f>IFERROR(SUMIFS('01. KE30'!$O:$O,'01. KE30'!$C:$C,'06. BC BH THEO CUSTOMER-USD'!$D16,'01. KE30'!$F:$F,'06. BC BH THEO CUSTOMER-USD'!$H16,'01. KE30'!$A:$A,'06. BC BH THEO CUSTOMER-USD'!N$4)/'06. BC BH THEO CUSTOMER-USD'!CT16/'02. Tỷ giá'!C$5,"-")</f>
        <v>-</v>
      </c>
      <c r="AC16" s="147" t="str">
        <f>IFERROR(SUMIFS('01. KE30'!$O:$O,'01. KE30'!$C:$C,'06. BC BH THEO CUSTOMER-USD'!$D16,'01. KE30'!$F:$F,'06. BC BH THEO CUSTOMER-USD'!$H16,'01. KE30'!$A:$A,'06. BC BH THEO CUSTOMER-USD'!O$4)/'06. BC BH THEO CUSTOMER-USD'!CU16/'02. Tỷ giá'!D$5,"-")</f>
        <v>-</v>
      </c>
      <c r="AD16" s="147" t="str">
        <f>IFERROR(SUMIFS('01. KE30'!$O:$O,'01. KE30'!$C:$C,'06. BC BH THEO CUSTOMER-USD'!$D16,'01. KE30'!$F:$F,'06. BC BH THEO CUSTOMER-USD'!$H16,'01. KE30'!$A:$A,'06. BC BH THEO CUSTOMER-USD'!P$4)/'06. BC BH THEO CUSTOMER-USD'!CV16/'02. Tỷ giá'!E$5,"-")</f>
        <v>-</v>
      </c>
      <c r="AE16" s="147" t="str">
        <f>IFERROR(SUMIFS('01. KE30'!$O:$O,'01. KE30'!$C:$C,'06. BC BH THEO CUSTOMER-USD'!$D16,'01. KE30'!$F:$F,'06. BC BH THEO CUSTOMER-USD'!$H16,'01. KE30'!$A:$A,'06. BC BH THEO CUSTOMER-USD'!Q$4)/'06. BC BH THEO CUSTOMER-USD'!CW16/'02. Tỷ giá'!F$5,"-")</f>
        <v>-</v>
      </c>
      <c r="AF16" s="147" t="str">
        <f>IFERROR(SUMIFS('01. KE30'!$O:$O,'01. KE30'!$C:$C,'06. BC BH THEO CUSTOMER-USD'!$D16,'01. KE30'!$F:$F,'06. BC BH THEO CUSTOMER-USD'!$H16,'01. KE30'!$A:$A,'06. BC BH THEO CUSTOMER-USD'!R$4)/'06. BC BH THEO CUSTOMER-USD'!CX16/'02. Tỷ giá'!G$5,"-")</f>
        <v>-</v>
      </c>
      <c r="AG16" s="147" t="str">
        <f>IFERROR(SUMIFS('01. KE30'!$O:$O,'01. KE30'!$C:$C,'06. BC BH THEO CUSTOMER-USD'!$D16,'01. KE30'!$F:$F,'06. BC BH THEO CUSTOMER-USD'!$H16,'01. KE30'!$A:$A,'06. BC BH THEO CUSTOMER-USD'!S$4)/'06. BC BH THEO CUSTOMER-USD'!CY16/'02. Tỷ giá'!H$5,"-")</f>
        <v>-</v>
      </c>
      <c r="AH16" s="147" t="str">
        <f>IFERROR(SUMIFS('01. KE30'!$O:$O,'01. KE30'!$C:$C,'06. BC BH THEO CUSTOMER-USD'!$D16,'01. KE30'!$F:$F,'06. BC BH THEO CUSTOMER-USD'!$H16,'01. KE30'!$A:$A,'06. BC BH THEO CUSTOMER-USD'!T$4)/'06. BC BH THEO CUSTOMER-USD'!CZ16/'02. Tỷ giá'!I$5,"-")</f>
        <v>-</v>
      </c>
      <c r="AI16" s="147" t="str">
        <f>IFERROR(SUMIFS('01. KE30'!$O:$O,'01. KE30'!$C:$C,'06. BC BH THEO CUSTOMER-USD'!$D16,'01. KE30'!$F:$F,'06. BC BH THEO CUSTOMER-USD'!$H16,'01. KE30'!$A:$A,'06. BC BH THEO CUSTOMER-USD'!U$4)/'06. BC BH THEO CUSTOMER-USD'!DA16/'02. Tỷ giá'!J$5,"-")</f>
        <v>-</v>
      </c>
      <c r="AJ16" s="147" t="str">
        <f>IFERROR(SUMIFS('01. KE30'!$O:$O,'01. KE30'!$C:$C,'06. BC BH THEO CUSTOMER-USD'!$D16,'01. KE30'!$F:$F,'06. BC BH THEO CUSTOMER-USD'!$H16,'01. KE30'!$A:$A,'06. BC BH THEO CUSTOMER-USD'!V$4)/'06. BC BH THEO CUSTOMER-USD'!DB16/'02. Tỷ giá'!K$5,"-")</f>
        <v>-</v>
      </c>
      <c r="AK16" s="147" t="str">
        <f>IFERROR(SUMIFS('01. KE30'!$O:$O,'01. KE30'!$C:$C,'06. BC BH THEO CUSTOMER-USD'!$D16,'01. KE30'!$F:$F,'06. BC BH THEO CUSTOMER-USD'!$H16,'01. KE30'!$A:$A,'06. BC BH THEO CUSTOMER-USD'!W$4)/'06. BC BH THEO CUSTOMER-USD'!DC16/'02. Tỷ giá'!L$5,"-")</f>
        <v>-</v>
      </c>
      <c r="AL16" s="147" t="str">
        <f>IFERROR(SUMIFS('01. KE30'!$O:$O,'01. KE30'!$C:$C,'06. BC BH THEO CUSTOMER-USD'!$D16,'01. KE30'!$F:$F,'06. BC BH THEO CUSTOMER-USD'!$H16,'01. KE30'!$A:$A,'06. BC BH THEO CUSTOMER-USD'!X$4)/'06. BC BH THEO CUSTOMER-USD'!DD16/'02. Tỷ giá'!M$5,"-")</f>
        <v>-</v>
      </c>
      <c r="AN16" s="92">
        <f t="shared" si="44"/>
        <v>1236.6666666666667</v>
      </c>
      <c r="AO16" s="25">
        <v>1230</v>
      </c>
      <c r="AP16" s="25">
        <v>1230</v>
      </c>
      <c r="AQ16" s="25">
        <v>1230</v>
      </c>
      <c r="AR16" s="25">
        <f>AQ16+20</f>
        <v>1250</v>
      </c>
      <c r="AS16" s="25">
        <v>1250</v>
      </c>
      <c r="AT16" s="25">
        <v>1250</v>
      </c>
      <c r="AU16" s="25">
        <v>1250</v>
      </c>
      <c r="AV16" s="4">
        <f t="shared" si="66"/>
        <v>1220</v>
      </c>
      <c r="AW16" s="25">
        <v>1220</v>
      </c>
      <c r="AX16" s="25"/>
      <c r="AY16" s="25"/>
      <c r="AZ16" s="25"/>
      <c r="BB16" s="95">
        <f t="shared" si="45"/>
        <v>74.308283152682861</v>
      </c>
      <c r="BC16" s="95">
        <f t="shared" si="46"/>
        <v>80.974949819349604</v>
      </c>
      <c r="BD16" s="95" t="str">
        <f t="shared" si="6"/>
        <v>-</v>
      </c>
      <c r="BE16" s="95" t="str">
        <f t="shared" si="6"/>
        <v>-</v>
      </c>
      <c r="BF16" s="95" t="str">
        <f t="shared" si="6"/>
        <v>-</v>
      </c>
      <c r="BG16" s="95" t="str">
        <f t="shared" si="6"/>
        <v>-</v>
      </c>
      <c r="BH16" s="95" t="str">
        <f t="shared" si="6"/>
        <v>-</v>
      </c>
      <c r="BI16" s="95" t="str">
        <f t="shared" si="6"/>
        <v>-</v>
      </c>
      <c r="BJ16" s="95" t="str">
        <f t="shared" si="6"/>
        <v>-</v>
      </c>
      <c r="BK16" s="95" t="str">
        <f t="shared" si="6"/>
        <v>-</v>
      </c>
      <c r="BL16" s="95" t="str">
        <f t="shared" si="6"/>
        <v>-</v>
      </c>
      <c r="BM16" s="95" t="str">
        <f t="shared" si="6"/>
        <v>-</v>
      </c>
      <c r="BN16" s="95" t="str">
        <f t="shared" si="6"/>
        <v>-</v>
      </c>
      <c r="BP16" s="143">
        <f t="shared" si="47"/>
        <v>6.0087560500821716E-2</v>
      </c>
      <c r="BQ16" s="143">
        <f t="shared" si="8"/>
        <v>6.583329253605659E-2</v>
      </c>
      <c r="BR16" s="143" t="str">
        <f t="shared" si="9"/>
        <v>-</v>
      </c>
      <c r="BS16" s="143" t="str">
        <f t="shared" si="10"/>
        <v>-</v>
      </c>
      <c r="BT16" s="143" t="str">
        <f t="shared" si="11"/>
        <v>-</v>
      </c>
      <c r="BU16" s="143" t="str">
        <f t="shared" si="12"/>
        <v>-</v>
      </c>
      <c r="BV16" s="143" t="str">
        <f t="shared" si="13"/>
        <v>-</v>
      </c>
      <c r="BW16" s="143" t="str">
        <f t="shared" si="14"/>
        <v>-</v>
      </c>
      <c r="BX16" s="143" t="str">
        <f t="shared" si="15"/>
        <v>-</v>
      </c>
      <c r="BY16" s="143" t="str">
        <f t="shared" si="16"/>
        <v>-</v>
      </c>
      <c r="BZ16" s="143" t="str">
        <f t="shared" si="17"/>
        <v>-</v>
      </c>
      <c r="CA16" s="143" t="str">
        <f t="shared" si="18"/>
        <v>-</v>
      </c>
      <c r="CB16" s="143" t="str">
        <f t="shared" si="19"/>
        <v>-</v>
      </c>
      <c r="CD16" s="112">
        <f t="shared" si="25"/>
        <v>1141.217273092223</v>
      </c>
      <c r="CE16" s="95">
        <f>IFERROR(SUMIFS('01. KE30'!$R:$R,'01. KE30'!$C:$C,'06. BC BH THEO CUSTOMER-USD'!$D16,'01. KE30'!$F:$F,'06. BC BH THEO CUSTOMER-USD'!$H16,'01. KE30'!$A:$A,'06. BC BH THEO CUSTOMER-USD'!CE$4)/CS16/'02. Tỷ giá'!B$5," -")</f>
        <v>1141.217273092223</v>
      </c>
      <c r="CF16" s="95" t="str">
        <f>IFERROR(SUMIFS('01. KE30'!$R:$R,'01. KE30'!$C:$C,'06. BC BH THEO CUSTOMER-USD'!$D16,'01. KE30'!$F:$F,'06. BC BH THEO CUSTOMER-USD'!$H16,'01. KE30'!$A:$A,'06. BC BH THEO CUSTOMER-USD'!CF$4)/CT16/'02. Tỷ giá'!C$5," -")</f>
        <v xml:space="preserve"> -</v>
      </c>
      <c r="CG16" s="95" t="str">
        <f>IFERROR(SUMIFS('01. KE30'!$R:$R,'01. KE30'!$C:$C,'06. BC BH THEO CUSTOMER-USD'!$D16,'01. KE30'!$F:$F,'06. BC BH THEO CUSTOMER-USD'!$H16,'01. KE30'!$A:$A,'06. BC BH THEO CUSTOMER-USD'!CG$4)/CU16/'02. Tỷ giá'!D$5," -")</f>
        <v xml:space="preserve"> -</v>
      </c>
      <c r="CH16" s="95" t="str">
        <f>IFERROR(SUMIFS('01. KE30'!$R:$R,'01. KE30'!$C:$C,'06. BC BH THEO CUSTOMER-USD'!$D16,'01. KE30'!$F:$F,'06. BC BH THEO CUSTOMER-USD'!$H16,'01. KE30'!$A:$A,'06. BC BH THEO CUSTOMER-USD'!CH$4)/CV16/'02. Tỷ giá'!E$5," -")</f>
        <v xml:space="preserve"> -</v>
      </c>
      <c r="CI16" s="95" t="str">
        <f>IFERROR(SUMIFS('01. KE30'!$R:$R,'01. KE30'!$C:$C,'06. BC BH THEO CUSTOMER-USD'!$D16,'01. KE30'!$F:$F,'06. BC BH THEO CUSTOMER-USD'!$H16,'01. KE30'!$A:$A,'06. BC BH THEO CUSTOMER-USD'!CI$4)/CW16/'02. Tỷ giá'!F$5," -")</f>
        <v xml:space="preserve"> -</v>
      </c>
      <c r="CJ16" s="95" t="str">
        <f>IFERROR(SUMIFS('01. KE30'!$R:$R,'01. KE30'!$C:$C,'06. BC BH THEO CUSTOMER-USD'!$D16,'01. KE30'!$F:$F,'06. BC BH THEO CUSTOMER-USD'!$H16,'01. KE30'!$A:$A,'06. BC BH THEO CUSTOMER-USD'!CJ$4)/CX16/'02. Tỷ giá'!G$5," -")</f>
        <v xml:space="preserve"> -</v>
      </c>
      <c r="CK16" s="95" t="str">
        <f>IFERROR(SUMIFS('01. KE30'!$R:$R,'01. KE30'!$C:$C,'06. BC BH THEO CUSTOMER-USD'!$D16,'01. KE30'!$F:$F,'06. BC BH THEO CUSTOMER-USD'!$H16,'01. KE30'!$A:$A,'06. BC BH THEO CUSTOMER-USD'!CK$4)/CY16/'02. Tỷ giá'!H$5," -")</f>
        <v xml:space="preserve"> -</v>
      </c>
      <c r="CL16" s="95" t="str">
        <f>IFERROR(SUMIFS('01. KE30'!$R:$R,'01. KE30'!$C:$C,'06. BC BH THEO CUSTOMER-USD'!$D16,'01. KE30'!$F:$F,'06. BC BH THEO CUSTOMER-USD'!$H16,'01. KE30'!$A:$A,'06. BC BH THEO CUSTOMER-USD'!CL$4)/CZ16/'02. Tỷ giá'!I$5," -")</f>
        <v xml:space="preserve"> -</v>
      </c>
      <c r="CM16" s="95" t="str">
        <f>IFERROR(SUMIFS('01. KE30'!$R:$R,'01. KE30'!$C:$C,'06. BC BH THEO CUSTOMER-USD'!$D16,'01. KE30'!$F:$F,'06. BC BH THEO CUSTOMER-USD'!$H16,'01. KE30'!$A:$A,'06. BC BH THEO CUSTOMER-USD'!CM$4)/DA16/'02. Tỷ giá'!J$5," -")</f>
        <v xml:space="preserve"> -</v>
      </c>
      <c r="CN16" s="95" t="str">
        <f>IFERROR(SUMIFS('01. KE30'!$R:$R,'01. KE30'!$C:$C,'06. BC BH THEO CUSTOMER-USD'!$D16,'01. KE30'!$F:$F,'06. BC BH THEO CUSTOMER-USD'!$H16,'01. KE30'!$A:$A,'06. BC BH THEO CUSTOMER-USD'!CN$4)/DB16/'02. Tỷ giá'!K$5," -")</f>
        <v xml:space="preserve"> -</v>
      </c>
      <c r="CO16" s="95" t="str">
        <f>IFERROR(SUMIFS('01. KE30'!$R:$R,'01. KE30'!$C:$C,'06. BC BH THEO CUSTOMER-USD'!$D16,'01. KE30'!$F:$F,'06. BC BH THEO CUSTOMER-USD'!$H16,'01. KE30'!$A:$A,'06. BC BH THEO CUSTOMER-USD'!CO$4)/DC16/'02. Tỷ giá'!L$5," -")</f>
        <v xml:space="preserve"> -</v>
      </c>
      <c r="CP16" s="95" t="str">
        <f>IFERROR(SUMIFS('01. KE30'!$R:$R,'01. KE30'!$C:$C,'06. BC BH THEO CUSTOMER-USD'!$D16,'01. KE30'!$F:$F,'06. BC BH THEO CUSTOMER-USD'!$H16,'01. KE30'!$A:$A,'06. BC BH THEO CUSTOMER-USD'!CP$4)/DD16/'02. Tỷ giá'!M$5," -")</f>
        <v xml:space="preserve"> -</v>
      </c>
      <c r="CR16" s="112">
        <f t="shared" si="26"/>
        <v>22</v>
      </c>
      <c r="CS16" s="54">
        <f>SUMIFS('01. KE30'!$I:$I,'01. KE30'!$C:$C,'06. BC BH THEO CUSTOMER-USD'!$D16,'01. KE30'!$F:$F,'06. BC BH THEO CUSTOMER-USD'!$H16,'01. KE30'!$A:$A,'06. BC BH THEO CUSTOMER-USD'!CS$4)/1000</f>
        <v>22</v>
      </c>
      <c r="CT16" s="54">
        <f>SUMIFS('01. KE30'!$I:$I,'01. KE30'!$C:$C,'06. BC BH THEO CUSTOMER-USD'!$D16,'01. KE30'!$F:$F,'06. BC BH THEO CUSTOMER-USD'!$H16,'01. KE30'!$A:$A,'06. BC BH THEO CUSTOMER-USD'!CT$4)/1000</f>
        <v>0</v>
      </c>
      <c r="CU16" s="54">
        <f>SUMIFS('01. KE30'!$I:$I,'01. KE30'!$C:$C,'06. BC BH THEO CUSTOMER-USD'!$D16,'01. KE30'!$F:$F,'06. BC BH THEO CUSTOMER-USD'!$H16,'01. KE30'!$A:$A,'06. BC BH THEO CUSTOMER-USD'!CU$4)/1000</f>
        <v>0</v>
      </c>
      <c r="CV16" s="54">
        <f>SUMIFS('01. KE30'!$I:$I,'01. KE30'!$C:$C,'06. BC BH THEO CUSTOMER-USD'!$D16,'01. KE30'!$F:$F,'06. BC BH THEO CUSTOMER-USD'!$H16,'01. KE30'!$A:$A,'06. BC BH THEO CUSTOMER-USD'!CV$4)/1000</f>
        <v>0</v>
      </c>
      <c r="CW16" s="54">
        <f>SUMIFS('01. KE30'!$I:$I,'01. KE30'!$C:$C,'06. BC BH THEO CUSTOMER-USD'!$D16,'01. KE30'!$F:$F,'06. BC BH THEO CUSTOMER-USD'!$H16,'01. KE30'!$A:$A,'06. BC BH THEO CUSTOMER-USD'!CW$4)/1000</f>
        <v>0</v>
      </c>
      <c r="CX16" s="54">
        <f>SUMIFS('01. KE30'!$I:$I,'01. KE30'!$C:$C,'06. BC BH THEO CUSTOMER-USD'!$D16,'01. KE30'!$F:$F,'06. BC BH THEO CUSTOMER-USD'!$H16,'01. KE30'!$A:$A,'06. BC BH THEO CUSTOMER-USD'!CX$4)/1000</f>
        <v>0</v>
      </c>
      <c r="CY16" s="54">
        <f>SUMIFS('01. KE30'!$I:$I,'01. KE30'!$C:$C,'06. BC BH THEO CUSTOMER-USD'!$D16,'01. KE30'!$F:$F,'06. BC BH THEO CUSTOMER-USD'!$H16,'01. KE30'!$A:$A,'06. BC BH THEO CUSTOMER-USD'!CY$4)/1000</f>
        <v>0</v>
      </c>
      <c r="CZ16" s="54">
        <f>SUMIFS('01. KE30'!$I:$I,'01. KE30'!$C:$C,'06. BC BH THEO CUSTOMER-USD'!$D16,'01. KE30'!$F:$F,'06. BC BH THEO CUSTOMER-USD'!$H16,'01. KE30'!$A:$A,'06. BC BH THEO CUSTOMER-USD'!CZ$4)/1000</f>
        <v>0</v>
      </c>
      <c r="DA16" s="54">
        <f>SUMIFS('01. KE30'!$I:$I,'01. KE30'!$C:$C,'06. BC BH THEO CUSTOMER-USD'!$D16,'01. KE30'!$F:$F,'06. BC BH THEO CUSTOMER-USD'!$H16,'01. KE30'!$A:$A,'06. BC BH THEO CUSTOMER-USD'!DA$4)/1000</f>
        <v>0</v>
      </c>
      <c r="DB16" s="54">
        <f>SUMIFS('01. KE30'!$I:$I,'01. KE30'!$C:$C,'06. BC BH THEO CUSTOMER-USD'!$D16,'01. KE30'!$F:$F,'06. BC BH THEO CUSTOMER-USD'!$H16,'01. KE30'!$A:$A,'06. BC BH THEO CUSTOMER-USD'!DB$4)/1000</f>
        <v>0</v>
      </c>
      <c r="DC16" s="54">
        <f>SUMIFS('01. KE30'!$I:$I,'01. KE30'!$C:$C,'06. BC BH THEO CUSTOMER-USD'!$D16,'01. KE30'!$F:$F,'06. BC BH THEO CUSTOMER-USD'!$H16,'01. KE30'!$A:$A,'06. BC BH THEO CUSTOMER-USD'!DC$4)/1000</f>
        <v>0</v>
      </c>
      <c r="DD16" s="54">
        <f>SUMIFS('01. KE30'!$I:$I,'01. KE30'!$C:$C,'06. BC BH THEO CUSTOMER-USD'!$D16,'01. KE30'!$F:$F,'06. BC BH THEO CUSTOMER-USD'!$H16,'01. KE30'!$A:$A,'06. BC BH THEO CUSTOMER-USD'!DD$4)/1000</f>
        <v>0</v>
      </c>
      <c r="DF16" s="112">
        <f t="shared" si="27"/>
        <v>28841.448896025693</v>
      </c>
      <c r="DG16" s="54">
        <f t="shared" si="48"/>
        <v>28841.448896025693</v>
      </c>
      <c r="DH16" s="54" t="str">
        <f t="shared" si="49"/>
        <v>-</v>
      </c>
      <c r="DI16" s="54" t="str">
        <f t="shared" si="50"/>
        <v>-</v>
      </c>
      <c r="DJ16" s="54" t="str">
        <f t="shared" si="51"/>
        <v>-</v>
      </c>
      <c r="DK16" s="54" t="str">
        <f t="shared" si="52"/>
        <v>-</v>
      </c>
      <c r="DL16" s="54" t="str">
        <f t="shared" si="53"/>
        <v>-</v>
      </c>
      <c r="DM16" s="54" t="str">
        <f t="shared" si="54"/>
        <v>-</v>
      </c>
      <c r="DN16" s="54" t="str">
        <f t="shared" si="55"/>
        <v>-</v>
      </c>
      <c r="DO16" s="54" t="str">
        <f t="shared" si="56"/>
        <v>-</v>
      </c>
      <c r="DP16" s="54" t="str">
        <f t="shared" si="57"/>
        <v>-</v>
      </c>
      <c r="DQ16" s="54" t="str">
        <f t="shared" si="58"/>
        <v>-</v>
      </c>
      <c r="DR16" s="54" t="str">
        <f t="shared" si="59"/>
        <v>-</v>
      </c>
      <c r="DT16" s="112">
        <f t="shared" si="60"/>
        <v>3734.6688879967878</v>
      </c>
      <c r="DU16" s="114">
        <f>IFERROR(SUMIFS('01. KE30'!$X:$X,'01. KE30'!$C:$C,'06. BC BH THEO CUSTOMER-USD'!$D16,'01. KE30'!$F:$F,'06. BC BH THEO CUSTOMER-USD'!$H16,'01. KE30'!$A:$A,'06. BC BH THEO CUSTOMER-USD'!DU$4)-SUMIFS('01. KE30'!$AA:$AA,'01. KE30'!$C:$C,'06. BC BH THEO CUSTOMER-USD'!$D16,'01. KE30'!$F:$F,'06. BC BH THEO CUSTOMER-USD'!$H16,'01. KE30'!$A:$A,'06. BC BH THEO CUSTOMER-USD'!DU$4),"-")</f>
        <v>3734.6688879967878</v>
      </c>
      <c r="DV16" s="114">
        <f>IFERROR(SUMIFS('01. KE30'!$X:$X,'01. KE30'!$C:$C,'06. BC BH THEO CUSTOMER-USD'!$D16,'01. KE30'!$F:$F,'06. BC BH THEO CUSTOMER-USD'!$H16,'01. KE30'!$A:$A,'06. BC BH THEO CUSTOMER-USD'!DV$4)-SUMIFS('01. KE30'!$AA:$AA,'01. KE30'!$C:$C,'06. BC BH THEO CUSTOMER-USD'!$D16,'01. KE30'!$F:$F,'06. BC BH THEO CUSTOMER-USD'!$H16,'01. KE30'!$A:$A,'06. BC BH THEO CUSTOMER-USD'!DV$4),"-")</f>
        <v>0</v>
      </c>
      <c r="DW16" s="114">
        <f>IFERROR(SUMIFS('01. KE30'!$X:$X,'01. KE30'!$C:$C,'06. BC BH THEO CUSTOMER-USD'!$D16,'01. KE30'!$F:$F,'06. BC BH THEO CUSTOMER-USD'!$H16,'01. KE30'!$A:$A,'06. BC BH THEO CUSTOMER-USD'!DW$4)-SUMIFS('01. KE30'!$AA:$AA,'01. KE30'!$C:$C,'06. BC BH THEO CUSTOMER-USD'!$D16,'01. KE30'!$F:$F,'06. BC BH THEO CUSTOMER-USD'!$H16,'01. KE30'!$A:$A,'06. BC BH THEO CUSTOMER-USD'!DW$4),"-")</f>
        <v>0</v>
      </c>
      <c r="DX16" s="114">
        <f>IFERROR(SUMIFS('01. KE30'!$X:$X,'01. KE30'!$C:$C,'06. BC BH THEO CUSTOMER-USD'!$D16,'01. KE30'!$F:$F,'06. BC BH THEO CUSTOMER-USD'!$H16,'01. KE30'!$A:$A,'06. BC BH THEO CUSTOMER-USD'!DX$4)-SUMIFS('01. KE30'!$AA:$AA,'01. KE30'!$C:$C,'06. BC BH THEO CUSTOMER-USD'!$D16,'01. KE30'!$F:$F,'06. BC BH THEO CUSTOMER-USD'!$H16,'01. KE30'!$A:$A,'06. BC BH THEO CUSTOMER-USD'!DX$4),"-")</f>
        <v>0</v>
      </c>
      <c r="DY16" s="114">
        <f>IFERROR(SUMIFS('01. KE30'!$X:$X,'01. KE30'!$C:$C,'06. BC BH THEO CUSTOMER-USD'!$D16,'01. KE30'!$F:$F,'06. BC BH THEO CUSTOMER-USD'!$H16,'01. KE30'!$A:$A,'06. BC BH THEO CUSTOMER-USD'!DY$4)-SUMIFS('01. KE30'!$AA:$AA,'01. KE30'!$C:$C,'06. BC BH THEO CUSTOMER-USD'!$D16,'01. KE30'!$F:$F,'06. BC BH THEO CUSTOMER-USD'!$H16,'01. KE30'!$A:$A,'06. BC BH THEO CUSTOMER-USD'!DY$4),"-")</f>
        <v>0</v>
      </c>
      <c r="DZ16" s="114">
        <f>IFERROR(SUMIFS('01. KE30'!$X:$X,'01. KE30'!$C:$C,'06. BC BH THEO CUSTOMER-USD'!$D16,'01. KE30'!$F:$F,'06. BC BH THEO CUSTOMER-USD'!$H16,'01. KE30'!$A:$A,'06. BC BH THEO CUSTOMER-USD'!DZ$4)-SUMIFS('01. KE30'!$AA:$AA,'01. KE30'!$C:$C,'06. BC BH THEO CUSTOMER-USD'!$D16,'01. KE30'!$F:$F,'06. BC BH THEO CUSTOMER-USD'!$H16,'01. KE30'!$A:$A,'06. BC BH THEO CUSTOMER-USD'!DZ$4),"-")</f>
        <v>0</v>
      </c>
      <c r="EA16" s="114">
        <f>IFERROR(SUMIFS('01. KE30'!$X:$X,'01. KE30'!$C:$C,'06. BC BH THEO CUSTOMER-USD'!$D16,'01. KE30'!$F:$F,'06. BC BH THEO CUSTOMER-USD'!$H16,'01. KE30'!$A:$A,'06. BC BH THEO CUSTOMER-USD'!EA$4)-SUMIFS('01. KE30'!$AA:$AA,'01. KE30'!$C:$C,'06. BC BH THEO CUSTOMER-USD'!$D16,'01. KE30'!$F:$F,'06. BC BH THEO CUSTOMER-USD'!$H16,'01. KE30'!$A:$A,'06. BC BH THEO CUSTOMER-USD'!EA$4),"-")</f>
        <v>0</v>
      </c>
      <c r="EB16" s="114">
        <f>IFERROR(SUMIFS('01. KE30'!$X:$X,'01. KE30'!$C:$C,'06. BC BH THEO CUSTOMER-USD'!$D16,'01. KE30'!$F:$F,'06. BC BH THEO CUSTOMER-USD'!$H16,'01. KE30'!$A:$A,'06. BC BH THEO CUSTOMER-USD'!EB$4)-SUMIFS('01. KE30'!$AA:$AA,'01. KE30'!$C:$C,'06. BC BH THEO CUSTOMER-USD'!$D16,'01. KE30'!$F:$F,'06. BC BH THEO CUSTOMER-USD'!$H16,'01. KE30'!$A:$A,'06. BC BH THEO CUSTOMER-USD'!EB$4),"-")</f>
        <v>0</v>
      </c>
      <c r="EC16" s="114">
        <f>IFERROR(SUMIFS('01. KE30'!$X:$X,'01. KE30'!$C:$C,'06. BC BH THEO CUSTOMER-USD'!$D16,'01. KE30'!$F:$F,'06. BC BH THEO CUSTOMER-USD'!$H16,'01. KE30'!$A:$A,'06. BC BH THEO CUSTOMER-USD'!EC$4)-SUMIFS('01. KE30'!$AA:$AA,'01. KE30'!$C:$C,'06. BC BH THEO CUSTOMER-USD'!$D16,'01. KE30'!$F:$F,'06. BC BH THEO CUSTOMER-USD'!$H16,'01. KE30'!$A:$A,'06. BC BH THEO CUSTOMER-USD'!EC$4),"-")</f>
        <v>0</v>
      </c>
      <c r="ED16" s="114">
        <f>IFERROR(SUMIFS('01. KE30'!$X:$X,'01. KE30'!$C:$C,'06. BC BH THEO CUSTOMER-USD'!$D16,'01. KE30'!$F:$F,'06. BC BH THEO CUSTOMER-USD'!$H16,'01. KE30'!$A:$A,'06. BC BH THEO CUSTOMER-USD'!ED$4)-SUMIFS('01. KE30'!$AA:$AA,'01. KE30'!$C:$C,'06. BC BH THEO CUSTOMER-USD'!$D16,'01. KE30'!$F:$F,'06. BC BH THEO CUSTOMER-USD'!$H16,'01. KE30'!$A:$A,'06. BC BH THEO CUSTOMER-USD'!ED$4),"-")</f>
        <v>0</v>
      </c>
      <c r="EE16" s="114">
        <f>IFERROR(SUMIFS('01. KE30'!$X:$X,'01. KE30'!$C:$C,'06. BC BH THEO CUSTOMER-USD'!$D16,'01. KE30'!$F:$F,'06. BC BH THEO CUSTOMER-USD'!$H16,'01. KE30'!$A:$A,'06. BC BH THEO CUSTOMER-USD'!EE$4)-SUMIFS('01. KE30'!$AA:$AA,'01. KE30'!$C:$C,'06. BC BH THEO CUSTOMER-USD'!$D16,'01. KE30'!$F:$F,'06. BC BH THEO CUSTOMER-USD'!$H16,'01. KE30'!$A:$A,'06. BC BH THEO CUSTOMER-USD'!EE$4),"-")</f>
        <v>0</v>
      </c>
      <c r="EF16" s="114">
        <f>IFERROR(SUMIFS('01. KE30'!$X:$X,'01. KE30'!$C:$C,'06. BC BH THEO CUSTOMER-USD'!$D16,'01. KE30'!$F:$F,'06. BC BH THEO CUSTOMER-USD'!$H16,'01. KE30'!$A:$A,'06. BC BH THEO CUSTOMER-USD'!EF$4)-SUMIFS('01. KE30'!$AA:$AA,'01. KE30'!$C:$C,'06. BC BH THEO CUSTOMER-USD'!$D16,'01. KE30'!$F:$F,'06. BC BH THEO CUSTOMER-USD'!$H16,'01. KE30'!$A:$A,'06. BC BH THEO CUSTOMER-USD'!EF$4),"-")</f>
        <v>0</v>
      </c>
      <c r="EH16" s="571">
        <f t="shared" si="29"/>
        <v>0.12948964185053197</v>
      </c>
      <c r="EI16" s="572">
        <f t="shared" si="30"/>
        <v>0.12948964185053197</v>
      </c>
      <c r="EJ16" s="572" t="str">
        <f t="shared" si="31"/>
        <v>-</v>
      </c>
      <c r="EK16" s="572" t="str">
        <f t="shared" si="32"/>
        <v>-</v>
      </c>
      <c r="EL16" s="572" t="str">
        <f t="shared" si="33"/>
        <v>-</v>
      </c>
      <c r="EM16" s="572" t="str">
        <f t="shared" si="34"/>
        <v>-</v>
      </c>
      <c r="EN16" s="572" t="str">
        <f t="shared" si="35"/>
        <v>-</v>
      </c>
      <c r="EO16" s="572" t="str">
        <f t="shared" si="36"/>
        <v>-</v>
      </c>
      <c r="EP16" s="572" t="str">
        <f t="shared" si="37"/>
        <v>-</v>
      </c>
      <c r="EQ16" s="572" t="str">
        <f t="shared" si="38"/>
        <v>-</v>
      </c>
      <c r="ER16" s="572" t="str">
        <f t="shared" si="39"/>
        <v>-</v>
      </c>
      <c r="ES16" s="572" t="str">
        <f t="shared" si="40"/>
        <v>-</v>
      </c>
      <c r="ET16" s="572" t="str">
        <f t="shared" si="41"/>
        <v>-</v>
      </c>
    </row>
    <row r="17" spans="1:150" s="24" customFormat="1" ht="15.5" hidden="1" outlineLevel="1" x14ac:dyDescent="0.35">
      <c r="A17" s="27">
        <f t="shared" si="63"/>
        <v>12</v>
      </c>
      <c r="B17" s="27" t="s">
        <v>283</v>
      </c>
      <c r="C17" s="442" t="s">
        <v>572</v>
      </c>
      <c r="D17" s="23" t="s">
        <v>150</v>
      </c>
      <c r="E17" s="12" t="s">
        <v>149</v>
      </c>
      <c r="F17" s="12" t="s">
        <v>245</v>
      </c>
      <c r="G17" s="12" t="str">
        <f>_xlfn.XLOOKUP(F17,'Quy đổi'!$G$5:$G$32,'Quy đổi'!$H$5:$H$32,0)</f>
        <v>Nội địa</v>
      </c>
      <c r="H17" s="76" t="s">
        <v>110</v>
      </c>
      <c r="I17" s="28" t="s">
        <v>109</v>
      </c>
      <c r="J17" s="13" t="s">
        <v>22</v>
      </c>
      <c r="K17" s="11"/>
      <c r="L17" s="92">
        <f t="shared" si="42"/>
        <v>1256.0430402565048</v>
      </c>
      <c r="M17" s="106">
        <f>IFERROR(SUMIFS('01. KE30'!$K:$K,'01. KE30'!$C:$C,'06. BC BH THEO CUSTOMER-USD'!$D17,'01. KE30'!$F:$F,'06. BC BH THEO CUSTOMER-USD'!$H17,'01. KE30'!$A:$A,'06. BC BH THEO CUSTOMER-USD'!M$4)/'06. BC BH THEO CUSTOMER-USD'!CS17/'02. Tỷ giá'!B$5,"-")</f>
        <v>1310.9749498193496</v>
      </c>
      <c r="N17" s="106">
        <f>IFERROR(SUMIFS('01. KE30'!$K:$K,'01. KE30'!$C:$C,'06. BC BH THEO CUSTOMER-USD'!$D17,'01. KE30'!$F:$F,'06. BC BH THEO CUSTOMER-USD'!$H17,'01. KE30'!$A:$A,'06. BC BH THEO CUSTOMER-USD'!N$4)/'06. BC BH THEO CUSTOMER-USD'!CT17/'02. Tỷ giá'!C$5,"-")</f>
        <v>1232.8097676250493</v>
      </c>
      <c r="O17" s="106">
        <f>IFERROR(SUMIFS('01. KE30'!$K:$K,'01. KE30'!$C:$C,'06. BC BH THEO CUSTOMER-USD'!$D17,'01. KE30'!$F:$F,'06. BC BH THEO CUSTOMER-USD'!$H17,'01. KE30'!$A:$A,'06. BC BH THEO CUSTOMER-USD'!O$4)/'06. BC BH THEO CUSTOMER-USD'!CU17/'02. Tỷ giá'!D$5,"-")</f>
        <v>1229.3220472440944</v>
      </c>
      <c r="P17" s="106">
        <f>IFERROR(SUMIFS('01. KE30'!$K:$K,'01. KE30'!$C:$C,'06. BC BH THEO CUSTOMER-USD'!$D17,'01. KE30'!$F:$F,'06. BC BH THEO CUSTOMER-USD'!$H17,'01. KE30'!$A:$A,'06. BC BH THEO CUSTOMER-USD'!P$4)/'06. BC BH THEO CUSTOMER-USD'!CV17/'02. Tỷ giá'!E$5,"-")</f>
        <v>1246.6124661246613</v>
      </c>
      <c r="Q17" s="106">
        <f>IFERROR(SUMIFS('01. KE30'!$K:$K,'01. KE30'!$C:$C,'06. BC BH THEO CUSTOMER-USD'!$D17,'01. KE30'!$F:$F,'06. BC BH THEO CUSTOMER-USD'!$H17,'01. KE30'!$A:$A,'06. BC BH THEO CUSTOMER-USD'!Q$4)/'06. BC BH THEO CUSTOMER-USD'!CW17/'02. Tỷ giá'!F$5,"-")</f>
        <v>1255.2433573216931</v>
      </c>
      <c r="R17" s="106">
        <f>IFERROR(SUMIFS('01. KE30'!$K:$K,'01. KE30'!$C:$C,'06. BC BH THEO CUSTOMER-USD'!$D17,'01. KE30'!$F:$F,'06. BC BH THEO CUSTOMER-USD'!$H17,'01. KE30'!$A:$A,'06. BC BH THEO CUSTOMER-USD'!R$4)/'06. BC BH THEO CUSTOMER-USD'!CX17/'02. Tỷ giá'!G$5,"-")</f>
        <v>1262.0563271604938</v>
      </c>
      <c r="S17" s="106">
        <f>IFERROR(SUMIFS('01. KE30'!$K:$K,'01. KE30'!$C:$C,'06. BC BH THEO CUSTOMER-USD'!$D17,'01. KE30'!$F:$F,'06. BC BH THEO CUSTOMER-USD'!$H17,'01. KE30'!$A:$A,'06. BC BH THEO CUSTOMER-USD'!S$4)/'06. BC BH THEO CUSTOMER-USD'!CY17/'02. Tỷ giá'!H$5,"-")</f>
        <v>1255.282366500192</v>
      </c>
      <c r="T17" s="106" t="str">
        <f>IFERROR(SUMIFS('01. KE30'!$K:$K,'01. KE30'!$C:$C,'06. BC BH THEO CUSTOMER-USD'!$D17,'01. KE30'!$F:$F,'06. BC BH THEO CUSTOMER-USD'!$H17,'01. KE30'!$A:$A,'06. BC BH THEO CUSTOMER-USD'!T$4)/'06. BC BH THEO CUSTOMER-USD'!CZ17/'02. Tỷ giá'!I$5,"-")</f>
        <v>-</v>
      </c>
      <c r="U17" s="106" t="str">
        <f>IFERROR(SUMIFS('01. KE30'!$K:$K,'01. KE30'!$C:$C,'06. BC BH THEO CUSTOMER-USD'!$D17,'01. KE30'!$F:$F,'06. BC BH THEO CUSTOMER-USD'!$H17,'01. KE30'!$A:$A,'06. BC BH THEO CUSTOMER-USD'!U$4)/'06. BC BH THEO CUSTOMER-USD'!DA17/'02. Tỷ giá'!J$5,"-")</f>
        <v>-</v>
      </c>
      <c r="V17" s="106" t="str">
        <f>IFERROR(SUMIFS('01. KE30'!$K:$K,'01. KE30'!$C:$C,'06. BC BH THEO CUSTOMER-USD'!$D17,'01. KE30'!$F:$F,'06. BC BH THEO CUSTOMER-USD'!$H17,'01. KE30'!$A:$A,'06. BC BH THEO CUSTOMER-USD'!V$4)/'06. BC BH THEO CUSTOMER-USD'!DB17/'02. Tỷ giá'!K$5,"-")</f>
        <v>-</v>
      </c>
      <c r="W17" s="106" t="str">
        <f>IFERROR(SUMIFS('01. KE30'!$K:$K,'01. KE30'!$C:$C,'06. BC BH THEO CUSTOMER-USD'!$D17,'01. KE30'!$F:$F,'06. BC BH THEO CUSTOMER-USD'!$H17,'01. KE30'!$A:$A,'06. BC BH THEO CUSTOMER-USD'!W$4)/'06. BC BH THEO CUSTOMER-USD'!DC17/'02. Tỷ giá'!L$5,"-")</f>
        <v>-</v>
      </c>
      <c r="X17" s="106" t="str">
        <f>IFERROR(SUMIFS('01. KE30'!$K:$K,'01. KE30'!$C:$C,'06. BC BH THEO CUSTOMER-USD'!$D17,'01. KE30'!$F:$F,'06. BC BH THEO CUSTOMER-USD'!$H17,'01. KE30'!$A:$A,'06. BC BH THEO CUSTOMER-USD'!X$4)/'06. BC BH THEO CUSTOMER-USD'!DD17/'02. Tỷ giá'!M$5,"-")</f>
        <v>-</v>
      </c>
      <c r="Z17" s="92">
        <f t="shared" si="43"/>
        <v>1256.0430402565048</v>
      </c>
      <c r="AA17" s="147">
        <f>IFERROR(SUMIFS('01. KE30'!$O:$O,'01. KE30'!$C:$C,'06. BC BH THEO CUSTOMER-USD'!$D17,'01. KE30'!$F:$F,'06. BC BH THEO CUSTOMER-USD'!$H17,'01. KE30'!$A:$A,'06. BC BH THEO CUSTOMER-USD'!M$4)/'06. BC BH THEO CUSTOMER-USD'!CS17/'02. Tỷ giá'!B$5,"-")</f>
        <v>1310.9749498193496</v>
      </c>
      <c r="AB17" s="147">
        <f>IFERROR(SUMIFS('01. KE30'!$O:$O,'01. KE30'!$C:$C,'06. BC BH THEO CUSTOMER-USD'!$D17,'01. KE30'!$F:$F,'06. BC BH THEO CUSTOMER-USD'!$H17,'01. KE30'!$A:$A,'06. BC BH THEO CUSTOMER-USD'!N$4)/'06. BC BH THEO CUSTOMER-USD'!CT17/'02. Tỷ giá'!C$5,"-")</f>
        <v>1232.8097676250493</v>
      </c>
      <c r="AC17" s="147">
        <f>IFERROR(SUMIFS('01. KE30'!$O:$O,'01. KE30'!$C:$C,'06. BC BH THEO CUSTOMER-USD'!$D17,'01. KE30'!$F:$F,'06. BC BH THEO CUSTOMER-USD'!$H17,'01. KE30'!$A:$A,'06. BC BH THEO CUSTOMER-USD'!O$4)/'06. BC BH THEO CUSTOMER-USD'!CU17/'02. Tỷ giá'!D$5,"-")</f>
        <v>1229.3220472440944</v>
      </c>
      <c r="AD17" s="147">
        <f>IFERROR(SUMIFS('01. KE30'!$O:$O,'01. KE30'!$C:$C,'06. BC BH THEO CUSTOMER-USD'!$D17,'01. KE30'!$F:$F,'06. BC BH THEO CUSTOMER-USD'!$H17,'01. KE30'!$A:$A,'06. BC BH THEO CUSTOMER-USD'!P$4)/'06. BC BH THEO CUSTOMER-USD'!CV17/'02. Tỷ giá'!E$5,"-")</f>
        <v>1246.6124661246613</v>
      </c>
      <c r="AE17" s="147">
        <f>IFERROR(SUMIFS('01. KE30'!$O:$O,'01. KE30'!$C:$C,'06. BC BH THEO CUSTOMER-USD'!$D17,'01. KE30'!$F:$F,'06. BC BH THEO CUSTOMER-USD'!$H17,'01. KE30'!$A:$A,'06. BC BH THEO CUSTOMER-USD'!Q$4)/'06. BC BH THEO CUSTOMER-USD'!CW17/'02. Tỷ giá'!F$5,"-")</f>
        <v>1255.2433573216931</v>
      </c>
      <c r="AF17" s="147">
        <f>IFERROR(SUMIFS('01. KE30'!$O:$O,'01. KE30'!$C:$C,'06. BC BH THEO CUSTOMER-USD'!$D17,'01. KE30'!$F:$F,'06. BC BH THEO CUSTOMER-USD'!$H17,'01. KE30'!$A:$A,'06. BC BH THEO CUSTOMER-USD'!R$4)/'06. BC BH THEO CUSTOMER-USD'!CX17/'02. Tỷ giá'!G$5,"-")</f>
        <v>1262.0563271604938</v>
      </c>
      <c r="AG17" s="147">
        <f>IFERROR(SUMIFS('01. KE30'!$O:$O,'01. KE30'!$C:$C,'06. BC BH THEO CUSTOMER-USD'!$D17,'01. KE30'!$F:$F,'06. BC BH THEO CUSTOMER-USD'!$H17,'01. KE30'!$A:$A,'06. BC BH THEO CUSTOMER-USD'!S$4)/'06. BC BH THEO CUSTOMER-USD'!CY17/'02. Tỷ giá'!H$5,"-")</f>
        <v>1255.282366500192</v>
      </c>
      <c r="AH17" s="147" t="str">
        <f>IFERROR(SUMIFS('01. KE30'!$O:$O,'01. KE30'!$C:$C,'06. BC BH THEO CUSTOMER-USD'!$D17,'01. KE30'!$F:$F,'06. BC BH THEO CUSTOMER-USD'!$H17,'01. KE30'!$A:$A,'06. BC BH THEO CUSTOMER-USD'!T$4)/'06. BC BH THEO CUSTOMER-USD'!CZ17/'02. Tỷ giá'!I$5,"-")</f>
        <v>-</v>
      </c>
      <c r="AI17" s="147" t="str">
        <f>IFERROR(SUMIFS('01. KE30'!$O:$O,'01. KE30'!$C:$C,'06. BC BH THEO CUSTOMER-USD'!$D17,'01. KE30'!$F:$F,'06. BC BH THEO CUSTOMER-USD'!$H17,'01. KE30'!$A:$A,'06. BC BH THEO CUSTOMER-USD'!U$4)/'06. BC BH THEO CUSTOMER-USD'!DA17/'02. Tỷ giá'!J$5,"-")</f>
        <v>-</v>
      </c>
      <c r="AJ17" s="147" t="str">
        <f>IFERROR(SUMIFS('01. KE30'!$O:$O,'01. KE30'!$C:$C,'06. BC BH THEO CUSTOMER-USD'!$D17,'01. KE30'!$F:$F,'06. BC BH THEO CUSTOMER-USD'!$H17,'01. KE30'!$A:$A,'06. BC BH THEO CUSTOMER-USD'!V$4)/'06. BC BH THEO CUSTOMER-USD'!DB17/'02. Tỷ giá'!K$5,"-")</f>
        <v>-</v>
      </c>
      <c r="AK17" s="147" t="str">
        <f>IFERROR(SUMIFS('01. KE30'!$O:$O,'01. KE30'!$C:$C,'06. BC BH THEO CUSTOMER-USD'!$D17,'01. KE30'!$F:$F,'06. BC BH THEO CUSTOMER-USD'!$H17,'01. KE30'!$A:$A,'06. BC BH THEO CUSTOMER-USD'!W$4)/'06. BC BH THEO CUSTOMER-USD'!DC17/'02. Tỷ giá'!L$5,"-")</f>
        <v>-</v>
      </c>
      <c r="AL17" s="147" t="str">
        <f>IFERROR(SUMIFS('01. KE30'!$O:$O,'01. KE30'!$C:$C,'06. BC BH THEO CUSTOMER-USD'!$D17,'01. KE30'!$F:$F,'06. BC BH THEO CUSTOMER-USD'!$H17,'01. KE30'!$A:$A,'06. BC BH THEO CUSTOMER-USD'!X$4)/'06. BC BH THEO CUSTOMER-USD'!DD17/'02. Tỷ giá'!M$5,"-")</f>
        <v>-</v>
      </c>
      <c r="AN17" s="92">
        <f t="shared" si="44"/>
        <v>1236.6666666666667</v>
      </c>
      <c r="AO17" s="25">
        <v>1230</v>
      </c>
      <c r="AP17" s="25">
        <v>1230</v>
      </c>
      <c r="AQ17" s="25">
        <v>1230</v>
      </c>
      <c r="AR17" s="25">
        <f t="shared" ref="AR17:AR18" si="69">AQ17+20</f>
        <v>1250</v>
      </c>
      <c r="AS17" s="25">
        <v>1250</v>
      </c>
      <c r="AT17" s="25">
        <v>1250</v>
      </c>
      <c r="AU17" s="25">
        <v>1250</v>
      </c>
      <c r="AV17" s="4">
        <f t="shared" si="66"/>
        <v>1220</v>
      </c>
      <c r="AW17" s="25">
        <v>1220</v>
      </c>
      <c r="AX17" s="25"/>
      <c r="AY17" s="25"/>
      <c r="AZ17" s="25"/>
      <c r="BB17" s="95">
        <f t="shared" si="45"/>
        <v>19.376373589838067</v>
      </c>
      <c r="BC17" s="95">
        <f t="shared" si="46"/>
        <v>80.974949819349604</v>
      </c>
      <c r="BD17" s="95">
        <f t="shared" si="6"/>
        <v>2.8097676250492896</v>
      </c>
      <c r="BE17" s="95">
        <f t="shared" si="6"/>
        <v>-0.67795275590560777</v>
      </c>
      <c r="BF17" s="95">
        <f t="shared" si="6"/>
        <v>-3.3875338753387041</v>
      </c>
      <c r="BG17" s="95">
        <f t="shared" si="6"/>
        <v>5.2433573216931109</v>
      </c>
      <c r="BH17" s="95">
        <f t="shared" si="6"/>
        <v>12.056327160493765</v>
      </c>
      <c r="BI17" s="95">
        <f t="shared" si="6"/>
        <v>5.2823665001919835</v>
      </c>
      <c r="BJ17" s="95" t="str">
        <f t="shared" si="6"/>
        <v>-</v>
      </c>
      <c r="BK17" s="95" t="str">
        <f t="shared" si="6"/>
        <v>-</v>
      </c>
      <c r="BL17" s="95" t="str">
        <f t="shared" si="6"/>
        <v>-</v>
      </c>
      <c r="BM17" s="95" t="str">
        <f t="shared" si="6"/>
        <v>-</v>
      </c>
      <c r="BN17" s="95" t="str">
        <f t="shared" si="6"/>
        <v>-</v>
      </c>
      <c r="BP17" s="143">
        <f t="shared" si="47"/>
        <v>1.5668226622510564E-2</v>
      </c>
      <c r="BQ17" s="143">
        <f t="shared" si="8"/>
        <v>6.583329253605659E-2</v>
      </c>
      <c r="BR17" s="143">
        <f t="shared" si="9"/>
        <v>2.2843639228043006E-3</v>
      </c>
      <c r="BS17" s="143">
        <f t="shared" si="10"/>
        <v>-5.5118110236228269E-4</v>
      </c>
      <c r="BT17" s="143">
        <f t="shared" si="11"/>
        <v>-2.7100271002709632E-3</v>
      </c>
      <c r="BU17" s="143">
        <f t="shared" si="12"/>
        <v>4.1946858573544887E-3</v>
      </c>
      <c r="BV17" s="143">
        <f t="shared" si="13"/>
        <v>9.6450617283950126E-3</v>
      </c>
      <c r="BW17" s="143">
        <f t="shared" si="14"/>
        <v>4.2258932001535869E-3</v>
      </c>
      <c r="BX17" s="143" t="str">
        <f t="shared" si="15"/>
        <v>-</v>
      </c>
      <c r="BY17" s="143" t="str">
        <f t="shared" si="16"/>
        <v>-</v>
      </c>
      <c r="BZ17" s="143" t="str">
        <f t="shared" si="17"/>
        <v>-</v>
      </c>
      <c r="CA17" s="143" t="str">
        <f t="shared" si="18"/>
        <v>-</v>
      </c>
      <c r="CB17" s="143" t="str">
        <f t="shared" si="19"/>
        <v>-</v>
      </c>
      <c r="CD17" s="112">
        <f t="shared" si="25"/>
        <v>1044.4014257708429</v>
      </c>
      <c r="CE17" s="95">
        <f>IFERROR(SUMIFS('01. KE30'!$R:$R,'01. KE30'!$C:$C,'06. BC BH THEO CUSTOMER-USD'!$D17,'01. KE30'!$F:$F,'06. BC BH THEO CUSTOMER-USD'!$H17,'01. KE30'!$A:$A,'06. BC BH THEO CUSTOMER-USD'!CE$4)/CS17/'02. Tỷ giá'!B$5," -")</f>
        <v>1026.9498266486626</v>
      </c>
      <c r="CF17" s="95">
        <f>IFERROR(SUMIFS('01. KE30'!$R:$R,'01. KE30'!$C:$C,'06. BC BH THEO CUSTOMER-USD'!$D17,'01. KE30'!$F:$F,'06. BC BH THEO CUSTOMER-USD'!$H17,'01. KE30'!$A:$A,'06. BC BH THEO CUSTOMER-USD'!CF$4)/CT17/'02. Tỷ giá'!C$5," -")</f>
        <v>987.02003652117867</v>
      </c>
      <c r="CG17" s="95">
        <f>IFERROR(SUMIFS('01. KE30'!$R:$R,'01. KE30'!$C:$C,'06. BC BH THEO CUSTOMER-USD'!$D17,'01. KE30'!$F:$F,'06. BC BH THEO CUSTOMER-USD'!$H17,'01. KE30'!$A:$A,'06. BC BH THEO CUSTOMER-USD'!CG$4)/CU17/'02. Tỷ giá'!D$5," -")</f>
        <v>1032.9728990694346</v>
      </c>
      <c r="CH17" s="95">
        <f>IFERROR(SUMIFS('01. KE30'!$R:$R,'01. KE30'!$C:$C,'06. BC BH THEO CUSTOMER-USD'!$D17,'01. KE30'!$F:$F,'06. BC BH THEO CUSTOMER-USD'!$H17,'01. KE30'!$A:$A,'06. BC BH THEO CUSTOMER-USD'!CH$4)/CV17/'02. Tỷ giá'!E$5," -")</f>
        <v>1040.2917043634404</v>
      </c>
      <c r="CI17" s="95">
        <f>IFERROR(SUMIFS('01. KE30'!$R:$R,'01. KE30'!$C:$C,'06. BC BH THEO CUSTOMER-USD'!$D17,'01. KE30'!$F:$F,'06. BC BH THEO CUSTOMER-USD'!$H17,'01. KE30'!$A:$A,'06. BC BH THEO CUSTOMER-USD'!CI$4)/CW17/'02. Tỷ giá'!F$5," -")</f>
        <v>1049.5963931659987</v>
      </c>
      <c r="CJ17" s="95">
        <f>IFERROR(SUMIFS('01. KE30'!$R:$R,'01. KE30'!$C:$C,'06. BC BH THEO CUSTOMER-USD'!$D17,'01. KE30'!$F:$F,'06. BC BH THEO CUSTOMER-USD'!$H17,'01. KE30'!$A:$A,'06. BC BH THEO CUSTOMER-USD'!CJ$4)/CX17/'02. Tỷ giá'!G$5," -")</f>
        <v>1078.8699249438832</v>
      </c>
      <c r="CK17" s="95">
        <f>IFERROR(SUMIFS('01. KE30'!$R:$R,'01. KE30'!$C:$C,'06. BC BH THEO CUSTOMER-USD'!$D17,'01. KE30'!$F:$F,'06. BC BH THEO CUSTOMER-USD'!$H17,'01. KE30'!$A:$A,'06. BC BH THEO CUSTOMER-USD'!CK$4)/CY17/'02. Tỷ giá'!H$5," -")</f>
        <v>1095.1091956833025</v>
      </c>
      <c r="CL17" s="95" t="str">
        <f>IFERROR(SUMIFS('01. KE30'!$R:$R,'01. KE30'!$C:$C,'06. BC BH THEO CUSTOMER-USD'!$D17,'01. KE30'!$F:$F,'06. BC BH THEO CUSTOMER-USD'!$H17,'01. KE30'!$A:$A,'06. BC BH THEO CUSTOMER-USD'!CL$4)/CZ17/'02. Tỷ giá'!I$5," -")</f>
        <v xml:space="preserve"> -</v>
      </c>
      <c r="CM17" s="95" t="str">
        <f>IFERROR(SUMIFS('01. KE30'!$R:$R,'01. KE30'!$C:$C,'06. BC BH THEO CUSTOMER-USD'!$D17,'01. KE30'!$F:$F,'06. BC BH THEO CUSTOMER-USD'!$H17,'01. KE30'!$A:$A,'06. BC BH THEO CUSTOMER-USD'!CM$4)/DA17/'02. Tỷ giá'!J$5," -")</f>
        <v xml:space="preserve"> -</v>
      </c>
      <c r="CN17" s="95" t="str">
        <f>IFERROR(SUMIFS('01. KE30'!$R:$R,'01. KE30'!$C:$C,'06. BC BH THEO CUSTOMER-USD'!$D17,'01. KE30'!$F:$F,'06. BC BH THEO CUSTOMER-USD'!$H17,'01. KE30'!$A:$A,'06. BC BH THEO CUSTOMER-USD'!CN$4)/DB17/'02. Tỷ giá'!K$5," -")</f>
        <v xml:space="preserve"> -</v>
      </c>
      <c r="CO17" s="95" t="str">
        <f>IFERROR(SUMIFS('01. KE30'!$R:$R,'01. KE30'!$C:$C,'06. BC BH THEO CUSTOMER-USD'!$D17,'01. KE30'!$F:$F,'06. BC BH THEO CUSTOMER-USD'!$H17,'01. KE30'!$A:$A,'06. BC BH THEO CUSTOMER-USD'!CO$4)/DC17/'02. Tỷ giá'!L$5," -")</f>
        <v xml:space="preserve"> -</v>
      </c>
      <c r="CP17" s="95" t="str">
        <f>IFERROR(SUMIFS('01. KE30'!$R:$R,'01. KE30'!$C:$C,'06. BC BH THEO CUSTOMER-USD'!$D17,'01. KE30'!$F:$F,'06. BC BH THEO CUSTOMER-USD'!$H17,'01. KE30'!$A:$A,'06. BC BH THEO CUSTOMER-USD'!CP$4)/DD17/'02. Tỷ giá'!M$5," -")</f>
        <v xml:space="preserve"> -</v>
      </c>
      <c r="CR17" s="112">
        <f t="shared" si="26"/>
        <v>517</v>
      </c>
      <c r="CS17" s="54">
        <f>SUMIFS('01. KE30'!$I:$I,'01. KE30'!$C:$C,'06. BC BH THEO CUSTOMER-USD'!$D17,'01. KE30'!$F:$F,'06. BC BH THEO CUSTOMER-USD'!$H17,'01. KE30'!$A:$A,'06. BC BH THEO CUSTOMER-USD'!CS$4)/1000</f>
        <v>44</v>
      </c>
      <c r="CT17" s="54">
        <f>SUMIFS('01. KE30'!$I:$I,'01. KE30'!$C:$C,'06. BC BH THEO CUSTOMER-USD'!$D17,'01. KE30'!$F:$F,'06. BC BH THEO CUSTOMER-USD'!$H17,'01. KE30'!$A:$A,'06. BC BH THEO CUSTOMER-USD'!CT$4)/1000</f>
        <v>77</v>
      </c>
      <c r="CU17" s="54">
        <f>SUMIFS('01. KE30'!$I:$I,'01. KE30'!$C:$C,'06. BC BH THEO CUSTOMER-USD'!$D17,'01. KE30'!$F:$F,'06. BC BH THEO CUSTOMER-USD'!$H17,'01. KE30'!$A:$A,'06. BC BH THEO CUSTOMER-USD'!CU$4)/1000</f>
        <v>110</v>
      </c>
      <c r="CV17" s="724">
        <f>SUMIFS('01. KE30'!$I:$I,'01. KE30'!$C:$C,'06. BC BH THEO CUSTOMER-USD'!$D17,'01. KE30'!$F:$F,'06. BC BH THEO CUSTOMER-USD'!$H17,'01. KE30'!$A:$A,'06. BC BH THEO CUSTOMER-USD'!CV$4)/1000</f>
        <v>56.1</v>
      </c>
      <c r="CW17" s="54">
        <f>SUMIFS('01. KE30'!$I:$I,'01. KE30'!$C:$C,'06. BC BH THEO CUSTOMER-USD'!$D17,'01. KE30'!$F:$F,'06. BC BH THEO CUSTOMER-USD'!$H17,'01. KE30'!$A:$A,'06. BC BH THEO CUSTOMER-USD'!CW$4)/1000</f>
        <v>64.900000000000006</v>
      </c>
      <c r="CX17" s="54">
        <f>SUMIFS('01. KE30'!$I:$I,'01. KE30'!$C:$C,'06. BC BH THEO CUSTOMER-USD'!$D17,'01. KE30'!$F:$F,'06. BC BH THEO CUSTOMER-USD'!$H17,'01. KE30'!$A:$A,'06. BC BH THEO CUSTOMER-USD'!CX$4)/1000</f>
        <v>66</v>
      </c>
      <c r="CY17" s="54">
        <f>SUMIFS('01. KE30'!$I:$I,'01. KE30'!$C:$C,'06. BC BH THEO CUSTOMER-USD'!$D17,'01. KE30'!$F:$F,'06. BC BH THEO CUSTOMER-USD'!$H17,'01. KE30'!$A:$A,'06. BC BH THEO CUSTOMER-USD'!CY$4)/1000</f>
        <v>99</v>
      </c>
      <c r="CZ17" s="54">
        <f>SUMIFS('01. KE30'!$I:$I,'01. KE30'!$C:$C,'06. BC BH THEO CUSTOMER-USD'!$D17,'01. KE30'!$F:$F,'06. BC BH THEO CUSTOMER-USD'!$H17,'01. KE30'!$A:$A,'06. BC BH THEO CUSTOMER-USD'!CZ$4)/1000</f>
        <v>0</v>
      </c>
      <c r="DA17" s="54">
        <f>SUMIFS('01. KE30'!$I:$I,'01. KE30'!$C:$C,'06. BC BH THEO CUSTOMER-USD'!$D17,'01. KE30'!$F:$F,'06. BC BH THEO CUSTOMER-USD'!$H17,'01. KE30'!$A:$A,'06. BC BH THEO CUSTOMER-USD'!DA$4)/1000</f>
        <v>0</v>
      </c>
      <c r="DB17" s="54">
        <f>SUMIFS('01. KE30'!$I:$I,'01. KE30'!$C:$C,'06. BC BH THEO CUSTOMER-USD'!$D17,'01. KE30'!$F:$F,'06. BC BH THEO CUSTOMER-USD'!$H17,'01. KE30'!$A:$A,'06. BC BH THEO CUSTOMER-USD'!DB$4)/1000</f>
        <v>0</v>
      </c>
      <c r="DC17" s="54">
        <f>SUMIFS('01. KE30'!$I:$I,'01. KE30'!$C:$C,'06. BC BH THEO CUSTOMER-USD'!$D17,'01. KE30'!$F:$F,'06. BC BH THEO CUSTOMER-USD'!$H17,'01. KE30'!$A:$A,'06. BC BH THEO CUSTOMER-USD'!DC$4)/1000</f>
        <v>0</v>
      </c>
      <c r="DD17" s="54">
        <f>SUMIFS('01. KE30'!$I:$I,'01. KE30'!$C:$C,'06. BC BH THEO CUSTOMER-USD'!$D17,'01. KE30'!$F:$F,'06. BC BH THEO CUSTOMER-USD'!$H17,'01. KE30'!$A:$A,'06. BC BH THEO CUSTOMER-USD'!DD$4)/1000</f>
        <v>0</v>
      </c>
      <c r="DF17" s="112">
        <f t="shared" si="27"/>
        <v>646803.60021191346</v>
      </c>
      <c r="DG17" s="54">
        <f t="shared" si="48"/>
        <v>57682.897792051386</v>
      </c>
      <c r="DH17" s="54">
        <f t="shared" si="49"/>
        <v>94926.352107128798</v>
      </c>
      <c r="DI17" s="54">
        <f t="shared" si="50"/>
        <v>135225.42519685038</v>
      </c>
      <c r="DJ17" s="54">
        <f t="shared" si="51"/>
        <v>69934.959349593497</v>
      </c>
      <c r="DK17" s="54">
        <f t="shared" si="52"/>
        <v>81465.293890177883</v>
      </c>
      <c r="DL17" s="54">
        <f t="shared" si="53"/>
        <v>83295.717592592584</v>
      </c>
      <c r="DM17" s="54">
        <f t="shared" si="54"/>
        <v>124272.95428351901</v>
      </c>
      <c r="DN17" s="54" t="str">
        <f t="shared" si="55"/>
        <v>-</v>
      </c>
      <c r="DO17" s="54" t="str">
        <f t="shared" si="56"/>
        <v>-</v>
      </c>
      <c r="DP17" s="54" t="str">
        <f t="shared" si="57"/>
        <v>-</v>
      </c>
      <c r="DQ17" s="54" t="str">
        <f t="shared" si="58"/>
        <v>-</v>
      </c>
      <c r="DR17" s="54" t="str">
        <f t="shared" si="59"/>
        <v>-</v>
      </c>
      <c r="DT17" s="112">
        <f t="shared" si="60"/>
        <v>105889.8501793983</v>
      </c>
      <c r="DU17" s="114">
        <f>IFERROR(SUMIFS('01. KE30'!$X:$X,'01. KE30'!$C:$C,'06. BC BH THEO CUSTOMER-USD'!$D17,'01. KE30'!$F:$F,'06. BC BH THEO CUSTOMER-USD'!$H17,'01. KE30'!$A:$A,'06. BC BH THEO CUSTOMER-USD'!DU$4)-SUMIFS('01. KE30'!$AA:$AA,'01. KE30'!$C:$C,'06. BC BH THEO CUSTOMER-USD'!$D17,'01. KE30'!$F:$F,'06. BC BH THEO CUSTOMER-USD'!$H17,'01. KE30'!$A:$A,'06. BC BH THEO CUSTOMER-USD'!DU$4),"-")</f>
        <v>12497.105419510241</v>
      </c>
      <c r="DV17" s="114">
        <f>IFERROR(SUMIFS('01. KE30'!$X:$X,'01. KE30'!$C:$C,'06. BC BH THEO CUSTOMER-USD'!$D17,'01. KE30'!$F:$F,'06. BC BH THEO CUSTOMER-USD'!$H17,'01. KE30'!$A:$A,'06. BC BH THEO CUSTOMER-USD'!DV$4)-SUMIFS('01. KE30'!$AA:$AA,'01. KE30'!$C:$C,'06. BC BH THEO CUSTOMER-USD'!$D17,'01. KE30'!$F:$F,'06. BC BH THEO CUSTOMER-USD'!$H17,'01. KE30'!$A:$A,'06. BC BH THEO CUSTOMER-USD'!DV$4),"-")</f>
        <v>18925.809294998035</v>
      </c>
      <c r="DW17" s="114">
        <f>IFERROR(SUMIFS('01. KE30'!$X:$X,'01. KE30'!$C:$C,'06. BC BH THEO CUSTOMER-USD'!$D17,'01. KE30'!$F:$F,'06. BC BH THEO CUSTOMER-USD'!$H17,'01. KE30'!$A:$A,'06. BC BH THEO CUSTOMER-USD'!DW$4)-SUMIFS('01. KE30'!$AA:$AA,'01. KE30'!$C:$C,'06. BC BH THEO CUSTOMER-USD'!$D17,'01. KE30'!$F:$F,'06. BC BH THEO CUSTOMER-USD'!$H17,'01. KE30'!$A:$A,'06. BC BH THEO CUSTOMER-USD'!DW$4),"-")</f>
        <v>21598.406299212584</v>
      </c>
      <c r="DX17" s="114">
        <f>IFERROR(SUMIFS('01. KE30'!$X:$X,'01. KE30'!$C:$C,'06. BC BH THEO CUSTOMER-USD'!$D17,'01. KE30'!$F:$F,'06. BC BH THEO CUSTOMER-USD'!$H17,'01. KE30'!$A:$A,'06. BC BH THEO CUSTOMER-USD'!DX$4)-SUMIFS('01. KE30'!$AA:$AA,'01. KE30'!$C:$C,'06. BC BH THEO CUSTOMER-USD'!$D17,'01. KE30'!$F:$F,'06. BC BH THEO CUSTOMER-USD'!$H17,'01. KE30'!$A:$A,'06. BC BH THEO CUSTOMER-USD'!DX$4),"-")</f>
        <v>11574.594734804494</v>
      </c>
      <c r="DY17" s="114">
        <f>IFERROR(SUMIFS('01. KE30'!$X:$X,'01. KE30'!$C:$C,'06. BC BH THEO CUSTOMER-USD'!$D17,'01. KE30'!$F:$F,'06. BC BH THEO CUSTOMER-USD'!$H17,'01. KE30'!$A:$A,'06. BC BH THEO CUSTOMER-USD'!DY$4)-SUMIFS('01. KE30'!$AA:$AA,'01. KE30'!$C:$C,'06. BC BH THEO CUSTOMER-USD'!$D17,'01. KE30'!$F:$F,'06. BC BH THEO CUSTOMER-USD'!$H17,'01. KE30'!$A:$A,'06. BC BH THEO CUSTOMER-USD'!DY$4),"-")</f>
        <v>13346.48797370457</v>
      </c>
      <c r="DZ17" s="114">
        <f>IFERROR(SUMIFS('01. KE30'!$X:$X,'01. KE30'!$C:$C,'06. BC BH THEO CUSTOMER-USD'!$D17,'01. KE30'!$F:$F,'06. BC BH THEO CUSTOMER-USD'!$H17,'01. KE30'!$A:$A,'06. BC BH THEO CUSTOMER-USD'!DZ$4)-SUMIFS('01. KE30'!$AA:$AA,'01. KE30'!$C:$C,'06. BC BH THEO CUSTOMER-USD'!$D17,'01. KE30'!$F:$F,'06. BC BH THEO CUSTOMER-USD'!$H17,'01. KE30'!$A:$A,'06. BC BH THEO CUSTOMER-USD'!DZ$4),"-")</f>
        <v>12090.302546296298</v>
      </c>
      <c r="EA17" s="114">
        <f>IFERROR(SUMIFS('01. KE30'!$X:$X,'01. KE30'!$C:$C,'06. BC BH THEO CUSTOMER-USD'!$D17,'01. KE30'!$F:$F,'06. BC BH THEO CUSTOMER-USD'!$H17,'01. KE30'!$A:$A,'06. BC BH THEO CUSTOMER-USD'!EA$4)-SUMIFS('01. KE30'!$AA:$AA,'01. KE30'!$C:$C,'06. BC BH THEO CUSTOMER-USD'!$D17,'01. KE30'!$F:$F,'06. BC BH THEO CUSTOMER-USD'!$H17,'01. KE30'!$A:$A,'06. BC BH THEO CUSTOMER-USD'!EA$4),"-")</f>
        <v>15857.143910872081</v>
      </c>
      <c r="EB17" s="114">
        <f>IFERROR(SUMIFS('01. KE30'!$X:$X,'01. KE30'!$C:$C,'06. BC BH THEO CUSTOMER-USD'!$D17,'01. KE30'!$F:$F,'06. BC BH THEO CUSTOMER-USD'!$H17,'01. KE30'!$A:$A,'06. BC BH THEO CUSTOMER-USD'!EB$4)-SUMIFS('01. KE30'!$AA:$AA,'01. KE30'!$C:$C,'06. BC BH THEO CUSTOMER-USD'!$D17,'01. KE30'!$F:$F,'06. BC BH THEO CUSTOMER-USD'!$H17,'01. KE30'!$A:$A,'06. BC BH THEO CUSTOMER-USD'!EB$4),"-")</f>
        <v>0</v>
      </c>
      <c r="EC17" s="114">
        <f>IFERROR(SUMIFS('01. KE30'!$X:$X,'01. KE30'!$C:$C,'06. BC BH THEO CUSTOMER-USD'!$D17,'01. KE30'!$F:$F,'06. BC BH THEO CUSTOMER-USD'!$H17,'01. KE30'!$A:$A,'06. BC BH THEO CUSTOMER-USD'!EC$4)-SUMIFS('01. KE30'!$AA:$AA,'01. KE30'!$C:$C,'06. BC BH THEO CUSTOMER-USD'!$D17,'01. KE30'!$F:$F,'06. BC BH THEO CUSTOMER-USD'!$H17,'01. KE30'!$A:$A,'06. BC BH THEO CUSTOMER-USD'!EC$4),"-")</f>
        <v>0</v>
      </c>
      <c r="ED17" s="114">
        <f>IFERROR(SUMIFS('01. KE30'!$X:$X,'01. KE30'!$C:$C,'06. BC BH THEO CUSTOMER-USD'!$D17,'01. KE30'!$F:$F,'06. BC BH THEO CUSTOMER-USD'!$H17,'01. KE30'!$A:$A,'06. BC BH THEO CUSTOMER-USD'!ED$4)-SUMIFS('01. KE30'!$AA:$AA,'01. KE30'!$C:$C,'06. BC BH THEO CUSTOMER-USD'!$D17,'01. KE30'!$F:$F,'06. BC BH THEO CUSTOMER-USD'!$H17,'01. KE30'!$A:$A,'06. BC BH THEO CUSTOMER-USD'!ED$4),"-")</f>
        <v>0</v>
      </c>
      <c r="EE17" s="114">
        <f>IFERROR(SUMIFS('01. KE30'!$X:$X,'01. KE30'!$C:$C,'06. BC BH THEO CUSTOMER-USD'!$D17,'01. KE30'!$F:$F,'06. BC BH THEO CUSTOMER-USD'!$H17,'01. KE30'!$A:$A,'06. BC BH THEO CUSTOMER-USD'!EE$4)-SUMIFS('01. KE30'!$AA:$AA,'01. KE30'!$C:$C,'06. BC BH THEO CUSTOMER-USD'!$D17,'01. KE30'!$F:$F,'06. BC BH THEO CUSTOMER-USD'!$H17,'01. KE30'!$A:$A,'06. BC BH THEO CUSTOMER-USD'!EE$4),"-")</f>
        <v>0</v>
      </c>
      <c r="EF17" s="114">
        <f>IFERROR(SUMIFS('01. KE30'!$X:$X,'01. KE30'!$C:$C,'06. BC BH THEO CUSTOMER-USD'!$D17,'01. KE30'!$F:$F,'06. BC BH THEO CUSTOMER-USD'!$H17,'01. KE30'!$A:$A,'06. BC BH THEO CUSTOMER-USD'!EF$4)-SUMIFS('01. KE30'!$AA:$AA,'01. KE30'!$C:$C,'06. BC BH THEO CUSTOMER-USD'!$D17,'01. KE30'!$F:$F,'06. BC BH THEO CUSTOMER-USD'!$H17,'01. KE30'!$A:$A,'06. BC BH THEO CUSTOMER-USD'!EF$4),"-")</f>
        <v>0</v>
      </c>
      <c r="EH17" s="571">
        <f t="shared" si="29"/>
        <v>0.1637125243964403</v>
      </c>
      <c r="EI17" s="572">
        <f t="shared" si="30"/>
        <v>0.21665183092157903</v>
      </c>
      <c r="EJ17" s="572">
        <f t="shared" si="31"/>
        <v>0.19937360780112334</v>
      </c>
      <c r="EK17" s="572">
        <f t="shared" si="32"/>
        <v>0.15972148926706164</v>
      </c>
      <c r="EL17" s="572">
        <f t="shared" si="33"/>
        <v>0.16550513280410983</v>
      </c>
      <c r="EM17" s="572">
        <f t="shared" si="34"/>
        <v>0.16383035445372315</v>
      </c>
      <c r="EN17" s="572">
        <f t="shared" si="35"/>
        <v>0.14514914926876718</v>
      </c>
      <c r="EO17" s="572">
        <f t="shared" si="36"/>
        <v>0.12759931557348553</v>
      </c>
      <c r="EP17" s="572" t="str">
        <f t="shared" si="37"/>
        <v>-</v>
      </c>
      <c r="EQ17" s="572" t="str">
        <f t="shared" si="38"/>
        <v>-</v>
      </c>
      <c r="ER17" s="572" t="str">
        <f t="shared" si="39"/>
        <v>-</v>
      </c>
      <c r="ES17" s="572" t="str">
        <f t="shared" si="40"/>
        <v>-</v>
      </c>
      <c r="ET17" s="572" t="str">
        <f t="shared" si="41"/>
        <v>-</v>
      </c>
    </row>
    <row r="18" spans="1:150" s="24" customFormat="1" ht="15.5" hidden="1" outlineLevel="1" x14ac:dyDescent="0.35">
      <c r="A18" s="27">
        <f t="shared" si="63"/>
        <v>13</v>
      </c>
      <c r="B18" s="27" t="s">
        <v>283</v>
      </c>
      <c r="C18" s="442" t="s">
        <v>489</v>
      </c>
      <c r="D18" s="23" t="s">
        <v>235</v>
      </c>
      <c r="E18" s="12" t="s">
        <v>236</v>
      </c>
      <c r="F18" s="12" t="s">
        <v>245</v>
      </c>
      <c r="G18" s="12" t="str">
        <f>_xlfn.XLOOKUP(F18,'Quy đổi'!$G$5:$G$32,'Quy đổi'!$H$5:$H$32,0)</f>
        <v>Nội địa</v>
      </c>
      <c r="H18" s="76" t="s">
        <v>110</v>
      </c>
      <c r="I18" s="28" t="s">
        <v>109</v>
      </c>
      <c r="J18" s="13" t="s">
        <v>22</v>
      </c>
      <c r="K18" s="11"/>
      <c r="L18" s="92">
        <f t="shared" si="42"/>
        <v>1280.8810516916226</v>
      </c>
      <c r="M18" s="106">
        <f>IFERROR(SUMIFS('01. KE30'!$K:$K,'01. KE30'!$C:$C,'06. BC BH THEO CUSTOMER-USD'!$D18,'01. KE30'!$F:$F,'06. BC BH THEO CUSTOMER-USD'!$H18,'01. KE30'!$A:$A,'06. BC BH THEO CUSTOMER-USD'!M$4)/'06. BC BH THEO CUSTOMER-USD'!CS18/'02. Tỷ giá'!B$5,"-")</f>
        <v>1354.9468121601403</v>
      </c>
      <c r="N18" s="106">
        <f>IFERROR(SUMIFS('01. KE30'!$K:$K,'01. KE30'!$C:$C,'06. BC BH THEO CUSTOMER-USD'!$D18,'01. KE30'!$F:$F,'06. BC BH THEO CUSTOMER-USD'!$H18,'01. KE30'!$A:$A,'06. BC BH THEO CUSTOMER-USD'!N$4)/'06. BC BH THEO CUSTOMER-USD'!CT18/'02. Tỷ giá'!C$5,"-")</f>
        <v>1225.6400157542339</v>
      </c>
      <c r="O18" s="106" t="str">
        <f>IFERROR(SUMIFS('01. KE30'!$K:$K,'01. KE30'!$C:$C,'06. BC BH THEO CUSTOMER-USD'!$D18,'01. KE30'!$F:$F,'06. BC BH THEO CUSTOMER-USD'!$H18,'01. KE30'!$A:$A,'06. BC BH THEO CUSTOMER-USD'!O$4)/'06. BC BH THEO CUSTOMER-USD'!CU18/'02. Tỷ giá'!D$5,"-")</f>
        <v>-</v>
      </c>
      <c r="P18" s="106" t="str">
        <f>IFERROR(SUMIFS('01. KE30'!$K:$K,'01. KE30'!$C:$C,'06. BC BH THEO CUSTOMER-USD'!$D18,'01. KE30'!$F:$F,'06. BC BH THEO CUSTOMER-USD'!$H18,'01. KE30'!$A:$A,'06. BC BH THEO CUSTOMER-USD'!P$4)/'06. BC BH THEO CUSTOMER-USD'!CV18/'02. Tỷ giá'!E$5,"-")</f>
        <v>-</v>
      </c>
      <c r="Q18" s="106" t="str">
        <f>IFERROR(SUMIFS('01. KE30'!$K:$K,'01. KE30'!$C:$C,'06. BC BH THEO CUSTOMER-USD'!$D18,'01. KE30'!$F:$F,'06. BC BH THEO CUSTOMER-USD'!$H18,'01. KE30'!$A:$A,'06. BC BH THEO CUSTOMER-USD'!Q$4)/'06. BC BH THEO CUSTOMER-USD'!CW18/'02. Tỷ giá'!F$5,"-")</f>
        <v>-</v>
      </c>
      <c r="R18" s="106">
        <f>IFERROR(SUMIFS('01. KE30'!$K:$K,'01. KE30'!$C:$C,'06. BC BH THEO CUSTOMER-USD'!$D18,'01. KE30'!$F:$F,'06. BC BH THEO CUSTOMER-USD'!$H18,'01. KE30'!$A:$A,'06. BC BH THEO CUSTOMER-USD'!R$4)/'06. BC BH THEO CUSTOMER-USD'!CX18/'02. Tỷ giá'!G$5,"-")</f>
        <v>1262.0563271604938</v>
      </c>
      <c r="S18" s="106" t="str">
        <f>IFERROR(SUMIFS('01. KE30'!$K:$K,'01. KE30'!$C:$C,'06. BC BH THEO CUSTOMER-USD'!$D18,'01. KE30'!$F:$F,'06. BC BH THEO CUSTOMER-USD'!$H18,'01. KE30'!$A:$A,'06. BC BH THEO CUSTOMER-USD'!S$4)/'06. BC BH THEO CUSTOMER-USD'!CY18/'02. Tỷ giá'!H$5,"-")</f>
        <v>-</v>
      </c>
      <c r="T18" s="106" t="str">
        <f>IFERROR(SUMIFS('01. KE30'!$K:$K,'01. KE30'!$C:$C,'06. BC BH THEO CUSTOMER-USD'!$D18,'01. KE30'!$F:$F,'06. BC BH THEO CUSTOMER-USD'!$H18,'01. KE30'!$A:$A,'06. BC BH THEO CUSTOMER-USD'!T$4)/'06. BC BH THEO CUSTOMER-USD'!CZ18/'02. Tỷ giá'!I$5,"-")</f>
        <v>-</v>
      </c>
      <c r="U18" s="106" t="str">
        <f>IFERROR(SUMIFS('01. KE30'!$K:$K,'01. KE30'!$C:$C,'06. BC BH THEO CUSTOMER-USD'!$D18,'01. KE30'!$F:$F,'06. BC BH THEO CUSTOMER-USD'!$H18,'01. KE30'!$A:$A,'06. BC BH THEO CUSTOMER-USD'!U$4)/'06. BC BH THEO CUSTOMER-USD'!DA18/'02. Tỷ giá'!J$5,"-")</f>
        <v>-</v>
      </c>
      <c r="V18" s="106" t="str">
        <f>IFERROR(SUMIFS('01. KE30'!$K:$K,'01. KE30'!$C:$C,'06. BC BH THEO CUSTOMER-USD'!$D18,'01. KE30'!$F:$F,'06. BC BH THEO CUSTOMER-USD'!$H18,'01. KE30'!$A:$A,'06. BC BH THEO CUSTOMER-USD'!V$4)/'06. BC BH THEO CUSTOMER-USD'!DB18/'02. Tỷ giá'!K$5,"-")</f>
        <v>-</v>
      </c>
      <c r="W18" s="106" t="str">
        <f>IFERROR(SUMIFS('01. KE30'!$K:$K,'01. KE30'!$C:$C,'06. BC BH THEO CUSTOMER-USD'!$D18,'01. KE30'!$F:$F,'06. BC BH THEO CUSTOMER-USD'!$H18,'01. KE30'!$A:$A,'06. BC BH THEO CUSTOMER-USD'!W$4)/'06. BC BH THEO CUSTOMER-USD'!DC18/'02. Tỷ giá'!L$5,"-")</f>
        <v>-</v>
      </c>
      <c r="X18" s="106" t="str">
        <f>IFERROR(SUMIFS('01. KE30'!$K:$K,'01. KE30'!$C:$C,'06. BC BH THEO CUSTOMER-USD'!$D18,'01. KE30'!$F:$F,'06. BC BH THEO CUSTOMER-USD'!$H18,'01. KE30'!$A:$A,'06. BC BH THEO CUSTOMER-USD'!X$4)/'06. BC BH THEO CUSTOMER-USD'!DD18/'02. Tỷ giá'!M$5,"-")</f>
        <v>-</v>
      </c>
      <c r="Z18" s="92">
        <f t="shared" si="43"/>
        <v>1280.8810516916226</v>
      </c>
      <c r="AA18" s="147">
        <f>IFERROR(SUMIFS('01. KE30'!$O:$O,'01. KE30'!$C:$C,'06. BC BH THEO CUSTOMER-USD'!$D18,'01. KE30'!$F:$F,'06. BC BH THEO CUSTOMER-USD'!$H18,'01. KE30'!$A:$A,'06. BC BH THEO CUSTOMER-USD'!M$4)/'06. BC BH THEO CUSTOMER-USD'!CS18/'02. Tỷ giá'!B$5,"-")</f>
        <v>1354.9468121601403</v>
      </c>
      <c r="AB18" s="147">
        <f>IFERROR(SUMIFS('01. KE30'!$O:$O,'01. KE30'!$C:$C,'06. BC BH THEO CUSTOMER-USD'!$D18,'01. KE30'!$F:$F,'06. BC BH THEO CUSTOMER-USD'!$H18,'01. KE30'!$A:$A,'06. BC BH THEO CUSTOMER-USD'!N$4)/'06. BC BH THEO CUSTOMER-USD'!CT18/'02. Tỷ giá'!C$5,"-")</f>
        <v>1225.6400157542339</v>
      </c>
      <c r="AC18" s="147" t="str">
        <f>IFERROR(SUMIFS('01. KE30'!$O:$O,'01. KE30'!$C:$C,'06. BC BH THEO CUSTOMER-USD'!$D18,'01. KE30'!$F:$F,'06. BC BH THEO CUSTOMER-USD'!$H18,'01. KE30'!$A:$A,'06. BC BH THEO CUSTOMER-USD'!O$4)/'06. BC BH THEO CUSTOMER-USD'!CU18/'02. Tỷ giá'!D$5,"-")</f>
        <v>-</v>
      </c>
      <c r="AD18" s="147" t="str">
        <f>IFERROR(SUMIFS('01. KE30'!$O:$O,'01. KE30'!$C:$C,'06. BC BH THEO CUSTOMER-USD'!$D18,'01. KE30'!$F:$F,'06. BC BH THEO CUSTOMER-USD'!$H18,'01. KE30'!$A:$A,'06. BC BH THEO CUSTOMER-USD'!P$4)/'06. BC BH THEO CUSTOMER-USD'!CV18/'02. Tỷ giá'!E$5,"-")</f>
        <v>-</v>
      </c>
      <c r="AE18" s="147" t="str">
        <f>IFERROR(SUMIFS('01. KE30'!$O:$O,'01. KE30'!$C:$C,'06. BC BH THEO CUSTOMER-USD'!$D18,'01. KE30'!$F:$F,'06. BC BH THEO CUSTOMER-USD'!$H18,'01. KE30'!$A:$A,'06. BC BH THEO CUSTOMER-USD'!Q$4)/'06. BC BH THEO CUSTOMER-USD'!CW18/'02. Tỷ giá'!F$5,"-")</f>
        <v>-</v>
      </c>
      <c r="AF18" s="147">
        <f>IFERROR(SUMIFS('01. KE30'!$O:$O,'01. KE30'!$C:$C,'06. BC BH THEO CUSTOMER-USD'!$D18,'01. KE30'!$F:$F,'06. BC BH THEO CUSTOMER-USD'!$H18,'01. KE30'!$A:$A,'06. BC BH THEO CUSTOMER-USD'!R$4)/'06. BC BH THEO CUSTOMER-USD'!CX18/'02. Tỷ giá'!G$5,"-")</f>
        <v>1262.0563271604938</v>
      </c>
      <c r="AG18" s="147" t="str">
        <f>IFERROR(SUMIFS('01. KE30'!$O:$O,'01. KE30'!$C:$C,'06. BC BH THEO CUSTOMER-USD'!$D18,'01. KE30'!$F:$F,'06. BC BH THEO CUSTOMER-USD'!$H18,'01. KE30'!$A:$A,'06. BC BH THEO CUSTOMER-USD'!S$4)/'06. BC BH THEO CUSTOMER-USD'!CY18/'02. Tỷ giá'!H$5,"-")</f>
        <v>-</v>
      </c>
      <c r="AH18" s="147" t="str">
        <f>IFERROR(SUMIFS('01. KE30'!$O:$O,'01. KE30'!$C:$C,'06. BC BH THEO CUSTOMER-USD'!$D18,'01. KE30'!$F:$F,'06. BC BH THEO CUSTOMER-USD'!$H18,'01. KE30'!$A:$A,'06. BC BH THEO CUSTOMER-USD'!T$4)/'06. BC BH THEO CUSTOMER-USD'!CZ18/'02. Tỷ giá'!I$5,"-")</f>
        <v>-</v>
      </c>
      <c r="AI18" s="147" t="str">
        <f>IFERROR(SUMIFS('01. KE30'!$O:$O,'01. KE30'!$C:$C,'06. BC BH THEO CUSTOMER-USD'!$D18,'01. KE30'!$F:$F,'06. BC BH THEO CUSTOMER-USD'!$H18,'01. KE30'!$A:$A,'06. BC BH THEO CUSTOMER-USD'!U$4)/'06. BC BH THEO CUSTOMER-USD'!DA18/'02. Tỷ giá'!J$5,"-")</f>
        <v>-</v>
      </c>
      <c r="AJ18" s="147" t="str">
        <f>IFERROR(SUMIFS('01. KE30'!$O:$O,'01. KE30'!$C:$C,'06. BC BH THEO CUSTOMER-USD'!$D18,'01. KE30'!$F:$F,'06. BC BH THEO CUSTOMER-USD'!$H18,'01. KE30'!$A:$A,'06. BC BH THEO CUSTOMER-USD'!V$4)/'06. BC BH THEO CUSTOMER-USD'!DB18/'02. Tỷ giá'!K$5,"-")</f>
        <v>-</v>
      </c>
      <c r="AK18" s="147" t="str">
        <f>IFERROR(SUMIFS('01. KE30'!$O:$O,'01. KE30'!$C:$C,'06. BC BH THEO CUSTOMER-USD'!$D18,'01. KE30'!$F:$F,'06. BC BH THEO CUSTOMER-USD'!$H18,'01. KE30'!$A:$A,'06. BC BH THEO CUSTOMER-USD'!W$4)/'06. BC BH THEO CUSTOMER-USD'!DC18/'02. Tỷ giá'!L$5,"-")</f>
        <v>-</v>
      </c>
      <c r="AL18" s="147" t="str">
        <f>IFERROR(SUMIFS('01. KE30'!$O:$O,'01. KE30'!$C:$C,'06. BC BH THEO CUSTOMER-USD'!$D18,'01. KE30'!$F:$F,'06. BC BH THEO CUSTOMER-USD'!$H18,'01. KE30'!$A:$A,'06. BC BH THEO CUSTOMER-USD'!X$4)/'06. BC BH THEO CUSTOMER-USD'!DD18/'02. Tỷ giá'!M$5,"-")</f>
        <v>-</v>
      </c>
      <c r="AN18" s="92">
        <f t="shared" si="44"/>
        <v>1236.6666666666667</v>
      </c>
      <c r="AO18" s="25">
        <v>1230</v>
      </c>
      <c r="AP18" s="25">
        <v>1230</v>
      </c>
      <c r="AQ18" s="25">
        <v>1230</v>
      </c>
      <c r="AR18" s="25">
        <f t="shared" si="69"/>
        <v>1250</v>
      </c>
      <c r="AS18" s="25">
        <v>1250</v>
      </c>
      <c r="AT18" s="25">
        <v>1250</v>
      </c>
      <c r="AU18" s="25">
        <v>1250</v>
      </c>
      <c r="AV18" s="4">
        <f t="shared" si="66"/>
        <v>1220</v>
      </c>
      <c r="AW18" s="25">
        <v>1220</v>
      </c>
      <c r="AX18" s="25"/>
      <c r="AY18" s="25"/>
      <c r="AZ18" s="25"/>
      <c r="BB18" s="95">
        <f t="shared" si="45"/>
        <v>44.214385024955845</v>
      </c>
      <c r="BC18" s="95">
        <f t="shared" si="46"/>
        <v>124.94681216014033</v>
      </c>
      <c r="BD18" s="95">
        <f t="shared" si="6"/>
        <v>-4.3599842457660998</v>
      </c>
      <c r="BE18" s="95" t="str">
        <f t="shared" si="6"/>
        <v>-</v>
      </c>
      <c r="BF18" s="95" t="str">
        <f t="shared" si="6"/>
        <v>-</v>
      </c>
      <c r="BG18" s="95" t="str">
        <f t="shared" si="6"/>
        <v>-</v>
      </c>
      <c r="BH18" s="95">
        <f t="shared" si="6"/>
        <v>12.056327160493765</v>
      </c>
      <c r="BI18" s="95" t="str">
        <f t="shared" si="6"/>
        <v>-</v>
      </c>
      <c r="BJ18" s="95" t="str">
        <f t="shared" si="6"/>
        <v>-</v>
      </c>
      <c r="BK18" s="95" t="str">
        <f t="shared" si="6"/>
        <v>-</v>
      </c>
      <c r="BL18" s="95" t="str">
        <f t="shared" si="6"/>
        <v>-</v>
      </c>
      <c r="BM18" s="95" t="str">
        <f t="shared" si="6"/>
        <v>-</v>
      </c>
      <c r="BN18" s="95" t="str">
        <f t="shared" si="6"/>
        <v>-</v>
      </c>
      <c r="BP18" s="143">
        <f t="shared" si="47"/>
        <v>3.5752871987834917E-2</v>
      </c>
      <c r="BQ18" s="143">
        <f t="shared" si="8"/>
        <v>0.10158277411393522</v>
      </c>
      <c r="BR18" s="143">
        <f t="shared" si="9"/>
        <v>-3.5447026388342275E-3</v>
      </c>
      <c r="BS18" s="143" t="str">
        <f t="shared" si="10"/>
        <v>-</v>
      </c>
      <c r="BT18" s="143" t="str">
        <f t="shared" si="11"/>
        <v>-</v>
      </c>
      <c r="BU18" s="143" t="str">
        <f t="shared" si="12"/>
        <v>-</v>
      </c>
      <c r="BV18" s="143">
        <f t="shared" si="13"/>
        <v>9.6450617283950126E-3</v>
      </c>
      <c r="BW18" s="143" t="str">
        <f t="shared" si="14"/>
        <v>-</v>
      </c>
      <c r="BX18" s="143" t="str">
        <f t="shared" si="15"/>
        <v>-</v>
      </c>
      <c r="BY18" s="143" t="str">
        <f t="shared" si="16"/>
        <v>-</v>
      </c>
      <c r="BZ18" s="143" t="str">
        <f t="shared" si="17"/>
        <v>-</v>
      </c>
      <c r="CA18" s="143" t="str">
        <f t="shared" si="18"/>
        <v>-</v>
      </c>
      <c r="CB18" s="143" t="str">
        <f t="shared" si="19"/>
        <v>-</v>
      </c>
      <c r="CD18" s="112">
        <f t="shared" si="25"/>
        <v>1030.946601201618</v>
      </c>
      <c r="CE18" s="95">
        <f>IFERROR(SUMIFS('01. KE30'!$R:$R,'01. KE30'!$C:$C,'06. BC BH THEO CUSTOMER-USD'!$D18,'01. KE30'!$F:$F,'06. BC BH THEO CUSTOMER-USD'!$H18,'01. KE30'!$A:$A,'06. BC BH THEO CUSTOMER-USD'!CE$4)/CS18/'02. Tỷ giá'!B$5," -")</f>
        <v>1026.9498266486626</v>
      </c>
      <c r="CF18" s="95">
        <f>IFERROR(SUMIFS('01. KE30'!$R:$R,'01. KE30'!$C:$C,'06. BC BH THEO CUSTOMER-USD'!$D18,'01. KE30'!$F:$F,'06. BC BH THEO CUSTOMER-USD'!$H18,'01. KE30'!$A:$A,'06. BC BH THEO CUSTOMER-USD'!CF$4)/CT18/'02. Tỷ giá'!C$5," -")</f>
        <v>987.02005084320956</v>
      </c>
      <c r="CG18" s="95" t="str">
        <f>IFERROR(SUMIFS('01. KE30'!$R:$R,'01. KE30'!$C:$C,'06. BC BH THEO CUSTOMER-USD'!$D18,'01. KE30'!$F:$F,'06. BC BH THEO CUSTOMER-USD'!$H18,'01. KE30'!$A:$A,'06. BC BH THEO CUSTOMER-USD'!CG$4)/CU18/'02. Tỷ giá'!D$5," -")</f>
        <v xml:space="preserve"> -</v>
      </c>
      <c r="CH18" s="95" t="str">
        <f>IFERROR(SUMIFS('01. KE30'!$R:$R,'01. KE30'!$C:$C,'06. BC BH THEO CUSTOMER-USD'!$D18,'01. KE30'!$F:$F,'06. BC BH THEO CUSTOMER-USD'!$H18,'01. KE30'!$A:$A,'06. BC BH THEO CUSTOMER-USD'!CH$4)/CV18/'02. Tỷ giá'!E$5," -")</f>
        <v xml:space="preserve"> -</v>
      </c>
      <c r="CI18" s="95" t="str">
        <f>IFERROR(SUMIFS('01. KE30'!$R:$R,'01. KE30'!$C:$C,'06. BC BH THEO CUSTOMER-USD'!$D18,'01. KE30'!$F:$F,'06. BC BH THEO CUSTOMER-USD'!$H18,'01. KE30'!$A:$A,'06. BC BH THEO CUSTOMER-USD'!CI$4)/CW18/'02. Tỷ giá'!F$5," -")</f>
        <v xml:space="preserve"> -</v>
      </c>
      <c r="CJ18" s="95">
        <f>IFERROR(SUMIFS('01. KE30'!$R:$R,'01. KE30'!$C:$C,'06. BC BH THEO CUSTOMER-USD'!$D18,'01. KE30'!$F:$F,'06. BC BH THEO CUSTOMER-USD'!$H18,'01. KE30'!$A:$A,'06. BC BH THEO CUSTOMER-USD'!CJ$4)/CX18/'02. Tỷ giá'!G$5," -")</f>
        <v>1078.8699261129818</v>
      </c>
      <c r="CK18" s="95" t="str">
        <f>IFERROR(SUMIFS('01. KE30'!$R:$R,'01. KE30'!$C:$C,'06. BC BH THEO CUSTOMER-USD'!$D18,'01. KE30'!$F:$F,'06. BC BH THEO CUSTOMER-USD'!$H18,'01. KE30'!$A:$A,'06. BC BH THEO CUSTOMER-USD'!CK$4)/CY18/'02. Tỷ giá'!H$5," -")</f>
        <v xml:space="preserve"> -</v>
      </c>
      <c r="CL18" s="95" t="str">
        <f>IFERROR(SUMIFS('01. KE30'!$R:$R,'01. KE30'!$C:$C,'06. BC BH THEO CUSTOMER-USD'!$D18,'01. KE30'!$F:$F,'06. BC BH THEO CUSTOMER-USD'!$H18,'01. KE30'!$A:$A,'06. BC BH THEO CUSTOMER-USD'!CL$4)/CZ18/'02. Tỷ giá'!I$5," -")</f>
        <v xml:space="preserve"> -</v>
      </c>
      <c r="CM18" s="95" t="str">
        <f>IFERROR(SUMIFS('01. KE30'!$R:$R,'01. KE30'!$C:$C,'06. BC BH THEO CUSTOMER-USD'!$D18,'01. KE30'!$F:$F,'06. BC BH THEO CUSTOMER-USD'!$H18,'01. KE30'!$A:$A,'06. BC BH THEO CUSTOMER-USD'!CM$4)/DA18/'02. Tỷ giá'!J$5," -")</f>
        <v xml:space="preserve"> -</v>
      </c>
      <c r="CN18" s="95" t="str">
        <f>IFERROR(SUMIFS('01. KE30'!$R:$R,'01. KE30'!$C:$C,'06. BC BH THEO CUSTOMER-USD'!$D18,'01. KE30'!$F:$F,'06. BC BH THEO CUSTOMER-USD'!$H18,'01. KE30'!$A:$A,'06. BC BH THEO CUSTOMER-USD'!CN$4)/DB18/'02. Tỷ giá'!K$5," -")</f>
        <v xml:space="preserve"> -</v>
      </c>
      <c r="CO18" s="95" t="str">
        <f>IFERROR(SUMIFS('01. KE30'!$R:$R,'01. KE30'!$C:$C,'06. BC BH THEO CUSTOMER-USD'!$D18,'01. KE30'!$F:$F,'06. BC BH THEO CUSTOMER-USD'!$H18,'01. KE30'!$A:$A,'06. BC BH THEO CUSTOMER-USD'!CO$4)/DC18/'02. Tỷ giá'!L$5," -")</f>
        <v xml:space="preserve"> -</v>
      </c>
      <c r="CP18" s="95" t="str">
        <f>IFERROR(SUMIFS('01. KE30'!$R:$R,'01. KE30'!$C:$C,'06. BC BH THEO CUSTOMER-USD'!$D18,'01. KE30'!$F:$F,'06. BC BH THEO CUSTOMER-USD'!$H18,'01. KE30'!$A:$A,'06. BC BH THEO CUSTOMER-USD'!CP$4)/DD18/'02. Tỷ giá'!M$5," -")</f>
        <v xml:space="preserve"> -</v>
      </c>
      <c r="CR18" s="112">
        <f t="shared" ref="CR18" si="70">SUM(CS18:DD18)</f>
        <v>9.8999999999999986</v>
      </c>
      <c r="CS18" s="54">
        <f>SUMIFS('01. KE30'!$I:$I,'01. KE30'!$C:$C,'06. BC BH THEO CUSTOMER-USD'!$D18,'01. KE30'!$F:$F,'06. BC BH THEO CUSTOMER-USD'!$H18,'01. KE30'!$A:$A,'06. BC BH THEO CUSTOMER-USD'!CS$4)/1000</f>
        <v>5.5</v>
      </c>
      <c r="CT18" s="54">
        <f>SUMIFS('01. KE30'!$I:$I,'01. KE30'!$C:$C,'06. BC BH THEO CUSTOMER-USD'!$D18,'01. KE30'!$F:$F,'06. BC BH THEO CUSTOMER-USD'!$H18,'01. KE30'!$A:$A,'06. BC BH THEO CUSTOMER-USD'!CT$4)/1000</f>
        <v>1.1000000000000001</v>
      </c>
      <c r="CU18" s="54">
        <f>SUMIFS('01. KE30'!$I:$I,'01. KE30'!$C:$C,'06. BC BH THEO CUSTOMER-USD'!$D18,'01. KE30'!$F:$F,'06. BC BH THEO CUSTOMER-USD'!$H18,'01. KE30'!$A:$A,'06. BC BH THEO CUSTOMER-USD'!CU$4)/1000</f>
        <v>0</v>
      </c>
      <c r="CV18" s="54">
        <f>SUMIFS('01. KE30'!$I:$I,'01. KE30'!$C:$C,'06. BC BH THEO CUSTOMER-USD'!$D18,'01. KE30'!$F:$F,'06. BC BH THEO CUSTOMER-USD'!$H18,'01. KE30'!$A:$A,'06. BC BH THEO CUSTOMER-USD'!CV$4)/1000</f>
        <v>0</v>
      </c>
      <c r="CW18" s="54">
        <f>SUMIFS('01. KE30'!$I:$I,'01. KE30'!$C:$C,'06. BC BH THEO CUSTOMER-USD'!$D18,'01. KE30'!$F:$F,'06. BC BH THEO CUSTOMER-USD'!$H18,'01. KE30'!$A:$A,'06. BC BH THEO CUSTOMER-USD'!CW$4)/1000</f>
        <v>0</v>
      </c>
      <c r="CX18" s="54">
        <f>SUMIFS('01. KE30'!$I:$I,'01. KE30'!$C:$C,'06. BC BH THEO CUSTOMER-USD'!$D18,'01. KE30'!$F:$F,'06. BC BH THEO CUSTOMER-USD'!$H18,'01. KE30'!$A:$A,'06. BC BH THEO CUSTOMER-USD'!CX$4)/1000</f>
        <v>3.3</v>
      </c>
      <c r="CY18" s="54">
        <f>SUMIFS('01. KE30'!$I:$I,'01. KE30'!$C:$C,'06. BC BH THEO CUSTOMER-USD'!$D18,'01. KE30'!$F:$F,'06. BC BH THEO CUSTOMER-USD'!$H18,'01. KE30'!$A:$A,'06. BC BH THEO CUSTOMER-USD'!CY$4)/1000</f>
        <v>0</v>
      </c>
      <c r="CZ18" s="54">
        <f>SUMIFS('01. KE30'!$I:$I,'01. KE30'!$C:$C,'06. BC BH THEO CUSTOMER-USD'!$D18,'01. KE30'!$F:$F,'06. BC BH THEO CUSTOMER-USD'!$H18,'01. KE30'!$A:$A,'06. BC BH THEO CUSTOMER-USD'!CZ$4)/1000</f>
        <v>0</v>
      </c>
      <c r="DA18" s="54">
        <f>SUMIFS('01. KE30'!$I:$I,'01. KE30'!$C:$C,'06. BC BH THEO CUSTOMER-USD'!$D18,'01. KE30'!$F:$F,'06. BC BH THEO CUSTOMER-USD'!$H18,'01. KE30'!$A:$A,'06. BC BH THEO CUSTOMER-USD'!DA$4)/1000</f>
        <v>0</v>
      </c>
      <c r="DB18" s="54">
        <f>SUMIFS('01. KE30'!$I:$I,'01. KE30'!$C:$C,'06. BC BH THEO CUSTOMER-USD'!$D18,'01. KE30'!$F:$F,'06. BC BH THEO CUSTOMER-USD'!$H18,'01. KE30'!$A:$A,'06. BC BH THEO CUSTOMER-USD'!DB$4)/1000</f>
        <v>0</v>
      </c>
      <c r="DC18" s="54">
        <f>SUMIFS('01. KE30'!$I:$I,'01. KE30'!$C:$C,'06. BC BH THEO CUSTOMER-USD'!$D18,'01. KE30'!$F:$F,'06. BC BH THEO CUSTOMER-USD'!$H18,'01. KE30'!$A:$A,'06. BC BH THEO CUSTOMER-USD'!DC$4)/1000</f>
        <v>0</v>
      </c>
      <c r="DD18" s="54">
        <f>SUMIFS('01. KE30'!$I:$I,'01. KE30'!$C:$C,'06. BC BH THEO CUSTOMER-USD'!$D18,'01. KE30'!$F:$F,'06. BC BH THEO CUSTOMER-USD'!$H18,'01. KE30'!$A:$A,'06. BC BH THEO CUSTOMER-USD'!DD$4)/1000</f>
        <v>0</v>
      </c>
      <c r="DF18" s="112">
        <f t="shared" ref="DF18" si="71">SUM(DG18:DR18)</f>
        <v>12965.197363840058</v>
      </c>
      <c r="DG18" s="54">
        <f t="shared" si="48"/>
        <v>7452.2074668807718</v>
      </c>
      <c r="DH18" s="54">
        <f t="shared" si="49"/>
        <v>1348.2040173296573</v>
      </c>
      <c r="DI18" s="54" t="str">
        <f t="shared" si="50"/>
        <v>-</v>
      </c>
      <c r="DJ18" s="54" t="str">
        <f t="shared" si="51"/>
        <v>-</v>
      </c>
      <c r="DK18" s="54" t="str">
        <f t="shared" si="52"/>
        <v>-</v>
      </c>
      <c r="DL18" s="54">
        <f t="shared" si="53"/>
        <v>4164.7858796296296</v>
      </c>
      <c r="DM18" s="54" t="str">
        <f t="shared" si="54"/>
        <v>-</v>
      </c>
      <c r="DN18" s="54" t="str">
        <f t="shared" si="55"/>
        <v>-</v>
      </c>
      <c r="DO18" s="54" t="str">
        <f t="shared" si="56"/>
        <v>-</v>
      </c>
      <c r="DP18" s="54" t="str">
        <f t="shared" si="57"/>
        <v>-</v>
      </c>
      <c r="DQ18" s="54" t="str">
        <f t="shared" si="58"/>
        <v>-</v>
      </c>
      <c r="DR18" s="54" t="str">
        <f t="shared" si="59"/>
        <v>-</v>
      </c>
      <c r="DT18" s="112">
        <f t="shared" si="60"/>
        <v>2670.9805051720446</v>
      </c>
      <c r="DU18" s="114">
        <f>IFERROR(SUMIFS('01. KE30'!$X:$X,'01. KE30'!$C:$C,'06. BC BH THEO CUSTOMER-USD'!$D18,'01. KE30'!$F:$F,'06. BC BH THEO CUSTOMER-USD'!$H18,'01. KE30'!$A:$A,'06. BC BH THEO CUSTOMER-USD'!DU$4)-SUMIFS('01. KE30'!$AA:$AA,'01. KE30'!$C:$C,'06. BC BH THEO CUSTOMER-USD'!$D18,'01. KE30'!$F:$F,'06. BC BH THEO CUSTOMER-USD'!$H18,'01. KE30'!$A:$A,'06. BC BH THEO CUSTOMER-USD'!DU$4),"-")</f>
        <v>1803.9834203131277</v>
      </c>
      <c r="DV18" s="114">
        <f>IFERROR(SUMIFS('01. KE30'!$X:$X,'01. KE30'!$C:$C,'06. BC BH THEO CUSTOMER-USD'!$D18,'01. KE30'!$F:$F,'06. BC BH THEO CUSTOMER-USD'!$H18,'01. KE30'!$A:$A,'06. BC BH THEO CUSTOMER-USD'!DV$4)-SUMIFS('01. KE30'!$AA:$AA,'01. KE30'!$C:$C,'06. BC BH THEO CUSTOMER-USD'!$D18,'01. KE30'!$F:$F,'06. BC BH THEO CUSTOMER-USD'!$H18,'01. KE30'!$A:$A,'06. BC BH THEO CUSTOMER-USD'!DV$4),"-")</f>
        <v>262.48196140212667</v>
      </c>
      <c r="DW18" s="114">
        <f>IFERROR(SUMIFS('01. KE30'!$X:$X,'01. KE30'!$C:$C,'06. BC BH THEO CUSTOMER-USD'!$D18,'01. KE30'!$F:$F,'06. BC BH THEO CUSTOMER-USD'!$H18,'01. KE30'!$A:$A,'06. BC BH THEO CUSTOMER-USD'!DW$4)-SUMIFS('01. KE30'!$AA:$AA,'01. KE30'!$C:$C,'06. BC BH THEO CUSTOMER-USD'!$D18,'01. KE30'!$F:$F,'06. BC BH THEO CUSTOMER-USD'!$H18,'01. KE30'!$A:$A,'06. BC BH THEO CUSTOMER-USD'!DW$4),"-")</f>
        <v>0</v>
      </c>
      <c r="DX18" s="114">
        <f>IFERROR(SUMIFS('01. KE30'!$X:$X,'01. KE30'!$C:$C,'06. BC BH THEO CUSTOMER-USD'!$D18,'01. KE30'!$F:$F,'06. BC BH THEO CUSTOMER-USD'!$H18,'01. KE30'!$A:$A,'06. BC BH THEO CUSTOMER-USD'!DX$4)-SUMIFS('01. KE30'!$AA:$AA,'01. KE30'!$C:$C,'06. BC BH THEO CUSTOMER-USD'!$D18,'01. KE30'!$F:$F,'06. BC BH THEO CUSTOMER-USD'!$H18,'01. KE30'!$A:$A,'06. BC BH THEO CUSTOMER-USD'!DX$4),"-")</f>
        <v>0</v>
      </c>
      <c r="DY18" s="114">
        <f>IFERROR(SUMIFS('01. KE30'!$X:$X,'01. KE30'!$C:$C,'06. BC BH THEO CUSTOMER-USD'!$D18,'01. KE30'!$F:$F,'06. BC BH THEO CUSTOMER-USD'!$H18,'01. KE30'!$A:$A,'06. BC BH THEO CUSTOMER-USD'!DY$4)-SUMIFS('01. KE30'!$AA:$AA,'01. KE30'!$C:$C,'06. BC BH THEO CUSTOMER-USD'!$D18,'01. KE30'!$F:$F,'06. BC BH THEO CUSTOMER-USD'!$H18,'01. KE30'!$A:$A,'06. BC BH THEO CUSTOMER-USD'!DY$4),"-")</f>
        <v>0</v>
      </c>
      <c r="DZ18" s="114">
        <f>IFERROR(SUMIFS('01. KE30'!$X:$X,'01. KE30'!$C:$C,'06. BC BH THEO CUSTOMER-USD'!$D18,'01. KE30'!$F:$F,'06. BC BH THEO CUSTOMER-USD'!$H18,'01. KE30'!$A:$A,'06. BC BH THEO CUSTOMER-USD'!DZ$4)-SUMIFS('01. KE30'!$AA:$AA,'01. KE30'!$C:$C,'06. BC BH THEO CUSTOMER-USD'!$D18,'01. KE30'!$F:$F,'06. BC BH THEO CUSTOMER-USD'!$H18,'01. KE30'!$A:$A,'06. BC BH THEO CUSTOMER-USD'!DZ$4),"-")</f>
        <v>604.51512345679021</v>
      </c>
      <c r="EA18" s="114">
        <f>IFERROR(SUMIFS('01. KE30'!$X:$X,'01. KE30'!$C:$C,'06. BC BH THEO CUSTOMER-USD'!$D18,'01. KE30'!$F:$F,'06. BC BH THEO CUSTOMER-USD'!$H18,'01. KE30'!$A:$A,'06. BC BH THEO CUSTOMER-USD'!EA$4)-SUMIFS('01. KE30'!$AA:$AA,'01. KE30'!$C:$C,'06. BC BH THEO CUSTOMER-USD'!$D18,'01. KE30'!$F:$F,'06. BC BH THEO CUSTOMER-USD'!$H18,'01. KE30'!$A:$A,'06. BC BH THEO CUSTOMER-USD'!EA$4),"-")</f>
        <v>0</v>
      </c>
      <c r="EB18" s="114">
        <f>IFERROR(SUMIFS('01. KE30'!$X:$X,'01. KE30'!$C:$C,'06. BC BH THEO CUSTOMER-USD'!$D18,'01. KE30'!$F:$F,'06. BC BH THEO CUSTOMER-USD'!$H18,'01. KE30'!$A:$A,'06. BC BH THEO CUSTOMER-USD'!EB$4)-SUMIFS('01. KE30'!$AA:$AA,'01. KE30'!$C:$C,'06. BC BH THEO CUSTOMER-USD'!$D18,'01. KE30'!$F:$F,'06. BC BH THEO CUSTOMER-USD'!$H18,'01. KE30'!$A:$A,'06. BC BH THEO CUSTOMER-USD'!EB$4),"-")</f>
        <v>0</v>
      </c>
      <c r="EC18" s="114">
        <f>IFERROR(SUMIFS('01. KE30'!$X:$X,'01. KE30'!$C:$C,'06. BC BH THEO CUSTOMER-USD'!$D18,'01. KE30'!$F:$F,'06. BC BH THEO CUSTOMER-USD'!$H18,'01. KE30'!$A:$A,'06. BC BH THEO CUSTOMER-USD'!EC$4)-SUMIFS('01. KE30'!$AA:$AA,'01. KE30'!$C:$C,'06. BC BH THEO CUSTOMER-USD'!$D18,'01. KE30'!$F:$F,'06. BC BH THEO CUSTOMER-USD'!$H18,'01. KE30'!$A:$A,'06. BC BH THEO CUSTOMER-USD'!EC$4),"-")</f>
        <v>0</v>
      </c>
      <c r="ED18" s="114">
        <f>IFERROR(SUMIFS('01. KE30'!$X:$X,'01. KE30'!$C:$C,'06. BC BH THEO CUSTOMER-USD'!$D18,'01. KE30'!$F:$F,'06. BC BH THEO CUSTOMER-USD'!$H18,'01. KE30'!$A:$A,'06. BC BH THEO CUSTOMER-USD'!ED$4)-SUMIFS('01. KE30'!$AA:$AA,'01. KE30'!$C:$C,'06. BC BH THEO CUSTOMER-USD'!$D18,'01. KE30'!$F:$F,'06. BC BH THEO CUSTOMER-USD'!$H18,'01. KE30'!$A:$A,'06. BC BH THEO CUSTOMER-USD'!ED$4),"-")</f>
        <v>0</v>
      </c>
      <c r="EE18" s="114">
        <f>IFERROR(SUMIFS('01. KE30'!$X:$X,'01. KE30'!$C:$C,'06. BC BH THEO CUSTOMER-USD'!$D18,'01. KE30'!$F:$F,'06. BC BH THEO CUSTOMER-USD'!$H18,'01. KE30'!$A:$A,'06. BC BH THEO CUSTOMER-USD'!EE$4)-SUMIFS('01. KE30'!$AA:$AA,'01. KE30'!$C:$C,'06. BC BH THEO CUSTOMER-USD'!$D18,'01. KE30'!$F:$F,'06. BC BH THEO CUSTOMER-USD'!$H18,'01. KE30'!$A:$A,'06. BC BH THEO CUSTOMER-USD'!EE$4),"-")</f>
        <v>0</v>
      </c>
      <c r="EF18" s="114">
        <f>IFERROR(SUMIFS('01. KE30'!$X:$X,'01. KE30'!$C:$C,'06. BC BH THEO CUSTOMER-USD'!$D18,'01. KE30'!$F:$F,'06. BC BH THEO CUSTOMER-USD'!$H18,'01. KE30'!$A:$A,'06. BC BH THEO CUSTOMER-USD'!EF$4)-SUMIFS('01. KE30'!$AA:$AA,'01. KE30'!$C:$C,'06. BC BH THEO CUSTOMER-USD'!$D18,'01. KE30'!$F:$F,'06. BC BH THEO CUSTOMER-USD'!$H18,'01. KE30'!$A:$A,'06. BC BH THEO CUSTOMER-USD'!EF$4),"-")</f>
        <v>0</v>
      </c>
      <c r="EH18" s="571">
        <f t="shared" si="29"/>
        <v>0.20601155772772195</v>
      </c>
      <c r="EI18" s="572">
        <f t="shared" si="30"/>
        <v>0.24207369807274176</v>
      </c>
      <c r="EJ18" s="572">
        <f t="shared" si="31"/>
        <v>0.19469008994797088</v>
      </c>
      <c r="EK18" s="572" t="str">
        <f t="shared" si="32"/>
        <v>-</v>
      </c>
      <c r="EL18" s="572" t="str">
        <f t="shared" si="33"/>
        <v>-</v>
      </c>
      <c r="EM18" s="572" t="str">
        <f t="shared" si="34"/>
        <v>-</v>
      </c>
      <c r="EN18" s="572">
        <f t="shared" si="35"/>
        <v>0.1451491483424231</v>
      </c>
      <c r="EO18" s="572" t="str">
        <f t="shared" si="36"/>
        <v>-</v>
      </c>
      <c r="EP18" s="572" t="str">
        <f t="shared" si="37"/>
        <v>-</v>
      </c>
      <c r="EQ18" s="572" t="str">
        <f t="shared" si="38"/>
        <v>-</v>
      </c>
      <c r="ER18" s="572" t="str">
        <f t="shared" si="39"/>
        <v>-</v>
      </c>
      <c r="ES18" s="572" t="str">
        <f t="shared" si="40"/>
        <v>-</v>
      </c>
      <c r="ET18" s="572" t="str">
        <f t="shared" si="41"/>
        <v>-</v>
      </c>
    </row>
    <row r="19" spans="1:150" ht="15.5" hidden="1" outlineLevel="1" x14ac:dyDescent="0.35">
      <c r="A19" s="27">
        <f t="shared" si="63"/>
        <v>14</v>
      </c>
      <c r="B19" s="27" t="s">
        <v>283</v>
      </c>
      <c r="C19" s="442" t="s">
        <v>489</v>
      </c>
      <c r="D19" s="9" t="s">
        <v>148</v>
      </c>
      <c r="E19" s="12" t="s">
        <v>147</v>
      </c>
      <c r="F19" s="12" t="s">
        <v>246</v>
      </c>
      <c r="G19" s="12" t="str">
        <f>_xlfn.XLOOKUP(F19,'Quy đổi'!$G$5:$G$32,'Quy đổi'!$H$5:$H$32,0)</f>
        <v>Châu Âu</v>
      </c>
      <c r="H19" s="76" t="s">
        <v>100</v>
      </c>
      <c r="I19" s="28" t="s">
        <v>99</v>
      </c>
      <c r="J19" s="6" t="s">
        <v>26</v>
      </c>
      <c r="K19" s="11" t="s">
        <v>90</v>
      </c>
      <c r="L19" s="92" t="str">
        <f t="shared" si="42"/>
        <v>-</v>
      </c>
      <c r="M19" s="106" t="str">
        <f>IFERROR(SUMIFS('01. KE30'!$K:$K,'01. KE30'!$C:$C,'06. BC BH THEO CUSTOMER-USD'!$D19,'01. KE30'!$F:$F,'06. BC BH THEO CUSTOMER-USD'!$H19,'01. KE30'!$A:$A,'06. BC BH THEO CUSTOMER-USD'!M$4)/'06. BC BH THEO CUSTOMER-USD'!CS19/'02. Tỷ giá'!B$5,"-")</f>
        <v>-</v>
      </c>
      <c r="N19" s="106" t="str">
        <f>IFERROR(SUMIFS('01. KE30'!$K:$K,'01. KE30'!$C:$C,'06. BC BH THEO CUSTOMER-USD'!$D19,'01. KE30'!$F:$F,'06. BC BH THEO CUSTOMER-USD'!$H19,'01. KE30'!$A:$A,'06. BC BH THEO CUSTOMER-USD'!N$4)/'06. BC BH THEO CUSTOMER-USD'!CT19/'02. Tỷ giá'!C$5,"-")</f>
        <v>-</v>
      </c>
      <c r="O19" s="106" t="str">
        <f>IFERROR(SUMIFS('01. KE30'!$K:$K,'01. KE30'!$C:$C,'06. BC BH THEO CUSTOMER-USD'!$D19,'01. KE30'!$F:$F,'06. BC BH THEO CUSTOMER-USD'!$H19,'01. KE30'!$A:$A,'06. BC BH THEO CUSTOMER-USD'!O$4)/'06. BC BH THEO CUSTOMER-USD'!CU19/'02. Tỷ giá'!D$5,"-")</f>
        <v>-</v>
      </c>
      <c r="P19" s="106" t="str">
        <f>IFERROR(SUMIFS('01. KE30'!$K:$K,'01. KE30'!$C:$C,'06. BC BH THEO CUSTOMER-USD'!$D19,'01. KE30'!$F:$F,'06. BC BH THEO CUSTOMER-USD'!$H19,'01. KE30'!$A:$A,'06. BC BH THEO CUSTOMER-USD'!P$4)/'06. BC BH THEO CUSTOMER-USD'!CV19/'02. Tỷ giá'!E$5,"-")</f>
        <v>-</v>
      </c>
      <c r="Q19" s="106" t="str">
        <f>IFERROR(SUMIFS('01. KE30'!$K:$K,'01. KE30'!$C:$C,'06. BC BH THEO CUSTOMER-USD'!$D19,'01. KE30'!$F:$F,'06. BC BH THEO CUSTOMER-USD'!$H19,'01. KE30'!$A:$A,'06. BC BH THEO CUSTOMER-USD'!Q$4)/'06. BC BH THEO CUSTOMER-USD'!CW19/'02. Tỷ giá'!F$5,"-")</f>
        <v>-</v>
      </c>
      <c r="R19" s="106" t="str">
        <f>IFERROR(SUMIFS('01. KE30'!$K:$K,'01. KE30'!$C:$C,'06. BC BH THEO CUSTOMER-USD'!$D19,'01. KE30'!$F:$F,'06. BC BH THEO CUSTOMER-USD'!$H19,'01. KE30'!$A:$A,'06. BC BH THEO CUSTOMER-USD'!R$4)/'06. BC BH THEO CUSTOMER-USD'!CX19/'02. Tỷ giá'!G$5,"-")</f>
        <v>-</v>
      </c>
      <c r="S19" s="106" t="str">
        <f>IFERROR(SUMIFS('01. KE30'!$K:$K,'01. KE30'!$C:$C,'06. BC BH THEO CUSTOMER-USD'!$D19,'01. KE30'!$F:$F,'06. BC BH THEO CUSTOMER-USD'!$H19,'01. KE30'!$A:$A,'06. BC BH THEO CUSTOMER-USD'!S$4)/'06. BC BH THEO CUSTOMER-USD'!CY19/'02. Tỷ giá'!H$5,"-")</f>
        <v>-</v>
      </c>
      <c r="T19" s="106" t="str">
        <f>IFERROR(SUMIFS('01. KE30'!$K:$K,'01. KE30'!$C:$C,'06. BC BH THEO CUSTOMER-USD'!$D19,'01. KE30'!$F:$F,'06. BC BH THEO CUSTOMER-USD'!$H19,'01. KE30'!$A:$A,'06. BC BH THEO CUSTOMER-USD'!T$4)/'06. BC BH THEO CUSTOMER-USD'!CZ19/'02. Tỷ giá'!I$5,"-")</f>
        <v>-</v>
      </c>
      <c r="U19" s="106" t="str">
        <f>IFERROR(SUMIFS('01. KE30'!$K:$K,'01. KE30'!$C:$C,'06. BC BH THEO CUSTOMER-USD'!$D19,'01. KE30'!$F:$F,'06. BC BH THEO CUSTOMER-USD'!$H19,'01. KE30'!$A:$A,'06. BC BH THEO CUSTOMER-USD'!U$4)/'06. BC BH THEO CUSTOMER-USD'!DA19/'02. Tỷ giá'!J$5,"-")</f>
        <v>-</v>
      </c>
      <c r="V19" s="106" t="str">
        <f>IFERROR(SUMIFS('01. KE30'!$K:$K,'01. KE30'!$C:$C,'06. BC BH THEO CUSTOMER-USD'!$D19,'01. KE30'!$F:$F,'06. BC BH THEO CUSTOMER-USD'!$H19,'01. KE30'!$A:$A,'06. BC BH THEO CUSTOMER-USD'!V$4)/'06. BC BH THEO CUSTOMER-USD'!DB19/'02. Tỷ giá'!K$5,"-")</f>
        <v>-</v>
      </c>
      <c r="W19" s="106" t="str">
        <f>IFERROR(SUMIFS('01. KE30'!$K:$K,'01. KE30'!$C:$C,'06. BC BH THEO CUSTOMER-USD'!$D19,'01. KE30'!$F:$F,'06. BC BH THEO CUSTOMER-USD'!$H19,'01. KE30'!$A:$A,'06. BC BH THEO CUSTOMER-USD'!W$4)/'06. BC BH THEO CUSTOMER-USD'!DC19/'02. Tỷ giá'!L$5,"-")</f>
        <v>-</v>
      </c>
      <c r="X19" s="106" t="str">
        <f>IFERROR(SUMIFS('01. KE30'!$K:$K,'01. KE30'!$C:$C,'06. BC BH THEO CUSTOMER-USD'!$D19,'01. KE30'!$F:$F,'06. BC BH THEO CUSTOMER-USD'!$H19,'01. KE30'!$A:$A,'06. BC BH THEO CUSTOMER-USD'!X$4)/'06. BC BH THEO CUSTOMER-USD'!DD19/'02. Tỷ giá'!M$5,"-")</f>
        <v>-</v>
      </c>
      <c r="Z19" s="92" t="str">
        <f t="shared" si="43"/>
        <v>-</v>
      </c>
      <c r="AA19" s="147" t="str">
        <f>IFERROR(SUMIFS('01. KE30'!$O:$O,'01. KE30'!$C:$C,'06. BC BH THEO CUSTOMER-USD'!$D19,'01. KE30'!$F:$F,'06. BC BH THEO CUSTOMER-USD'!$H19,'01. KE30'!$A:$A,'06. BC BH THEO CUSTOMER-USD'!M$4)/'06. BC BH THEO CUSTOMER-USD'!CS19/'02. Tỷ giá'!B$5,"-")</f>
        <v>-</v>
      </c>
      <c r="AB19" s="147" t="str">
        <f>IFERROR(SUMIFS('01. KE30'!$O:$O,'01. KE30'!$C:$C,'06. BC BH THEO CUSTOMER-USD'!$D19,'01. KE30'!$F:$F,'06. BC BH THEO CUSTOMER-USD'!$H19,'01. KE30'!$A:$A,'06. BC BH THEO CUSTOMER-USD'!N$4)/'06. BC BH THEO CUSTOMER-USD'!CT19/'02. Tỷ giá'!C$5,"-")</f>
        <v>-</v>
      </c>
      <c r="AC19" s="147" t="str">
        <f>IFERROR(SUMIFS('01. KE30'!$O:$O,'01. KE30'!$C:$C,'06. BC BH THEO CUSTOMER-USD'!$D19,'01. KE30'!$F:$F,'06. BC BH THEO CUSTOMER-USD'!$H19,'01. KE30'!$A:$A,'06. BC BH THEO CUSTOMER-USD'!O$4)/'06. BC BH THEO CUSTOMER-USD'!CU19/'02. Tỷ giá'!D$5,"-")</f>
        <v>-</v>
      </c>
      <c r="AD19" s="147" t="str">
        <f>IFERROR(SUMIFS('01. KE30'!$O:$O,'01. KE30'!$C:$C,'06. BC BH THEO CUSTOMER-USD'!$D19,'01. KE30'!$F:$F,'06. BC BH THEO CUSTOMER-USD'!$H19,'01. KE30'!$A:$A,'06. BC BH THEO CUSTOMER-USD'!P$4)/'06. BC BH THEO CUSTOMER-USD'!CV19/'02. Tỷ giá'!E$5,"-")</f>
        <v>-</v>
      </c>
      <c r="AE19" s="147" t="str">
        <f>IFERROR(SUMIFS('01. KE30'!$O:$O,'01. KE30'!$C:$C,'06. BC BH THEO CUSTOMER-USD'!$D19,'01. KE30'!$F:$F,'06. BC BH THEO CUSTOMER-USD'!$H19,'01. KE30'!$A:$A,'06. BC BH THEO CUSTOMER-USD'!Q$4)/'06. BC BH THEO CUSTOMER-USD'!CW19/'02. Tỷ giá'!F$5,"-")</f>
        <v>-</v>
      </c>
      <c r="AF19" s="147" t="str">
        <f>IFERROR(SUMIFS('01. KE30'!$O:$O,'01. KE30'!$C:$C,'06. BC BH THEO CUSTOMER-USD'!$D19,'01. KE30'!$F:$F,'06. BC BH THEO CUSTOMER-USD'!$H19,'01. KE30'!$A:$A,'06. BC BH THEO CUSTOMER-USD'!R$4)/'06. BC BH THEO CUSTOMER-USD'!CX19/'02. Tỷ giá'!G$5,"-")</f>
        <v>-</v>
      </c>
      <c r="AG19" s="147" t="str">
        <f>IFERROR(SUMIFS('01. KE30'!$O:$O,'01. KE30'!$C:$C,'06. BC BH THEO CUSTOMER-USD'!$D19,'01. KE30'!$F:$F,'06. BC BH THEO CUSTOMER-USD'!$H19,'01. KE30'!$A:$A,'06. BC BH THEO CUSTOMER-USD'!S$4)/'06. BC BH THEO CUSTOMER-USD'!CY19/'02. Tỷ giá'!H$5,"-")</f>
        <v>-</v>
      </c>
      <c r="AH19" s="147" t="str">
        <f>IFERROR(SUMIFS('01. KE30'!$O:$O,'01. KE30'!$C:$C,'06. BC BH THEO CUSTOMER-USD'!$D19,'01. KE30'!$F:$F,'06. BC BH THEO CUSTOMER-USD'!$H19,'01. KE30'!$A:$A,'06. BC BH THEO CUSTOMER-USD'!T$4)/'06. BC BH THEO CUSTOMER-USD'!CZ19/'02. Tỷ giá'!I$5,"-")</f>
        <v>-</v>
      </c>
      <c r="AI19" s="147" t="str">
        <f>IFERROR(SUMIFS('01. KE30'!$O:$O,'01. KE30'!$C:$C,'06. BC BH THEO CUSTOMER-USD'!$D19,'01. KE30'!$F:$F,'06. BC BH THEO CUSTOMER-USD'!$H19,'01. KE30'!$A:$A,'06. BC BH THEO CUSTOMER-USD'!U$4)/'06. BC BH THEO CUSTOMER-USD'!DA19/'02. Tỷ giá'!J$5,"-")</f>
        <v>-</v>
      </c>
      <c r="AJ19" s="147" t="str">
        <f>IFERROR(SUMIFS('01. KE30'!$O:$O,'01. KE30'!$C:$C,'06. BC BH THEO CUSTOMER-USD'!$D19,'01. KE30'!$F:$F,'06. BC BH THEO CUSTOMER-USD'!$H19,'01. KE30'!$A:$A,'06. BC BH THEO CUSTOMER-USD'!V$4)/'06. BC BH THEO CUSTOMER-USD'!DB19/'02. Tỷ giá'!K$5,"-")</f>
        <v>-</v>
      </c>
      <c r="AK19" s="147" t="str">
        <f>IFERROR(SUMIFS('01. KE30'!$O:$O,'01. KE30'!$C:$C,'06. BC BH THEO CUSTOMER-USD'!$D19,'01. KE30'!$F:$F,'06. BC BH THEO CUSTOMER-USD'!$H19,'01. KE30'!$A:$A,'06. BC BH THEO CUSTOMER-USD'!W$4)/'06. BC BH THEO CUSTOMER-USD'!DC19/'02. Tỷ giá'!L$5,"-")</f>
        <v>-</v>
      </c>
      <c r="AL19" s="147" t="str">
        <f>IFERROR(SUMIFS('01. KE30'!$O:$O,'01. KE30'!$C:$C,'06. BC BH THEO CUSTOMER-USD'!$D19,'01. KE30'!$F:$F,'06. BC BH THEO CUSTOMER-USD'!$H19,'01. KE30'!$A:$A,'06. BC BH THEO CUSTOMER-USD'!X$4)/'06. BC BH THEO CUSTOMER-USD'!DD19/'02. Tỷ giá'!M$5,"-")</f>
        <v>-</v>
      </c>
      <c r="AN19" s="92">
        <f t="shared" si="44"/>
        <v>1266.6666666666667</v>
      </c>
      <c r="AO19" s="25">
        <v>1260</v>
      </c>
      <c r="AP19" s="25">
        <v>1260</v>
      </c>
      <c r="AQ19" s="25">
        <v>1260</v>
      </c>
      <c r="AR19" s="4">
        <f t="shared" ref="AR19:AR24" si="72">AQ19+20</f>
        <v>1280</v>
      </c>
      <c r="AS19" s="4">
        <v>1280</v>
      </c>
      <c r="AT19" s="4">
        <v>1280</v>
      </c>
      <c r="AU19" s="4">
        <v>1280</v>
      </c>
      <c r="AV19" s="4">
        <f t="shared" si="66"/>
        <v>1250</v>
      </c>
      <c r="AW19" s="25">
        <v>1250</v>
      </c>
      <c r="AX19" s="25"/>
      <c r="AY19" s="4"/>
      <c r="AZ19" s="4"/>
      <c r="BB19" s="95" t="str">
        <f t="shared" si="45"/>
        <v>-</v>
      </c>
      <c r="BC19" s="95" t="str">
        <f t="shared" si="46"/>
        <v>-</v>
      </c>
      <c r="BD19" s="95" t="str">
        <f t="shared" si="6"/>
        <v>-</v>
      </c>
      <c r="BE19" s="95" t="str">
        <f t="shared" si="6"/>
        <v>-</v>
      </c>
      <c r="BF19" s="95" t="str">
        <f t="shared" si="6"/>
        <v>-</v>
      </c>
      <c r="BG19" s="95" t="str">
        <f t="shared" si="6"/>
        <v>-</v>
      </c>
      <c r="BH19" s="95" t="str">
        <f t="shared" si="6"/>
        <v>-</v>
      </c>
      <c r="BI19" s="95" t="str">
        <f t="shared" si="6"/>
        <v>-</v>
      </c>
      <c r="BJ19" s="95" t="str">
        <f t="shared" si="6"/>
        <v>-</v>
      </c>
      <c r="BK19" s="95" t="str">
        <f t="shared" si="6"/>
        <v>-</v>
      </c>
      <c r="BL19" s="95" t="str">
        <f t="shared" si="6"/>
        <v>-</v>
      </c>
      <c r="BM19" s="95" t="str">
        <f t="shared" si="6"/>
        <v>-</v>
      </c>
      <c r="BN19" s="95" t="str">
        <f t="shared" si="6"/>
        <v>-</v>
      </c>
      <c r="BP19" s="143" t="str">
        <f t="shared" si="47"/>
        <v>-</v>
      </c>
      <c r="BQ19" s="143" t="str">
        <f t="shared" si="8"/>
        <v>-</v>
      </c>
      <c r="BR19" s="143" t="str">
        <f t="shared" si="9"/>
        <v>-</v>
      </c>
      <c r="BS19" s="143" t="str">
        <f t="shared" si="10"/>
        <v>-</v>
      </c>
      <c r="BT19" s="143" t="str">
        <f t="shared" si="11"/>
        <v>-</v>
      </c>
      <c r="BU19" s="143" t="str">
        <f t="shared" si="12"/>
        <v>-</v>
      </c>
      <c r="BV19" s="143" t="str">
        <f t="shared" si="13"/>
        <v>-</v>
      </c>
      <c r="BW19" s="143" t="str">
        <f t="shared" si="14"/>
        <v>-</v>
      </c>
      <c r="BX19" s="143" t="str">
        <f t="shared" si="15"/>
        <v>-</v>
      </c>
      <c r="BY19" s="143" t="str">
        <f t="shared" si="16"/>
        <v>-</v>
      </c>
      <c r="BZ19" s="143" t="str">
        <f t="shared" si="17"/>
        <v>-</v>
      </c>
      <c r="CA19" s="143" t="str">
        <f t="shared" si="18"/>
        <v>-</v>
      </c>
      <c r="CB19" s="143" t="str">
        <f t="shared" si="19"/>
        <v>-</v>
      </c>
      <c r="CD19" s="112" t="str">
        <f t="shared" si="25"/>
        <v>-</v>
      </c>
      <c r="CE19" s="95" t="str">
        <f>IFERROR(SUMIFS('01. KE30'!$R:$R,'01. KE30'!$C:$C,'06. BC BH THEO CUSTOMER-USD'!$D19,'01. KE30'!$F:$F,'06. BC BH THEO CUSTOMER-USD'!$H19,'01. KE30'!$A:$A,'06. BC BH THEO CUSTOMER-USD'!CE$4)/CS19/'02. Tỷ giá'!B$5," -")</f>
        <v xml:space="preserve"> -</v>
      </c>
      <c r="CF19" s="95" t="str">
        <f>IFERROR(SUMIFS('01. KE30'!$R:$R,'01. KE30'!$C:$C,'06. BC BH THEO CUSTOMER-USD'!$D19,'01. KE30'!$F:$F,'06. BC BH THEO CUSTOMER-USD'!$H19,'01. KE30'!$A:$A,'06. BC BH THEO CUSTOMER-USD'!CF$4)/CT19/'02. Tỷ giá'!C$5," -")</f>
        <v xml:space="preserve"> -</v>
      </c>
      <c r="CG19" s="95" t="str">
        <f>IFERROR(SUMIFS('01. KE30'!$R:$R,'01. KE30'!$C:$C,'06. BC BH THEO CUSTOMER-USD'!$D19,'01. KE30'!$F:$F,'06. BC BH THEO CUSTOMER-USD'!$H19,'01. KE30'!$A:$A,'06. BC BH THEO CUSTOMER-USD'!CG$4)/CU19/'02. Tỷ giá'!D$5," -")</f>
        <v xml:space="preserve"> -</v>
      </c>
      <c r="CH19" s="95" t="str">
        <f>IFERROR(SUMIFS('01. KE30'!$R:$R,'01. KE30'!$C:$C,'06. BC BH THEO CUSTOMER-USD'!$D19,'01. KE30'!$F:$F,'06. BC BH THEO CUSTOMER-USD'!$H19,'01. KE30'!$A:$A,'06. BC BH THEO CUSTOMER-USD'!CH$4)/CV19/'02. Tỷ giá'!E$5," -")</f>
        <v xml:space="preserve"> -</v>
      </c>
      <c r="CI19" s="95" t="str">
        <f>IFERROR(SUMIFS('01. KE30'!$R:$R,'01. KE30'!$C:$C,'06. BC BH THEO CUSTOMER-USD'!$D19,'01. KE30'!$F:$F,'06. BC BH THEO CUSTOMER-USD'!$H19,'01. KE30'!$A:$A,'06. BC BH THEO CUSTOMER-USD'!CI$4)/CW19/'02. Tỷ giá'!F$5," -")</f>
        <v xml:space="preserve"> -</v>
      </c>
      <c r="CJ19" s="95" t="str">
        <f>IFERROR(SUMIFS('01. KE30'!$R:$R,'01. KE30'!$C:$C,'06. BC BH THEO CUSTOMER-USD'!$D19,'01. KE30'!$F:$F,'06. BC BH THEO CUSTOMER-USD'!$H19,'01. KE30'!$A:$A,'06. BC BH THEO CUSTOMER-USD'!CJ$4)/CX19/'02. Tỷ giá'!G$5," -")</f>
        <v xml:space="preserve"> -</v>
      </c>
      <c r="CK19" s="95" t="str">
        <f>IFERROR(SUMIFS('01. KE30'!$R:$R,'01. KE30'!$C:$C,'06. BC BH THEO CUSTOMER-USD'!$D19,'01. KE30'!$F:$F,'06. BC BH THEO CUSTOMER-USD'!$H19,'01. KE30'!$A:$A,'06. BC BH THEO CUSTOMER-USD'!CK$4)/CY19/'02. Tỷ giá'!H$5," -")</f>
        <v xml:space="preserve"> -</v>
      </c>
      <c r="CL19" s="95" t="str">
        <f>IFERROR(SUMIFS('01. KE30'!$R:$R,'01. KE30'!$C:$C,'06. BC BH THEO CUSTOMER-USD'!$D19,'01. KE30'!$F:$F,'06. BC BH THEO CUSTOMER-USD'!$H19,'01. KE30'!$A:$A,'06. BC BH THEO CUSTOMER-USD'!CL$4)/CZ19/'02. Tỷ giá'!I$5," -")</f>
        <v xml:space="preserve"> -</v>
      </c>
      <c r="CM19" s="95" t="str">
        <f>IFERROR(SUMIFS('01. KE30'!$R:$R,'01. KE30'!$C:$C,'06. BC BH THEO CUSTOMER-USD'!$D19,'01. KE30'!$F:$F,'06. BC BH THEO CUSTOMER-USD'!$H19,'01. KE30'!$A:$A,'06. BC BH THEO CUSTOMER-USD'!CM$4)/DA19/'02. Tỷ giá'!J$5," -")</f>
        <v xml:space="preserve"> -</v>
      </c>
      <c r="CN19" s="95" t="str">
        <f>IFERROR(SUMIFS('01. KE30'!$R:$R,'01. KE30'!$C:$C,'06. BC BH THEO CUSTOMER-USD'!$D19,'01. KE30'!$F:$F,'06. BC BH THEO CUSTOMER-USD'!$H19,'01. KE30'!$A:$A,'06. BC BH THEO CUSTOMER-USD'!CN$4)/DB19/'02. Tỷ giá'!K$5," -")</f>
        <v xml:space="preserve"> -</v>
      </c>
      <c r="CO19" s="95" t="str">
        <f>IFERROR(SUMIFS('01. KE30'!$R:$R,'01. KE30'!$C:$C,'06. BC BH THEO CUSTOMER-USD'!$D19,'01. KE30'!$F:$F,'06. BC BH THEO CUSTOMER-USD'!$H19,'01. KE30'!$A:$A,'06. BC BH THEO CUSTOMER-USD'!CO$4)/DC19/'02. Tỷ giá'!L$5," -")</f>
        <v xml:space="preserve"> -</v>
      </c>
      <c r="CP19" s="95" t="str">
        <f>IFERROR(SUMIFS('01. KE30'!$R:$R,'01. KE30'!$C:$C,'06. BC BH THEO CUSTOMER-USD'!$D19,'01. KE30'!$F:$F,'06. BC BH THEO CUSTOMER-USD'!$H19,'01. KE30'!$A:$A,'06. BC BH THEO CUSTOMER-USD'!CP$4)/DD19/'02. Tỷ giá'!M$5," -")</f>
        <v xml:space="preserve"> -</v>
      </c>
      <c r="CR19" s="112">
        <f t="shared" si="26"/>
        <v>0</v>
      </c>
      <c r="CS19" s="114">
        <f>SUMIFS('01. KE30'!$I:$I,'01. KE30'!$C:$C,'06. BC BH THEO CUSTOMER-USD'!$D19,'01. KE30'!$F:$F,'06. BC BH THEO CUSTOMER-USD'!$H19,'01. KE30'!$A:$A,'06. BC BH THEO CUSTOMER-USD'!CS$4)/1000</f>
        <v>0</v>
      </c>
      <c r="CT19" s="114">
        <f>SUMIFS('01. KE30'!$I:$I,'01. KE30'!$C:$C,'06. BC BH THEO CUSTOMER-USD'!$D19,'01. KE30'!$F:$F,'06. BC BH THEO CUSTOMER-USD'!$H19,'01. KE30'!$A:$A,'06. BC BH THEO CUSTOMER-USD'!CT$4)/1000</f>
        <v>0</v>
      </c>
      <c r="CU19" s="114">
        <f>SUMIFS('01. KE30'!$I:$I,'01. KE30'!$C:$C,'06. BC BH THEO CUSTOMER-USD'!$D19,'01. KE30'!$F:$F,'06. BC BH THEO CUSTOMER-USD'!$H19,'01. KE30'!$A:$A,'06. BC BH THEO CUSTOMER-USD'!CU$4)/1000</f>
        <v>0</v>
      </c>
      <c r="CV19" s="114">
        <f>SUMIFS('01. KE30'!$I:$I,'01. KE30'!$C:$C,'06. BC BH THEO CUSTOMER-USD'!$D19,'01. KE30'!$F:$F,'06. BC BH THEO CUSTOMER-USD'!$H19,'01. KE30'!$A:$A,'06. BC BH THEO CUSTOMER-USD'!CV$4)/1000</f>
        <v>0</v>
      </c>
      <c r="CW19" s="114">
        <f>SUMIFS('01. KE30'!$I:$I,'01. KE30'!$C:$C,'06. BC BH THEO CUSTOMER-USD'!$D19,'01. KE30'!$F:$F,'06. BC BH THEO CUSTOMER-USD'!$H19,'01. KE30'!$A:$A,'06. BC BH THEO CUSTOMER-USD'!CW$4)/1000</f>
        <v>0</v>
      </c>
      <c r="CX19" s="114">
        <f>SUMIFS('01. KE30'!$I:$I,'01. KE30'!$C:$C,'06. BC BH THEO CUSTOMER-USD'!$D19,'01. KE30'!$F:$F,'06. BC BH THEO CUSTOMER-USD'!$H19,'01. KE30'!$A:$A,'06. BC BH THEO CUSTOMER-USD'!CX$4)/1000</f>
        <v>0</v>
      </c>
      <c r="CY19" s="114">
        <f>SUMIFS('01. KE30'!$I:$I,'01. KE30'!$C:$C,'06. BC BH THEO CUSTOMER-USD'!$D19,'01. KE30'!$F:$F,'06. BC BH THEO CUSTOMER-USD'!$H19,'01. KE30'!$A:$A,'06. BC BH THEO CUSTOMER-USD'!CY$4)/1000</f>
        <v>0</v>
      </c>
      <c r="CZ19" s="114">
        <f>SUMIFS('01. KE30'!$I:$I,'01. KE30'!$C:$C,'06. BC BH THEO CUSTOMER-USD'!$D19,'01. KE30'!$F:$F,'06. BC BH THEO CUSTOMER-USD'!$H19,'01. KE30'!$A:$A,'06. BC BH THEO CUSTOMER-USD'!CZ$4)/1000</f>
        <v>0</v>
      </c>
      <c r="DA19" s="114">
        <f>SUMIFS('01. KE30'!$I:$I,'01. KE30'!$C:$C,'06. BC BH THEO CUSTOMER-USD'!$D19,'01. KE30'!$F:$F,'06. BC BH THEO CUSTOMER-USD'!$H19,'01. KE30'!$A:$A,'06. BC BH THEO CUSTOMER-USD'!DA$4)/1000</f>
        <v>0</v>
      </c>
      <c r="DB19" s="114">
        <f>SUMIFS('01. KE30'!$I:$I,'01. KE30'!$C:$C,'06. BC BH THEO CUSTOMER-USD'!$D19,'01. KE30'!$F:$F,'06. BC BH THEO CUSTOMER-USD'!$H19,'01. KE30'!$A:$A,'06. BC BH THEO CUSTOMER-USD'!DB$4)/1000</f>
        <v>0</v>
      </c>
      <c r="DC19" s="114">
        <f>SUMIFS('01. KE30'!$I:$I,'01. KE30'!$C:$C,'06. BC BH THEO CUSTOMER-USD'!$D19,'01. KE30'!$F:$F,'06. BC BH THEO CUSTOMER-USD'!$H19,'01. KE30'!$A:$A,'06. BC BH THEO CUSTOMER-USD'!DC$4)/1000</f>
        <v>0</v>
      </c>
      <c r="DD19" s="114">
        <f>SUMIFS('01. KE30'!$I:$I,'01. KE30'!$C:$C,'06. BC BH THEO CUSTOMER-USD'!$D19,'01. KE30'!$F:$F,'06. BC BH THEO CUSTOMER-USD'!$H19,'01. KE30'!$A:$A,'06. BC BH THEO CUSTOMER-USD'!DD$4)/1000</f>
        <v>0</v>
      </c>
      <c r="DF19" s="112">
        <f t="shared" ref="DF19:DF36" si="73">SUM(DG19:DR19)</f>
        <v>0</v>
      </c>
      <c r="DG19" s="54" t="str">
        <f t="shared" si="48"/>
        <v>-</v>
      </c>
      <c r="DH19" s="54" t="str">
        <f t="shared" si="49"/>
        <v>-</v>
      </c>
      <c r="DI19" s="54" t="str">
        <f t="shared" si="50"/>
        <v>-</v>
      </c>
      <c r="DJ19" s="54" t="str">
        <f t="shared" si="51"/>
        <v>-</v>
      </c>
      <c r="DK19" s="54" t="str">
        <f t="shared" si="52"/>
        <v>-</v>
      </c>
      <c r="DL19" s="54" t="str">
        <f t="shared" si="53"/>
        <v>-</v>
      </c>
      <c r="DM19" s="54" t="str">
        <f t="shared" si="54"/>
        <v>-</v>
      </c>
      <c r="DN19" s="54" t="str">
        <f t="shared" si="55"/>
        <v>-</v>
      </c>
      <c r="DO19" s="54" t="str">
        <f t="shared" si="56"/>
        <v>-</v>
      </c>
      <c r="DP19" s="54" t="str">
        <f t="shared" si="57"/>
        <v>-</v>
      </c>
      <c r="DQ19" s="54" t="str">
        <f t="shared" si="58"/>
        <v>-</v>
      </c>
      <c r="DR19" s="54" t="str">
        <f t="shared" si="59"/>
        <v>-</v>
      </c>
      <c r="DT19" s="112">
        <f t="shared" si="60"/>
        <v>0</v>
      </c>
      <c r="DU19" s="114">
        <f>IFERROR(SUMIFS('01. KE30'!$X:$X,'01. KE30'!$C:$C,'06. BC BH THEO CUSTOMER-USD'!$D19,'01. KE30'!$F:$F,'06. BC BH THEO CUSTOMER-USD'!$H19,'01. KE30'!$A:$A,'06. BC BH THEO CUSTOMER-USD'!DU$4)-SUMIFS('01. KE30'!$AA:$AA,'01. KE30'!$C:$C,'06. BC BH THEO CUSTOMER-USD'!$D19,'01. KE30'!$F:$F,'06. BC BH THEO CUSTOMER-USD'!$H19,'01. KE30'!$A:$A,'06. BC BH THEO CUSTOMER-USD'!DU$4),"-")</f>
        <v>0</v>
      </c>
      <c r="DV19" s="114">
        <f>IFERROR(SUMIFS('01. KE30'!$X:$X,'01. KE30'!$C:$C,'06. BC BH THEO CUSTOMER-USD'!$D19,'01. KE30'!$F:$F,'06. BC BH THEO CUSTOMER-USD'!$H19,'01. KE30'!$A:$A,'06. BC BH THEO CUSTOMER-USD'!DV$4)-SUMIFS('01. KE30'!$AA:$AA,'01. KE30'!$C:$C,'06. BC BH THEO CUSTOMER-USD'!$D19,'01. KE30'!$F:$F,'06. BC BH THEO CUSTOMER-USD'!$H19,'01. KE30'!$A:$A,'06. BC BH THEO CUSTOMER-USD'!DV$4),"-")</f>
        <v>0</v>
      </c>
      <c r="DW19" s="114">
        <f>IFERROR(SUMIFS('01. KE30'!$X:$X,'01. KE30'!$C:$C,'06. BC BH THEO CUSTOMER-USD'!$D19,'01. KE30'!$F:$F,'06. BC BH THEO CUSTOMER-USD'!$H19,'01. KE30'!$A:$A,'06. BC BH THEO CUSTOMER-USD'!DW$4)-SUMIFS('01. KE30'!$AA:$AA,'01. KE30'!$C:$C,'06. BC BH THEO CUSTOMER-USD'!$D19,'01. KE30'!$F:$F,'06. BC BH THEO CUSTOMER-USD'!$H19,'01. KE30'!$A:$A,'06. BC BH THEO CUSTOMER-USD'!DW$4),"-")</f>
        <v>0</v>
      </c>
      <c r="DX19" s="114">
        <f>IFERROR(SUMIFS('01. KE30'!$X:$X,'01. KE30'!$C:$C,'06. BC BH THEO CUSTOMER-USD'!$D19,'01. KE30'!$F:$F,'06. BC BH THEO CUSTOMER-USD'!$H19,'01. KE30'!$A:$A,'06. BC BH THEO CUSTOMER-USD'!DX$4)-SUMIFS('01. KE30'!$AA:$AA,'01. KE30'!$C:$C,'06. BC BH THEO CUSTOMER-USD'!$D19,'01. KE30'!$F:$F,'06. BC BH THEO CUSTOMER-USD'!$H19,'01. KE30'!$A:$A,'06. BC BH THEO CUSTOMER-USD'!DX$4),"-")</f>
        <v>0</v>
      </c>
      <c r="DY19" s="114">
        <f>IFERROR(SUMIFS('01. KE30'!$X:$X,'01. KE30'!$C:$C,'06. BC BH THEO CUSTOMER-USD'!$D19,'01. KE30'!$F:$F,'06. BC BH THEO CUSTOMER-USD'!$H19,'01. KE30'!$A:$A,'06. BC BH THEO CUSTOMER-USD'!DY$4)-SUMIFS('01. KE30'!$AA:$AA,'01. KE30'!$C:$C,'06. BC BH THEO CUSTOMER-USD'!$D19,'01. KE30'!$F:$F,'06. BC BH THEO CUSTOMER-USD'!$H19,'01. KE30'!$A:$A,'06. BC BH THEO CUSTOMER-USD'!DY$4),"-")</f>
        <v>0</v>
      </c>
      <c r="DZ19" s="114">
        <f>IFERROR(SUMIFS('01. KE30'!$X:$X,'01. KE30'!$C:$C,'06. BC BH THEO CUSTOMER-USD'!$D19,'01. KE30'!$F:$F,'06. BC BH THEO CUSTOMER-USD'!$H19,'01. KE30'!$A:$A,'06. BC BH THEO CUSTOMER-USD'!DZ$4)-SUMIFS('01. KE30'!$AA:$AA,'01. KE30'!$C:$C,'06. BC BH THEO CUSTOMER-USD'!$D19,'01. KE30'!$F:$F,'06. BC BH THEO CUSTOMER-USD'!$H19,'01. KE30'!$A:$A,'06. BC BH THEO CUSTOMER-USD'!DZ$4),"-")</f>
        <v>0</v>
      </c>
      <c r="EA19" s="114">
        <f>IFERROR(SUMIFS('01. KE30'!$X:$X,'01. KE30'!$C:$C,'06. BC BH THEO CUSTOMER-USD'!$D19,'01. KE30'!$F:$F,'06. BC BH THEO CUSTOMER-USD'!$H19,'01. KE30'!$A:$A,'06. BC BH THEO CUSTOMER-USD'!EA$4)-SUMIFS('01. KE30'!$AA:$AA,'01. KE30'!$C:$C,'06. BC BH THEO CUSTOMER-USD'!$D19,'01. KE30'!$F:$F,'06. BC BH THEO CUSTOMER-USD'!$H19,'01. KE30'!$A:$A,'06. BC BH THEO CUSTOMER-USD'!EA$4),"-")</f>
        <v>0</v>
      </c>
      <c r="EB19" s="114">
        <f>IFERROR(SUMIFS('01. KE30'!$X:$X,'01. KE30'!$C:$C,'06. BC BH THEO CUSTOMER-USD'!$D19,'01. KE30'!$F:$F,'06. BC BH THEO CUSTOMER-USD'!$H19,'01. KE30'!$A:$A,'06. BC BH THEO CUSTOMER-USD'!EB$4)-SUMIFS('01. KE30'!$AA:$AA,'01. KE30'!$C:$C,'06. BC BH THEO CUSTOMER-USD'!$D19,'01. KE30'!$F:$F,'06. BC BH THEO CUSTOMER-USD'!$H19,'01. KE30'!$A:$A,'06. BC BH THEO CUSTOMER-USD'!EB$4),"-")</f>
        <v>0</v>
      </c>
      <c r="EC19" s="114">
        <f>IFERROR(SUMIFS('01. KE30'!$X:$X,'01. KE30'!$C:$C,'06. BC BH THEO CUSTOMER-USD'!$D19,'01. KE30'!$F:$F,'06. BC BH THEO CUSTOMER-USD'!$H19,'01. KE30'!$A:$A,'06. BC BH THEO CUSTOMER-USD'!EC$4)-SUMIFS('01. KE30'!$AA:$AA,'01. KE30'!$C:$C,'06. BC BH THEO CUSTOMER-USD'!$D19,'01. KE30'!$F:$F,'06. BC BH THEO CUSTOMER-USD'!$H19,'01. KE30'!$A:$A,'06. BC BH THEO CUSTOMER-USD'!EC$4),"-")</f>
        <v>0</v>
      </c>
      <c r="ED19" s="114">
        <f>IFERROR(SUMIFS('01. KE30'!$X:$X,'01. KE30'!$C:$C,'06. BC BH THEO CUSTOMER-USD'!$D19,'01. KE30'!$F:$F,'06. BC BH THEO CUSTOMER-USD'!$H19,'01. KE30'!$A:$A,'06. BC BH THEO CUSTOMER-USD'!ED$4)-SUMIFS('01. KE30'!$AA:$AA,'01. KE30'!$C:$C,'06. BC BH THEO CUSTOMER-USD'!$D19,'01. KE30'!$F:$F,'06. BC BH THEO CUSTOMER-USD'!$H19,'01. KE30'!$A:$A,'06. BC BH THEO CUSTOMER-USD'!ED$4),"-")</f>
        <v>0</v>
      </c>
      <c r="EE19" s="114">
        <f>IFERROR(SUMIFS('01. KE30'!$X:$X,'01. KE30'!$C:$C,'06. BC BH THEO CUSTOMER-USD'!$D19,'01. KE30'!$F:$F,'06. BC BH THEO CUSTOMER-USD'!$H19,'01. KE30'!$A:$A,'06. BC BH THEO CUSTOMER-USD'!EE$4)-SUMIFS('01. KE30'!$AA:$AA,'01. KE30'!$C:$C,'06. BC BH THEO CUSTOMER-USD'!$D19,'01. KE30'!$F:$F,'06. BC BH THEO CUSTOMER-USD'!$H19,'01. KE30'!$A:$A,'06. BC BH THEO CUSTOMER-USD'!EE$4),"-")</f>
        <v>0</v>
      </c>
      <c r="EF19" s="114">
        <f>IFERROR(SUMIFS('01. KE30'!$X:$X,'01. KE30'!$C:$C,'06. BC BH THEO CUSTOMER-USD'!$D19,'01. KE30'!$F:$F,'06. BC BH THEO CUSTOMER-USD'!$H19,'01. KE30'!$A:$A,'06. BC BH THEO CUSTOMER-USD'!EF$4)-SUMIFS('01. KE30'!$AA:$AA,'01. KE30'!$C:$C,'06. BC BH THEO CUSTOMER-USD'!$D19,'01. KE30'!$F:$F,'06. BC BH THEO CUSTOMER-USD'!$H19,'01. KE30'!$A:$A,'06. BC BH THEO CUSTOMER-USD'!EF$4),"-")</f>
        <v>0</v>
      </c>
      <c r="EH19" s="571" t="str">
        <f t="shared" si="29"/>
        <v>-</v>
      </c>
      <c r="EI19" s="572" t="str">
        <f t="shared" si="30"/>
        <v>-</v>
      </c>
      <c r="EJ19" s="572" t="str">
        <f t="shared" si="31"/>
        <v>-</v>
      </c>
      <c r="EK19" s="572" t="str">
        <f t="shared" si="32"/>
        <v>-</v>
      </c>
      <c r="EL19" s="572" t="str">
        <f t="shared" si="33"/>
        <v>-</v>
      </c>
      <c r="EM19" s="572" t="str">
        <f t="shared" si="34"/>
        <v>-</v>
      </c>
      <c r="EN19" s="572" t="str">
        <f t="shared" si="35"/>
        <v>-</v>
      </c>
      <c r="EO19" s="572" t="str">
        <f t="shared" si="36"/>
        <v>-</v>
      </c>
      <c r="EP19" s="572" t="str">
        <f t="shared" si="37"/>
        <v>-</v>
      </c>
      <c r="EQ19" s="572" t="str">
        <f t="shared" si="38"/>
        <v>-</v>
      </c>
      <c r="ER19" s="572" t="str">
        <f t="shared" si="39"/>
        <v>-</v>
      </c>
      <c r="ES19" s="572" t="str">
        <f t="shared" si="40"/>
        <v>-</v>
      </c>
      <c r="ET19" s="572" t="str">
        <f t="shared" si="41"/>
        <v>-</v>
      </c>
    </row>
    <row r="20" spans="1:150" ht="15.5" hidden="1" outlineLevel="1" x14ac:dyDescent="0.35">
      <c r="A20" s="27">
        <f t="shared" si="63"/>
        <v>15</v>
      </c>
      <c r="B20" s="27" t="s">
        <v>283</v>
      </c>
      <c r="C20" s="442" t="s">
        <v>505</v>
      </c>
      <c r="D20" s="9" t="s">
        <v>179</v>
      </c>
      <c r="E20" s="12" t="s">
        <v>145</v>
      </c>
      <c r="F20" s="12" t="s">
        <v>247</v>
      </c>
      <c r="G20" s="12" t="str">
        <f>_xlfn.XLOOKUP(F20,'Quy đổi'!$G$5:$G$32,'Quy đổi'!$H$5:$H$32,0)</f>
        <v>Châu á</v>
      </c>
      <c r="H20" s="76" t="s">
        <v>102</v>
      </c>
      <c r="I20" s="7" t="s">
        <v>101</v>
      </c>
      <c r="J20" s="13" t="s">
        <v>26</v>
      </c>
      <c r="K20" s="11" t="s">
        <v>113</v>
      </c>
      <c r="L20" s="92">
        <f t="shared" si="42"/>
        <v>1038.2757635882635</v>
      </c>
      <c r="M20" s="106" t="str">
        <f>IFERROR(SUMIFS('01. KE30'!$K:$K,'01. KE30'!$C:$C,'06. BC BH THEO CUSTOMER-USD'!$D20,'01. KE30'!$F:$F,'06. BC BH THEO CUSTOMER-USD'!$H20,'01. KE30'!$A:$A,'06. BC BH THEO CUSTOMER-USD'!M$4)/'06. BC BH THEO CUSTOMER-USD'!CS20/'02. Tỷ giá'!B$5,"-")</f>
        <v>-</v>
      </c>
      <c r="N20" s="106" t="str">
        <f>IFERROR(SUMIFS('01. KE30'!$K:$K,'01. KE30'!$C:$C,'06. BC BH THEO CUSTOMER-USD'!$D20,'01. KE30'!$F:$F,'06. BC BH THEO CUSTOMER-USD'!$H20,'01. KE30'!$A:$A,'06. BC BH THEO CUSTOMER-USD'!N$4)/'06. BC BH THEO CUSTOMER-USD'!CT20/'02. Tỷ giá'!C$5,"-")</f>
        <v>-</v>
      </c>
      <c r="O20" s="106" t="str">
        <f>IFERROR(SUMIFS('01. KE30'!$K:$K,'01. KE30'!$C:$C,'06. BC BH THEO CUSTOMER-USD'!$D20,'01. KE30'!$F:$F,'06. BC BH THEO CUSTOMER-USD'!$H20,'01. KE30'!$A:$A,'06. BC BH THEO CUSTOMER-USD'!O$4)/'06. BC BH THEO CUSTOMER-USD'!CU20/'02. Tỷ giá'!D$5,"-")</f>
        <v>-</v>
      </c>
      <c r="P20" s="106" t="str">
        <f>IFERROR(SUMIFS('01. KE30'!$K:$K,'01. KE30'!$C:$C,'06. BC BH THEO CUSTOMER-USD'!$D20,'01. KE30'!$F:$F,'06. BC BH THEO CUSTOMER-USD'!$H20,'01. KE30'!$A:$A,'06. BC BH THEO CUSTOMER-USD'!P$4)/'06. BC BH THEO CUSTOMER-USD'!CV20/'02. Tỷ giá'!E$5,"-")</f>
        <v>-</v>
      </c>
      <c r="Q20" s="106" t="str">
        <f>IFERROR(SUMIFS('01. KE30'!$K:$K,'01. KE30'!$C:$C,'06. BC BH THEO CUSTOMER-USD'!$D20,'01. KE30'!$F:$F,'06. BC BH THEO CUSTOMER-USD'!$H20,'01. KE30'!$A:$A,'06. BC BH THEO CUSTOMER-USD'!Q$4)/'06. BC BH THEO CUSTOMER-USD'!CW20/'02. Tỷ giá'!F$5,"-")</f>
        <v>-</v>
      </c>
      <c r="R20" s="106">
        <f>IFERROR(SUMIFS('01. KE30'!$K:$K,'01. KE30'!$C:$C,'06. BC BH THEO CUSTOMER-USD'!$D20,'01. KE30'!$F:$F,'06. BC BH THEO CUSTOMER-USD'!$H20,'01. KE30'!$A:$A,'06. BC BH THEO CUSTOMER-USD'!R$4)/'06. BC BH THEO CUSTOMER-USD'!CX20/'02. Tỷ giá'!G$5,"-")</f>
        <v>1061.226851851852</v>
      </c>
      <c r="S20" s="106" t="str">
        <f>IFERROR(SUMIFS('01. KE30'!$K:$K,'01. KE30'!$C:$C,'06. BC BH THEO CUSTOMER-USD'!$D20,'01. KE30'!$F:$F,'06. BC BH THEO CUSTOMER-USD'!$H20,'01. KE30'!$A:$A,'06. BC BH THEO CUSTOMER-USD'!S$4)/'06. BC BH THEO CUSTOMER-USD'!CY20/'02. Tỷ giá'!H$5,"-")</f>
        <v>-</v>
      </c>
      <c r="T20" s="106">
        <f>IFERROR(SUMIFS('01. KE30'!$K:$K,'01. KE30'!$C:$C,'06. BC BH THEO CUSTOMER-USD'!$D20,'01. KE30'!$F:$F,'06. BC BH THEO CUSTOMER-USD'!$H20,'01. KE30'!$A:$A,'06. BC BH THEO CUSTOMER-USD'!T$4)/'06. BC BH THEO CUSTOMER-USD'!CZ20/'02. Tỷ giá'!I$5,"-")</f>
        <v>1015.3246753246754</v>
      </c>
      <c r="U20" s="106" t="str">
        <f>IFERROR(SUMIFS('01. KE30'!$K:$K,'01. KE30'!$C:$C,'06. BC BH THEO CUSTOMER-USD'!$D20,'01. KE30'!$F:$F,'06. BC BH THEO CUSTOMER-USD'!$H20,'01. KE30'!$A:$A,'06. BC BH THEO CUSTOMER-USD'!U$4)/'06. BC BH THEO CUSTOMER-USD'!DA20/'02. Tỷ giá'!J$5,"-")</f>
        <v>-</v>
      </c>
      <c r="V20" s="106" t="str">
        <f>IFERROR(SUMIFS('01. KE30'!$K:$K,'01. KE30'!$C:$C,'06. BC BH THEO CUSTOMER-USD'!$D20,'01. KE30'!$F:$F,'06. BC BH THEO CUSTOMER-USD'!$H20,'01. KE30'!$A:$A,'06. BC BH THEO CUSTOMER-USD'!V$4)/'06. BC BH THEO CUSTOMER-USD'!DB20/'02. Tỷ giá'!K$5,"-")</f>
        <v>-</v>
      </c>
      <c r="W20" s="106" t="str">
        <f>IFERROR(SUMIFS('01. KE30'!$K:$K,'01. KE30'!$C:$C,'06. BC BH THEO CUSTOMER-USD'!$D20,'01. KE30'!$F:$F,'06. BC BH THEO CUSTOMER-USD'!$H20,'01. KE30'!$A:$A,'06. BC BH THEO CUSTOMER-USD'!W$4)/'06. BC BH THEO CUSTOMER-USD'!DC20/'02. Tỷ giá'!L$5,"-")</f>
        <v>-</v>
      </c>
      <c r="X20" s="106" t="str">
        <f>IFERROR(SUMIFS('01. KE30'!$K:$K,'01. KE30'!$C:$C,'06. BC BH THEO CUSTOMER-USD'!$D20,'01. KE30'!$F:$F,'06. BC BH THEO CUSTOMER-USD'!$H20,'01. KE30'!$A:$A,'06. BC BH THEO CUSTOMER-USD'!X$4)/'06. BC BH THEO CUSTOMER-USD'!DD20/'02. Tỷ giá'!M$5,"-")</f>
        <v>-</v>
      </c>
      <c r="Z20" s="92">
        <f t="shared" si="43"/>
        <v>1022.65323889365</v>
      </c>
      <c r="AA20" s="147" t="str">
        <f>IFERROR(SUMIFS('01. KE30'!$O:$O,'01. KE30'!$C:$C,'06. BC BH THEO CUSTOMER-USD'!$D20,'01. KE30'!$F:$F,'06. BC BH THEO CUSTOMER-USD'!$H20,'01. KE30'!$A:$A,'06. BC BH THEO CUSTOMER-USD'!M$4)/'06. BC BH THEO CUSTOMER-USD'!CS20/'02. Tỷ giá'!B$5,"-")</f>
        <v>-</v>
      </c>
      <c r="AB20" s="147" t="str">
        <f>IFERROR(SUMIFS('01. KE30'!$O:$O,'01. KE30'!$C:$C,'06. BC BH THEO CUSTOMER-USD'!$D20,'01. KE30'!$F:$F,'06. BC BH THEO CUSTOMER-USD'!$H20,'01. KE30'!$A:$A,'06. BC BH THEO CUSTOMER-USD'!N$4)/'06. BC BH THEO CUSTOMER-USD'!CT20/'02. Tỷ giá'!C$5,"-")</f>
        <v>-</v>
      </c>
      <c r="AC20" s="147" t="str">
        <f>IFERROR(SUMIFS('01. KE30'!$O:$O,'01. KE30'!$C:$C,'06. BC BH THEO CUSTOMER-USD'!$D20,'01. KE30'!$F:$F,'06. BC BH THEO CUSTOMER-USD'!$H20,'01. KE30'!$A:$A,'06. BC BH THEO CUSTOMER-USD'!O$4)/'06. BC BH THEO CUSTOMER-USD'!CU20/'02. Tỷ giá'!D$5,"-")</f>
        <v>-</v>
      </c>
      <c r="AD20" s="147" t="str">
        <f>IFERROR(SUMIFS('01. KE30'!$O:$O,'01. KE30'!$C:$C,'06. BC BH THEO CUSTOMER-USD'!$D20,'01. KE30'!$F:$F,'06. BC BH THEO CUSTOMER-USD'!$H20,'01. KE30'!$A:$A,'06. BC BH THEO CUSTOMER-USD'!P$4)/'06. BC BH THEO CUSTOMER-USD'!CV20/'02. Tỷ giá'!E$5,"-")</f>
        <v>-</v>
      </c>
      <c r="AE20" s="147" t="str">
        <f>IFERROR(SUMIFS('01. KE30'!$O:$O,'01. KE30'!$C:$C,'06. BC BH THEO CUSTOMER-USD'!$D20,'01. KE30'!$F:$F,'06. BC BH THEO CUSTOMER-USD'!$H20,'01. KE30'!$A:$A,'06. BC BH THEO CUSTOMER-USD'!Q$4)/'06. BC BH THEO CUSTOMER-USD'!CW20/'02. Tỷ giá'!F$5,"-")</f>
        <v>-</v>
      </c>
      <c r="AF20" s="147">
        <f>IFERROR(SUMIFS('01. KE30'!$O:$O,'01. KE30'!$C:$C,'06. BC BH THEO CUSTOMER-USD'!$D20,'01. KE30'!$F:$F,'06. BC BH THEO CUSTOMER-USD'!$H20,'01. KE30'!$A:$A,'06. BC BH THEO CUSTOMER-USD'!R$4)/'06. BC BH THEO CUSTOMER-USD'!CX20/'02. Tỷ giá'!G$5,"-")</f>
        <v>1045.4409871282267</v>
      </c>
      <c r="AG20" s="147" t="str">
        <f>IFERROR(SUMIFS('01. KE30'!$O:$O,'01. KE30'!$C:$C,'06. BC BH THEO CUSTOMER-USD'!$D20,'01. KE30'!$F:$F,'06. BC BH THEO CUSTOMER-USD'!$H20,'01. KE30'!$A:$A,'06. BC BH THEO CUSTOMER-USD'!S$4)/'06. BC BH THEO CUSTOMER-USD'!CY20/'02. Tỷ giá'!H$5,"-")</f>
        <v>-</v>
      </c>
      <c r="AH20" s="147">
        <f>IFERROR(SUMIFS('01. KE30'!$O:$O,'01. KE30'!$C:$C,'06. BC BH THEO CUSTOMER-USD'!$D20,'01. KE30'!$F:$F,'06. BC BH THEO CUSTOMER-USD'!$H20,'01. KE30'!$A:$A,'06. BC BH THEO CUSTOMER-USD'!T$4)/'06. BC BH THEO CUSTOMER-USD'!CZ20/'02. Tỷ giá'!I$5,"-")</f>
        <v>999.86549065907354</v>
      </c>
      <c r="AI20" s="147" t="str">
        <f>IFERROR(SUMIFS('01. KE30'!$O:$O,'01. KE30'!$C:$C,'06. BC BH THEO CUSTOMER-USD'!$D20,'01. KE30'!$F:$F,'06. BC BH THEO CUSTOMER-USD'!$H20,'01. KE30'!$A:$A,'06. BC BH THEO CUSTOMER-USD'!U$4)/'06. BC BH THEO CUSTOMER-USD'!DA20/'02. Tỷ giá'!J$5,"-")</f>
        <v>-</v>
      </c>
      <c r="AJ20" s="147" t="str">
        <f>IFERROR(SUMIFS('01. KE30'!$O:$O,'01. KE30'!$C:$C,'06. BC BH THEO CUSTOMER-USD'!$D20,'01. KE30'!$F:$F,'06. BC BH THEO CUSTOMER-USD'!$H20,'01. KE30'!$A:$A,'06. BC BH THEO CUSTOMER-USD'!V$4)/'06. BC BH THEO CUSTOMER-USD'!DB20/'02. Tỷ giá'!K$5,"-")</f>
        <v>-</v>
      </c>
      <c r="AK20" s="147" t="str">
        <f>IFERROR(SUMIFS('01. KE30'!$O:$O,'01. KE30'!$C:$C,'06. BC BH THEO CUSTOMER-USD'!$D20,'01. KE30'!$F:$F,'06. BC BH THEO CUSTOMER-USD'!$H20,'01. KE30'!$A:$A,'06. BC BH THEO CUSTOMER-USD'!W$4)/'06. BC BH THEO CUSTOMER-USD'!DC20/'02. Tỷ giá'!L$5,"-")</f>
        <v>-</v>
      </c>
      <c r="AL20" s="147" t="str">
        <f>IFERROR(SUMIFS('01. KE30'!$O:$O,'01. KE30'!$C:$C,'06. BC BH THEO CUSTOMER-USD'!$D20,'01. KE30'!$F:$F,'06. BC BH THEO CUSTOMER-USD'!$H20,'01. KE30'!$A:$A,'06. BC BH THEO CUSTOMER-USD'!X$4)/'06. BC BH THEO CUSTOMER-USD'!DD20/'02. Tỷ giá'!M$5,"-")</f>
        <v>-</v>
      </c>
      <c r="AN20" s="92">
        <f t="shared" si="44"/>
        <v>1166.6666666666667</v>
      </c>
      <c r="AO20" s="25">
        <v>1160</v>
      </c>
      <c r="AP20" s="25">
        <v>1160</v>
      </c>
      <c r="AQ20" s="25">
        <v>1160</v>
      </c>
      <c r="AR20" s="4">
        <f t="shared" si="72"/>
        <v>1180</v>
      </c>
      <c r="AS20" s="4">
        <v>1180</v>
      </c>
      <c r="AT20" s="4">
        <v>1180</v>
      </c>
      <c r="AU20" s="4">
        <v>1180</v>
      </c>
      <c r="AV20" s="4">
        <f t="shared" si="66"/>
        <v>1150</v>
      </c>
      <c r="AW20" s="25">
        <v>1150</v>
      </c>
      <c r="AX20" s="25"/>
      <c r="AY20" s="4"/>
      <c r="AZ20" s="4"/>
      <c r="BB20" s="95">
        <f t="shared" si="45"/>
        <v>-144.0134277730167</v>
      </c>
      <c r="BC20" s="95" t="str">
        <f t="shared" si="46"/>
        <v>-</v>
      </c>
      <c r="BD20" s="95" t="str">
        <f t="shared" si="6"/>
        <v>-</v>
      </c>
      <c r="BE20" s="95" t="str">
        <f t="shared" si="6"/>
        <v>-</v>
      </c>
      <c r="BF20" s="95" t="str">
        <f t="shared" si="6"/>
        <v>-</v>
      </c>
      <c r="BG20" s="95" t="str">
        <f t="shared" si="6"/>
        <v>-</v>
      </c>
      <c r="BH20" s="95">
        <f t="shared" si="6"/>
        <v>-134.55901287177335</v>
      </c>
      <c r="BI20" s="95" t="str">
        <f t="shared" si="6"/>
        <v>-</v>
      </c>
      <c r="BJ20" s="95">
        <f t="shared" si="6"/>
        <v>-150.13450934092646</v>
      </c>
      <c r="BK20" s="95" t="str">
        <f t="shared" si="6"/>
        <v>-</v>
      </c>
      <c r="BL20" s="95" t="str">
        <f t="shared" si="6"/>
        <v>-</v>
      </c>
      <c r="BM20" s="95" t="str">
        <f t="shared" si="6"/>
        <v>-</v>
      </c>
      <c r="BN20" s="95" t="str">
        <f t="shared" si="6"/>
        <v>-</v>
      </c>
      <c r="BP20" s="143">
        <f t="shared" si="47"/>
        <v>-0.12344008094830002</v>
      </c>
      <c r="BQ20" s="143" t="str">
        <f t="shared" si="8"/>
        <v>-</v>
      </c>
      <c r="BR20" s="143" t="str">
        <f t="shared" si="9"/>
        <v>-</v>
      </c>
      <c r="BS20" s="143" t="str">
        <f t="shared" si="10"/>
        <v>-</v>
      </c>
      <c r="BT20" s="143" t="str">
        <f t="shared" si="11"/>
        <v>-</v>
      </c>
      <c r="BU20" s="143" t="str">
        <f t="shared" si="12"/>
        <v>-</v>
      </c>
      <c r="BV20" s="143">
        <f t="shared" si="13"/>
        <v>-0.11403306175574013</v>
      </c>
      <c r="BW20" s="143" t="str">
        <f t="shared" si="14"/>
        <v>-</v>
      </c>
      <c r="BX20" s="143">
        <f t="shared" si="15"/>
        <v>-0.13055174725297952</v>
      </c>
      <c r="BY20" s="143" t="str">
        <f t="shared" si="16"/>
        <v>-</v>
      </c>
      <c r="BZ20" s="143" t="str">
        <f t="shared" si="17"/>
        <v>-</v>
      </c>
      <c r="CA20" s="143" t="str">
        <f t="shared" si="18"/>
        <v>-</v>
      </c>
      <c r="CB20" s="143" t="str">
        <f t="shared" si="19"/>
        <v>-</v>
      </c>
      <c r="CD20" s="112">
        <f t="shared" si="25"/>
        <v>970.89818041780927</v>
      </c>
      <c r="CE20" s="95" t="str">
        <f>IFERROR(SUMIFS('01. KE30'!$R:$R,'01. KE30'!$C:$C,'06. BC BH THEO CUSTOMER-USD'!$D20,'01. KE30'!$F:$F,'06. BC BH THEO CUSTOMER-USD'!$H20,'01. KE30'!$A:$A,'06. BC BH THEO CUSTOMER-USD'!CE$4)/CS20/'02. Tỷ giá'!B$5," -")</f>
        <v xml:space="preserve"> -</v>
      </c>
      <c r="CF20" s="95" t="str">
        <f>IFERROR(SUMIFS('01. KE30'!$R:$R,'01. KE30'!$C:$C,'06. BC BH THEO CUSTOMER-USD'!$D20,'01. KE30'!$F:$F,'06. BC BH THEO CUSTOMER-USD'!$H20,'01. KE30'!$A:$A,'06. BC BH THEO CUSTOMER-USD'!CF$4)/CT20/'02. Tỷ giá'!C$5," -")</f>
        <v xml:space="preserve"> -</v>
      </c>
      <c r="CG20" s="95" t="str">
        <f>IFERROR(SUMIFS('01. KE30'!$R:$R,'01. KE30'!$C:$C,'06. BC BH THEO CUSTOMER-USD'!$D20,'01. KE30'!$F:$F,'06. BC BH THEO CUSTOMER-USD'!$H20,'01. KE30'!$A:$A,'06. BC BH THEO CUSTOMER-USD'!CG$4)/CU20/'02. Tỷ giá'!D$5," -")</f>
        <v xml:space="preserve"> -</v>
      </c>
      <c r="CH20" s="95" t="str">
        <f>IFERROR(SUMIFS('01. KE30'!$R:$R,'01. KE30'!$C:$C,'06. BC BH THEO CUSTOMER-USD'!$D20,'01. KE30'!$F:$F,'06. BC BH THEO CUSTOMER-USD'!$H20,'01. KE30'!$A:$A,'06. BC BH THEO CUSTOMER-USD'!CH$4)/CV20/'02. Tỷ giá'!E$5," -")</f>
        <v xml:space="preserve"> -</v>
      </c>
      <c r="CI20" s="95" t="str">
        <f>IFERROR(SUMIFS('01. KE30'!$R:$R,'01. KE30'!$C:$C,'06. BC BH THEO CUSTOMER-USD'!$D20,'01. KE30'!$F:$F,'06. BC BH THEO CUSTOMER-USD'!$H20,'01. KE30'!$A:$A,'06. BC BH THEO CUSTOMER-USD'!CI$4)/CW20/'02. Tỷ giá'!F$5," -")</f>
        <v xml:space="preserve"> -</v>
      </c>
      <c r="CJ20" s="95">
        <f>IFERROR(SUMIFS('01. KE30'!$R:$R,'01. KE30'!$C:$C,'06. BC BH THEO CUSTOMER-USD'!$D20,'01. KE30'!$F:$F,'06. BC BH THEO CUSTOMER-USD'!$H20,'01. KE30'!$A:$A,'06. BC BH THEO CUSTOMER-USD'!CJ$4)/CX20/'02. Tỷ giá'!G$5," -")</f>
        <v>960.35891379068471</v>
      </c>
      <c r="CK20" s="95" t="str">
        <f>IFERROR(SUMIFS('01. KE30'!$R:$R,'01. KE30'!$C:$C,'06. BC BH THEO CUSTOMER-USD'!$D20,'01. KE30'!$F:$F,'06. BC BH THEO CUSTOMER-USD'!$H20,'01. KE30'!$A:$A,'06. BC BH THEO CUSTOMER-USD'!CK$4)/CY20/'02. Tỷ giá'!H$5," -")</f>
        <v xml:space="preserve"> -</v>
      </c>
      <c r="CL20" s="95">
        <f>IFERROR(SUMIFS('01. KE30'!$R:$R,'01. KE30'!$C:$C,'06. BC BH THEO CUSTOMER-USD'!$D20,'01. KE30'!$F:$F,'06. BC BH THEO CUSTOMER-USD'!$H20,'01. KE30'!$A:$A,'06. BC BH THEO CUSTOMER-USD'!CL$4)/CZ20/'02. Tỷ giá'!I$5," -")</f>
        <v>981.43744704493372</v>
      </c>
      <c r="CM20" s="95" t="str">
        <f>IFERROR(SUMIFS('01. KE30'!$R:$R,'01. KE30'!$C:$C,'06. BC BH THEO CUSTOMER-USD'!$D20,'01. KE30'!$F:$F,'06. BC BH THEO CUSTOMER-USD'!$H20,'01. KE30'!$A:$A,'06. BC BH THEO CUSTOMER-USD'!CM$4)/DA20/'02. Tỷ giá'!J$5," -")</f>
        <v xml:space="preserve"> -</v>
      </c>
      <c r="CN20" s="95" t="str">
        <f>IFERROR(SUMIFS('01. KE30'!$R:$R,'01. KE30'!$C:$C,'06. BC BH THEO CUSTOMER-USD'!$D20,'01. KE30'!$F:$F,'06. BC BH THEO CUSTOMER-USD'!$H20,'01. KE30'!$A:$A,'06. BC BH THEO CUSTOMER-USD'!CN$4)/DB20/'02. Tỷ giá'!K$5," -")</f>
        <v xml:space="preserve"> -</v>
      </c>
      <c r="CO20" s="95" t="str">
        <f>IFERROR(SUMIFS('01. KE30'!$R:$R,'01. KE30'!$C:$C,'06. BC BH THEO CUSTOMER-USD'!$D20,'01. KE30'!$F:$F,'06. BC BH THEO CUSTOMER-USD'!$H20,'01. KE30'!$A:$A,'06. BC BH THEO CUSTOMER-USD'!CO$4)/DC20/'02. Tỷ giá'!L$5," -")</f>
        <v xml:space="preserve"> -</v>
      </c>
      <c r="CP20" s="95" t="str">
        <f>IFERROR(SUMIFS('01. KE30'!$R:$R,'01. KE30'!$C:$C,'06. BC BH THEO CUSTOMER-USD'!$D20,'01. KE30'!$F:$F,'06. BC BH THEO CUSTOMER-USD'!$H20,'01. KE30'!$A:$A,'06. BC BH THEO CUSTOMER-USD'!CP$4)/DD20/'02. Tỷ giá'!M$5," -")</f>
        <v xml:space="preserve"> -</v>
      </c>
      <c r="CR20" s="112">
        <f t="shared" si="26"/>
        <v>440</v>
      </c>
      <c r="CS20" s="114">
        <f>SUMIFS('01. KE30'!$I:$I,'01. KE30'!$C:$C,'06. BC BH THEO CUSTOMER-USD'!$D20,'01. KE30'!$F:$F,'06. BC BH THEO CUSTOMER-USD'!$H20,'01. KE30'!$A:$A,'06. BC BH THEO CUSTOMER-USD'!CS$4)/1000</f>
        <v>0</v>
      </c>
      <c r="CT20" s="114">
        <f>SUMIFS('01. KE30'!$I:$I,'01. KE30'!$C:$C,'06. BC BH THEO CUSTOMER-USD'!$D20,'01. KE30'!$F:$F,'06. BC BH THEO CUSTOMER-USD'!$H20,'01. KE30'!$A:$A,'06. BC BH THEO CUSTOMER-USD'!CT$4)/1000</f>
        <v>0</v>
      </c>
      <c r="CU20" s="114">
        <f>SUMIFS('01. KE30'!$I:$I,'01. KE30'!$C:$C,'06. BC BH THEO CUSTOMER-USD'!$D20,'01. KE30'!$F:$F,'06. BC BH THEO CUSTOMER-USD'!$H20,'01. KE30'!$A:$A,'06. BC BH THEO CUSTOMER-USD'!CU$4)/1000</f>
        <v>0</v>
      </c>
      <c r="CV20" s="114">
        <f>SUMIFS('01. KE30'!$I:$I,'01. KE30'!$C:$C,'06. BC BH THEO CUSTOMER-USD'!$D20,'01. KE30'!$F:$F,'06. BC BH THEO CUSTOMER-USD'!$H20,'01. KE30'!$A:$A,'06. BC BH THEO CUSTOMER-USD'!CV$4)/1000</f>
        <v>0</v>
      </c>
      <c r="CW20" s="114">
        <f>SUMIFS('01. KE30'!$I:$I,'01. KE30'!$C:$C,'06. BC BH THEO CUSTOMER-USD'!$D20,'01. KE30'!$F:$F,'06. BC BH THEO CUSTOMER-USD'!$H20,'01. KE30'!$A:$A,'06. BC BH THEO CUSTOMER-USD'!CW$4)/1000</f>
        <v>0</v>
      </c>
      <c r="CX20" s="114">
        <f>SUMIFS('01. KE30'!$I:$I,'01. KE30'!$C:$C,'06. BC BH THEO CUSTOMER-USD'!$D20,'01. KE30'!$F:$F,'06. BC BH THEO CUSTOMER-USD'!$H20,'01. KE30'!$A:$A,'06. BC BH THEO CUSTOMER-USD'!CX$4)/1000</f>
        <v>220</v>
      </c>
      <c r="CY20" s="114">
        <f>SUMIFS('01. KE30'!$I:$I,'01. KE30'!$C:$C,'06. BC BH THEO CUSTOMER-USD'!$D20,'01. KE30'!$F:$F,'06. BC BH THEO CUSTOMER-USD'!$H20,'01. KE30'!$A:$A,'06. BC BH THEO CUSTOMER-USD'!CY$4)/1000</f>
        <v>0</v>
      </c>
      <c r="CZ20" s="114">
        <f>SUMIFS('01. KE30'!$I:$I,'01. KE30'!$C:$C,'06. BC BH THEO CUSTOMER-USD'!$D20,'01. KE30'!$F:$F,'06. BC BH THEO CUSTOMER-USD'!$H20,'01. KE30'!$A:$A,'06. BC BH THEO CUSTOMER-USD'!CZ$4)/1000</f>
        <v>220</v>
      </c>
      <c r="DA20" s="114">
        <f>SUMIFS('01. KE30'!$I:$I,'01. KE30'!$C:$C,'06. BC BH THEO CUSTOMER-USD'!$D20,'01. KE30'!$F:$F,'06. BC BH THEO CUSTOMER-USD'!$H20,'01. KE30'!$A:$A,'06. BC BH THEO CUSTOMER-USD'!DA$4)/1000</f>
        <v>0</v>
      </c>
      <c r="DB20" s="114">
        <f>SUMIFS('01. KE30'!$I:$I,'01. KE30'!$C:$C,'06. BC BH THEO CUSTOMER-USD'!$D20,'01. KE30'!$F:$F,'06. BC BH THEO CUSTOMER-USD'!$H20,'01. KE30'!$A:$A,'06. BC BH THEO CUSTOMER-USD'!DB$4)/1000</f>
        <v>0</v>
      </c>
      <c r="DC20" s="114">
        <f>SUMIFS('01. KE30'!$I:$I,'01. KE30'!$C:$C,'06. BC BH THEO CUSTOMER-USD'!$D20,'01. KE30'!$F:$F,'06. BC BH THEO CUSTOMER-USD'!$H20,'01. KE30'!$A:$A,'06. BC BH THEO CUSTOMER-USD'!DC$4)/1000</f>
        <v>0</v>
      </c>
      <c r="DD20" s="114">
        <f>SUMIFS('01. KE30'!$I:$I,'01. KE30'!$C:$C,'06. BC BH THEO CUSTOMER-USD'!$D20,'01. KE30'!$F:$F,'06. BC BH THEO CUSTOMER-USD'!$H20,'01. KE30'!$A:$A,'06. BC BH THEO CUSTOMER-USD'!DD$4)/1000</f>
        <v>0</v>
      </c>
      <c r="DF20" s="112">
        <f t="shared" si="73"/>
        <v>456841.33597883605</v>
      </c>
      <c r="DG20" s="54" t="str">
        <f t="shared" si="48"/>
        <v>-</v>
      </c>
      <c r="DH20" s="54" t="str">
        <f t="shared" si="49"/>
        <v>-</v>
      </c>
      <c r="DI20" s="54" t="str">
        <f t="shared" si="50"/>
        <v>-</v>
      </c>
      <c r="DJ20" s="54" t="str">
        <f t="shared" si="51"/>
        <v>-</v>
      </c>
      <c r="DK20" s="54" t="str">
        <f t="shared" si="52"/>
        <v>-</v>
      </c>
      <c r="DL20" s="54">
        <f t="shared" si="53"/>
        <v>233469.90740740745</v>
      </c>
      <c r="DM20" s="54" t="str">
        <f t="shared" si="54"/>
        <v>-</v>
      </c>
      <c r="DN20" s="54">
        <f t="shared" si="55"/>
        <v>223371.42857142858</v>
      </c>
      <c r="DO20" s="54" t="str">
        <f t="shared" si="56"/>
        <v>-</v>
      </c>
      <c r="DP20" s="54" t="str">
        <f t="shared" si="57"/>
        <v>-</v>
      </c>
      <c r="DQ20" s="54" t="str">
        <f t="shared" si="58"/>
        <v>-</v>
      </c>
      <c r="DR20" s="54" t="str">
        <f t="shared" si="59"/>
        <v>-</v>
      </c>
      <c r="DT20" s="112">
        <f t="shared" si="60"/>
        <v>22772.225729370024</v>
      </c>
      <c r="DU20" s="114">
        <f>IFERROR(SUMIFS('01. KE30'!$X:$X,'01. KE30'!$C:$C,'06. BC BH THEO CUSTOMER-USD'!$D20,'01. KE30'!$F:$F,'06. BC BH THEO CUSTOMER-USD'!$H20,'01. KE30'!$A:$A,'06. BC BH THEO CUSTOMER-USD'!DU$4)-SUMIFS('01. KE30'!$AA:$AA,'01. KE30'!$C:$C,'06. BC BH THEO CUSTOMER-USD'!$D20,'01. KE30'!$F:$F,'06. BC BH THEO CUSTOMER-USD'!$H20,'01. KE30'!$A:$A,'06. BC BH THEO CUSTOMER-USD'!DU$4),"-")</f>
        <v>0</v>
      </c>
      <c r="DV20" s="114">
        <f>IFERROR(SUMIFS('01. KE30'!$X:$X,'01. KE30'!$C:$C,'06. BC BH THEO CUSTOMER-USD'!$D20,'01. KE30'!$F:$F,'06. BC BH THEO CUSTOMER-USD'!$H20,'01. KE30'!$A:$A,'06. BC BH THEO CUSTOMER-USD'!DV$4)-SUMIFS('01. KE30'!$AA:$AA,'01. KE30'!$C:$C,'06. BC BH THEO CUSTOMER-USD'!$D20,'01. KE30'!$F:$F,'06. BC BH THEO CUSTOMER-USD'!$H20,'01. KE30'!$A:$A,'06. BC BH THEO CUSTOMER-USD'!DV$4),"-")</f>
        <v>0</v>
      </c>
      <c r="DW20" s="114">
        <f>IFERROR(SUMIFS('01. KE30'!$X:$X,'01. KE30'!$C:$C,'06. BC BH THEO CUSTOMER-USD'!$D20,'01. KE30'!$F:$F,'06. BC BH THEO CUSTOMER-USD'!$H20,'01. KE30'!$A:$A,'06. BC BH THEO CUSTOMER-USD'!DW$4)-SUMIFS('01. KE30'!$AA:$AA,'01. KE30'!$C:$C,'06. BC BH THEO CUSTOMER-USD'!$D20,'01. KE30'!$F:$F,'06. BC BH THEO CUSTOMER-USD'!$H20,'01. KE30'!$A:$A,'06. BC BH THEO CUSTOMER-USD'!DW$4),"-")</f>
        <v>0</v>
      </c>
      <c r="DX20" s="114">
        <f>IFERROR(SUMIFS('01. KE30'!$X:$X,'01. KE30'!$C:$C,'06. BC BH THEO CUSTOMER-USD'!$D20,'01. KE30'!$F:$F,'06. BC BH THEO CUSTOMER-USD'!$H20,'01. KE30'!$A:$A,'06. BC BH THEO CUSTOMER-USD'!DX$4)-SUMIFS('01. KE30'!$AA:$AA,'01. KE30'!$C:$C,'06. BC BH THEO CUSTOMER-USD'!$D20,'01. KE30'!$F:$F,'06. BC BH THEO CUSTOMER-USD'!$H20,'01. KE30'!$A:$A,'06. BC BH THEO CUSTOMER-USD'!DX$4),"-")</f>
        <v>0</v>
      </c>
      <c r="DY20" s="114">
        <f>IFERROR(SUMIFS('01. KE30'!$X:$X,'01. KE30'!$C:$C,'06. BC BH THEO CUSTOMER-USD'!$D20,'01. KE30'!$F:$F,'06. BC BH THEO CUSTOMER-USD'!$H20,'01. KE30'!$A:$A,'06. BC BH THEO CUSTOMER-USD'!DY$4)-SUMIFS('01. KE30'!$AA:$AA,'01. KE30'!$C:$C,'06. BC BH THEO CUSTOMER-USD'!$D20,'01. KE30'!$F:$F,'06. BC BH THEO CUSTOMER-USD'!$H20,'01. KE30'!$A:$A,'06. BC BH THEO CUSTOMER-USD'!DY$4),"-")</f>
        <v>0</v>
      </c>
      <c r="DZ20" s="114">
        <f>IFERROR(SUMIFS('01. KE30'!$X:$X,'01. KE30'!$C:$C,'06. BC BH THEO CUSTOMER-USD'!$D20,'01. KE30'!$F:$F,'06. BC BH THEO CUSTOMER-USD'!$H20,'01. KE30'!$A:$A,'06. BC BH THEO CUSTOMER-USD'!DZ$4)-SUMIFS('01. KE30'!$AA:$AA,'01. KE30'!$C:$C,'06. BC BH THEO CUSTOMER-USD'!$D20,'01. KE30'!$F:$F,'06. BC BH THEO CUSTOMER-USD'!$H20,'01. KE30'!$A:$A,'06. BC BH THEO CUSTOMER-USD'!DZ$4),"-")</f>
        <v>18718.05613425927</v>
      </c>
      <c r="EA20" s="114">
        <f>IFERROR(SUMIFS('01. KE30'!$X:$X,'01. KE30'!$C:$C,'06. BC BH THEO CUSTOMER-USD'!$D20,'01. KE30'!$F:$F,'06. BC BH THEO CUSTOMER-USD'!$H20,'01. KE30'!$A:$A,'06. BC BH THEO CUSTOMER-USD'!EA$4)-SUMIFS('01. KE30'!$AA:$AA,'01. KE30'!$C:$C,'06. BC BH THEO CUSTOMER-USD'!$D20,'01. KE30'!$F:$F,'06. BC BH THEO CUSTOMER-USD'!$H20,'01. KE30'!$A:$A,'06. BC BH THEO CUSTOMER-USD'!EA$4),"-")</f>
        <v>0</v>
      </c>
      <c r="EB20" s="114">
        <f>IFERROR(SUMIFS('01. KE30'!$X:$X,'01. KE30'!$C:$C,'06. BC BH THEO CUSTOMER-USD'!$D20,'01. KE30'!$F:$F,'06. BC BH THEO CUSTOMER-USD'!$H20,'01. KE30'!$A:$A,'06. BC BH THEO CUSTOMER-USD'!EB$4)-SUMIFS('01. KE30'!$AA:$AA,'01. KE30'!$C:$C,'06. BC BH THEO CUSTOMER-USD'!$D20,'01. KE30'!$F:$F,'06. BC BH THEO CUSTOMER-USD'!$H20,'01. KE30'!$A:$A,'06. BC BH THEO CUSTOMER-USD'!EB$4),"-")</f>
        <v>4054.169595110754</v>
      </c>
      <c r="EC20" s="114">
        <f>IFERROR(SUMIFS('01. KE30'!$X:$X,'01. KE30'!$C:$C,'06. BC BH THEO CUSTOMER-USD'!$D20,'01. KE30'!$F:$F,'06. BC BH THEO CUSTOMER-USD'!$H20,'01. KE30'!$A:$A,'06. BC BH THEO CUSTOMER-USD'!EC$4)-SUMIFS('01. KE30'!$AA:$AA,'01. KE30'!$C:$C,'06. BC BH THEO CUSTOMER-USD'!$D20,'01. KE30'!$F:$F,'06. BC BH THEO CUSTOMER-USD'!$H20,'01. KE30'!$A:$A,'06. BC BH THEO CUSTOMER-USD'!EC$4),"-")</f>
        <v>0</v>
      </c>
      <c r="ED20" s="114">
        <f>IFERROR(SUMIFS('01. KE30'!$X:$X,'01. KE30'!$C:$C,'06. BC BH THEO CUSTOMER-USD'!$D20,'01. KE30'!$F:$F,'06. BC BH THEO CUSTOMER-USD'!$H20,'01. KE30'!$A:$A,'06. BC BH THEO CUSTOMER-USD'!ED$4)-SUMIFS('01. KE30'!$AA:$AA,'01. KE30'!$C:$C,'06. BC BH THEO CUSTOMER-USD'!$D20,'01. KE30'!$F:$F,'06. BC BH THEO CUSTOMER-USD'!$H20,'01. KE30'!$A:$A,'06. BC BH THEO CUSTOMER-USD'!ED$4),"-")</f>
        <v>0</v>
      </c>
      <c r="EE20" s="114">
        <f>IFERROR(SUMIFS('01. KE30'!$X:$X,'01. KE30'!$C:$C,'06. BC BH THEO CUSTOMER-USD'!$D20,'01. KE30'!$F:$F,'06. BC BH THEO CUSTOMER-USD'!$H20,'01. KE30'!$A:$A,'06. BC BH THEO CUSTOMER-USD'!EE$4)-SUMIFS('01. KE30'!$AA:$AA,'01. KE30'!$C:$C,'06. BC BH THEO CUSTOMER-USD'!$D20,'01. KE30'!$F:$F,'06. BC BH THEO CUSTOMER-USD'!$H20,'01. KE30'!$A:$A,'06. BC BH THEO CUSTOMER-USD'!EE$4),"-")</f>
        <v>0</v>
      </c>
      <c r="EF20" s="114">
        <f>IFERROR(SUMIFS('01. KE30'!$X:$X,'01. KE30'!$C:$C,'06. BC BH THEO CUSTOMER-USD'!$D20,'01. KE30'!$F:$F,'06. BC BH THEO CUSTOMER-USD'!$H20,'01. KE30'!$A:$A,'06. BC BH THEO CUSTOMER-USD'!EF$4)-SUMIFS('01. KE30'!$AA:$AA,'01. KE30'!$C:$C,'06. BC BH THEO CUSTOMER-USD'!$D20,'01. KE30'!$F:$F,'06. BC BH THEO CUSTOMER-USD'!$H20,'01. KE30'!$A:$A,'06. BC BH THEO CUSTOMER-USD'!EF$4),"-")</f>
        <v>0</v>
      </c>
      <c r="EH20" s="571">
        <f t="shared" si="29"/>
        <v>4.9847121825300385E-2</v>
      </c>
      <c r="EI20" s="572" t="str">
        <f t="shared" si="30"/>
        <v>-</v>
      </c>
      <c r="EJ20" s="572" t="str">
        <f t="shared" si="31"/>
        <v>-</v>
      </c>
      <c r="EK20" s="572" t="str">
        <f t="shared" si="32"/>
        <v>-</v>
      </c>
      <c r="EL20" s="572" t="str">
        <f t="shared" si="33"/>
        <v>-</v>
      </c>
      <c r="EM20" s="572" t="str">
        <f t="shared" si="34"/>
        <v>-</v>
      </c>
      <c r="EN20" s="572">
        <f t="shared" si="35"/>
        <v>8.0173313735016238E-2</v>
      </c>
      <c r="EO20" s="572" t="str">
        <f t="shared" si="36"/>
        <v>-</v>
      </c>
      <c r="EP20" s="572">
        <f t="shared" si="37"/>
        <v>1.8149902254908722E-2</v>
      </c>
      <c r="EQ20" s="572" t="str">
        <f t="shared" si="38"/>
        <v>-</v>
      </c>
      <c r="ER20" s="572" t="str">
        <f t="shared" si="39"/>
        <v>-</v>
      </c>
      <c r="ES20" s="572" t="str">
        <f t="shared" si="40"/>
        <v>-</v>
      </c>
      <c r="ET20" s="572" t="str">
        <f t="shared" si="41"/>
        <v>-</v>
      </c>
    </row>
    <row r="21" spans="1:150" ht="15.5" hidden="1" outlineLevel="1" x14ac:dyDescent="0.35">
      <c r="A21" s="27">
        <f t="shared" si="63"/>
        <v>16</v>
      </c>
      <c r="B21" s="27" t="s">
        <v>283</v>
      </c>
      <c r="C21" s="442" t="s">
        <v>506</v>
      </c>
      <c r="D21" s="9" t="s">
        <v>146</v>
      </c>
      <c r="E21" s="12" t="s">
        <v>180</v>
      </c>
      <c r="F21" s="12" t="s">
        <v>248</v>
      </c>
      <c r="G21" s="12" t="str">
        <f>_xlfn.XLOOKUP(F21,'Quy đổi'!$G$5:$G$32,'Quy đổi'!$H$5:$H$32,0)</f>
        <v>Châu á</v>
      </c>
      <c r="H21" s="76" t="s">
        <v>102</v>
      </c>
      <c r="I21" s="7" t="s">
        <v>101</v>
      </c>
      <c r="J21" s="13" t="s">
        <v>26</v>
      </c>
      <c r="K21" s="11" t="s">
        <v>113</v>
      </c>
      <c r="L21" s="92">
        <f t="shared" si="42"/>
        <v>1129.6622047244095</v>
      </c>
      <c r="M21" s="106" t="str">
        <f>IFERROR(SUMIFS('01. KE30'!$K:$K,'01. KE30'!$C:$C,'06. BC BH THEO CUSTOMER-USD'!$D21,'01. KE30'!$F:$F,'06. BC BH THEO CUSTOMER-USD'!$H21,'01. KE30'!$A:$A,'06. BC BH THEO CUSTOMER-USD'!M$4)/'06. BC BH THEO CUSTOMER-USD'!CS21/'02. Tỷ giá'!B$5,"-")</f>
        <v>-</v>
      </c>
      <c r="N21" s="106" t="str">
        <f>IFERROR(SUMIFS('01. KE30'!$K:$K,'01. KE30'!$C:$C,'06. BC BH THEO CUSTOMER-USD'!$D21,'01. KE30'!$F:$F,'06. BC BH THEO CUSTOMER-USD'!$H21,'01. KE30'!$A:$A,'06. BC BH THEO CUSTOMER-USD'!N$4)/'06. BC BH THEO CUSTOMER-USD'!CT21/'02. Tỷ giá'!C$5,"-")</f>
        <v>-</v>
      </c>
      <c r="O21" s="106">
        <f>IFERROR(SUMIFS('01. KE30'!$K:$K,'01. KE30'!$C:$C,'06. BC BH THEO CUSTOMER-USD'!$D21,'01. KE30'!$F:$F,'06. BC BH THEO CUSTOMER-USD'!$H21,'01. KE30'!$A:$A,'06. BC BH THEO CUSTOMER-USD'!O$4)/'06. BC BH THEO CUSTOMER-USD'!CU21/'02. Tỷ giá'!D$5,"-")</f>
        <v>1129.6622047244095</v>
      </c>
      <c r="P21" s="106" t="str">
        <f>IFERROR(SUMIFS('01. KE30'!$K:$K,'01. KE30'!$C:$C,'06. BC BH THEO CUSTOMER-USD'!$D21,'01. KE30'!$F:$F,'06. BC BH THEO CUSTOMER-USD'!$H21,'01. KE30'!$A:$A,'06. BC BH THEO CUSTOMER-USD'!P$4)/'06. BC BH THEO CUSTOMER-USD'!CV21/'02. Tỷ giá'!E$5,"-")</f>
        <v>-</v>
      </c>
      <c r="Q21" s="106" t="str">
        <f>IFERROR(SUMIFS('01. KE30'!$K:$K,'01. KE30'!$C:$C,'06. BC BH THEO CUSTOMER-USD'!$D21,'01. KE30'!$F:$F,'06. BC BH THEO CUSTOMER-USD'!$H21,'01. KE30'!$A:$A,'06. BC BH THEO CUSTOMER-USD'!Q$4)/'06. BC BH THEO CUSTOMER-USD'!CW21/'02. Tỷ giá'!F$5,"-")</f>
        <v>-</v>
      </c>
      <c r="R21" s="106" t="str">
        <f>IFERROR(SUMIFS('01. KE30'!$K:$K,'01. KE30'!$C:$C,'06. BC BH THEO CUSTOMER-USD'!$D21,'01. KE30'!$F:$F,'06. BC BH THEO CUSTOMER-USD'!$H21,'01. KE30'!$A:$A,'06. BC BH THEO CUSTOMER-USD'!R$4)/'06. BC BH THEO CUSTOMER-USD'!CX21/'02. Tỷ giá'!G$5,"-")</f>
        <v>-</v>
      </c>
      <c r="S21" s="106" t="str">
        <f>IFERROR(SUMIFS('01. KE30'!$K:$K,'01. KE30'!$C:$C,'06. BC BH THEO CUSTOMER-USD'!$D21,'01. KE30'!$F:$F,'06. BC BH THEO CUSTOMER-USD'!$H21,'01. KE30'!$A:$A,'06. BC BH THEO CUSTOMER-USD'!S$4)/'06. BC BH THEO CUSTOMER-USD'!CY21/'02. Tỷ giá'!H$5,"-")</f>
        <v>-</v>
      </c>
      <c r="T21" s="106" t="str">
        <f>IFERROR(SUMIFS('01. KE30'!$K:$K,'01. KE30'!$C:$C,'06. BC BH THEO CUSTOMER-USD'!$D21,'01. KE30'!$F:$F,'06. BC BH THEO CUSTOMER-USD'!$H21,'01. KE30'!$A:$A,'06. BC BH THEO CUSTOMER-USD'!T$4)/'06. BC BH THEO CUSTOMER-USD'!CZ21/'02. Tỷ giá'!I$5,"-")</f>
        <v>-</v>
      </c>
      <c r="U21" s="106" t="str">
        <f>IFERROR(SUMIFS('01. KE30'!$K:$K,'01. KE30'!$C:$C,'06. BC BH THEO CUSTOMER-USD'!$D21,'01. KE30'!$F:$F,'06. BC BH THEO CUSTOMER-USD'!$H21,'01. KE30'!$A:$A,'06. BC BH THEO CUSTOMER-USD'!U$4)/'06. BC BH THEO CUSTOMER-USD'!DA21/'02. Tỷ giá'!J$5,"-")</f>
        <v>-</v>
      </c>
      <c r="V21" s="106" t="str">
        <f>IFERROR(SUMIFS('01. KE30'!$K:$K,'01. KE30'!$C:$C,'06. BC BH THEO CUSTOMER-USD'!$D21,'01. KE30'!$F:$F,'06. BC BH THEO CUSTOMER-USD'!$H21,'01. KE30'!$A:$A,'06. BC BH THEO CUSTOMER-USD'!V$4)/'06. BC BH THEO CUSTOMER-USD'!DB21/'02. Tỷ giá'!K$5,"-")</f>
        <v>-</v>
      </c>
      <c r="W21" s="106" t="str">
        <f>IFERROR(SUMIFS('01. KE30'!$K:$K,'01. KE30'!$C:$C,'06. BC BH THEO CUSTOMER-USD'!$D21,'01. KE30'!$F:$F,'06. BC BH THEO CUSTOMER-USD'!$H21,'01. KE30'!$A:$A,'06. BC BH THEO CUSTOMER-USD'!W$4)/'06. BC BH THEO CUSTOMER-USD'!DC21/'02. Tỷ giá'!L$5,"-")</f>
        <v>-</v>
      </c>
      <c r="X21" s="106" t="str">
        <f>IFERROR(SUMIFS('01. KE30'!$K:$K,'01. KE30'!$C:$C,'06. BC BH THEO CUSTOMER-USD'!$D21,'01. KE30'!$F:$F,'06. BC BH THEO CUSTOMER-USD'!$H21,'01. KE30'!$A:$A,'06. BC BH THEO CUSTOMER-USD'!X$4)/'06. BC BH THEO CUSTOMER-USD'!DD21/'02. Tỷ giá'!M$5,"-")</f>
        <v>-</v>
      </c>
      <c r="Z21" s="92">
        <f t="shared" si="43"/>
        <v>1113.3838460987831</v>
      </c>
      <c r="AA21" s="147" t="str">
        <f>IFERROR(SUMIFS('01. KE30'!$O:$O,'01. KE30'!$C:$C,'06. BC BH THEO CUSTOMER-USD'!$D21,'01. KE30'!$F:$F,'06. BC BH THEO CUSTOMER-USD'!$H21,'01. KE30'!$A:$A,'06. BC BH THEO CUSTOMER-USD'!M$4)/'06. BC BH THEO CUSTOMER-USD'!CS21/'02. Tỷ giá'!B$5,"-")</f>
        <v>-</v>
      </c>
      <c r="AB21" s="147" t="str">
        <f>IFERROR(SUMIFS('01. KE30'!$O:$O,'01. KE30'!$C:$C,'06. BC BH THEO CUSTOMER-USD'!$D21,'01. KE30'!$F:$F,'06. BC BH THEO CUSTOMER-USD'!$H21,'01. KE30'!$A:$A,'06. BC BH THEO CUSTOMER-USD'!N$4)/'06. BC BH THEO CUSTOMER-USD'!CT21/'02. Tỷ giá'!C$5,"-")</f>
        <v>-</v>
      </c>
      <c r="AC21" s="147">
        <f>IFERROR(SUMIFS('01. KE30'!$O:$O,'01. KE30'!$C:$C,'06. BC BH THEO CUSTOMER-USD'!$D21,'01. KE30'!$F:$F,'06. BC BH THEO CUSTOMER-USD'!$H21,'01. KE30'!$A:$A,'06. BC BH THEO CUSTOMER-USD'!O$4)/'06. BC BH THEO CUSTOMER-USD'!CU21/'02. Tỷ giá'!D$5,"-")</f>
        <v>1113.3838460987831</v>
      </c>
      <c r="AD21" s="147" t="str">
        <f>IFERROR(SUMIFS('01. KE30'!$O:$O,'01. KE30'!$C:$C,'06. BC BH THEO CUSTOMER-USD'!$D21,'01. KE30'!$F:$F,'06. BC BH THEO CUSTOMER-USD'!$H21,'01. KE30'!$A:$A,'06. BC BH THEO CUSTOMER-USD'!P$4)/'06. BC BH THEO CUSTOMER-USD'!CV21/'02. Tỷ giá'!E$5,"-")</f>
        <v>-</v>
      </c>
      <c r="AE21" s="147" t="str">
        <f>IFERROR(SUMIFS('01. KE30'!$O:$O,'01. KE30'!$C:$C,'06. BC BH THEO CUSTOMER-USD'!$D21,'01. KE30'!$F:$F,'06. BC BH THEO CUSTOMER-USD'!$H21,'01. KE30'!$A:$A,'06. BC BH THEO CUSTOMER-USD'!Q$4)/'06. BC BH THEO CUSTOMER-USD'!CW21/'02. Tỷ giá'!F$5,"-")</f>
        <v>-</v>
      </c>
      <c r="AF21" s="147" t="str">
        <f>IFERROR(SUMIFS('01. KE30'!$O:$O,'01. KE30'!$C:$C,'06. BC BH THEO CUSTOMER-USD'!$D21,'01. KE30'!$F:$F,'06. BC BH THEO CUSTOMER-USD'!$H21,'01. KE30'!$A:$A,'06. BC BH THEO CUSTOMER-USD'!R$4)/'06. BC BH THEO CUSTOMER-USD'!CX21/'02. Tỷ giá'!G$5,"-")</f>
        <v>-</v>
      </c>
      <c r="AG21" s="147" t="str">
        <f>IFERROR(SUMIFS('01. KE30'!$O:$O,'01. KE30'!$C:$C,'06. BC BH THEO CUSTOMER-USD'!$D21,'01. KE30'!$F:$F,'06. BC BH THEO CUSTOMER-USD'!$H21,'01. KE30'!$A:$A,'06. BC BH THEO CUSTOMER-USD'!S$4)/'06. BC BH THEO CUSTOMER-USD'!CY21/'02. Tỷ giá'!H$5,"-")</f>
        <v>-</v>
      </c>
      <c r="AH21" s="147" t="str">
        <f>IFERROR(SUMIFS('01. KE30'!$O:$O,'01. KE30'!$C:$C,'06. BC BH THEO CUSTOMER-USD'!$D21,'01. KE30'!$F:$F,'06. BC BH THEO CUSTOMER-USD'!$H21,'01. KE30'!$A:$A,'06. BC BH THEO CUSTOMER-USD'!T$4)/'06. BC BH THEO CUSTOMER-USD'!CZ21/'02. Tỷ giá'!I$5,"-")</f>
        <v>-</v>
      </c>
      <c r="AI21" s="147" t="str">
        <f>IFERROR(SUMIFS('01. KE30'!$O:$O,'01. KE30'!$C:$C,'06. BC BH THEO CUSTOMER-USD'!$D21,'01. KE30'!$F:$F,'06. BC BH THEO CUSTOMER-USD'!$H21,'01. KE30'!$A:$A,'06. BC BH THEO CUSTOMER-USD'!U$4)/'06. BC BH THEO CUSTOMER-USD'!DA21/'02. Tỷ giá'!J$5,"-")</f>
        <v>-</v>
      </c>
      <c r="AJ21" s="147" t="str">
        <f>IFERROR(SUMIFS('01. KE30'!$O:$O,'01. KE30'!$C:$C,'06. BC BH THEO CUSTOMER-USD'!$D21,'01. KE30'!$F:$F,'06. BC BH THEO CUSTOMER-USD'!$H21,'01. KE30'!$A:$A,'06. BC BH THEO CUSTOMER-USD'!V$4)/'06. BC BH THEO CUSTOMER-USD'!DB21/'02. Tỷ giá'!K$5,"-")</f>
        <v>-</v>
      </c>
      <c r="AK21" s="147" t="str">
        <f>IFERROR(SUMIFS('01. KE30'!$O:$O,'01. KE30'!$C:$C,'06. BC BH THEO CUSTOMER-USD'!$D21,'01. KE30'!$F:$F,'06. BC BH THEO CUSTOMER-USD'!$H21,'01. KE30'!$A:$A,'06. BC BH THEO CUSTOMER-USD'!W$4)/'06. BC BH THEO CUSTOMER-USD'!DC21/'02. Tỷ giá'!L$5,"-")</f>
        <v>-</v>
      </c>
      <c r="AL21" s="147" t="str">
        <f>IFERROR(SUMIFS('01. KE30'!$O:$O,'01. KE30'!$C:$C,'06. BC BH THEO CUSTOMER-USD'!$D21,'01. KE30'!$F:$F,'06. BC BH THEO CUSTOMER-USD'!$H21,'01. KE30'!$A:$A,'06. BC BH THEO CUSTOMER-USD'!X$4)/'06. BC BH THEO CUSTOMER-USD'!DD21/'02. Tỷ giá'!M$5,"-")</f>
        <v>-</v>
      </c>
      <c r="AN21" s="92">
        <f t="shared" si="44"/>
        <v>1166.6666666666667</v>
      </c>
      <c r="AO21" s="25">
        <v>1160</v>
      </c>
      <c r="AP21" s="25">
        <v>1160</v>
      </c>
      <c r="AQ21" s="25">
        <v>1160</v>
      </c>
      <c r="AR21" s="4">
        <f t="shared" si="72"/>
        <v>1180</v>
      </c>
      <c r="AS21" s="4">
        <v>1180</v>
      </c>
      <c r="AT21" s="4">
        <v>1180</v>
      </c>
      <c r="AU21" s="4">
        <v>1180</v>
      </c>
      <c r="AV21" s="4">
        <f t="shared" si="66"/>
        <v>1150</v>
      </c>
      <c r="AW21" s="25">
        <v>1150</v>
      </c>
      <c r="AX21" s="25"/>
      <c r="AY21" s="4"/>
      <c r="AZ21" s="4"/>
      <c r="BB21" s="95">
        <f t="shared" si="45"/>
        <v>-53.282820567883618</v>
      </c>
      <c r="BC21" s="95" t="str">
        <f t="shared" si="46"/>
        <v>-</v>
      </c>
      <c r="BD21" s="95" t="str">
        <f t="shared" ref="BD21:BN39" si="74">IF(N21&lt;&gt;"-",AB21-AP21,"-")</f>
        <v>-</v>
      </c>
      <c r="BE21" s="95">
        <f t="shared" si="74"/>
        <v>-46.616153901216876</v>
      </c>
      <c r="BF21" s="95" t="str">
        <f t="shared" si="74"/>
        <v>-</v>
      </c>
      <c r="BG21" s="95" t="str">
        <f t="shared" si="74"/>
        <v>-</v>
      </c>
      <c r="BH21" s="95" t="str">
        <f t="shared" si="74"/>
        <v>-</v>
      </c>
      <c r="BI21" s="95" t="str">
        <f t="shared" si="74"/>
        <v>-</v>
      </c>
      <c r="BJ21" s="95" t="str">
        <f t="shared" si="74"/>
        <v>-</v>
      </c>
      <c r="BK21" s="95" t="str">
        <f t="shared" si="74"/>
        <v>-</v>
      </c>
      <c r="BL21" s="95" t="str">
        <f t="shared" si="74"/>
        <v>-</v>
      </c>
      <c r="BM21" s="95" t="str">
        <f t="shared" si="74"/>
        <v>-</v>
      </c>
      <c r="BN21" s="95" t="str">
        <f t="shared" si="74"/>
        <v>-</v>
      </c>
      <c r="BP21" s="143">
        <f t="shared" si="47"/>
        <v>-4.5670989058185958E-2</v>
      </c>
      <c r="BQ21" s="143" t="str">
        <f t="shared" si="8"/>
        <v>-</v>
      </c>
      <c r="BR21" s="143" t="str">
        <f t="shared" si="9"/>
        <v>-</v>
      </c>
      <c r="BS21" s="143">
        <f t="shared" si="10"/>
        <v>-4.0186339570014551E-2</v>
      </c>
      <c r="BT21" s="143" t="str">
        <f t="shared" si="11"/>
        <v>-</v>
      </c>
      <c r="BU21" s="143" t="str">
        <f t="shared" si="12"/>
        <v>-</v>
      </c>
      <c r="BV21" s="143" t="str">
        <f t="shared" si="13"/>
        <v>-</v>
      </c>
      <c r="BW21" s="143" t="str">
        <f t="shared" si="14"/>
        <v>-</v>
      </c>
      <c r="BX21" s="143" t="str">
        <f t="shared" si="15"/>
        <v>-</v>
      </c>
      <c r="BY21" s="143" t="str">
        <f t="shared" si="16"/>
        <v>-</v>
      </c>
      <c r="BZ21" s="143" t="str">
        <f t="shared" si="17"/>
        <v>-</v>
      </c>
      <c r="CA21" s="143" t="str">
        <f t="shared" si="18"/>
        <v>-</v>
      </c>
      <c r="CB21" s="143" t="str">
        <f t="shared" si="19"/>
        <v>-</v>
      </c>
      <c r="CD21" s="112">
        <f t="shared" si="25"/>
        <v>1035.0435576234788</v>
      </c>
      <c r="CE21" s="95" t="str">
        <f>IFERROR(SUMIFS('01. KE30'!$R:$R,'01. KE30'!$C:$C,'06. BC BH THEO CUSTOMER-USD'!$D21,'01. KE30'!$F:$F,'06. BC BH THEO CUSTOMER-USD'!$H21,'01. KE30'!$A:$A,'06. BC BH THEO CUSTOMER-USD'!CE$4)/CS21/'02. Tỷ giá'!B$5," -")</f>
        <v xml:space="preserve"> -</v>
      </c>
      <c r="CF21" s="95" t="str">
        <f>IFERROR(SUMIFS('01. KE30'!$R:$R,'01. KE30'!$C:$C,'06. BC BH THEO CUSTOMER-USD'!$D21,'01. KE30'!$F:$F,'06. BC BH THEO CUSTOMER-USD'!$H21,'01. KE30'!$A:$A,'06. BC BH THEO CUSTOMER-USD'!CF$4)/CT21/'02. Tỷ giá'!C$5," -")</f>
        <v xml:space="preserve"> -</v>
      </c>
      <c r="CG21" s="95">
        <f>IFERROR(SUMIFS('01. KE30'!$R:$R,'01. KE30'!$C:$C,'06. BC BH THEO CUSTOMER-USD'!$D21,'01. KE30'!$F:$F,'06. BC BH THEO CUSTOMER-USD'!$H21,'01. KE30'!$A:$A,'06. BC BH THEO CUSTOMER-USD'!CG$4)/CU21/'02. Tỷ giá'!D$5," -")</f>
        <v>1035.0435576234788</v>
      </c>
      <c r="CH21" s="95" t="str">
        <f>IFERROR(SUMIFS('01. KE30'!$R:$R,'01. KE30'!$C:$C,'06. BC BH THEO CUSTOMER-USD'!$D21,'01. KE30'!$F:$F,'06. BC BH THEO CUSTOMER-USD'!$H21,'01. KE30'!$A:$A,'06. BC BH THEO CUSTOMER-USD'!CH$4)/CV21/'02. Tỷ giá'!E$5," -")</f>
        <v xml:space="preserve"> -</v>
      </c>
      <c r="CI21" s="95" t="str">
        <f>IFERROR(SUMIFS('01. KE30'!$R:$R,'01. KE30'!$C:$C,'06. BC BH THEO CUSTOMER-USD'!$D21,'01. KE30'!$F:$F,'06. BC BH THEO CUSTOMER-USD'!$H21,'01. KE30'!$A:$A,'06. BC BH THEO CUSTOMER-USD'!CI$4)/CW21/'02. Tỷ giá'!F$5," -")</f>
        <v xml:space="preserve"> -</v>
      </c>
      <c r="CJ21" s="95" t="str">
        <f>IFERROR(SUMIFS('01. KE30'!$R:$R,'01. KE30'!$C:$C,'06. BC BH THEO CUSTOMER-USD'!$D21,'01. KE30'!$F:$F,'06. BC BH THEO CUSTOMER-USD'!$H21,'01. KE30'!$A:$A,'06. BC BH THEO CUSTOMER-USD'!CJ$4)/CX21/'02. Tỷ giá'!G$5," -")</f>
        <v xml:space="preserve"> -</v>
      </c>
      <c r="CK21" s="95" t="str">
        <f>IFERROR(SUMIFS('01. KE30'!$R:$R,'01. KE30'!$C:$C,'06. BC BH THEO CUSTOMER-USD'!$D21,'01. KE30'!$F:$F,'06. BC BH THEO CUSTOMER-USD'!$H21,'01. KE30'!$A:$A,'06. BC BH THEO CUSTOMER-USD'!CK$4)/CY21/'02. Tỷ giá'!H$5," -")</f>
        <v xml:space="preserve"> -</v>
      </c>
      <c r="CL21" s="95" t="str">
        <f>IFERROR(SUMIFS('01. KE30'!$R:$R,'01. KE30'!$C:$C,'06. BC BH THEO CUSTOMER-USD'!$D21,'01. KE30'!$F:$F,'06. BC BH THEO CUSTOMER-USD'!$H21,'01. KE30'!$A:$A,'06. BC BH THEO CUSTOMER-USD'!CL$4)/CZ21/'02. Tỷ giá'!I$5," -")</f>
        <v xml:space="preserve"> -</v>
      </c>
      <c r="CM21" s="95" t="str">
        <f>IFERROR(SUMIFS('01. KE30'!$R:$R,'01. KE30'!$C:$C,'06. BC BH THEO CUSTOMER-USD'!$D21,'01. KE30'!$F:$F,'06. BC BH THEO CUSTOMER-USD'!$H21,'01. KE30'!$A:$A,'06. BC BH THEO CUSTOMER-USD'!CM$4)/DA21/'02. Tỷ giá'!J$5," -")</f>
        <v xml:space="preserve"> -</v>
      </c>
      <c r="CN21" s="95" t="str">
        <f>IFERROR(SUMIFS('01. KE30'!$R:$R,'01. KE30'!$C:$C,'06. BC BH THEO CUSTOMER-USD'!$D21,'01. KE30'!$F:$F,'06. BC BH THEO CUSTOMER-USD'!$H21,'01. KE30'!$A:$A,'06. BC BH THEO CUSTOMER-USD'!CN$4)/DB21/'02. Tỷ giá'!K$5," -")</f>
        <v xml:space="preserve"> -</v>
      </c>
      <c r="CO21" s="95" t="str">
        <f>IFERROR(SUMIFS('01. KE30'!$R:$R,'01. KE30'!$C:$C,'06. BC BH THEO CUSTOMER-USD'!$D21,'01. KE30'!$F:$F,'06. BC BH THEO CUSTOMER-USD'!$H21,'01. KE30'!$A:$A,'06. BC BH THEO CUSTOMER-USD'!CO$4)/DC21/'02. Tỷ giá'!L$5," -")</f>
        <v xml:space="preserve"> -</v>
      </c>
      <c r="CP21" s="95" t="str">
        <f>IFERROR(SUMIFS('01. KE30'!$R:$R,'01. KE30'!$C:$C,'06. BC BH THEO CUSTOMER-USD'!$D21,'01. KE30'!$F:$F,'06. BC BH THEO CUSTOMER-USD'!$H21,'01. KE30'!$A:$A,'06. BC BH THEO CUSTOMER-USD'!CP$4)/DD21/'02. Tỷ giá'!M$5," -")</f>
        <v xml:space="preserve"> -</v>
      </c>
      <c r="CR21" s="112">
        <f t="shared" si="26"/>
        <v>220</v>
      </c>
      <c r="CS21" s="114">
        <f>SUMIFS('01. KE30'!$I:$I,'01. KE30'!$C:$C,'06. BC BH THEO CUSTOMER-USD'!$D21,'01. KE30'!$F:$F,'06. BC BH THEO CUSTOMER-USD'!$H21,'01. KE30'!$A:$A,'06. BC BH THEO CUSTOMER-USD'!CS$4)/1000</f>
        <v>0</v>
      </c>
      <c r="CT21" s="114">
        <f>SUMIFS('01. KE30'!$I:$I,'01. KE30'!$C:$C,'06. BC BH THEO CUSTOMER-USD'!$D21,'01. KE30'!$F:$F,'06. BC BH THEO CUSTOMER-USD'!$H21,'01. KE30'!$A:$A,'06. BC BH THEO CUSTOMER-USD'!CT$4)/1000</f>
        <v>0</v>
      </c>
      <c r="CU21" s="114">
        <f>SUMIFS('01. KE30'!$I:$I,'01. KE30'!$C:$C,'06. BC BH THEO CUSTOMER-USD'!$D21,'01. KE30'!$F:$F,'06. BC BH THEO CUSTOMER-USD'!$H21,'01. KE30'!$A:$A,'06. BC BH THEO CUSTOMER-USD'!CU$4)/1000</f>
        <v>220</v>
      </c>
      <c r="CV21" s="114">
        <f>SUMIFS('01. KE30'!$I:$I,'01. KE30'!$C:$C,'06. BC BH THEO CUSTOMER-USD'!$D21,'01. KE30'!$F:$F,'06. BC BH THEO CUSTOMER-USD'!$H21,'01. KE30'!$A:$A,'06. BC BH THEO CUSTOMER-USD'!CV$4)/1000</f>
        <v>0</v>
      </c>
      <c r="CW21" s="114">
        <f>SUMIFS('01. KE30'!$I:$I,'01. KE30'!$C:$C,'06. BC BH THEO CUSTOMER-USD'!$D21,'01. KE30'!$F:$F,'06. BC BH THEO CUSTOMER-USD'!$H21,'01. KE30'!$A:$A,'06. BC BH THEO CUSTOMER-USD'!CW$4)/1000</f>
        <v>0</v>
      </c>
      <c r="CX21" s="114">
        <f>SUMIFS('01. KE30'!$I:$I,'01. KE30'!$C:$C,'06. BC BH THEO CUSTOMER-USD'!$D21,'01. KE30'!$F:$F,'06. BC BH THEO CUSTOMER-USD'!$H21,'01. KE30'!$A:$A,'06. BC BH THEO CUSTOMER-USD'!CX$4)/1000</f>
        <v>0</v>
      </c>
      <c r="CY21" s="114">
        <f>SUMIFS('01. KE30'!$I:$I,'01. KE30'!$C:$C,'06. BC BH THEO CUSTOMER-USD'!$D21,'01. KE30'!$F:$F,'06. BC BH THEO CUSTOMER-USD'!$H21,'01. KE30'!$A:$A,'06. BC BH THEO CUSTOMER-USD'!CY$4)/1000</f>
        <v>0</v>
      </c>
      <c r="CZ21" s="114">
        <f>SUMIFS('01. KE30'!$I:$I,'01. KE30'!$C:$C,'06. BC BH THEO CUSTOMER-USD'!$D21,'01. KE30'!$F:$F,'06. BC BH THEO CUSTOMER-USD'!$H21,'01. KE30'!$A:$A,'06. BC BH THEO CUSTOMER-USD'!CZ$4)/1000</f>
        <v>0</v>
      </c>
      <c r="DA21" s="114">
        <f>SUMIFS('01. KE30'!$I:$I,'01. KE30'!$C:$C,'06. BC BH THEO CUSTOMER-USD'!$D21,'01. KE30'!$F:$F,'06. BC BH THEO CUSTOMER-USD'!$H21,'01. KE30'!$A:$A,'06. BC BH THEO CUSTOMER-USD'!DA$4)/1000</f>
        <v>0</v>
      </c>
      <c r="DB21" s="114">
        <f>SUMIFS('01. KE30'!$I:$I,'01. KE30'!$C:$C,'06. BC BH THEO CUSTOMER-USD'!$D21,'01. KE30'!$F:$F,'06. BC BH THEO CUSTOMER-USD'!$H21,'01. KE30'!$A:$A,'06. BC BH THEO CUSTOMER-USD'!DB$4)/1000</f>
        <v>0</v>
      </c>
      <c r="DC21" s="114">
        <f>SUMIFS('01. KE30'!$I:$I,'01. KE30'!$C:$C,'06. BC BH THEO CUSTOMER-USD'!$D21,'01. KE30'!$F:$F,'06. BC BH THEO CUSTOMER-USD'!$H21,'01. KE30'!$A:$A,'06. BC BH THEO CUSTOMER-USD'!DC$4)/1000</f>
        <v>0</v>
      </c>
      <c r="DD21" s="114">
        <f>SUMIFS('01. KE30'!$I:$I,'01. KE30'!$C:$C,'06. BC BH THEO CUSTOMER-USD'!$D21,'01. KE30'!$F:$F,'06. BC BH THEO CUSTOMER-USD'!$H21,'01. KE30'!$A:$A,'06. BC BH THEO CUSTOMER-USD'!DD$4)/1000</f>
        <v>0</v>
      </c>
      <c r="DF21" s="112">
        <f t="shared" si="73"/>
        <v>248525.68503937009</v>
      </c>
      <c r="DG21" s="54" t="str">
        <f t="shared" si="48"/>
        <v>-</v>
      </c>
      <c r="DH21" s="54" t="str">
        <f t="shared" si="49"/>
        <v>-</v>
      </c>
      <c r="DI21" s="54">
        <f t="shared" si="50"/>
        <v>248525.68503937009</v>
      </c>
      <c r="DJ21" s="54" t="str">
        <f t="shared" si="51"/>
        <v>-</v>
      </c>
      <c r="DK21" s="54" t="str">
        <f t="shared" si="52"/>
        <v>-</v>
      </c>
      <c r="DL21" s="54" t="str">
        <f t="shared" si="53"/>
        <v>-</v>
      </c>
      <c r="DM21" s="54" t="str">
        <f t="shared" si="54"/>
        <v>-</v>
      </c>
      <c r="DN21" s="54" t="str">
        <f t="shared" si="55"/>
        <v>-</v>
      </c>
      <c r="DO21" s="54" t="str">
        <f t="shared" si="56"/>
        <v>-</v>
      </c>
      <c r="DP21" s="54" t="str">
        <f t="shared" si="57"/>
        <v>-</v>
      </c>
      <c r="DQ21" s="54" t="str">
        <f t="shared" si="58"/>
        <v>-</v>
      </c>
      <c r="DR21" s="54" t="str">
        <f t="shared" si="59"/>
        <v>-</v>
      </c>
      <c r="DT21" s="112">
        <f t="shared" si="60"/>
        <v>17234.863464566908</v>
      </c>
      <c r="DU21" s="114">
        <f>IFERROR(SUMIFS('01. KE30'!$X:$X,'01. KE30'!$C:$C,'06. BC BH THEO CUSTOMER-USD'!$D21,'01. KE30'!$F:$F,'06. BC BH THEO CUSTOMER-USD'!$H21,'01. KE30'!$A:$A,'06. BC BH THEO CUSTOMER-USD'!DU$4)-SUMIFS('01. KE30'!$AA:$AA,'01. KE30'!$C:$C,'06. BC BH THEO CUSTOMER-USD'!$D21,'01. KE30'!$F:$F,'06. BC BH THEO CUSTOMER-USD'!$H21,'01. KE30'!$A:$A,'06. BC BH THEO CUSTOMER-USD'!DU$4),"-")</f>
        <v>0</v>
      </c>
      <c r="DV21" s="114">
        <f>IFERROR(SUMIFS('01. KE30'!$X:$X,'01. KE30'!$C:$C,'06. BC BH THEO CUSTOMER-USD'!$D21,'01. KE30'!$F:$F,'06. BC BH THEO CUSTOMER-USD'!$H21,'01. KE30'!$A:$A,'06. BC BH THEO CUSTOMER-USD'!DV$4)-SUMIFS('01. KE30'!$AA:$AA,'01. KE30'!$C:$C,'06. BC BH THEO CUSTOMER-USD'!$D21,'01. KE30'!$F:$F,'06. BC BH THEO CUSTOMER-USD'!$H21,'01. KE30'!$A:$A,'06. BC BH THEO CUSTOMER-USD'!DV$4),"-")</f>
        <v>0</v>
      </c>
      <c r="DW21" s="114">
        <f>IFERROR(SUMIFS('01. KE30'!$X:$X,'01. KE30'!$C:$C,'06. BC BH THEO CUSTOMER-USD'!$D21,'01. KE30'!$F:$F,'06. BC BH THEO CUSTOMER-USD'!$H21,'01. KE30'!$A:$A,'06. BC BH THEO CUSTOMER-USD'!DW$4)-SUMIFS('01. KE30'!$AA:$AA,'01. KE30'!$C:$C,'06. BC BH THEO CUSTOMER-USD'!$D21,'01. KE30'!$F:$F,'06. BC BH THEO CUSTOMER-USD'!$H21,'01. KE30'!$A:$A,'06. BC BH THEO CUSTOMER-USD'!DW$4),"-")</f>
        <v>17234.863464566908</v>
      </c>
      <c r="DX21" s="114">
        <f>IFERROR(SUMIFS('01. KE30'!$X:$X,'01. KE30'!$C:$C,'06. BC BH THEO CUSTOMER-USD'!$D21,'01. KE30'!$F:$F,'06. BC BH THEO CUSTOMER-USD'!$H21,'01. KE30'!$A:$A,'06. BC BH THEO CUSTOMER-USD'!DX$4)-SUMIFS('01. KE30'!$AA:$AA,'01. KE30'!$C:$C,'06. BC BH THEO CUSTOMER-USD'!$D21,'01. KE30'!$F:$F,'06. BC BH THEO CUSTOMER-USD'!$H21,'01. KE30'!$A:$A,'06. BC BH THEO CUSTOMER-USD'!DX$4),"-")</f>
        <v>0</v>
      </c>
      <c r="DY21" s="114">
        <f>IFERROR(SUMIFS('01. KE30'!$X:$X,'01. KE30'!$C:$C,'06. BC BH THEO CUSTOMER-USD'!$D21,'01. KE30'!$F:$F,'06. BC BH THEO CUSTOMER-USD'!$H21,'01. KE30'!$A:$A,'06. BC BH THEO CUSTOMER-USD'!DY$4)-SUMIFS('01. KE30'!$AA:$AA,'01. KE30'!$C:$C,'06. BC BH THEO CUSTOMER-USD'!$D21,'01. KE30'!$F:$F,'06. BC BH THEO CUSTOMER-USD'!$H21,'01. KE30'!$A:$A,'06. BC BH THEO CUSTOMER-USD'!DY$4),"-")</f>
        <v>0</v>
      </c>
      <c r="DZ21" s="114">
        <f>IFERROR(SUMIFS('01. KE30'!$X:$X,'01. KE30'!$C:$C,'06. BC BH THEO CUSTOMER-USD'!$D21,'01. KE30'!$F:$F,'06. BC BH THEO CUSTOMER-USD'!$H21,'01. KE30'!$A:$A,'06. BC BH THEO CUSTOMER-USD'!DZ$4)-SUMIFS('01. KE30'!$AA:$AA,'01. KE30'!$C:$C,'06. BC BH THEO CUSTOMER-USD'!$D21,'01. KE30'!$F:$F,'06. BC BH THEO CUSTOMER-USD'!$H21,'01. KE30'!$A:$A,'06. BC BH THEO CUSTOMER-USD'!DZ$4),"-")</f>
        <v>0</v>
      </c>
      <c r="EA21" s="114">
        <f>IFERROR(SUMIFS('01. KE30'!$X:$X,'01. KE30'!$C:$C,'06. BC BH THEO CUSTOMER-USD'!$D21,'01. KE30'!$F:$F,'06. BC BH THEO CUSTOMER-USD'!$H21,'01. KE30'!$A:$A,'06. BC BH THEO CUSTOMER-USD'!EA$4)-SUMIFS('01. KE30'!$AA:$AA,'01. KE30'!$C:$C,'06. BC BH THEO CUSTOMER-USD'!$D21,'01. KE30'!$F:$F,'06. BC BH THEO CUSTOMER-USD'!$H21,'01. KE30'!$A:$A,'06. BC BH THEO CUSTOMER-USD'!EA$4),"-")</f>
        <v>0</v>
      </c>
      <c r="EB21" s="114">
        <f>IFERROR(SUMIFS('01. KE30'!$X:$X,'01. KE30'!$C:$C,'06. BC BH THEO CUSTOMER-USD'!$D21,'01. KE30'!$F:$F,'06. BC BH THEO CUSTOMER-USD'!$H21,'01. KE30'!$A:$A,'06. BC BH THEO CUSTOMER-USD'!EB$4)-SUMIFS('01. KE30'!$AA:$AA,'01. KE30'!$C:$C,'06. BC BH THEO CUSTOMER-USD'!$D21,'01. KE30'!$F:$F,'06. BC BH THEO CUSTOMER-USD'!$H21,'01. KE30'!$A:$A,'06. BC BH THEO CUSTOMER-USD'!EB$4),"-")</f>
        <v>0</v>
      </c>
      <c r="EC21" s="114">
        <f>IFERROR(SUMIFS('01. KE30'!$X:$X,'01. KE30'!$C:$C,'06. BC BH THEO CUSTOMER-USD'!$D21,'01. KE30'!$F:$F,'06. BC BH THEO CUSTOMER-USD'!$H21,'01. KE30'!$A:$A,'06. BC BH THEO CUSTOMER-USD'!EC$4)-SUMIFS('01. KE30'!$AA:$AA,'01. KE30'!$C:$C,'06. BC BH THEO CUSTOMER-USD'!$D21,'01. KE30'!$F:$F,'06. BC BH THEO CUSTOMER-USD'!$H21,'01. KE30'!$A:$A,'06. BC BH THEO CUSTOMER-USD'!EC$4),"-")</f>
        <v>0</v>
      </c>
      <c r="ED21" s="114">
        <f>IFERROR(SUMIFS('01. KE30'!$X:$X,'01. KE30'!$C:$C,'06. BC BH THEO CUSTOMER-USD'!$D21,'01. KE30'!$F:$F,'06. BC BH THEO CUSTOMER-USD'!$H21,'01. KE30'!$A:$A,'06. BC BH THEO CUSTOMER-USD'!ED$4)-SUMIFS('01. KE30'!$AA:$AA,'01. KE30'!$C:$C,'06. BC BH THEO CUSTOMER-USD'!$D21,'01. KE30'!$F:$F,'06. BC BH THEO CUSTOMER-USD'!$H21,'01. KE30'!$A:$A,'06. BC BH THEO CUSTOMER-USD'!ED$4),"-")</f>
        <v>0</v>
      </c>
      <c r="EE21" s="114">
        <f>IFERROR(SUMIFS('01. KE30'!$X:$X,'01. KE30'!$C:$C,'06. BC BH THEO CUSTOMER-USD'!$D21,'01. KE30'!$F:$F,'06. BC BH THEO CUSTOMER-USD'!$H21,'01. KE30'!$A:$A,'06. BC BH THEO CUSTOMER-USD'!EE$4)-SUMIFS('01. KE30'!$AA:$AA,'01. KE30'!$C:$C,'06. BC BH THEO CUSTOMER-USD'!$D21,'01. KE30'!$F:$F,'06. BC BH THEO CUSTOMER-USD'!$H21,'01. KE30'!$A:$A,'06. BC BH THEO CUSTOMER-USD'!EE$4),"-")</f>
        <v>0</v>
      </c>
      <c r="EF21" s="114">
        <f>IFERROR(SUMIFS('01. KE30'!$X:$X,'01. KE30'!$C:$C,'06. BC BH THEO CUSTOMER-USD'!$D21,'01. KE30'!$F:$F,'06. BC BH THEO CUSTOMER-USD'!$H21,'01. KE30'!$A:$A,'06. BC BH THEO CUSTOMER-USD'!EF$4)-SUMIFS('01. KE30'!$AA:$AA,'01. KE30'!$C:$C,'06. BC BH THEO CUSTOMER-USD'!$D21,'01. KE30'!$F:$F,'06. BC BH THEO CUSTOMER-USD'!$H21,'01. KE30'!$A:$A,'06. BC BH THEO CUSTOMER-USD'!EF$4),"-")</f>
        <v>0</v>
      </c>
      <c r="EH21" s="571">
        <f t="shared" si="29"/>
        <v>6.9348419507773026E-2</v>
      </c>
      <c r="EI21" s="572" t="str">
        <f t="shared" si="30"/>
        <v>-</v>
      </c>
      <c r="EJ21" s="572" t="str">
        <f t="shared" si="31"/>
        <v>-</v>
      </c>
      <c r="EK21" s="572">
        <f t="shared" si="32"/>
        <v>6.9348419507773026E-2</v>
      </c>
      <c r="EL21" s="572" t="str">
        <f t="shared" si="33"/>
        <v>-</v>
      </c>
      <c r="EM21" s="572" t="str">
        <f t="shared" si="34"/>
        <v>-</v>
      </c>
      <c r="EN21" s="572" t="str">
        <f t="shared" si="35"/>
        <v>-</v>
      </c>
      <c r="EO21" s="572" t="str">
        <f t="shared" si="36"/>
        <v>-</v>
      </c>
      <c r="EP21" s="572" t="str">
        <f t="shared" si="37"/>
        <v>-</v>
      </c>
      <c r="EQ21" s="572" t="str">
        <f t="shared" si="38"/>
        <v>-</v>
      </c>
      <c r="ER21" s="572" t="str">
        <f t="shared" si="39"/>
        <v>-</v>
      </c>
      <c r="ES21" s="572" t="str">
        <f t="shared" si="40"/>
        <v>-</v>
      </c>
      <c r="ET21" s="572" t="str">
        <f t="shared" si="41"/>
        <v>-</v>
      </c>
    </row>
    <row r="22" spans="1:150" ht="15.5" hidden="1" outlineLevel="1" x14ac:dyDescent="0.35">
      <c r="A22" s="27">
        <f t="shared" si="63"/>
        <v>17</v>
      </c>
      <c r="B22" s="27" t="s">
        <v>283</v>
      </c>
      <c r="C22" s="442" t="s">
        <v>489</v>
      </c>
      <c r="D22" s="9" t="s">
        <v>144</v>
      </c>
      <c r="E22" s="31" t="s">
        <v>143</v>
      </c>
      <c r="F22" s="31" t="s">
        <v>249</v>
      </c>
      <c r="G22" s="12" t="str">
        <f>_xlfn.XLOOKUP(F22,'Quy đổi'!$G$5:$G$32,'Quy đổi'!$H$5:$H$32,0)</f>
        <v>Châu á</v>
      </c>
      <c r="H22" s="77" t="s">
        <v>110</v>
      </c>
      <c r="I22" s="31" t="s">
        <v>109</v>
      </c>
      <c r="J22" s="13" t="s">
        <v>26</v>
      </c>
      <c r="K22" s="11" t="s">
        <v>90</v>
      </c>
      <c r="L22" s="92" t="str">
        <f t="shared" si="42"/>
        <v>-</v>
      </c>
      <c r="M22" s="106" t="str">
        <f>IFERROR(SUMIFS('01. KE30'!$K:$K,'01. KE30'!$C:$C,'06. BC BH THEO CUSTOMER-USD'!$D22,'01. KE30'!$F:$F,'06. BC BH THEO CUSTOMER-USD'!$H22,'01. KE30'!$A:$A,'06. BC BH THEO CUSTOMER-USD'!M$4)/'06. BC BH THEO CUSTOMER-USD'!CS22/'02. Tỷ giá'!B$5,"-")</f>
        <v>-</v>
      </c>
      <c r="N22" s="106" t="str">
        <f>IFERROR(SUMIFS('01. KE30'!$K:$K,'01. KE30'!$C:$C,'06. BC BH THEO CUSTOMER-USD'!$D22,'01. KE30'!$F:$F,'06. BC BH THEO CUSTOMER-USD'!$H22,'01. KE30'!$A:$A,'06. BC BH THEO CUSTOMER-USD'!N$4)/'06. BC BH THEO CUSTOMER-USD'!CT22/'02. Tỷ giá'!C$5,"-")</f>
        <v>-</v>
      </c>
      <c r="O22" s="106" t="str">
        <f>IFERROR(SUMIFS('01. KE30'!$K:$K,'01. KE30'!$C:$C,'06. BC BH THEO CUSTOMER-USD'!$D22,'01. KE30'!$F:$F,'06. BC BH THEO CUSTOMER-USD'!$H22,'01. KE30'!$A:$A,'06. BC BH THEO CUSTOMER-USD'!O$4)/'06. BC BH THEO CUSTOMER-USD'!CU22/'02. Tỷ giá'!D$5,"-")</f>
        <v>-</v>
      </c>
      <c r="P22" s="106" t="str">
        <f>IFERROR(SUMIFS('01. KE30'!$K:$K,'01. KE30'!$C:$C,'06. BC BH THEO CUSTOMER-USD'!$D22,'01. KE30'!$F:$F,'06. BC BH THEO CUSTOMER-USD'!$H22,'01. KE30'!$A:$A,'06. BC BH THEO CUSTOMER-USD'!P$4)/'06. BC BH THEO CUSTOMER-USD'!CV22/'02. Tỷ giá'!E$5,"-")</f>
        <v>-</v>
      </c>
      <c r="Q22" s="106" t="str">
        <f>IFERROR(SUMIFS('01. KE30'!$K:$K,'01. KE30'!$C:$C,'06. BC BH THEO CUSTOMER-USD'!$D22,'01. KE30'!$F:$F,'06. BC BH THEO CUSTOMER-USD'!$H22,'01. KE30'!$A:$A,'06. BC BH THEO CUSTOMER-USD'!Q$4)/'06. BC BH THEO CUSTOMER-USD'!CW22/'02. Tỷ giá'!F$5,"-")</f>
        <v>-</v>
      </c>
      <c r="R22" s="106" t="str">
        <f>IFERROR(SUMIFS('01. KE30'!$K:$K,'01. KE30'!$C:$C,'06. BC BH THEO CUSTOMER-USD'!$D22,'01. KE30'!$F:$F,'06. BC BH THEO CUSTOMER-USD'!$H22,'01. KE30'!$A:$A,'06. BC BH THEO CUSTOMER-USD'!R$4)/'06. BC BH THEO CUSTOMER-USD'!CX22/'02. Tỷ giá'!G$5,"-")</f>
        <v>-</v>
      </c>
      <c r="S22" s="106" t="str">
        <f>IFERROR(SUMIFS('01. KE30'!$K:$K,'01. KE30'!$C:$C,'06. BC BH THEO CUSTOMER-USD'!$D22,'01. KE30'!$F:$F,'06. BC BH THEO CUSTOMER-USD'!$H22,'01. KE30'!$A:$A,'06. BC BH THEO CUSTOMER-USD'!S$4)/'06. BC BH THEO CUSTOMER-USD'!CY22/'02. Tỷ giá'!H$5,"-")</f>
        <v>-</v>
      </c>
      <c r="T22" s="106" t="str">
        <f>IFERROR(SUMIFS('01. KE30'!$K:$K,'01. KE30'!$C:$C,'06. BC BH THEO CUSTOMER-USD'!$D22,'01. KE30'!$F:$F,'06. BC BH THEO CUSTOMER-USD'!$H22,'01. KE30'!$A:$A,'06. BC BH THEO CUSTOMER-USD'!T$4)/'06. BC BH THEO CUSTOMER-USD'!CZ22/'02. Tỷ giá'!I$5,"-")</f>
        <v>-</v>
      </c>
      <c r="U22" s="106" t="str">
        <f>IFERROR(SUMIFS('01. KE30'!$K:$K,'01. KE30'!$C:$C,'06. BC BH THEO CUSTOMER-USD'!$D22,'01. KE30'!$F:$F,'06. BC BH THEO CUSTOMER-USD'!$H22,'01. KE30'!$A:$A,'06. BC BH THEO CUSTOMER-USD'!U$4)/'06. BC BH THEO CUSTOMER-USD'!DA22/'02. Tỷ giá'!J$5,"-")</f>
        <v>-</v>
      </c>
      <c r="V22" s="106" t="str">
        <f>IFERROR(SUMIFS('01. KE30'!$K:$K,'01. KE30'!$C:$C,'06. BC BH THEO CUSTOMER-USD'!$D22,'01. KE30'!$F:$F,'06. BC BH THEO CUSTOMER-USD'!$H22,'01. KE30'!$A:$A,'06. BC BH THEO CUSTOMER-USD'!V$4)/'06. BC BH THEO CUSTOMER-USD'!DB22/'02. Tỷ giá'!K$5,"-")</f>
        <v>-</v>
      </c>
      <c r="W22" s="106" t="str">
        <f>IFERROR(SUMIFS('01. KE30'!$K:$K,'01. KE30'!$C:$C,'06. BC BH THEO CUSTOMER-USD'!$D22,'01. KE30'!$F:$F,'06. BC BH THEO CUSTOMER-USD'!$H22,'01. KE30'!$A:$A,'06. BC BH THEO CUSTOMER-USD'!W$4)/'06. BC BH THEO CUSTOMER-USD'!DC22/'02. Tỷ giá'!L$5,"-")</f>
        <v>-</v>
      </c>
      <c r="X22" s="106" t="str">
        <f>IFERROR(SUMIFS('01. KE30'!$K:$K,'01. KE30'!$C:$C,'06. BC BH THEO CUSTOMER-USD'!$D22,'01. KE30'!$F:$F,'06. BC BH THEO CUSTOMER-USD'!$H22,'01. KE30'!$A:$A,'06. BC BH THEO CUSTOMER-USD'!X$4)/'06. BC BH THEO CUSTOMER-USD'!DD22/'02. Tỷ giá'!M$5,"-")</f>
        <v>-</v>
      </c>
      <c r="Z22" s="92" t="str">
        <f t="shared" si="43"/>
        <v>-</v>
      </c>
      <c r="AA22" s="147" t="str">
        <f>IFERROR(SUMIFS('01. KE30'!$O:$O,'01. KE30'!$C:$C,'06. BC BH THEO CUSTOMER-USD'!$D22,'01. KE30'!$F:$F,'06. BC BH THEO CUSTOMER-USD'!$H22,'01. KE30'!$A:$A,'06. BC BH THEO CUSTOMER-USD'!M$4)/'06. BC BH THEO CUSTOMER-USD'!CS22/'02. Tỷ giá'!B$5,"-")</f>
        <v>-</v>
      </c>
      <c r="AB22" s="147" t="str">
        <f>IFERROR(SUMIFS('01. KE30'!$O:$O,'01. KE30'!$C:$C,'06. BC BH THEO CUSTOMER-USD'!$D22,'01. KE30'!$F:$F,'06. BC BH THEO CUSTOMER-USD'!$H22,'01. KE30'!$A:$A,'06. BC BH THEO CUSTOMER-USD'!N$4)/'06. BC BH THEO CUSTOMER-USD'!CT22/'02. Tỷ giá'!C$5,"-")</f>
        <v>-</v>
      </c>
      <c r="AC22" s="147" t="str">
        <f>IFERROR(SUMIFS('01. KE30'!$O:$O,'01. KE30'!$C:$C,'06. BC BH THEO CUSTOMER-USD'!$D22,'01. KE30'!$F:$F,'06. BC BH THEO CUSTOMER-USD'!$H22,'01. KE30'!$A:$A,'06. BC BH THEO CUSTOMER-USD'!O$4)/'06. BC BH THEO CUSTOMER-USD'!CU22/'02. Tỷ giá'!D$5,"-")</f>
        <v>-</v>
      </c>
      <c r="AD22" s="147" t="str">
        <f>IFERROR(SUMIFS('01. KE30'!$O:$O,'01. KE30'!$C:$C,'06. BC BH THEO CUSTOMER-USD'!$D22,'01. KE30'!$F:$F,'06. BC BH THEO CUSTOMER-USD'!$H22,'01. KE30'!$A:$A,'06. BC BH THEO CUSTOMER-USD'!P$4)/'06. BC BH THEO CUSTOMER-USD'!CV22/'02. Tỷ giá'!E$5,"-")</f>
        <v>-</v>
      </c>
      <c r="AE22" s="147" t="str">
        <f>IFERROR(SUMIFS('01. KE30'!$O:$O,'01. KE30'!$C:$C,'06. BC BH THEO CUSTOMER-USD'!$D22,'01. KE30'!$F:$F,'06. BC BH THEO CUSTOMER-USD'!$H22,'01. KE30'!$A:$A,'06. BC BH THEO CUSTOMER-USD'!Q$4)/'06. BC BH THEO CUSTOMER-USD'!CW22/'02. Tỷ giá'!F$5,"-")</f>
        <v>-</v>
      </c>
      <c r="AF22" s="147" t="str">
        <f>IFERROR(SUMIFS('01. KE30'!$O:$O,'01. KE30'!$C:$C,'06. BC BH THEO CUSTOMER-USD'!$D22,'01. KE30'!$F:$F,'06. BC BH THEO CUSTOMER-USD'!$H22,'01. KE30'!$A:$A,'06. BC BH THEO CUSTOMER-USD'!R$4)/'06. BC BH THEO CUSTOMER-USD'!CX22/'02. Tỷ giá'!G$5,"-")</f>
        <v>-</v>
      </c>
      <c r="AG22" s="147" t="str">
        <f>IFERROR(SUMIFS('01. KE30'!$O:$O,'01. KE30'!$C:$C,'06. BC BH THEO CUSTOMER-USD'!$D22,'01. KE30'!$F:$F,'06. BC BH THEO CUSTOMER-USD'!$H22,'01. KE30'!$A:$A,'06. BC BH THEO CUSTOMER-USD'!S$4)/'06. BC BH THEO CUSTOMER-USD'!CY22/'02. Tỷ giá'!H$5,"-")</f>
        <v>-</v>
      </c>
      <c r="AH22" s="147" t="str">
        <f>IFERROR(SUMIFS('01. KE30'!$O:$O,'01. KE30'!$C:$C,'06. BC BH THEO CUSTOMER-USD'!$D22,'01. KE30'!$F:$F,'06. BC BH THEO CUSTOMER-USD'!$H22,'01. KE30'!$A:$A,'06. BC BH THEO CUSTOMER-USD'!T$4)/'06. BC BH THEO CUSTOMER-USD'!CZ22/'02. Tỷ giá'!I$5,"-")</f>
        <v>-</v>
      </c>
      <c r="AI22" s="147" t="str">
        <f>IFERROR(SUMIFS('01. KE30'!$O:$O,'01. KE30'!$C:$C,'06. BC BH THEO CUSTOMER-USD'!$D22,'01. KE30'!$F:$F,'06. BC BH THEO CUSTOMER-USD'!$H22,'01. KE30'!$A:$A,'06. BC BH THEO CUSTOMER-USD'!U$4)/'06. BC BH THEO CUSTOMER-USD'!DA22/'02. Tỷ giá'!J$5,"-")</f>
        <v>-</v>
      </c>
      <c r="AJ22" s="147" t="str">
        <f>IFERROR(SUMIFS('01. KE30'!$O:$O,'01. KE30'!$C:$C,'06. BC BH THEO CUSTOMER-USD'!$D22,'01. KE30'!$F:$F,'06. BC BH THEO CUSTOMER-USD'!$H22,'01. KE30'!$A:$A,'06. BC BH THEO CUSTOMER-USD'!V$4)/'06. BC BH THEO CUSTOMER-USD'!DB22/'02. Tỷ giá'!K$5,"-")</f>
        <v>-</v>
      </c>
      <c r="AK22" s="147" t="str">
        <f>IFERROR(SUMIFS('01. KE30'!$O:$O,'01. KE30'!$C:$C,'06. BC BH THEO CUSTOMER-USD'!$D22,'01. KE30'!$F:$F,'06. BC BH THEO CUSTOMER-USD'!$H22,'01. KE30'!$A:$A,'06. BC BH THEO CUSTOMER-USD'!W$4)/'06. BC BH THEO CUSTOMER-USD'!DC22/'02. Tỷ giá'!L$5,"-")</f>
        <v>-</v>
      </c>
      <c r="AL22" s="147" t="str">
        <f>IFERROR(SUMIFS('01. KE30'!$O:$O,'01. KE30'!$C:$C,'06. BC BH THEO CUSTOMER-USD'!$D22,'01. KE30'!$F:$F,'06. BC BH THEO CUSTOMER-USD'!$H22,'01. KE30'!$A:$A,'06. BC BH THEO CUSTOMER-USD'!X$4)/'06. BC BH THEO CUSTOMER-USD'!DD22/'02. Tỷ giá'!M$5,"-")</f>
        <v>-</v>
      </c>
      <c r="AN22" s="92">
        <f t="shared" si="44"/>
        <v>1236.6666666666667</v>
      </c>
      <c r="AO22" s="25">
        <v>1230</v>
      </c>
      <c r="AP22" s="25">
        <v>1230</v>
      </c>
      <c r="AQ22" s="25">
        <v>1230</v>
      </c>
      <c r="AR22" s="25">
        <f t="shared" si="72"/>
        <v>1250</v>
      </c>
      <c r="AS22" s="25">
        <v>1250</v>
      </c>
      <c r="AT22" s="25">
        <v>1250</v>
      </c>
      <c r="AU22" s="25">
        <v>1250</v>
      </c>
      <c r="AV22" s="4">
        <f t="shared" si="66"/>
        <v>1220</v>
      </c>
      <c r="AW22" s="25">
        <v>1220</v>
      </c>
      <c r="AX22" s="25"/>
      <c r="AY22" s="4"/>
      <c r="AZ22" s="4"/>
      <c r="BB22" s="95" t="str">
        <f t="shared" si="45"/>
        <v>-</v>
      </c>
      <c r="BC22" s="95" t="str">
        <f t="shared" si="46"/>
        <v>-</v>
      </c>
      <c r="BD22" s="95" t="str">
        <f t="shared" si="74"/>
        <v>-</v>
      </c>
      <c r="BE22" s="95" t="str">
        <f t="shared" si="74"/>
        <v>-</v>
      </c>
      <c r="BF22" s="95" t="str">
        <f t="shared" si="74"/>
        <v>-</v>
      </c>
      <c r="BG22" s="95" t="str">
        <f t="shared" si="74"/>
        <v>-</v>
      </c>
      <c r="BH22" s="95" t="str">
        <f t="shared" si="74"/>
        <v>-</v>
      </c>
      <c r="BI22" s="95" t="str">
        <f t="shared" si="74"/>
        <v>-</v>
      </c>
      <c r="BJ22" s="95" t="str">
        <f t="shared" si="74"/>
        <v>-</v>
      </c>
      <c r="BK22" s="95" t="str">
        <f t="shared" si="74"/>
        <v>-</v>
      </c>
      <c r="BL22" s="95" t="str">
        <f t="shared" si="74"/>
        <v>-</v>
      </c>
      <c r="BM22" s="95" t="str">
        <f t="shared" si="74"/>
        <v>-</v>
      </c>
      <c r="BN22" s="95" t="str">
        <f t="shared" si="74"/>
        <v>-</v>
      </c>
      <c r="BP22" s="143" t="str">
        <f t="shared" si="47"/>
        <v>-</v>
      </c>
      <c r="BQ22" s="143" t="str">
        <f t="shared" si="8"/>
        <v>-</v>
      </c>
      <c r="BR22" s="143" t="str">
        <f t="shared" si="9"/>
        <v>-</v>
      </c>
      <c r="BS22" s="143" t="str">
        <f t="shared" si="10"/>
        <v>-</v>
      </c>
      <c r="BT22" s="143" t="str">
        <f t="shared" si="11"/>
        <v>-</v>
      </c>
      <c r="BU22" s="143" t="str">
        <f t="shared" si="12"/>
        <v>-</v>
      </c>
      <c r="BV22" s="143" t="str">
        <f t="shared" si="13"/>
        <v>-</v>
      </c>
      <c r="BW22" s="143" t="str">
        <f t="shared" si="14"/>
        <v>-</v>
      </c>
      <c r="BX22" s="143" t="str">
        <f t="shared" si="15"/>
        <v>-</v>
      </c>
      <c r="BY22" s="143" t="str">
        <f t="shared" si="16"/>
        <v>-</v>
      </c>
      <c r="BZ22" s="143" t="str">
        <f t="shared" si="17"/>
        <v>-</v>
      </c>
      <c r="CA22" s="143" t="str">
        <f t="shared" si="18"/>
        <v>-</v>
      </c>
      <c r="CB22" s="143" t="str">
        <f t="shared" si="19"/>
        <v>-</v>
      </c>
      <c r="CD22" s="112" t="str">
        <f t="shared" si="25"/>
        <v>-</v>
      </c>
      <c r="CE22" s="95" t="str">
        <f>IFERROR(SUMIFS('01. KE30'!$R:$R,'01. KE30'!$C:$C,'06. BC BH THEO CUSTOMER-USD'!$D22,'01. KE30'!$F:$F,'06. BC BH THEO CUSTOMER-USD'!$H22,'01. KE30'!$A:$A,'06. BC BH THEO CUSTOMER-USD'!CE$4)/CS22/'02. Tỷ giá'!B$5," -")</f>
        <v xml:space="preserve"> -</v>
      </c>
      <c r="CF22" s="95" t="str">
        <f>IFERROR(SUMIFS('01. KE30'!$R:$R,'01. KE30'!$C:$C,'06. BC BH THEO CUSTOMER-USD'!$D22,'01. KE30'!$F:$F,'06. BC BH THEO CUSTOMER-USD'!$H22,'01. KE30'!$A:$A,'06. BC BH THEO CUSTOMER-USD'!CF$4)/CT22/'02. Tỷ giá'!C$5," -")</f>
        <v xml:space="preserve"> -</v>
      </c>
      <c r="CG22" s="95" t="str">
        <f>IFERROR(SUMIFS('01. KE30'!$R:$R,'01. KE30'!$C:$C,'06. BC BH THEO CUSTOMER-USD'!$D22,'01. KE30'!$F:$F,'06. BC BH THEO CUSTOMER-USD'!$H22,'01. KE30'!$A:$A,'06. BC BH THEO CUSTOMER-USD'!CG$4)/CU22/'02. Tỷ giá'!D$5," -")</f>
        <v xml:space="preserve"> -</v>
      </c>
      <c r="CH22" s="95" t="str">
        <f>IFERROR(SUMIFS('01. KE30'!$R:$R,'01. KE30'!$C:$C,'06. BC BH THEO CUSTOMER-USD'!$D22,'01. KE30'!$F:$F,'06. BC BH THEO CUSTOMER-USD'!$H22,'01. KE30'!$A:$A,'06. BC BH THEO CUSTOMER-USD'!CH$4)/CV22/'02. Tỷ giá'!E$5," -")</f>
        <v xml:space="preserve"> -</v>
      </c>
      <c r="CI22" s="95" t="str">
        <f>IFERROR(SUMIFS('01. KE30'!$R:$R,'01. KE30'!$C:$C,'06. BC BH THEO CUSTOMER-USD'!$D22,'01. KE30'!$F:$F,'06. BC BH THEO CUSTOMER-USD'!$H22,'01. KE30'!$A:$A,'06. BC BH THEO CUSTOMER-USD'!CI$4)/CW22/'02. Tỷ giá'!F$5," -")</f>
        <v xml:space="preserve"> -</v>
      </c>
      <c r="CJ22" s="95" t="str">
        <f>IFERROR(SUMIFS('01. KE30'!$R:$R,'01. KE30'!$C:$C,'06. BC BH THEO CUSTOMER-USD'!$D22,'01. KE30'!$F:$F,'06. BC BH THEO CUSTOMER-USD'!$H22,'01. KE30'!$A:$A,'06. BC BH THEO CUSTOMER-USD'!CJ$4)/CX22/'02. Tỷ giá'!G$5," -")</f>
        <v xml:space="preserve"> -</v>
      </c>
      <c r="CK22" s="95" t="str">
        <f>IFERROR(SUMIFS('01. KE30'!$R:$R,'01. KE30'!$C:$C,'06. BC BH THEO CUSTOMER-USD'!$D22,'01. KE30'!$F:$F,'06. BC BH THEO CUSTOMER-USD'!$H22,'01. KE30'!$A:$A,'06. BC BH THEO CUSTOMER-USD'!CK$4)/CY22/'02. Tỷ giá'!H$5," -")</f>
        <v xml:space="preserve"> -</v>
      </c>
      <c r="CL22" s="95" t="str">
        <f>IFERROR(SUMIFS('01. KE30'!$R:$R,'01. KE30'!$C:$C,'06. BC BH THEO CUSTOMER-USD'!$D22,'01. KE30'!$F:$F,'06. BC BH THEO CUSTOMER-USD'!$H22,'01. KE30'!$A:$A,'06. BC BH THEO CUSTOMER-USD'!CL$4)/CZ22/'02. Tỷ giá'!I$5," -")</f>
        <v xml:space="preserve"> -</v>
      </c>
      <c r="CM22" s="95" t="str">
        <f>IFERROR(SUMIFS('01. KE30'!$R:$R,'01. KE30'!$C:$C,'06. BC BH THEO CUSTOMER-USD'!$D22,'01. KE30'!$F:$F,'06. BC BH THEO CUSTOMER-USD'!$H22,'01. KE30'!$A:$A,'06. BC BH THEO CUSTOMER-USD'!CM$4)/DA22/'02. Tỷ giá'!J$5," -")</f>
        <v xml:space="preserve"> -</v>
      </c>
      <c r="CN22" s="95" t="str">
        <f>IFERROR(SUMIFS('01. KE30'!$R:$R,'01. KE30'!$C:$C,'06. BC BH THEO CUSTOMER-USD'!$D22,'01. KE30'!$F:$F,'06. BC BH THEO CUSTOMER-USD'!$H22,'01. KE30'!$A:$A,'06. BC BH THEO CUSTOMER-USD'!CN$4)/DB22/'02. Tỷ giá'!K$5," -")</f>
        <v xml:space="preserve"> -</v>
      </c>
      <c r="CO22" s="95" t="str">
        <f>IFERROR(SUMIFS('01. KE30'!$R:$R,'01. KE30'!$C:$C,'06. BC BH THEO CUSTOMER-USD'!$D22,'01. KE30'!$F:$F,'06. BC BH THEO CUSTOMER-USD'!$H22,'01. KE30'!$A:$A,'06. BC BH THEO CUSTOMER-USD'!CO$4)/DC22/'02. Tỷ giá'!L$5," -")</f>
        <v xml:space="preserve"> -</v>
      </c>
      <c r="CP22" s="95" t="str">
        <f>IFERROR(SUMIFS('01. KE30'!$R:$R,'01. KE30'!$C:$C,'06. BC BH THEO CUSTOMER-USD'!$D22,'01. KE30'!$F:$F,'06. BC BH THEO CUSTOMER-USD'!$H22,'01. KE30'!$A:$A,'06. BC BH THEO CUSTOMER-USD'!CP$4)/DD22/'02. Tỷ giá'!M$5," -")</f>
        <v xml:space="preserve"> -</v>
      </c>
      <c r="CR22" s="112">
        <f t="shared" si="26"/>
        <v>0</v>
      </c>
      <c r="CS22" s="114">
        <f>SUMIFS('01. KE30'!$I:$I,'01. KE30'!$C:$C,'06. BC BH THEO CUSTOMER-USD'!$D22,'01. KE30'!$F:$F,'06. BC BH THEO CUSTOMER-USD'!$H22,'01. KE30'!$A:$A,'06. BC BH THEO CUSTOMER-USD'!CS$4)/1000</f>
        <v>0</v>
      </c>
      <c r="CT22" s="114">
        <f>SUMIFS('01. KE30'!$I:$I,'01. KE30'!$C:$C,'06. BC BH THEO CUSTOMER-USD'!$D22,'01. KE30'!$F:$F,'06. BC BH THEO CUSTOMER-USD'!$H22,'01. KE30'!$A:$A,'06. BC BH THEO CUSTOMER-USD'!CT$4)/1000</f>
        <v>0</v>
      </c>
      <c r="CU22" s="114">
        <f>SUMIFS('01. KE30'!$I:$I,'01. KE30'!$C:$C,'06. BC BH THEO CUSTOMER-USD'!$D22,'01. KE30'!$F:$F,'06. BC BH THEO CUSTOMER-USD'!$H22,'01. KE30'!$A:$A,'06. BC BH THEO CUSTOMER-USD'!CU$4)/1000</f>
        <v>0</v>
      </c>
      <c r="CV22" s="114">
        <f>SUMIFS('01. KE30'!$I:$I,'01. KE30'!$C:$C,'06. BC BH THEO CUSTOMER-USD'!$D22,'01. KE30'!$F:$F,'06. BC BH THEO CUSTOMER-USD'!$H22,'01. KE30'!$A:$A,'06. BC BH THEO CUSTOMER-USD'!CV$4)/1000</f>
        <v>0</v>
      </c>
      <c r="CW22" s="114">
        <f>SUMIFS('01. KE30'!$I:$I,'01. KE30'!$C:$C,'06. BC BH THEO CUSTOMER-USD'!$D22,'01. KE30'!$F:$F,'06. BC BH THEO CUSTOMER-USD'!$H22,'01. KE30'!$A:$A,'06. BC BH THEO CUSTOMER-USD'!CW$4)/1000</f>
        <v>0</v>
      </c>
      <c r="CX22" s="114">
        <f>SUMIFS('01. KE30'!$I:$I,'01. KE30'!$C:$C,'06. BC BH THEO CUSTOMER-USD'!$D22,'01. KE30'!$F:$F,'06. BC BH THEO CUSTOMER-USD'!$H22,'01. KE30'!$A:$A,'06. BC BH THEO CUSTOMER-USD'!CX$4)/1000</f>
        <v>0</v>
      </c>
      <c r="CY22" s="114">
        <f>SUMIFS('01. KE30'!$I:$I,'01. KE30'!$C:$C,'06. BC BH THEO CUSTOMER-USD'!$D22,'01. KE30'!$F:$F,'06. BC BH THEO CUSTOMER-USD'!$H22,'01. KE30'!$A:$A,'06. BC BH THEO CUSTOMER-USD'!CY$4)/1000</f>
        <v>0</v>
      </c>
      <c r="CZ22" s="114">
        <f>SUMIFS('01. KE30'!$I:$I,'01. KE30'!$C:$C,'06. BC BH THEO CUSTOMER-USD'!$D22,'01. KE30'!$F:$F,'06. BC BH THEO CUSTOMER-USD'!$H22,'01. KE30'!$A:$A,'06. BC BH THEO CUSTOMER-USD'!CZ$4)/1000</f>
        <v>0</v>
      </c>
      <c r="DA22" s="114">
        <f>SUMIFS('01. KE30'!$I:$I,'01. KE30'!$C:$C,'06. BC BH THEO CUSTOMER-USD'!$D22,'01. KE30'!$F:$F,'06. BC BH THEO CUSTOMER-USD'!$H22,'01. KE30'!$A:$A,'06. BC BH THEO CUSTOMER-USD'!DA$4)/1000</f>
        <v>0</v>
      </c>
      <c r="DB22" s="114">
        <f>SUMIFS('01. KE30'!$I:$I,'01. KE30'!$C:$C,'06. BC BH THEO CUSTOMER-USD'!$D22,'01. KE30'!$F:$F,'06. BC BH THEO CUSTOMER-USD'!$H22,'01. KE30'!$A:$A,'06. BC BH THEO CUSTOMER-USD'!DB$4)/1000</f>
        <v>0</v>
      </c>
      <c r="DC22" s="114">
        <f>SUMIFS('01. KE30'!$I:$I,'01. KE30'!$C:$C,'06. BC BH THEO CUSTOMER-USD'!$D22,'01. KE30'!$F:$F,'06. BC BH THEO CUSTOMER-USD'!$H22,'01. KE30'!$A:$A,'06. BC BH THEO CUSTOMER-USD'!DC$4)/1000</f>
        <v>0</v>
      </c>
      <c r="DD22" s="114">
        <f>SUMIFS('01. KE30'!$I:$I,'01. KE30'!$C:$C,'06. BC BH THEO CUSTOMER-USD'!$D22,'01. KE30'!$F:$F,'06. BC BH THEO CUSTOMER-USD'!$H22,'01. KE30'!$A:$A,'06. BC BH THEO CUSTOMER-USD'!DD$4)/1000</f>
        <v>0</v>
      </c>
      <c r="DF22" s="112">
        <f t="shared" si="73"/>
        <v>0</v>
      </c>
      <c r="DG22" s="54" t="str">
        <f t="shared" si="48"/>
        <v>-</v>
      </c>
      <c r="DH22" s="54" t="str">
        <f t="shared" si="49"/>
        <v>-</v>
      </c>
      <c r="DI22" s="54" t="str">
        <f t="shared" si="50"/>
        <v>-</v>
      </c>
      <c r="DJ22" s="54" t="str">
        <f t="shared" si="51"/>
        <v>-</v>
      </c>
      <c r="DK22" s="54" t="str">
        <f t="shared" si="52"/>
        <v>-</v>
      </c>
      <c r="DL22" s="54" t="str">
        <f t="shared" si="53"/>
        <v>-</v>
      </c>
      <c r="DM22" s="54" t="str">
        <f t="shared" si="54"/>
        <v>-</v>
      </c>
      <c r="DN22" s="54" t="str">
        <f t="shared" si="55"/>
        <v>-</v>
      </c>
      <c r="DO22" s="54" t="str">
        <f t="shared" si="56"/>
        <v>-</v>
      </c>
      <c r="DP22" s="54" t="str">
        <f t="shared" si="57"/>
        <v>-</v>
      </c>
      <c r="DQ22" s="54" t="str">
        <f t="shared" si="58"/>
        <v>-</v>
      </c>
      <c r="DR22" s="54" t="str">
        <f t="shared" si="59"/>
        <v>-</v>
      </c>
      <c r="DT22" s="112">
        <f t="shared" si="60"/>
        <v>0</v>
      </c>
      <c r="DU22" s="114">
        <f>IFERROR(SUMIFS('01. KE30'!$X:$X,'01. KE30'!$C:$C,'06. BC BH THEO CUSTOMER-USD'!$D22,'01. KE30'!$F:$F,'06. BC BH THEO CUSTOMER-USD'!$H22,'01. KE30'!$A:$A,'06. BC BH THEO CUSTOMER-USD'!DU$4)-SUMIFS('01. KE30'!$AA:$AA,'01. KE30'!$C:$C,'06. BC BH THEO CUSTOMER-USD'!$D22,'01. KE30'!$F:$F,'06. BC BH THEO CUSTOMER-USD'!$H22,'01. KE30'!$A:$A,'06. BC BH THEO CUSTOMER-USD'!DU$4),"-")</f>
        <v>0</v>
      </c>
      <c r="DV22" s="114">
        <f>IFERROR(SUMIFS('01. KE30'!$X:$X,'01. KE30'!$C:$C,'06. BC BH THEO CUSTOMER-USD'!$D22,'01. KE30'!$F:$F,'06. BC BH THEO CUSTOMER-USD'!$H22,'01. KE30'!$A:$A,'06. BC BH THEO CUSTOMER-USD'!DV$4)-SUMIFS('01. KE30'!$AA:$AA,'01. KE30'!$C:$C,'06. BC BH THEO CUSTOMER-USD'!$D22,'01. KE30'!$F:$F,'06. BC BH THEO CUSTOMER-USD'!$H22,'01. KE30'!$A:$A,'06. BC BH THEO CUSTOMER-USD'!DV$4),"-")</f>
        <v>0</v>
      </c>
      <c r="DW22" s="114">
        <f>IFERROR(SUMIFS('01. KE30'!$X:$X,'01. KE30'!$C:$C,'06. BC BH THEO CUSTOMER-USD'!$D22,'01. KE30'!$F:$F,'06. BC BH THEO CUSTOMER-USD'!$H22,'01. KE30'!$A:$A,'06. BC BH THEO CUSTOMER-USD'!DW$4)-SUMIFS('01. KE30'!$AA:$AA,'01. KE30'!$C:$C,'06. BC BH THEO CUSTOMER-USD'!$D22,'01. KE30'!$F:$F,'06. BC BH THEO CUSTOMER-USD'!$H22,'01. KE30'!$A:$A,'06. BC BH THEO CUSTOMER-USD'!DW$4),"-")</f>
        <v>0</v>
      </c>
      <c r="DX22" s="114">
        <f>IFERROR(SUMIFS('01. KE30'!$X:$X,'01. KE30'!$C:$C,'06. BC BH THEO CUSTOMER-USD'!$D22,'01. KE30'!$F:$F,'06. BC BH THEO CUSTOMER-USD'!$H22,'01. KE30'!$A:$A,'06. BC BH THEO CUSTOMER-USD'!DX$4)-SUMIFS('01. KE30'!$AA:$AA,'01. KE30'!$C:$C,'06. BC BH THEO CUSTOMER-USD'!$D22,'01. KE30'!$F:$F,'06. BC BH THEO CUSTOMER-USD'!$H22,'01. KE30'!$A:$A,'06. BC BH THEO CUSTOMER-USD'!DX$4),"-")</f>
        <v>0</v>
      </c>
      <c r="DY22" s="114">
        <f>IFERROR(SUMIFS('01. KE30'!$X:$X,'01. KE30'!$C:$C,'06. BC BH THEO CUSTOMER-USD'!$D22,'01. KE30'!$F:$F,'06. BC BH THEO CUSTOMER-USD'!$H22,'01. KE30'!$A:$A,'06. BC BH THEO CUSTOMER-USD'!DY$4)-SUMIFS('01. KE30'!$AA:$AA,'01. KE30'!$C:$C,'06. BC BH THEO CUSTOMER-USD'!$D22,'01. KE30'!$F:$F,'06. BC BH THEO CUSTOMER-USD'!$H22,'01. KE30'!$A:$A,'06. BC BH THEO CUSTOMER-USD'!DY$4),"-")</f>
        <v>0</v>
      </c>
      <c r="DZ22" s="114">
        <f>IFERROR(SUMIFS('01. KE30'!$X:$X,'01. KE30'!$C:$C,'06. BC BH THEO CUSTOMER-USD'!$D22,'01. KE30'!$F:$F,'06. BC BH THEO CUSTOMER-USD'!$H22,'01. KE30'!$A:$A,'06. BC BH THEO CUSTOMER-USD'!DZ$4)-SUMIFS('01. KE30'!$AA:$AA,'01. KE30'!$C:$C,'06. BC BH THEO CUSTOMER-USD'!$D22,'01. KE30'!$F:$F,'06. BC BH THEO CUSTOMER-USD'!$H22,'01. KE30'!$A:$A,'06. BC BH THEO CUSTOMER-USD'!DZ$4),"-")</f>
        <v>0</v>
      </c>
      <c r="EA22" s="114">
        <f>IFERROR(SUMIFS('01. KE30'!$X:$X,'01. KE30'!$C:$C,'06. BC BH THEO CUSTOMER-USD'!$D22,'01. KE30'!$F:$F,'06. BC BH THEO CUSTOMER-USD'!$H22,'01. KE30'!$A:$A,'06. BC BH THEO CUSTOMER-USD'!EA$4)-SUMIFS('01. KE30'!$AA:$AA,'01. KE30'!$C:$C,'06. BC BH THEO CUSTOMER-USD'!$D22,'01. KE30'!$F:$F,'06. BC BH THEO CUSTOMER-USD'!$H22,'01. KE30'!$A:$A,'06. BC BH THEO CUSTOMER-USD'!EA$4),"-")</f>
        <v>0</v>
      </c>
      <c r="EB22" s="114">
        <f>IFERROR(SUMIFS('01. KE30'!$X:$X,'01. KE30'!$C:$C,'06. BC BH THEO CUSTOMER-USD'!$D22,'01. KE30'!$F:$F,'06. BC BH THEO CUSTOMER-USD'!$H22,'01. KE30'!$A:$A,'06. BC BH THEO CUSTOMER-USD'!EB$4)-SUMIFS('01. KE30'!$AA:$AA,'01. KE30'!$C:$C,'06. BC BH THEO CUSTOMER-USD'!$D22,'01. KE30'!$F:$F,'06. BC BH THEO CUSTOMER-USD'!$H22,'01. KE30'!$A:$A,'06. BC BH THEO CUSTOMER-USD'!EB$4),"-")</f>
        <v>0</v>
      </c>
      <c r="EC22" s="114">
        <f>IFERROR(SUMIFS('01. KE30'!$X:$X,'01. KE30'!$C:$C,'06. BC BH THEO CUSTOMER-USD'!$D22,'01. KE30'!$F:$F,'06. BC BH THEO CUSTOMER-USD'!$H22,'01. KE30'!$A:$A,'06. BC BH THEO CUSTOMER-USD'!EC$4)-SUMIFS('01. KE30'!$AA:$AA,'01. KE30'!$C:$C,'06. BC BH THEO CUSTOMER-USD'!$D22,'01. KE30'!$F:$F,'06. BC BH THEO CUSTOMER-USD'!$H22,'01. KE30'!$A:$A,'06. BC BH THEO CUSTOMER-USD'!EC$4),"-")</f>
        <v>0</v>
      </c>
      <c r="ED22" s="114">
        <f>IFERROR(SUMIFS('01. KE30'!$X:$X,'01. KE30'!$C:$C,'06. BC BH THEO CUSTOMER-USD'!$D22,'01. KE30'!$F:$F,'06. BC BH THEO CUSTOMER-USD'!$H22,'01. KE30'!$A:$A,'06. BC BH THEO CUSTOMER-USD'!ED$4)-SUMIFS('01. KE30'!$AA:$AA,'01. KE30'!$C:$C,'06. BC BH THEO CUSTOMER-USD'!$D22,'01. KE30'!$F:$F,'06. BC BH THEO CUSTOMER-USD'!$H22,'01. KE30'!$A:$A,'06. BC BH THEO CUSTOMER-USD'!ED$4),"-")</f>
        <v>0</v>
      </c>
      <c r="EE22" s="114">
        <f>IFERROR(SUMIFS('01. KE30'!$X:$X,'01. KE30'!$C:$C,'06. BC BH THEO CUSTOMER-USD'!$D22,'01. KE30'!$F:$F,'06. BC BH THEO CUSTOMER-USD'!$H22,'01. KE30'!$A:$A,'06. BC BH THEO CUSTOMER-USD'!EE$4)-SUMIFS('01. KE30'!$AA:$AA,'01. KE30'!$C:$C,'06. BC BH THEO CUSTOMER-USD'!$D22,'01. KE30'!$F:$F,'06. BC BH THEO CUSTOMER-USD'!$H22,'01. KE30'!$A:$A,'06. BC BH THEO CUSTOMER-USD'!EE$4),"-")</f>
        <v>0</v>
      </c>
      <c r="EF22" s="114">
        <f>IFERROR(SUMIFS('01. KE30'!$X:$X,'01. KE30'!$C:$C,'06. BC BH THEO CUSTOMER-USD'!$D22,'01. KE30'!$F:$F,'06. BC BH THEO CUSTOMER-USD'!$H22,'01. KE30'!$A:$A,'06. BC BH THEO CUSTOMER-USD'!EF$4)-SUMIFS('01. KE30'!$AA:$AA,'01. KE30'!$C:$C,'06. BC BH THEO CUSTOMER-USD'!$D22,'01. KE30'!$F:$F,'06. BC BH THEO CUSTOMER-USD'!$H22,'01. KE30'!$A:$A,'06. BC BH THEO CUSTOMER-USD'!EF$4),"-")</f>
        <v>0</v>
      </c>
      <c r="EH22" s="571" t="str">
        <f t="shared" si="29"/>
        <v>-</v>
      </c>
      <c r="EI22" s="572" t="str">
        <f t="shared" si="30"/>
        <v>-</v>
      </c>
      <c r="EJ22" s="572" t="str">
        <f t="shared" si="31"/>
        <v>-</v>
      </c>
      <c r="EK22" s="572" t="str">
        <f t="shared" si="32"/>
        <v>-</v>
      </c>
      <c r="EL22" s="572" t="str">
        <f t="shared" si="33"/>
        <v>-</v>
      </c>
      <c r="EM22" s="572" t="str">
        <f t="shared" si="34"/>
        <v>-</v>
      </c>
      <c r="EN22" s="572" t="str">
        <f t="shared" si="35"/>
        <v>-</v>
      </c>
      <c r="EO22" s="572" t="str">
        <f t="shared" si="36"/>
        <v>-</v>
      </c>
      <c r="EP22" s="572" t="str">
        <f t="shared" si="37"/>
        <v>-</v>
      </c>
      <c r="EQ22" s="572" t="str">
        <f t="shared" si="38"/>
        <v>-</v>
      </c>
      <c r="ER22" s="572" t="str">
        <f t="shared" si="39"/>
        <v>-</v>
      </c>
      <c r="ES22" s="572" t="str">
        <f t="shared" si="40"/>
        <v>-</v>
      </c>
      <c r="ET22" s="572" t="str">
        <f t="shared" si="41"/>
        <v>-</v>
      </c>
    </row>
    <row r="23" spans="1:150" ht="15.5" hidden="1" outlineLevel="1" x14ac:dyDescent="0.35">
      <c r="A23" s="27">
        <f t="shared" si="63"/>
        <v>18</v>
      </c>
      <c r="B23" s="27" t="s">
        <v>283</v>
      </c>
      <c r="C23" s="442" t="s">
        <v>489</v>
      </c>
      <c r="D23" s="29" t="s">
        <v>142</v>
      </c>
      <c r="E23" s="31" t="s">
        <v>141</v>
      </c>
      <c r="F23" s="31" t="s">
        <v>175</v>
      </c>
      <c r="G23" s="12" t="str">
        <f>_xlfn.XLOOKUP(F23,'Quy đổi'!$G$5:$G$32,'Quy đổi'!$H$5:$H$32,0)</f>
        <v>Bắc Mỹ</v>
      </c>
      <c r="H23" s="77" t="s">
        <v>127</v>
      </c>
      <c r="I23" s="31" t="s">
        <v>114</v>
      </c>
      <c r="J23" s="13" t="s">
        <v>26</v>
      </c>
      <c r="K23" s="11" t="s">
        <v>90</v>
      </c>
      <c r="L23" s="92">
        <f t="shared" si="42"/>
        <v>1424.0278422273782</v>
      </c>
      <c r="M23" s="106" t="str">
        <f>IFERROR(SUMIFS('01. KE30'!$K:$K,'01. KE30'!$C:$C,'06. BC BH THEO CUSTOMER-USD'!$D23,'01. KE30'!$F:$F,'06. BC BH THEO CUSTOMER-USD'!$H23,'01. KE30'!$A:$A,'06. BC BH THEO CUSTOMER-USD'!M$4)/'06. BC BH THEO CUSTOMER-USD'!CS23/'02. Tỷ giá'!B$5,"-")</f>
        <v>-</v>
      </c>
      <c r="N23" s="106" t="str">
        <f>IFERROR(SUMIFS('01. KE30'!$K:$K,'01. KE30'!$C:$C,'06. BC BH THEO CUSTOMER-USD'!$D23,'01. KE30'!$F:$F,'06. BC BH THEO CUSTOMER-USD'!$H23,'01. KE30'!$A:$A,'06. BC BH THEO CUSTOMER-USD'!N$4)/'06. BC BH THEO CUSTOMER-USD'!CT23/'02. Tỷ giá'!C$5,"-")</f>
        <v>-</v>
      </c>
      <c r="O23" s="106" t="str">
        <f>IFERROR(SUMIFS('01. KE30'!$K:$K,'01. KE30'!$C:$C,'06. BC BH THEO CUSTOMER-USD'!$D23,'01. KE30'!$F:$F,'06. BC BH THEO CUSTOMER-USD'!$H23,'01. KE30'!$A:$A,'06. BC BH THEO CUSTOMER-USD'!O$4)/'06. BC BH THEO CUSTOMER-USD'!CU23/'02. Tỷ giá'!D$5,"-")</f>
        <v>-</v>
      </c>
      <c r="P23" s="106" t="str">
        <f>IFERROR(SUMIFS('01. KE30'!$K:$K,'01. KE30'!$C:$C,'06. BC BH THEO CUSTOMER-USD'!$D23,'01. KE30'!$F:$F,'06. BC BH THEO CUSTOMER-USD'!$H23,'01. KE30'!$A:$A,'06. BC BH THEO CUSTOMER-USD'!P$4)/'06. BC BH THEO CUSTOMER-USD'!CV23/'02. Tỷ giá'!E$5,"-")</f>
        <v>-</v>
      </c>
      <c r="Q23" s="106">
        <f>IFERROR(SUMIFS('01. KE30'!$K:$K,'01. KE30'!$C:$C,'06. BC BH THEO CUSTOMER-USD'!$D23,'01. KE30'!$F:$F,'06. BC BH THEO CUSTOMER-USD'!$H23,'01. KE30'!$A:$A,'06. BC BH THEO CUSTOMER-USD'!Q$4)/'06. BC BH THEO CUSTOMER-USD'!CW23/'02. Tỷ giá'!F$5,"-")</f>
        <v>1424.0278422273782</v>
      </c>
      <c r="R23" s="106" t="str">
        <f>IFERROR(SUMIFS('01. KE30'!$K:$K,'01. KE30'!$C:$C,'06. BC BH THEO CUSTOMER-USD'!$D23,'01. KE30'!$F:$F,'06. BC BH THEO CUSTOMER-USD'!$H23,'01. KE30'!$A:$A,'06. BC BH THEO CUSTOMER-USD'!R$4)/'06. BC BH THEO CUSTOMER-USD'!CX23/'02. Tỷ giá'!G$5,"-")</f>
        <v>-</v>
      </c>
      <c r="S23" s="106" t="str">
        <f>IFERROR(SUMIFS('01. KE30'!$K:$K,'01. KE30'!$C:$C,'06. BC BH THEO CUSTOMER-USD'!$D23,'01. KE30'!$F:$F,'06. BC BH THEO CUSTOMER-USD'!$H23,'01. KE30'!$A:$A,'06. BC BH THEO CUSTOMER-USD'!S$4)/'06. BC BH THEO CUSTOMER-USD'!CY23/'02. Tỷ giá'!H$5,"-")</f>
        <v>-</v>
      </c>
      <c r="T23" s="106" t="str">
        <f>IFERROR(SUMIFS('01. KE30'!$K:$K,'01. KE30'!$C:$C,'06. BC BH THEO CUSTOMER-USD'!$D23,'01. KE30'!$F:$F,'06. BC BH THEO CUSTOMER-USD'!$H23,'01. KE30'!$A:$A,'06. BC BH THEO CUSTOMER-USD'!T$4)/'06. BC BH THEO CUSTOMER-USD'!CZ23/'02. Tỷ giá'!I$5,"-")</f>
        <v>-</v>
      </c>
      <c r="U23" s="106" t="str">
        <f>IFERROR(SUMIFS('01. KE30'!$K:$K,'01. KE30'!$C:$C,'06. BC BH THEO CUSTOMER-USD'!$D23,'01. KE30'!$F:$F,'06. BC BH THEO CUSTOMER-USD'!$H23,'01. KE30'!$A:$A,'06. BC BH THEO CUSTOMER-USD'!U$4)/'06. BC BH THEO CUSTOMER-USD'!DA23/'02. Tỷ giá'!J$5,"-")</f>
        <v>-</v>
      </c>
      <c r="V23" s="106" t="str">
        <f>IFERROR(SUMIFS('01. KE30'!$K:$K,'01. KE30'!$C:$C,'06. BC BH THEO CUSTOMER-USD'!$D23,'01. KE30'!$F:$F,'06. BC BH THEO CUSTOMER-USD'!$H23,'01. KE30'!$A:$A,'06. BC BH THEO CUSTOMER-USD'!V$4)/'06. BC BH THEO CUSTOMER-USD'!DB23/'02. Tỷ giá'!K$5,"-")</f>
        <v>-</v>
      </c>
      <c r="W23" s="106" t="str">
        <f>IFERROR(SUMIFS('01. KE30'!$K:$K,'01. KE30'!$C:$C,'06. BC BH THEO CUSTOMER-USD'!$D23,'01. KE30'!$F:$F,'06. BC BH THEO CUSTOMER-USD'!$H23,'01. KE30'!$A:$A,'06. BC BH THEO CUSTOMER-USD'!W$4)/'06. BC BH THEO CUSTOMER-USD'!DC23/'02. Tỷ giá'!L$5,"-")</f>
        <v>-</v>
      </c>
      <c r="X23" s="106" t="str">
        <f>IFERROR(SUMIFS('01. KE30'!$K:$K,'01. KE30'!$C:$C,'06. BC BH THEO CUSTOMER-USD'!$D23,'01. KE30'!$F:$F,'06. BC BH THEO CUSTOMER-USD'!$H23,'01. KE30'!$A:$A,'06. BC BH THEO CUSTOMER-USD'!X$4)/'06. BC BH THEO CUSTOMER-USD'!DD23/'02. Tỷ giá'!M$5,"-")</f>
        <v>-</v>
      </c>
      <c r="Z23" s="92">
        <f t="shared" si="43"/>
        <v>1339.2471935661188</v>
      </c>
      <c r="AA23" s="147" t="str">
        <f>IFERROR(SUMIFS('01. KE30'!$O:$O,'01. KE30'!$C:$C,'06. BC BH THEO CUSTOMER-USD'!$D23,'01. KE30'!$F:$F,'06. BC BH THEO CUSTOMER-USD'!$H23,'01. KE30'!$A:$A,'06. BC BH THEO CUSTOMER-USD'!M$4)/'06. BC BH THEO CUSTOMER-USD'!CS23/'02. Tỷ giá'!B$5,"-")</f>
        <v>-</v>
      </c>
      <c r="AB23" s="147" t="str">
        <f>IFERROR(SUMIFS('01. KE30'!$O:$O,'01. KE30'!$C:$C,'06. BC BH THEO CUSTOMER-USD'!$D23,'01. KE30'!$F:$F,'06. BC BH THEO CUSTOMER-USD'!$H23,'01. KE30'!$A:$A,'06. BC BH THEO CUSTOMER-USD'!N$4)/'06. BC BH THEO CUSTOMER-USD'!CT23/'02. Tỷ giá'!C$5,"-")</f>
        <v>-</v>
      </c>
      <c r="AC23" s="147" t="str">
        <f>IFERROR(SUMIFS('01. KE30'!$O:$O,'01. KE30'!$C:$C,'06. BC BH THEO CUSTOMER-USD'!$D23,'01. KE30'!$F:$F,'06. BC BH THEO CUSTOMER-USD'!$H23,'01. KE30'!$A:$A,'06. BC BH THEO CUSTOMER-USD'!O$4)/'06. BC BH THEO CUSTOMER-USD'!CU23/'02. Tỷ giá'!D$5,"-")</f>
        <v>-</v>
      </c>
      <c r="AD23" s="147" t="str">
        <f>IFERROR(SUMIFS('01. KE30'!$O:$O,'01. KE30'!$C:$C,'06. BC BH THEO CUSTOMER-USD'!$D23,'01. KE30'!$F:$F,'06. BC BH THEO CUSTOMER-USD'!$H23,'01. KE30'!$A:$A,'06. BC BH THEO CUSTOMER-USD'!P$4)/'06. BC BH THEO CUSTOMER-USD'!CV23/'02. Tỷ giá'!E$5,"-")</f>
        <v>-</v>
      </c>
      <c r="AE23" s="147">
        <f>IFERROR(SUMIFS('01. KE30'!$O:$O,'01. KE30'!$C:$C,'06. BC BH THEO CUSTOMER-USD'!$D23,'01. KE30'!$F:$F,'06. BC BH THEO CUSTOMER-USD'!$H23,'01. KE30'!$A:$A,'06. BC BH THEO CUSTOMER-USD'!Q$4)/'06. BC BH THEO CUSTOMER-USD'!CW23/'02. Tỷ giá'!F$5,"-")</f>
        <v>1339.2471935661188</v>
      </c>
      <c r="AF23" s="147" t="str">
        <f>IFERROR(SUMIFS('01. KE30'!$O:$O,'01. KE30'!$C:$C,'06. BC BH THEO CUSTOMER-USD'!$D23,'01. KE30'!$F:$F,'06. BC BH THEO CUSTOMER-USD'!$H23,'01. KE30'!$A:$A,'06. BC BH THEO CUSTOMER-USD'!R$4)/'06. BC BH THEO CUSTOMER-USD'!CX23/'02. Tỷ giá'!G$5,"-")</f>
        <v>-</v>
      </c>
      <c r="AG23" s="147" t="str">
        <f>IFERROR(SUMIFS('01. KE30'!$O:$O,'01. KE30'!$C:$C,'06. BC BH THEO CUSTOMER-USD'!$D23,'01. KE30'!$F:$F,'06. BC BH THEO CUSTOMER-USD'!$H23,'01. KE30'!$A:$A,'06. BC BH THEO CUSTOMER-USD'!S$4)/'06. BC BH THEO CUSTOMER-USD'!CY23/'02. Tỷ giá'!H$5,"-")</f>
        <v>-</v>
      </c>
      <c r="AH23" s="147" t="str">
        <f>IFERROR(SUMIFS('01. KE30'!$O:$O,'01. KE30'!$C:$C,'06. BC BH THEO CUSTOMER-USD'!$D23,'01. KE30'!$F:$F,'06. BC BH THEO CUSTOMER-USD'!$H23,'01. KE30'!$A:$A,'06. BC BH THEO CUSTOMER-USD'!T$4)/'06. BC BH THEO CUSTOMER-USD'!CZ23/'02. Tỷ giá'!I$5,"-")</f>
        <v>-</v>
      </c>
      <c r="AI23" s="147" t="str">
        <f>IFERROR(SUMIFS('01. KE30'!$O:$O,'01. KE30'!$C:$C,'06. BC BH THEO CUSTOMER-USD'!$D23,'01. KE30'!$F:$F,'06. BC BH THEO CUSTOMER-USD'!$H23,'01. KE30'!$A:$A,'06. BC BH THEO CUSTOMER-USD'!U$4)/'06. BC BH THEO CUSTOMER-USD'!DA23/'02. Tỷ giá'!J$5,"-")</f>
        <v>-</v>
      </c>
      <c r="AJ23" s="147" t="str">
        <f>IFERROR(SUMIFS('01. KE30'!$O:$O,'01. KE30'!$C:$C,'06. BC BH THEO CUSTOMER-USD'!$D23,'01. KE30'!$F:$F,'06. BC BH THEO CUSTOMER-USD'!$H23,'01. KE30'!$A:$A,'06. BC BH THEO CUSTOMER-USD'!V$4)/'06. BC BH THEO CUSTOMER-USD'!DB23/'02. Tỷ giá'!K$5,"-")</f>
        <v>-</v>
      </c>
      <c r="AK23" s="147" t="str">
        <f>IFERROR(SUMIFS('01. KE30'!$O:$O,'01. KE30'!$C:$C,'06. BC BH THEO CUSTOMER-USD'!$D23,'01. KE30'!$F:$F,'06. BC BH THEO CUSTOMER-USD'!$H23,'01. KE30'!$A:$A,'06. BC BH THEO CUSTOMER-USD'!W$4)/'06. BC BH THEO CUSTOMER-USD'!DC23/'02. Tỷ giá'!L$5,"-")</f>
        <v>-</v>
      </c>
      <c r="AL23" s="147" t="str">
        <f>IFERROR(SUMIFS('01. KE30'!$O:$O,'01. KE30'!$C:$C,'06. BC BH THEO CUSTOMER-USD'!$D23,'01. KE30'!$F:$F,'06. BC BH THEO CUSTOMER-USD'!$H23,'01. KE30'!$A:$A,'06. BC BH THEO CUSTOMER-USD'!X$4)/'06. BC BH THEO CUSTOMER-USD'!DD23/'02. Tỷ giá'!M$5,"-")</f>
        <v>-</v>
      </c>
      <c r="AN23" s="92">
        <f t="shared" si="44"/>
        <v>1322.2222222222222</v>
      </c>
      <c r="AO23" s="25">
        <v>1320</v>
      </c>
      <c r="AP23" s="25">
        <f>1320-40</f>
        <v>1280</v>
      </c>
      <c r="AQ23" s="4">
        <v>1320</v>
      </c>
      <c r="AR23" s="4">
        <f t="shared" si="72"/>
        <v>1340</v>
      </c>
      <c r="AS23" s="4">
        <v>1340</v>
      </c>
      <c r="AT23" s="4">
        <v>1340</v>
      </c>
      <c r="AU23" s="4">
        <v>1340</v>
      </c>
      <c r="AV23" s="4">
        <f t="shared" si="66"/>
        <v>1310</v>
      </c>
      <c r="AW23" s="25">
        <v>1310</v>
      </c>
      <c r="AX23" s="25"/>
      <c r="AY23" s="4"/>
      <c r="AZ23" s="4"/>
      <c r="BB23" s="95">
        <f t="shared" si="45"/>
        <v>17.024971343896595</v>
      </c>
      <c r="BC23" s="95" t="str">
        <f t="shared" si="46"/>
        <v>-</v>
      </c>
      <c r="BD23" s="95" t="str">
        <f t="shared" si="74"/>
        <v>-</v>
      </c>
      <c r="BE23" s="95" t="str">
        <f t="shared" si="74"/>
        <v>-</v>
      </c>
      <c r="BF23" s="95" t="str">
        <f t="shared" si="74"/>
        <v>-</v>
      </c>
      <c r="BG23" s="95">
        <f t="shared" si="74"/>
        <v>-0.75280643388123281</v>
      </c>
      <c r="BH23" s="95" t="str">
        <f t="shared" si="74"/>
        <v>-</v>
      </c>
      <c r="BI23" s="95" t="str">
        <f t="shared" si="74"/>
        <v>-</v>
      </c>
      <c r="BJ23" s="95" t="str">
        <f t="shared" si="74"/>
        <v>-</v>
      </c>
      <c r="BK23" s="95" t="str">
        <f t="shared" si="74"/>
        <v>-</v>
      </c>
      <c r="BL23" s="95" t="str">
        <f t="shared" si="74"/>
        <v>-</v>
      </c>
      <c r="BM23" s="95" t="str">
        <f t="shared" si="74"/>
        <v>-</v>
      </c>
      <c r="BN23" s="95" t="str">
        <f t="shared" si="74"/>
        <v>-</v>
      </c>
      <c r="BP23" s="143">
        <f t="shared" si="47"/>
        <v>1.287602874748482E-2</v>
      </c>
      <c r="BQ23" s="143" t="str">
        <f t="shared" si="8"/>
        <v>-</v>
      </c>
      <c r="BR23" s="143" t="str">
        <f t="shared" si="9"/>
        <v>-</v>
      </c>
      <c r="BS23" s="143" t="str">
        <f t="shared" si="10"/>
        <v>-</v>
      </c>
      <c r="BT23" s="143" t="str">
        <f t="shared" si="11"/>
        <v>-</v>
      </c>
      <c r="BU23" s="143">
        <f t="shared" si="12"/>
        <v>-5.6179584618002451E-4</v>
      </c>
      <c r="BV23" s="143" t="str">
        <f t="shared" si="13"/>
        <v>-</v>
      </c>
      <c r="BW23" s="143" t="str">
        <f t="shared" si="14"/>
        <v>-</v>
      </c>
      <c r="BX23" s="143" t="str">
        <f t="shared" si="15"/>
        <v>-</v>
      </c>
      <c r="BY23" s="143" t="str">
        <f t="shared" si="16"/>
        <v>-</v>
      </c>
      <c r="BZ23" s="143" t="str">
        <f t="shared" si="17"/>
        <v>-</v>
      </c>
      <c r="CA23" s="143" t="str">
        <f t="shared" si="18"/>
        <v>-</v>
      </c>
      <c r="CB23" s="143" t="str">
        <f t="shared" si="19"/>
        <v>-</v>
      </c>
      <c r="CD23" s="112">
        <f t="shared" si="25"/>
        <v>1072.9135924207269</v>
      </c>
      <c r="CE23" s="95" t="str">
        <f>IFERROR(SUMIFS('01. KE30'!$R:$R,'01. KE30'!$C:$C,'06. BC BH THEO CUSTOMER-USD'!$D23,'01. KE30'!$F:$F,'06. BC BH THEO CUSTOMER-USD'!$H23,'01. KE30'!$A:$A,'06. BC BH THEO CUSTOMER-USD'!CE$4)/CS23/'02. Tỷ giá'!B$5," -")</f>
        <v xml:space="preserve"> -</v>
      </c>
      <c r="CF23" s="95" t="str">
        <f>IFERROR(SUMIFS('01. KE30'!$R:$R,'01. KE30'!$C:$C,'06. BC BH THEO CUSTOMER-USD'!$D23,'01. KE30'!$F:$F,'06. BC BH THEO CUSTOMER-USD'!$H23,'01. KE30'!$A:$A,'06. BC BH THEO CUSTOMER-USD'!CF$4)/CT23/'02. Tỷ giá'!C$5," -")</f>
        <v xml:space="preserve"> -</v>
      </c>
      <c r="CG23" s="95" t="str">
        <f>IFERROR(SUMIFS('01. KE30'!$R:$R,'01. KE30'!$C:$C,'06. BC BH THEO CUSTOMER-USD'!$D23,'01. KE30'!$F:$F,'06. BC BH THEO CUSTOMER-USD'!$H23,'01. KE30'!$A:$A,'06. BC BH THEO CUSTOMER-USD'!CG$4)/CU23/'02. Tỷ giá'!D$5," -")</f>
        <v xml:space="preserve"> -</v>
      </c>
      <c r="CH23" s="95" t="str">
        <f>IFERROR(SUMIFS('01. KE30'!$R:$R,'01. KE30'!$C:$C,'06. BC BH THEO CUSTOMER-USD'!$D23,'01. KE30'!$F:$F,'06. BC BH THEO CUSTOMER-USD'!$H23,'01. KE30'!$A:$A,'06. BC BH THEO CUSTOMER-USD'!CH$4)/CV23/'02. Tỷ giá'!E$5," -")</f>
        <v xml:space="preserve"> -</v>
      </c>
      <c r="CI23" s="95">
        <f>IFERROR(SUMIFS('01. KE30'!$R:$R,'01. KE30'!$C:$C,'06. BC BH THEO CUSTOMER-USD'!$D23,'01. KE30'!$F:$F,'06. BC BH THEO CUSTOMER-USD'!$H23,'01. KE30'!$A:$A,'06. BC BH THEO CUSTOMER-USD'!CI$4)/CW23/'02. Tỷ giá'!F$5," -")</f>
        <v>1072.9135924207269</v>
      </c>
      <c r="CJ23" s="95" t="str">
        <f>IFERROR(SUMIFS('01. KE30'!$R:$R,'01. KE30'!$C:$C,'06. BC BH THEO CUSTOMER-USD'!$D23,'01. KE30'!$F:$F,'06. BC BH THEO CUSTOMER-USD'!$H23,'01. KE30'!$A:$A,'06. BC BH THEO CUSTOMER-USD'!CJ$4)/CX23/'02. Tỷ giá'!G$5," -")</f>
        <v xml:space="preserve"> -</v>
      </c>
      <c r="CK23" s="95" t="str">
        <f>IFERROR(SUMIFS('01. KE30'!$R:$R,'01. KE30'!$C:$C,'06. BC BH THEO CUSTOMER-USD'!$D23,'01. KE30'!$F:$F,'06. BC BH THEO CUSTOMER-USD'!$H23,'01. KE30'!$A:$A,'06. BC BH THEO CUSTOMER-USD'!CK$4)/CY23/'02. Tỷ giá'!H$5," -")</f>
        <v xml:space="preserve"> -</v>
      </c>
      <c r="CL23" s="95" t="str">
        <f>IFERROR(SUMIFS('01. KE30'!$R:$R,'01. KE30'!$C:$C,'06. BC BH THEO CUSTOMER-USD'!$D23,'01. KE30'!$F:$F,'06. BC BH THEO CUSTOMER-USD'!$H23,'01. KE30'!$A:$A,'06. BC BH THEO CUSTOMER-USD'!CL$4)/CZ23/'02. Tỷ giá'!I$5," -")</f>
        <v xml:space="preserve"> -</v>
      </c>
      <c r="CM23" s="95" t="str">
        <f>IFERROR(SUMIFS('01. KE30'!$R:$R,'01. KE30'!$C:$C,'06. BC BH THEO CUSTOMER-USD'!$D23,'01. KE30'!$F:$F,'06. BC BH THEO CUSTOMER-USD'!$H23,'01. KE30'!$A:$A,'06. BC BH THEO CUSTOMER-USD'!CM$4)/DA23/'02. Tỷ giá'!J$5," -")</f>
        <v xml:space="preserve"> -</v>
      </c>
      <c r="CN23" s="95" t="str">
        <f>IFERROR(SUMIFS('01. KE30'!$R:$R,'01. KE30'!$C:$C,'06. BC BH THEO CUSTOMER-USD'!$D23,'01. KE30'!$F:$F,'06. BC BH THEO CUSTOMER-USD'!$H23,'01. KE30'!$A:$A,'06. BC BH THEO CUSTOMER-USD'!CN$4)/DB23/'02. Tỷ giá'!K$5," -")</f>
        <v xml:space="preserve"> -</v>
      </c>
      <c r="CO23" s="95" t="str">
        <f>IFERROR(SUMIFS('01. KE30'!$R:$R,'01. KE30'!$C:$C,'06. BC BH THEO CUSTOMER-USD'!$D23,'01. KE30'!$F:$F,'06. BC BH THEO CUSTOMER-USD'!$H23,'01. KE30'!$A:$A,'06. BC BH THEO CUSTOMER-USD'!CO$4)/DC23/'02. Tỷ giá'!L$5," -")</f>
        <v xml:space="preserve"> -</v>
      </c>
      <c r="CP23" s="95" t="str">
        <f>IFERROR(SUMIFS('01. KE30'!$R:$R,'01. KE30'!$C:$C,'06. BC BH THEO CUSTOMER-USD'!$D23,'01. KE30'!$F:$F,'06. BC BH THEO CUSTOMER-USD'!$H23,'01. KE30'!$A:$A,'06. BC BH THEO CUSTOMER-USD'!CP$4)/DD23/'02. Tỷ giá'!M$5," -")</f>
        <v xml:space="preserve"> -</v>
      </c>
      <c r="CR23" s="112">
        <f t="shared" si="26"/>
        <v>220</v>
      </c>
      <c r="CS23" s="114">
        <f>SUMIFS('01. KE30'!$I:$I,'01. KE30'!$C:$C,'06. BC BH THEO CUSTOMER-USD'!$D23,'01. KE30'!$F:$F,'06. BC BH THEO CUSTOMER-USD'!$H23,'01. KE30'!$A:$A,'06. BC BH THEO CUSTOMER-USD'!CS$4)/1000</f>
        <v>0</v>
      </c>
      <c r="CT23" s="114">
        <f>SUMIFS('01. KE30'!$I:$I,'01. KE30'!$C:$C,'06. BC BH THEO CUSTOMER-USD'!$D23,'01. KE30'!$F:$F,'06. BC BH THEO CUSTOMER-USD'!$H23,'01. KE30'!$A:$A,'06. BC BH THEO CUSTOMER-USD'!CT$4)/1000</f>
        <v>0</v>
      </c>
      <c r="CU23" s="114">
        <f>SUMIFS('01. KE30'!$I:$I,'01. KE30'!$C:$C,'06. BC BH THEO CUSTOMER-USD'!$D23,'01. KE30'!$F:$F,'06. BC BH THEO CUSTOMER-USD'!$H23,'01. KE30'!$A:$A,'06. BC BH THEO CUSTOMER-USD'!CU$4)/1000</f>
        <v>0</v>
      </c>
      <c r="CV23" s="114">
        <f>SUMIFS('01. KE30'!$I:$I,'01. KE30'!$C:$C,'06. BC BH THEO CUSTOMER-USD'!$D23,'01. KE30'!$F:$F,'06. BC BH THEO CUSTOMER-USD'!$H23,'01. KE30'!$A:$A,'06. BC BH THEO CUSTOMER-USD'!CV$4)/1000</f>
        <v>0</v>
      </c>
      <c r="CW23" s="114">
        <f>SUMIFS('01. KE30'!$I:$I,'01. KE30'!$C:$C,'06. BC BH THEO CUSTOMER-USD'!$D23,'01. KE30'!$F:$F,'06. BC BH THEO CUSTOMER-USD'!$H23,'01. KE30'!$A:$A,'06. BC BH THEO CUSTOMER-USD'!CW$4)/1000</f>
        <v>220</v>
      </c>
      <c r="CX23" s="114">
        <f>SUMIFS('01. KE30'!$I:$I,'01. KE30'!$C:$C,'06. BC BH THEO CUSTOMER-USD'!$D23,'01. KE30'!$F:$F,'06. BC BH THEO CUSTOMER-USD'!$H23,'01. KE30'!$A:$A,'06. BC BH THEO CUSTOMER-USD'!CX$4)/1000</f>
        <v>0</v>
      </c>
      <c r="CY23" s="114">
        <f>SUMIFS('01. KE30'!$I:$I,'01. KE30'!$C:$C,'06. BC BH THEO CUSTOMER-USD'!$D23,'01. KE30'!$F:$F,'06. BC BH THEO CUSTOMER-USD'!$H23,'01. KE30'!$A:$A,'06. BC BH THEO CUSTOMER-USD'!CY$4)/1000</f>
        <v>0</v>
      </c>
      <c r="CZ23" s="114">
        <f>SUMIFS('01. KE30'!$I:$I,'01. KE30'!$C:$C,'06. BC BH THEO CUSTOMER-USD'!$D23,'01. KE30'!$F:$F,'06. BC BH THEO CUSTOMER-USD'!$H23,'01. KE30'!$A:$A,'06. BC BH THEO CUSTOMER-USD'!CZ$4)/1000</f>
        <v>0</v>
      </c>
      <c r="DA23" s="114">
        <f>SUMIFS('01. KE30'!$I:$I,'01. KE30'!$C:$C,'06. BC BH THEO CUSTOMER-USD'!$D23,'01. KE30'!$F:$F,'06. BC BH THEO CUSTOMER-USD'!$H23,'01. KE30'!$A:$A,'06. BC BH THEO CUSTOMER-USD'!DA$4)/1000</f>
        <v>0</v>
      </c>
      <c r="DB23" s="114">
        <f>SUMIFS('01. KE30'!$I:$I,'01. KE30'!$C:$C,'06. BC BH THEO CUSTOMER-USD'!$D23,'01. KE30'!$F:$F,'06. BC BH THEO CUSTOMER-USD'!$H23,'01. KE30'!$A:$A,'06. BC BH THEO CUSTOMER-USD'!DB$4)/1000</f>
        <v>0</v>
      </c>
      <c r="DC23" s="114">
        <f>SUMIFS('01. KE30'!$I:$I,'01. KE30'!$C:$C,'06. BC BH THEO CUSTOMER-USD'!$D23,'01. KE30'!$F:$F,'06. BC BH THEO CUSTOMER-USD'!$H23,'01. KE30'!$A:$A,'06. BC BH THEO CUSTOMER-USD'!DC$4)/1000</f>
        <v>0</v>
      </c>
      <c r="DD23" s="114">
        <f>SUMIFS('01. KE30'!$I:$I,'01. KE30'!$C:$C,'06. BC BH THEO CUSTOMER-USD'!$D23,'01. KE30'!$F:$F,'06. BC BH THEO CUSTOMER-USD'!$H23,'01. KE30'!$A:$A,'06. BC BH THEO CUSTOMER-USD'!DD$4)/1000</f>
        <v>0</v>
      </c>
      <c r="DF23" s="112">
        <f t="shared" si="73"/>
        <v>313286.12529002322</v>
      </c>
      <c r="DG23" s="54" t="str">
        <f t="shared" si="48"/>
        <v>-</v>
      </c>
      <c r="DH23" s="54" t="str">
        <f t="shared" si="49"/>
        <v>-</v>
      </c>
      <c r="DI23" s="54" t="str">
        <f t="shared" si="50"/>
        <v>-</v>
      </c>
      <c r="DJ23" s="54" t="str">
        <f t="shared" si="51"/>
        <v>-</v>
      </c>
      <c r="DK23" s="54">
        <f t="shared" si="52"/>
        <v>313286.12529002322</v>
      </c>
      <c r="DL23" s="54" t="str">
        <f t="shared" si="53"/>
        <v>-</v>
      </c>
      <c r="DM23" s="54" t="str">
        <f t="shared" si="54"/>
        <v>-</v>
      </c>
      <c r="DN23" s="54" t="str">
        <f t="shared" si="55"/>
        <v>-</v>
      </c>
      <c r="DO23" s="54" t="str">
        <f t="shared" si="56"/>
        <v>-</v>
      </c>
      <c r="DP23" s="54" t="str">
        <f t="shared" si="57"/>
        <v>-</v>
      </c>
      <c r="DQ23" s="54" t="str">
        <f t="shared" si="58"/>
        <v>-</v>
      </c>
      <c r="DR23" s="54" t="str">
        <f t="shared" si="59"/>
        <v>-</v>
      </c>
      <c r="DT23" s="112">
        <f t="shared" si="60"/>
        <v>58593.392251986224</v>
      </c>
      <c r="DU23" s="114">
        <f>IFERROR(SUMIFS('01. KE30'!$X:$X,'01. KE30'!$C:$C,'06. BC BH THEO CUSTOMER-USD'!$D23,'01. KE30'!$F:$F,'06. BC BH THEO CUSTOMER-USD'!$H23,'01. KE30'!$A:$A,'06. BC BH THEO CUSTOMER-USD'!DU$4)-SUMIFS('01. KE30'!$AA:$AA,'01. KE30'!$C:$C,'06. BC BH THEO CUSTOMER-USD'!$D23,'01. KE30'!$F:$F,'06. BC BH THEO CUSTOMER-USD'!$H23,'01. KE30'!$A:$A,'06. BC BH THEO CUSTOMER-USD'!DU$4),"-")</f>
        <v>0</v>
      </c>
      <c r="DV23" s="114">
        <f>IFERROR(SUMIFS('01. KE30'!$X:$X,'01. KE30'!$C:$C,'06. BC BH THEO CUSTOMER-USD'!$D23,'01. KE30'!$F:$F,'06. BC BH THEO CUSTOMER-USD'!$H23,'01. KE30'!$A:$A,'06. BC BH THEO CUSTOMER-USD'!DV$4)-SUMIFS('01. KE30'!$AA:$AA,'01. KE30'!$C:$C,'06. BC BH THEO CUSTOMER-USD'!$D23,'01. KE30'!$F:$F,'06. BC BH THEO CUSTOMER-USD'!$H23,'01. KE30'!$A:$A,'06. BC BH THEO CUSTOMER-USD'!DV$4),"-")</f>
        <v>0</v>
      </c>
      <c r="DW23" s="114">
        <f>IFERROR(SUMIFS('01. KE30'!$X:$X,'01. KE30'!$C:$C,'06. BC BH THEO CUSTOMER-USD'!$D23,'01. KE30'!$F:$F,'06. BC BH THEO CUSTOMER-USD'!$H23,'01. KE30'!$A:$A,'06. BC BH THEO CUSTOMER-USD'!DW$4)-SUMIFS('01. KE30'!$AA:$AA,'01. KE30'!$C:$C,'06. BC BH THEO CUSTOMER-USD'!$D23,'01. KE30'!$F:$F,'06. BC BH THEO CUSTOMER-USD'!$H23,'01. KE30'!$A:$A,'06. BC BH THEO CUSTOMER-USD'!DW$4),"-")</f>
        <v>0</v>
      </c>
      <c r="DX23" s="114">
        <f>IFERROR(SUMIFS('01. KE30'!$X:$X,'01. KE30'!$C:$C,'06. BC BH THEO CUSTOMER-USD'!$D23,'01. KE30'!$F:$F,'06. BC BH THEO CUSTOMER-USD'!$H23,'01. KE30'!$A:$A,'06. BC BH THEO CUSTOMER-USD'!DX$4)-SUMIFS('01. KE30'!$AA:$AA,'01. KE30'!$C:$C,'06. BC BH THEO CUSTOMER-USD'!$D23,'01. KE30'!$F:$F,'06. BC BH THEO CUSTOMER-USD'!$H23,'01. KE30'!$A:$A,'06. BC BH THEO CUSTOMER-USD'!DX$4),"-")</f>
        <v>0</v>
      </c>
      <c r="DY23" s="114">
        <f>IFERROR(SUMIFS('01. KE30'!$X:$X,'01. KE30'!$C:$C,'06. BC BH THEO CUSTOMER-USD'!$D23,'01. KE30'!$F:$F,'06. BC BH THEO CUSTOMER-USD'!$H23,'01. KE30'!$A:$A,'06. BC BH THEO CUSTOMER-USD'!DY$4)-SUMIFS('01. KE30'!$AA:$AA,'01. KE30'!$C:$C,'06. BC BH THEO CUSTOMER-USD'!$D23,'01. KE30'!$F:$F,'06. BC BH THEO CUSTOMER-USD'!$H23,'01. KE30'!$A:$A,'06. BC BH THEO CUSTOMER-USD'!DY$4),"-")</f>
        <v>58593.392251986224</v>
      </c>
      <c r="DZ23" s="114">
        <f>IFERROR(SUMIFS('01. KE30'!$X:$X,'01. KE30'!$C:$C,'06. BC BH THEO CUSTOMER-USD'!$D23,'01. KE30'!$F:$F,'06. BC BH THEO CUSTOMER-USD'!$H23,'01. KE30'!$A:$A,'06. BC BH THEO CUSTOMER-USD'!DZ$4)-SUMIFS('01. KE30'!$AA:$AA,'01. KE30'!$C:$C,'06. BC BH THEO CUSTOMER-USD'!$D23,'01. KE30'!$F:$F,'06. BC BH THEO CUSTOMER-USD'!$H23,'01. KE30'!$A:$A,'06. BC BH THEO CUSTOMER-USD'!DZ$4),"-")</f>
        <v>0</v>
      </c>
      <c r="EA23" s="114">
        <f>IFERROR(SUMIFS('01. KE30'!$X:$X,'01. KE30'!$C:$C,'06. BC BH THEO CUSTOMER-USD'!$D23,'01. KE30'!$F:$F,'06. BC BH THEO CUSTOMER-USD'!$H23,'01. KE30'!$A:$A,'06. BC BH THEO CUSTOMER-USD'!EA$4)-SUMIFS('01. KE30'!$AA:$AA,'01. KE30'!$C:$C,'06. BC BH THEO CUSTOMER-USD'!$D23,'01. KE30'!$F:$F,'06. BC BH THEO CUSTOMER-USD'!$H23,'01. KE30'!$A:$A,'06. BC BH THEO CUSTOMER-USD'!EA$4),"-")</f>
        <v>0</v>
      </c>
      <c r="EB23" s="114">
        <f>IFERROR(SUMIFS('01. KE30'!$X:$X,'01. KE30'!$C:$C,'06. BC BH THEO CUSTOMER-USD'!$D23,'01. KE30'!$F:$F,'06. BC BH THEO CUSTOMER-USD'!$H23,'01. KE30'!$A:$A,'06. BC BH THEO CUSTOMER-USD'!EB$4)-SUMIFS('01. KE30'!$AA:$AA,'01. KE30'!$C:$C,'06. BC BH THEO CUSTOMER-USD'!$D23,'01. KE30'!$F:$F,'06. BC BH THEO CUSTOMER-USD'!$H23,'01. KE30'!$A:$A,'06. BC BH THEO CUSTOMER-USD'!EB$4),"-")</f>
        <v>0</v>
      </c>
      <c r="EC23" s="114">
        <f>IFERROR(SUMIFS('01. KE30'!$X:$X,'01. KE30'!$C:$C,'06. BC BH THEO CUSTOMER-USD'!$D23,'01. KE30'!$F:$F,'06. BC BH THEO CUSTOMER-USD'!$H23,'01. KE30'!$A:$A,'06. BC BH THEO CUSTOMER-USD'!EC$4)-SUMIFS('01. KE30'!$AA:$AA,'01. KE30'!$C:$C,'06. BC BH THEO CUSTOMER-USD'!$D23,'01. KE30'!$F:$F,'06. BC BH THEO CUSTOMER-USD'!$H23,'01. KE30'!$A:$A,'06. BC BH THEO CUSTOMER-USD'!EC$4),"-")</f>
        <v>0</v>
      </c>
      <c r="ED23" s="114">
        <f>IFERROR(SUMIFS('01. KE30'!$X:$X,'01. KE30'!$C:$C,'06. BC BH THEO CUSTOMER-USD'!$D23,'01. KE30'!$F:$F,'06. BC BH THEO CUSTOMER-USD'!$H23,'01. KE30'!$A:$A,'06. BC BH THEO CUSTOMER-USD'!ED$4)-SUMIFS('01. KE30'!$AA:$AA,'01. KE30'!$C:$C,'06. BC BH THEO CUSTOMER-USD'!$D23,'01. KE30'!$F:$F,'06. BC BH THEO CUSTOMER-USD'!$H23,'01. KE30'!$A:$A,'06. BC BH THEO CUSTOMER-USD'!ED$4),"-")</f>
        <v>0</v>
      </c>
      <c r="EE23" s="114">
        <f>IFERROR(SUMIFS('01. KE30'!$X:$X,'01. KE30'!$C:$C,'06. BC BH THEO CUSTOMER-USD'!$D23,'01. KE30'!$F:$F,'06. BC BH THEO CUSTOMER-USD'!$H23,'01. KE30'!$A:$A,'06. BC BH THEO CUSTOMER-USD'!EE$4)-SUMIFS('01. KE30'!$AA:$AA,'01. KE30'!$C:$C,'06. BC BH THEO CUSTOMER-USD'!$D23,'01. KE30'!$F:$F,'06. BC BH THEO CUSTOMER-USD'!$H23,'01. KE30'!$A:$A,'06. BC BH THEO CUSTOMER-USD'!EE$4),"-")</f>
        <v>0</v>
      </c>
      <c r="EF23" s="114">
        <f>IFERROR(SUMIFS('01. KE30'!$X:$X,'01. KE30'!$C:$C,'06. BC BH THEO CUSTOMER-USD'!$D23,'01. KE30'!$F:$F,'06. BC BH THEO CUSTOMER-USD'!$H23,'01. KE30'!$A:$A,'06. BC BH THEO CUSTOMER-USD'!EF$4)-SUMIFS('01. KE30'!$AA:$AA,'01. KE30'!$C:$C,'06. BC BH THEO CUSTOMER-USD'!$D23,'01. KE30'!$F:$F,'06. BC BH THEO CUSTOMER-USD'!$H23,'01. KE30'!$A:$A,'06. BC BH THEO CUSTOMER-USD'!EF$4),"-")</f>
        <v>0</v>
      </c>
      <c r="EH23" s="571">
        <f t="shared" si="29"/>
        <v>0.1870283664740775</v>
      </c>
      <c r="EI23" s="572" t="str">
        <f t="shared" si="30"/>
        <v>-</v>
      </c>
      <c r="EJ23" s="572" t="str">
        <f t="shared" si="31"/>
        <v>-</v>
      </c>
      <c r="EK23" s="572" t="str">
        <f t="shared" si="32"/>
        <v>-</v>
      </c>
      <c r="EL23" s="572" t="str">
        <f t="shared" si="33"/>
        <v>-</v>
      </c>
      <c r="EM23" s="572">
        <f t="shared" si="34"/>
        <v>0.1870283664740775</v>
      </c>
      <c r="EN23" s="572" t="str">
        <f t="shared" si="35"/>
        <v>-</v>
      </c>
      <c r="EO23" s="572" t="str">
        <f t="shared" si="36"/>
        <v>-</v>
      </c>
      <c r="EP23" s="572" t="str">
        <f t="shared" si="37"/>
        <v>-</v>
      </c>
      <c r="EQ23" s="572" t="str">
        <f t="shared" si="38"/>
        <v>-</v>
      </c>
      <c r="ER23" s="572" t="str">
        <f t="shared" si="39"/>
        <v>-</v>
      </c>
      <c r="ES23" s="572" t="str">
        <f t="shared" si="40"/>
        <v>-</v>
      </c>
      <c r="ET23" s="572" t="str">
        <f t="shared" si="41"/>
        <v>-</v>
      </c>
    </row>
    <row r="24" spans="1:150" ht="15.5" hidden="1" outlineLevel="1" x14ac:dyDescent="0.35">
      <c r="A24" s="27">
        <f t="shared" si="63"/>
        <v>19</v>
      </c>
      <c r="B24" s="27" t="s">
        <v>283</v>
      </c>
      <c r="C24" s="442" t="s">
        <v>489</v>
      </c>
      <c r="D24" s="9" t="s">
        <v>140</v>
      </c>
      <c r="E24" s="31" t="s">
        <v>139</v>
      </c>
      <c r="F24" s="12" t="s">
        <v>733</v>
      </c>
      <c r="G24" s="12" t="str">
        <f>_xlfn.XLOOKUP(F24,'Quy đổi'!$G$5:$G$32,'Quy đổi'!$H$5:$H$32,0)</f>
        <v>Châu Âu</v>
      </c>
      <c r="H24" s="77" t="s">
        <v>110</v>
      </c>
      <c r="I24" s="31" t="s">
        <v>109</v>
      </c>
      <c r="J24" s="13" t="s">
        <v>26</v>
      </c>
      <c r="K24" s="11" t="s">
        <v>90</v>
      </c>
      <c r="L24" s="92" t="str">
        <f t="shared" si="42"/>
        <v>-</v>
      </c>
      <c r="M24" s="106" t="str">
        <f>IFERROR(SUMIFS('01. KE30'!$K:$K,'01. KE30'!$C:$C,'06. BC BH THEO CUSTOMER-USD'!$D24,'01. KE30'!$F:$F,'06. BC BH THEO CUSTOMER-USD'!$H24,'01. KE30'!$A:$A,'06. BC BH THEO CUSTOMER-USD'!M$4)/'06. BC BH THEO CUSTOMER-USD'!CS24/'02. Tỷ giá'!B$5,"-")</f>
        <v>-</v>
      </c>
      <c r="N24" s="106" t="str">
        <f>IFERROR(SUMIFS('01. KE30'!$K:$K,'01. KE30'!$C:$C,'06. BC BH THEO CUSTOMER-USD'!$D24,'01. KE30'!$F:$F,'06. BC BH THEO CUSTOMER-USD'!$H24,'01. KE30'!$A:$A,'06. BC BH THEO CUSTOMER-USD'!N$4)/'06. BC BH THEO CUSTOMER-USD'!CT24/'02. Tỷ giá'!C$5,"-")</f>
        <v>-</v>
      </c>
      <c r="O24" s="106" t="str">
        <f>IFERROR(SUMIFS('01. KE30'!$K:$K,'01. KE30'!$C:$C,'06. BC BH THEO CUSTOMER-USD'!$D24,'01. KE30'!$F:$F,'06. BC BH THEO CUSTOMER-USD'!$H24,'01. KE30'!$A:$A,'06. BC BH THEO CUSTOMER-USD'!O$4)/'06. BC BH THEO CUSTOMER-USD'!CU24/'02. Tỷ giá'!D$5,"-")</f>
        <v>-</v>
      </c>
      <c r="P24" s="106" t="str">
        <f>IFERROR(SUMIFS('01. KE30'!$K:$K,'01. KE30'!$C:$C,'06. BC BH THEO CUSTOMER-USD'!$D24,'01. KE30'!$F:$F,'06. BC BH THEO CUSTOMER-USD'!$H24,'01. KE30'!$A:$A,'06. BC BH THEO CUSTOMER-USD'!P$4)/'06. BC BH THEO CUSTOMER-USD'!CV24/'02. Tỷ giá'!E$5,"-")</f>
        <v>-</v>
      </c>
      <c r="Q24" s="106" t="str">
        <f>IFERROR(SUMIFS('01. KE30'!$K:$K,'01. KE30'!$C:$C,'06. BC BH THEO CUSTOMER-USD'!$D24,'01. KE30'!$F:$F,'06. BC BH THEO CUSTOMER-USD'!$H24,'01. KE30'!$A:$A,'06. BC BH THEO CUSTOMER-USD'!Q$4)/'06. BC BH THEO CUSTOMER-USD'!CW24/'02. Tỷ giá'!F$5,"-")</f>
        <v>-</v>
      </c>
      <c r="R24" s="106" t="str">
        <f>IFERROR(SUMIFS('01. KE30'!$K:$K,'01. KE30'!$C:$C,'06. BC BH THEO CUSTOMER-USD'!$D24,'01. KE30'!$F:$F,'06. BC BH THEO CUSTOMER-USD'!$H24,'01. KE30'!$A:$A,'06. BC BH THEO CUSTOMER-USD'!R$4)/'06. BC BH THEO CUSTOMER-USD'!CX24/'02. Tỷ giá'!G$5,"-")</f>
        <v>-</v>
      </c>
      <c r="S24" s="106" t="str">
        <f>IFERROR(SUMIFS('01. KE30'!$K:$K,'01. KE30'!$C:$C,'06. BC BH THEO CUSTOMER-USD'!$D24,'01. KE30'!$F:$F,'06. BC BH THEO CUSTOMER-USD'!$H24,'01. KE30'!$A:$A,'06. BC BH THEO CUSTOMER-USD'!S$4)/'06. BC BH THEO CUSTOMER-USD'!CY24/'02. Tỷ giá'!H$5,"-")</f>
        <v>-</v>
      </c>
      <c r="T24" s="106" t="str">
        <f>IFERROR(SUMIFS('01. KE30'!$K:$K,'01. KE30'!$C:$C,'06. BC BH THEO CUSTOMER-USD'!$D24,'01. KE30'!$F:$F,'06. BC BH THEO CUSTOMER-USD'!$H24,'01. KE30'!$A:$A,'06. BC BH THEO CUSTOMER-USD'!T$4)/'06. BC BH THEO CUSTOMER-USD'!CZ24/'02. Tỷ giá'!I$5,"-")</f>
        <v>-</v>
      </c>
      <c r="U24" s="106" t="str">
        <f>IFERROR(SUMIFS('01. KE30'!$K:$K,'01. KE30'!$C:$C,'06. BC BH THEO CUSTOMER-USD'!$D24,'01. KE30'!$F:$F,'06. BC BH THEO CUSTOMER-USD'!$H24,'01. KE30'!$A:$A,'06. BC BH THEO CUSTOMER-USD'!U$4)/'06. BC BH THEO CUSTOMER-USD'!DA24/'02. Tỷ giá'!J$5,"-")</f>
        <v>-</v>
      </c>
      <c r="V24" s="106" t="str">
        <f>IFERROR(SUMIFS('01. KE30'!$K:$K,'01. KE30'!$C:$C,'06. BC BH THEO CUSTOMER-USD'!$D24,'01. KE30'!$F:$F,'06. BC BH THEO CUSTOMER-USD'!$H24,'01. KE30'!$A:$A,'06. BC BH THEO CUSTOMER-USD'!V$4)/'06. BC BH THEO CUSTOMER-USD'!DB24/'02. Tỷ giá'!K$5,"-")</f>
        <v>-</v>
      </c>
      <c r="W24" s="106" t="str">
        <f>IFERROR(SUMIFS('01. KE30'!$K:$K,'01. KE30'!$C:$C,'06. BC BH THEO CUSTOMER-USD'!$D24,'01. KE30'!$F:$F,'06. BC BH THEO CUSTOMER-USD'!$H24,'01. KE30'!$A:$A,'06. BC BH THEO CUSTOMER-USD'!W$4)/'06. BC BH THEO CUSTOMER-USD'!DC24/'02. Tỷ giá'!L$5,"-")</f>
        <v>-</v>
      </c>
      <c r="X24" s="106" t="str">
        <f>IFERROR(SUMIFS('01. KE30'!$K:$K,'01. KE30'!$C:$C,'06. BC BH THEO CUSTOMER-USD'!$D24,'01. KE30'!$F:$F,'06. BC BH THEO CUSTOMER-USD'!$H24,'01. KE30'!$A:$A,'06. BC BH THEO CUSTOMER-USD'!X$4)/'06. BC BH THEO CUSTOMER-USD'!DD24/'02. Tỷ giá'!M$5,"-")</f>
        <v>-</v>
      </c>
      <c r="Z24" s="92" t="str">
        <f t="shared" si="43"/>
        <v>-</v>
      </c>
      <c r="AA24" s="147" t="str">
        <f>IFERROR(SUMIFS('01. KE30'!$O:$O,'01. KE30'!$C:$C,'06. BC BH THEO CUSTOMER-USD'!$D24,'01. KE30'!$F:$F,'06. BC BH THEO CUSTOMER-USD'!$H24,'01. KE30'!$A:$A,'06. BC BH THEO CUSTOMER-USD'!M$4)/'06. BC BH THEO CUSTOMER-USD'!CS24/'02. Tỷ giá'!B$5,"-")</f>
        <v>-</v>
      </c>
      <c r="AB24" s="147" t="str">
        <f>IFERROR(SUMIFS('01. KE30'!$O:$O,'01. KE30'!$C:$C,'06. BC BH THEO CUSTOMER-USD'!$D24,'01. KE30'!$F:$F,'06. BC BH THEO CUSTOMER-USD'!$H24,'01. KE30'!$A:$A,'06. BC BH THEO CUSTOMER-USD'!N$4)/'06. BC BH THEO CUSTOMER-USD'!CT24/'02. Tỷ giá'!C$5,"-")</f>
        <v>-</v>
      </c>
      <c r="AC24" s="147" t="str">
        <f>IFERROR(SUMIFS('01. KE30'!$O:$O,'01. KE30'!$C:$C,'06. BC BH THEO CUSTOMER-USD'!$D24,'01. KE30'!$F:$F,'06. BC BH THEO CUSTOMER-USD'!$H24,'01. KE30'!$A:$A,'06. BC BH THEO CUSTOMER-USD'!O$4)/'06. BC BH THEO CUSTOMER-USD'!CU24/'02. Tỷ giá'!D$5,"-")</f>
        <v>-</v>
      </c>
      <c r="AD24" s="147" t="str">
        <f>IFERROR(SUMIFS('01. KE30'!$O:$O,'01. KE30'!$C:$C,'06. BC BH THEO CUSTOMER-USD'!$D24,'01. KE30'!$F:$F,'06. BC BH THEO CUSTOMER-USD'!$H24,'01. KE30'!$A:$A,'06. BC BH THEO CUSTOMER-USD'!P$4)/'06. BC BH THEO CUSTOMER-USD'!CV24/'02. Tỷ giá'!E$5,"-")</f>
        <v>-</v>
      </c>
      <c r="AE24" s="147" t="str">
        <f>IFERROR(SUMIFS('01. KE30'!$O:$O,'01. KE30'!$C:$C,'06. BC BH THEO CUSTOMER-USD'!$D24,'01. KE30'!$F:$F,'06. BC BH THEO CUSTOMER-USD'!$H24,'01. KE30'!$A:$A,'06. BC BH THEO CUSTOMER-USD'!Q$4)/'06. BC BH THEO CUSTOMER-USD'!CW24/'02. Tỷ giá'!F$5,"-")</f>
        <v>-</v>
      </c>
      <c r="AF24" s="147" t="str">
        <f>IFERROR(SUMIFS('01. KE30'!$O:$O,'01. KE30'!$C:$C,'06. BC BH THEO CUSTOMER-USD'!$D24,'01. KE30'!$F:$F,'06. BC BH THEO CUSTOMER-USD'!$H24,'01. KE30'!$A:$A,'06. BC BH THEO CUSTOMER-USD'!R$4)/'06. BC BH THEO CUSTOMER-USD'!CX24/'02. Tỷ giá'!G$5,"-")</f>
        <v>-</v>
      </c>
      <c r="AG24" s="147" t="str">
        <f>IFERROR(SUMIFS('01. KE30'!$O:$O,'01. KE30'!$C:$C,'06. BC BH THEO CUSTOMER-USD'!$D24,'01. KE30'!$F:$F,'06. BC BH THEO CUSTOMER-USD'!$H24,'01. KE30'!$A:$A,'06. BC BH THEO CUSTOMER-USD'!S$4)/'06. BC BH THEO CUSTOMER-USD'!CY24/'02. Tỷ giá'!H$5,"-")</f>
        <v>-</v>
      </c>
      <c r="AH24" s="147" t="str">
        <f>IFERROR(SUMIFS('01. KE30'!$O:$O,'01. KE30'!$C:$C,'06. BC BH THEO CUSTOMER-USD'!$D24,'01. KE30'!$F:$F,'06. BC BH THEO CUSTOMER-USD'!$H24,'01. KE30'!$A:$A,'06. BC BH THEO CUSTOMER-USD'!T$4)/'06. BC BH THEO CUSTOMER-USD'!CZ24/'02. Tỷ giá'!I$5,"-")</f>
        <v>-</v>
      </c>
      <c r="AI24" s="147" t="str">
        <f>IFERROR(SUMIFS('01. KE30'!$O:$O,'01. KE30'!$C:$C,'06. BC BH THEO CUSTOMER-USD'!$D24,'01. KE30'!$F:$F,'06. BC BH THEO CUSTOMER-USD'!$H24,'01. KE30'!$A:$A,'06. BC BH THEO CUSTOMER-USD'!U$4)/'06. BC BH THEO CUSTOMER-USD'!DA24/'02. Tỷ giá'!J$5,"-")</f>
        <v>-</v>
      </c>
      <c r="AJ24" s="147" t="str">
        <f>IFERROR(SUMIFS('01. KE30'!$O:$O,'01. KE30'!$C:$C,'06. BC BH THEO CUSTOMER-USD'!$D24,'01. KE30'!$F:$F,'06. BC BH THEO CUSTOMER-USD'!$H24,'01. KE30'!$A:$A,'06. BC BH THEO CUSTOMER-USD'!V$4)/'06. BC BH THEO CUSTOMER-USD'!DB24/'02. Tỷ giá'!K$5,"-")</f>
        <v>-</v>
      </c>
      <c r="AK24" s="147" t="str">
        <f>IFERROR(SUMIFS('01. KE30'!$O:$O,'01. KE30'!$C:$C,'06. BC BH THEO CUSTOMER-USD'!$D24,'01. KE30'!$F:$F,'06. BC BH THEO CUSTOMER-USD'!$H24,'01. KE30'!$A:$A,'06. BC BH THEO CUSTOMER-USD'!W$4)/'06. BC BH THEO CUSTOMER-USD'!DC24/'02. Tỷ giá'!L$5,"-")</f>
        <v>-</v>
      </c>
      <c r="AL24" s="147" t="str">
        <f>IFERROR(SUMIFS('01. KE30'!$O:$O,'01. KE30'!$C:$C,'06. BC BH THEO CUSTOMER-USD'!$D24,'01. KE30'!$F:$F,'06. BC BH THEO CUSTOMER-USD'!$H24,'01. KE30'!$A:$A,'06. BC BH THEO CUSTOMER-USD'!X$4)/'06. BC BH THEO CUSTOMER-USD'!DD24/'02. Tỷ giá'!M$5,"-")</f>
        <v>-</v>
      </c>
      <c r="AN24" s="92">
        <f t="shared" si="44"/>
        <v>1236.6666666666667</v>
      </c>
      <c r="AO24" s="25">
        <v>1230</v>
      </c>
      <c r="AP24" s="25">
        <v>1230</v>
      </c>
      <c r="AQ24" s="25">
        <v>1230</v>
      </c>
      <c r="AR24" s="25">
        <f t="shared" si="72"/>
        <v>1250</v>
      </c>
      <c r="AS24" s="25">
        <v>1250</v>
      </c>
      <c r="AT24" s="25">
        <v>1250</v>
      </c>
      <c r="AU24" s="25">
        <v>1250</v>
      </c>
      <c r="AV24" s="4">
        <f t="shared" si="66"/>
        <v>1220</v>
      </c>
      <c r="AW24" s="25">
        <v>1220</v>
      </c>
      <c r="AX24" s="25"/>
      <c r="AY24" s="4"/>
      <c r="AZ24" s="4"/>
      <c r="BB24" s="95" t="str">
        <f t="shared" si="45"/>
        <v>-</v>
      </c>
      <c r="BC24" s="95" t="str">
        <f t="shared" si="46"/>
        <v>-</v>
      </c>
      <c r="BD24" s="95" t="str">
        <f t="shared" si="74"/>
        <v>-</v>
      </c>
      <c r="BE24" s="95" t="str">
        <f t="shared" si="74"/>
        <v>-</v>
      </c>
      <c r="BF24" s="95" t="str">
        <f t="shared" si="74"/>
        <v>-</v>
      </c>
      <c r="BG24" s="95" t="str">
        <f t="shared" si="74"/>
        <v>-</v>
      </c>
      <c r="BH24" s="95" t="str">
        <f t="shared" si="74"/>
        <v>-</v>
      </c>
      <c r="BI24" s="95" t="str">
        <f t="shared" si="74"/>
        <v>-</v>
      </c>
      <c r="BJ24" s="95" t="str">
        <f t="shared" si="74"/>
        <v>-</v>
      </c>
      <c r="BK24" s="95" t="str">
        <f t="shared" si="74"/>
        <v>-</v>
      </c>
      <c r="BL24" s="95" t="str">
        <f t="shared" si="74"/>
        <v>-</v>
      </c>
      <c r="BM24" s="95" t="str">
        <f t="shared" si="74"/>
        <v>-</v>
      </c>
      <c r="BN24" s="95" t="str">
        <f t="shared" si="74"/>
        <v>-</v>
      </c>
      <c r="BP24" s="143" t="str">
        <f t="shared" si="47"/>
        <v>-</v>
      </c>
      <c r="BQ24" s="143" t="str">
        <f t="shared" si="8"/>
        <v>-</v>
      </c>
      <c r="BR24" s="143" t="str">
        <f t="shared" si="9"/>
        <v>-</v>
      </c>
      <c r="BS24" s="143" t="str">
        <f t="shared" si="10"/>
        <v>-</v>
      </c>
      <c r="BT24" s="143" t="str">
        <f t="shared" si="11"/>
        <v>-</v>
      </c>
      <c r="BU24" s="143" t="str">
        <f t="shared" si="12"/>
        <v>-</v>
      </c>
      <c r="BV24" s="143" t="str">
        <f t="shared" si="13"/>
        <v>-</v>
      </c>
      <c r="BW24" s="143" t="str">
        <f t="shared" si="14"/>
        <v>-</v>
      </c>
      <c r="BX24" s="143" t="str">
        <f t="shared" si="15"/>
        <v>-</v>
      </c>
      <c r="BY24" s="143" t="str">
        <f t="shared" si="16"/>
        <v>-</v>
      </c>
      <c r="BZ24" s="143" t="str">
        <f t="shared" si="17"/>
        <v>-</v>
      </c>
      <c r="CA24" s="143" t="str">
        <f t="shared" si="18"/>
        <v>-</v>
      </c>
      <c r="CB24" s="143" t="str">
        <f t="shared" si="19"/>
        <v>-</v>
      </c>
      <c r="CD24" s="112" t="str">
        <f t="shared" si="25"/>
        <v>-</v>
      </c>
      <c r="CE24" s="95" t="str">
        <f>IFERROR(SUMIFS('01. KE30'!$R:$R,'01. KE30'!$C:$C,'06. BC BH THEO CUSTOMER-USD'!$D24,'01. KE30'!$F:$F,'06. BC BH THEO CUSTOMER-USD'!$H24,'01. KE30'!$A:$A,'06. BC BH THEO CUSTOMER-USD'!CE$4)/CS24/'02. Tỷ giá'!B$5," -")</f>
        <v xml:space="preserve"> -</v>
      </c>
      <c r="CF24" s="95" t="str">
        <f>IFERROR(SUMIFS('01. KE30'!$R:$R,'01. KE30'!$C:$C,'06. BC BH THEO CUSTOMER-USD'!$D24,'01. KE30'!$F:$F,'06. BC BH THEO CUSTOMER-USD'!$H24,'01. KE30'!$A:$A,'06. BC BH THEO CUSTOMER-USD'!CF$4)/CT24/'02. Tỷ giá'!C$5," -")</f>
        <v xml:space="preserve"> -</v>
      </c>
      <c r="CG24" s="95" t="str">
        <f>IFERROR(SUMIFS('01. KE30'!$R:$R,'01. KE30'!$C:$C,'06. BC BH THEO CUSTOMER-USD'!$D24,'01. KE30'!$F:$F,'06. BC BH THEO CUSTOMER-USD'!$H24,'01. KE30'!$A:$A,'06. BC BH THEO CUSTOMER-USD'!CG$4)/CU24/'02. Tỷ giá'!D$5," -")</f>
        <v xml:space="preserve"> -</v>
      </c>
      <c r="CH24" s="95" t="str">
        <f>IFERROR(SUMIFS('01. KE30'!$R:$R,'01. KE30'!$C:$C,'06. BC BH THEO CUSTOMER-USD'!$D24,'01. KE30'!$F:$F,'06. BC BH THEO CUSTOMER-USD'!$H24,'01. KE30'!$A:$A,'06. BC BH THEO CUSTOMER-USD'!CH$4)/CV24/'02. Tỷ giá'!E$5," -")</f>
        <v xml:space="preserve"> -</v>
      </c>
      <c r="CI24" s="95" t="str">
        <f>IFERROR(SUMIFS('01. KE30'!$R:$R,'01. KE30'!$C:$C,'06. BC BH THEO CUSTOMER-USD'!$D24,'01. KE30'!$F:$F,'06. BC BH THEO CUSTOMER-USD'!$H24,'01. KE30'!$A:$A,'06. BC BH THEO CUSTOMER-USD'!CI$4)/CW24/'02. Tỷ giá'!F$5," -")</f>
        <v xml:space="preserve"> -</v>
      </c>
      <c r="CJ24" s="95" t="str">
        <f>IFERROR(SUMIFS('01. KE30'!$R:$R,'01. KE30'!$C:$C,'06. BC BH THEO CUSTOMER-USD'!$D24,'01. KE30'!$F:$F,'06. BC BH THEO CUSTOMER-USD'!$H24,'01. KE30'!$A:$A,'06. BC BH THEO CUSTOMER-USD'!CJ$4)/CX24/'02. Tỷ giá'!G$5," -")</f>
        <v xml:space="preserve"> -</v>
      </c>
      <c r="CK24" s="95" t="str">
        <f>IFERROR(SUMIFS('01. KE30'!$R:$R,'01. KE30'!$C:$C,'06. BC BH THEO CUSTOMER-USD'!$D24,'01. KE30'!$F:$F,'06. BC BH THEO CUSTOMER-USD'!$H24,'01. KE30'!$A:$A,'06. BC BH THEO CUSTOMER-USD'!CK$4)/CY24/'02. Tỷ giá'!H$5," -")</f>
        <v xml:space="preserve"> -</v>
      </c>
      <c r="CL24" s="95" t="str">
        <f>IFERROR(SUMIFS('01. KE30'!$R:$R,'01. KE30'!$C:$C,'06. BC BH THEO CUSTOMER-USD'!$D24,'01. KE30'!$F:$F,'06. BC BH THEO CUSTOMER-USD'!$H24,'01. KE30'!$A:$A,'06. BC BH THEO CUSTOMER-USD'!CL$4)/CZ24/'02. Tỷ giá'!I$5," -")</f>
        <v xml:space="preserve"> -</v>
      </c>
      <c r="CM24" s="95" t="str">
        <f>IFERROR(SUMIFS('01. KE30'!$R:$R,'01. KE30'!$C:$C,'06. BC BH THEO CUSTOMER-USD'!$D24,'01. KE30'!$F:$F,'06. BC BH THEO CUSTOMER-USD'!$H24,'01. KE30'!$A:$A,'06. BC BH THEO CUSTOMER-USD'!CM$4)/DA24/'02. Tỷ giá'!J$5," -")</f>
        <v xml:space="preserve"> -</v>
      </c>
      <c r="CN24" s="95" t="str">
        <f>IFERROR(SUMIFS('01. KE30'!$R:$R,'01. KE30'!$C:$C,'06. BC BH THEO CUSTOMER-USD'!$D24,'01. KE30'!$F:$F,'06. BC BH THEO CUSTOMER-USD'!$H24,'01. KE30'!$A:$A,'06. BC BH THEO CUSTOMER-USD'!CN$4)/DB24/'02. Tỷ giá'!K$5," -")</f>
        <v xml:space="preserve"> -</v>
      </c>
      <c r="CO24" s="95" t="str">
        <f>IFERROR(SUMIFS('01. KE30'!$R:$R,'01. KE30'!$C:$C,'06. BC BH THEO CUSTOMER-USD'!$D24,'01. KE30'!$F:$F,'06. BC BH THEO CUSTOMER-USD'!$H24,'01. KE30'!$A:$A,'06. BC BH THEO CUSTOMER-USD'!CO$4)/DC24/'02. Tỷ giá'!L$5," -")</f>
        <v xml:space="preserve"> -</v>
      </c>
      <c r="CP24" s="95" t="str">
        <f>IFERROR(SUMIFS('01. KE30'!$R:$R,'01. KE30'!$C:$C,'06. BC BH THEO CUSTOMER-USD'!$D24,'01. KE30'!$F:$F,'06. BC BH THEO CUSTOMER-USD'!$H24,'01. KE30'!$A:$A,'06. BC BH THEO CUSTOMER-USD'!CP$4)/DD24/'02. Tỷ giá'!M$5," -")</f>
        <v xml:space="preserve"> -</v>
      </c>
      <c r="CR24" s="112">
        <f t="shared" si="26"/>
        <v>0</v>
      </c>
      <c r="CS24" s="114">
        <f>SUMIFS('01. KE30'!$I:$I,'01. KE30'!$C:$C,'06. BC BH THEO CUSTOMER-USD'!$D24,'01. KE30'!$F:$F,'06. BC BH THEO CUSTOMER-USD'!$H24,'01. KE30'!$A:$A,'06. BC BH THEO CUSTOMER-USD'!CS$4)/1000</f>
        <v>0</v>
      </c>
      <c r="CT24" s="114">
        <f>SUMIFS('01. KE30'!$I:$I,'01. KE30'!$C:$C,'06. BC BH THEO CUSTOMER-USD'!$D24,'01. KE30'!$F:$F,'06. BC BH THEO CUSTOMER-USD'!$H24,'01. KE30'!$A:$A,'06. BC BH THEO CUSTOMER-USD'!CT$4)/1000</f>
        <v>0</v>
      </c>
      <c r="CU24" s="114">
        <f>SUMIFS('01. KE30'!$I:$I,'01. KE30'!$C:$C,'06. BC BH THEO CUSTOMER-USD'!$D24,'01. KE30'!$F:$F,'06. BC BH THEO CUSTOMER-USD'!$H24,'01. KE30'!$A:$A,'06. BC BH THEO CUSTOMER-USD'!CU$4)/1000</f>
        <v>0</v>
      </c>
      <c r="CV24" s="114">
        <f>SUMIFS('01. KE30'!$I:$I,'01. KE30'!$C:$C,'06. BC BH THEO CUSTOMER-USD'!$D24,'01. KE30'!$F:$F,'06. BC BH THEO CUSTOMER-USD'!$H24,'01. KE30'!$A:$A,'06. BC BH THEO CUSTOMER-USD'!CV$4)/1000</f>
        <v>0</v>
      </c>
      <c r="CW24" s="114">
        <f>SUMIFS('01. KE30'!$I:$I,'01. KE30'!$C:$C,'06. BC BH THEO CUSTOMER-USD'!$D24,'01. KE30'!$F:$F,'06. BC BH THEO CUSTOMER-USD'!$H24,'01. KE30'!$A:$A,'06. BC BH THEO CUSTOMER-USD'!CW$4)/1000</f>
        <v>0</v>
      </c>
      <c r="CX24" s="114">
        <f>SUMIFS('01. KE30'!$I:$I,'01. KE30'!$C:$C,'06. BC BH THEO CUSTOMER-USD'!$D24,'01. KE30'!$F:$F,'06. BC BH THEO CUSTOMER-USD'!$H24,'01. KE30'!$A:$A,'06. BC BH THEO CUSTOMER-USD'!CX$4)/1000</f>
        <v>0</v>
      </c>
      <c r="CY24" s="114">
        <f>SUMIFS('01. KE30'!$I:$I,'01. KE30'!$C:$C,'06. BC BH THEO CUSTOMER-USD'!$D24,'01. KE30'!$F:$F,'06. BC BH THEO CUSTOMER-USD'!$H24,'01. KE30'!$A:$A,'06. BC BH THEO CUSTOMER-USD'!CY$4)/1000</f>
        <v>0</v>
      </c>
      <c r="CZ24" s="114">
        <f>SUMIFS('01. KE30'!$I:$I,'01. KE30'!$C:$C,'06. BC BH THEO CUSTOMER-USD'!$D24,'01. KE30'!$F:$F,'06. BC BH THEO CUSTOMER-USD'!$H24,'01. KE30'!$A:$A,'06. BC BH THEO CUSTOMER-USD'!CZ$4)/1000</f>
        <v>0</v>
      </c>
      <c r="DA24" s="114">
        <f>SUMIFS('01. KE30'!$I:$I,'01. KE30'!$C:$C,'06. BC BH THEO CUSTOMER-USD'!$D24,'01. KE30'!$F:$F,'06. BC BH THEO CUSTOMER-USD'!$H24,'01. KE30'!$A:$A,'06. BC BH THEO CUSTOMER-USD'!DA$4)/1000</f>
        <v>0</v>
      </c>
      <c r="DB24" s="114">
        <f>SUMIFS('01. KE30'!$I:$I,'01. KE30'!$C:$C,'06. BC BH THEO CUSTOMER-USD'!$D24,'01. KE30'!$F:$F,'06. BC BH THEO CUSTOMER-USD'!$H24,'01. KE30'!$A:$A,'06. BC BH THEO CUSTOMER-USD'!DB$4)/1000</f>
        <v>0</v>
      </c>
      <c r="DC24" s="114">
        <f>SUMIFS('01. KE30'!$I:$I,'01. KE30'!$C:$C,'06. BC BH THEO CUSTOMER-USD'!$D24,'01. KE30'!$F:$F,'06. BC BH THEO CUSTOMER-USD'!$H24,'01. KE30'!$A:$A,'06. BC BH THEO CUSTOMER-USD'!DC$4)/1000</f>
        <v>0</v>
      </c>
      <c r="DD24" s="114">
        <f>SUMIFS('01. KE30'!$I:$I,'01. KE30'!$C:$C,'06. BC BH THEO CUSTOMER-USD'!$D24,'01. KE30'!$F:$F,'06. BC BH THEO CUSTOMER-USD'!$H24,'01. KE30'!$A:$A,'06. BC BH THEO CUSTOMER-USD'!DD$4)/1000</f>
        <v>0</v>
      </c>
      <c r="DF24" s="112">
        <f t="shared" si="73"/>
        <v>0</v>
      </c>
      <c r="DG24" s="54" t="str">
        <f t="shared" si="48"/>
        <v>-</v>
      </c>
      <c r="DH24" s="54" t="str">
        <f t="shared" si="49"/>
        <v>-</v>
      </c>
      <c r="DI24" s="54" t="str">
        <f t="shared" si="50"/>
        <v>-</v>
      </c>
      <c r="DJ24" s="54" t="str">
        <f t="shared" si="51"/>
        <v>-</v>
      </c>
      <c r="DK24" s="54" t="str">
        <f t="shared" si="52"/>
        <v>-</v>
      </c>
      <c r="DL24" s="54" t="str">
        <f t="shared" si="53"/>
        <v>-</v>
      </c>
      <c r="DM24" s="54" t="str">
        <f t="shared" si="54"/>
        <v>-</v>
      </c>
      <c r="DN24" s="54" t="str">
        <f t="shared" si="55"/>
        <v>-</v>
      </c>
      <c r="DO24" s="54" t="str">
        <f t="shared" si="56"/>
        <v>-</v>
      </c>
      <c r="DP24" s="54" t="str">
        <f t="shared" si="57"/>
        <v>-</v>
      </c>
      <c r="DQ24" s="54" t="str">
        <f t="shared" si="58"/>
        <v>-</v>
      </c>
      <c r="DR24" s="54" t="str">
        <f t="shared" si="59"/>
        <v>-</v>
      </c>
      <c r="DT24" s="112">
        <f t="shared" si="60"/>
        <v>0</v>
      </c>
      <c r="DU24" s="114">
        <f>IFERROR(SUMIFS('01. KE30'!$X:$X,'01. KE30'!$C:$C,'06. BC BH THEO CUSTOMER-USD'!$D24,'01. KE30'!$F:$F,'06. BC BH THEO CUSTOMER-USD'!$H24,'01. KE30'!$A:$A,'06. BC BH THEO CUSTOMER-USD'!DU$4)-SUMIFS('01. KE30'!$AA:$AA,'01. KE30'!$C:$C,'06. BC BH THEO CUSTOMER-USD'!$D24,'01. KE30'!$F:$F,'06. BC BH THEO CUSTOMER-USD'!$H24,'01. KE30'!$A:$A,'06. BC BH THEO CUSTOMER-USD'!DU$4),"-")</f>
        <v>0</v>
      </c>
      <c r="DV24" s="114">
        <f>IFERROR(SUMIFS('01. KE30'!$X:$X,'01. KE30'!$C:$C,'06. BC BH THEO CUSTOMER-USD'!$D24,'01. KE30'!$F:$F,'06. BC BH THEO CUSTOMER-USD'!$H24,'01. KE30'!$A:$A,'06. BC BH THEO CUSTOMER-USD'!DV$4)-SUMIFS('01. KE30'!$AA:$AA,'01. KE30'!$C:$C,'06. BC BH THEO CUSTOMER-USD'!$D24,'01. KE30'!$F:$F,'06. BC BH THEO CUSTOMER-USD'!$H24,'01. KE30'!$A:$A,'06. BC BH THEO CUSTOMER-USD'!DV$4),"-")</f>
        <v>0</v>
      </c>
      <c r="DW24" s="114">
        <f>IFERROR(SUMIFS('01. KE30'!$X:$X,'01. KE30'!$C:$C,'06. BC BH THEO CUSTOMER-USD'!$D24,'01. KE30'!$F:$F,'06. BC BH THEO CUSTOMER-USD'!$H24,'01. KE30'!$A:$A,'06. BC BH THEO CUSTOMER-USD'!DW$4)-SUMIFS('01. KE30'!$AA:$AA,'01. KE30'!$C:$C,'06. BC BH THEO CUSTOMER-USD'!$D24,'01. KE30'!$F:$F,'06. BC BH THEO CUSTOMER-USD'!$H24,'01. KE30'!$A:$A,'06. BC BH THEO CUSTOMER-USD'!DW$4),"-")</f>
        <v>0</v>
      </c>
      <c r="DX24" s="114">
        <f>IFERROR(SUMIFS('01. KE30'!$X:$X,'01. KE30'!$C:$C,'06. BC BH THEO CUSTOMER-USD'!$D24,'01. KE30'!$F:$F,'06. BC BH THEO CUSTOMER-USD'!$H24,'01. KE30'!$A:$A,'06. BC BH THEO CUSTOMER-USD'!DX$4)-SUMIFS('01. KE30'!$AA:$AA,'01. KE30'!$C:$C,'06. BC BH THEO CUSTOMER-USD'!$D24,'01. KE30'!$F:$F,'06. BC BH THEO CUSTOMER-USD'!$H24,'01. KE30'!$A:$A,'06. BC BH THEO CUSTOMER-USD'!DX$4),"-")</f>
        <v>0</v>
      </c>
      <c r="DY24" s="114">
        <f>IFERROR(SUMIFS('01. KE30'!$X:$X,'01. KE30'!$C:$C,'06. BC BH THEO CUSTOMER-USD'!$D24,'01. KE30'!$F:$F,'06. BC BH THEO CUSTOMER-USD'!$H24,'01. KE30'!$A:$A,'06. BC BH THEO CUSTOMER-USD'!DY$4)-SUMIFS('01. KE30'!$AA:$AA,'01. KE30'!$C:$C,'06. BC BH THEO CUSTOMER-USD'!$D24,'01. KE30'!$F:$F,'06. BC BH THEO CUSTOMER-USD'!$H24,'01. KE30'!$A:$A,'06. BC BH THEO CUSTOMER-USD'!DY$4),"-")</f>
        <v>0</v>
      </c>
      <c r="DZ24" s="114">
        <f>IFERROR(SUMIFS('01. KE30'!$X:$X,'01. KE30'!$C:$C,'06. BC BH THEO CUSTOMER-USD'!$D24,'01. KE30'!$F:$F,'06. BC BH THEO CUSTOMER-USD'!$H24,'01. KE30'!$A:$A,'06. BC BH THEO CUSTOMER-USD'!DZ$4)-SUMIFS('01. KE30'!$AA:$AA,'01. KE30'!$C:$C,'06. BC BH THEO CUSTOMER-USD'!$D24,'01. KE30'!$F:$F,'06. BC BH THEO CUSTOMER-USD'!$H24,'01. KE30'!$A:$A,'06. BC BH THEO CUSTOMER-USD'!DZ$4),"-")</f>
        <v>0</v>
      </c>
      <c r="EA24" s="114">
        <f>IFERROR(SUMIFS('01. KE30'!$X:$X,'01. KE30'!$C:$C,'06. BC BH THEO CUSTOMER-USD'!$D24,'01. KE30'!$F:$F,'06. BC BH THEO CUSTOMER-USD'!$H24,'01. KE30'!$A:$A,'06. BC BH THEO CUSTOMER-USD'!EA$4)-SUMIFS('01. KE30'!$AA:$AA,'01. KE30'!$C:$C,'06. BC BH THEO CUSTOMER-USD'!$D24,'01. KE30'!$F:$F,'06. BC BH THEO CUSTOMER-USD'!$H24,'01. KE30'!$A:$A,'06. BC BH THEO CUSTOMER-USD'!EA$4),"-")</f>
        <v>0</v>
      </c>
      <c r="EB24" s="114">
        <f>IFERROR(SUMIFS('01. KE30'!$X:$X,'01. KE30'!$C:$C,'06. BC BH THEO CUSTOMER-USD'!$D24,'01. KE30'!$F:$F,'06. BC BH THEO CUSTOMER-USD'!$H24,'01. KE30'!$A:$A,'06. BC BH THEO CUSTOMER-USD'!EB$4)-SUMIFS('01. KE30'!$AA:$AA,'01. KE30'!$C:$C,'06. BC BH THEO CUSTOMER-USD'!$D24,'01. KE30'!$F:$F,'06. BC BH THEO CUSTOMER-USD'!$H24,'01. KE30'!$A:$A,'06. BC BH THEO CUSTOMER-USD'!EB$4),"-")</f>
        <v>0</v>
      </c>
      <c r="EC24" s="114">
        <f>IFERROR(SUMIFS('01. KE30'!$X:$X,'01. KE30'!$C:$C,'06. BC BH THEO CUSTOMER-USD'!$D24,'01. KE30'!$F:$F,'06. BC BH THEO CUSTOMER-USD'!$H24,'01. KE30'!$A:$A,'06. BC BH THEO CUSTOMER-USD'!EC$4)-SUMIFS('01. KE30'!$AA:$AA,'01. KE30'!$C:$C,'06. BC BH THEO CUSTOMER-USD'!$D24,'01. KE30'!$F:$F,'06. BC BH THEO CUSTOMER-USD'!$H24,'01. KE30'!$A:$A,'06. BC BH THEO CUSTOMER-USD'!EC$4),"-")</f>
        <v>0</v>
      </c>
      <c r="ED24" s="114">
        <f>IFERROR(SUMIFS('01. KE30'!$X:$X,'01. KE30'!$C:$C,'06. BC BH THEO CUSTOMER-USD'!$D24,'01. KE30'!$F:$F,'06. BC BH THEO CUSTOMER-USD'!$H24,'01. KE30'!$A:$A,'06. BC BH THEO CUSTOMER-USD'!ED$4)-SUMIFS('01. KE30'!$AA:$AA,'01. KE30'!$C:$C,'06. BC BH THEO CUSTOMER-USD'!$D24,'01. KE30'!$F:$F,'06. BC BH THEO CUSTOMER-USD'!$H24,'01. KE30'!$A:$A,'06. BC BH THEO CUSTOMER-USD'!ED$4),"-")</f>
        <v>0</v>
      </c>
      <c r="EE24" s="114">
        <f>IFERROR(SUMIFS('01. KE30'!$X:$X,'01. KE30'!$C:$C,'06. BC BH THEO CUSTOMER-USD'!$D24,'01. KE30'!$F:$F,'06. BC BH THEO CUSTOMER-USD'!$H24,'01. KE30'!$A:$A,'06. BC BH THEO CUSTOMER-USD'!EE$4)-SUMIFS('01. KE30'!$AA:$AA,'01. KE30'!$C:$C,'06. BC BH THEO CUSTOMER-USD'!$D24,'01. KE30'!$F:$F,'06. BC BH THEO CUSTOMER-USD'!$H24,'01. KE30'!$A:$A,'06. BC BH THEO CUSTOMER-USD'!EE$4),"-")</f>
        <v>0</v>
      </c>
      <c r="EF24" s="114">
        <f>IFERROR(SUMIFS('01. KE30'!$X:$X,'01. KE30'!$C:$C,'06. BC BH THEO CUSTOMER-USD'!$D24,'01. KE30'!$F:$F,'06. BC BH THEO CUSTOMER-USD'!$H24,'01. KE30'!$A:$A,'06. BC BH THEO CUSTOMER-USD'!EF$4)-SUMIFS('01. KE30'!$AA:$AA,'01. KE30'!$C:$C,'06. BC BH THEO CUSTOMER-USD'!$D24,'01. KE30'!$F:$F,'06. BC BH THEO CUSTOMER-USD'!$H24,'01. KE30'!$A:$A,'06. BC BH THEO CUSTOMER-USD'!EF$4),"-")</f>
        <v>0</v>
      </c>
      <c r="EH24" s="571" t="str">
        <f t="shared" si="29"/>
        <v>-</v>
      </c>
      <c r="EI24" s="572" t="str">
        <f t="shared" si="30"/>
        <v>-</v>
      </c>
      <c r="EJ24" s="572" t="str">
        <f t="shared" si="31"/>
        <v>-</v>
      </c>
      <c r="EK24" s="572" t="str">
        <f t="shared" si="32"/>
        <v>-</v>
      </c>
      <c r="EL24" s="572" t="str">
        <f t="shared" si="33"/>
        <v>-</v>
      </c>
      <c r="EM24" s="572" t="str">
        <f t="shared" si="34"/>
        <v>-</v>
      </c>
      <c r="EN24" s="572" t="str">
        <f t="shared" si="35"/>
        <v>-</v>
      </c>
      <c r="EO24" s="572" t="str">
        <f t="shared" si="36"/>
        <v>-</v>
      </c>
      <c r="EP24" s="572" t="str">
        <f t="shared" si="37"/>
        <v>-</v>
      </c>
      <c r="EQ24" s="572" t="str">
        <f t="shared" si="38"/>
        <v>-</v>
      </c>
      <c r="ER24" s="572" t="str">
        <f t="shared" si="39"/>
        <v>-</v>
      </c>
      <c r="ES24" s="572" t="str">
        <f t="shared" si="40"/>
        <v>-</v>
      </c>
      <c r="ET24" s="572" t="str">
        <f t="shared" si="41"/>
        <v>-</v>
      </c>
    </row>
    <row r="25" spans="1:150" ht="15.5" hidden="1" outlineLevel="1" x14ac:dyDescent="0.35">
      <c r="A25" s="27">
        <f t="shared" si="63"/>
        <v>20</v>
      </c>
      <c r="B25" s="27" t="s">
        <v>283</v>
      </c>
      <c r="C25" s="442" t="s">
        <v>489</v>
      </c>
      <c r="D25" s="9" t="s">
        <v>140</v>
      </c>
      <c r="E25" s="31" t="s">
        <v>139</v>
      </c>
      <c r="F25" s="12" t="s">
        <v>733</v>
      </c>
      <c r="G25" s="12" t="str">
        <f>_xlfn.XLOOKUP(F25,'Quy đổi'!$G$5:$G$32,'Quy đổi'!$H$5:$H$32,0)</f>
        <v>Châu Âu</v>
      </c>
      <c r="H25" s="77" t="s">
        <v>100</v>
      </c>
      <c r="I25" s="31" t="s">
        <v>99</v>
      </c>
      <c r="J25" s="13" t="s">
        <v>26</v>
      </c>
      <c r="K25" s="11" t="s">
        <v>90</v>
      </c>
      <c r="L25" s="92">
        <f t="shared" si="42"/>
        <v>1333.5059146226815</v>
      </c>
      <c r="M25" s="106" t="str">
        <f>IFERROR(SUMIFS('01. KE30'!$K:$K,'01. KE30'!$C:$C,'06. BC BH THEO CUSTOMER-USD'!$D25,'01. KE30'!$F:$F,'06. BC BH THEO CUSTOMER-USD'!$H25,'01. KE30'!$A:$A,'06. BC BH THEO CUSTOMER-USD'!M$4)/'06. BC BH THEO CUSTOMER-USD'!CS25/'02. Tỷ giá'!B$5,"-")</f>
        <v>-</v>
      </c>
      <c r="N25" s="106">
        <f>IFERROR(SUMIFS('01. KE30'!$K:$K,'01. KE30'!$C:$C,'06. BC BH THEO CUSTOMER-USD'!$D25,'01. KE30'!$F:$F,'06. BC BH THEO CUSTOMER-USD'!$H25,'01. KE30'!$A:$A,'06. BC BH THEO CUSTOMER-USD'!N$4)/'06. BC BH THEO CUSTOMER-USD'!CT25/'02. Tỷ giá'!C$5,"-")</f>
        <v>1354.6435604568728</v>
      </c>
      <c r="O25" s="106" t="str">
        <f>IFERROR(SUMIFS('01. KE30'!$K:$K,'01. KE30'!$C:$C,'06. BC BH THEO CUSTOMER-USD'!$D25,'01. KE30'!$F:$F,'06. BC BH THEO CUSTOMER-USD'!$H25,'01. KE30'!$A:$A,'06. BC BH THEO CUSTOMER-USD'!O$4)/'06. BC BH THEO CUSTOMER-USD'!CU25/'02. Tỷ giá'!D$5,"-")</f>
        <v>-</v>
      </c>
      <c r="P25" s="106">
        <f>IFERROR(SUMIFS('01. KE30'!$K:$K,'01. KE30'!$C:$C,'06. BC BH THEO CUSTOMER-USD'!$D25,'01. KE30'!$F:$F,'06. BC BH THEO CUSTOMER-USD'!$H25,'01. KE30'!$A:$A,'06. BC BH THEO CUSTOMER-USD'!P$4)/'06. BC BH THEO CUSTOMER-USD'!CV25/'02. Tỷ giá'!E$5,"-")</f>
        <v>1268.5249709639954</v>
      </c>
      <c r="Q25" s="106" t="str">
        <f>IFERROR(SUMIFS('01. KE30'!$K:$K,'01. KE30'!$C:$C,'06. BC BH THEO CUSTOMER-USD'!$D25,'01. KE30'!$F:$F,'06. BC BH THEO CUSTOMER-USD'!$H25,'01. KE30'!$A:$A,'06. BC BH THEO CUSTOMER-USD'!Q$4)/'06. BC BH THEO CUSTOMER-USD'!CW25/'02. Tỷ giá'!F$5,"-")</f>
        <v>-</v>
      </c>
      <c r="R25" s="106" t="str">
        <f>IFERROR(SUMIFS('01. KE30'!$K:$K,'01. KE30'!$C:$C,'06. BC BH THEO CUSTOMER-USD'!$D25,'01. KE30'!$F:$F,'06. BC BH THEO CUSTOMER-USD'!$H25,'01. KE30'!$A:$A,'06. BC BH THEO CUSTOMER-USD'!R$4)/'06. BC BH THEO CUSTOMER-USD'!CX25/'02. Tỷ giá'!G$5,"-")</f>
        <v>-</v>
      </c>
      <c r="S25" s="106">
        <f>IFERROR(SUMIFS('01. KE30'!$K:$K,'01. KE30'!$C:$C,'06. BC BH THEO CUSTOMER-USD'!$D25,'01. KE30'!$F:$F,'06. BC BH THEO CUSTOMER-USD'!$H25,'01. KE30'!$A:$A,'06. BC BH THEO CUSTOMER-USD'!S$4)/'06. BC BH THEO CUSTOMER-USD'!CY25/'02. Tỷ giá'!H$5,"-")</f>
        <v>1377.3492124471763</v>
      </c>
      <c r="T25" s="106" t="str">
        <f>IFERROR(SUMIFS('01. KE30'!$K:$K,'01. KE30'!$C:$C,'06. BC BH THEO CUSTOMER-USD'!$D25,'01. KE30'!$F:$F,'06. BC BH THEO CUSTOMER-USD'!$H25,'01. KE30'!$A:$A,'06. BC BH THEO CUSTOMER-USD'!T$4)/'06. BC BH THEO CUSTOMER-USD'!CZ25/'02. Tỷ giá'!I$5,"-")</f>
        <v>-</v>
      </c>
      <c r="U25" s="106" t="str">
        <f>IFERROR(SUMIFS('01. KE30'!$K:$K,'01. KE30'!$C:$C,'06. BC BH THEO CUSTOMER-USD'!$D25,'01. KE30'!$F:$F,'06. BC BH THEO CUSTOMER-USD'!$H25,'01. KE30'!$A:$A,'06. BC BH THEO CUSTOMER-USD'!U$4)/'06. BC BH THEO CUSTOMER-USD'!DA25/'02. Tỷ giá'!J$5,"-")</f>
        <v>-</v>
      </c>
      <c r="V25" s="106" t="str">
        <f>IFERROR(SUMIFS('01. KE30'!$K:$K,'01. KE30'!$C:$C,'06. BC BH THEO CUSTOMER-USD'!$D25,'01. KE30'!$F:$F,'06. BC BH THEO CUSTOMER-USD'!$H25,'01. KE30'!$A:$A,'06. BC BH THEO CUSTOMER-USD'!V$4)/'06. BC BH THEO CUSTOMER-USD'!DB25/'02. Tỷ giá'!K$5,"-")</f>
        <v>-</v>
      </c>
      <c r="W25" s="106" t="str">
        <f>IFERROR(SUMIFS('01. KE30'!$K:$K,'01. KE30'!$C:$C,'06. BC BH THEO CUSTOMER-USD'!$D25,'01. KE30'!$F:$F,'06. BC BH THEO CUSTOMER-USD'!$H25,'01. KE30'!$A:$A,'06. BC BH THEO CUSTOMER-USD'!W$4)/'06. BC BH THEO CUSTOMER-USD'!DC25/'02. Tỷ giá'!L$5,"-")</f>
        <v>-</v>
      </c>
      <c r="X25" s="106" t="str">
        <f>IFERROR(SUMIFS('01. KE30'!$K:$K,'01. KE30'!$C:$C,'06. BC BH THEO CUSTOMER-USD'!$D25,'01. KE30'!$F:$F,'06. BC BH THEO CUSTOMER-USD'!$H25,'01. KE30'!$A:$A,'06. BC BH THEO CUSTOMER-USD'!X$4)/'06. BC BH THEO CUSTOMER-USD'!DD25/'02. Tỷ giá'!M$5,"-")</f>
        <v>-</v>
      </c>
      <c r="Z25" s="92">
        <f t="shared" si="43"/>
        <v>1256.5920970233383</v>
      </c>
      <c r="AA25" s="147" t="str">
        <f>IFERROR(SUMIFS('01. KE30'!$O:$O,'01. KE30'!$C:$C,'06. BC BH THEO CUSTOMER-USD'!$D25,'01. KE30'!$F:$F,'06. BC BH THEO CUSTOMER-USD'!$H25,'01. KE30'!$A:$A,'06. BC BH THEO CUSTOMER-USD'!M$4)/'06. BC BH THEO CUSTOMER-USD'!CS25/'02. Tỷ giá'!B$5,"-")</f>
        <v>-</v>
      </c>
      <c r="AB25" s="147">
        <f>IFERROR(SUMIFS('01. KE30'!$O:$O,'01. KE30'!$C:$C,'06. BC BH THEO CUSTOMER-USD'!$D25,'01. KE30'!$F:$F,'06. BC BH THEO CUSTOMER-USD'!$H25,'01. KE30'!$A:$A,'06. BC BH THEO CUSTOMER-USD'!N$4)/'06. BC BH THEO CUSTOMER-USD'!CT25/'02. Tỷ giá'!C$5,"-")</f>
        <v>1265.7037487915786</v>
      </c>
      <c r="AC25" s="147" t="str">
        <f>IFERROR(SUMIFS('01. KE30'!$O:$O,'01. KE30'!$C:$C,'06. BC BH THEO CUSTOMER-USD'!$D25,'01. KE30'!$F:$F,'06. BC BH THEO CUSTOMER-USD'!$H25,'01. KE30'!$A:$A,'06. BC BH THEO CUSTOMER-USD'!O$4)/'06. BC BH THEO CUSTOMER-USD'!CU25/'02. Tỷ giá'!D$5,"-")</f>
        <v>-</v>
      </c>
      <c r="AD25" s="147">
        <f>IFERROR(SUMIFS('01. KE30'!$O:$O,'01. KE30'!$C:$C,'06. BC BH THEO CUSTOMER-USD'!$D25,'01. KE30'!$F:$F,'06. BC BH THEO CUSTOMER-USD'!$H25,'01. KE30'!$A:$A,'06. BC BH THEO CUSTOMER-USD'!P$4)/'06. BC BH THEO CUSTOMER-USD'!CV25/'02. Tỷ giá'!E$5,"-")</f>
        <v>1247.3713775384508</v>
      </c>
      <c r="AE25" s="147" t="str">
        <f>IFERROR(SUMIFS('01. KE30'!$O:$O,'01. KE30'!$C:$C,'06. BC BH THEO CUSTOMER-USD'!$D25,'01. KE30'!$F:$F,'06. BC BH THEO CUSTOMER-USD'!$H25,'01. KE30'!$A:$A,'06. BC BH THEO CUSTOMER-USD'!Q$4)/'06. BC BH THEO CUSTOMER-USD'!CW25/'02. Tỷ giá'!F$5,"-")</f>
        <v>-</v>
      </c>
      <c r="AF25" s="147" t="str">
        <f>IFERROR(SUMIFS('01. KE30'!$O:$O,'01. KE30'!$C:$C,'06. BC BH THEO CUSTOMER-USD'!$D25,'01. KE30'!$F:$F,'06. BC BH THEO CUSTOMER-USD'!$H25,'01. KE30'!$A:$A,'06. BC BH THEO CUSTOMER-USD'!R$4)/'06. BC BH THEO CUSTOMER-USD'!CX25/'02. Tỷ giá'!G$5,"-")</f>
        <v>-</v>
      </c>
      <c r="AG25" s="147">
        <f>IFERROR(SUMIFS('01. KE30'!$O:$O,'01. KE30'!$C:$C,'06. BC BH THEO CUSTOMER-USD'!$D25,'01. KE30'!$F:$F,'06. BC BH THEO CUSTOMER-USD'!$H25,'01. KE30'!$A:$A,'06. BC BH THEO CUSTOMER-USD'!S$4)/'06. BC BH THEO CUSTOMER-USD'!CY25/'02. Tỷ giá'!H$5,"-")</f>
        <v>1256.7011647399852</v>
      </c>
      <c r="AH25" s="147" t="str">
        <f>IFERROR(SUMIFS('01. KE30'!$O:$O,'01. KE30'!$C:$C,'06. BC BH THEO CUSTOMER-USD'!$D25,'01. KE30'!$F:$F,'06. BC BH THEO CUSTOMER-USD'!$H25,'01. KE30'!$A:$A,'06. BC BH THEO CUSTOMER-USD'!T$4)/'06. BC BH THEO CUSTOMER-USD'!CZ25/'02. Tỷ giá'!I$5,"-")</f>
        <v>-</v>
      </c>
      <c r="AI25" s="147" t="str">
        <f>IFERROR(SUMIFS('01. KE30'!$O:$O,'01. KE30'!$C:$C,'06. BC BH THEO CUSTOMER-USD'!$D25,'01. KE30'!$F:$F,'06. BC BH THEO CUSTOMER-USD'!$H25,'01. KE30'!$A:$A,'06. BC BH THEO CUSTOMER-USD'!U$4)/'06. BC BH THEO CUSTOMER-USD'!DA25/'02. Tỷ giá'!J$5,"-")</f>
        <v>-</v>
      </c>
      <c r="AJ25" s="147" t="str">
        <f>IFERROR(SUMIFS('01. KE30'!$O:$O,'01. KE30'!$C:$C,'06. BC BH THEO CUSTOMER-USD'!$D25,'01. KE30'!$F:$F,'06. BC BH THEO CUSTOMER-USD'!$H25,'01. KE30'!$A:$A,'06. BC BH THEO CUSTOMER-USD'!V$4)/'06. BC BH THEO CUSTOMER-USD'!DB25/'02. Tỷ giá'!K$5,"-")</f>
        <v>-</v>
      </c>
      <c r="AK25" s="147" t="str">
        <f>IFERROR(SUMIFS('01. KE30'!$O:$O,'01. KE30'!$C:$C,'06. BC BH THEO CUSTOMER-USD'!$D25,'01. KE30'!$F:$F,'06. BC BH THEO CUSTOMER-USD'!$H25,'01. KE30'!$A:$A,'06. BC BH THEO CUSTOMER-USD'!W$4)/'06. BC BH THEO CUSTOMER-USD'!DC25/'02. Tỷ giá'!L$5,"-")</f>
        <v>-</v>
      </c>
      <c r="AL25" s="147" t="str">
        <f>IFERROR(SUMIFS('01. KE30'!$O:$O,'01. KE30'!$C:$C,'06. BC BH THEO CUSTOMER-USD'!$D25,'01. KE30'!$F:$F,'06. BC BH THEO CUSTOMER-USD'!$H25,'01. KE30'!$A:$A,'06. BC BH THEO CUSTOMER-USD'!X$4)/'06. BC BH THEO CUSTOMER-USD'!DD25/'02. Tỷ giá'!M$5,"-")</f>
        <v>-</v>
      </c>
      <c r="AN25" s="92">
        <f t="shared" si="44"/>
        <v>1266.6666666666667</v>
      </c>
      <c r="AO25" s="25">
        <v>1260</v>
      </c>
      <c r="AP25" s="25">
        <v>1260</v>
      </c>
      <c r="AQ25" s="25">
        <v>1260</v>
      </c>
      <c r="AR25" s="4">
        <f t="shared" ref="AR25:AR26" si="75">AQ25+20</f>
        <v>1280</v>
      </c>
      <c r="AS25" s="4">
        <v>1280</v>
      </c>
      <c r="AT25" s="4">
        <v>1280</v>
      </c>
      <c r="AU25" s="4">
        <v>1280</v>
      </c>
      <c r="AV25" s="4">
        <f t="shared" si="66"/>
        <v>1250</v>
      </c>
      <c r="AW25" s="25">
        <v>1250</v>
      </c>
      <c r="AX25" s="25"/>
      <c r="AY25" s="4"/>
      <c r="AZ25" s="4"/>
      <c r="BB25" s="95">
        <f t="shared" si="45"/>
        <v>-10.074569643328459</v>
      </c>
      <c r="BC25" s="95" t="str">
        <f t="shared" si="46"/>
        <v>-</v>
      </c>
      <c r="BD25" s="95">
        <f t="shared" si="74"/>
        <v>5.7037487915786187</v>
      </c>
      <c r="BE25" s="95" t="str">
        <f t="shared" si="74"/>
        <v>-</v>
      </c>
      <c r="BF25" s="95">
        <f t="shared" si="74"/>
        <v>-32.628622461549185</v>
      </c>
      <c r="BG25" s="95" t="str">
        <f t="shared" si="74"/>
        <v>-</v>
      </c>
      <c r="BH25" s="95" t="str">
        <f t="shared" si="74"/>
        <v>-</v>
      </c>
      <c r="BI25" s="95">
        <f t="shared" si="74"/>
        <v>-23.298835260014812</v>
      </c>
      <c r="BJ25" s="95" t="str">
        <f t="shared" si="74"/>
        <v>-</v>
      </c>
      <c r="BK25" s="95" t="str">
        <f t="shared" si="74"/>
        <v>-</v>
      </c>
      <c r="BL25" s="95" t="str">
        <f t="shared" si="74"/>
        <v>-</v>
      </c>
      <c r="BM25" s="95" t="str">
        <f t="shared" si="74"/>
        <v>-</v>
      </c>
      <c r="BN25" s="95" t="str">
        <f t="shared" si="74"/>
        <v>-</v>
      </c>
      <c r="BP25" s="143">
        <f t="shared" si="47"/>
        <v>-7.9536076131540463E-3</v>
      </c>
      <c r="BQ25" s="143" t="str">
        <f t="shared" si="8"/>
        <v>-</v>
      </c>
      <c r="BR25" s="143">
        <f t="shared" si="9"/>
        <v>4.5267847552211259E-3</v>
      </c>
      <c r="BS25" s="143" t="str">
        <f t="shared" si="10"/>
        <v>-</v>
      </c>
      <c r="BT25" s="143">
        <f t="shared" si="11"/>
        <v>-2.54911112980853E-2</v>
      </c>
      <c r="BU25" s="143" t="str">
        <f t="shared" si="12"/>
        <v>-</v>
      </c>
      <c r="BV25" s="143" t="str">
        <f t="shared" si="13"/>
        <v>-</v>
      </c>
      <c r="BW25" s="143">
        <f t="shared" si="14"/>
        <v>-1.8202215046886572E-2</v>
      </c>
      <c r="BX25" s="143" t="str">
        <f t="shared" si="15"/>
        <v>-</v>
      </c>
      <c r="BY25" s="143" t="str">
        <f t="shared" si="16"/>
        <v>-</v>
      </c>
      <c r="BZ25" s="143" t="str">
        <f t="shared" si="17"/>
        <v>-</v>
      </c>
      <c r="CA25" s="143" t="str">
        <f t="shared" si="18"/>
        <v>-</v>
      </c>
      <c r="CB25" s="143" t="str">
        <f t="shared" si="19"/>
        <v>-</v>
      </c>
      <c r="CD25" s="112">
        <f t="shared" si="25"/>
        <v>993.74833821459652</v>
      </c>
      <c r="CE25" s="95" t="str">
        <f>IFERROR(SUMIFS('01. KE30'!$R:$R,'01. KE30'!$C:$C,'06. BC BH THEO CUSTOMER-USD'!$D25,'01. KE30'!$F:$F,'06. BC BH THEO CUSTOMER-USD'!$H25,'01. KE30'!$A:$A,'06. BC BH THEO CUSTOMER-USD'!CE$4)/CS25/'02. Tỷ giá'!B$5," -")</f>
        <v xml:space="preserve"> -</v>
      </c>
      <c r="CF25" s="95">
        <f>IFERROR(SUMIFS('01. KE30'!$R:$R,'01. KE30'!$C:$C,'06. BC BH THEO CUSTOMER-USD'!$D25,'01. KE30'!$F:$F,'06. BC BH THEO CUSTOMER-USD'!$H25,'01. KE30'!$A:$A,'06. BC BH THEO CUSTOMER-USD'!CF$4)/CT25/'02. Tỷ giá'!C$5," -")</f>
        <v>989.75531526370435</v>
      </c>
      <c r="CG25" s="95" t="str">
        <f>IFERROR(SUMIFS('01. KE30'!$R:$R,'01. KE30'!$C:$C,'06. BC BH THEO CUSTOMER-USD'!$D25,'01. KE30'!$F:$F,'06. BC BH THEO CUSTOMER-USD'!$H25,'01. KE30'!$A:$A,'06. BC BH THEO CUSTOMER-USD'!CG$4)/CU25/'02. Tỷ giá'!D$5," -")</f>
        <v xml:space="preserve"> -</v>
      </c>
      <c r="CH25" s="95">
        <f>IFERROR(SUMIFS('01. KE30'!$R:$R,'01. KE30'!$C:$C,'06. BC BH THEO CUSTOMER-USD'!$D25,'01. KE30'!$F:$F,'06. BC BH THEO CUSTOMER-USD'!$H25,'01. KE30'!$A:$A,'06. BC BH THEO CUSTOMER-USD'!CH$4)/CV25/'02. Tỷ giá'!E$5," -")</f>
        <v>973.57141977263927</v>
      </c>
      <c r="CI25" s="95" t="str">
        <f>IFERROR(SUMIFS('01. KE30'!$R:$R,'01. KE30'!$C:$C,'06. BC BH THEO CUSTOMER-USD'!$D25,'01. KE30'!$F:$F,'06. BC BH THEO CUSTOMER-USD'!$H25,'01. KE30'!$A:$A,'06. BC BH THEO CUSTOMER-USD'!CI$4)/CW25/'02. Tỷ giá'!F$5," -")</f>
        <v xml:space="preserve"> -</v>
      </c>
      <c r="CJ25" s="95" t="str">
        <f>IFERROR(SUMIFS('01. KE30'!$R:$R,'01. KE30'!$C:$C,'06. BC BH THEO CUSTOMER-USD'!$D25,'01. KE30'!$F:$F,'06. BC BH THEO CUSTOMER-USD'!$H25,'01. KE30'!$A:$A,'06. BC BH THEO CUSTOMER-USD'!CJ$4)/CX25/'02. Tỷ giá'!G$5," -")</f>
        <v xml:space="preserve"> -</v>
      </c>
      <c r="CK25" s="95">
        <f>IFERROR(SUMIFS('01. KE30'!$R:$R,'01. KE30'!$C:$C,'06. BC BH THEO CUSTOMER-USD'!$D25,'01. KE30'!$F:$F,'06. BC BH THEO CUSTOMER-USD'!$H25,'01. KE30'!$A:$A,'06. BC BH THEO CUSTOMER-USD'!CK$4)/CY25/'02. Tỷ giá'!H$5," -")</f>
        <v>1017.9182796074459</v>
      </c>
      <c r="CL25" s="95" t="str">
        <f>IFERROR(SUMIFS('01. KE30'!$R:$R,'01. KE30'!$C:$C,'06. BC BH THEO CUSTOMER-USD'!$D25,'01. KE30'!$F:$F,'06. BC BH THEO CUSTOMER-USD'!$H25,'01. KE30'!$A:$A,'06. BC BH THEO CUSTOMER-USD'!CL$4)/CZ25/'02. Tỷ giá'!I$5," -")</f>
        <v xml:space="preserve"> -</v>
      </c>
      <c r="CM25" s="95" t="str">
        <f>IFERROR(SUMIFS('01. KE30'!$R:$R,'01. KE30'!$C:$C,'06. BC BH THEO CUSTOMER-USD'!$D25,'01. KE30'!$F:$F,'06. BC BH THEO CUSTOMER-USD'!$H25,'01. KE30'!$A:$A,'06. BC BH THEO CUSTOMER-USD'!CM$4)/DA25/'02. Tỷ giá'!J$5," -")</f>
        <v xml:space="preserve"> -</v>
      </c>
      <c r="CN25" s="95" t="str">
        <f>IFERROR(SUMIFS('01. KE30'!$R:$R,'01. KE30'!$C:$C,'06. BC BH THEO CUSTOMER-USD'!$D25,'01. KE30'!$F:$F,'06. BC BH THEO CUSTOMER-USD'!$H25,'01. KE30'!$A:$A,'06. BC BH THEO CUSTOMER-USD'!CN$4)/DB25/'02. Tỷ giá'!K$5," -")</f>
        <v xml:space="preserve"> -</v>
      </c>
      <c r="CO25" s="95" t="str">
        <f>IFERROR(SUMIFS('01. KE30'!$R:$R,'01. KE30'!$C:$C,'06. BC BH THEO CUSTOMER-USD'!$D25,'01. KE30'!$F:$F,'06. BC BH THEO CUSTOMER-USD'!$H25,'01. KE30'!$A:$A,'06. BC BH THEO CUSTOMER-USD'!CO$4)/DC25/'02. Tỷ giá'!L$5," -")</f>
        <v xml:space="preserve"> -</v>
      </c>
      <c r="CP25" s="95" t="str">
        <f>IFERROR(SUMIFS('01. KE30'!$R:$R,'01. KE30'!$C:$C,'06. BC BH THEO CUSTOMER-USD'!$D25,'01. KE30'!$F:$F,'06. BC BH THEO CUSTOMER-USD'!$H25,'01. KE30'!$A:$A,'06. BC BH THEO CUSTOMER-USD'!CP$4)/DD25/'02. Tỷ giá'!M$5," -")</f>
        <v xml:space="preserve"> -</v>
      </c>
      <c r="CR25" s="112">
        <f t="shared" si="26"/>
        <v>176</v>
      </c>
      <c r="CS25" s="114">
        <f>SUMIFS('01. KE30'!$I:$I,'01. KE30'!$C:$C,'06. BC BH THEO CUSTOMER-USD'!$D25,'01. KE30'!$F:$F,'06. BC BH THEO CUSTOMER-USD'!$H25,'01. KE30'!$A:$A,'06. BC BH THEO CUSTOMER-USD'!CS$4)/1000</f>
        <v>0</v>
      </c>
      <c r="CT25" s="114">
        <f>SUMIFS('01. KE30'!$I:$I,'01. KE30'!$C:$C,'06. BC BH THEO CUSTOMER-USD'!$D25,'01. KE30'!$F:$F,'06. BC BH THEO CUSTOMER-USD'!$H25,'01. KE30'!$A:$A,'06. BC BH THEO CUSTOMER-USD'!CT$4)/1000</f>
        <v>110</v>
      </c>
      <c r="CU25" s="114">
        <f>SUMIFS('01. KE30'!$I:$I,'01. KE30'!$C:$C,'06. BC BH THEO CUSTOMER-USD'!$D25,'01. KE30'!$F:$F,'06. BC BH THEO CUSTOMER-USD'!$H25,'01. KE30'!$A:$A,'06. BC BH THEO CUSTOMER-USD'!CU$4)/1000</f>
        <v>0</v>
      </c>
      <c r="CV25" s="725">
        <f>SUMIFS('01. KE30'!$I:$I,'01. KE30'!$C:$C,'06. BC BH THEO CUSTOMER-USD'!$D25,'01. KE30'!$F:$F,'06. BC BH THEO CUSTOMER-USD'!$H25,'01. KE30'!$A:$A,'06. BC BH THEO CUSTOMER-USD'!CV$4)/1000</f>
        <v>22</v>
      </c>
      <c r="CW25" s="114">
        <f>SUMIFS('01. KE30'!$I:$I,'01. KE30'!$C:$C,'06. BC BH THEO CUSTOMER-USD'!$D25,'01. KE30'!$F:$F,'06. BC BH THEO CUSTOMER-USD'!$H25,'01. KE30'!$A:$A,'06. BC BH THEO CUSTOMER-USD'!CW$4)/1000</f>
        <v>0</v>
      </c>
      <c r="CX25" s="114">
        <f>SUMIFS('01. KE30'!$I:$I,'01. KE30'!$C:$C,'06. BC BH THEO CUSTOMER-USD'!$D25,'01. KE30'!$F:$F,'06. BC BH THEO CUSTOMER-USD'!$H25,'01. KE30'!$A:$A,'06. BC BH THEO CUSTOMER-USD'!CX$4)/1000</f>
        <v>0</v>
      </c>
      <c r="CY25" s="114">
        <f>SUMIFS('01. KE30'!$I:$I,'01. KE30'!$C:$C,'06. BC BH THEO CUSTOMER-USD'!$D25,'01. KE30'!$F:$F,'06. BC BH THEO CUSTOMER-USD'!$H25,'01. KE30'!$A:$A,'06. BC BH THEO CUSTOMER-USD'!CY$4)/1000</f>
        <v>44</v>
      </c>
      <c r="CZ25" s="114">
        <f>SUMIFS('01. KE30'!$I:$I,'01. KE30'!$C:$C,'06. BC BH THEO CUSTOMER-USD'!$D25,'01. KE30'!$F:$F,'06. BC BH THEO CUSTOMER-USD'!$H25,'01. KE30'!$A:$A,'06. BC BH THEO CUSTOMER-USD'!CZ$4)/1000</f>
        <v>0</v>
      </c>
      <c r="DA25" s="114">
        <f>SUMIFS('01. KE30'!$I:$I,'01. KE30'!$C:$C,'06. BC BH THEO CUSTOMER-USD'!$D25,'01. KE30'!$F:$F,'06. BC BH THEO CUSTOMER-USD'!$H25,'01. KE30'!$A:$A,'06. BC BH THEO CUSTOMER-USD'!DA$4)/1000</f>
        <v>0</v>
      </c>
      <c r="DB25" s="114">
        <f>SUMIFS('01. KE30'!$I:$I,'01. KE30'!$C:$C,'06. BC BH THEO CUSTOMER-USD'!$D25,'01. KE30'!$F:$F,'06. BC BH THEO CUSTOMER-USD'!$H25,'01. KE30'!$A:$A,'06. BC BH THEO CUSTOMER-USD'!DB$4)/1000</f>
        <v>0</v>
      </c>
      <c r="DC25" s="114">
        <f>SUMIFS('01. KE30'!$I:$I,'01. KE30'!$C:$C,'06. BC BH THEO CUSTOMER-USD'!$D25,'01. KE30'!$F:$F,'06. BC BH THEO CUSTOMER-USD'!$H25,'01. KE30'!$A:$A,'06. BC BH THEO CUSTOMER-USD'!DC$4)/1000</f>
        <v>0</v>
      </c>
      <c r="DD25" s="114">
        <f>SUMIFS('01. KE30'!$I:$I,'01. KE30'!$C:$C,'06. BC BH THEO CUSTOMER-USD'!$D25,'01. KE30'!$F:$F,'06. BC BH THEO CUSTOMER-USD'!$H25,'01. KE30'!$A:$A,'06. BC BH THEO CUSTOMER-USD'!DD$4)/1000</f>
        <v>0</v>
      </c>
      <c r="DF25" s="112">
        <f t="shared" si="73"/>
        <v>237521.70635913964</v>
      </c>
      <c r="DG25" s="54" t="str">
        <f t="shared" si="48"/>
        <v>-</v>
      </c>
      <c r="DH25" s="54">
        <f t="shared" si="49"/>
        <v>149010.791650256</v>
      </c>
      <c r="DI25" s="54" t="str">
        <f t="shared" si="50"/>
        <v>-</v>
      </c>
      <c r="DJ25" s="54">
        <f t="shared" si="51"/>
        <v>27907.549361207901</v>
      </c>
      <c r="DK25" s="54" t="str">
        <f t="shared" si="52"/>
        <v>-</v>
      </c>
      <c r="DL25" s="54" t="str">
        <f t="shared" si="53"/>
        <v>-</v>
      </c>
      <c r="DM25" s="54">
        <f t="shared" si="54"/>
        <v>60603.365347675761</v>
      </c>
      <c r="DN25" s="54" t="str">
        <f t="shared" si="55"/>
        <v>-</v>
      </c>
      <c r="DO25" s="54" t="str">
        <f t="shared" si="56"/>
        <v>-</v>
      </c>
      <c r="DP25" s="54" t="str">
        <f t="shared" si="57"/>
        <v>-</v>
      </c>
      <c r="DQ25" s="54" t="str">
        <f t="shared" si="58"/>
        <v>-</v>
      </c>
      <c r="DR25" s="54" t="str">
        <f t="shared" si="59"/>
        <v>-</v>
      </c>
      <c r="DT25" s="112">
        <f t="shared" si="60"/>
        <v>46884.37370474574</v>
      </c>
      <c r="DU25" s="114">
        <f>IFERROR(SUMIFS('01. KE30'!$X:$X,'01. KE30'!$C:$C,'06. BC BH THEO CUSTOMER-USD'!$D25,'01. KE30'!$F:$F,'06. BC BH THEO CUSTOMER-USD'!$H25,'01. KE30'!$A:$A,'06. BC BH THEO CUSTOMER-USD'!DU$4)-SUMIFS('01. KE30'!$AA:$AA,'01. KE30'!$C:$C,'06. BC BH THEO CUSTOMER-USD'!$D25,'01. KE30'!$F:$F,'06. BC BH THEO CUSTOMER-USD'!$H25,'01. KE30'!$A:$A,'06. BC BH THEO CUSTOMER-USD'!DU$4),"-")</f>
        <v>0</v>
      </c>
      <c r="DV25" s="114">
        <f>IFERROR(SUMIFS('01. KE30'!$X:$X,'01. KE30'!$C:$C,'06. BC BH THEO CUSTOMER-USD'!$D25,'01. KE30'!$F:$F,'06. BC BH THEO CUSTOMER-USD'!$H25,'01. KE30'!$A:$A,'06. BC BH THEO CUSTOMER-USD'!DV$4)-SUMIFS('01. KE30'!$AA:$AA,'01. KE30'!$C:$C,'06. BC BH THEO CUSTOMER-USD'!$D25,'01. KE30'!$F:$F,'06. BC BH THEO CUSTOMER-USD'!$H25,'01. KE30'!$A:$A,'06. BC BH THEO CUSTOMER-USD'!DV$4),"-")</f>
        <v>30354.327688066158</v>
      </c>
      <c r="DW25" s="114">
        <f>IFERROR(SUMIFS('01. KE30'!$X:$X,'01. KE30'!$C:$C,'06. BC BH THEO CUSTOMER-USD'!$D25,'01. KE30'!$F:$F,'06. BC BH THEO CUSTOMER-USD'!$H25,'01. KE30'!$A:$A,'06. BC BH THEO CUSTOMER-USD'!DW$4)-SUMIFS('01. KE30'!$AA:$AA,'01. KE30'!$C:$C,'06. BC BH THEO CUSTOMER-USD'!$D25,'01. KE30'!$F:$F,'06. BC BH THEO CUSTOMER-USD'!$H25,'01. KE30'!$A:$A,'06. BC BH THEO CUSTOMER-USD'!DW$4),"-")</f>
        <v>0</v>
      </c>
      <c r="DX25" s="114">
        <f>IFERROR(SUMIFS('01. KE30'!$X:$X,'01. KE30'!$C:$C,'06. BC BH THEO CUSTOMER-USD'!$D25,'01. KE30'!$F:$F,'06. BC BH THEO CUSTOMER-USD'!$H25,'01. KE30'!$A:$A,'06. BC BH THEO CUSTOMER-USD'!DX$4)-SUMIFS('01. KE30'!$AA:$AA,'01. KE30'!$C:$C,'06. BC BH THEO CUSTOMER-USD'!$D25,'01. KE30'!$F:$F,'06. BC BH THEO CUSTOMER-USD'!$H25,'01. KE30'!$A:$A,'06. BC BH THEO CUSTOMER-USD'!DX$4),"-")</f>
        <v>6023.599070847853</v>
      </c>
      <c r="DY25" s="114">
        <f>IFERROR(SUMIFS('01. KE30'!$X:$X,'01. KE30'!$C:$C,'06. BC BH THEO CUSTOMER-USD'!$D25,'01. KE30'!$F:$F,'06. BC BH THEO CUSTOMER-USD'!$H25,'01. KE30'!$A:$A,'06. BC BH THEO CUSTOMER-USD'!DY$4)-SUMIFS('01. KE30'!$AA:$AA,'01. KE30'!$C:$C,'06. BC BH THEO CUSTOMER-USD'!$D25,'01. KE30'!$F:$F,'06. BC BH THEO CUSTOMER-USD'!$H25,'01. KE30'!$A:$A,'06. BC BH THEO CUSTOMER-USD'!DY$4),"-")</f>
        <v>0</v>
      </c>
      <c r="DZ25" s="114">
        <f>IFERROR(SUMIFS('01. KE30'!$X:$X,'01. KE30'!$C:$C,'06. BC BH THEO CUSTOMER-USD'!$D25,'01. KE30'!$F:$F,'06. BC BH THEO CUSTOMER-USD'!$H25,'01. KE30'!$A:$A,'06. BC BH THEO CUSTOMER-USD'!DZ$4)-SUMIFS('01. KE30'!$AA:$AA,'01. KE30'!$C:$C,'06. BC BH THEO CUSTOMER-USD'!$D25,'01. KE30'!$F:$F,'06. BC BH THEO CUSTOMER-USD'!$H25,'01. KE30'!$A:$A,'06. BC BH THEO CUSTOMER-USD'!DZ$4),"-")</f>
        <v>0</v>
      </c>
      <c r="EA25" s="114">
        <f>IFERROR(SUMIFS('01. KE30'!$X:$X,'01. KE30'!$C:$C,'06. BC BH THEO CUSTOMER-USD'!$D25,'01. KE30'!$F:$F,'06. BC BH THEO CUSTOMER-USD'!$H25,'01. KE30'!$A:$A,'06. BC BH THEO CUSTOMER-USD'!EA$4)-SUMIFS('01. KE30'!$AA:$AA,'01. KE30'!$C:$C,'06. BC BH THEO CUSTOMER-USD'!$D25,'01. KE30'!$F:$F,'06. BC BH THEO CUSTOMER-USD'!$H25,'01. KE30'!$A:$A,'06. BC BH THEO CUSTOMER-USD'!EA$4),"-")</f>
        <v>10506.446945831733</v>
      </c>
      <c r="EB25" s="114">
        <f>IFERROR(SUMIFS('01. KE30'!$X:$X,'01. KE30'!$C:$C,'06. BC BH THEO CUSTOMER-USD'!$D25,'01. KE30'!$F:$F,'06. BC BH THEO CUSTOMER-USD'!$H25,'01. KE30'!$A:$A,'06. BC BH THEO CUSTOMER-USD'!EB$4)-SUMIFS('01. KE30'!$AA:$AA,'01. KE30'!$C:$C,'06. BC BH THEO CUSTOMER-USD'!$D25,'01. KE30'!$F:$F,'06. BC BH THEO CUSTOMER-USD'!$H25,'01. KE30'!$A:$A,'06. BC BH THEO CUSTOMER-USD'!EB$4),"-")</f>
        <v>0</v>
      </c>
      <c r="EC25" s="114">
        <f>IFERROR(SUMIFS('01. KE30'!$X:$X,'01. KE30'!$C:$C,'06. BC BH THEO CUSTOMER-USD'!$D25,'01. KE30'!$F:$F,'06. BC BH THEO CUSTOMER-USD'!$H25,'01. KE30'!$A:$A,'06. BC BH THEO CUSTOMER-USD'!EC$4)-SUMIFS('01. KE30'!$AA:$AA,'01. KE30'!$C:$C,'06. BC BH THEO CUSTOMER-USD'!$D25,'01. KE30'!$F:$F,'06. BC BH THEO CUSTOMER-USD'!$H25,'01. KE30'!$A:$A,'06. BC BH THEO CUSTOMER-USD'!EC$4),"-")</f>
        <v>0</v>
      </c>
      <c r="ED25" s="114">
        <f>IFERROR(SUMIFS('01. KE30'!$X:$X,'01. KE30'!$C:$C,'06. BC BH THEO CUSTOMER-USD'!$D25,'01. KE30'!$F:$F,'06. BC BH THEO CUSTOMER-USD'!$H25,'01. KE30'!$A:$A,'06. BC BH THEO CUSTOMER-USD'!ED$4)-SUMIFS('01. KE30'!$AA:$AA,'01. KE30'!$C:$C,'06. BC BH THEO CUSTOMER-USD'!$D25,'01. KE30'!$F:$F,'06. BC BH THEO CUSTOMER-USD'!$H25,'01. KE30'!$A:$A,'06. BC BH THEO CUSTOMER-USD'!ED$4),"-")</f>
        <v>0</v>
      </c>
      <c r="EE25" s="114">
        <f>IFERROR(SUMIFS('01. KE30'!$X:$X,'01. KE30'!$C:$C,'06. BC BH THEO CUSTOMER-USD'!$D25,'01. KE30'!$F:$F,'06. BC BH THEO CUSTOMER-USD'!$H25,'01. KE30'!$A:$A,'06. BC BH THEO CUSTOMER-USD'!EE$4)-SUMIFS('01. KE30'!$AA:$AA,'01. KE30'!$C:$C,'06. BC BH THEO CUSTOMER-USD'!$D25,'01. KE30'!$F:$F,'06. BC BH THEO CUSTOMER-USD'!$H25,'01. KE30'!$A:$A,'06. BC BH THEO CUSTOMER-USD'!EE$4),"-")</f>
        <v>0</v>
      </c>
      <c r="EF25" s="114">
        <f>IFERROR(SUMIFS('01. KE30'!$X:$X,'01. KE30'!$C:$C,'06. BC BH THEO CUSTOMER-USD'!$D25,'01. KE30'!$F:$F,'06. BC BH THEO CUSTOMER-USD'!$H25,'01. KE30'!$A:$A,'06. BC BH THEO CUSTOMER-USD'!EF$4)-SUMIFS('01. KE30'!$AA:$AA,'01. KE30'!$C:$C,'06. BC BH THEO CUSTOMER-USD'!$D25,'01. KE30'!$F:$F,'06. BC BH THEO CUSTOMER-USD'!$H25,'01. KE30'!$A:$A,'06. BC BH THEO CUSTOMER-USD'!EF$4),"-")</f>
        <v>0</v>
      </c>
      <c r="EH25" s="571">
        <f t="shared" si="29"/>
        <v>0.19738984879914603</v>
      </c>
      <c r="EI25" s="572" t="str">
        <f t="shared" si="30"/>
        <v>-</v>
      </c>
      <c r="EJ25" s="572">
        <f t="shared" si="31"/>
        <v>0.2037055662338266</v>
      </c>
      <c r="EK25" s="572" t="str">
        <f t="shared" si="32"/>
        <v>-</v>
      </c>
      <c r="EL25" s="572">
        <f t="shared" si="33"/>
        <v>0.21584120457458678</v>
      </c>
      <c r="EM25" s="572" t="str">
        <f t="shared" si="34"/>
        <v>-</v>
      </c>
      <c r="EN25" s="572" t="str">
        <f t="shared" si="35"/>
        <v>-</v>
      </c>
      <c r="EO25" s="572">
        <f t="shared" si="36"/>
        <v>0.17336408441275897</v>
      </c>
      <c r="EP25" s="572" t="str">
        <f t="shared" si="37"/>
        <v>-</v>
      </c>
      <c r="EQ25" s="572" t="str">
        <f t="shared" si="38"/>
        <v>-</v>
      </c>
      <c r="ER25" s="572" t="str">
        <f t="shared" si="39"/>
        <v>-</v>
      </c>
      <c r="ES25" s="572" t="str">
        <f t="shared" si="40"/>
        <v>-</v>
      </c>
      <c r="ET25" s="572" t="str">
        <f t="shared" si="41"/>
        <v>-</v>
      </c>
    </row>
    <row r="26" spans="1:150" ht="15.5" hidden="1" outlineLevel="1" x14ac:dyDescent="0.35">
      <c r="A26" s="27">
        <f t="shared" si="63"/>
        <v>21</v>
      </c>
      <c r="B26" s="27" t="s">
        <v>283</v>
      </c>
      <c r="C26" s="442" t="s">
        <v>489</v>
      </c>
      <c r="D26" s="9" t="s">
        <v>138</v>
      </c>
      <c r="E26" s="12" t="s">
        <v>137</v>
      </c>
      <c r="F26" s="12" t="s">
        <v>250</v>
      </c>
      <c r="G26" s="12" t="str">
        <f>_xlfn.XLOOKUP(F26,'Quy đổi'!$G$5:$G$32,'Quy đổi'!$H$5:$H$32,0)</f>
        <v>Châu Âu</v>
      </c>
      <c r="H26" s="76" t="s">
        <v>100</v>
      </c>
      <c r="I26" s="7" t="s">
        <v>99</v>
      </c>
      <c r="J26" s="13" t="s">
        <v>26</v>
      </c>
      <c r="K26" s="11" t="s">
        <v>113</v>
      </c>
      <c r="L26" s="92">
        <f t="shared" si="42"/>
        <v>1265.1978609625669</v>
      </c>
      <c r="M26" s="106" t="str">
        <f>IFERROR(SUMIFS('01. KE30'!$K:$K,'01. KE30'!$C:$C,'06. BC BH THEO CUSTOMER-USD'!$D26,'01. KE30'!$F:$F,'06. BC BH THEO CUSTOMER-USD'!$H26,'01. KE30'!$A:$A,'06. BC BH THEO CUSTOMER-USD'!M$4)/'06. BC BH THEO CUSTOMER-USD'!CS26/'02. Tỷ giá'!B$5,"-")</f>
        <v>-</v>
      </c>
      <c r="N26" s="106" t="str">
        <f>IFERROR(SUMIFS('01. KE30'!$K:$K,'01. KE30'!$C:$C,'06. BC BH THEO CUSTOMER-USD'!$D26,'01. KE30'!$F:$F,'06. BC BH THEO CUSTOMER-USD'!$H26,'01. KE30'!$A:$A,'06. BC BH THEO CUSTOMER-USD'!N$4)/'06. BC BH THEO CUSTOMER-USD'!CT26/'02. Tỷ giá'!C$5,"-")</f>
        <v>-</v>
      </c>
      <c r="O26" s="106" t="str">
        <f>IFERROR(SUMIFS('01. KE30'!$K:$K,'01. KE30'!$C:$C,'06. BC BH THEO CUSTOMER-USD'!$D26,'01. KE30'!$F:$F,'06. BC BH THEO CUSTOMER-USD'!$H26,'01. KE30'!$A:$A,'06. BC BH THEO CUSTOMER-USD'!O$4)/'06. BC BH THEO CUSTOMER-USD'!CU26/'02. Tỷ giá'!D$5,"-")</f>
        <v>-</v>
      </c>
      <c r="P26" s="106" t="str">
        <f>IFERROR(SUMIFS('01. KE30'!$K:$K,'01. KE30'!$C:$C,'06. BC BH THEO CUSTOMER-USD'!$D26,'01. KE30'!$F:$F,'06. BC BH THEO CUSTOMER-USD'!$H26,'01. KE30'!$A:$A,'06. BC BH THEO CUSTOMER-USD'!P$4)/'06. BC BH THEO CUSTOMER-USD'!CV26/'02. Tỷ giá'!E$5,"-")</f>
        <v>-</v>
      </c>
      <c r="Q26" s="106" t="str">
        <f>IFERROR(SUMIFS('01. KE30'!$K:$K,'01. KE30'!$C:$C,'06. BC BH THEO CUSTOMER-USD'!$D26,'01. KE30'!$F:$F,'06. BC BH THEO CUSTOMER-USD'!$H26,'01. KE30'!$A:$A,'06. BC BH THEO CUSTOMER-USD'!Q$4)/'06. BC BH THEO CUSTOMER-USD'!CW26/'02. Tỷ giá'!F$5,"-")</f>
        <v>-</v>
      </c>
      <c r="R26" s="106" t="str">
        <f>IFERROR(SUMIFS('01. KE30'!$K:$K,'01. KE30'!$C:$C,'06. BC BH THEO CUSTOMER-USD'!$D26,'01. KE30'!$F:$F,'06. BC BH THEO CUSTOMER-USD'!$H26,'01. KE30'!$A:$A,'06. BC BH THEO CUSTOMER-USD'!R$4)/'06. BC BH THEO CUSTOMER-USD'!CX26/'02. Tỷ giá'!G$5,"-")</f>
        <v>-</v>
      </c>
      <c r="S26" s="106" t="str">
        <f>IFERROR(SUMIFS('01. KE30'!$K:$K,'01. KE30'!$C:$C,'06. BC BH THEO CUSTOMER-USD'!$D26,'01. KE30'!$F:$F,'06. BC BH THEO CUSTOMER-USD'!$H26,'01. KE30'!$A:$A,'06. BC BH THEO CUSTOMER-USD'!S$4)/'06. BC BH THEO CUSTOMER-USD'!CY26/'02. Tỷ giá'!H$5,"-")</f>
        <v>-</v>
      </c>
      <c r="T26" s="106">
        <f>IFERROR(SUMIFS('01. KE30'!$K:$K,'01. KE30'!$C:$C,'06. BC BH THEO CUSTOMER-USD'!$D26,'01. KE30'!$F:$F,'06. BC BH THEO CUSTOMER-USD'!$H26,'01. KE30'!$A:$A,'06. BC BH THEO CUSTOMER-USD'!T$4)/'06. BC BH THEO CUSTOMER-USD'!CZ26/'02. Tỷ giá'!I$5,"-")</f>
        <v>1265.1978609625669</v>
      </c>
      <c r="U26" s="106" t="str">
        <f>IFERROR(SUMIFS('01. KE30'!$K:$K,'01. KE30'!$C:$C,'06. BC BH THEO CUSTOMER-USD'!$D26,'01. KE30'!$F:$F,'06. BC BH THEO CUSTOMER-USD'!$H26,'01. KE30'!$A:$A,'06. BC BH THEO CUSTOMER-USD'!U$4)/'06. BC BH THEO CUSTOMER-USD'!DA26/'02. Tỷ giá'!J$5,"-")</f>
        <v>-</v>
      </c>
      <c r="V26" s="106" t="str">
        <f>IFERROR(SUMIFS('01. KE30'!$K:$K,'01. KE30'!$C:$C,'06. BC BH THEO CUSTOMER-USD'!$D26,'01. KE30'!$F:$F,'06. BC BH THEO CUSTOMER-USD'!$H26,'01. KE30'!$A:$A,'06. BC BH THEO CUSTOMER-USD'!V$4)/'06. BC BH THEO CUSTOMER-USD'!DB26/'02. Tỷ giá'!K$5,"-")</f>
        <v>-</v>
      </c>
      <c r="W26" s="106" t="str">
        <f>IFERROR(SUMIFS('01. KE30'!$K:$K,'01. KE30'!$C:$C,'06. BC BH THEO CUSTOMER-USD'!$D26,'01. KE30'!$F:$F,'06. BC BH THEO CUSTOMER-USD'!$H26,'01. KE30'!$A:$A,'06. BC BH THEO CUSTOMER-USD'!W$4)/'06. BC BH THEO CUSTOMER-USD'!DC26/'02. Tỷ giá'!L$5,"-")</f>
        <v>-</v>
      </c>
      <c r="X26" s="106" t="str">
        <f>IFERROR(SUMIFS('01. KE30'!$K:$K,'01. KE30'!$C:$C,'06. BC BH THEO CUSTOMER-USD'!$D26,'01. KE30'!$F:$F,'06. BC BH THEO CUSTOMER-USD'!$H26,'01. KE30'!$A:$A,'06. BC BH THEO CUSTOMER-USD'!X$4)/'06. BC BH THEO CUSTOMER-USD'!DD26/'02. Tỷ giá'!M$5,"-")</f>
        <v>-</v>
      </c>
      <c r="Z26" s="92">
        <f t="shared" si="43"/>
        <v>1237.8782016112229</v>
      </c>
      <c r="AA26" s="147" t="str">
        <f>IFERROR(SUMIFS('01. KE30'!$O:$O,'01. KE30'!$C:$C,'06. BC BH THEO CUSTOMER-USD'!$D26,'01. KE30'!$F:$F,'06. BC BH THEO CUSTOMER-USD'!$H26,'01. KE30'!$A:$A,'06. BC BH THEO CUSTOMER-USD'!M$4)/'06. BC BH THEO CUSTOMER-USD'!CS26/'02. Tỷ giá'!B$5,"-")</f>
        <v>-</v>
      </c>
      <c r="AB26" s="147" t="str">
        <f>IFERROR(SUMIFS('01. KE30'!$O:$O,'01. KE30'!$C:$C,'06. BC BH THEO CUSTOMER-USD'!$D26,'01. KE30'!$F:$F,'06. BC BH THEO CUSTOMER-USD'!$H26,'01. KE30'!$A:$A,'06. BC BH THEO CUSTOMER-USD'!N$4)/'06. BC BH THEO CUSTOMER-USD'!CT26/'02. Tỷ giá'!C$5,"-")</f>
        <v>-</v>
      </c>
      <c r="AC26" s="147" t="str">
        <f>IFERROR(SUMIFS('01. KE30'!$O:$O,'01. KE30'!$C:$C,'06. BC BH THEO CUSTOMER-USD'!$D26,'01. KE30'!$F:$F,'06. BC BH THEO CUSTOMER-USD'!$H26,'01. KE30'!$A:$A,'06. BC BH THEO CUSTOMER-USD'!O$4)/'06. BC BH THEO CUSTOMER-USD'!CU26/'02. Tỷ giá'!D$5,"-")</f>
        <v>-</v>
      </c>
      <c r="AD26" s="147" t="str">
        <f>IFERROR(SUMIFS('01. KE30'!$O:$O,'01. KE30'!$C:$C,'06. BC BH THEO CUSTOMER-USD'!$D26,'01. KE30'!$F:$F,'06. BC BH THEO CUSTOMER-USD'!$H26,'01. KE30'!$A:$A,'06. BC BH THEO CUSTOMER-USD'!P$4)/'06. BC BH THEO CUSTOMER-USD'!CV26/'02. Tỷ giá'!E$5,"-")</f>
        <v>-</v>
      </c>
      <c r="AE26" s="147" t="str">
        <f>IFERROR(SUMIFS('01. KE30'!$O:$O,'01. KE30'!$C:$C,'06. BC BH THEO CUSTOMER-USD'!$D26,'01. KE30'!$F:$F,'06. BC BH THEO CUSTOMER-USD'!$H26,'01. KE30'!$A:$A,'06. BC BH THEO CUSTOMER-USD'!Q$4)/'06. BC BH THEO CUSTOMER-USD'!CW26/'02. Tỷ giá'!F$5,"-")</f>
        <v>-</v>
      </c>
      <c r="AF26" s="147" t="str">
        <f>IFERROR(SUMIFS('01. KE30'!$O:$O,'01. KE30'!$C:$C,'06. BC BH THEO CUSTOMER-USD'!$D26,'01. KE30'!$F:$F,'06. BC BH THEO CUSTOMER-USD'!$H26,'01. KE30'!$A:$A,'06. BC BH THEO CUSTOMER-USD'!R$4)/'06. BC BH THEO CUSTOMER-USD'!CX26/'02. Tỷ giá'!G$5,"-")</f>
        <v>-</v>
      </c>
      <c r="AG26" s="147" t="str">
        <f>IFERROR(SUMIFS('01. KE30'!$O:$O,'01. KE30'!$C:$C,'06. BC BH THEO CUSTOMER-USD'!$D26,'01. KE30'!$F:$F,'06. BC BH THEO CUSTOMER-USD'!$H26,'01. KE30'!$A:$A,'06. BC BH THEO CUSTOMER-USD'!S$4)/'06. BC BH THEO CUSTOMER-USD'!CY26/'02. Tỷ giá'!H$5,"-")</f>
        <v>-</v>
      </c>
      <c r="AH26" s="147">
        <f>IFERROR(SUMIFS('01. KE30'!$O:$O,'01. KE30'!$C:$C,'06. BC BH THEO CUSTOMER-USD'!$D26,'01. KE30'!$F:$F,'06. BC BH THEO CUSTOMER-USD'!$H26,'01. KE30'!$A:$A,'06. BC BH THEO CUSTOMER-USD'!T$4)/'06. BC BH THEO CUSTOMER-USD'!CZ26/'02. Tỷ giá'!I$5,"-")</f>
        <v>1237.8782016112229</v>
      </c>
      <c r="AI26" s="147" t="str">
        <f>IFERROR(SUMIFS('01. KE30'!$O:$O,'01. KE30'!$C:$C,'06. BC BH THEO CUSTOMER-USD'!$D26,'01. KE30'!$F:$F,'06. BC BH THEO CUSTOMER-USD'!$H26,'01. KE30'!$A:$A,'06. BC BH THEO CUSTOMER-USD'!U$4)/'06. BC BH THEO CUSTOMER-USD'!DA26/'02. Tỷ giá'!J$5,"-")</f>
        <v>-</v>
      </c>
      <c r="AJ26" s="147" t="str">
        <f>IFERROR(SUMIFS('01. KE30'!$O:$O,'01. KE30'!$C:$C,'06. BC BH THEO CUSTOMER-USD'!$D26,'01. KE30'!$F:$F,'06. BC BH THEO CUSTOMER-USD'!$H26,'01. KE30'!$A:$A,'06. BC BH THEO CUSTOMER-USD'!V$4)/'06. BC BH THEO CUSTOMER-USD'!DB26/'02. Tỷ giá'!K$5,"-")</f>
        <v>-</v>
      </c>
      <c r="AK26" s="147" t="str">
        <f>IFERROR(SUMIFS('01. KE30'!$O:$O,'01. KE30'!$C:$C,'06. BC BH THEO CUSTOMER-USD'!$D26,'01. KE30'!$F:$F,'06. BC BH THEO CUSTOMER-USD'!$H26,'01. KE30'!$A:$A,'06. BC BH THEO CUSTOMER-USD'!W$4)/'06. BC BH THEO CUSTOMER-USD'!DC26/'02. Tỷ giá'!L$5,"-")</f>
        <v>-</v>
      </c>
      <c r="AL26" s="147" t="str">
        <f>IFERROR(SUMIFS('01. KE30'!$O:$O,'01. KE30'!$C:$C,'06. BC BH THEO CUSTOMER-USD'!$D26,'01. KE30'!$F:$F,'06. BC BH THEO CUSTOMER-USD'!$H26,'01. KE30'!$A:$A,'06. BC BH THEO CUSTOMER-USD'!X$4)/'06. BC BH THEO CUSTOMER-USD'!DD26/'02. Tỷ giá'!M$5,"-")</f>
        <v>-</v>
      </c>
      <c r="AN26" s="92">
        <f t="shared" si="44"/>
        <v>1266.6666666666667</v>
      </c>
      <c r="AO26" s="25">
        <v>1260</v>
      </c>
      <c r="AP26" s="25">
        <v>1260</v>
      </c>
      <c r="AQ26" s="25">
        <v>1260</v>
      </c>
      <c r="AR26" s="4">
        <f t="shared" si="75"/>
        <v>1280</v>
      </c>
      <c r="AS26" s="4">
        <v>1280</v>
      </c>
      <c r="AT26" s="4">
        <v>1280</v>
      </c>
      <c r="AU26" s="4">
        <v>1280</v>
      </c>
      <c r="AV26" s="4">
        <f t="shared" si="66"/>
        <v>1250</v>
      </c>
      <c r="AW26" s="25">
        <v>1250</v>
      </c>
      <c r="AX26" s="25"/>
      <c r="AY26" s="4"/>
      <c r="AZ26" s="4"/>
      <c r="BB26" s="95">
        <f t="shared" si="45"/>
        <v>-28.788465055443794</v>
      </c>
      <c r="BC26" s="95" t="str">
        <f t="shared" si="46"/>
        <v>-</v>
      </c>
      <c r="BD26" s="95" t="str">
        <f t="shared" si="74"/>
        <v>-</v>
      </c>
      <c r="BE26" s="95" t="str">
        <f t="shared" si="74"/>
        <v>-</v>
      </c>
      <c r="BF26" s="95" t="str">
        <f t="shared" si="74"/>
        <v>-</v>
      </c>
      <c r="BG26" s="95" t="str">
        <f t="shared" si="74"/>
        <v>-</v>
      </c>
      <c r="BH26" s="95" t="str">
        <f t="shared" si="74"/>
        <v>-</v>
      </c>
      <c r="BI26" s="95" t="str">
        <f t="shared" si="74"/>
        <v>-</v>
      </c>
      <c r="BJ26" s="95">
        <f t="shared" si="74"/>
        <v>-12.121798388777052</v>
      </c>
      <c r="BK26" s="95" t="str">
        <f t="shared" si="74"/>
        <v>-</v>
      </c>
      <c r="BL26" s="95" t="str">
        <f t="shared" si="74"/>
        <v>-</v>
      </c>
      <c r="BM26" s="95" t="str">
        <f t="shared" si="74"/>
        <v>-</v>
      </c>
      <c r="BN26" s="95" t="str">
        <f t="shared" si="74"/>
        <v>-</v>
      </c>
      <c r="BP26" s="143">
        <f t="shared" si="47"/>
        <v>-2.2727735570087206E-2</v>
      </c>
      <c r="BQ26" s="143" t="str">
        <f t="shared" si="8"/>
        <v>-</v>
      </c>
      <c r="BR26" s="143" t="str">
        <f t="shared" si="9"/>
        <v>-</v>
      </c>
      <c r="BS26" s="143" t="str">
        <f t="shared" si="10"/>
        <v>-</v>
      </c>
      <c r="BT26" s="143" t="str">
        <f t="shared" si="11"/>
        <v>-</v>
      </c>
      <c r="BU26" s="143" t="str">
        <f t="shared" si="12"/>
        <v>-</v>
      </c>
      <c r="BV26" s="143" t="str">
        <f t="shared" si="13"/>
        <v>-</v>
      </c>
      <c r="BW26" s="143" t="str">
        <f t="shared" si="14"/>
        <v>-</v>
      </c>
      <c r="BX26" s="143">
        <f t="shared" si="15"/>
        <v>-9.6974387110216418E-3</v>
      </c>
      <c r="BY26" s="143" t="str">
        <f t="shared" si="16"/>
        <v>-</v>
      </c>
      <c r="BZ26" s="143" t="str">
        <f t="shared" si="17"/>
        <v>-</v>
      </c>
      <c r="CA26" s="143" t="str">
        <f t="shared" si="18"/>
        <v>-</v>
      </c>
      <c r="CB26" s="143" t="str">
        <f t="shared" si="19"/>
        <v>-</v>
      </c>
      <c r="CD26" s="112">
        <f t="shared" si="25"/>
        <v>1006.6354573234253</v>
      </c>
      <c r="CE26" s="95" t="str">
        <f>IFERROR(SUMIFS('01. KE30'!$R:$R,'01. KE30'!$C:$C,'06. BC BH THEO CUSTOMER-USD'!$D26,'01. KE30'!$F:$F,'06. BC BH THEO CUSTOMER-USD'!$H26,'01. KE30'!$A:$A,'06. BC BH THEO CUSTOMER-USD'!CE$4)/CS26/'02. Tỷ giá'!B$5," -")</f>
        <v xml:space="preserve"> -</v>
      </c>
      <c r="CF26" s="95" t="str">
        <f>IFERROR(SUMIFS('01. KE30'!$R:$R,'01. KE30'!$C:$C,'06. BC BH THEO CUSTOMER-USD'!$D26,'01. KE30'!$F:$F,'06. BC BH THEO CUSTOMER-USD'!$H26,'01. KE30'!$A:$A,'06. BC BH THEO CUSTOMER-USD'!CF$4)/CT26/'02. Tỷ giá'!C$5," -")</f>
        <v xml:space="preserve"> -</v>
      </c>
      <c r="CG26" s="95" t="str">
        <f>IFERROR(SUMIFS('01. KE30'!$R:$R,'01. KE30'!$C:$C,'06. BC BH THEO CUSTOMER-USD'!$D26,'01. KE30'!$F:$F,'06. BC BH THEO CUSTOMER-USD'!$H26,'01. KE30'!$A:$A,'06. BC BH THEO CUSTOMER-USD'!CG$4)/CU26/'02. Tỷ giá'!D$5," -")</f>
        <v xml:space="preserve"> -</v>
      </c>
      <c r="CH26" s="95" t="str">
        <f>IFERROR(SUMIFS('01. KE30'!$R:$R,'01. KE30'!$C:$C,'06. BC BH THEO CUSTOMER-USD'!$D26,'01. KE30'!$F:$F,'06. BC BH THEO CUSTOMER-USD'!$H26,'01. KE30'!$A:$A,'06. BC BH THEO CUSTOMER-USD'!CH$4)/CV26/'02. Tỷ giá'!E$5," -")</f>
        <v xml:space="preserve"> -</v>
      </c>
      <c r="CI26" s="95" t="str">
        <f>IFERROR(SUMIFS('01. KE30'!$R:$R,'01. KE30'!$C:$C,'06. BC BH THEO CUSTOMER-USD'!$D26,'01. KE30'!$F:$F,'06. BC BH THEO CUSTOMER-USD'!$H26,'01. KE30'!$A:$A,'06. BC BH THEO CUSTOMER-USD'!CI$4)/CW26/'02. Tỷ giá'!F$5," -")</f>
        <v xml:space="preserve"> -</v>
      </c>
      <c r="CJ26" s="95" t="str">
        <f>IFERROR(SUMIFS('01. KE30'!$R:$R,'01. KE30'!$C:$C,'06. BC BH THEO CUSTOMER-USD'!$D26,'01. KE30'!$F:$F,'06. BC BH THEO CUSTOMER-USD'!$H26,'01. KE30'!$A:$A,'06. BC BH THEO CUSTOMER-USD'!CJ$4)/CX26/'02. Tỷ giá'!G$5," -")</f>
        <v xml:space="preserve"> -</v>
      </c>
      <c r="CK26" s="95" t="str">
        <f>IFERROR(SUMIFS('01. KE30'!$R:$R,'01. KE30'!$C:$C,'06. BC BH THEO CUSTOMER-USD'!$D26,'01. KE30'!$F:$F,'06. BC BH THEO CUSTOMER-USD'!$H26,'01. KE30'!$A:$A,'06. BC BH THEO CUSTOMER-USD'!CK$4)/CY26/'02. Tỷ giá'!H$5," -")</f>
        <v xml:space="preserve"> -</v>
      </c>
      <c r="CL26" s="95">
        <f>IFERROR(SUMIFS('01. KE30'!$R:$R,'01. KE30'!$C:$C,'06. BC BH THEO CUSTOMER-USD'!$D26,'01. KE30'!$F:$F,'06. BC BH THEO CUSTOMER-USD'!$H26,'01. KE30'!$A:$A,'06. BC BH THEO CUSTOMER-USD'!CL$4)/CZ26/'02. Tỷ giá'!I$5," -")</f>
        <v>1006.6354573234253</v>
      </c>
      <c r="CM26" s="95" t="str">
        <f>IFERROR(SUMIFS('01. KE30'!$R:$R,'01. KE30'!$C:$C,'06. BC BH THEO CUSTOMER-USD'!$D26,'01. KE30'!$F:$F,'06. BC BH THEO CUSTOMER-USD'!$H26,'01. KE30'!$A:$A,'06. BC BH THEO CUSTOMER-USD'!CM$4)/DA26/'02. Tỷ giá'!J$5," -")</f>
        <v xml:space="preserve"> -</v>
      </c>
      <c r="CN26" s="95" t="str">
        <f>IFERROR(SUMIFS('01. KE30'!$R:$R,'01. KE30'!$C:$C,'06. BC BH THEO CUSTOMER-USD'!$D26,'01. KE30'!$F:$F,'06. BC BH THEO CUSTOMER-USD'!$H26,'01. KE30'!$A:$A,'06. BC BH THEO CUSTOMER-USD'!CN$4)/DB26/'02. Tỷ giá'!K$5," -")</f>
        <v xml:space="preserve"> -</v>
      </c>
      <c r="CO26" s="95" t="str">
        <f>IFERROR(SUMIFS('01. KE30'!$R:$R,'01. KE30'!$C:$C,'06. BC BH THEO CUSTOMER-USD'!$D26,'01. KE30'!$F:$F,'06. BC BH THEO CUSTOMER-USD'!$H26,'01. KE30'!$A:$A,'06. BC BH THEO CUSTOMER-USD'!CO$4)/DC26/'02. Tỷ giá'!L$5," -")</f>
        <v xml:space="preserve"> -</v>
      </c>
      <c r="CP26" s="95" t="str">
        <f>IFERROR(SUMIFS('01. KE30'!$R:$R,'01. KE30'!$C:$C,'06. BC BH THEO CUSTOMER-USD'!$D26,'01. KE30'!$F:$F,'06. BC BH THEO CUSTOMER-USD'!$H26,'01. KE30'!$A:$A,'06. BC BH THEO CUSTOMER-USD'!CP$4)/DD26/'02. Tỷ giá'!M$5," -")</f>
        <v xml:space="preserve"> -</v>
      </c>
      <c r="CR26" s="112">
        <f t="shared" si="26"/>
        <v>22</v>
      </c>
      <c r="CS26" s="114">
        <f>SUMIFS('01. KE30'!$I:$I,'01. KE30'!$C:$C,'06. BC BH THEO CUSTOMER-USD'!$D26,'01. KE30'!$F:$F,'06. BC BH THEO CUSTOMER-USD'!$H26,'01. KE30'!$A:$A,'06. BC BH THEO CUSTOMER-USD'!CS$4)/1000</f>
        <v>0</v>
      </c>
      <c r="CT26" s="114">
        <f>SUMIFS('01. KE30'!$I:$I,'01. KE30'!$C:$C,'06. BC BH THEO CUSTOMER-USD'!$D26,'01. KE30'!$F:$F,'06. BC BH THEO CUSTOMER-USD'!$H26,'01. KE30'!$A:$A,'06. BC BH THEO CUSTOMER-USD'!CT$4)/1000</f>
        <v>0</v>
      </c>
      <c r="CU26" s="114">
        <f>SUMIFS('01. KE30'!$I:$I,'01. KE30'!$C:$C,'06. BC BH THEO CUSTOMER-USD'!$D26,'01. KE30'!$F:$F,'06. BC BH THEO CUSTOMER-USD'!$H26,'01. KE30'!$A:$A,'06. BC BH THEO CUSTOMER-USD'!CU$4)/1000</f>
        <v>0</v>
      </c>
      <c r="CV26" s="114">
        <f>SUMIFS('01. KE30'!$I:$I,'01. KE30'!$C:$C,'06. BC BH THEO CUSTOMER-USD'!$D26,'01. KE30'!$F:$F,'06. BC BH THEO CUSTOMER-USD'!$H26,'01. KE30'!$A:$A,'06. BC BH THEO CUSTOMER-USD'!CV$4)/1000</f>
        <v>0</v>
      </c>
      <c r="CW26" s="114">
        <f>SUMIFS('01. KE30'!$I:$I,'01. KE30'!$C:$C,'06. BC BH THEO CUSTOMER-USD'!$D26,'01. KE30'!$F:$F,'06. BC BH THEO CUSTOMER-USD'!$H26,'01. KE30'!$A:$A,'06. BC BH THEO CUSTOMER-USD'!CW$4)/1000</f>
        <v>0</v>
      </c>
      <c r="CX26" s="114">
        <f>SUMIFS('01. KE30'!$I:$I,'01. KE30'!$C:$C,'06. BC BH THEO CUSTOMER-USD'!$D26,'01. KE30'!$F:$F,'06. BC BH THEO CUSTOMER-USD'!$H26,'01. KE30'!$A:$A,'06. BC BH THEO CUSTOMER-USD'!CX$4)/1000</f>
        <v>0</v>
      </c>
      <c r="CY26" s="114">
        <f>SUMIFS('01. KE30'!$I:$I,'01. KE30'!$C:$C,'06. BC BH THEO CUSTOMER-USD'!$D26,'01. KE30'!$F:$F,'06. BC BH THEO CUSTOMER-USD'!$H26,'01. KE30'!$A:$A,'06. BC BH THEO CUSTOMER-USD'!CY$4)/1000</f>
        <v>0</v>
      </c>
      <c r="CZ26" s="114">
        <f>SUMIFS('01. KE30'!$I:$I,'01. KE30'!$C:$C,'06. BC BH THEO CUSTOMER-USD'!$D26,'01. KE30'!$F:$F,'06. BC BH THEO CUSTOMER-USD'!$H26,'01. KE30'!$A:$A,'06. BC BH THEO CUSTOMER-USD'!CZ$4)/1000</f>
        <v>22</v>
      </c>
      <c r="DA26" s="114">
        <f>SUMIFS('01. KE30'!$I:$I,'01. KE30'!$C:$C,'06. BC BH THEO CUSTOMER-USD'!$D26,'01. KE30'!$F:$F,'06. BC BH THEO CUSTOMER-USD'!$H26,'01. KE30'!$A:$A,'06. BC BH THEO CUSTOMER-USD'!DA$4)/1000</f>
        <v>0</v>
      </c>
      <c r="DB26" s="114">
        <f>SUMIFS('01. KE30'!$I:$I,'01. KE30'!$C:$C,'06. BC BH THEO CUSTOMER-USD'!$D26,'01. KE30'!$F:$F,'06. BC BH THEO CUSTOMER-USD'!$H26,'01. KE30'!$A:$A,'06. BC BH THEO CUSTOMER-USD'!DB$4)/1000</f>
        <v>0</v>
      </c>
      <c r="DC26" s="114">
        <f>SUMIFS('01. KE30'!$I:$I,'01. KE30'!$C:$C,'06. BC BH THEO CUSTOMER-USD'!$D26,'01. KE30'!$F:$F,'06. BC BH THEO CUSTOMER-USD'!$H26,'01. KE30'!$A:$A,'06. BC BH THEO CUSTOMER-USD'!DC$4)/1000</f>
        <v>0</v>
      </c>
      <c r="DD26" s="114">
        <f>SUMIFS('01. KE30'!$I:$I,'01. KE30'!$C:$C,'06. BC BH THEO CUSTOMER-USD'!$D26,'01. KE30'!$F:$F,'06. BC BH THEO CUSTOMER-USD'!$H26,'01. KE30'!$A:$A,'06. BC BH THEO CUSTOMER-USD'!DD$4)/1000</f>
        <v>0</v>
      </c>
      <c r="DF26" s="112">
        <f t="shared" si="73"/>
        <v>27834.352941176472</v>
      </c>
      <c r="DG26" s="54" t="str">
        <f t="shared" si="48"/>
        <v>-</v>
      </c>
      <c r="DH26" s="54" t="str">
        <f t="shared" si="49"/>
        <v>-</v>
      </c>
      <c r="DI26" s="54" t="str">
        <f t="shared" si="50"/>
        <v>-</v>
      </c>
      <c r="DJ26" s="54" t="str">
        <f t="shared" si="51"/>
        <v>-</v>
      </c>
      <c r="DK26" s="54" t="str">
        <f t="shared" si="52"/>
        <v>-</v>
      </c>
      <c r="DL26" s="54" t="str">
        <f t="shared" si="53"/>
        <v>-</v>
      </c>
      <c r="DM26" s="54" t="str">
        <f t="shared" si="54"/>
        <v>-</v>
      </c>
      <c r="DN26" s="54">
        <f t="shared" si="55"/>
        <v>27834.352941176472</v>
      </c>
      <c r="DO26" s="54" t="str">
        <f t="shared" si="56"/>
        <v>-</v>
      </c>
      <c r="DP26" s="54" t="str">
        <f t="shared" si="57"/>
        <v>-</v>
      </c>
      <c r="DQ26" s="54" t="str">
        <f t="shared" si="58"/>
        <v>-</v>
      </c>
      <c r="DR26" s="54" t="str">
        <f t="shared" si="59"/>
        <v>-</v>
      </c>
      <c r="DT26" s="112">
        <f t="shared" si="60"/>
        <v>5087.3403743315503</v>
      </c>
      <c r="DU26" s="114">
        <f>IFERROR(SUMIFS('01. KE30'!$X:$X,'01. KE30'!$C:$C,'06. BC BH THEO CUSTOMER-USD'!$D26,'01. KE30'!$F:$F,'06. BC BH THEO CUSTOMER-USD'!$H26,'01. KE30'!$A:$A,'06. BC BH THEO CUSTOMER-USD'!DU$4)-SUMIFS('01. KE30'!$AA:$AA,'01. KE30'!$C:$C,'06. BC BH THEO CUSTOMER-USD'!$D26,'01. KE30'!$F:$F,'06. BC BH THEO CUSTOMER-USD'!$H26,'01. KE30'!$A:$A,'06. BC BH THEO CUSTOMER-USD'!DU$4),"-")</f>
        <v>0</v>
      </c>
      <c r="DV26" s="114">
        <f>IFERROR(SUMIFS('01. KE30'!$X:$X,'01. KE30'!$C:$C,'06. BC BH THEO CUSTOMER-USD'!$D26,'01. KE30'!$F:$F,'06. BC BH THEO CUSTOMER-USD'!$H26,'01. KE30'!$A:$A,'06. BC BH THEO CUSTOMER-USD'!DV$4)-SUMIFS('01. KE30'!$AA:$AA,'01. KE30'!$C:$C,'06. BC BH THEO CUSTOMER-USD'!$D26,'01. KE30'!$F:$F,'06. BC BH THEO CUSTOMER-USD'!$H26,'01. KE30'!$A:$A,'06. BC BH THEO CUSTOMER-USD'!DV$4),"-")</f>
        <v>0</v>
      </c>
      <c r="DW26" s="114">
        <f>IFERROR(SUMIFS('01. KE30'!$X:$X,'01. KE30'!$C:$C,'06. BC BH THEO CUSTOMER-USD'!$D26,'01. KE30'!$F:$F,'06. BC BH THEO CUSTOMER-USD'!$H26,'01. KE30'!$A:$A,'06. BC BH THEO CUSTOMER-USD'!DW$4)-SUMIFS('01. KE30'!$AA:$AA,'01. KE30'!$C:$C,'06. BC BH THEO CUSTOMER-USD'!$D26,'01. KE30'!$F:$F,'06. BC BH THEO CUSTOMER-USD'!$H26,'01. KE30'!$A:$A,'06. BC BH THEO CUSTOMER-USD'!DW$4),"-")</f>
        <v>0</v>
      </c>
      <c r="DX26" s="114">
        <f>IFERROR(SUMIFS('01. KE30'!$X:$X,'01. KE30'!$C:$C,'06. BC BH THEO CUSTOMER-USD'!$D26,'01. KE30'!$F:$F,'06. BC BH THEO CUSTOMER-USD'!$H26,'01. KE30'!$A:$A,'06. BC BH THEO CUSTOMER-USD'!DX$4)-SUMIFS('01. KE30'!$AA:$AA,'01. KE30'!$C:$C,'06. BC BH THEO CUSTOMER-USD'!$D26,'01. KE30'!$F:$F,'06. BC BH THEO CUSTOMER-USD'!$H26,'01. KE30'!$A:$A,'06. BC BH THEO CUSTOMER-USD'!DX$4),"-")</f>
        <v>0</v>
      </c>
      <c r="DY26" s="114">
        <f>IFERROR(SUMIFS('01. KE30'!$X:$X,'01. KE30'!$C:$C,'06. BC BH THEO CUSTOMER-USD'!$D26,'01. KE30'!$F:$F,'06. BC BH THEO CUSTOMER-USD'!$H26,'01. KE30'!$A:$A,'06. BC BH THEO CUSTOMER-USD'!DY$4)-SUMIFS('01. KE30'!$AA:$AA,'01. KE30'!$C:$C,'06. BC BH THEO CUSTOMER-USD'!$D26,'01. KE30'!$F:$F,'06. BC BH THEO CUSTOMER-USD'!$H26,'01. KE30'!$A:$A,'06. BC BH THEO CUSTOMER-USD'!DY$4),"-")</f>
        <v>0</v>
      </c>
      <c r="DZ26" s="114">
        <f>IFERROR(SUMIFS('01. KE30'!$X:$X,'01. KE30'!$C:$C,'06. BC BH THEO CUSTOMER-USD'!$D26,'01. KE30'!$F:$F,'06. BC BH THEO CUSTOMER-USD'!$H26,'01. KE30'!$A:$A,'06. BC BH THEO CUSTOMER-USD'!DZ$4)-SUMIFS('01. KE30'!$AA:$AA,'01. KE30'!$C:$C,'06. BC BH THEO CUSTOMER-USD'!$D26,'01. KE30'!$F:$F,'06. BC BH THEO CUSTOMER-USD'!$H26,'01. KE30'!$A:$A,'06. BC BH THEO CUSTOMER-USD'!DZ$4),"-")</f>
        <v>0</v>
      </c>
      <c r="EA26" s="114">
        <f>IFERROR(SUMIFS('01. KE30'!$X:$X,'01. KE30'!$C:$C,'06. BC BH THEO CUSTOMER-USD'!$D26,'01. KE30'!$F:$F,'06. BC BH THEO CUSTOMER-USD'!$H26,'01. KE30'!$A:$A,'06. BC BH THEO CUSTOMER-USD'!EA$4)-SUMIFS('01. KE30'!$AA:$AA,'01. KE30'!$C:$C,'06. BC BH THEO CUSTOMER-USD'!$D26,'01. KE30'!$F:$F,'06. BC BH THEO CUSTOMER-USD'!$H26,'01. KE30'!$A:$A,'06. BC BH THEO CUSTOMER-USD'!EA$4),"-")</f>
        <v>0</v>
      </c>
      <c r="EB26" s="114">
        <f>IFERROR(SUMIFS('01. KE30'!$X:$X,'01. KE30'!$C:$C,'06. BC BH THEO CUSTOMER-USD'!$D26,'01. KE30'!$F:$F,'06. BC BH THEO CUSTOMER-USD'!$H26,'01. KE30'!$A:$A,'06. BC BH THEO CUSTOMER-USD'!EB$4)-SUMIFS('01. KE30'!$AA:$AA,'01. KE30'!$C:$C,'06. BC BH THEO CUSTOMER-USD'!$D26,'01. KE30'!$F:$F,'06. BC BH THEO CUSTOMER-USD'!$H26,'01. KE30'!$A:$A,'06. BC BH THEO CUSTOMER-USD'!EB$4),"-")</f>
        <v>5087.3403743315503</v>
      </c>
      <c r="EC26" s="114">
        <f>IFERROR(SUMIFS('01. KE30'!$X:$X,'01. KE30'!$C:$C,'06. BC BH THEO CUSTOMER-USD'!$D26,'01. KE30'!$F:$F,'06. BC BH THEO CUSTOMER-USD'!$H26,'01. KE30'!$A:$A,'06. BC BH THEO CUSTOMER-USD'!EC$4)-SUMIFS('01. KE30'!$AA:$AA,'01. KE30'!$C:$C,'06. BC BH THEO CUSTOMER-USD'!$D26,'01. KE30'!$F:$F,'06. BC BH THEO CUSTOMER-USD'!$H26,'01. KE30'!$A:$A,'06. BC BH THEO CUSTOMER-USD'!EC$4),"-")</f>
        <v>0</v>
      </c>
      <c r="ED26" s="114">
        <f>IFERROR(SUMIFS('01. KE30'!$X:$X,'01. KE30'!$C:$C,'06. BC BH THEO CUSTOMER-USD'!$D26,'01. KE30'!$F:$F,'06. BC BH THEO CUSTOMER-USD'!$H26,'01. KE30'!$A:$A,'06. BC BH THEO CUSTOMER-USD'!ED$4)-SUMIFS('01. KE30'!$AA:$AA,'01. KE30'!$C:$C,'06. BC BH THEO CUSTOMER-USD'!$D26,'01. KE30'!$F:$F,'06. BC BH THEO CUSTOMER-USD'!$H26,'01. KE30'!$A:$A,'06. BC BH THEO CUSTOMER-USD'!ED$4),"-")</f>
        <v>0</v>
      </c>
      <c r="EE26" s="114">
        <f>IFERROR(SUMIFS('01. KE30'!$X:$X,'01. KE30'!$C:$C,'06. BC BH THEO CUSTOMER-USD'!$D26,'01. KE30'!$F:$F,'06. BC BH THEO CUSTOMER-USD'!$H26,'01. KE30'!$A:$A,'06. BC BH THEO CUSTOMER-USD'!EE$4)-SUMIFS('01. KE30'!$AA:$AA,'01. KE30'!$C:$C,'06. BC BH THEO CUSTOMER-USD'!$D26,'01. KE30'!$F:$F,'06. BC BH THEO CUSTOMER-USD'!$H26,'01. KE30'!$A:$A,'06. BC BH THEO CUSTOMER-USD'!EE$4),"-")</f>
        <v>0</v>
      </c>
      <c r="EF26" s="114">
        <f>IFERROR(SUMIFS('01. KE30'!$X:$X,'01. KE30'!$C:$C,'06. BC BH THEO CUSTOMER-USD'!$D26,'01. KE30'!$F:$F,'06. BC BH THEO CUSTOMER-USD'!$H26,'01. KE30'!$A:$A,'06. BC BH THEO CUSTOMER-USD'!EF$4)-SUMIFS('01. KE30'!$AA:$AA,'01. KE30'!$C:$C,'06. BC BH THEO CUSTOMER-USD'!$D26,'01. KE30'!$F:$F,'06. BC BH THEO CUSTOMER-USD'!$H26,'01. KE30'!$A:$A,'06. BC BH THEO CUSTOMER-USD'!EF$4),"-")</f>
        <v>0</v>
      </c>
      <c r="EH26" s="571">
        <f t="shared" si="29"/>
        <v>0.1827720006670478</v>
      </c>
      <c r="EI26" s="572" t="str">
        <f t="shared" si="30"/>
        <v>-</v>
      </c>
      <c r="EJ26" s="572" t="str">
        <f t="shared" si="31"/>
        <v>-</v>
      </c>
      <c r="EK26" s="572" t="str">
        <f t="shared" si="32"/>
        <v>-</v>
      </c>
      <c r="EL26" s="572" t="str">
        <f t="shared" si="33"/>
        <v>-</v>
      </c>
      <c r="EM26" s="572" t="str">
        <f t="shared" si="34"/>
        <v>-</v>
      </c>
      <c r="EN26" s="572" t="str">
        <f t="shared" si="35"/>
        <v>-</v>
      </c>
      <c r="EO26" s="572" t="str">
        <f t="shared" si="36"/>
        <v>-</v>
      </c>
      <c r="EP26" s="572">
        <f t="shared" si="37"/>
        <v>0.1827720006670478</v>
      </c>
      <c r="EQ26" s="572" t="str">
        <f t="shared" si="38"/>
        <v>-</v>
      </c>
      <c r="ER26" s="572" t="str">
        <f t="shared" si="39"/>
        <v>-</v>
      </c>
      <c r="ES26" s="572" t="str">
        <f t="shared" si="40"/>
        <v>-</v>
      </c>
      <c r="ET26" s="572" t="str">
        <f t="shared" si="41"/>
        <v>-</v>
      </c>
    </row>
    <row r="27" spans="1:150" ht="15.5" hidden="1" outlineLevel="1" x14ac:dyDescent="0.35">
      <c r="A27" s="27">
        <f t="shared" si="63"/>
        <v>22</v>
      </c>
      <c r="B27" s="27" t="s">
        <v>283</v>
      </c>
      <c r="C27" s="442" t="s">
        <v>489</v>
      </c>
      <c r="D27" s="9" t="s">
        <v>1009</v>
      </c>
      <c r="E27" s="12" t="s">
        <v>1010</v>
      </c>
      <c r="F27" s="12" t="s">
        <v>175</v>
      </c>
      <c r="G27" s="12" t="str">
        <f>_xlfn.XLOOKUP(F27,'Quy đổi'!$G$5:$G$32,'Quy đổi'!$H$5:$H$32,0)</f>
        <v>Bắc Mỹ</v>
      </c>
      <c r="H27" s="76" t="s">
        <v>100</v>
      </c>
      <c r="I27" s="7" t="s">
        <v>99</v>
      </c>
      <c r="J27" s="13" t="s">
        <v>26</v>
      </c>
      <c r="K27" s="11" t="s">
        <v>1028</v>
      </c>
      <c r="L27" s="92">
        <f t="shared" ref="L27:L28" si="76">IFERROR(AVERAGE(M27:X27),"-")</f>
        <v>1280.1283422459894</v>
      </c>
      <c r="M27" s="106" t="str">
        <f>IFERROR(SUMIFS('01. KE30'!$K:$K,'01. KE30'!$C:$C,'06. BC BH THEO CUSTOMER-USD'!$D27,'01. KE30'!$F:$F,'06. BC BH THEO CUSTOMER-USD'!$H27,'01. KE30'!$A:$A,'06. BC BH THEO CUSTOMER-USD'!M$4)/'06. BC BH THEO CUSTOMER-USD'!CS27/'02. Tỷ giá'!B$5,"-")</f>
        <v>-</v>
      </c>
      <c r="N27" s="106" t="str">
        <f>IFERROR(SUMIFS('01. KE30'!$K:$K,'01. KE30'!$C:$C,'06. BC BH THEO CUSTOMER-USD'!$D27,'01. KE30'!$F:$F,'06. BC BH THEO CUSTOMER-USD'!$H27,'01. KE30'!$A:$A,'06. BC BH THEO CUSTOMER-USD'!N$4)/'06. BC BH THEO CUSTOMER-USD'!CT27/'02. Tỷ giá'!C$5,"-")</f>
        <v>-</v>
      </c>
      <c r="O27" s="106" t="str">
        <f>IFERROR(SUMIFS('01. KE30'!$K:$K,'01. KE30'!$C:$C,'06. BC BH THEO CUSTOMER-USD'!$D27,'01. KE30'!$F:$F,'06. BC BH THEO CUSTOMER-USD'!$H27,'01. KE30'!$A:$A,'06. BC BH THEO CUSTOMER-USD'!O$4)/'06. BC BH THEO CUSTOMER-USD'!CU27/'02. Tỷ giá'!D$5,"-")</f>
        <v>-</v>
      </c>
      <c r="P27" s="106" t="str">
        <f>IFERROR(SUMIFS('01. KE30'!$K:$K,'01. KE30'!$C:$C,'06. BC BH THEO CUSTOMER-USD'!$D27,'01. KE30'!$F:$F,'06. BC BH THEO CUSTOMER-USD'!$H27,'01. KE30'!$A:$A,'06. BC BH THEO CUSTOMER-USD'!P$4)/'06. BC BH THEO CUSTOMER-USD'!CV27/'02. Tỷ giá'!E$5,"-")</f>
        <v>-</v>
      </c>
      <c r="Q27" s="106" t="str">
        <f>IFERROR(SUMIFS('01. KE30'!$K:$K,'01. KE30'!$C:$C,'06. BC BH THEO CUSTOMER-USD'!$D27,'01. KE30'!$F:$F,'06. BC BH THEO CUSTOMER-USD'!$H27,'01. KE30'!$A:$A,'06. BC BH THEO CUSTOMER-USD'!Q$4)/'06. BC BH THEO CUSTOMER-USD'!CW27/'02. Tỷ giá'!F$5,"-")</f>
        <v>-</v>
      </c>
      <c r="R27" s="106" t="str">
        <f>IFERROR(SUMIFS('01. KE30'!$K:$K,'01. KE30'!$C:$C,'06. BC BH THEO CUSTOMER-USD'!$D27,'01. KE30'!$F:$F,'06. BC BH THEO CUSTOMER-USD'!$H27,'01. KE30'!$A:$A,'06. BC BH THEO CUSTOMER-USD'!R$4)/'06. BC BH THEO CUSTOMER-USD'!CX27/'02. Tỷ giá'!G$5,"-")</f>
        <v>-</v>
      </c>
      <c r="S27" s="106" t="str">
        <f>IFERROR(SUMIFS('01. KE30'!$K:$K,'01. KE30'!$C:$C,'06. BC BH THEO CUSTOMER-USD'!$D27,'01. KE30'!$F:$F,'06. BC BH THEO CUSTOMER-USD'!$H27,'01. KE30'!$A:$A,'06. BC BH THEO CUSTOMER-USD'!S$4)/'06. BC BH THEO CUSTOMER-USD'!CY27/'02. Tỷ giá'!H$5,"-")</f>
        <v>-</v>
      </c>
      <c r="T27" s="106">
        <f>IFERROR(SUMIFS('01. KE30'!$K:$K,'01. KE30'!$C:$C,'06. BC BH THEO CUSTOMER-USD'!$D27,'01. KE30'!$F:$F,'06. BC BH THEO CUSTOMER-USD'!$H27,'01. KE30'!$A:$A,'06. BC BH THEO CUSTOMER-USD'!T$4)/'06. BC BH THEO CUSTOMER-USD'!CZ27/'02. Tỷ giá'!I$5,"-")</f>
        <v>1280.1283422459894</v>
      </c>
      <c r="U27" s="106" t="str">
        <f>IFERROR(SUMIFS('01. KE30'!$K:$K,'01. KE30'!$C:$C,'06. BC BH THEO CUSTOMER-USD'!$D27,'01. KE30'!$F:$F,'06. BC BH THEO CUSTOMER-USD'!$H27,'01. KE30'!$A:$A,'06. BC BH THEO CUSTOMER-USD'!U$4)/'06. BC BH THEO CUSTOMER-USD'!DA27/'02. Tỷ giá'!J$5,"-")</f>
        <v>-</v>
      </c>
      <c r="V27" s="106" t="str">
        <f>IFERROR(SUMIFS('01. KE30'!$K:$K,'01. KE30'!$C:$C,'06. BC BH THEO CUSTOMER-USD'!$D27,'01. KE30'!$F:$F,'06. BC BH THEO CUSTOMER-USD'!$H27,'01. KE30'!$A:$A,'06. BC BH THEO CUSTOMER-USD'!V$4)/'06. BC BH THEO CUSTOMER-USD'!DB27/'02. Tỷ giá'!K$5,"-")</f>
        <v>-</v>
      </c>
      <c r="W27" s="106" t="str">
        <f>IFERROR(SUMIFS('01. KE30'!$K:$K,'01. KE30'!$C:$C,'06. BC BH THEO CUSTOMER-USD'!$D27,'01. KE30'!$F:$F,'06. BC BH THEO CUSTOMER-USD'!$H27,'01. KE30'!$A:$A,'06. BC BH THEO CUSTOMER-USD'!W$4)/'06. BC BH THEO CUSTOMER-USD'!DC27/'02. Tỷ giá'!L$5,"-")</f>
        <v>-</v>
      </c>
      <c r="X27" s="106" t="str">
        <f>IFERROR(SUMIFS('01. KE30'!$K:$K,'01. KE30'!$C:$C,'06. BC BH THEO CUSTOMER-USD'!$D27,'01. KE30'!$F:$F,'06. BC BH THEO CUSTOMER-USD'!$H27,'01. KE30'!$A:$A,'06. BC BH THEO CUSTOMER-USD'!X$4)/'06. BC BH THEO CUSTOMER-USD'!DD27/'02. Tỷ giá'!M$5,"-")</f>
        <v>-</v>
      </c>
      <c r="Z27" s="92">
        <f t="shared" ref="Z27:Z28" si="77">IFERROR(AVERAGE(AA27:AL27),"-")</f>
        <v>1273.8200337986434</v>
      </c>
      <c r="AA27" s="147" t="str">
        <f>IFERROR(SUMIFS('01. KE30'!$O:$O,'01. KE30'!$C:$C,'06. BC BH THEO CUSTOMER-USD'!$D27,'01. KE30'!$F:$F,'06. BC BH THEO CUSTOMER-USD'!$H27,'01. KE30'!$A:$A,'06. BC BH THEO CUSTOMER-USD'!M$4)/'06. BC BH THEO CUSTOMER-USD'!CS27/'02. Tỷ giá'!B$5,"-")</f>
        <v>-</v>
      </c>
      <c r="AB27" s="147" t="str">
        <f>IFERROR(SUMIFS('01. KE30'!$O:$O,'01. KE30'!$C:$C,'06. BC BH THEO CUSTOMER-USD'!$D27,'01. KE30'!$F:$F,'06. BC BH THEO CUSTOMER-USD'!$H27,'01. KE30'!$A:$A,'06. BC BH THEO CUSTOMER-USD'!N$4)/'06. BC BH THEO CUSTOMER-USD'!CT27/'02. Tỷ giá'!C$5,"-")</f>
        <v>-</v>
      </c>
      <c r="AC27" s="147" t="str">
        <f>IFERROR(SUMIFS('01. KE30'!$O:$O,'01. KE30'!$C:$C,'06. BC BH THEO CUSTOMER-USD'!$D27,'01. KE30'!$F:$F,'06. BC BH THEO CUSTOMER-USD'!$H27,'01. KE30'!$A:$A,'06. BC BH THEO CUSTOMER-USD'!O$4)/'06. BC BH THEO CUSTOMER-USD'!CU27/'02. Tỷ giá'!D$5,"-")</f>
        <v>-</v>
      </c>
      <c r="AD27" s="147" t="str">
        <f>IFERROR(SUMIFS('01. KE30'!$O:$O,'01. KE30'!$C:$C,'06. BC BH THEO CUSTOMER-USD'!$D27,'01. KE30'!$F:$F,'06. BC BH THEO CUSTOMER-USD'!$H27,'01. KE30'!$A:$A,'06. BC BH THEO CUSTOMER-USD'!P$4)/'06. BC BH THEO CUSTOMER-USD'!CV27/'02. Tỷ giá'!E$5,"-")</f>
        <v>-</v>
      </c>
      <c r="AE27" s="147" t="str">
        <f>IFERROR(SUMIFS('01. KE30'!$O:$O,'01. KE30'!$C:$C,'06. BC BH THEO CUSTOMER-USD'!$D27,'01. KE30'!$F:$F,'06. BC BH THEO CUSTOMER-USD'!$H27,'01. KE30'!$A:$A,'06. BC BH THEO CUSTOMER-USD'!Q$4)/'06. BC BH THEO CUSTOMER-USD'!CW27/'02. Tỷ giá'!F$5,"-")</f>
        <v>-</v>
      </c>
      <c r="AF27" s="147" t="str">
        <f>IFERROR(SUMIFS('01. KE30'!$O:$O,'01. KE30'!$C:$C,'06. BC BH THEO CUSTOMER-USD'!$D27,'01. KE30'!$F:$F,'06. BC BH THEO CUSTOMER-USD'!$H27,'01. KE30'!$A:$A,'06. BC BH THEO CUSTOMER-USD'!R$4)/'06. BC BH THEO CUSTOMER-USD'!CX27/'02. Tỷ giá'!G$5,"-")</f>
        <v>-</v>
      </c>
      <c r="AG27" s="147" t="str">
        <f>IFERROR(SUMIFS('01. KE30'!$O:$O,'01. KE30'!$C:$C,'06. BC BH THEO CUSTOMER-USD'!$D27,'01. KE30'!$F:$F,'06. BC BH THEO CUSTOMER-USD'!$H27,'01. KE30'!$A:$A,'06. BC BH THEO CUSTOMER-USD'!S$4)/'06. BC BH THEO CUSTOMER-USD'!CY27/'02. Tỷ giá'!H$5,"-")</f>
        <v>-</v>
      </c>
      <c r="AH27" s="147">
        <f>IFERROR(SUMIFS('01. KE30'!$O:$O,'01. KE30'!$C:$C,'06. BC BH THEO CUSTOMER-USD'!$D27,'01. KE30'!$F:$F,'06. BC BH THEO CUSTOMER-USD'!$H27,'01. KE30'!$A:$A,'06. BC BH THEO CUSTOMER-USD'!T$4)/'06. BC BH THEO CUSTOMER-USD'!CZ27/'02. Tỷ giá'!I$5,"-")</f>
        <v>1273.8200337986434</v>
      </c>
      <c r="AI27" s="147" t="str">
        <f>IFERROR(SUMIFS('01. KE30'!$O:$O,'01. KE30'!$C:$C,'06. BC BH THEO CUSTOMER-USD'!$D27,'01. KE30'!$F:$F,'06. BC BH THEO CUSTOMER-USD'!$H27,'01. KE30'!$A:$A,'06. BC BH THEO CUSTOMER-USD'!U$4)/'06. BC BH THEO CUSTOMER-USD'!DA27/'02. Tỷ giá'!J$5,"-")</f>
        <v>-</v>
      </c>
      <c r="AJ27" s="147" t="str">
        <f>IFERROR(SUMIFS('01. KE30'!$O:$O,'01. KE30'!$C:$C,'06. BC BH THEO CUSTOMER-USD'!$D27,'01. KE30'!$F:$F,'06. BC BH THEO CUSTOMER-USD'!$H27,'01. KE30'!$A:$A,'06. BC BH THEO CUSTOMER-USD'!V$4)/'06. BC BH THEO CUSTOMER-USD'!DB27/'02. Tỷ giá'!K$5,"-")</f>
        <v>-</v>
      </c>
      <c r="AK27" s="147" t="str">
        <f>IFERROR(SUMIFS('01. KE30'!$O:$O,'01. KE30'!$C:$C,'06. BC BH THEO CUSTOMER-USD'!$D27,'01. KE30'!$F:$F,'06. BC BH THEO CUSTOMER-USD'!$H27,'01. KE30'!$A:$A,'06. BC BH THEO CUSTOMER-USD'!W$4)/'06. BC BH THEO CUSTOMER-USD'!DC27/'02. Tỷ giá'!L$5,"-")</f>
        <v>-</v>
      </c>
      <c r="AL27" s="147" t="str">
        <f>IFERROR(SUMIFS('01. KE30'!$O:$O,'01. KE30'!$C:$C,'06. BC BH THEO CUSTOMER-USD'!$D27,'01. KE30'!$F:$F,'06. BC BH THEO CUSTOMER-USD'!$H27,'01. KE30'!$A:$A,'06. BC BH THEO CUSTOMER-USD'!X$4)/'06. BC BH THEO CUSTOMER-USD'!DD27/'02. Tỷ giá'!M$5,"-")</f>
        <v>-</v>
      </c>
      <c r="AN27" s="92">
        <f t="shared" ref="AN27:AN28" si="78">IFERROR(AVERAGE(AO27:AZ27),"-")</f>
        <v>1266.6666666666667</v>
      </c>
      <c r="AO27" s="25">
        <v>1260</v>
      </c>
      <c r="AP27" s="25">
        <v>1260</v>
      </c>
      <c r="AQ27" s="25">
        <v>1260</v>
      </c>
      <c r="AR27" s="4">
        <f t="shared" ref="AR27:AR28" si="79">AQ27+20</f>
        <v>1280</v>
      </c>
      <c r="AS27" s="4">
        <v>1280</v>
      </c>
      <c r="AT27" s="4">
        <v>1280</v>
      </c>
      <c r="AU27" s="4">
        <v>1280</v>
      </c>
      <c r="AV27" s="4">
        <f t="shared" si="66"/>
        <v>1250</v>
      </c>
      <c r="AW27" s="25">
        <v>1250</v>
      </c>
      <c r="AX27" s="25"/>
      <c r="AY27" s="4"/>
      <c r="AZ27" s="4"/>
      <c r="BB27" s="95">
        <f t="shared" ref="BB27:BB28" si="80">IF(L27&lt;&gt;"-",Z27-AN27,"-")</f>
        <v>7.1533671319766654</v>
      </c>
      <c r="BC27" s="95" t="str">
        <f t="shared" ref="BC27:BC28" si="81">IF(M27&lt;&gt;"-",AA27-AO27,"-")</f>
        <v>-</v>
      </c>
      <c r="BD27" s="95" t="str">
        <f t="shared" ref="BD27:BD28" si="82">IF(N27&lt;&gt;"-",AB27-AP27,"-")</f>
        <v>-</v>
      </c>
      <c r="BE27" s="95" t="str">
        <f t="shared" ref="BE27:BE28" si="83">IF(O27&lt;&gt;"-",AC27-AQ27,"-")</f>
        <v>-</v>
      </c>
      <c r="BF27" s="95" t="str">
        <f t="shared" ref="BF27:BF28" si="84">IF(P27&lt;&gt;"-",AD27-AR27,"-")</f>
        <v>-</v>
      </c>
      <c r="BG27" s="95" t="str">
        <f t="shared" ref="BG27:BG28" si="85">IF(Q27&lt;&gt;"-",AE27-AS27,"-")</f>
        <v>-</v>
      </c>
      <c r="BH27" s="95" t="str">
        <f t="shared" ref="BH27:BH28" si="86">IF(R27&lt;&gt;"-",AF27-AT27,"-")</f>
        <v>-</v>
      </c>
      <c r="BI27" s="95" t="str">
        <f t="shared" ref="BI27:BI28" si="87">IF(S27&lt;&gt;"-",AG27-AU27,"-")</f>
        <v>-</v>
      </c>
      <c r="BJ27" s="95">
        <f t="shared" ref="BJ27:BJ28" si="88">IF(T27&lt;&gt;"-",AH27-AV27,"-")</f>
        <v>23.820033798643408</v>
      </c>
      <c r="BK27" s="95" t="str">
        <f t="shared" ref="BK27:BK28" si="89">IF(U27&lt;&gt;"-",AI27-AW27,"-")</f>
        <v>-</v>
      </c>
      <c r="BL27" s="95" t="str">
        <f t="shared" ref="BL27:BL28" si="90">IF(V27&lt;&gt;"-",AJ27-AX27,"-")</f>
        <v>-</v>
      </c>
      <c r="BM27" s="95" t="str">
        <f t="shared" ref="BM27:BM28" si="91">IF(W27&lt;&gt;"-",AK27-AY27,"-")</f>
        <v>-</v>
      </c>
      <c r="BN27" s="95" t="str">
        <f t="shared" ref="BN27:BN28" si="92">IF(X27&lt;&gt;"-",AL27-AZ27,"-")</f>
        <v>-</v>
      </c>
      <c r="BP27" s="143">
        <f t="shared" ref="BP27:BP28" si="93">IFERROR(IF(BB27&lt;&gt;"-",BB27/AN27,"-"),"-")</f>
        <v>5.6473951041921041E-3</v>
      </c>
      <c r="BQ27" s="143" t="str">
        <f t="shared" ref="BQ27:BQ28" si="94">IFERROR(IF(BC27&lt;&gt;"-",BC27/AO27,"-"),"-")</f>
        <v>-</v>
      </c>
      <c r="BR27" s="143" t="str">
        <f t="shared" ref="BR27:BR28" si="95">IFERROR(IF(BD27&lt;&gt;"-",BD27/AP27,"-"),"-")</f>
        <v>-</v>
      </c>
      <c r="BS27" s="143" t="str">
        <f t="shared" ref="BS27:BS28" si="96">IFERROR(IF(BE27&lt;&gt;"-",BE27/AQ27,"-"),"-")</f>
        <v>-</v>
      </c>
      <c r="BT27" s="143" t="str">
        <f t="shared" ref="BT27:BT28" si="97">IFERROR(IF(BF27&lt;&gt;"-",BF27/AR27,"-"),"-")</f>
        <v>-</v>
      </c>
      <c r="BU27" s="143" t="str">
        <f t="shared" ref="BU27:BU28" si="98">IFERROR(IF(BG27&lt;&gt;"-",BG27/AS27,"-"),"-")</f>
        <v>-</v>
      </c>
      <c r="BV27" s="143" t="str">
        <f t="shared" ref="BV27:BV28" si="99">IFERROR(IF(BH27&lt;&gt;"-",BH27/AT27,"-"),"-")</f>
        <v>-</v>
      </c>
      <c r="BW27" s="143" t="str">
        <f t="shared" ref="BW27:BW28" si="100">IFERROR(IF(BI27&lt;&gt;"-",BI27/AU27,"-"),"-")</f>
        <v>-</v>
      </c>
      <c r="BX27" s="143">
        <f t="shared" ref="BX27:BX28" si="101">IFERROR(IF(BJ27&lt;&gt;"-",BJ27/AV27,"-"),"-")</f>
        <v>1.9056027038914725E-2</v>
      </c>
      <c r="BY27" s="143" t="str">
        <f t="shared" ref="BY27:BY28" si="102">IFERROR(IF(BK27&lt;&gt;"-",BK27/AW27,"-"),"-")</f>
        <v>-</v>
      </c>
      <c r="BZ27" s="143" t="str">
        <f t="shared" ref="BZ27:BZ28" si="103">IFERROR(IF(BL27&lt;&gt;"-",BL27/AX27,"-"),"-")</f>
        <v>-</v>
      </c>
      <c r="CA27" s="143" t="str">
        <f t="shared" ref="CA27:CA28" si="104">IFERROR(IF(BM27&lt;&gt;"-",BM27/AY27,"-"),"-")</f>
        <v>-</v>
      </c>
      <c r="CB27" s="143" t="str">
        <f t="shared" ref="CB27:CB28" si="105">IFERROR(IF(BN27&lt;&gt;"-",BN27/AZ27,"-"),"-")</f>
        <v>-</v>
      </c>
      <c r="CD27" s="112">
        <f t="shared" ref="CD27:CD28" si="106">IFERROR(AVERAGE(CE27:CP27),"-")</f>
        <v>1006.6354572076765</v>
      </c>
      <c r="CE27" s="95" t="str">
        <f>IFERROR(SUMIFS('01. KE30'!$R:$R,'01. KE30'!$C:$C,'06. BC BH THEO CUSTOMER-USD'!$D27,'01. KE30'!$F:$F,'06. BC BH THEO CUSTOMER-USD'!$H27,'01. KE30'!$A:$A,'06. BC BH THEO CUSTOMER-USD'!CE$4)/CS27/'02. Tỷ giá'!B$5," -")</f>
        <v xml:space="preserve"> -</v>
      </c>
      <c r="CF27" s="95" t="str">
        <f>IFERROR(SUMIFS('01. KE30'!$R:$R,'01. KE30'!$C:$C,'06. BC BH THEO CUSTOMER-USD'!$D27,'01. KE30'!$F:$F,'06. BC BH THEO CUSTOMER-USD'!$H27,'01. KE30'!$A:$A,'06. BC BH THEO CUSTOMER-USD'!CF$4)/CT27/'02. Tỷ giá'!C$5," -")</f>
        <v xml:space="preserve"> -</v>
      </c>
      <c r="CG27" s="95" t="str">
        <f>IFERROR(SUMIFS('01. KE30'!$R:$R,'01. KE30'!$C:$C,'06. BC BH THEO CUSTOMER-USD'!$D27,'01. KE30'!$F:$F,'06. BC BH THEO CUSTOMER-USD'!$H27,'01. KE30'!$A:$A,'06. BC BH THEO CUSTOMER-USD'!CG$4)/CU27/'02. Tỷ giá'!D$5," -")</f>
        <v xml:space="preserve"> -</v>
      </c>
      <c r="CH27" s="95" t="str">
        <f>IFERROR(SUMIFS('01. KE30'!$R:$R,'01. KE30'!$C:$C,'06. BC BH THEO CUSTOMER-USD'!$D27,'01. KE30'!$F:$F,'06. BC BH THEO CUSTOMER-USD'!$H27,'01. KE30'!$A:$A,'06. BC BH THEO CUSTOMER-USD'!CH$4)/CV27/'02. Tỷ giá'!E$5," -")</f>
        <v xml:space="preserve"> -</v>
      </c>
      <c r="CI27" s="95" t="str">
        <f>IFERROR(SUMIFS('01. KE30'!$R:$R,'01. KE30'!$C:$C,'06. BC BH THEO CUSTOMER-USD'!$D27,'01. KE30'!$F:$F,'06. BC BH THEO CUSTOMER-USD'!$H27,'01. KE30'!$A:$A,'06. BC BH THEO CUSTOMER-USD'!CI$4)/CW27/'02. Tỷ giá'!F$5," -")</f>
        <v xml:space="preserve"> -</v>
      </c>
      <c r="CJ27" s="95" t="str">
        <f>IFERROR(SUMIFS('01. KE30'!$R:$R,'01. KE30'!$C:$C,'06. BC BH THEO CUSTOMER-USD'!$D27,'01. KE30'!$F:$F,'06. BC BH THEO CUSTOMER-USD'!$H27,'01. KE30'!$A:$A,'06. BC BH THEO CUSTOMER-USD'!CJ$4)/CX27/'02. Tỷ giá'!G$5," -")</f>
        <v xml:space="preserve"> -</v>
      </c>
      <c r="CK27" s="95" t="str">
        <f>IFERROR(SUMIFS('01. KE30'!$R:$R,'01. KE30'!$C:$C,'06. BC BH THEO CUSTOMER-USD'!$D27,'01. KE30'!$F:$F,'06. BC BH THEO CUSTOMER-USD'!$H27,'01. KE30'!$A:$A,'06. BC BH THEO CUSTOMER-USD'!CK$4)/CY27/'02. Tỷ giá'!H$5," -")</f>
        <v xml:space="preserve"> -</v>
      </c>
      <c r="CL27" s="95">
        <f>IFERROR(SUMIFS('01. KE30'!$R:$R,'01. KE30'!$C:$C,'06. BC BH THEO CUSTOMER-USD'!$D27,'01. KE30'!$F:$F,'06. BC BH THEO CUSTOMER-USD'!$H27,'01. KE30'!$A:$A,'06. BC BH THEO CUSTOMER-USD'!CL$4)/CZ27/'02. Tỷ giá'!I$5," -")</f>
        <v>1006.6354572076765</v>
      </c>
      <c r="CM27" s="95" t="str">
        <f>IFERROR(SUMIFS('01. KE30'!$R:$R,'01. KE30'!$C:$C,'06. BC BH THEO CUSTOMER-USD'!$D27,'01. KE30'!$F:$F,'06. BC BH THEO CUSTOMER-USD'!$H27,'01. KE30'!$A:$A,'06. BC BH THEO CUSTOMER-USD'!CM$4)/DA27/'02. Tỷ giá'!J$5," -")</f>
        <v xml:space="preserve"> -</v>
      </c>
      <c r="CN27" s="95" t="str">
        <f>IFERROR(SUMIFS('01. KE30'!$R:$R,'01. KE30'!$C:$C,'06. BC BH THEO CUSTOMER-USD'!$D27,'01. KE30'!$F:$F,'06. BC BH THEO CUSTOMER-USD'!$H27,'01. KE30'!$A:$A,'06. BC BH THEO CUSTOMER-USD'!CN$4)/DB27/'02. Tỷ giá'!K$5," -")</f>
        <v xml:space="preserve"> -</v>
      </c>
      <c r="CO27" s="95" t="str">
        <f>IFERROR(SUMIFS('01. KE30'!$R:$R,'01. KE30'!$C:$C,'06. BC BH THEO CUSTOMER-USD'!$D27,'01. KE30'!$F:$F,'06. BC BH THEO CUSTOMER-USD'!$H27,'01. KE30'!$A:$A,'06. BC BH THEO CUSTOMER-USD'!CO$4)/DC27/'02. Tỷ giá'!L$5," -")</f>
        <v xml:space="preserve"> -</v>
      </c>
      <c r="CP27" s="95" t="str">
        <f>IFERROR(SUMIFS('01. KE30'!$R:$R,'01. KE30'!$C:$C,'06. BC BH THEO CUSTOMER-USD'!$D27,'01. KE30'!$F:$F,'06. BC BH THEO CUSTOMER-USD'!$H27,'01. KE30'!$A:$A,'06. BC BH THEO CUSTOMER-USD'!CP$4)/DD27/'02. Tỷ giá'!M$5," -")</f>
        <v xml:space="preserve"> -</v>
      </c>
      <c r="CR27" s="112">
        <f t="shared" ref="CR27:CR28" si="107">SUM(CS27:DD27)</f>
        <v>330</v>
      </c>
      <c r="CS27" s="114">
        <f>SUMIFS('01. KE30'!$I:$I,'01. KE30'!$C:$C,'06. BC BH THEO CUSTOMER-USD'!$D27,'01. KE30'!$F:$F,'06. BC BH THEO CUSTOMER-USD'!$H27,'01. KE30'!$A:$A,'06. BC BH THEO CUSTOMER-USD'!CS$4)/1000</f>
        <v>0</v>
      </c>
      <c r="CT27" s="114">
        <f>SUMIFS('01. KE30'!$I:$I,'01. KE30'!$C:$C,'06. BC BH THEO CUSTOMER-USD'!$D27,'01. KE30'!$F:$F,'06. BC BH THEO CUSTOMER-USD'!$H27,'01. KE30'!$A:$A,'06. BC BH THEO CUSTOMER-USD'!CT$4)/1000</f>
        <v>0</v>
      </c>
      <c r="CU27" s="114">
        <f>SUMIFS('01. KE30'!$I:$I,'01. KE30'!$C:$C,'06. BC BH THEO CUSTOMER-USD'!$D27,'01. KE30'!$F:$F,'06. BC BH THEO CUSTOMER-USD'!$H27,'01. KE30'!$A:$A,'06. BC BH THEO CUSTOMER-USD'!CU$4)/1000</f>
        <v>0</v>
      </c>
      <c r="CV27" s="114">
        <f>SUMIFS('01. KE30'!$I:$I,'01. KE30'!$C:$C,'06. BC BH THEO CUSTOMER-USD'!$D27,'01. KE30'!$F:$F,'06. BC BH THEO CUSTOMER-USD'!$H27,'01. KE30'!$A:$A,'06. BC BH THEO CUSTOMER-USD'!CV$4)/1000</f>
        <v>0</v>
      </c>
      <c r="CW27" s="114">
        <f>SUMIFS('01. KE30'!$I:$I,'01. KE30'!$C:$C,'06. BC BH THEO CUSTOMER-USD'!$D27,'01. KE30'!$F:$F,'06. BC BH THEO CUSTOMER-USD'!$H27,'01. KE30'!$A:$A,'06. BC BH THEO CUSTOMER-USD'!CW$4)/1000</f>
        <v>0</v>
      </c>
      <c r="CX27" s="114">
        <f>SUMIFS('01. KE30'!$I:$I,'01. KE30'!$C:$C,'06. BC BH THEO CUSTOMER-USD'!$D27,'01. KE30'!$F:$F,'06. BC BH THEO CUSTOMER-USD'!$H27,'01. KE30'!$A:$A,'06. BC BH THEO CUSTOMER-USD'!CX$4)/1000</f>
        <v>0</v>
      </c>
      <c r="CY27" s="114">
        <f>SUMIFS('01. KE30'!$I:$I,'01. KE30'!$C:$C,'06. BC BH THEO CUSTOMER-USD'!$D27,'01. KE30'!$F:$F,'06. BC BH THEO CUSTOMER-USD'!$H27,'01. KE30'!$A:$A,'06. BC BH THEO CUSTOMER-USD'!CY$4)/1000</f>
        <v>0</v>
      </c>
      <c r="CZ27" s="114">
        <f>SUMIFS('01. KE30'!$I:$I,'01. KE30'!$C:$C,'06. BC BH THEO CUSTOMER-USD'!$D27,'01. KE30'!$F:$F,'06. BC BH THEO CUSTOMER-USD'!$H27,'01. KE30'!$A:$A,'06. BC BH THEO CUSTOMER-USD'!CZ$4)/1000</f>
        <v>330</v>
      </c>
      <c r="DA27" s="114">
        <f>SUMIFS('01. KE30'!$I:$I,'01. KE30'!$C:$C,'06. BC BH THEO CUSTOMER-USD'!$D27,'01. KE30'!$F:$F,'06. BC BH THEO CUSTOMER-USD'!$H27,'01. KE30'!$A:$A,'06. BC BH THEO CUSTOMER-USD'!DA$4)/1000</f>
        <v>0</v>
      </c>
      <c r="DB27" s="114">
        <f>SUMIFS('01. KE30'!$I:$I,'01. KE30'!$C:$C,'06. BC BH THEO CUSTOMER-USD'!$D27,'01. KE30'!$F:$F,'06. BC BH THEO CUSTOMER-USD'!$H27,'01. KE30'!$A:$A,'06. BC BH THEO CUSTOMER-USD'!DB$4)/1000</f>
        <v>0</v>
      </c>
      <c r="DC27" s="114">
        <f>SUMIFS('01. KE30'!$I:$I,'01. KE30'!$C:$C,'06. BC BH THEO CUSTOMER-USD'!$D27,'01. KE30'!$F:$F,'06. BC BH THEO CUSTOMER-USD'!$H27,'01. KE30'!$A:$A,'06. BC BH THEO CUSTOMER-USD'!DC$4)/1000</f>
        <v>0</v>
      </c>
      <c r="DD27" s="114">
        <f>SUMIFS('01. KE30'!$I:$I,'01. KE30'!$C:$C,'06. BC BH THEO CUSTOMER-USD'!$D27,'01. KE30'!$F:$F,'06. BC BH THEO CUSTOMER-USD'!$H27,'01. KE30'!$A:$A,'06. BC BH THEO CUSTOMER-USD'!DD$4)/1000</f>
        <v>0</v>
      </c>
      <c r="DF27" s="112">
        <f t="shared" ref="DF27:DF28" si="108">SUM(DG27:DR27)</f>
        <v>422442.3529411765</v>
      </c>
      <c r="DG27" s="54" t="str">
        <f t="shared" ref="DG27:DG28" si="109">IFERROR(M27*CS27,"-")</f>
        <v>-</v>
      </c>
      <c r="DH27" s="54" t="str">
        <f t="shared" ref="DH27:DH28" si="110">IFERROR(N27*CT27,"-")</f>
        <v>-</v>
      </c>
      <c r="DI27" s="54" t="str">
        <f t="shared" ref="DI27:DI28" si="111">IFERROR(O27*CU27,"-")</f>
        <v>-</v>
      </c>
      <c r="DJ27" s="54" t="str">
        <f t="shared" ref="DJ27:DJ28" si="112">IFERROR(P27*CV27,"-")</f>
        <v>-</v>
      </c>
      <c r="DK27" s="54" t="str">
        <f t="shared" ref="DK27:DK28" si="113">IFERROR(Q27*CW27,"-")</f>
        <v>-</v>
      </c>
      <c r="DL27" s="54" t="str">
        <f t="shared" ref="DL27:DL28" si="114">IFERROR(R27*CX27,"-")</f>
        <v>-</v>
      </c>
      <c r="DM27" s="54" t="str">
        <f t="shared" ref="DM27:DM28" si="115">IFERROR(S27*CY27,"-")</f>
        <v>-</v>
      </c>
      <c r="DN27" s="54">
        <f t="shared" ref="DN27:DN28" si="116">IFERROR(T27*CZ27,"-")</f>
        <v>422442.3529411765</v>
      </c>
      <c r="DO27" s="54" t="str">
        <f t="shared" ref="DO27:DO28" si="117">IFERROR(U27*DA27,"-")</f>
        <v>-</v>
      </c>
      <c r="DP27" s="54" t="str">
        <f t="shared" ref="DP27:DP28" si="118">IFERROR(V27*DB27,"-")</f>
        <v>-</v>
      </c>
      <c r="DQ27" s="54" t="str">
        <f t="shared" ref="DQ27:DQ28" si="119">IFERROR(W27*DC27,"-")</f>
        <v>-</v>
      </c>
      <c r="DR27" s="54" t="str">
        <f t="shared" ref="DR27:DR28" si="120">IFERROR(X27*DD27,"-")</f>
        <v>-</v>
      </c>
      <c r="DT27" s="112">
        <f t="shared" ref="DT27:DT28" si="121">SUM(DU27:EF27)</f>
        <v>88170.910275019065</v>
      </c>
      <c r="DU27" s="114">
        <f>IFERROR(SUMIFS('01. KE30'!$X:$X,'01. KE30'!$C:$C,'06. BC BH THEO CUSTOMER-USD'!$D27,'01. KE30'!$F:$F,'06. BC BH THEO CUSTOMER-USD'!$H27,'01. KE30'!$A:$A,'06. BC BH THEO CUSTOMER-USD'!DU$4)-SUMIFS('01. KE30'!$AA:$AA,'01. KE30'!$C:$C,'06. BC BH THEO CUSTOMER-USD'!$D27,'01. KE30'!$F:$F,'06. BC BH THEO CUSTOMER-USD'!$H27,'01. KE30'!$A:$A,'06. BC BH THEO CUSTOMER-USD'!DU$4),"-")</f>
        <v>0</v>
      </c>
      <c r="DV27" s="114">
        <f>IFERROR(SUMIFS('01. KE30'!$X:$X,'01. KE30'!$C:$C,'06. BC BH THEO CUSTOMER-USD'!$D27,'01. KE30'!$F:$F,'06. BC BH THEO CUSTOMER-USD'!$H27,'01. KE30'!$A:$A,'06. BC BH THEO CUSTOMER-USD'!DV$4)-SUMIFS('01. KE30'!$AA:$AA,'01. KE30'!$C:$C,'06. BC BH THEO CUSTOMER-USD'!$D27,'01. KE30'!$F:$F,'06. BC BH THEO CUSTOMER-USD'!$H27,'01. KE30'!$A:$A,'06. BC BH THEO CUSTOMER-USD'!DV$4),"-")</f>
        <v>0</v>
      </c>
      <c r="DW27" s="114">
        <f>IFERROR(SUMIFS('01. KE30'!$X:$X,'01. KE30'!$C:$C,'06. BC BH THEO CUSTOMER-USD'!$D27,'01. KE30'!$F:$F,'06. BC BH THEO CUSTOMER-USD'!$H27,'01. KE30'!$A:$A,'06. BC BH THEO CUSTOMER-USD'!DW$4)-SUMIFS('01. KE30'!$AA:$AA,'01. KE30'!$C:$C,'06. BC BH THEO CUSTOMER-USD'!$D27,'01. KE30'!$F:$F,'06. BC BH THEO CUSTOMER-USD'!$H27,'01. KE30'!$A:$A,'06. BC BH THEO CUSTOMER-USD'!DW$4),"-")</f>
        <v>0</v>
      </c>
      <c r="DX27" s="114">
        <f>IFERROR(SUMIFS('01. KE30'!$X:$X,'01. KE30'!$C:$C,'06. BC BH THEO CUSTOMER-USD'!$D27,'01. KE30'!$F:$F,'06. BC BH THEO CUSTOMER-USD'!$H27,'01. KE30'!$A:$A,'06. BC BH THEO CUSTOMER-USD'!DX$4)-SUMIFS('01. KE30'!$AA:$AA,'01. KE30'!$C:$C,'06. BC BH THEO CUSTOMER-USD'!$D27,'01. KE30'!$F:$F,'06. BC BH THEO CUSTOMER-USD'!$H27,'01. KE30'!$A:$A,'06. BC BH THEO CUSTOMER-USD'!DX$4),"-")</f>
        <v>0</v>
      </c>
      <c r="DY27" s="114">
        <f>IFERROR(SUMIFS('01. KE30'!$X:$X,'01. KE30'!$C:$C,'06. BC BH THEO CUSTOMER-USD'!$D27,'01. KE30'!$F:$F,'06. BC BH THEO CUSTOMER-USD'!$H27,'01. KE30'!$A:$A,'06. BC BH THEO CUSTOMER-USD'!DY$4)-SUMIFS('01. KE30'!$AA:$AA,'01. KE30'!$C:$C,'06. BC BH THEO CUSTOMER-USD'!$D27,'01. KE30'!$F:$F,'06. BC BH THEO CUSTOMER-USD'!$H27,'01. KE30'!$A:$A,'06. BC BH THEO CUSTOMER-USD'!DY$4),"-")</f>
        <v>0</v>
      </c>
      <c r="DZ27" s="114">
        <f>IFERROR(SUMIFS('01. KE30'!$X:$X,'01. KE30'!$C:$C,'06. BC BH THEO CUSTOMER-USD'!$D27,'01. KE30'!$F:$F,'06. BC BH THEO CUSTOMER-USD'!$H27,'01. KE30'!$A:$A,'06. BC BH THEO CUSTOMER-USD'!DZ$4)-SUMIFS('01. KE30'!$AA:$AA,'01. KE30'!$C:$C,'06. BC BH THEO CUSTOMER-USD'!$D27,'01. KE30'!$F:$F,'06. BC BH THEO CUSTOMER-USD'!$H27,'01. KE30'!$A:$A,'06. BC BH THEO CUSTOMER-USD'!DZ$4),"-")</f>
        <v>0</v>
      </c>
      <c r="EA27" s="114">
        <f>IFERROR(SUMIFS('01. KE30'!$X:$X,'01. KE30'!$C:$C,'06. BC BH THEO CUSTOMER-USD'!$D27,'01. KE30'!$F:$F,'06. BC BH THEO CUSTOMER-USD'!$H27,'01. KE30'!$A:$A,'06. BC BH THEO CUSTOMER-USD'!EA$4)-SUMIFS('01. KE30'!$AA:$AA,'01. KE30'!$C:$C,'06. BC BH THEO CUSTOMER-USD'!$D27,'01. KE30'!$F:$F,'06. BC BH THEO CUSTOMER-USD'!$H27,'01. KE30'!$A:$A,'06. BC BH THEO CUSTOMER-USD'!EA$4),"-")</f>
        <v>0</v>
      </c>
      <c r="EB27" s="114">
        <f>IFERROR(SUMIFS('01. KE30'!$X:$X,'01. KE30'!$C:$C,'06. BC BH THEO CUSTOMER-USD'!$D27,'01. KE30'!$F:$F,'06. BC BH THEO CUSTOMER-USD'!$H27,'01. KE30'!$A:$A,'06. BC BH THEO CUSTOMER-USD'!EB$4)-SUMIFS('01. KE30'!$AA:$AA,'01. KE30'!$C:$C,'06. BC BH THEO CUSTOMER-USD'!$D27,'01. KE30'!$F:$F,'06. BC BH THEO CUSTOMER-USD'!$H27,'01. KE30'!$A:$A,'06. BC BH THEO CUSTOMER-USD'!EB$4),"-")</f>
        <v>88170.910275019065</v>
      </c>
      <c r="EC27" s="114">
        <f>IFERROR(SUMIFS('01. KE30'!$X:$X,'01. KE30'!$C:$C,'06. BC BH THEO CUSTOMER-USD'!$D27,'01. KE30'!$F:$F,'06. BC BH THEO CUSTOMER-USD'!$H27,'01. KE30'!$A:$A,'06. BC BH THEO CUSTOMER-USD'!EC$4)-SUMIFS('01. KE30'!$AA:$AA,'01. KE30'!$C:$C,'06. BC BH THEO CUSTOMER-USD'!$D27,'01. KE30'!$F:$F,'06. BC BH THEO CUSTOMER-USD'!$H27,'01. KE30'!$A:$A,'06. BC BH THEO CUSTOMER-USD'!EC$4),"-")</f>
        <v>0</v>
      </c>
      <c r="ED27" s="114">
        <f>IFERROR(SUMIFS('01. KE30'!$X:$X,'01. KE30'!$C:$C,'06. BC BH THEO CUSTOMER-USD'!$D27,'01. KE30'!$F:$F,'06. BC BH THEO CUSTOMER-USD'!$H27,'01. KE30'!$A:$A,'06. BC BH THEO CUSTOMER-USD'!ED$4)-SUMIFS('01. KE30'!$AA:$AA,'01. KE30'!$C:$C,'06. BC BH THEO CUSTOMER-USD'!$D27,'01. KE30'!$F:$F,'06. BC BH THEO CUSTOMER-USD'!$H27,'01. KE30'!$A:$A,'06. BC BH THEO CUSTOMER-USD'!ED$4),"-")</f>
        <v>0</v>
      </c>
      <c r="EE27" s="114">
        <f>IFERROR(SUMIFS('01. KE30'!$X:$X,'01. KE30'!$C:$C,'06. BC BH THEO CUSTOMER-USD'!$D27,'01. KE30'!$F:$F,'06. BC BH THEO CUSTOMER-USD'!$H27,'01. KE30'!$A:$A,'06. BC BH THEO CUSTOMER-USD'!EE$4)-SUMIFS('01. KE30'!$AA:$AA,'01. KE30'!$C:$C,'06. BC BH THEO CUSTOMER-USD'!$D27,'01. KE30'!$F:$F,'06. BC BH THEO CUSTOMER-USD'!$H27,'01. KE30'!$A:$A,'06. BC BH THEO CUSTOMER-USD'!EE$4),"-")</f>
        <v>0</v>
      </c>
      <c r="EF27" s="114">
        <f>IFERROR(SUMIFS('01. KE30'!$X:$X,'01. KE30'!$C:$C,'06. BC BH THEO CUSTOMER-USD'!$D27,'01. KE30'!$F:$F,'06. BC BH THEO CUSTOMER-USD'!$H27,'01. KE30'!$A:$A,'06. BC BH THEO CUSTOMER-USD'!EF$4)-SUMIFS('01. KE30'!$AA:$AA,'01. KE30'!$C:$C,'06. BC BH THEO CUSTOMER-USD'!$D27,'01. KE30'!$F:$F,'06. BC BH THEO CUSTOMER-USD'!$H27,'01. KE30'!$A:$A,'06. BC BH THEO CUSTOMER-USD'!EF$4),"-")</f>
        <v>0</v>
      </c>
      <c r="EH27" s="571">
        <f t="shared" ref="EH27:EH28" si="122">IFERROR(DT27/DF27,"-")</f>
        <v>0.20871702295270694</v>
      </c>
      <c r="EI27" s="572" t="str">
        <f t="shared" ref="EI27:EI28" si="123">IFERROR(DU27/DG27,"-")</f>
        <v>-</v>
      </c>
      <c r="EJ27" s="572" t="str">
        <f t="shared" ref="EJ27:EJ28" si="124">IFERROR(DV27/DH27,"-")</f>
        <v>-</v>
      </c>
      <c r="EK27" s="572" t="str">
        <f t="shared" ref="EK27:EK28" si="125">IFERROR(DW27/DI27,"-")</f>
        <v>-</v>
      </c>
      <c r="EL27" s="572" t="str">
        <f t="shared" ref="EL27:EL28" si="126">IFERROR(DX27/DJ27,"-")</f>
        <v>-</v>
      </c>
      <c r="EM27" s="572" t="str">
        <f t="shared" ref="EM27:EM28" si="127">IFERROR(DY27/DK27,"-")</f>
        <v>-</v>
      </c>
      <c r="EN27" s="572" t="str">
        <f t="shared" ref="EN27:EN28" si="128">IFERROR(DZ27/DL27,"-")</f>
        <v>-</v>
      </c>
      <c r="EO27" s="572" t="str">
        <f t="shared" ref="EO27:EO28" si="129">IFERROR(EA27/DM27,"-")</f>
        <v>-</v>
      </c>
      <c r="EP27" s="572">
        <f t="shared" ref="EP27:EP28" si="130">IFERROR(EB27/DN27,"-")</f>
        <v>0.20871702295270694</v>
      </c>
      <c r="EQ27" s="572" t="str">
        <f t="shared" ref="EQ27:EQ28" si="131">IFERROR(EC27/DO27,"-")</f>
        <v>-</v>
      </c>
      <c r="ER27" s="572" t="str">
        <f t="shared" ref="ER27:ER28" si="132">IFERROR(ED27/DP27,"-")</f>
        <v>-</v>
      </c>
      <c r="ES27" s="572" t="str">
        <f t="shared" ref="ES27:ES28" si="133">IFERROR(EE27/DQ27,"-")</f>
        <v>-</v>
      </c>
      <c r="ET27" s="572" t="str">
        <f t="shared" ref="ET27:ET28" si="134">IFERROR(EF27/DR27,"-")</f>
        <v>-</v>
      </c>
    </row>
    <row r="28" spans="1:150" ht="15.5" hidden="1" outlineLevel="1" x14ac:dyDescent="0.35">
      <c r="A28" s="27">
        <f>A25+1</f>
        <v>21</v>
      </c>
      <c r="B28" s="27" t="s">
        <v>283</v>
      </c>
      <c r="C28" s="442" t="s">
        <v>489</v>
      </c>
      <c r="D28" s="9" t="s">
        <v>1011</v>
      </c>
      <c r="E28" s="31" t="s">
        <v>1012</v>
      </c>
      <c r="F28" s="31" t="s">
        <v>1029</v>
      </c>
      <c r="G28" s="12" t="s">
        <v>1044</v>
      </c>
      <c r="H28" s="77" t="s">
        <v>110</v>
      </c>
      <c r="I28" s="31" t="s">
        <v>109</v>
      </c>
      <c r="J28" s="13" t="s">
        <v>26</v>
      </c>
      <c r="K28" s="11" t="s">
        <v>113</v>
      </c>
      <c r="L28" s="92">
        <f t="shared" si="76"/>
        <v>1298.0137509549274</v>
      </c>
      <c r="M28" s="106" t="str">
        <f>IFERROR(SUMIFS('01. KE30'!$K:$K,'01. KE30'!$C:$C,'06. BC BH THEO CUSTOMER-USD'!$D28,'01. KE30'!$F:$F,'06. BC BH THEO CUSTOMER-USD'!$H28,'01. KE30'!$A:$A,'06. BC BH THEO CUSTOMER-USD'!M$4)/'06. BC BH THEO CUSTOMER-USD'!CS28/'02. Tỷ giá'!B$5,"-")</f>
        <v>-</v>
      </c>
      <c r="N28" s="106" t="str">
        <f>IFERROR(SUMIFS('01. KE30'!$K:$K,'01. KE30'!$C:$C,'06. BC BH THEO CUSTOMER-USD'!$D28,'01. KE30'!$F:$F,'06. BC BH THEO CUSTOMER-USD'!$H28,'01. KE30'!$A:$A,'06. BC BH THEO CUSTOMER-USD'!N$4)/'06. BC BH THEO CUSTOMER-USD'!CT28/'02. Tỷ giá'!C$5,"-")</f>
        <v>-</v>
      </c>
      <c r="O28" s="106" t="str">
        <f>IFERROR(SUMIFS('01. KE30'!$K:$K,'01. KE30'!$C:$C,'06. BC BH THEO CUSTOMER-USD'!$D28,'01. KE30'!$F:$F,'06. BC BH THEO CUSTOMER-USD'!$H28,'01. KE30'!$A:$A,'06. BC BH THEO CUSTOMER-USD'!O$4)/'06. BC BH THEO CUSTOMER-USD'!CU28/'02. Tỷ giá'!D$5,"-")</f>
        <v>-</v>
      </c>
      <c r="P28" s="106" t="str">
        <f>IFERROR(SUMIFS('01. KE30'!$K:$K,'01. KE30'!$C:$C,'06. BC BH THEO CUSTOMER-USD'!$D28,'01. KE30'!$F:$F,'06. BC BH THEO CUSTOMER-USD'!$H28,'01. KE30'!$A:$A,'06. BC BH THEO CUSTOMER-USD'!P$4)/'06. BC BH THEO CUSTOMER-USD'!CV28/'02. Tỷ giá'!E$5,"-")</f>
        <v>-</v>
      </c>
      <c r="Q28" s="106" t="str">
        <f>IFERROR(SUMIFS('01. KE30'!$K:$K,'01. KE30'!$C:$C,'06. BC BH THEO CUSTOMER-USD'!$D28,'01. KE30'!$F:$F,'06. BC BH THEO CUSTOMER-USD'!$H28,'01. KE30'!$A:$A,'06. BC BH THEO CUSTOMER-USD'!Q$4)/'06. BC BH THEO CUSTOMER-USD'!CW28/'02. Tỷ giá'!F$5,"-")</f>
        <v>-</v>
      </c>
      <c r="R28" s="106" t="str">
        <f>IFERROR(SUMIFS('01. KE30'!$K:$K,'01. KE30'!$C:$C,'06. BC BH THEO CUSTOMER-USD'!$D28,'01. KE30'!$F:$F,'06. BC BH THEO CUSTOMER-USD'!$H28,'01. KE30'!$A:$A,'06. BC BH THEO CUSTOMER-USD'!R$4)/'06. BC BH THEO CUSTOMER-USD'!CX28/'02. Tỷ giá'!G$5,"-")</f>
        <v>-</v>
      </c>
      <c r="S28" s="106" t="str">
        <f>IFERROR(SUMIFS('01. KE30'!$K:$K,'01. KE30'!$C:$C,'06. BC BH THEO CUSTOMER-USD'!$D28,'01. KE30'!$F:$F,'06. BC BH THEO CUSTOMER-USD'!$H28,'01. KE30'!$A:$A,'06. BC BH THEO CUSTOMER-USD'!S$4)/'06. BC BH THEO CUSTOMER-USD'!CY28/'02. Tỷ giá'!H$5,"-")</f>
        <v>-</v>
      </c>
      <c r="T28" s="106">
        <f>IFERROR(SUMIFS('01. KE30'!$K:$K,'01. KE30'!$C:$C,'06. BC BH THEO CUSTOMER-USD'!$D28,'01. KE30'!$F:$F,'06. BC BH THEO CUSTOMER-USD'!$H28,'01. KE30'!$A:$A,'06. BC BH THEO CUSTOMER-USD'!T$4)/'06. BC BH THEO CUSTOMER-USD'!CZ28/'02. Tỷ giá'!I$5,"-")</f>
        <v>1298.0137509549274</v>
      </c>
      <c r="U28" s="106" t="str">
        <f>IFERROR(SUMIFS('01. KE30'!$K:$K,'01. KE30'!$C:$C,'06. BC BH THEO CUSTOMER-USD'!$D28,'01. KE30'!$F:$F,'06. BC BH THEO CUSTOMER-USD'!$H28,'01. KE30'!$A:$A,'06. BC BH THEO CUSTOMER-USD'!U$4)/'06. BC BH THEO CUSTOMER-USD'!DA28/'02. Tỷ giá'!J$5,"-")</f>
        <v>-</v>
      </c>
      <c r="V28" s="106" t="str">
        <f>IFERROR(SUMIFS('01. KE30'!$K:$K,'01. KE30'!$C:$C,'06. BC BH THEO CUSTOMER-USD'!$D28,'01. KE30'!$F:$F,'06. BC BH THEO CUSTOMER-USD'!$H28,'01. KE30'!$A:$A,'06. BC BH THEO CUSTOMER-USD'!V$4)/'06. BC BH THEO CUSTOMER-USD'!DB28/'02. Tỷ giá'!K$5,"-")</f>
        <v>-</v>
      </c>
      <c r="W28" s="106" t="str">
        <f>IFERROR(SUMIFS('01. KE30'!$K:$K,'01. KE30'!$C:$C,'06. BC BH THEO CUSTOMER-USD'!$D28,'01. KE30'!$F:$F,'06. BC BH THEO CUSTOMER-USD'!$H28,'01. KE30'!$A:$A,'06. BC BH THEO CUSTOMER-USD'!W$4)/'06. BC BH THEO CUSTOMER-USD'!DC28/'02. Tỷ giá'!L$5,"-")</f>
        <v>-</v>
      </c>
      <c r="X28" s="106" t="str">
        <f>IFERROR(SUMIFS('01. KE30'!$K:$K,'01. KE30'!$C:$C,'06. BC BH THEO CUSTOMER-USD'!$D28,'01. KE30'!$F:$F,'06. BC BH THEO CUSTOMER-USD'!$H28,'01. KE30'!$A:$A,'06. BC BH THEO CUSTOMER-USD'!X$4)/'06. BC BH THEO CUSTOMER-USD'!DD28/'02. Tỷ giá'!M$5,"-")</f>
        <v>-</v>
      </c>
      <c r="Z28" s="92">
        <f t="shared" si="77"/>
        <v>711.25897631779981</v>
      </c>
      <c r="AA28" s="147" t="str">
        <f>IFERROR(SUMIFS('01. KE30'!$O:$O,'01. KE30'!$C:$C,'06. BC BH THEO CUSTOMER-USD'!$D28,'01. KE30'!$F:$F,'06. BC BH THEO CUSTOMER-USD'!$H28,'01. KE30'!$A:$A,'06. BC BH THEO CUSTOMER-USD'!M$4)/'06. BC BH THEO CUSTOMER-USD'!CS28/'02. Tỷ giá'!B$5,"-")</f>
        <v>-</v>
      </c>
      <c r="AB28" s="147" t="str">
        <f>IFERROR(SUMIFS('01. KE30'!$O:$O,'01. KE30'!$C:$C,'06. BC BH THEO CUSTOMER-USD'!$D28,'01. KE30'!$F:$F,'06. BC BH THEO CUSTOMER-USD'!$H28,'01. KE30'!$A:$A,'06. BC BH THEO CUSTOMER-USD'!N$4)/'06. BC BH THEO CUSTOMER-USD'!CT28/'02. Tỷ giá'!C$5,"-")</f>
        <v>-</v>
      </c>
      <c r="AC28" s="147" t="str">
        <f>IFERROR(SUMIFS('01. KE30'!$O:$O,'01. KE30'!$C:$C,'06. BC BH THEO CUSTOMER-USD'!$D28,'01. KE30'!$F:$F,'06. BC BH THEO CUSTOMER-USD'!$H28,'01. KE30'!$A:$A,'06. BC BH THEO CUSTOMER-USD'!O$4)/'06. BC BH THEO CUSTOMER-USD'!CU28/'02. Tỷ giá'!D$5,"-")</f>
        <v>-</v>
      </c>
      <c r="AD28" s="147" t="str">
        <f>IFERROR(SUMIFS('01. KE30'!$O:$O,'01. KE30'!$C:$C,'06. BC BH THEO CUSTOMER-USD'!$D28,'01. KE30'!$F:$F,'06. BC BH THEO CUSTOMER-USD'!$H28,'01. KE30'!$A:$A,'06. BC BH THEO CUSTOMER-USD'!P$4)/'06. BC BH THEO CUSTOMER-USD'!CV28/'02. Tỷ giá'!E$5,"-")</f>
        <v>-</v>
      </c>
      <c r="AE28" s="147" t="str">
        <f>IFERROR(SUMIFS('01. KE30'!$O:$O,'01. KE30'!$C:$C,'06. BC BH THEO CUSTOMER-USD'!$D28,'01. KE30'!$F:$F,'06. BC BH THEO CUSTOMER-USD'!$H28,'01. KE30'!$A:$A,'06. BC BH THEO CUSTOMER-USD'!Q$4)/'06. BC BH THEO CUSTOMER-USD'!CW28/'02. Tỷ giá'!F$5,"-")</f>
        <v>-</v>
      </c>
      <c r="AF28" s="147" t="str">
        <f>IFERROR(SUMIFS('01. KE30'!$O:$O,'01. KE30'!$C:$C,'06. BC BH THEO CUSTOMER-USD'!$D28,'01. KE30'!$F:$F,'06. BC BH THEO CUSTOMER-USD'!$H28,'01. KE30'!$A:$A,'06. BC BH THEO CUSTOMER-USD'!R$4)/'06. BC BH THEO CUSTOMER-USD'!CX28/'02. Tỷ giá'!G$5,"-")</f>
        <v>-</v>
      </c>
      <c r="AG28" s="147" t="str">
        <f>IFERROR(SUMIFS('01. KE30'!$O:$O,'01. KE30'!$C:$C,'06. BC BH THEO CUSTOMER-USD'!$D28,'01. KE30'!$F:$F,'06. BC BH THEO CUSTOMER-USD'!$H28,'01. KE30'!$A:$A,'06. BC BH THEO CUSTOMER-USD'!S$4)/'06. BC BH THEO CUSTOMER-USD'!CY28/'02. Tỷ giá'!H$5,"-")</f>
        <v>-</v>
      </c>
      <c r="AH28" s="147">
        <f>IFERROR(SUMIFS('01. KE30'!$O:$O,'01. KE30'!$C:$C,'06. BC BH THEO CUSTOMER-USD'!$D28,'01. KE30'!$F:$F,'06. BC BH THEO CUSTOMER-USD'!$H28,'01. KE30'!$A:$A,'06. BC BH THEO CUSTOMER-USD'!T$4)/'06. BC BH THEO CUSTOMER-USD'!CZ28/'02. Tỷ giá'!I$5,"-")</f>
        <v>711.25897631779981</v>
      </c>
      <c r="AI28" s="147" t="str">
        <f>IFERROR(SUMIFS('01. KE30'!$O:$O,'01. KE30'!$C:$C,'06. BC BH THEO CUSTOMER-USD'!$D28,'01. KE30'!$F:$F,'06. BC BH THEO CUSTOMER-USD'!$H28,'01. KE30'!$A:$A,'06. BC BH THEO CUSTOMER-USD'!U$4)/'06. BC BH THEO CUSTOMER-USD'!DA28/'02. Tỷ giá'!J$5,"-")</f>
        <v>-</v>
      </c>
      <c r="AJ28" s="147" t="str">
        <f>IFERROR(SUMIFS('01. KE30'!$O:$O,'01. KE30'!$C:$C,'06. BC BH THEO CUSTOMER-USD'!$D28,'01. KE30'!$F:$F,'06. BC BH THEO CUSTOMER-USD'!$H28,'01. KE30'!$A:$A,'06. BC BH THEO CUSTOMER-USD'!V$4)/'06. BC BH THEO CUSTOMER-USD'!DB28/'02. Tỷ giá'!K$5,"-")</f>
        <v>-</v>
      </c>
      <c r="AK28" s="147" t="str">
        <f>IFERROR(SUMIFS('01. KE30'!$O:$O,'01. KE30'!$C:$C,'06. BC BH THEO CUSTOMER-USD'!$D28,'01. KE30'!$F:$F,'06. BC BH THEO CUSTOMER-USD'!$H28,'01. KE30'!$A:$A,'06. BC BH THEO CUSTOMER-USD'!W$4)/'06. BC BH THEO CUSTOMER-USD'!DC28/'02. Tỷ giá'!L$5,"-")</f>
        <v>-</v>
      </c>
      <c r="AL28" s="147" t="str">
        <f>IFERROR(SUMIFS('01. KE30'!$O:$O,'01. KE30'!$C:$C,'06. BC BH THEO CUSTOMER-USD'!$D28,'01. KE30'!$F:$F,'06. BC BH THEO CUSTOMER-USD'!$H28,'01. KE30'!$A:$A,'06. BC BH THEO CUSTOMER-USD'!X$4)/'06. BC BH THEO CUSTOMER-USD'!DD28/'02. Tỷ giá'!M$5,"-")</f>
        <v>-</v>
      </c>
      <c r="AN28" s="92">
        <f t="shared" si="78"/>
        <v>1236.6666666666667</v>
      </c>
      <c r="AO28" s="25">
        <v>1230</v>
      </c>
      <c r="AP28" s="25">
        <v>1230</v>
      </c>
      <c r="AQ28" s="25">
        <v>1230</v>
      </c>
      <c r="AR28" s="25">
        <f t="shared" si="79"/>
        <v>1250</v>
      </c>
      <c r="AS28" s="25">
        <v>1250</v>
      </c>
      <c r="AT28" s="25">
        <v>1250</v>
      </c>
      <c r="AU28" s="25">
        <v>1250</v>
      </c>
      <c r="AV28" s="4">
        <f t="shared" si="66"/>
        <v>1220</v>
      </c>
      <c r="AW28" s="25">
        <v>1220</v>
      </c>
      <c r="AX28" s="25"/>
      <c r="AY28" s="4"/>
      <c r="AZ28" s="4"/>
      <c r="BB28" s="95">
        <f t="shared" si="80"/>
        <v>-525.40769034886694</v>
      </c>
      <c r="BC28" s="95" t="str">
        <f t="shared" si="81"/>
        <v>-</v>
      </c>
      <c r="BD28" s="95" t="str">
        <f t="shared" si="82"/>
        <v>-</v>
      </c>
      <c r="BE28" s="95" t="str">
        <f t="shared" si="83"/>
        <v>-</v>
      </c>
      <c r="BF28" s="95" t="str">
        <f t="shared" si="84"/>
        <v>-</v>
      </c>
      <c r="BG28" s="95" t="str">
        <f t="shared" si="85"/>
        <v>-</v>
      </c>
      <c r="BH28" s="95" t="str">
        <f t="shared" si="86"/>
        <v>-</v>
      </c>
      <c r="BI28" s="95" t="str">
        <f t="shared" si="87"/>
        <v>-</v>
      </c>
      <c r="BJ28" s="95">
        <f t="shared" si="88"/>
        <v>-508.74102368220019</v>
      </c>
      <c r="BK28" s="95" t="str">
        <f t="shared" si="89"/>
        <v>-</v>
      </c>
      <c r="BL28" s="95" t="str">
        <f t="shared" si="90"/>
        <v>-</v>
      </c>
      <c r="BM28" s="95" t="str">
        <f t="shared" si="91"/>
        <v>-</v>
      </c>
      <c r="BN28" s="95" t="str">
        <f t="shared" si="92"/>
        <v>-</v>
      </c>
      <c r="BP28" s="143">
        <f t="shared" si="93"/>
        <v>-0.42485797063250691</v>
      </c>
      <c r="BQ28" s="143" t="str">
        <f t="shared" si="94"/>
        <v>-</v>
      </c>
      <c r="BR28" s="143" t="str">
        <f t="shared" si="95"/>
        <v>-</v>
      </c>
      <c r="BS28" s="143" t="str">
        <f t="shared" si="96"/>
        <v>-</v>
      </c>
      <c r="BT28" s="143" t="str">
        <f t="shared" si="97"/>
        <v>-</v>
      </c>
      <c r="BU28" s="143" t="str">
        <f t="shared" si="98"/>
        <v>-</v>
      </c>
      <c r="BV28" s="143" t="str">
        <f t="shared" si="99"/>
        <v>-</v>
      </c>
      <c r="BW28" s="143" t="str">
        <f t="shared" si="100"/>
        <v>-</v>
      </c>
      <c r="BX28" s="143">
        <f t="shared" si="101"/>
        <v>-0.41700083908377067</v>
      </c>
      <c r="BY28" s="143" t="str">
        <f t="shared" si="102"/>
        <v>-</v>
      </c>
      <c r="BZ28" s="143" t="str">
        <f t="shared" si="103"/>
        <v>-</v>
      </c>
      <c r="CA28" s="143" t="str">
        <f t="shared" si="104"/>
        <v>-</v>
      </c>
      <c r="CB28" s="143" t="str">
        <f t="shared" si="105"/>
        <v>-</v>
      </c>
      <c r="CD28" s="112">
        <f t="shared" si="106"/>
        <v>1060.8792971734149</v>
      </c>
      <c r="CE28" s="95" t="str">
        <f>IFERROR(SUMIFS('01. KE30'!$R:$R,'01. KE30'!$C:$C,'06. BC BH THEO CUSTOMER-USD'!$D28,'01. KE30'!$F:$F,'06. BC BH THEO CUSTOMER-USD'!$H28,'01. KE30'!$A:$A,'06. BC BH THEO CUSTOMER-USD'!CE$4)/CS28/'02. Tỷ giá'!B$5," -")</f>
        <v xml:space="preserve"> -</v>
      </c>
      <c r="CF28" s="95" t="str">
        <f>IFERROR(SUMIFS('01. KE30'!$R:$R,'01. KE30'!$C:$C,'06. BC BH THEO CUSTOMER-USD'!$D28,'01. KE30'!$F:$F,'06. BC BH THEO CUSTOMER-USD'!$H28,'01. KE30'!$A:$A,'06. BC BH THEO CUSTOMER-USD'!CF$4)/CT28/'02. Tỷ giá'!C$5," -")</f>
        <v xml:space="preserve"> -</v>
      </c>
      <c r="CG28" s="95" t="str">
        <f>IFERROR(SUMIFS('01. KE30'!$R:$R,'01. KE30'!$C:$C,'06. BC BH THEO CUSTOMER-USD'!$D28,'01. KE30'!$F:$F,'06. BC BH THEO CUSTOMER-USD'!$H28,'01. KE30'!$A:$A,'06. BC BH THEO CUSTOMER-USD'!CG$4)/CU28/'02. Tỷ giá'!D$5," -")</f>
        <v xml:space="preserve"> -</v>
      </c>
      <c r="CH28" s="95" t="str">
        <f>IFERROR(SUMIFS('01. KE30'!$R:$R,'01. KE30'!$C:$C,'06. BC BH THEO CUSTOMER-USD'!$D28,'01. KE30'!$F:$F,'06. BC BH THEO CUSTOMER-USD'!$H28,'01. KE30'!$A:$A,'06. BC BH THEO CUSTOMER-USD'!CH$4)/CV28/'02. Tỷ giá'!E$5," -")</f>
        <v xml:space="preserve"> -</v>
      </c>
      <c r="CI28" s="95" t="str">
        <f>IFERROR(SUMIFS('01. KE30'!$R:$R,'01. KE30'!$C:$C,'06. BC BH THEO CUSTOMER-USD'!$D28,'01. KE30'!$F:$F,'06. BC BH THEO CUSTOMER-USD'!$H28,'01. KE30'!$A:$A,'06. BC BH THEO CUSTOMER-USD'!CI$4)/CW28/'02. Tỷ giá'!F$5," -")</f>
        <v xml:space="preserve"> -</v>
      </c>
      <c r="CJ28" s="95" t="str">
        <f>IFERROR(SUMIFS('01. KE30'!$R:$R,'01. KE30'!$C:$C,'06. BC BH THEO CUSTOMER-USD'!$D28,'01. KE30'!$F:$F,'06. BC BH THEO CUSTOMER-USD'!$H28,'01. KE30'!$A:$A,'06. BC BH THEO CUSTOMER-USD'!CJ$4)/CX28/'02. Tỷ giá'!G$5," -")</f>
        <v xml:space="preserve"> -</v>
      </c>
      <c r="CK28" s="95" t="str">
        <f>IFERROR(SUMIFS('01. KE30'!$R:$R,'01. KE30'!$C:$C,'06. BC BH THEO CUSTOMER-USD'!$D28,'01. KE30'!$F:$F,'06. BC BH THEO CUSTOMER-USD'!$H28,'01. KE30'!$A:$A,'06. BC BH THEO CUSTOMER-USD'!CK$4)/CY28/'02. Tỷ giá'!H$5," -")</f>
        <v xml:space="preserve"> -</v>
      </c>
      <c r="CL28" s="95">
        <f>IFERROR(SUMIFS('01. KE30'!$R:$R,'01. KE30'!$C:$C,'06. BC BH THEO CUSTOMER-USD'!$D28,'01. KE30'!$F:$F,'06. BC BH THEO CUSTOMER-USD'!$H28,'01. KE30'!$A:$A,'06. BC BH THEO CUSTOMER-USD'!CL$4)/CZ28/'02. Tỷ giá'!I$5," -")</f>
        <v>1060.8792971734149</v>
      </c>
      <c r="CM28" s="95" t="str">
        <f>IFERROR(SUMIFS('01. KE30'!$R:$R,'01. KE30'!$C:$C,'06. BC BH THEO CUSTOMER-USD'!$D28,'01. KE30'!$F:$F,'06. BC BH THEO CUSTOMER-USD'!$H28,'01. KE30'!$A:$A,'06. BC BH THEO CUSTOMER-USD'!CM$4)/DA28/'02. Tỷ giá'!J$5," -")</f>
        <v xml:space="preserve"> -</v>
      </c>
      <c r="CN28" s="95" t="str">
        <f>IFERROR(SUMIFS('01. KE30'!$R:$R,'01. KE30'!$C:$C,'06. BC BH THEO CUSTOMER-USD'!$D28,'01. KE30'!$F:$F,'06. BC BH THEO CUSTOMER-USD'!$H28,'01. KE30'!$A:$A,'06. BC BH THEO CUSTOMER-USD'!CN$4)/DB28/'02. Tỷ giá'!K$5," -")</f>
        <v xml:space="preserve"> -</v>
      </c>
      <c r="CO28" s="95" t="str">
        <f>IFERROR(SUMIFS('01. KE30'!$R:$R,'01. KE30'!$C:$C,'06. BC BH THEO CUSTOMER-USD'!$D28,'01. KE30'!$F:$F,'06. BC BH THEO CUSTOMER-USD'!$H28,'01. KE30'!$A:$A,'06. BC BH THEO CUSTOMER-USD'!CO$4)/DC28/'02. Tỷ giá'!L$5," -")</f>
        <v xml:space="preserve"> -</v>
      </c>
      <c r="CP28" s="95" t="str">
        <f>IFERROR(SUMIFS('01. KE30'!$R:$R,'01. KE30'!$C:$C,'06. BC BH THEO CUSTOMER-USD'!$D28,'01. KE30'!$F:$F,'06. BC BH THEO CUSTOMER-USD'!$H28,'01. KE30'!$A:$A,'06. BC BH THEO CUSTOMER-USD'!CP$4)/DD28/'02. Tỷ giá'!M$5," -")</f>
        <v xml:space="preserve"> -</v>
      </c>
      <c r="CR28" s="112">
        <f t="shared" si="107"/>
        <v>0.3</v>
      </c>
      <c r="CS28" s="114">
        <f>SUMIFS('01. KE30'!$I:$I,'01. KE30'!$C:$C,'06. BC BH THEO CUSTOMER-USD'!$D28,'01. KE30'!$F:$F,'06. BC BH THEO CUSTOMER-USD'!$H28,'01. KE30'!$A:$A,'06. BC BH THEO CUSTOMER-USD'!CS$4)/1000</f>
        <v>0</v>
      </c>
      <c r="CT28" s="114">
        <f>SUMIFS('01. KE30'!$I:$I,'01. KE30'!$C:$C,'06. BC BH THEO CUSTOMER-USD'!$D28,'01. KE30'!$F:$F,'06. BC BH THEO CUSTOMER-USD'!$H28,'01. KE30'!$A:$A,'06. BC BH THEO CUSTOMER-USD'!CT$4)/1000</f>
        <v>0</v>
      </c>
      <c r="CU28" s="114">
        <f>SUMIFS('01. KE30'!$I:$I,'01. KE30'!$C:$C,'06. BC BH THEO CUSTOMER-USD'!$D28,'01. KE30'!$F:$F,'06. BC BH THEO CUSTOMER-USD'!$H28,'01. KE30'!$A:$A,'06. BC BH THEO CUSTOMER-USD'!CU$4)/1000</f>
        <v>0</v>
      </c>
      <c r="CV28" s="114">
        <f>SUMIFS('01. KE30'!$I:$I,'01. KE30'!$C:$C,'06. BC BH THEO CUSTOMER-USD'!$D28,'01. KE30'!$F:$F,'06. BC BH THEO CUSTOMER-USD'!$H28,'01. KE30'!$A:$A,'06. BC BH THEO CUSTOMER-USD'!CV$4)/1000</f>
        <v>0</v>
      </c>
      <c r="CW28" s="114">
        <f>SUMIFS('01. KE30'!$I:$I,'01. KE30'!$C:$C,'06. BC BH THEO CUSTOMER-USD'!$D28,'01. KE30'!$F:$F,'06. BC BH THEO CUSTOMER-USD'!$H28,'01. KE30'!$A:$A,'06. BC BH THEO CUSTOMER-USD'!CW$4)/1000</f>
        <v>0</v>
      </c>
      <c r="CX28" s="114">
        <f>SUMIFS('01. KE30'!$I:$I,'01. KE30'!$C:$C,'06. BC BH THEO CUSTOMER-USD'!$D28,'01. KE30'!$F:$F,'06. BC BH THEO CUSTOMER-USD'!$H28,'01. KE30'!$A:$A,'06. BC BH THEO CUSTOMER-USD'!CX$4)/1000</f>
        <v>0</v>
      </c>
      <c r="CY28" s="114">
        <f>SUMIFS('01. KE30'!$I:$I,'01. KE30'!$C:$C,'06. BC BH THEO CUSTOMER-USD'!$D28,'01. KE30'!$F:$F,'06. BC BH THEO CUSTOMER-USD'!$H28,'01. KE30'!$A:$A,'06. BC BH THEO CUSTOMER-USD'!CY$4)/1000</f>
        <v>0</v>
      </c>
      <c r="CZ28" s="114">
        <f>SUMIFS('01. KE30'!$I:$I,'01. KE30'!$C:$C,'06. BC BH THEO CUSTOMER-USD'!$D28,'01. KE30'!$F:$F,'06. BC BH THEO CUSTOMER-USD'!$H28,'01. KE30'!$A:$A,'06. BC BH THEO CUSTOMER-USD'!CZ$4)/1000</f>
        <v>0.3</v>
      </c>
      <c r="DA28" s="114">
        <f>SUMIFS('01. KE30'!$I:$I,'01. KE30'!$C:$C,'06. BC BH THEO CUSTOMER-USD'!$D28,'01. KE30'!$F:$F,'06. BC BH THEO CUSTOMER-USD'!$H28,'01. KE30'!$A:$A,'06. BC BH THEO CUSTOMER-USD'!DA$4)/1000</f>
        <v>0</v>
      </c>
      <c r="DB28" s="114">
        <f>SUMIFS('01. KE30'!$I:$I,'01. KE30'!$C:$C,'06. BC BH THEO CUSTOMER-USD'!$D28,'01. KE30'!$F:$F,'06. BC BH THEO CUSTOMER-USD'!$H28,'01. KE30'!$A:$A,'06. BC BH THEO CUSTOMER-USD'!DB$4)/1000</f>
        <v>0</v>
      </c>
      <c r="DC28" s="114">
        <f>SUMIFS('01. KE30'!$I:$I,'01. KE30'!$C:$C,'06. BC BH THEO CUSTOMER-USD'!$D28,'01. KE30'!$F:$F,'06. BC BH THEO CUSTOMER-USD'!$H28,'01. KE30'!$A:$A,'06. BC BH THEO CUSTOMER-USD'!DC$4)/1000</f>
        <v>0</v>
      </c>
      <c r="DD28" s="114">
        <f>SUMIFS('01. KE30'!$I:$I,'01. KE30'!$C:$C,'06. BC BH THEO CUSTOMER-USD'!$D28,'01. KE30'!$F:$F,'06. BC BH THEO CUSTOMER-USD'!$H28,'01. KE30'!$A:$A,'06. BC BH THEO CUSTOMER-USD'!DD$4)/1000</f>
        <v>0</v>
      </c>
      <c r="DF28" s="112">
        <f t="shared" si="108"/>
        <v>389.40412528647823</v>
      </c>
      <c r="DG28" s="54" t="str">
        <f t="shared" si="109"/>
        <v>-</v>
      </c>
      <c r="DH28" s="54" t="str">
        <f t="shared" si="110"/>
        <v>-</v>
      </c>
      <c r="DI28" s="54" t="str">
        <f t="shared" si="111"/>
        <v>-</v>
      </c>
      <c r="DJ28" s="54" t="str">
        <f t="shared" si="112"/>
        <v>-</v>
      </c>
      <c r="DK28" s="54" t="str">
        <f t="shared" si="113"/>
        <v>-</v>
      </c>
      <c r="DL28" s="54" t="str">
        <f t="shared" si="114"/>
        <v>-</v>
      </c>
      <c r="DM28" s="54" t="str">
        <f t="shared" si="115"/>
        <v>-</v>
      </c>
      <c r="DN28" s="54">
        <f t="shared" si="116"/>
        <v>389.40412528647823</v>
      </c>
      <c r="DO28" s="54" t="str">
        <f t="shared" si="117"/>
        <v>-</v>
      </c>
      <c r="DP28" s="54" t="str">
        <f t="shared" si="118"/>
        <v>-</v>
      </c>
      <c r="DQ28" s="54" t="str">
        <f t="shared" si="119"/>
        <v>-</v>
      </c>
      <c r="DR28" s="54" t="str">
        <f t="shared" si="120"/>
        <v>-</v>
      </c>
      <c r="DT28" s="112">
        <f t="shared" si="121"/>
        <v>-104.88609625668451</v>
      </c>
      <c r="DU28" s="114">
        <f>IFERROR(SUMIFS('01. KE30'!$X:$X,'01. KE30'!$C:$C,'06. BC BH THEO CUSTOMER-USD'!$D28,'01. KE30'!$F:$F,'06. BC BH THEO CUSTOMER-USD'!$H28,'01. KE30'!$A:$A,'06. BC BH THEO CUSTOMER-USD'!DU$4)-SUMIFS('01. KE30'!$AA:$AA,'01. KE30'!$C:$C,'06. BC BH THEO CUSTOMER-USD'!$D28,'01. KE30'!$F:$F,'06. BC BH THEO CUSTOMER-USD'!$H28,'01. KE30'!$A:$A,'06. BC BH THEO CUSTOMER-USD'!DU$4),"-")</f>
        <v>0</v>
      </c>
      <c r="DV28" s="114">
        <f>IFERROR(SUMIFS('01. KE30'!$X:$X,'01. KE30'!$C:$C,'06. BC BH THEO CUSTOMER-USD'!$D28,'01. KE30'!$F:$F,'06. BC BH THEO CUSTOMER-USD'!$H28,'01. KE30'!$A:$A,'06. BC BH THEO CUSTOMER-USD'!DV$4)-SUMIFS('01. KE30'!$AA:$AA,'01. KE30'!$C:$C,'06. BC BH THEO CUSTOMER-USD'!$D28,'01. KE30'!$F:$F,'06. BC BH THEO CUSTOMER-USD'!$H28,'01. KE30'!$A:$A,'06. BC BH THEO CUSTOMER-USD'!DV$4),"-")</f>
        <v>0</v>
      </c>
      <c r="DW28" s="114">
        <f>IFERROR(SUMIFS('01. KE30'!$X:$X,'01. KE30'!$C:$C,'06. BC BH THEO CUSTOMER-USD'!$D28,'01. KE30'!$F:$F,'06. BC BH THEO CUSTOMER-USD'!$H28,'01. KE30'!$A:$A,'06. BC BH THEO CUSTOMER-USD'!DW$4)-SUMIFS('01. KE30'!$AA:$AA,'01. KE30'!$C:$C,'06. BC BH THEO CUSTOMER-USD'!$D28,'01. KE30'!$F:$F,'06. BC BH THEO CUSTOMER-USD'!$H28,'01. KE30'!$A:$A,'06. BC BH THEO CUSTOMER-USD'!DW$4),"-")</f>
        <v>0</v>
      </c>
      <c r="DX28" s="114">
        <f>IFERROR(SUMIFS('01. KE30'!$X:$X,'01. KE30'!$C:$C,'06. BC BH THEO CUSTOMER-USD'!$D28,'01. KE30'!$F:$F,'06. BC BH THEO CUSTOMER-USD'!$H28,'01. KE30'!$A:$A,'06. BC BH THEO CUSTOMER-USD'!DX$4)-SUMIFS('01. KE30'!$AA:$AA,'01. KE30'!$C:$C,'06. BC BH THEO CUSTOMER-USD'!$D28,'01. KE30'!$F:$F,'06. BC BH THEO CUSTOMER-USD'!$H28,'01. KE30'!$A:$A,'06. BC BH THEO CUSTOMER-USD'!DX$4),"-")</f>
        <v>0</v>
      </c>
      <c r="DY28" s="114">
        <f>IFERROR(SUMIFS('01. KE30'!$X:$X,'01. KE30'!$C:$C,'06. BC BH THEO CUSTOMER-USD'!$D28,'01. KE30'!$F:$F,'06. BC BH THEO CUSTOMER-USD'!$H28,'01. KE30'!$A:$A,'06. BC BH THEO CUSTOMER-USD'!DY$4)-SUMIFS('01. KE30'!$AA:$AA,'01. KE30'!$C:$C,'06. BC BH THEO CUSTOMER-USD'!$D28,'01. KE30'!$F:$F,'06. BC BH THEO CUSTOMER-USD'!$H28,'01. KE30'!$A:$A,'06. BC BH THEO CUSTOMER-USD'!DY$4),"-")</f>
        <v>0</v>
      </c>
      <c r="DZ28" s="114">
        <f>IFERROR(SUMIFS('01. KE30'!$X:$X,'01. KE30'!$C:$C,'06. BC BH THEO CUSTOMER-USD'!$D28,'01. KE30'!$F:$F,'06. BC BH THEO CUSTOMER-USD'!$H28,'01. KE30'!$A:$A,'06. BC BH THEO CUSTOMER-USD'!DZ$4)-SUMIFS('01. KE30'!$AA:$AA,'01. KE30'!$C:$C,'06. BC BH THEO CUSTOMER-USD'!$D28,'01. KE30'!$F:$F,'06. BC BH THEO CUSTOMER-USD'!$H28,'01. KE30'!$A:$A,'06. BC BH THEO CUSTOMER-USD'!DZ$4),"-")</f>
        <v>0</v>
      </c>
      <c r="EA28" s="114">
        <f>IFERROR(SUMIFS('01. KE30'!$X:$X,'01. KE30'!$C:$C,'06. BC BH THEO CUSTOMER-USD'!$D28,'01. KE30'!$F:$F,'06. BC BH THEO CUSTOMER-USD'!$H28,'01. KE30'!$A:$A,'06. BC BH THEO CUSTOMER-USD'!EA$4)-SUMIFS('01. KE30'!$AA:$AA,'01. KE30'!$C:$C,'06. BC BH THEO CUSTOMER-USD'!$D28,'01. KE30'!$F:$F,'06. BC BH THEO CUSTOMER-USD'!$H28,'01. KE30'!$A:$A,'06. BC BH THEO CUSTOMER-USD'!EA$4),"-")</f>
        <v>0</v>
      </c>
      <c r="EB28" s="114">
        <f>IFERROR(SUMIFS('01. KE30'!$X:$X,'01. KE30'!$C:$C,'06. BC BH THEO CUSTOMER-USD'!$D28,'01. KE30'!$F:$F,'06. BC BH THEO CUSTOMER-USD'!$H28,'01. KE30'!$A:$A,'06. BC BH THEO CUSTOMER-USD'!EB$4)-SUMIFS('01. KE30'!$AA:$AA,'01. KE30'!$C:$C,'06. BC BH THEO CUSTOMER-USD'!$D28,'01. KE30'!$F:$F,'06. BC BH THEO CUSTOMER-USD'!$H28,'01. KE30'!$A:$A,'06. BC BH THEO CUSTOMER-USD'!EB$4),"-")</f>
        <v>-104.88609625668451</v>
      </c>
      <c r="EC28" s="114">
        <f>IFERROR(SUMIFS('01. KE30'!$X:$X,'01. KE30'!$C:$C,'06. BC BH THEO CUSTOMER-USD'!$D28,'01. KE30'!$F:$F,'06. BC BH THEO CUSTOMER-USD'!$H28,'01. KE30'!$A:$A,'06. BC BH THEO CUSTOMER-USD'!EC$4)-SUMIFS('01. KE30'!$AA:$AA,'01. KE30'!$C:$C,'06. BC BH THEO CUSTOMER-USD'!$D28,'01. KE30'!$F:$F,'06. BC BH THEO CUSTOMER-USD'!$H28,'01. KE30'!$A:$A,'06. BC BH THEO CUSTOMER-USD'!EC$4),"-")</f>
        <v>0</v>
      </c>
      <c r="ED28" s="114">
        <f>IFERROR(SUMIFS('01. KE30'!$X:$X,'01. KE30'!$C:$C,'06. BC BH THEO CUSTOMER-USD'!$D28,'01. KE30'!$F:$F,'06. BC BH THEO CUSTOMER-USD'!$H28,'01. KE30'!$A:$A,'06. BC BH THEO CUSTOMER-USD'!ED$4)-SUMIFS('01. KE30'!$AA:$AA,'01. KE30'!$C:$C,'06. BC BH THEO CUSTOMER-USD'!$D28,'01. KE30'!$F:$F,'06. BC BH THEO CUSTOMER-USD'!$H28,'01. KE30'!$A:$A,'06. BC BH THEO CUSTOMER-USD'!ED$4),"-")</f>
        <v>0</v>
      </c>
      <c r="EE28" s="114">
        <f>IFERROR(SUMIFS('01. KE30'!$X:$X,'01. KE30'!$C:$C,'06. BC BH THEO CUSTOMER-USD'!$D28,'01. KE30'!$F:$F,'06. BC BH THEO CUSTOMER-USD'!$H28,'01. KE30'!$A:$A,'06. BC BH THEO CUSTOMER-USD'!EE$4)-SUMIFS('01. KE30'!$AA:$AA,'01. KE30'!$C:$C,'06. BC BH THEO CUSTOMER-USD'!$D28,'01. KE30'!$F:$F,'06. BC BH THEO CUSTOMER-USD'!$H28,'01. KE30'!$A:$A,'06. BC BH THEO CUSTOMER-USD'!EE$4),"-")</f>
        <v>0</v>
      </c>
      <c r="EF28" s="114">
        <f>IFERROR(SUMIFS('01. KE30'!$X:$X,'01. KE30'!$C:$C,'06. BC BH THEO CUSTOMER-USD'!$D28,'01. KE30'!$F:$F,'06. BC BH THEO CUSTOMER-USD'!$H28,'01. KE30'!$A:$A,'06. BC BH THEO CUSTOMER-USD'!EF$4)-SUMIFS('01. KE30'!$AA:$AA,'01. KE30'!$C:$C,'06. BC BH THEO CUSTOMER-USD'!$D28,'01. KE30'!$F:$F,'06. BC BH THEO CUSTOMER-USD'!$H28,'01. KE30'!$A:$A,'06. BC BH THEO CUSTOMER-USD'!EF$4),"-")</f>
        <v>0</v>
      </c>
      <c r="EH28" s="571">
        <f t="shared" si="122"/>
        <v>-0.26935024424695431</v>
      </c>
      <c r="EI28" s="572" t="str">
        <f t="shared" si="123"/>
        <v>-</v>
      </c>
      <c r="EJ28" s="572" t="str">
        <f t="shared" si="124"/>
        <v>-</v>
      </c>
      <c r="EK28" s="572" t="str">
        <f t="shared" si="125"/>
        <v>-</v>
      </c>
      <c r="EL28" s="572" t="str">
        <f t="shared" si="126"/>
        <v>-</v>
      </c>
      <c r="EM28" s="572" t="str">
        <f t="shared" si="127"/>
        <v>-</v>
      </c>
      <c r="EN28" s="572" t="str">
        <f t="shared" si="128"/>
        <v>-</v>
      </c>
      <c r="EO28" s="572" t="str">
        <f t="shared" si="129"/>
        <v>-</v>
      </c>
      <c r="EP28" s="572">
        <f t="shared" si="130"/>
        <v>-0.26935024424695431</v>
      </c>
      <c r="EQ28" s="572" t="str">
        <f t="shared" si="131"/>
        <v>-</v>
      </c>
      <c r="ER28" s="572" t="str">
        <f t="shared" si="132"/>
        <v>-</v>
      </c>
      <c r="ES28" s="572" t="str">
        <f t="shared" si="133"/>
        <v>-</v>
      </c>
      <c r="ET28" s="572" t="str">
        <f t="shared" si="134"/>
        <v>-</v>
      </c>
    </row>
    <row r="29" spans="1:150" ht="15.5" hidden="1" outlineLevel="1" x14ac:dyDescent="0.35">
      <c r="A29" s="27">
        <f>A26+1</f>
        <v>22</v>
      </c>
      <c r="B29" s="27" t="s">
        <v>283</v>
      </c>
      <c r="C29" s="442" t="s">
        <v>489</v>
      </c>
      <c r="D29" s="9" t="s">
        <v>136</v>
      </c>
      <c r="E29" s="31" t="s">
        <v>135</v>
      </c>
      <c r="F29" s="31" t="s">
        <v>251</v>
      </c>
      <c r="G29" s="12" t="str">
        <f>_xlfn.XLOOKUP(F29,'Quy đổi'!$G$5:$G$32,'Quy đổi'!$H$5:$H$32,0)</f>
        <v>Châu á</v>
      </c>
      <c r="H29" s="77" t="s">
        <v>110</v>
      </c>
      <c r="I29" s="31" t="s">
        <v>109</v>
      </c>
      <c r="J29" s="13" t="s">
        <v>26</v>
      </c>
      <c r="K29" s="11" t="s">
        <v>113</v>
      </c>
      <c r="L29" s="92" t="str">
        <f t="shared" si="42"/>
        <v>-</v>
      </c>
      <c r="M29" s="106" t="str">
        <f>IFERROR(SUMIFS('01. KE30'!$K:$K,'01. KE30'!$C:$C,'06. BC BH THEO CUSTOMER-USD'!$D29,'01. KE30'!$F:$F,'06. BC BH THEO CUSTOMER-USD'!$H29,'01. KE30'!$A:$A,'06. BC BH THEO CUSTOMER-USD'!M$4)/'06. BC BH THEO CUSTOMER-USD'!CS29/'02. Tỷ giá'!B$5,"-")</f>
        <v>-</v>
      </c>
      <c r="N29" s="106" t="str">
        <f>IFERROR(SUMIFS('01. KE30'!$K:$K,'01. KE30'!$C:$C,'06. BC BH THEO CUSTOMER-USD'!$D29,'01. KE30'!$F:$F,'06. BC BH THEO CUSTOMER-USD'!$H29,'01. KE30'!$A:$A,'06. BC BH THEO CUSTOMER-USD'!N$4)/'06. BC BH THEO CUSTOMER-USD'!CT29/'02. Tỷ giá'!C$5,"-")</f>
        <v>-</v>
      </c>
      <c r="O29" s="106" t="str">
        <f>IFERROR(SUMIFS('01. KE30'!$K:$K,'01. KE30'!$C:$C,'06. BC BH THEO CUSTOMER-USD'!$D29,'01. KE30'!$F:$F,'06. BC BH THEO CUSTOMER-USD'!$H29,'01. KE30'!$A:$A,'06. BC BH THEO CUSTOMER-USD'!O$4)/'06. BC BH THEO CUSTOMER-USD'!CU29/'02. Tỷ giá'!D$5,"-")</f>
        <v>-</v>
      </c>
      <c r="P29" s="106" t="str">
        <f>IFERROR(SUMIFS('01. KE30'!$K:$K,'01. KE30'!$C:$C,'06. BC BH THEO CUSTOMER-USD'!$D29,'01. KE30'!$F:$F,'06. BC BH THEO CUSTOMER-USD'!$H29,'01. KE30'!$A:$A,'06. BC BH THEO CUSTOMER-USD'!P$4)/'06. BC BH THEO CUSTOMER-USD'!CV29/'02. Tỷ giá'!E$5,"-")</f>
        <v>-</v>
      </c>
      <c r="Q29" s="106" t="str">
        <f>IFERROR(SUMIFS('01. KE30'!$K:$K,'01. KE30'!$C:$C,'06. BC BH THEO CUSTOMER-USD'!$D29,'01. KE30'!$F:$F,'06. BC BH THEO CUSTOMER-USD'!$H29,'01. KE30'!$A:$A,'06. BC BH THEO CUSTOMER-USD'!Q$4)/'06. BC BH THEO CUSTOMER-USD'!CW29/'02. Tỷ giá'!F$5,"-")</f>
        <v>-</v>
      </c>
      <c r="R29" s="106" t="str">
        <f>IFERROR(SUMIFS('01. KE30'!$K:$K,'01. KE30'!$C:$C,'06. BC BH THEO CUSTOMER-USD'!$D29,'01. KE30'!$F:$F,'06. BC BH THEO CUSTOMER-USD'!$H29,'01. KE30'!$A:$A,'06. BC BH THEO CUSTOMER-USD'!R$4)/'06. BC BH THEO CUSTOMER-USD'!CX29/'02. Tỷ giá'!G$5,"-")</f>
        <v>-</v>
      </c>
      <c r="S29" s="106" t="str">
        <f>IFERROR(SUMIFS('01. KE30'!$K:$K,'01. KE30'!$C:$C,'06. BC BH THEO CUSTOMER-USD'!$D29,'01. KE30'!$F:$F,'06. BC BH THEO CUSTOMER-USD'!$H29,'01. KE30'!$A:$A,'06. BC BH THEO CUSTOMER-USD'!S$4)/'06. BC BH THEO CUSTOMER-USD'!CY29/'02. Tỷ giá'!H$5,"-")</f>
        <v>-</v>
      </c>
      <c r="T29" s="106" t="str">
        <f>IFERROR(SUMIFS('01. KE30'!$K:$K,'01. KE30'!$C:$C,'06. BC BH THEO CUSTOMER-USD'!$D29,'01. KE30'!$F:$F,'06. BC BH THEO CUSTOMER-USD'!$H29,'01. KE30'!$A:$A,'06. BC BH THEO CUSTOMER-USD'!T$4)/'06. BC BH THEO CUSTOMER-USD'!CZ29/'02. Tỷ giá'!I$5,"-")</f>
        <v>-</v>
      </c>
      <c r="U29" s="106" t="str">
        <f>IFERROR(SUMIFS('01. KE30'!$K:$K,'01. KE30'!$C:$C,'06. BC BH THEO CUSTOMER-USD'!$D29,'01. KE30'!$F:$F,'06. BC BH THEO CUSTOMER-USD'!$H29,'01. KE30'!$A:$A,'06. BC BH THEO CUSTOMER-USD'!U$4)/'06. BC BH THEO CUSTOMER-USD'!DA29/'02. Tỷ giá'!J$5,"-")</f>
        <v>-</v>
      </c>
      <c r="V29" s="106" t="str">
        <f>IFERROR(SUMIFS('01. KE30'!$K:$K,'01. KE30'!$C:$C,'06. BC BH THEO CUSTOMER-USD'!$D29,'01. KE30'!$F:$F,'06. BC BH THEO CUSTOMER-USD'!$H29,'01. KE30'!$A:$A,'06. BC BH THEO CUSTOMER-USD'!V$4)/'06. BC BH THEO CUSTOMER-USD'!DB29/'02. Tỷ giá'!K$5,"-")</f>
        <v>-</v>
      </c>
      <c r="W29" s="106" t="str">
        <f>IFERROR(SUMIFS('01. KE30'!$K:$K,'01. KE30'!$C:$C,'06. BC BH THEO CUSTOMER-USD'!$D29,'01. KE30'!$F:$F,'06. BC BH THEO CUSTOMER-USD'!$H29,'01. KE30'!$A:$A,'06. BC BH THEO CUSTOMER-USD'!W$4)/'06. BC BH THEO CUSTOMER-USD'!DC29/'02. Tỷ giá'!L$5,"-")</f>
        <v>-</v>
      </c>
      <c r="X29" s="106" t="str">
        <f>IFERROR(SUMIFS('01. KE30'!$K:$K,'01. KE30'!$C:$C,'06. BC BH THEO CUSTOMER-USD'!$D29,'01. KE30'!$F:$F,'06. BC BH THEO CUSTOMER-USD'!$H29,'01. KE30'!$A:$A,'06. BC BH THEO CUSTOMER-USD'!X$4)/'06. BC BH THEO CUSTOMER-USD'!DD29/'02. Tỷ giá'!M$5,"-")</f>
        <v>-</v>
      </c>
      <c r="Z29" s="92" t="str">
        <f t="shared" si="43"/>
        <v>-</v>
      </c>
      <c r="AA29" s="147" t="str">
        <f>IFERROR(SUMIFS('01. KE30'!$O:$O,'01. KE30'!$C:$C,'06. BC BH THEO CUSTOMER-USD'!$D29,'01. KE30'!$F:$F,'06. BC BH THEO CUSTOMER-USD'!$H29,'01. KE30'!$A:$A,'06. BC BH THEO CUSTOMER-USD'!M$4)/'06. BC BH THEO CUSTOMER-USD'!CS29/'02. Tỷ giá'!B$5,"-")</f>
        <v>-</v>
      </c>
      <c r="AB29" s="147" t="str">
        <f>IFERROR(SUMIFS('01. KE30'!$O:$O,'01. KE30'!$C:$C,'06. BC BH THEO CUSTOMER-USD'!$D29,'01. KE30'!$F:$F,'06. BC BH THEO CUSTOMER-USD'!$H29,'01. KE30'!$A:$A,'06. BC BH THEO CUSTOMER-USD'!N$4)/'06. BC BH THEO CUSTOMER-USD'!CT29/'02. Tỷ giá'!C$5,"-")</f>
        <v>-</v>
      </c>
      <c r="AC29" s="147" t="str">
        <f>IFERROR(SUMIFS('01. KE30'!$O:$O,'01. KE30'!$C:$C,'06. BC BH THEO CUSTOMER-USD'!$D29,'01. KE30'!$F:$F,'06. BC BH THEO CUSTOMER-USD'!$H29,'01. KE30'!$A:$A,'06. BC BH THEO CUSTOMER-USD'!O$4)/'06. BC BH THEO CUSTOMER-USD'!CU29/'02. Tỷ giá'!D$5,"-")</f>
        <v>-</v>
      </c>
      <c r="AD29" s="147" t="str">
        <f>IFERROR(SUMIFS('01. KE30'!$O:$O,'01. KE30'!$C:$C,'06. BC BH THEO CUSTOMER-USD'!$D29,'01. KE30'!$F:$F,'06. BC BH THEO CUSTOMER-USD'!$H29,'01. KE30'!$A:$A,'06. BC BH THEO CUSTOMER-USD'!P$4)/'06. BC BH THEO CUSTOMER-USD'!CV29/'02. Tỷ giá'!E$5,"-")</f>
        <v>-</v>
      </c>
      <c r="AE29" s="147" t="str">
        <f>IFERROR(SUMIFS('01. KE30'!$O:$O,'01. KE30'!$C:$C,'06. BC BH THEO CUSTOMER-USD'!$D29,'01. KE30'!$F:$F,'06. BC BH THEO CUSTOMER-USD'!$H29,'01. KE30'!$A:$A,'06. BC BH THEO CUSTOMER-USD'!Q$4)/'06. BC BH THEO CUSTOMER-USD'!CW29/'02. Tỷ giá'!F$5,"-")</f>
        <v>-</v>
      </c>
      <c r="AF29" s="147" t="str">
        <f>IFERROR(SUMIFS('01. KE30'!$O:$O,'01. KE30'!$C:$C,'06. BC BH THEO CUSTOMER-USD'!$D29,'01. KE30'!$F:$F,'06. BC BH THEO CUSTOMER-USD'!$H29,'01. KE30'!$A:$A,'06. BC BH THEO CUSTOMER-USD'!R$4)/'06. BC BH THEO CUSTOMER-USD'!CX29/'02. Tỷ giá'!G$5,"-")</f>
        <v>-</v>
      </c>
      <c r="AG29" s="147" t="str">
        <f>IFERROR(SUMIFS('01. KE30'!$O:$O,'01. KE30'!$C:$C,'06. BC BH THEO CUSTOMER-USD'!$D29,'01. KE30'!$F:$F,'06. BC BH THEO CUSTOMER-USD'!$H29,'01. KE30'!$A:$A,'06. BC BH THEO CUSTOMER-USD'!S$4)/'06. BC BH THEO CUSTOMER-USD'!CY29/'02. Tỷ giá'!H$5,"-")</f>
        <v>-</v>
      </c>
      <c r="AH29" s="147" t="str">
        <f>IFERROR(SUMIFS('01. KE30'!$O:$O,'01. KE30'!$C:$C,'06. BC BH THEO CUSTOMER-USD'!$D29,'01. KE30'!$F:$F,'06. BC BH THEO CUSTOMER-USD'!$H29,'01. KE30'!$A:$A,'06. BC BH THEO CUSTOMER-USD'!T$4)/'06. BC BH THEO CUSTOMER-USD'!CZ29/'02. Tỷ giá'!I$5,"-")</f>
        <v>-</v>
      </c>
      <c r="AI29" s="147" t="str">
        <f>IFERROR(SUMIFS('01. KE30'!$O:$O,'01. KE30'!$C:$C,'06. BC BH THEO CUSTOMER-USD'!$D29,'01. KE30'!$F:$F,'06. BC BH THEO CUSTOMER-USD'!$H29,'01. KE30'!$A:$A,'06. BC BH THEO CUSTOMER-USD'!U$4)/'06. BC BH THEO CUSTOMER-USD'!DA29/'02. Tỷ giá'!J$5,"-")</f>
        <v>-</v>
      </c>
      <c r="AJ29" s="147" t="str">
        <f>IFERROR(SUMIFS('01. KE30'!$O:$O,'01. KE30'!$C:$C,'06. BC BH THEO CUSTOMER-USD'!$D29,'01. KE30'!$F:$F,'06. BC BH THEO CUSTOMER-USD'!$H29,'01. KE30'!$A:$A,'06. BC BH THEO CUSTOMER-USD'!V$4)/'06. BC BH THEO CUSTOMER-USD'!DB29/'02. Tỷ giá'!K$5,"-")</f>
        <v>-</v>
      </c>
      <c r="AK29" s="147" t="str">
        <f>IFERROR(SUMIFS('01. KE30'!$O:$O,'01. KE30'!$C:$C,'06. BC BH THEO CUSTOMER-USD'!$D29,'01. KE30'!$F:$F,'06. BC BH THEO CUSTOMER-USD'!$H29,'01. KE30'!$A:$A,'06. BC BH THEO CUSTOMER-USD'!W$4)/'06. BC BH THEO CUSTOMER-USD'!DC29/'02. Tỷ giá'!L$5,"-")</f>
        <v>-</v>
      </c>
      <c r="AL29" s="147" t="str">
        <f>IFERROR(SUMIFS('01. KE30'!$O:$O,'01. KE30'!$C:$C,'06. BC BH THEO CUSTOMER-USD'!$D29,'01. KE30'!$F:$F,'06. BC BH THEO CUSTOMER-USD'!$H29,'01. KE30'!$A:$A,'06. BC BH THEO CUSTOMER-USD'!X$4)/'06. BC BH THEO CUSTOMER-USD'!DD29/'02. Tỷ giá'!M$5,"-")</f>
        <v>-</v>
      </c>
      <c r="AN29" s="92">
        <f t="shared" si="44"/>
        <v>1236.6666666666667</v>
      </c>
      <c r="AO29" s="25">
        <v>1230</v>
      </c>
      <c r="AP29" s="25">
        <v>1230</v>
      </c>
      <c r="AQ29" s="25">
        <v>1230</v>
      </c>
      <c r="AR29" s="25">
        <f t="shared" ref="AR29:AR38" si="135">AQ29+20</f>
        <v>1250</v>
      </c>
      <c r="AS29" s="25">
        <v>1250</v>
      </c>
      <c r="AT29" s="25">
        <v>1250</v>
      </c>
      <c r="AU29" s="25">
        <v>1250</v>
      </c>
      <c r="AV29" s="4">
        <f t="shared" si="66"/>
        <v>1220</v>
      </c>
      <c r="AW29" s="25">
        <v>1220</v>
      </c>
      <c r="AX29" s="25"/>
      <c r="AY29" s="4"/>
      <c r="AZ29" s="4"/>
      <c r="BB29" s="95" t="str">
        <f t="shared" si="45"/>
        <v>-</v>
      </c>
      <c r="BC29" s="95" t="str">
        <f t="shared" si="46"/>
        <v>-</v>
      </c>
      <c r="BD29" s="95" t="str">
        <f t="shared" si="74"/>
        <v>-</v>
      </c>
      <c r="BE29" s="95" t="str">
        <f t="shared" si="74"/>
        <v>-</v>
      </c>
      <c r="BF29" s="95" t="str">
        <f t="shared" si="74"/>
        <v>-</v>
      </c>
      <c r="BG29" s="95" t="str">
        <f t="shared" si="74"/>
        <v>-</v>
      </c>
      <c r="BH29" s="95" t="str">
        <f t="shared" si="74"/>
        <v>-</v>
      </c>
      <c r="BI29" s="95" t="str">
        <f t="shared" si="74"/>
        <v>-</v>
      </c>
      <c r="BJ29" s="95" t="str">
        <f t="shared" si="74"/>
        <v>-</v>
      </c>
      <c r="BK29" s="95" t="str">
        <f t="shared" si="74"/>
        <v>-</v>
      </c>
      <c r="BL29" s="95" t="str">
        <f t="shared" si="74"/>
        <v>-</v>
      </c>
      <c r="BM29" s="95" t="str">
        <f t="shared" si="74"/>
        <v>-</v>
      </c>
      <c r="BN29" s="95" t="str">
        <f t="shared" si="74"/>
        <v>-</v>
      </c>
      <c r="BP29" s="143" t="str">
        <f t="shared" si="47"/>
        <v>-</v>
      </c>
      <c r="BQ29" s="143" t="str">
        <f t="shared" si="8"/>
        <v>-</v>
      </c>
      <c r="BR29" s="143" t="str">
        <f t="shared" si="9"/>
        <v>-</v>
      </c>
      <c r="BS29" s="143" t="str">
        <f t="shared" si="10"/>
        <v>-</v>
      </c>
      <c r="BT29" s="143" t="str">
        <f t="shared" si="11"/>
        <v>-</v>
      </c>
      <c r="BU29" s="143" t="str">
        <f t="shared" si="12"/>
        <v>-</v>
      </c>
      <c r="BV29" s="143" t="str">
        <f t="shared" si="13"/>
        <v>-</v>
      </c>
      <c r="BW29" s="143" t="str">
        <f t="shared" si="14"/>
        <v>-</v>
      </c>
      <c r="BX29" s="143" t="str">
        <f t="shared" si="15"/>
        <v>-</v>
      </c>
      <c r="BY29" s="143" t="str">
        <f t="shared" si="16"/>
        <v>-</v>
      </c>
      <c r="BZ29" s="143" t="str">
        <f t="shared" si="17"/>
        <v>-</v>
      </c>
      <c r="CA29" s="143" t="str">
        <f t="shared" si="18"/>
        <v>-</v>
      </c>
      <c r="CB29" s="143" t="str">
        <f t="shared" si="19"/>
        <v>-</v>
      </c>
      <c r="CD29" s="112" t="str">
        <f t="shared" si="25"/>
        <v>-</v>
      </c>
      <c r="CE29" s="95" t="str">
        <f>IFERROR(SUMIFS('01. KE30'!$R:$R,'01. KE30'!$C:$C,'06. BC BH THEO CUSTOMER-USD'!$D29,'01. KE30'!$F:$F,'06. BC BH THEO CUSTOMER-USD'!$H29,'01. KE30'!$A:$A,'06. BC BH THEO CUSTOMER-USD'!CE$4)/CS29/'02. Tỷ giá'!B$5," -")</f>
        <v xml:space="preserve"> -</v>
      </c>
      <c r="CF29" s="95" t="str">
        <f>IFERROR(SUMIFS('01. KE30'!$R:$R,'01. KE30'!$C:$C,'06. BC BH THEO CUSTOMER-USD'!$D29,'01. KE30'!$F:$F,'06. BC BH THEO CUSTOMER-USD'!$H29,'01. KE30'!$A:$A,'06. BC BH THEO CUSTOMER-USD'!CF$4)/CT29/'02. Tỷ giá'!C$5," -")</f>
        <v xml:space="preserve"> -</v>
      </c>
      <c r="CG29" s="95" t="str">
        <f>IFERROR(SUMIFS('01. KE30'!$R:$R,'01. KE30'!$C:$C,'06. BC BH THEO CUSTOMER-USD'!$D29,'01. KE30'!$F:$F,'06. BC BH THEO CUSTOMER-USD'!$H29,'01. KE30'!$A:$A,'06. BC BH THEO CUSTOMER-USD'!CG$4)/CU29/'02. Tỷ giá'!D$5," -")</f>
        <v xml:space="preserve"> -</v>
      </c>
      <c r="CH29" s="95" t="str">
        <f>IFERROR(SUMIFS('01. KE30'!$R:$R,'01. KE30'!$C:$C,'06. BC BH THEO CUSTOMER-USD'!$D29,'01. KE30'!$F:$F,'06. BC BH THEO CUSTOMER-USD'!$H29,'01. KE30'!$A:$A,'06. BC BH THEO CUSTOMER-USD'!CH$4)/CV29/'02. Tỷ giá'!E$5," -")</f>
        <v xml:space="preserve"> -</v>
      </c>
      <c r="CI29" s="95" t="str">
        <f>IFERROR(SUMIFS('01. KE30'!$R:$R,'01. KE30'!$C:$C,'06. BC BH THEO CUSTOMER-USD'!$D29,'01. KE30'!$F:$F,'06. BC BH THEO CUSTOMER-USD'!$H29,'01. KE30'!$A:$A,'06. BC BH THEO CUSTOMER-USD'!CI$4)/CW29/'02. Tỷ giá'!F$5," -")</f>
        <v xml:space="preserve"> -</v>
      </c>
      <c r="CJ29" s="95" t="str">
        <f>IFERROR(SUMIFS('01. KE30'!$R:$R,'01. KE30'!$C:$C,'06. BC BH THEO CUSTOMER-USD'!$D29,'01. KE30'!$F:$F,'06. BC BH THEO CUSTOMER-USD'!$H29,'01. KE30'!$A:$A,'06. BC BH THEO CUSTOMER-USD'!CJ$4)/CX29/'02. Tỷ giá'!G$5," -")</f>
        <v xml:space="preserve"> -</v>
      </c>
      <c r="CK29" s="95" t="str">
        <f>IFERROR(SUMIFS('01. KE30'!$R:$R,'01. KE30'!$C:$C,'06. BC BH THEO CUSTOMER-USD'!$D29,'01. KE30'!$F:$F,'06. BC BH THEO CUSTOMER-USD'!$H29,'01. KE30'!$A:$A,'06. BC BH THEO CUSTOMER-USD'!CK$4)/CY29/'02. Tỷ giá'!H$5," -")</f>
        <v xml:space="preserve"> -</v>
      </c>
      <c r="CL29" s="95" t="str">
        <f>IFERROR(SUMIFS('01. KE30'!$R:$R,'01. KE30'!$C:$C,'06. BC BH THEO CUSTOMER-USD'!$D29,'01. KE30'!$F:$F,'06. BC BH THEO CUSTOMER-USD'!$H29,'01. KE30'!$A:$A,'06. BC BH THEO CUSTOMER-USD'!CL$4)/CZ29/'02. Tỷ giá'!I$5," -")</f>
        <v xml:space="preserve"> -</v>
      </c>
      <c r="CM29" s="95" t="str">
        <f>IFERROR(SUMIFS('01. KE30'!$R:$R,'01. KE30'!$C:$C,'06. BC BH THEO CUSTOMER-USD'!$D29,'01. KE30'!$F:$F,'06. BC BH THEO CUSTOMER-USD'!$H29,'01. KE30'!$A:$A,'06. BC BH THEO CUSTOMER-USD'!CM$4)/DA29/'02. Tỷ giá'!J$5," -")</f>
        <v xml:space="preserve"> -</v>
      </c>
      <c r="CN29" s="95" t="str">
        <f>IFERROR(SUMIFS('01. KE30'!$R:$R,'01. KE30'!$C:$C,'06. BC BH THEO CUSTOMER-USD'!$D29,'01. KE30'!$F:$F,'06. BC BH THEO CUSTOMER-USD'!$H29,'01. KE30'!$A:$A,'06. BC BH THEO CUSTOMER-USD'!CN$4)/DB29/'02. Tỷ giá'!K$5," -")</f>
        <v xml:space="preserve"> -</v>
      </c>
      <c r="CO29" s="95" t="str">
        <f>IFERROR(SUMIFS('01. KE30'!$R:$R,'01. KE30'!$C:$C,'06. BC BH THEO CUSTOMER-USD'!$D29,'01. KE30'!$F:$F,'06. BC BH THEO CUSTOMER-USD'!$H29,'01. KE30'!$A:$A,'06. BC BH THEO CUSTOMER-USD'!CO$4)/DC29/'02. Tỷ giá'!L$5," -")</f>
        <v xml:space="preserve"> -</v>
      </c>
      <c r="CP29" s="95" t="str">
        <f>IFERROR(SUMIFS('01. KE30'!$R:$R,'01. KE30'!$C:$C,'06. BC BH THEO CUSTOMER-USD'!$D29,'01. KE30'!$F:$F,'06. BC BH THEO CUSTOMER-USD'!$H29,'01. KE30'!$A:$A,'06. BC BH THEO CUSTOMER-USD'!CP$4)/DD29/'02. Tỷ giá'!M$5," -")</f>
        <v xml:space="preserve"> -</v>
      </c>
      <c r="CR29" s="112">
        <f t="shared" si="26"/>
        <v>0</v>
      </c>
      <c r="CS29" s="114">
        <f>SUMIFS('01. KE30'!$I:$I,'01. KE30'!$C:$C,'06. BC BH THEO CUSTOMER-USD'!$D29,'01. KE30'!$F:$F,'06. BC BH THEO CUSTOMER-USD'!$H29,'01. KE30'!$A:$A,'06. BC BH THEO CUSTOMER-USD'!CS$4)/1000</f>
        <v>0</v>
      </c>
      <c r="CT29" s="114">
        <f>SUMIFS('01. KE30'!$I:$I,'01. KE30'!$C:$C,'06. BC BH THEO CUSTOMER-USD'!$D29,'01. KE30'!$F:$F,'06. BC BH THEO CUSTOMER-USD'!$H29,'01. KE30'!$A:$A,'06. BC BH THEO CUSTOMER-USD'!CT$4)/1000</f>
        <v>0</v>
      </c>
      <c r="CU29" s="114">
        <f>SUMIFS('01. KE30'!$I:$I,'01. KE30'!$C:$C,'06. BC BH THEO CUSTOMER-USD'!$D29,'01. KE30'!$F:$F,'06. BC BH THEO CUSTOMER-USD'!$H29,'01. KE30'!$A:$A,'06. BC BH THEO CUSTOMER-USD'!CU$4)/1000</f>
        <v>0</v>
      </c>
      <c r="CV29" s="114">
        <f>SUMIFS('01. KE30'!$I:$I,'01. KE30'!$C:$C,'06. BC BH THEO CUSTOMER-USD'!$D29,'01. KE30'!$F:$F,'06. BC BH THEO CUSTOMER-USD'!$H29,'01. KE30'!$A:$A,'06. BC BH THEO CUSTOMER-USD'!CV$4)/1000</f>
        <v>0</v>
      </c>
      <c r="CW29" s="114">
        <f>SUMIFS('01. KE30'!$I:$I,'01. KE30'!$C:$C,'06. BC BH THEO CUSTOMER-USD'!$D29,'01. KE30'!$F:$F,'06. BC BH THEO CUSTOMER-USD'!$H29,'01. KE30'!$A:$A,'06. BC BH THEO CUSTOMER-USD'!CW$4)/1000</f>
        <v>0</v>
      </c>
      <c r="CX29" s="114">
        <f>SUMIFS('01. KE30'!$I:$I,'01. KE30'!$C:$C,'06. BC BH THEO CUSTOMER-USD'!$D29,'01. KE30'!$F:$F,'06. BC BH THEO CUSTOMER-USD'!$H29,'01. KE30'!$A:$A,'06. BC BH THEO CUSTOMER-USD'!CX$4)/1000</f>
        <v>0</v>
      </c>
      <c r="CY29" s="114">
        <f>SUMIFS('01. KE30'!$I:$I,'01. KE30'!$C:$C,'06. BC BH THEO CUSTOMER-USD'!$D29,'01. KE30'!$F:$F,'06. BC BH THEO CUSTOMER-USD'!$H29,'01. KE30'!$A:$A,'06. BC BH THEO CUSTOMER-USD'!CY$4)/1000</f>
        <v>0</v>
      </c>
      <c r="CZ29" s="114">
        <f>SUMIFS('01. KE30'!$I:$I,'01. KE30'!$C:$C,'06. BC BH THEO CUSTOMER-USD'!$D29,'01. KE30'!$F:$F,'06. BC BH THEO CUSTOMER-USD'!$H29,'01. KE30'!$A:$A,'06. BC BH THEO CUSTOMER-USD'!CZ$4)/1000</f>
        <v>0</v>
      </c>
      <c r="DA29" s="114">
        <f>SUMIFS('01. KE30'!$I:$I,'01. KE30'!$C:$C,'06. BC BH THEO CUSTOMER-USD'!$D29,'01. KE30'!$F:$F,'06. BC BH THEO CUSTOMER-USD'!$H29,'01. KE30'!$A:$A,'06. BC BH THEO CUSTOMER-USD'!DA$4)/1000</f>
        <v>0</v>
      </c>
      <c r="DB29" s="114">
        <f>SUMIFS('01. KE30'!$I:$I,'01. KE30'!$C:$C,'06. BC BH THEO CUSTOMER-USD'!$D29,'01. KE30'!$F:$F,'06. BC BH THEO CUSTOMER-USD'!$H29,'01. KE30'!$A:$A,'06. BC BH THEO CUSTOMER-USD'!DB$4)/1000</f>
        <v>0</v>
      </c>
      <c r="DC29" s="114">
        <f>SUMIFS('01. KE30'!$I:$I,'01. KE30'!$C:$C,'06. BC BH THEO CUSTOMER-USD'!$D29,'01. KE30'!$F:$F,'06. BC BH THEO CUSTOMER-USD'!$H29,'01. KE30'!$A:$A,'06. BC BH THEO CUSTOMER-USD'!DC$4)/1000</f>
        <v>0</v>
      </c>
      <c r="DD29" s="114">
        <f>SUMIFS('01. KE30'!$I:$I,'01. KE30'!$C:$C,'06. BC BH THEO CUSTOMER-USD'!$D29,'01. KE30'!$F:$F,'06. BC BH THEO CUSTOMER-USD'!$H29,'01. KE30'!$A:$A,'06. BC BH THEO CUSTOMER-USD'!DD$4)/1000</f>
        <v>0</v>
      </c>
      <c r="DF29" s="112">
        <f t="shared" si="73"/>
        <v>0</v>
      </c>
      <c r="DG29" s="54" t="str">
        <f t="shared" si="48"/>
        <v>-</v>
      </c>
      <c r="DH29" s="54" t="str">
        <f t="shared" si="49"/>
        <v>-</v>
      </c>
      <c r="DI29" s="54" t="str">
        <f t="shared" si="50"/>
        <v>-</v>
      </c>
      <c r="DJ29" s="54" t="str">
        <f t="shared" si="51"/>
        <v>-</v>
      </c>
      <c r="DK29" s="54" t="str">
        <f t="shared" si="52"/>
        <v>-</v>
      </c>
      <c r="DL29" s="54" t="str">
        <f t="shared" si="53"/>
        <v>-</v>
      </c>
      <c r="DM29" s="54" t="str">
        <f t="shared" si="54"/>
        <v>-</v>
      </c>
      <c r="DN29" s="54" t="str">
        <f t="shared" si="55"/>
        <v>-</v>
      </c>
      <c r="DO29" s="54" t="str">
        <f t="shared" si="56"/>
        <v>-</v>
      </c>
      <c r="DP29" s="54" t="str">
        <f t="shared" si="57"/>
        <v>-</v>
      </c>
      <c r="DQ29" s="54" t="str">
        <f t="shared" si="58"/>
        <v>-</v>
      </c>
      <c r="DR29" s="54" t="str">
        <f t="shared" si="59"/>
        <v>-</v>
      </c>
      <c r="DT29" s="112">
        <f t="shared" si="60"/>
        <v>0</v>
      </c>
      <c r="DU29" s="114">
        <f>IFERROR(SUMIFS('01. KE30'!$X:$X,'01. KE30'!$C:$C,'06. BC BH THEO CUSTOMER-USD'!$D29,'01. KE30'!$F:$F,'06. BC BH THEO CUSTOMER-USD'!$H29,'01. KE30'!$A:$A,'06. BC BH THEO CUSTOMER-USD'!DU$4)-SUMIFS('01. KE30'!$AA:$AA,'01. KE30'!$C:$C,'06. BC BH THEO CUSTOMER-USD'!$D29,'01. KE30'!$F:$F,'06. BC BH THEO CUSTOMER-USD'!$H29,'01. KE30'!$A:$A,'06. BC BH THEO CUSTOMER-USD'!DU$4),"-")</f>
        <v>0</v>
      </c>
      <c r="DV29" s="114">
        <f>IFERROR(SUMIFS('01. KE30'!$X:$X,'01. KE30'!$C:$C,'06. BC BH THEO CUSTOMER-USD'!$D29,'01. KE30'!$F:$F,'06. BC BH THEO CUSTOMER-USD'!$H29,'01. KE30'!$A:$A,'06. BC BH THEO CUSTOMER-USD'!DV$4)-SUMIFS('01. KE30'!$AA:$AA,'01. KE30'!$C:$C,'06. BC BH THEO CUSTOMER-USD'!$D29,'01. KE30'!$F:$F,'06. BC BH THEO CUSTOMER-USD'!$H29,'01. KE30'!$A:$A,'06. BC BH THEO CUSTOMER-USD'!DV$4),"-")</f>
        <v>0</v>
      </c>
      <c r="DW29" s="114">
        <f>IFERROR(SUMIFS('01. KE30'!$X:$X,'01. KE30'!$C:$C,'06. BC BH THEO CUSTOMER-USD'!$D29,'01. KE30'!$F:$F,'06. BC BH THEO CUSTOMER-USD'!$H29,'01. KE30'!$A:$A,'06. BC BH THEO CUSTOMER-USD'!DW$4)-SUMIFS('01. KE30'!$AA:$AA,'01. KE30'!$C:$C,'06. BC BH THEO CUSTOMER-USD'!$D29,'01. KE30'!$F:$F,'06. BC BH THEO CUSTOMER-USD'!$H29,'01. KE30'!$A:$A,'06. BC BH THEO CUSTOMER-USD'!DW$4),"-")</f>
        <v>0</v>
      </c>
      <c r="DX29" s="114">
        <f>IFERROR(SUMIFS('01. KE30'!$X:$X,'01. KE30'!$C:$C,'06. BC BH THEO CUSTOMER-USD'!$D29,'01. KE30'!$F:$F,'06. BC BH THEO CUSTOMER-USD'!$H29,'01. KE30'!$A:$A,'06. BC BH THEO CUSTOMER-USD'!DX$4)-SUMIFS('01. KE30'!$AA:$AA,'01. KE30'!$C:$C,'06. BC BH THEO CUSTOMER-USD'!$D29,'01. KE30'!$F:$F,'06. BC BH THEO CUSTOMER-USD'!$H29,'01. KE30'!$A:$A,'06. BC BH THEO CUSTOMER-USD'!DX$4),"-")</f>
        <v>0</v>
      </c>
      <c r="DY29" s="114">
        <f>IFERROR(SUMIFS('01. KE30'!$X:$X,'01. KE30'!$C:$C,'06. BC BH THEO CUSTOMER-USD'!$D29,'01. KE30'!$F:$F,'06. BC BH THEO CUSTOMER-USD'!$H29,'01. KE30'!$A:$A,'06. BC BH THEO CUSTOMER-USD'!DY$4)-SUMIFS('01. KE30'!$AA:$AA,'01. KE30'!$C:$C,'06. BC BH THEO CUSTOMER-USD'!$D29,'01. KE30'!$F:$F,'06. BC BH THEO CUSTOMER-USD'!$H29,'01. KE30'!$A:$A,'06. BC BH THEO CUSTOMER-USD'!DY$4),"-")</f>
        <v>0</v>
      </c>
      <c r="DZ29" s="114">
        <f>IFERROR(SUMIFS('01. KE30'!$X:$X,'01. KE30'!$C:$C,'06. BC BH THEO CUSTOMER-USD'!$D29,'01. KE30'!$F:$F,'06. BC BH THEO CUSTOMER-USD'!$H29,'01. KE30'!$A:$A,'06. BC BH THEO CUSTOMER-USD'!DZ$4)-SUMIFS('01. KE30'!$AA:$AA,'01. KE30'!$C:$C,'06. BC BH THEO CUSTOMER-USD'!$D29,'01. KE30'!$F:$F,'06. BC BH THEO CUSTOMER-USD'!$H29,'01. KE30'!$A:$A,'06. BC BH THEO CUSTOMER-USD'!DZ$4),"-")</f>
        <v>0</v>
      </c>
      <c r="EA29" s="114">
        <f>IFERROR(SUMIFS('01. KE30'!$X:$X,'01. KE30'!$C:$C,'06. BC BH THEO CUSTOMER-USD'!$D29,'01. KE30'!$F:$F,'06. BC BH THEO CUSTOMER-USD'!$H29,'01. KE30'!$A:$A,'06. BC BH THEO CUSTOMER-USD'!EA$4)-SUMIFS('01. KE30'!$AA:$AA,'01. KE30'!$C:$C,'06. BC BH THEO CUSTOMER-USD'!$D29,'01. KE30'!$F:$F,'06. BC BH THEO CUSTOMER-USD'!$H29,'01. KE30'!$A:$A,'06. BC BH THEO CUSTOMER-USD'!EA$4),"-")</f>
        <v>0</v>
      </c>
      <c r="EB29" s="114">
        <f>IFERROR(SUMIFS('01. KE30'!$X:$X,'01. KE30'!$C:$C,'06. BC BH THEO CUSTOMER-USD'!$D29,'01. KE30'!$F:$F,'06. BC BH THEO CUSTOMER-USD'!$H29,'01. KE30'!$A:$A,'06. BC BH THEO CUSTOMER-USD'!EB$4)-SUMIFS('01. KE30'!$AA:$AA,'01. KE30'!$C:$C,'06. BC BH THEO CUSTOMER-USD'!$D29,'01. KE30'!$F:$F,'06. BC BH THEO CUSTOMER-USD'!$H29,'01. KE30'!$A:$A,'06. BC BH THEO CUSTOMER-USD'!EB$4),"-")</f>
        <v>0</v>
      </c>
      <c r="EC29" s="114">
        <f>IFERROR(SUMIFS('01. KE30'!$X:$X,'01. KE30'!$C:$C,'06. BC BH THEO CUSTOMER-USD'!$D29,'01. KE30'!$F:$F,'06. BC BH THEO CUSTOMER-USD'!$H29,'01. KE30'!$A:$A,'06. BC BH THEO CUSTOMER-USD'!EC$4)-SUMIFS('01. KE30'!$AA:$AA,'01. KE30'!$C:$C,'06. BC BH THEO CUSTOMER-USD'!$D29,'01. KE30'!$F:$F,'06. BC BH THEO CUSTOMER-USD'!$H29,'01. KE30'!$A:$A,'06. BC BH THEO CUSTOMER-USD'!EC$4),"-")</f>
        <v>0</v>
      </c>
      <c r="ED29" s="114">
        <f>IFERROR(SUMIFS('01. KE30'!$X:$X,'01. KE30'!$C:$C,'06. BC BH THEO CUSTOMER-USD'!$D29,'01. KE30'!$F:$F,'06. BC BH THEO CUSTOMER-USD'!$H29,'01. KE30'!$A:$A,'06. BC BH THEO CUSTOMER-USD'!ED$4)-SUMIFS('01. KE30'!$AA:$AA,'01. KE30'!$C:$C,'06. BC BH THEO CUSTOMER-USD'!$D29,'01. KE30'!$F:$F,'06. BC BH THEO CUSTOMER-USD'!$H29,'01. KE30'!$A:$A,'06. BC BH THEO CUSTOMER-USD'!ED$4),"-")</f>
        <v>0</v>
      </c>
      <c r="EE29" s="114">
        <f>IFERROR(SUMIFS('01. KE30'!$X:$X,'01. KE30'!$C:$C,'06. BC BH THEO CUSTOMER-USD'!$D29,'01. KE30'!$F:$F,'06. BC BH THEO CUSTOMER-USD'!$H29,'01. KE30'!$A:$A,'06. BC BH THEO CUSTOMER-USD'!EE$4)-SUMIFS('01. KE30'!$AA:$AA,'01. KE30'!$C:$C,'06. BC BH THEO CUSTOMER-USD'!$D29,'01. KE30'!$F:$F,'06. BC BH THEO CUSTOMER-USD'!$H29,'01. KE30'!$A:$A,'06. BC BH THEO CUSTOMER-USD'!EE$4),"-")</f>
        <v>0</v>
      </c>
      <c r="EF29" s="114">
        <f>IFERROR(SUMIFS('01. KE30'!$X:$X,'01. KE30'!$C:$C,'06. BC BH THEO CUSTOMER-USD'!$D29,'01. KE30'!$F:$F,'06. BC BH THEO CUSTOMER-USD'!$H29,'01. KE30'!$A:$A,'06. BC BH THEO CUSTOMER-USD'!EF$4)-SUMIFS('01. KE30'!$AA:$AA,'01. KE30'!$C:$C,'06. BC BH THEO CUSTOMER-USD'!$D29,'01. KE30'!$F:$F,'06. BC BH THEO CUSTOMER-USD'!$H29,'01. KE30'!$A:$A,'06. BC BH THEO CUSTOMER-USD'!EF$4),"-")</f>
        <v>0</v>
      </c>
      <c r="EH29" s="571" t="str">
        <f t="shared" si="29"/>
        <v>-</v>
      </c>
      <c r="EI29" s="572" t="str">
        <f t="shared" si="30"/>
        <v>-</v>
      </c>
      <c r="EJ29" s="572" t="str">
        <f t="shared" si="31"/>
        <v>-</v>
      </c>
      <c r="EK29" s="572" t="str">
        <f t="shared" si="32"/>
        <v>-</v>
      </c>
      <c r="EL29" s="572" t="str">
        <f t="shared" si="33"/>
        <v>-</v>
      </c>
      <c r="EM29" s="572" t="str">
        <f t="shared" si="34"/>
        <v>-</v>
      </c>
      <c r="EN29" s="572" t="str">
        <f t="shared" si="35"/>
        <v>-</v>
      </c>
      <c r="EO29" s="572" t="str">
        <f t="shared" si="36"/>
        <v>-</v>
      </c>
      <c r="EP29" s="572" t="str">
        <f t="shared" si="37"/>
        <v>-</v>
      </c>
      <c r="EQ29" s="572" t="str">
        <f t="shared" si="38"/>
        <v>-</v>
      </c>
      <c r="ER29" s="572" t="str">
        <f t="shared" si="39"/>
        <v>-</v>
      </c>
      <c r="ES29" s="572" t="str">
        <f t="shared" si="40"/>
        <v>-</v>
      </c>
      <c r="ET29" s="572" t="str">
        <f t="shared" si="41"/>
        <v>-</v>
      </c>
    </row>
    <row r="30" spans="1:150" ht="15.5" hidden="1" outlineLevel="1" x14ac:dyDescent="0.35">
      <c r="A30" s="27">
        <f t="shared" si="63"/>
        <v>23</v>
      </c>
      <c r="B30" s="27" t="s">
        <v>283</v>
      </c>
      <c r="C30" s="442" t="s">
        <v>489</v>
      </c>
      <c r="D30" s="9" t="s">
        <v>136</v>
      </c>
      <c r="E30" s="31" t="s">
        <v>135</v>
      </c>
      <c r="F30" s="31" t="s">
        <v>251</v>
      </c>
      <c r="G30" s="12" t="str">
        <f>_xlfn.XLOOKUP(F30,'Quy đổi'!$G$5:$G$32,'Quy đổi'!$H$5:$H$32,0)</f>
        <v>Châu á</v>
      </c>
      <c r="H30" s="77" t="s">
        <v>100</v>
      </c>
      <c r="I30" s="31" t="s">
        <v>99</v>
      </c>
      <c r="J30" s="13" t="s">
        <v>26</v>
      </c>
      <c r="K30" s="11" t="s">
        <v>113</v>
      </c>
      <c r="L30" s="92" t="str">
        <f t="shared" si="42"/>
        <v>-</v>
      </c>
      <c r="M30" s="106" t="str">
        <f>IFERROR(SUMIFS('01. KE30'!$K:$K,'01. KE30'!$C:$C,'06. BC BH THEO CUSTOMER-USD'!$D30,'01. KE30'!$F:$F,'06. BC BH THEO CUSTOMER-USD'!$H30,'01. KE30'!$A:$A,'06. BC BH THEO CUSTOMER-USD'!M$4)/'06. BC BH THEO CUSTOMER-USD'!CS30/'02. Tỷ giá'!B$5,"-")</f>
        <v>-</v>
      </c>
      <c r="N30" s="106" t="str">
        <f>IFERROR(SUMIFS('01. KE30'!$K:$K,'01. KE30'!$C:$C,'06. BC BH THEO CUSTOMER-USD'!$D30,'01. KE30'!$F:$F,'06. BC BH THEO CUSTOMER-USD'!$H30,'01. KE30'!$A:$A,'06. BC BH THEO CUSTOMER-USD'!N$4)/'06. BC BH THEO CUSTOMER-USD'!CT30/'02. Tỷ giá'!C$5,"-")</f>
        <v>-</v>
      </c>
      <c r="O30" s="106" t="str">
        <f>IFERROR(SUMIFS('01. KE30'!$K:$K,'01. KE30'!$C:$C,'06. BC BH THEO CUSTOMER-USD'!$D30,'01. KE30'!$F:$F,'06. BC BH THEO CUSTOMER-USD'!$H30,'01. KE30'!$A:$A,'06. BC BH THEO CUSTOMER-USD'!O$4)/'06. BC BH THEO CUSTOMER-USD'!CU30/'02. Tỷ giá'!D$5,"-")</f>
        <v>-</v>
      </c>
      <c r="P30" s="106" t="str">
        <f>IFERROR(SUMIFS('01. KE30'!$K:$K,'01. KE30'!$C:$C,'06. BC BH THEO CUSTOMER-USD'!$D30,'01. KE30'!$F:$F,'06. BC BH THEO CUSTOMER-USD'!$H30,'01. KE30'!$A:$A,'06. BC BH THEO CUSTOMER-USD'!P$4)/'06. BC BH THEO CUSTOMER-USD'!CV30/'02. Tỷ giá'!E$5,"-")</f>
        <v>-</v>
      </c>
      <c r="Q30" s="106" t="str">
        <f>IFERROR(SUMIFS('01. KE30'!$K:$K,'01. KE30'!$C:$C,'06. BC BH THEO CUSTOMER-USD'!$D30,'01. KE30'!$F:$F,'06. BC BH THEO CUSTOMER-USD'!$H30,'01. KE30'!$A:$A,'06. BC BH THEO CUSTOMER-USD'!Q$4)/'06. BC BH THEO CUSTOMER-USD'!CW30/'02. Tỷ giá'!F$5,"-")</f>
        <v>-</v>
      </c>
      <c r="R30" s="106" t="str">
        <f>IFERROR(SUMIFS('01. KE30'!$K:$K,'01. KE30'!$C:$C,'06. BC BH THEO CUSTOMER-USD'!$D30,'01. KE30'!$F:$F,'06. BC BH THEO CUSTOMER-USD'!$H30,'01. KE30'!$A:$A,'06. BC BH THEO CUSTOMER-USD'!R$4)/'06. BC BH THEO CUSTOMER-USD'!CX30/'02. Tỷ giá'!G$5,"-")</f>
        <v>-</v>
      </c>
      <c r="S30" s="106" t="str">
        <f>IFERROR(SUMIFS('01. KE30'!$K:$K,'01. KE30'!$C:$C,'06. BC BH THEO CUSTOMER-USD'!$D30,'01. KE30'!$F:$F,'06. BC BH THEO CUSTOMER-USD'!$H30,'01. KE30'!$A:$A,'06. BC BH THEO CUSTOMER-USD'!S$4)/'06. BC BH THEO CUSTOMER-USD'!CY30/'02. Tỷ giá'!H$5,"-")</f>
        <v>-</v>
      </c>
      <c r="T30" s="106" t="str">
        <f>IFERROR(SUMIFS('01. KE30'!$K:$K,'01. KE30'!$C:$C,'06. BC BH THEO CUSTOMER-USD'!$D30,'01. KE30'!$F:$F,'06. BC BH THEO CUSTOMER-USD'!$H30,'01. KE30'!$A:$A,'06. BC BH THEO CUSTOMER-USD'!T$4)/'06. BC BH THEO CUSTOMER-USD'!CZ30/'02. Tỷ giá'!I$5,"-")</f>
        <v>-</v>
      </c>
      <c r="U30" s="106" t="str">
        <f>IFERROR(SUMIFS('01. KE30'!$K:$K,'01. KE30'!$C:$C,'06. BC BH THEO CUSTOMER-USD'!$D30,'01. KE30'!$F:$F,'06. BC BH THEO CUSTOMER-USD'!$H30,'01. KE30'!$A:$A,'06. BC BH THEO CUSTOMER-USD'!U$4)/'06. BC BH THEO CUSTOMER-USD'!DA30/'02. Tỷ giá'!J$5,"-")</f>
        <v>-</v>
      </c>
      <c r="V30" s="106" t="str">
        <f>IFERROR(SUMIFS('01. KE30'!$K:$K,'01. KE30'!$C:$C,'06. BC BH THEO CUSTOMER-USD'!$D30,'01. KE30'!$F:$F,'06. BC BH THEO CUSTOMER-USD'!$H30,'01. KE30'!$A:$A,'06. BC BH THEO CUSTOMER-USD'!V$4)/'06. BC BH THEO CUSTOMER-USD'!DB30/'02. Tỷ giá'!K$5,"-")</f>
        <v>-</v>
      </c>
      <c r="W30" s="106" t="str">
        <f>IFERROR(SUMIFS('01. KE30'!$K:$K,'01. KE30'!$C:$C,'06. BC BH THEO CUSTOMER-USD'!$D30,'01. KE30'!$F:$F,'06. BC BH THEO CUSTOMER-USD'!$H30,'01. KE30'!$A:$A,'06. BC BH THEO CUSTOMER-USD'!W$4)/'06. BC BH THEO CUSTOMER-USD'!DC30/'02. Tỷ giá'!L$5,"-")</f>
        <v>-</v>
      </c>
      <c r="X30" s="106" t="str">
        <f>IFERROR(SUMIFS('01. KE30'!$K:$K,'01. KE30'!$C:$C,'06. BC BH THEO CUSTOMER-USD'!$D30,'01. KE30'!$F:$F,'06. BC BH THEO CUSTOMER-USD'!$H30,'01. KE30'!$A:$A,'06. BC BH THEO CUSTOMER-USD'!X$4)/'06. BC BH THEO CUSTOMER-USD'!DD30/'02. Tỷ giá'!M$5,"-")</f>
        <v>-</v>
      </c>
      <c r="Z30" s="92" t="str">
        <f t="shared" si="43"/>
        <v>-</v>
      </c>
      <c r="AA30" s="147" t="str">
        <f>IFERROR(SUMIFS('01. KE30'!$O:$O,'01. KE30'!$C:$C,'06. BC BH THEO CUSTOMER-USD'!$D30,'01. KE30'!$F:$F,'06. BC BH THEO CUSTOMER-USD'!$H30,'01. KE30'!$A:$A,'06. BC BH THEO CUSTOMER-USD'!M$4)/'06. BC BH THEO CUSTOMER-USD'!CS30/'02. Tỷ giá'!B$5,"-")</f>
        <v>-</v>
      </c>
      <c r="AB30" s="147" t="str">
        <f>IFERROR(SUMIFS('01. KE30'!$O:$O,'01. KE30'!$C:$C,'06. BC BH THEO CUSTOMER-USD'!$D30,'01. KE30'!$F:$F,'06. BC BH THEO CUSTOMER-USD'!$H30,'01. KE30'!$A:$A,'06. BC BH THEO CUSTOMER-USD'!N$4)/'06. BC BH THEO CUSTOMER-USD'!CT30/'02. Tỷ giá'!C$5,"-")</f>
        <v>-</v>
      </c>
      <c r="AC30" s="147" t="str">
        <f>IFERROR(SUMIFS('01. KE30'!$O:$O,'01. KE30'!$C:$C,'06. BC BH THEO CUSTOMER-USD'!$D30,'01. KE30'!$F:$F,'06. BC BH THEO CUSTOMER-USD'!$H30,'01. KE30'!$A:$A,'06. BC BH THEO CUSTOMER-USD'!O$4)/'06. BC BH THEO CUSTOMER-USD'!CU30/'02. Tỷ giá'!D$5,"-")</f>
        <v>-</v>
      </c>
      <c r="AD30" s="147" t="str">
        <f>IFERROR(SUMIFS('01. KE30'!$O:$O,'01. KE30'!$C:$C,'06. BC BH THEO CUSTOMER-USD'!$D30,'01. KE30'!$F:$F,'06. BC BH THEO CUSTOMER-USD'!$H30,'01. KE30'!$A:$A,'06. BC BH THEO CUSTOMER-USD'!P$4)/'06. BC BH THEO CUSTOMER-USD'!CV30/'02. Tỷ giá'!E$5,"-")</f>
        <v>-</v>
      </c>
      <c r="AE30" s="147" t="str">
        <f>IFERROR(SUMIFS('01. KE30'!$O:$O,'01. KE30'!$C:$C,'06. BC BH THEO CUSTOMER-USD'!$D30,'01. KE30'!$F:$F,'06. BC BH THEO CUSTOMER-USD'!$H30,'01. KE30'!$A:$A,'06. BC BH THEO CUSTOMER-USD'!Q$4)/'06. BC BH THEO CUSTOMER-USD'!CW30/'02. Tỷ giá'!F$5,"-")</f>
        <v>-</v>
      </c>
      <c r="AF30" s="147" t="str">
        <f>IFERROR(SUMIFS('01. KE30'!$O:$O,'01. KE30'!$C:$C,'06. BC BH THEO CUSTOMER-USD'!$D30,'01. KE30'!$F:$F,'06. BC BH THEO CUSTOMER-USD'!$H30,'01. KE30'!$A:$A,'06. BC BH THEO CUSTOMER-USD'!R$4)/'06. BC BH THEO CUSTOMER-USD'!CX30/'02. Tỷ giá'!G$5,"-")</f>
        <v>-</v>
      </c>
      <c r="AG30" s="147" t="str">
        <f>IFERROR(SUMIFS('01. KE30'!$O:$O,'01. KE30'!$C:$C,'06. BC BH THEO CUSTOMER-USD'!$D30,'01. KE30'!$F:$F,'06. BC BH THEO CUSTOMER-USD'!$H30,'01. KE30'!$A:$A,'06. BC BH THEO CUSTOMER-USD'!S$4)/'06. BC BH THEO CUSTOMER-USD'!CY30/'02. Tỷ giá'!H$5,"-")</f>
        <v>-</v>
      </c>
      <c r="AH30" s="147" t="str">
        <f>IFERROR(SUMIFS('01. KE30'!$O:$O,'01. KE30'!$C:$C,'06. BC BH THEO CUSTOMER-USD'!$D30,'01. KE30'!$F:$F,'06. BC BH THEO CUSTOMER-USD'!$H30,'01. KE30'!$A:$A,'06. BC BH THEO CUSTOMER-USD'!T$4)/'06. BC BH THEO CUSTOMER-USD'!CZ30/'02. Tỷ giá'!I$5,"-")</f>
        <v>-</v>
      </c>
      <c r="AI30" s="147" t="str">
        <f>IFERROR(SUMIFS('01. KE30'!$O:$O,'01. KE30'!$C:$C,'06. BC BH THEO CUSTOMER-USD'!$D30,'01. KE30'!$F:$F,'06. BC BH THEO CUSTOMER-USD'!$H30,'01. KE30'!$A:$A,'06. BC BH THEO CUSTOMER-USD'!U$4)/'06. BC BH THEO CUSTOMER-USD'!DA30/'02. Tỷ giá'!J$5,"-")</f>
        <v>-</v>
      </c>
      <c r="AJ30" s="147" t="str">
        <f>IFERROR(SUMIFS('01. KE30'!$O:$O,'01. KE30'!$C:$C,'06. BC BH THEO CUSTOMER-USD'!$D30,'01. KE30'!$F:$F,'06. BC BH THEO CUSTOMER-USD'!$H30,'01. KE30'!$A:$A,'06. BC BH THEO CUSTOMER-USD'!V$4)/'06. BC BH THEO CUSTOMER-USD'!DB30/'02. Tỷ giá'!K$5,"-")</f>
        <v>-</v>
      </c>
      <c r="AK30" s="147" t="str">
        <f>IFERROR(SUMIFS('01. KE30'!$O:$O,'01. KE30'!$C:$C,'06. BC BH THEO CUSTOMER-USD'!$D30,'01. KE30'!$F:$F,'06. BC BH THEO CUSTOMER-USD'!$H30,'01. KE30'!$A:$A,'06. BC BH THEO CUSTOMER-USD'!W$4)/'06. BC BH THEO CUSTOMER-USD'!DC30/'02. Tỷ giá'!L$5,"-")</f>
        <v>-</v>
      </c>
      <c r="AL30" s="147" t="str">
        <f>IFERROR(SUMIFS('01. KE30'!$O:$O,'01. KE30'!$C:$C,'06. BC BH THEO CUSTOMER-USD'!$D30,'01. KE30'!$F:$F,'06. BC BH THEO CUSTOMER-USD'!$H30,'01. KE30'!$A:$A,'06. BC BH THEO CUSTOMER-USD'!X$4)/'06. BC BH THEO CUSTOMER-USD'!DD30/'02. Tỷ giá'!M$5,"-")</f>
        <v>-</v>
      </c>
      <c r="AN30" s="92">
        <f t="shared" si="44"/>
        <v>1266.6666666666667</v>
      </c>
      <c r="AO30" s="25">
        <v>1260</v>
      </c>
      <c r="AP30" s="25">
        <v>1260</v>
      </c>
      <c r="AQ30" s="25">
        <v>1260</v>
      </c>
      <c r="AR30" s="4">
        <f t="shared" si="135"/>
        <v>1280</v>
      </c>
      <c r="AS30" s="4">
        <v>1280</v>
      </c>
      <c r="AT30" s="4">
        <v>1280</v>
      </c>
      <c r="AU30" s="4">
        <v>1280</v>
      </c>
      <c r="AV30" s="4">
        <f t="shared" si="66"/>
        <v>1250</v>
      </c>
      <c r="AW30" s="25">
        <v>1250</v>
      </c>
      <c r="AX30" s="25"/>
      <c r="AY30" s="4"/>
      <c r="AZ30" s="4"/>
      <c r="BB30" s="95" t="str">
        <f t="shared" si="45"/>
        <v>-</v>
      </c>
      <c r="BC30" s="95" t="str">
        <f t="shared" si="46"/>
        <v>-</v>
      </c>
      <c r="BD30" s="95" t="str">
        <f t="shared" si="74"/>
        <v>-</v>
      </c>
      <c r="BE30" s="95" t="str">
        <f t="shared" si="74"/>
        <v>-</v>
      </c>
      <c r="BF30" s="95" t="str">
        <f t="shared" si="74"/>
        <v>-</v>
      </c>
      <c r="BG30" s="95" t="str">
        <f t="shared" si="74"/>
        <v>-</v>
      </c>
      <c r="BH30" s="95" t="str">
        <f t="shared" si="74"/>
        <v>-</v>
      </c>
      <c r="BI30" s="95" t="str">
        <f t="shared" si="74"/>
        <v>-</v>
      </c>
      <c r="BJ30" s="95" t="str">
        <f t="shared" si="74"/>
        <v>-</v>
      </c>
      <c r="BK30" s="95" t="str">
        <f t="shared" si="74"/>
        <v>-</v>
      </c>
      <c r="BL30" s="95" t="str">
        <f t="shared" si="74"/>
        <v>-</v>
      </c>
      <c r="BM30" s="95" t="str">
        <f t="shared" si="74"/>
        <v>-</v>
      </c>
      <c r="BN30" s="95" t="str">
        <f t="shared" si="74"/>
        <v>-</v>
      </c>
      <c r="BP30" s="143" t="str">
        <f t="shared" si="47"/>
        <v>-</v>
      </c>
      <c r="BQ30" s="143" t="str">
        <f t="shared" si="8"/>
        <v>-</v>
      </c>
      <c r="BR30" s="143" t="str">
        <f t="shared" si="9"/>
        <v>-</v>
      </c>
      <c r="BS30" s="143" t="str">
        <f t="shared" si="10"/>
        <v>-</v>
      </c>
      <c r="BT30" s="143" t="str">
        <f t="shared" si="11"/>
        <v>-</v>
      </c>
      <c r="BU30" s="143" t="str">
        <f t="shared" si="12"/>
        <v>-</v>
      </c>
      <c r="BV30" s="143" t="str">
        <f t="shared" si="13"/>
        <v>-</v>
      </c>
      <c r="BW30" s="143" t="str">
        <f t="shared" si="14"/>
        <v>-</v>
      </c>
      <c r="BX30" s="143" t="str">
        <f t="shared" si="15"/>
        <v>-</v>
      </c>
      <c r="BY30" s="143" t="str">
        <f t="shared" si="16"/>
        <v>-</v>
      </c>
      <c r="BZ30" s="143" t="str">
        <f t="shared" si="17"/>
        <v>-</v>
      </c>
      <c r="CA30" s="143" t="str">
        <f t="shared" si="18"/>
        <v>-</v>
      </c>
      <c r="CB30" s="143" t="str">
        <f t="shared" si="19"/>
        <v>-</v>
      </c>
      <c r="CD30" s="112" t="str">
        <f t="shared" si="25"/>
        <v>-</v>
      </c>
      <c r="CE30" s="95" t="str">
        <f>IFERROR(SUMIFS('01. KE30'!$R:$R,'01. KE30'!$C:$C,'06. BC BH THEO CUSTOMER-USD'!$D30,'01. KE30'!$F:$F,'06. BC BH THEO CUSTOMER-USD'!$H30,'01. KE30'!$A:$A,'06. BC BH THEO CUSTOMER-USD'!CE$4)/CS30/'02. Tỷ giá'!B$5," -")</f>
        <v xml:space="preserve"> -</v>
      </c>
      <c r="CF30" s="95" t="str">
        <f>IFERROR(SUMIFS('01. KE30'!$R:$R,'01. KE30'!$C:$C,'06. BC BH THEO CUSTOMER-USD'!$D30,'01. KE30'!$F:$F,'06. BC BH THEO CUSTOMER-USD'!$H30,'01. KE30'!$A:$A,'06. BC BH THEO CUSTOMER-USD'!CF$4)/CT30/'02. Tỷ giá'!C$5," -")</f>
        <v xml:space="preserve"> -</v>
      </c>
      <c r="CG30" s="95" t="str">
        <f>IFERROR(SUMIFS('01. KE30'!$R:$R,'01. KE30'!$C:$C,'06. BC BH THEO CUSTOMER-USD'!$D30,'01. KE30'!$F:$F,'06. BC BH THEO CUSTOMER-USD'!$H30,'01. KE30'!$A:$A,'06. BC BH THEO CUSTOMER-USD'!CG$4)/CU30/'02. Tỷ giá'!D$5," -")</f>
        <v xml:space="preserve"> -</v>
      </c>
      <c r="CH30" s="95" t="str">
        <f>IFERROR(SUMIFS('01. KE30'!$R:$R,'01. KE30'!$C:$C,'06. BC BH THEO CUSTOMER-USD'!$D30,'01. KE30'!$F:$F,'06. BC BH THEO CUSTOMER-USD'!$H30,'01. KE30'!$A:$A,'06. BC BH THEO CUSTOMER-USD'!CH$4)/CV30/'02. Tỷ giá'!E$5," -")</f>
        <v xml:space="preserve"> -</v>
      </c>
      <c r="CI30" s="95" t="str">
        <f>IFERROR(SUMIFS('01. KE30'!$R:$R,'01. KE30'!$C:$C,'06. BC BH THEO CUSTOMER-USD'!$D30,'01. KE30'!$F:$F,'06. BC BH THEO CUSTOMER-USD'!$H30,'01. KE30'!$A:$A,'06. BC BH THEO CUSTOMER-USD'!CI$4)/CW30/'02. Tỷ giá'!F$5," -")</f>
        <v xml:space="preserve"> -</v>
      </c>
      <c r="CJ30" s="95" t="str">
        <f>IFERROR(SUMIFS('01. KE30'!$R:$R,'01. KE30'!$C:$C,'06. BC BH THEO CUSTOMER-USD'!$D30,'01. KE30'!$F:$F,'06. BC BH THEO CUSTOMER-USD'!$H30,'01. KE30'!$A:$A,'06. BC BH THEO CUSTOMER-USD'!CJ$4)/CX30/'02. Tỷ giá'!G$5," -")</f>
        <v xml:space="preserve"> -</v>
      </c>
      <c r="CK30" s="95" t="str">
        <f>IFERROR(SUMIFS('01. KE30'!$R:$R,'01. KE30'!$C:$C,'06. BC BH THEO CUSTOMER-USD'!$D30,'01. KE30'!$F:$F,'06. BC BH THEO CUSTOMER-USD'!$H30,'01. KE30'!$A:$A,'06. BC BH THEO CUSTOMER-USD'!CK$4)/CY30/'02. Tỷ giá'!H$5," -")</f>
        <v xml:space="preserve"> -</v>
      </c>
      <c r="CL30" s="95" t="str">
        <f>IFERROR(SUMIFS('01. KE30'!$R:$R,'01. KE30'!$C:$C,'06. BC BH THEO CUSTOMER-USD'!$D30,'01. KE30'!$F:$F,'06. BC BH THEO CUSTOMER-USD'!$H30,'01. KE30'!$A:$A,'06. BC BH THEO CUSTOMER-USD'!CL$4)/CZ30/'02. Tỷ giá'!I$5," -")</f>
        <v xml:space="preserve"> -</v>
      </c>
      <c r="CM30" s="95" t="str">
        <f>IFERROR(SUMIFS('01. KE30'!$R:$R,'01. KE30'!$C:$C,'06. BC BH THEO CUSTOMER-USD'!$D30,'01. KE30'!$F:$F,'06. BC BH THEO CUSTOMER-USD'!$H30,'01. KE30'!$A:$A,'06. BC BH THEO CUSTOMER-USD'!CM$4)/DA30/'02. Tỷ giá'!J$5," -")</f>
        <v xml:space="preserve"> -</v>
      </c>
      <c r="CN30" s="95" t="str">
        <f>IFERROR(SUMIFS('01. KE30'!$R:$R,'01. KE30'!$C:$C,'06. BC BH THEO CUSTOMER-USD'!$D30,'01. KE30'!$F:$F,'06. BC BH THEO CUSTOMER-USD'!$H30,'01. KE30'!$A:$A,'06. BC BH THEO CUSTOMER-USD'!CN$4)/DB30/'02. Tỷ giá'!K$5," -")</f>
        <v xml:space="preserve"> -</v>
      </c>
      <c r="CO30" s="95" t="str">
        <f>IFERROR(SUMIFS('01. KE30'!$R:$R,'01. KE30'!$C:$C,'06. BC BH THEO CUSTOMER-USD'!$D30,'01. KE30'!$F:$F,'06. BC BH THEO CUSTOMER-USD'!$H30,'01. KE30'!$A:$A,'06. BC BH THEO CUSTOMER-USD'!CO$4)/DC30/'02. Tỷ giá'!L$5," -")</f>
        <v xml:space="preserve"> -</v>
      </c>
      <c r="CP30" s="95" t="str">
        <f>IFERROR(SUMIFS('01. KE30'!$R:$R,'01. KE30'!$C:$C,'06. BC BH THEO CUSTOMER-USD'!$D30,'01. KE30'!$F:$F,'06. BC BH THEO CUSTOMER-USD'!$H30,'01. KE30'!$A:$A,'06. BC BH THEO CUSTOMER-USD'!CP$4)/DD30/'02. Tỷ giá'!M$5," -")</f>
        <v xml:space="preserve"> -</v>
      </c>
      <c r="CR30" s="112">
        <f t="shared" si="26"/>
        <v>0</v>
      </c>
      <c r="CS30" s="114">
        <f>SUMIFS('01. KE30'!$I:$I,'01. KE30'!$C:$C,'06. BC BH THEO CUSTOMER-USD'!$D30,'01. KE30'!$F:$F,'06. BC BH THEO CUSTOMER-USD'!$H30,'01. KE30'!$A:$A,'06. BC BH THEO CUSTOMER-USD'!CS$4)/1000</f>
        <v>0</v>
      </c>
      <c r="CT30" s="114">
        <f>SUMIFS('01. KE30'!$I:$I,'01. KE30'!$C:$C,'06. BC BH THEO CUSTOMER-USD'!$D30,'01. KE30'!$F:$F,'06. BC BH THEO CUSTOMER-USD'!$H30,'01. KE30'!$A:$A,'06. BC BH THEO CUSTOMER-USD'!CT$4)/1000</f>
        <v>0</v>
      </c>
      <c r="CU30" s="114">
        <f>SUMIFS('01. KE30'!$I:$I,'01. KE30'!$C:$C,'06. BC BH THEO CUSTOMER-USD'!$D30,'01. KE30'!$F:$F,'06. BC BH THEO CUSTOMER-USD'!$H30,'01. KE30'!$A:$A,'06. BC BH THEO CUSTOMER-USD'!CU$4)/1000</f>
        <v>0</v>
      </c>
      <c r="CV30" s="114">
        <f>SUMIFS('01. KE30'!$I:$I,'01. KE30'!$C:$C,'06. BC BH THEO CUSTOMER-USD'!$D30,'01. KE30'!$F:$F,'06. BC BH THEO CUSTOMER-USD'!$H30,'01. KE30'!$A:$A,'06. BC BH THEO CUSTOMER-USD'!CV$4)/1000</f>
        <v>0</v>
      </c>
      <c r="CW30" s="114">
        <f>SUMIFS('01. KE30'!$I:$I,'01. KE30'!$C:$C,'06. BC BH THEO CUSTOMER-USD'!$D30,'01. KE30'!$F:$F,'06. BC BH THEO CUSTOMER-USD'!$H30,'01. KE30'!$A:$A,'06. BC BH THEO CUSTOMER-USD'!CW$4)/1000</f>
        <v>0</v>
      </c>
      <c r="CX30" s="114">
        <f>SUMIFS('01. KE30'!$I:$I,'01. KE30'!$C:$C,'06. BC BH THEO CUSTOMER-USD'!$D30,'01. KE30'!$F:$F,'06. BC BH THEO CUSTOMER-USD'!$H30,'01. KE30'!$A:$A,'06. BC BH THEO CUSTOMER-USD'!CX$4)/1000</f>
        <v>0</v>
      </c>
      <c r="CY30" s="114">
        <f>SUMIFS('01. KE30'!$I:$I,'01. KE30'!$C:$C,'06. BC BH THEO CUSTOMER-USD'!$D30,'01. KE30'!$F:$F,'06. BC BH THEO CUSTOMER-USD'!$H30,'01. KE30'!$A:$A,'06. BC BH THEO CUSTOMER-USD'!CY$4)/1000</f>
        <v>0</v>
      </c>
      <c r="CZ30" s="114">
        <f>SUMIFS('01. KE30'!$I:$I,'01. KE30'!$C:$C,'06. BC BH THEO CUSTOMER-USD'!$D30,'01. KE30'!$F:$F,'06. BC BH THEO CUSTOMER-USD'!$H30,'01. KE30'!$A:$A,'06. BC BH THEO CUSTOMER-USD'!CZ$4)/1000</f>
        <v>0</v>
      </c>
      <c r="DA30" s="114">
        <f>SUMIFS('01. KE30'!$I:$I,'01. KE30'!$C:$C,'06. BC BH THEO CUSTOMER-USD'!$D30,'01. KE30'!$F:$F,'06. BC BH THEO CUSTOMER-USD'!$H30,'01. KE30'!$A:$A,'06. BC BH THEO CUSTOMER-USD'!DA$4)/1000</f>
        <v>0</v>
      </c>
      <c r="DB30" s="114">
        <f>SUMIFS('01. KE30'!$I:$I,'01. KE30'!$C:$C,'06. BC BH THEO CUSTOMER-USD'!$D30,'01. KE30'!$F:$F,'06. BC BH THEO CUSTOMER-USD'!$H30,'01. KE30'!$A:$A,'06. BC BH THEO CUSTOMER-USD'!DB$4)/1000</f>
        <v>0</v>
      </c>
      <c r="DC30" s="114">
        <f>SUMIFS('01. KE30'!$I:$I,'01. KE30'!$C:$C,'06. BC BH THEO CUSTOMER-USD'!$D30,'01. KE30'!$F:$F,'06. BC BH THEO CUSTOMER-USD'!$H30,'01. KE30'!$A:$A,'06. BC BH THEO CUSTOMER-USD'!DC$4)/1000</f>
        <v>0</v>
      </c>
      <c r="DD30" s="114">
        <f>SUMIFS('01. KE30'!$I:$I,'01. KE30'!$C:$C,'06. BC BH THEO CUSTOMER-USD'!$D30,'01. KE30'!$F:$F,'06. BC BH THEO CUSTOMER-USD'!$H30,'01. KE30'!$A:$A,'06. BC BH THEO CUSTOMER-USD'!DD$4)/1000</f>
        <v>0</v>
      </c>
      <c r="DF30" s="112">
        <f t="shared" si="73"/>
        <v>0</v>
      </c>
      <c r="DG30" s="54" t="str">
        <f t="shared" si="48"/>
        <v>-</v>
      </c>
      <c r="DH30" s="54" t="str">
        <f t="shared" si="49"/>
        <v>-</v>
      </c>
      <c r="DI30" s="54" t="str">
        <f t="shared" si="50"/>
        <v>-</v>
      </c>
      <c r="DJ30" s="54" t="str">
        <f t="shared" si="51"/>
        <v>-</v>
      </c>
      <c r="DK30" s="54" t="str">
        <f t="shared" si="52"/>
        <v>-</v>
      </c>
      <c r="DL30" s="54" t="str">
        <f t="shared" si="53"/>
        <v>-</v>
      </c>
      <c r="DM30" s="54" t="str">
        <f t="shared" si="54"/>
        <v>-</v>
      </c>
      <c r="DN30" s="54" t="str">
        <f t="shared" si="55"/>
        <v>-</v>
      </c>
      <c r="DO30" s="54" t="str">
        <f t="shared" si="56"/>
        <v>-</v>
      </c>
      <c r="DP30" s="54" t="str">
        <f t="shared" si="57"/>
        <v>-</v>
      </c>
      <c r="DQ30" s="54" t="str">
        <f t="shared" si="58"/>
        <v>-</v>
      </c>
      <c r="DR30" s="54" t="str">
        <f t="shared" si="59"/>
        <v>-</v>
      </c>
      <c r="DT30" s="112">
        <f t="shared" si="60"/>
        <v>0</v>
      </c>
      <c r="DU30" s="114">
        <f>IFERROR(SUMIFS('01. KE30'!$X:$X,'01. KE30'!$C:$C,'06. BC BH THEO CUSTOMER-USD'!$D30,'01. KE30'!$F:$F,'06. BC BH THEO CUSTOMER-USD'!$H30,'01. KE30'!$A:$A,'06. BC BH THEO CUSTOMER-USD'!DU$4)-SUMIFS('01. KE30'!$AA:$AA,'01. KE30'!$C:$C,'06. BC BH THEO CUSTOMER-USD'!$D30,'01. KE30'!$F:$F,'06. BC BH THEO CUSTOMER-USD'!$H30,'01. KE30'!$A:$A,'06. BC BH THEO CUSTOMER-USD'!DU$4),"-")</f>
        <v>0</v>
      </c>
      <c r="DV30" s="114">
        <f>IFERROR(SUMIFS('01. KE30'!$X:$X,'01. KE30'!$C:$C,'06. BC BH THEO CUSTOMER-USD'!$D30,'01. KE30'!$F:$F,'06. BC BH THEO CUSTOMER-USD'!$H30,'01. KE30'!$A:$A,'06. BC BH THEO CUSTOMER-USD'!DV$4)-SUMIFS('01. KE30'!$AA:$AA,'01. KE30'!$C:$C,'06. BC BH THEO CUSTOMER-USD'!$D30,'01. KE30'!$F:$F,'06. BC BH THEO CUSTOMER-USD'!$H30,'01. KE30'!$A:$A,'06. BC BH THEO CUSTOMER-USD'!DV$4),"-")</f>
        <v>0</v>
      </c>
      <c r="DW30" s="114">
        <f>IFERROR(SUMIFS('01. KE30'!$X:$X,'01. KE30'!$C:$C,'06. BC BH THEO CUSTOMER-USD'!$D30,'01. KE30'!$F:$F,'06. BC BH THEO CUSTOMER-USD'!$H30,'01. KE30'!$A:$A,'06. BC BH THEO CUSTOMER-USD'!DW$4)-SUMIFS('01. KE30'!$AA:$AA,'01. KE30'!$C:$C,'06. BC BH THEO CUSTOMER-USD'!$D30,'01. KE30'!$F:$F,'06. BC BH THEO CUSTOMER-USD'!$H30,'01. KE30'!$A:$A,'06. BC BH THEO CUSTOMER-USD'!DW$4),"-")</f>
        <v>0</v>
      </c>
      <c r="DX30" s="114">
        <f>IFERROR(SUMIFS('01. KE30'!$X:$X,'01. KE30'!$C:$C,'06. BC BH THEO CUSTOMER-USD'!$D30,'01. KE30'!$F:$F,'06. BC BH THEO CUSTOMER-USD'!$H30,'01. KE30'!$A:$A,'06. BC BH THEO CUSTOMER-USD'!DX$4)-SUMIFS('01. KE30'!$AA:$AA,'01. KE30'!$C:$C,'06. BC BH THEO CUSTOMER-USD'!$D30,'01. KE30'!$F:$F,'06. BC BH THEO CUSTOMER-USD'!$H30,'01. KE30'!$A:$A,'06. BC BH THEO CUSTOMER-USD'!DX$4),"-")</f>
        <v>0</v>
      </c>
      <c r="DY30" s="114">
        <f>IFERROR(SUMIFS('01. KE30'!$X:$X,'01. KE30'!$C:$C,'06. BC BH THEO CUSTOMER-USD'!$D30,'01. KE30'!$F:$F,'06. BC BH THEO CUSTOMER-USD'!$H30,'01. KE30'!$A:$A,'06. BC BH THEO CUSTOMER-USD'!DY$4)-SUMIFS('01. KE30'!$AA:$AA,'01. KE30'!$C:$C,'06. BC BH THEO CUSTOMER-USD'!$D30,'01. KE30'!$F:$F,'06. BC BH THEO CUSTOMER-USD'!$H30,'01. KE30'!$A:$A,'06. BC BH THEO CUSTOMER-USD'!DY$4),"-")</f>
        <v>0</v>
      </c>
      <c r="DZ30" s="114">
        <f>IFERROR(SUMIFS('01. KE30'!$X:$X,'01. KE30'!$C:$C,'06. BC BH THEO CUSTOMER-USD'!$D30,'01. KE30'!$F:$F,'06. BC BH THEO CUSTOMER-USD'!$H30,'01. KE30'!$A:$A,'06. BC BH THEO CUSTOMER-USD'!DZ$4)-SUMIFS('01. KE30'!$AA:$AA,'01. KE30'!$C:$C,'06. BC BH THEO CUSTOMER-USD'!$D30,'01. KE30'!$F:$F,'06. BC BH THEO CUSTOMER-USD'!$H30,'01. KE30'!$A:$A,'06. BC BH THEO CUSTOMER-USD'!DZ$4),"-")</f>
        <v>0</v>
      </c>
      <c r="EA30" s="114">
        <f>IFERROR(SUMIFS('01. KE30'!$X:$X,'01. KE30'!$C:$C,'06. BC BH THEO CUSTOMER-USD'!$D30,'01. KE30'!$F:$F,'06. BC BH THEO CUSTOMER-USD'!$H30,'01. KE30'!$A:$A,'06. BC BH THEO CUSTOMER-USD'!EA$4)-SUMIFS('01. KE30'!$AA:$AA,'01. KE30'!$C:$C,'06. BC BH THEO CUSTOMER-USD'!$D30,'01. KE30'!$F:$F,'06. BC BH THEO CUSTOMER-USD'!$H30,'01. KE30'!$A:$A,'06. BC BH THEO CUSTOMER-USD'!EA$4),"-")</f>
        <v>0</v>
      </c>
      <c r="EB30" s="114">
        <f>IFERROR(SUMIFS('01. KE30'!$X:$X,'01. KE30'!$C:$C,'06. BC BH THEO CUSTOMER-USD'!$D30,'01. KE30'!$F:$F,'06. BC BH THEO CUSTOMER-USD'!$H30,'01. KE30'!$A:$A,'06. BC BH THEO CUSTOMER-USD'!EB$4)-SUMIFS('01. KE30'!$AA:$AA,'01. KE30'!$C:$C,'06. BC BH THEO CUSTOMER-USD'!$D30,'01. KE30'!$F:$F,'06. BC BH THEO CUSTOMER-USD'!$H30,'01. KE30'!$A:$A,'06. BC BH THEO CUSTOMER-USD'!EB$4),"-")</f>
        <v>0</v>
      </c>
      <c r="EC30" s="114">
        <f>IFERROR(SUMIFS('01. KE30'!$X:$X,'01. KE30'!$C:$C,'06. BC BH THEO CUSTOMER-USD'!$D30,'01. KE30'!$F:$F,'06. BC BH THEO CUSTOMER-USD'!$H30,'01. KE30'!$A:$A,'06. BC BH THEO CUSTOMER-USD'!EC$4)-SUMIFS('01. KE30'!$AA:$AA,'01. KE30'!$C:$C,'06. BC BH THEO CUSTOMER-USD'!$D30,'01. KE30'!$F:$F,'06. BC BH THEO CUSTOMER-USD'!$H30,'01. KE30'!$A:$A,'06. BC BH THEO CUSTOMER-USD'!EC$4),"-")</f>
        <v>0</v>
      </c>
      <c r="ED30" s="114">
        <f>IFERROR(SUMIFS('01. KE30'!$X:$X,'01. KE30'!$C:$C,'06. BC BH THEO CUSTOMER-USD'!$D30,'01. KE30'!$F:$F,'06. BC BH THEO CUSTOMER-USD'!$H30,'01. KE30'!$A:$A,'06. BC BH THEO CUSTOMER-USD'!ED$4)-SUMIFS('01. KE30'!$AA:$AA,'01. KE30'!$C:$C,'06. BC BH THEO CUSTOMER-USD'!$D30,'01. KE30'!$F:$F,'06. BC BH THEO CUSTOMER-USD'!$H30,'01. KE30'!$A:$A,'06. BC BH THEO CUSTOMER-USD'!ED$4),"-")</f>
        <v>0</v>
      </c>
      <c r="EE30" s="114">
        <f>IFERROR(SUMIFS('01. KE30'!$X:$X,'01. KE30'!$C:$C,'06. BC BH THEO CUSTOMER-USD'!$D30,'01. KE30'!$F:$F,'06. BC BH THEO CUSTOMER-USD'!$H30,'01. KE30'!$A:$A,'06. BC BH THEO CUSTOMER-USD'!EE$4)-SUMIFS('01. KE30'!$AA:$AA,'01. KE30'!$C:$C,'06. BC BH THEO CUSTOMER-USD'!$D30,'01. KE30'!$F:$F,'06. BC BH THEO CUSTOMER-USD'!$H30,'01. KE30'!$A:$A,'06. BC BH THEO CUSTOMER-USD'!EE$4),"-")</f>
        <v>0</v>
      </c>
      <c r="EF30" s="114">
        <f>IFERROR(SUMIFS('01. KE30'!$X:$X,'01. KE30'!$C:$C,'06. BC BH THEO CUSTOMER-USD'!$D30,'01. KE30'!$F:$F,'06. BC BH THEO CUSTOMER-USD'!$H30,'01. KE30'!$A:$A,'06. BC BH THEO CUSTOMER-USD'!EF$4)-SUMIFS('01. KE30'!$AA:$AA,'01. KE30'!$C:$C,'06. BC BH THEO CUSTOMER-USD'!$D30,'01. KE30'!$F:$F,'06. BC BH THEO CUSTOMER-USD'!$H30,'01. KE30'!$A:$A,'06. BC BH THEO CUSTOMER-USD'!EF$4),"-")</f>
        <v>0</v>
      </c>
      <c r="EH30" s="571" t="str">
        <f t="shared" si="29"/>
        <v>-</v>
      </c>
      <c r="EI30" s="572" t="str">
        <f t="shared" si="30"/>
        <v>-</v>
      </c>
      <c r="EJ30" s="572" t="str">
        <f t="shared" si="31"/>
        <v>-</v>
      </c>
      <c r="EK30" s="572" t="str">
        <f t="shared" si="32"/>
        <v>-</v>
      </c>
      <c r="EL30" s="572" t="str">
        <f t="shared" si="33"/>
        <v>-</v>
      </c>
      <c r="EM30" s="572" t="str">
        <f t="shared" si="34"/>
        <v>-</v>
      </c>
      <c r="EN30" s="572" t="str">
        <f t="shared" si="35"/>
        <v>-</v>
      </c>
      <c r="EO30" s="572" t="str">
        <f t="shared" si="36"/>
        <v>-</v>
      </c>
      <c r="EP30" s="572" t="str">
        <f t="shared" si="37"/>
        <v>-</v>
      </c>
      <c r="EQ30" s="572" t="str">
        <f t="shared" si="38"/>
        <v>-</v>
      </c>
      <c r="ER30" s="572" t="str">
        <f t="shared" si="39"/>
        <v>-</v>
      </c>
      <c r="ES30" s="572" t="str">
        <f t="shared" si="40"/>
        <v>-</v>
      </c>
      <c r="ET30" s="572" t="str">
        <f t="shared" si="41"/>
        <v>-</v>
      </c>
    </row>
    <row r="31" spans="1:150" ht="15.5" hidden="1" outlineLevel="1" x14ac:dyDescent="0.35">
      <c r="A31" s="27">
        <f t="shared" si="63"/>
        <v>24</v>
      </c>
      <c r="B31" s="27" t="s">
        <v>283</v>
      </c>
      <c r="C31" s="442" t="s">
        <v>489</v>
      </c>
      <c r="D31" s="9" t="s">
        <v>136</v>
      </c>
      <c r="E31" s="31" t="s">
        <v>135</v>
      </c>
      <c r="F31" s="31" t="s">
        <v>251</v>
      </c>
      <c r="G31" s="12" t="str">
        <f>_xlfn.XLOOKUP(F31,'Quy đổi'!$G$5:$G$32,'Quy đổi'!$H$5:$H$32,0)</f>
        <v>Châu á</v>
      </c>
      <c r="H31" s="77" t="s">
        <v>102</v>
      </c>
      <c r="I31" s="31" t="s">
        <v>101</v>
      </c>
      <c r="J31" s="13" t="s">
        <v>26</v>
      </c>
      <c r="K31" s="11" t="s">
        <v>113</v>
      </c>
      <c r="L31" s="92" t="str">
        <f t="shared" si="42"/>
        <v>-</v>
      </c>
      <c r="M31" s="106" t="str">
        <f>IFERROR(SUMIFS('01. KE30'!$K:$K,'01. KE30'!$C:$C,'06. BC BH THEO CUSTOMER-USD'!$D31,'01. KE30'!$F:$F,'06. BC BH THEO CUSTOMER-USD'!$H31,'01. KE30'!$A:$A,'06. BC BH THEO CUSTOMER-USD'!M$4)/'06. BC BH THEO CUSTOMER-USD'!CS31/'02. Tỷ giá'!B$5,"-")</f>
        <v>-</v>
      </c>
      <c r="N31" s="106" t="str">
        <f>IFERROR(SUMIFS('01. KE30'!$K:$K,'01. KE30'!$C:$C,'06. BC BH THEO CUSTOMER-USD'!$D31,'01. KE30'!$F:$F,'06. BC BH THEO CUSTOMER-USD'!$H31,'01. KE30'!$A:$A,'06. BC BH THEO CUSTOMER-USD'!N$4)/'06. BC BH THEO CUSTOMER-USD'!CT31/'02. Tỷ giá'!C$5,"-")</f>
        <v>-</v>
      </c>
      <c r="O31" s="106" t="str">
        <f>IFERROR(SUMIFS('01. KE30'!$K:$K,'01. KE30'!$C:$C,'06. BC BH THEO CUSTOMER-USD'!$D31,'01. KE30'!$F:$F,'06. BC BH THEO CUSTOMER-USD'!$H31,'01. KE30'!$A:$A,'06. BC BH THEO CUSTOMER-USD'!O$4)/'06. BC BH THEO CUSTOMER-USD'!CU31/'02. Tỷ giá'!D$5,"-")</f>
        <v>-</v>
      </c>
      <c r="P31" s="106" t="str">
        <f>IFERROR(SUMIFS('01. KE30'!$K:$K,'01. KE30'!$C:$C,'06. BC BH THEO CUSTOMER-USD'!$D31,'01. KE30'!$F:$F,'06. BC BH THEO CUSTOMER-USD'!$H31,'01. KE30'!$A:$A,'06. BC BH THEO CUSTOMER-USD'!P$4)/'06. BC BH THEO CUSTOMER-USD'!CV31/'02. Tỷ giá'!E$5,"-")</f>
        <v>-</v>
      </c>
      <c r="Q31" s="106" t="str">
        <f>IFERROR(SUMIFS('01. KE30'!$K:$K,'01. KE30'!$C:$C,'06. BC BH THEO CUSTOMER-USD'!$D31,'01. KE30'!$F:$F,'06. BC BH THEO CUSTOMER-USD'!$H31,'01. KE30'!$A:$A,'06. BC BH THEO CUSTOMER-USD'!Q$4)/'06. BC BH THEO CUSTOMER-USD'!CW31/'02. Tỷ giá'!F$5,"-")</f>
        <v>-</v>
      </c>
      <c r="R31" s="106" t="str">
        <f>IFERROR(SUMIFS('01. KE30'!$K:$K,'01. KE30'!$C:$C,'06. BC BH THEO CUSTOMER-USD'!$D31,'01. KE30'!$F:$F,'06. BC BH THEO CUSTOMER-USD'!$H31,'01. KE30'!$A:$A,'06. BC BH THEO CUSTOMER-USD'!R$4)/'06. BC BH THEO CUSTOMER-USD'!CX31/'02. Tỷ giá'!G$5,"-")</f>
        <v>-</v>
      </c>
      <c r="S31" s="106" t="str">
        <f>IFERROR(SUMIFS('01. KE30'!$K:$K,'01. KE30'!$C:$C,'06. BC BH THEO CUSTOMER-USD'!$D31,'01. KE30'!$F:$F,'06. BC BH THEO CUSTOMER-USD'!$H31,'01. KE30'!$A:$A,'06. BC BH THEO CUSTOMER-USD'!S$4)/'06. BC BH THEO CUSTOMER-USD'!CY31/'02. Tỷ giá'!H$5,"-")</f>
        <v>-</v>
      </c>
      <c r="T31" s="106" t="str">
        <f>IFERROR(SUMIFS('01. KE30'!$K:$K,'01. KE30'!$C:$C,'06. BC BH THEO CUSTOMER-USD'!$D31,'01. KE30'!$F:$F,'06. BC BH THEO CUSTOMER-USD'!$H31,'01. KE30'!$A:$A,'06. BC BH THEO CUSTOMER-USD'!T$4)/'06. BC BH THEO CUSTOMER-USD'!CZ31/'02. Tỷ giá'!I$5,"-")</f>
        <v>-</v>
      </c>
      <c r="U31" s="106" t="str">
        <f>IFERROR(SUMIFS('01. KE30'!$K:$K,'01. KE30'!$C:$C,'06. BC BH THEO CUSTOMER-USD'!$D31,'01. KE30'!$F:$F,'06. BC BH THEO CUSTOMER-USD'!$H31,'01. KE30'!$A:$A,'06. BC BH THEO CUSTOMER-USD'!U$4)/'06. BC BH THEO CUSTOMER-USD'!DA31/'02. Tỷ giá'!J$5,"-")</f>
        <v>-</v>
      </c>
      <c r="V31" s="106" t="str">
        <f>IFERROR(SUMIFS('01. KE30'!$K:$K,'01. KE30'!$C:$C,'06. BC BH THEO CUSTOMER-USD'!$D31,'01. KE30'!$F:$F,'06. BC BH THEO CUSTOMER-USD'!$H31,'01. KE30'!$A:$A,'06. BC BH THEO CUSTOMER-USD'!V$4)/'06. BC BH THEO CUSTOMER-USD'!DB31/'02. Tỷ giá'!K$5,"-")</f>
        <v>-</v>
      </c>
      <c r="W31" s="106" t="str">
        <f>IFERROR(SUMIFS('01. KE30'!$K:$K,'01. KE30'!$C:$C,'06. BC BH THEO CUSTOMER-USD'!$D31,'01. KE30'!$F:$F,'06. BC BH THEO CUSTOMER-USD'!$H31,'01. KE30'!$A:$A,'06. BC BH THEO CUSTOMER-USD'!W$4)/'06. BC BH THEO CUSTOMER-USD'!DC31/'02. Tỷ giá'!L$5,"-")</f>
        <v>-</v>
      </c>
      <c r="X31" s="106" t="str">
        <f>IFERROR(SUMIFS('01. KE30'!$K:$K,'01. KE30'!$C:$C,'06. BC BH THEO CUSTOMER-USD'!$D31,'01. KE30'!$F:$F,'06. BC BH THEO CUSTOMER-USD'!$H31,'01. KE30'!$A:$A,'06. BC BH THEO CUSTOMER-USD'!X$4)/'06. BC BH THEO CUSTOMER-USD'!DD31/'02. Tỷ giá'!M$5,"-")</f>
        <v>-</v>
      </c>
      <c r="Z31" s="92" t="str">
        <f t="shared" si="43"/>
        <v>-</v>
      </c>
      <c r="AA31" s="147" t="str">
        <f>IFERROR(SUMIFS('01. KE30'!$O:$O,'01. KE30'!$C:$C,'06. BC BH THEO CUSTOMER-USD'!$D31,'01. KE30'!$F:$F,'06. BC BH THEO CUSTOMER-USD'!$H31,'01. KE30'!$A:$A,'06. BC BH THEO CUSTOMER-USD'!M$4)/'06. BC BH THEO CUSTOMER-USD'!CS31/'02. Tỷ giá'!B$5,"-")</f>
        <v>-</v>
      </c>
      <c r="AB31" s="147" t="str">
        <f>IFERROR(SUMIFS('01. KE30'!$O:$O,'01. KE30'!$C:$C,'06. BC BH THEO CUSTOMER-USD'!$D31,'01. KE30'!$F:$F,'06. BC BH THEO CUSTOMER-USD'!$H31,'01. KE30'!$A:$A,'06. BC BH THEO CUSTOMER-USD'!N$4)/'06. BC BH THEO CUSTOMER-USD'!CT31/'02. Tỷ giá'!C$5,"-")</f>
        <v>-</v>
      </c>
      <c r="AC31" s="147" t="str">
        <f>IFERROR(SUMIFS('01. KE30'!$O:$O,'01. KE30'!$C:$C,'06. BC BH THEO CUSTOMER-USD'!$D31,'01. KE30'!$F:$F,'06. BC BH THEO CUSTOMER-USD'!$H31,'01. KE30'!$A:$A,'06. BC BH THEO CUSTOMER-USD'!O$4)/'06. BC BH THEO CUSTOMER-USD'!CU31/'02. Tỷ giá'!D$5,"-")</f>
        <v>-</v>
      </c>
      <c r="AD31" s="147" t="str">
        <f>IFERROR(SUMIFS('01. KE30'!$O:$O,'01. KE30'!$C:$C,'06. BC BH THEO CUSTOMER-USD'!$D31,'01. KE30'!$F:$F,'06. BC BH THEO CUSTOMER-USD'!$H31,'01. KE30'!$A:$A,'06. BC BH THEO CUSTOMER-USD'!P$4)/'06. BC BH THEO CUSTOMER-USD'!CV31/'02. Tỷ giá'!E$5,"-")</f>
        <v>-</v>
      </c>
      <c r="AE31" s="147" t="str">
        <f>IFERROR(SUMIFS('01. KE30'!$O:$O,'01. KE30'!$C:$C,'06. BC BH THEO CUSTOMER-USD'!$D31,'01. KE30'!$F:$F,'06. BC BH THEO CUSTOMER-USD'!$H31,'01. KE30'!$A:$A,'06. BC BH THEO CUSTOMER-USD'!Q$4)/'06. BC BH THEO CUSTOMER-USD'!CW31/'02. Tỷ giá'!F$5,"-")</f>
        <v>-</v>
      </c>
      <c r="AF31" s="147" t="str">
        <f>IFERROR(SUMIFS('01. KE30'!$O:$O,'01. KE30'!$C:$C,'06. BC BH THEO CUSTOMER-USD'!$D31,'01. KE30'!$F:$F,'06. BC BH THEO CUSTOMER-USD'!$H31,'01. KE30'!$A:$A,'06. BC BH THEO CUSTOMER-USD'!R$4)/'06. BC BH THEO CUSTOMER-USD'!CX31/'02. Tỷ giá'!G$5,"-")</f>
        <v>-</v>
      </c>
      <c r="AG31" s="147" t="str">
        <f>IFERROR(SUMIFS('01. KE30'!$O:$O,'01. KE30'!$C:$C,'06. BC BH THEO CUSTOMER-USD'!$D31,'01. KE30'!$F:$F,'06. BC BH THEO CUSTOMER-USD'!$H31,'01. KE30'!$A:$A,'06. BC BH THEO CUSTOMER-USD'!S$4)/'06. BC BH THEO CUSTOMER-USD'!CY31/'02. Tỷ giá'!H$5,"-")</f>
        <v>-</v>
      </c>
      <c r="AH31" s="147" t="str">
        <f>IFERROR(SUMIFS('01. KE30'!$O:$O,'01. KE30'!$C:$C,'06. BC BH THEO CUSTOMER-USD'!$D31,'01. KE30'!$F:$F,'06. BC BH THEO CUSTOMER-USD'!$H31,'01. KE30'!$A:$A,'06. BC BH THEO CUSTOMER-USD'!T$4)/'06. BC BH THEO CUSTOMER-USD'!CZ31/'02. Tỷ giá'!I$5,"-")</f>
        <v>-</v>
      </c>
      <c r="AI31" s="147" t="str">
        <f>IFERROR(SUMIFS('01. KE30'!$O:$O,'01. KE30'!$C:$C,'06. BC BH THEO CUSTOMER-USD'!$D31,'01. KE30'!$F:$F,'06. BC BH THEO CUSTOMER-USD'!$H31,'01. KE30'!$A:$A,'06. BC BH THEO CUSTOMER-USD'!U$4)/'06. BC BH THEO CUSTOMER-USD'!DA31/'02. Tỷ giá'!J$5,"-")</f>
        <v>-</v>
      </c>
      <c r="AJ31" s="147" t="str">
        <f>IFERROR(SUMIFS('01. KE30'!$O:$O,'01. KE30'!$C:$C,'06. BC BH THEO CUSTOMER-USD'!$D31,'01. KE30'!$F:$F,'06. BC BH THEO CUSTOMER-USD'!$H31,'01. KE30'!$A:$A,'06. BC BH THEO CUSTOMER-USD'!V$4)/'06. BC BH THEO CUSTOMER-USD'!DB31/'02. Tỷ giá'!K$5,"-")</f>
        <v>-</v>
      </c>
      <c r="AK31" s="147" t="str">
        <f>IFERROR(SUMIFS('01. KE30'!$O:$O,'01. KE30'!$C:$C,'06. BC BH THEO CUSTOMER-USD'!$D31,'01. KE30'!$F:$F,'06. BC BH THEO CUSTOMER-USD'!$H31,'01. KE30'!$A:$A,'06. BC BH THEO CUSTOMER-USD'!W$4)/'06. BC BH THEO CUSTOMER-USD'!DC31/'02. Tỷ giá'!L$5,"-")</f>
        <v>-</v>
      </c>
      <c r="AL31" s="147" t="str">
        <f>IFERROR(SUMIFS('01. KE30'!$O:$O,'01. KE30'!$C:$C,'06. BC BH THEO CUSTOMER-USD'!$D31,'01. KE30'!$F:$F,'06. BC BH THEO CUSTOMER-USD'!$H31,'01. KE30'!$A:$A,'06. BC BH THEO CUSTOMER-USD'!X$4)/'06. BC BH THEO CUSTOMER-USD'!DD31/'02. Tỷ giá'!M$5,"-")</f>
        <v>-</v>
      </c>
      <c r="AN31" s="92">
        <f t="shared" si="44"/>
        <v>1166.6666666666667</v>
      </c>
      <c r="AO31" s="25">
        <v>1160</v>
      </c>
      <c r="AP31" s="25">
        <v>1160</v>
      </c>
      <c r="AQ31" s="25">
        <v>1160</v>
      </c>
      <c r="AR31" s="4">
        <f t="shared" si="135"/>
        <v>1180</v>
      </c>
      <c r="AS31" s="4">
        <v>1180</v>
      </c>
      <c r="AT31" s="4">
        <v>1180</v>
      </c>
      <c r="AU31" s="4">
        <v>1180</v>
      </c>
      <c r="AV31" s="4">
        <f t="shared" si="66"/>
        <v>1150</v>
      </c>
      <c r="AW31" s="25">
        <v>1150</v>
      </c>
      <c r="AX31" s="25"/>
      <c r="AY31" s="4"/>
      <c r="AZ31" s="4"/>
      <c r="BB31" s="95" t="str">
        <f t="shared" si="45"/>
        <v>-</v>
      </c>
      <c r="BC31" s="95" t="str">
        <f t="shared" si="46"/>
        <v>-</v>
      </c>
      <c r="BD31" s="95" t="str">
        <f t="shared" si="74"/>
        <v>-</v>
      </c>
      <c r="BE31" s="95" t="str">
        <f t="shared" si="74"/>
        <v>-</v>
      </c>
      <c r="BF31" s="95" t="str">
        <f t="shared" si="74"/>
        <v>-</v>
      </c>
      <c r="BG31" s="95" t="str">
        <f t="shared" si="74"/>
        <v>-</v>
      </c>
      <c r="BH31" s="95" t="str">
        <f t="shared" si="74"/>
        <v>-</v>
      </c>
      <c r="BI31" s="95" t="str">
        <f t="shared" si="74"/>
        <v>-</v>
      </c>
      <c r="BJ31" s="95" t="str">
        <f t="shared" si="74"/>
        <v>-</v>
      </c>
      <c r="BK31" s="95" t="str">
        <f t="shared" si="74"/>
        <v>-</v>
      </c>
      <c r="BL31" s="95" t="str">
        <f t="shared" si="74"/>
        <v>-</v>
      </c>
      <c r="BM31" s="95" t="str">
        <f t="shared" si="74"/>
        <v>-</v>
      </c>
      <c r="BN31" s="95" t="str">
        <f t="shared" si="74"/>
        <v>-</v>
      </c>
      <c r="BP31" s="143" t="str">
        <f t="shared" si="47"/>
        <v>-</v>
      </c>
      <c r="BQ31" s="143" t="str">
        <f t="shared" si="8"/>
        <v>-</v>
      </c>
      <c r="BR31" s="143" t="str">
        <f t="shared" si="9"/>
        <v>-</v>
      </c>
      <c r="BS31" s="143" t="str">
        <f t="shared" si="10"/>
        <v>-</v>
      </c>
      <c r="BT31" s="143" t="str">
        <f t="shared" si="11"/>
        <v>-</v>
      </c>
      <c r="BU31" s="143" t="str">
        <f t="shared" si="12"/>
        <v>-</v>
      </c>
      <c r="BV31" s="143" t="str">
        <f t="shared" si="13"/>
        <v>-</v>
      </c>
      <c r="BW31" s="143" t="str">
        <f t="shared" si="14"/>
        <v>-</v>
      </c>
      <c r="BX31" s="143" t="str">
        <f t="shared" si="15"/>
        <v>-</v>
      </c>
      <c r="BY31" s="143" t="str">
        <f t="shared" si="16"/>
        <v>-</v>
      </c>
      <c r="BZ31" s="143" t="str">
        <f t="shared" si="17"/>
        <v>-</v>
      </c>
      <c r="CA31" s="143" t="str">
        <f t="shared" si="18"/>
        <v>-</v>
      </c>
      <c r="CB31" s="143" t="str">
        <f t="shared" si="19"/>
        <v>-</v>
      </c>
      <c r="CD31" s="112" t="str">
        <f t="shared" si="25"/>
        <v>-</v>
      </c>
      <c r="CE31" s="95" t="str">
        <f>IFERROR(SUMIFS('01. KE30'!$R:$R,'01. KE30'!$C:$C,'06. BC BH THEO CUSTOMER-USD'!$D31,'01. KE30'!$F:$F,'06. BC BH THEO CUSTOMER-USD'!$H31,'01. KE30'!$A:$A,'06. BC BH THEO CUSTOMER-USD'!CE$4)/CS31/'02. Tỷ giá'!B$5," -")</f>
        <v xml:space="preserve"> -</v>
      </c>
      <c r="CF31" s="95" t="str">
        <f>IFERROR(SUMIFS('01. KE30'!$R:$R,'01. KE30'!$C:$C,'06. BC BH THEO CUSTOMER-USD'!$D31,'01. KE30'!$F:$F,'06. BC BH THEO CUSTOMER-USD'!$H31,'01. KE30'!$A:$A,'06. BC BH THEO CUSTOMER-USD'!CF$4)/CT31/'02. Tỷ giá'!C$5," -")</f>
        <v xml:space="preserve"> -</v>
      </c>
      <c r="CG31" s="95" t="str">
        <f>IFERROR(SUMIFS('01. KE30'!$R:$R,'01. KE30'!$C:$C,'06. BC BH THEO CUSTOMER-USD'!$D31,'01. KE30'!$F:$F,'06. BC BH THEO CUSTOMER-USD'!$H31,'01. KE30'!$A:$A,'06. BC BH THEO CUSTOMER-USD'!CG$4)/CU31/'02. Tỷ giá'!D$5," -")</f>
        <v xml:space="preserve"> -</v>
      </c>
      <c r="CH31" s="95" t="str">
        <f>IFERROR(SUMIFS('01. KE30'!$R:$R,'01. KE30'!$C:$C,'06. BC BH THEO CUSTOMER-USD'!$D31,'01. KE30'!$F:$F,'06. BC BH THEO CUSTOMER-USD'!$H31,'01. KE30'!$A:$A,'06. BC BH THEO CUSTOMER-USD'!CH$4)/CV31/'02. Tỷ giá'!E$5," -")</f>
        <v xml:space="preserve"> -</v>
      </c>
      <c r="CI31" s="95" t="str">
        <f>IFERROR(SUMIFS('01. KE30'!$R:$R,'01. KE30'!$C:$C,'06. BC BH THEO CUSTOMER-USD'!$D31,'01. KE30'!$F:$F,'06. BC BH THEO CUSTOMER-USD'!$H31,'01. KE30'!$A:$A,'06. BC BH THEO CUSTOMER-USD'!CI$4)/CW31/'02. Tỷ giá'!F$5," -")</f>
        <v xml:space="preserve"> -</v>
      </c>
      <c r="CJ31" s="95" t="str">
        <f>IFERROR(SUMIFS('01. KE30'!$R:$R,'01. KE30'!$C:$C,'06. BC BH THEO CUSTOMER-USD'!$D31,'01. KE30'!$F:$F,'06. BC BH THEO CUSTOMER-USD'!$H31,'01. KE30'!$A:$A,'06. BC BH THEO CUSTOMER-USD'!CJ$4)/CX31/'02. Tỷ giá'!G$5," -")</f>
        <v xml:space="preserve"> -</v>
      </c>
      <c r="CK31" s="95" t="str">
        <f>IFERROR(SUMIFS('01. KE30'!$R:$R,'01. KE30'!$C:$C,'06. BC BH THEO CUSTOMER-USD'!$D31,'01. KE30'!$F:$F,'06. BC BH THEO CUSTOMER-USD'!$H31,'01. KE30'!$A:$A,'06. BC BH THEO CUSTOMER-USD'!CK$4)/CY31/'02. Tỷ giá'!H$5," -")</f>
        <v xml:space="preserve"> -</v>
      </c>
      <c r="CL31" s="95" t="str">
        <f>IFERROR(SUMIFS('01. KE30'!$R:$R,'01. KE30'!$C:$C,'06. BC BH THEO CUSTOMER-USD'!$D31,'01. KE30'!$F:$F,'06. BC BH THEO CUSTOMER-USD'!$H31,'01. KE30'!$A:$A,'06. BC BH THEO CUSTOMER-USD'!CL$4)/CZ31/'02. Tỷ giá'!I$5," -")</f>
        <v xml:space="preserve"> -</v>
      </c>
      <c r="CM31" s="95" t="str">
        <f>IFERROR(SUMIFS('01. KE30'!$R:$R,'01. KE30'!$C:$C,'06. BC BH THEO CUSTOMER-USD'!$D31,'01. KE30'!$F:$F,'06. BC BH THEO CUSTOMER-USD'!$H31,'01. KE30'!$A:$A,'06. BC BH THEO CUSTOMER-USD'!CM$4)/DA31/'02. Tỷ giá'!J$5," -")</f>
        <v xml:space="preserve"> -</v>
      </c>
      <c r="CN31" s="95" t="str">
        <f>IFERROR(SUMIFS('01. KE30'!$R:$R,'01. KE30'!$C:$C,'06. BC BH THEO CUSTOMER-USD'!$D31,'01. KE30'!$F:$F,'06. BC BH THEO CUSTOMER-USD'!$H31,'01. KE30'!$A:$A,'06. BC BH THEO CUSTOMER-USD'!CN$4)/DB31/'02. Tỷ giá'!K$5," -")</f>
        <v xml:space="preserve"> -</v>
      </c>
      <c r="CO31" s="95" t="str">
        <f>IFERROR(SUMIFS('01. KE30'!$R:$R,'01. KE30'!$C:$C,'06. BC BH THEO CUSTOMER-USD'!$D31,'01. KE30'!$F:$F,'06. BC BH THEO CUSTOMER-USD'!$H31,'01. KE30'!$A:$A,'06. BC BH THEO CUSTOMER-USD'!CO$4)/DC31/'02. Tỷ giá'!L$5," -")</f>
        <v xml:space="preserve"> -</v>
      </c>
      <c r="CP31" s="95" t="str">
        <f>IFERROR(SUMIFS('01. KE30'!$R:$R,'01. KE30'!$C:$C,'06. BC BH THEO CUSTOMER-USD'!$D31,'01. KE30'!$F:$F,'06. BC BH THEO CUSTOMER-USD'!$H31,'01. KE30'!$A:$A,'06. BC BH THEO CUSTOMER-USD'!CP$4)/DD31/'02. Tỷ giá'!M$5," -")</f>
        <v xml:space="preserve"> -</v>
      </c>
      <c r="CR31" s="112">
        <f t="shared" si="26"/>
        <v>0</v>
      </c>
      <c r="CS31" s="114">
        <f>SUMIFS('01. KE30'!$I:$I,'01. KE30'!$C:$C,'06. BC BH THEO CUSTOMER-USD'!$D31,'01. KE30'!$F:$F,'06. BC BH THEO CUSTOMER-USD'!$H31,'01. KE30'!$A:$A,'06. BC BH THEO CUSTOMER-USD'!CS$4)/1000</f>
        <v>0</v>
      </c>
      <c r="CT31" s="114">
        <f>SUMIFS('01. KE30'!$I:$I,'01. KE30'!$C:$C,'06. BC BH THEO CUSTOMER-USD'!$D31,'01. KE30'!$F:$F,'06. BC BH THEO CUSTOMER-USD'!$H31,'01. KE30'!$A:$A,'06. BC BH THEO CUSTOMER-USD'!CT$4)/1000</f>
        <v>0</v>
      </c>
      <c r="CU31" s="114">
        <f>SUMIFS('01. KE30'!$I:$I,'01. KE30'!$C:$C,'06. BC BH THEO CUSTOMER-USD'!$D31,'01. KE30'!$F:$F,'06. BC BH THEO CUSTOMER-USD'!$H31,'01. KE30'!$A:$A,'06. BC BH THEO CUSTOMER-USD'!CU$4)/1000</f>
        <v>0</v>
      </c>
      <c r="CV31" s="114">
        <f>SUMIFS('01. KE30'!$I:$I,'01. KE30'!$C:$C,'06. BC BH THEO CUSTOMER-USD'!$D31,'01. KE30'!$F:$F,'06. BC BH THEO CUSTOMER-USD'!$H31,'01. KE30'!$A:$A,'06. BC BH THEO CUSTOMER-USD'!CV$4)/1000</f>
        <v>0</v>
      </c>
      <c r="CW31" s="114">
        <f>SUMIFS('01. KE30'!$I:$I,'01. KE30'!$C:$C,'06. BC BH THEO CUSTOMER-USD'!$D31,'01. KE30'!$F:$F,'06. BC BH THEO CUSTOMER-USD'!$H31,'01. KE30'!$A:$A,'06. BC BH THEO CUSTOMER-USD'!CW$4)/1000</f>
        <v>0</v>
      </c>
      <c r="CX31" s="114">
        <f>SUMIFS('01. KE30'!$I:$I,'01. KE30'!$C:$C,'06. BC BH THEO CUSTOMER-USD'!$D31,'01. KE30'!$F:$F,'06. BC BH THEO CUSTOMER-USD'!$H31,'01. KE30'!$A:$A,'06. BC BH THEO CUSTOMER-USD'!CX$4)/1000</f>
        <v>0</v>
      </c>
      <c r="CY31" s="114">
        <f>SUMIFS('01. KE30'!$I:$I,'01. KE30'!$C:$C,'06. BC BH THEO CUSTOMER-USD'!$D31,'01. KE30'!$F:$F,'06. BC BH THEO CUSTOMER-USD'!$H31,'01. KE30'!$A:$A,'06. BC BH THEO CUSTOMER-USD'!CY$4)/1000</f>
        <v>0</v>
      </c>
      <c r="CZ31" s="114">
        <f>SUMIFS('01. KE30'!$I:$I,'01. KE30'!$C:$C,'06. BC BH THEO CUSTOMER-USD'!$D31,'01. KE30'!$F:$F,'06. BC BH THEO CUSTOMER-USD'!$H31,'01. KE30'!$A:$A,'06. BC BH THEO CUSTOMER-USD'!CZ$4)/1000</f>
        <v>0</v>
      </c>
      <c r="DA31" s="114">
        <f>SUMIFS('01. KE30'!$I:$I,'01. KE30'!$C:$C,'06. BC BH THEO CUSTOMER-USD'!$D31,'01. KE30'!$F:$F,'06. BC BH THEO CUSTOMER-USD'!$H31,'01. KE30'!$A:$A,'06. BC BH THEO CUSTOMER-USD'!DA$4)/1000</f>
        <v>0</v>
      </c>
      <c r="DB31" s="114">
        <f>SUMIFS('01. KE30'!$I:$I,'01. KE30'!$C:$C,'06. BC BH THEO CUSTOMER-USD'!$D31,'01. KE30'!$F:$F,'06. BC BH THEO CUSTOMER-USD'!$H31,'01. KE30'!$A:$A,'06. BC BH THEO CUSTOMER-USD'!DB$4)/1000</f>
        <v>0</v>
      </c>
      <c r="DC31" s="114">
        <f>SUMIFS('01. KE30'!$I:$I,'01. KE30'!$C:$C,'06. BC BH THEO CUSTOMER-USD'!$D31,'01. KE30'!$F:$F,'06. BC BH THEO CUSTOMER-USD'!$H31,'01. KE30'!$A:$A,'06. BC BH THEO CUSTOMER-USD'!DC$4)/1000</f>
        <v>0</v>
      </c>
      <c r="DD31" s="114">
        <f>SUMIFS('01. KE30'!$I:$I,'01. KE30'!$C:$C,'06. BC BH THEO CUSTOMER-USD'!$D31,'01. KE30'!$F:$F,'06. BC BH THEO CUSTOMER-USD'!$H31,'01. KE30'!$A:$A,'06. BC BH THEO CUSTOMER-USD'!DD$4)/1000</f>
        <v>0</v>
      </c>
      <c r="DF31" s="112">
        <f t="shared" si="73"/>
        <v>0</v>
      </c>
      <c r="DG31" s="54" t="str">
        <f t="shared" si="48"/>
        <v>-</v>
      </c>
      <c r="DH31" s="54" t="str">
        <f t="shared" si="49"/>
        <v>-</v>
      </c>
      <c r="DI31" s="54" t="str">
        <f t="shared" si="50"/>
        <v>-</v>
      </c>
      <c r="DJ31" s="54" t="str">
        <f t="shared" si="51"/>
        <v>-</v>
      </c>
      <c r="DK31" s="54" t="str">
        <f t="shared" si="52"/>
        <v>-</v>
      </c>
      <c r="DL31" s="54" t="str">
        <f t="shared" si="53"/>
        <v>-</v>
      </c>
      <c r="DM31" s="54" t="str">
        <f t="shared" si="54"/>
        <v>-</v>
      </c>
      <c r="DN31" s="54" t="str">
        <f t="shared" si="55"/>
        <v>-</v>
      </c>
      <c r="DO31" s="54" t="str">
        <f t="shared" si="56"/>
        <v>-</v>
      </c>
      <c r="DP31" s="54" t="str">
        <f t="shared" si="57"/>
        <v>-</v>
      </c>
      <c r="DQ31" s="54" t="str">
        <f t="shared" si="58"/>
        <v>-</v>
      </c>
      <c r="DR31" s="54" t="str">
        <f t="shared" si="59"/>
        <v>-</v>
      </c>
      <c r="DT31" s="112">
        <f t="shared" si="60"/>
        <v>0</v>
      </c>
      <c r="DU31" s="114">
        <f>IFERROR(SUMIFS('01. KE30'!$X:$X,'01. KE30'!$C:$C,'06. BC BH THEO CUSTOMER-USD'!$D31,'01. KE30'!$F:$F,'06. BC BH THEO CUSTOMER-USD'!$H31,'01. KE30'!$A:$A,'06. BC BH THEO CUSTOMER-USD'!DU$4)-SUMIFS('01. KE30'!$AA:$AA,'01. KE30'!$C:$C,'06. BC BH THEO CUSTOMER-USD'!$D31,'01. KE30'!$F:$F,'06. BC BH THEO CUSTOMER-USD'!$H31,'01. KE30'!$A:$A,'06. BC BH THEO CUSTOMER-USD'!DU$4),"-")</f>
        <v>0</v>
      </c>
      <c r="DV31" s="114">
        <f>IFERROR(SUMIFS('01. KE30'!$X:$X,'01. KE30'!$C:$C,'06. BC BH THEO CUSTOMER-USD'!$D31,'01. KE30'!$F:$F,'06. BC BH THEO CUSTOMER-USD'!$H31,'01. KE30'!$A:$A,'06. BC BH THEO CUSTOMER-USD'!DV$4)-SUMIFS('01. KE30'!$AA:$AA,'01. KE30'!$C:$C,'06. BC BH THEO CUSTOMER-USD'!$D31,'01. KE30'!$F:$F,'06. BC BH THEO CUSTOMER-USD'!$H31,'01. KE30'!$A:$A,'06. BC BH THEO CUSTOMER-USD'!DV$4),"-")</f>
        <v>0</v>
      </c>
      <c r="DW31" s="114">
        <f>IFERROR(SUMIFS('01. KE30'!$X:$X,'01. KE30'!$C:$C,'06. BC BH THEO CUSTOMER-USD'!$D31,'01. KE30'!$F:$F,'06. BC BH THEO CUSTOMER-USD'!$H31,'01. KE30'!$A:$A,'06. BC BH THEO CUSTOMER-USD'!DW$4)-SUMIFS('01. KE30'!$AA:$AA,'01. KE30'!$C:$C,'06. BC BH THEO CUSTOMER-USD'!$D31,'01. KE30'!$F:$F,'06. BC BH THEO CUSTOMER-USD'!$H31,'01. KE30'!$A:$A,'06. BC BH THEO CUSTOMER-USD'!DW$4),"-")</f>
        <v>0</v>
      </c>
      <c r="DX31" s="114">
        <f>IFERROR(SUMIFS('01. KE30'!$X:$X,'01. KE30'!$C:$C,'06. BC BH THEO CUSTOMER-USD'!$D31,'01. KE30'!$F:$F,'06. BC BH THEO CUSTOMER-USD'!$H31,'01. KE30'!$A:$A,'06. BC BH THEO CUSTOMER-USD'!DX$4)-SUMIFS('01. KE30'!$AA:$AA,'01. KE30'!$C:$C,'06. BC BH THEO CUSTOMER-USD'!$D31,'01. KE30'!$F:$F,'06. BC BH THEO CUSTOMER-USD'!$H31,'01. KE30'!$A:$A,'06. BC BH THEO CUSTOMER-USD'!DX$4),"-")</f>
        <v>0</v>
      </c>
      <c r="DY31" s="114">
        <f>IFERROR(SUMIFS('01. KE30'!$X:$X,'01. KE30'!$C:$C,'06. BC BH THEO CUSTOMER-USD'!$D31,'01. KE30'!$F:$F,'06. BC BH THEO CUSTOMER-USD'!$H31,'01. KE30'!$A:$A,'06. BC BH THEO CUSTOMER-USD'!DY$4)-SUMIFS('01. KE30'!$AA:$AA,'01. KE30'!$C:$C,'06. BC BH THEO CUSTOMER-USD'!$D31,'01. KE30'!$F:$F,'06. BC BH THEO CUSTOMER-USD'!$H31,'01. KE30'!$A:$A,'06. BC BH THEO CUSTOMER-USD'!DY$4),"-")</f>
        <v>0</v>
      </c>
      <c r="DZ31" s="114">
        <f>IFERROR(SUMIFS('01. KE30'!$X:$X,'01. KE30'!$C:$C,'06. BC BH THEO CUSTOMER-USD'!$D31,'01. KE30'!$F:$F,'06. BC BH THEO CUSTOMER-USD'!$H31,'01. KE30'!$A:$A,'06. BC BH THEO CUSTOMER-USD'!DZ$4)-SUMIFS('01. KE30'!$AA:$AA,'01. KE30'!$C:$C,'06. BC BH THEO CUSTOMER-USD'!$D31,'01. KE30'!$F:$F,'06. BC BH THEO CUSTOMER-USD'!$H31,'01. KE30'!$A:$A,'06. BC BH THEO CUSTOMER-USD'!DZ$4),"-")</f>
        <v>0</v>
      </c>
      <c r="EA31" s="114">
        <f>IFERROR(SUMIFS('01. KE30'!$X:$X,'01. KE30'!$C:$C,'06. BC BH THEO CUSTOMER-USD'!$D31,'01. KE30'!$F:$F,'06. BC BH THEO CUSTOMER-USD'!$H31,'01. KE30'!$A:$A,'06. BC BH THEO CUSTOMER-USD'!EA$4)-SUMIFS('01. KE30'!$AA:$AA,'01. KE30'!$C:$C,'06. BC BH THEO CUSTOMER-USD'!$D31,'01. KE30'!$F:$F,'06. BC BH THEO CUSTOMER-USD'!$H31,'01. KE30'!$A:$A,'06. BC BH THEO CUSTOMER-USD'!EA$4),"-")</f>
        <v>0</v>
      </c>
      <c r="EB31" s="114">
        <f>IFERROR(SUMIFS('01. KE30'!$X:$X,'01. KE30'!$C:$C,'06. BC BH THEO CUSTOMER-USD'!$D31,'01. KE30'!$F:$F,'06. BC BH THEO CUSTOMER-USD'!$H31,'01. KE30'!$A:$A,'06. BC BH THEO CUSTOMER-USD'!EB$4)-SUMIFS('01. KE30'!$AA:$AA,'01. KE30'!$C:$C,'06. BC BH THEO CUSTOMER-USD'!$D31,'01. KE30'!$F:$F,'06. BC BH THEO CUSTOMER-USD'!$H31,'01. KE30'!$A:$A,'06. BC BH THEO CUSTOMER-USD'!EB$4),"-")</f>
        <v>0</v>
      </c>
      <c r="EC31" s="114">
        <f>IFERROR(SUMIFS('01. KE30'!$X:$X,'01. KE30'!$C:$C,'06. BC BH THEO CUSTOMER-USD'!$D31,'01. KE30'!$F:$F,'06. BC BH THEO CUSTOMER-USD'!$H31,'01. KE30'!$A:$A,'06. BC BH THEO CUSTOMER-USD'!EC$4)-SUMIFS('01. KE30'!$AA:$AA,'01. KE30'!$C:$C,'06. BC BH THEO CUSTOMER-USD'!$D31,'01. KE30'!$F:$F,'06. BC BH THEO CUSTOMER-USD'!$H31,'01. KE30'!$A:$A,'06. BC BH THEO CUSTOMER-USD'!EC$4),"-")</f>
        <v>0</v>
      </c>
      <c r="ED31" s="114">
        <f>IFERROR(SUMIFS('01. KE30'!$X:$X,'01. KE30'!$C:$C,'06. BC BH THEO CUSTOMER-USD'!$D31,'01. KE30'!$F:$F,'06. BC BH THEO CUSTOMER-USD'!$H31,'01. KE30'!$A:$A,'06. BC BH THEO CUSTOMER-USD'!ED$4)-SUMIFS('01. KE30'!$AA:$AA,'01. KE30'!$C:$C,'06. BC BH THEO CUSTOMER-USD'!$D31,'01. KE30'!$F:$F,'06. BC BH THEO CUSTOMER-USD'!$H31,'01. KE30'!$A:$A,'06. BC BH THEO CUSTOMER-USD'!ED$4),"-")</f>
        <v>0</v>
      </c>
      <c r="EE31" s="114">
        <f>IFERROR(SUMIFS('01. KE30'!$X:$X,'01. KE30'!$C:$C,'06. BC BH THEO CUSTOMER-USD'!$D31,'01. KE30'!$F:$F,'06. BC BH THEO CUSTOMER-USD'!$H31,'01. KE30'!$A:$A,'06. BC BH THEO CUSTOMER-USD'!EE$4)-SUMIFS('01. KE30'!$AA:$AA,'01. KE30'!$C:$C,'06. BC BH THEO CUSTOMER-USD'!$D31,'01. KE30'!$F:$F,'06. BC BH THEO CUSTOMER-USD'!$H31,'01. KE30'!$A:$A,'06. BC BH THEO CUSTOMER-USD'!EE$4),"-")</f>
        <v>0</v>
      </c>
      <c r="EF31" s="114">
        <f>IFERROR(SUMIFS('01. KE30'!$X:$X,'01. KE30'!$C:$C,'06. BC BH THEO CUSTOMER-USD'!$D31,'01. KE30'!$F:$F,'06. BC BH THEO CUSTOMER-USD'!$H31,'01. KE30'!$A:$A,'06. BC BH THEO CUSTOMER-USD'!EF$4)-SUMIFS('01. KE30'!$AA:$AA,'01. KE30'!$C:$C,'06. BC BH THEO CUSTOMER-USD'!$D31,'01. KE30'!$F:$F,'06. BC BH THEO CUSTOMER-USD'!$H31,'01. KE30'!$A:$A,'06. BC BH THEO CUSTOMER-USD'!EF$4),"-")</f>
        <v>0</v>
      </c>
      <c r="EH31" s="571" t="str">
        <f t="shared" si="29"/>
        <v>-</v>
      </c>
      <c r="EI31" s="572" t="str">
        <f t="shared" si="30"/>
        <v>-</v>
      </c>
      <c r="EJ31" s="572" t="str">
        <f t="shared" si="31"/>
        <v>-</v>
      </c>
      <c r="EK31" s="572" t="str">
        <f t="shared" si="32"/>
        <v>-</v>
      </c>
      <c r="EL31" s="572" t="str">
        <f t="shared" si="33"/>
        <v>-</v>
      </c>
      <c r="EM31" s="572" t="str">
        <f t="shared" si="34"/>
        <v>-</v>
      </c>
      <c r="EN31" s="572" t="str">
        <f t="shared" si="35"/>
        <v>-</v>
      </c>
      <c r="EO31" s="572" t="str">
        <f t="shared" si="36"/>
        <v>-</v>
      </c>
      <c r="EP31" s="572" t="str">
        <f t="shared" si="37"/>
        <v>-</v>
      </c>
      <c r="EQ31" s="572" t="str">
        <f t="shared" si="38"/>
        <v>-</v>
      </c>
      <c r="ER31" s="572" t="str">
        <f t="shared" si="39"/>
        <v>-</v>
      </c>
      <c r="ES31" s="572" t="str">
        <f t="shared" si="40"/>
        <v>-</v>
      </c>
      <c r="ET31" s="572" t="str">
        <f t="shared" si="41"/>
        <v>-</v>
      </c>
    </row>
    <row r="32" spans="1:150" ht="15.5" hidden="1" outlineLevel="1" x14ac:dyDescent="0.35">
      <c r="A32" s="27">
        <f t="shared" si="63"/>
        <v>25</v>
      </c>
      <c r="B32" s="27" t="s">
        <v>283</v>
      </c>
      <c r="C32" s="442" t="s">
        <v>507</v>
      </c>
      <c r="D32" s="9" t="s">
        <v>134</v>
      </c>
      <c r="E32" s="12" t="s">
        <v>133</v>
      </c>
      <c r="F32" s="12" t="s">
        <v>245</v>
      </c>
      <c r="G32" s="12" t="str">
        <f>_xlfn.XLOOKUP(F32,'Quy đổi'!$G$5:$G$32,'Quy đổi'!$H$5:$H$32,0)</f>
        <v>Nội địa</v>
      </c>
      <c r="H32" s="76" t="s">
        <v>462</v>
      </c>
      <c r="I32" s="28" t="s">
        <v>468</v>
      </c>
      <c r="J32" s="13" t="s">
        <v>22</v>
      </c>
      <c r="K32" s="11"/>
      <c r="L32" s="92">
        <f t="shared" si="42"/>
        <v>1300.1020766794488</v>
      </c>
      <c r="M32" s="106">
        <f>IFERROR(SUMIFS('01. KE30'!$K:$K,'01. KE30'!$C:$C,'06. BC BH THEO CUSTOMER-USD'!$D32,'01. KE30'!$F:$F,'06. BC BH THEO CUSTOMER-USD'!$H32,'01. KE30'!$A:$A,'06. BC BH THEO CUSTOMER-USD'!M$4)/'06. BC BH THEO CUSTOMER-USD'!CS32/'02. Tỷ giá'!B$5,"-")</f>
        <v>1243.9783219590524</v>
      </c>
      <c r="N32" s="106" t="str">
        <f>IFERROR(SUMIFS('01. KE30'!$K:$K,'01. KE30'!$C:$C,'06. BC BH THEO CUSTOMER-USD'!$D32,'01. KE30'!$F:$F,'06. BC BH THEO CUSTOMER-USD'!$H32,'01. KE30'!$A:$A,'06. BC BH THEO CUSTOMER-USD'!N$4)/'06. BC BH THEO CUSTOMER-USD'!CT32/'02. Tỷ giá'!C$5,"-")</f>
        <v>-</v>
      </c>
      <c r="O32" s="106" t="str">
        <f>IFERROR(SUMIFS('01. KE30'!$K:$K,'01. KE30'!$C:$C,'06. BC BH THEO CUSTOMER-USD'!$D32,'01. KE30'!$F:$F,'06. BC BH THEO CUSTOMER-USD'!$H32,'01. KE30'!$A:$A,'06. BC BH THEO CUSTOMER-USD'!O$4)/'06. BC BH THEO CUSTOMER-USD'!CU32/'02. Tỷ giá'!D$5,"-")</f>
        <v>-</v>
      </c>
      <c r="P32" s="106" t="str">
        <f>IFERROR(SUMIFS('01. KE30'!$K:$K,'01. KE30'!$C:$C,'06. BC BH THEO CUSTOMER-USD'!$D32,'01. KE30'!$F:$F,'06. BC BH THEO CUSTOMER-USD'!$H32,'01. KE30'!$A:$A,'06. BC BH THEO CUSTOMER-USD'!P$4)/'06. BC BH THEO CUSTOMER-USD'!CV32/'02. Tỷ giá'!E$5,"-")</f>
        <v>-</v>
      </c>
      <c r="Q32" s="106">
        <f>IFERROR(SUMIFS('01. KE30'!$K:$K,'01. KE30'!$C:$C,'06. BC BH THEO CUSTOMER-USD'!$D32,'01. KE30'!$F:$F,'06. BC BH THEO CUSTOMER-USD'!$H32,'01. KE30'!$A:$A,'06. BC BH THEO CUSTOMER-USD'!Q$4)/'06. BC BH THEO CUSTOMER-USD'!CW32/'02. Tỷ giá'!F$5,"-")</f>
        <v>1356.2258313998452</v>
      </c>
      <c r="R32" s="106" t="str">
        <f>IFERROR(SUMIFS('01. KE30'!$K:$K,'01. KE30'!$C:$C,'06. BC BH THEO CUSTOMER-USD'!$D32,'01. KE30'!$F:$F,'06. BC BH THEO CUSTOMER-USD'!$H32,'01. KE30'!$A:$A,'06. BC BH THEO CUSTOMER-USD'!R$4)/'06. BC BH THEO CUSTOMER-USD'!CX32/'02. Tỷ giá'!G$5,"-")</f>
        <v>-</v>
      </c>
      <c r="S32" s="106" t="str">
        <f>IFERROR(SUMIFS('01. KE30'!$K:$K,'01. KE30'!$C:$C,'06. BC BH THEO CUSTOMER-USD'!$D32,'01. KE30'!$F:$F,'06. BC BH THEO CUSTOMER-USD'!$H32,'01. KE30'!$A:$A,'06. BC BH THEO CUSTOMER-USD'!S$4)/'06. BC BH THEO CUSTOMER-USD'!CY32/'02. Tỷ giá'!H$5,"-")</f>
        <v>-</v>
      </c>
      <c r="T32" s="106" t="str">
        <f>IFERROR(SUMIFS('01. KE30'!$K:$K,'01. KE30'!$C:$C,'06. BC BH THEO CUSTOMER-USD'!$D32,'01. KE30'!$F:$F,'06. BC BH THEO CUSTOMER-USD'!$H32,'01. KE30'!$A:$A,'06. BC BH THEO CUSTOMER-USD'!T$4)/'06. BC BH THEO CUSTOMER-USD'!CZ32/'02. Tỷ giá'!I$5,"-")</f>
        <v>-</v>
      </c>
      <c r="U32" s="106" t="str">
        <f>IFERROR(SUMIFS('01. KE30'!$K:$K,'01. KE30'!$C:$C,'06. BC BH THEO CUSTOMER-USD'!$D32,'01. KE30'!$F:$F,'06. BC BH THEO CUSTOMER-USD'!$H32,'01. KE30'!$A:$A,'06. BC BH THEO CUSTOMER-USD'!U$4)/'06. BC BH THEO CUSTOMER-USD'!DA32/'02. Tỷ giá'!J$5,"-")</f>
        <v>-</v>
      </c>
      <c r="V32" s="106" t="str">
        <f>IFERROR(SUMIFS('01. KE30'!$K:$K,'01. KE30'!$C:$C,'06. BC BH THEO CUSTOMER-USD'!$D32,'01. KE30'!$F:$F,'06. BC BH THEO CUSTOMER-USD'!$H32,'01. KE30'!$A:$A,'06. BC BH THEO CUSTOMER-USD'!V$4)/'06. BC BH THEO CUSTOMER-USD'!DB32/'02. Tỷ giá'!K$5,"-")</f>
        <v>-</v>
      </c>
      <c r="W32" s="106" t="str">
        <f>IFERROR(SUMIFS('01. KE30'!$K:$K,'01. KE30'!$C:$C,'06. BC BH THEO CUSTOMER-USD'!$D32,'01. KE30'!$F:$F,'06. BC BH THEO CUSTOMER-USD'!$H32,'01. KE30'!$A:$A,'06. BC BH THEO CUSTOMER-USD'!W$4)/'06. BC BH THEO CUSTOMER-USD'!DC32/'02. Tỷ giá'!L$5,"-")</f>
        <v>-</v>
      </c>
      <c r="X32" s="106" t="str">
        <f>IFERROR(SUMIFS('01. KE30'!$K:$K,'01. KE30'!$C:$C,'06. BC BH THEO CUSTOMER-USD'!$D32,'01. KE30'!$F:$F,'06. BC BH THEO CUSTOMER-USD'!$H32,'01. KE30'!$A:$A,'06. BC BH THEO CUSTOMER-USD'!X$4)/'06. BC BH THEO CUSTOMER-USD'!DD32/'02. Tỷ giá'!M$5,"-")</f>
        <v>-</v>
      </c>
      <c r="Z32" s="92">
        <f t="shared" si="43"/>
        <v>1259.0451809457165</v>
      </c>
      <c r="AA32" s="147">
        <f>IFERROR(SUMIFS('01. KE30'!$O:$O,'01. KE30'!$C:$C,'06. BC BH THEO CUSTOMER-USD'!$D32,'01. KE30'!$F:$F,'06. BC BH THEO CUSTOMER-USD'!$H32,'01. KE30'!$A:$A,'06. BC BH THEO CUSTOMER-USD'!M$4)/'06. BC BH THEO CUSTOMER-USD'!CS32/'02. Tỷ giá'!B$5,"-")</f>
        <v>1161.8645304915879</v>
      </c>
      <c r="AB32" s="147" t="str">
        <f>IFERROR(SUMIFS('01. KE30'!$O:$O,'01. KE30'!$C:$C,'06. BC BH THEO CUSTOMER-USD'!$D32,'01. KE30'!$F:$F,'06. BC BH THEO CUSTOMER-USD'!$H32,'01. KE30'!$A:$A,'06. BC BH THEO CUSTOMER-USD'!N$4)/'06. BC BH THEO CUSTOMER-USD'!CT32/'02. Tỷ giá'!C$5,"-")</f>
        <v>-</v>
      </c>
      <c r="AC32" s="147" t="str">
        <f>IFERROR(SUMIFS('01. KE30'!$O:$O,'01. KE30'!$C:$C,'06. BC BH THEO CUSTOMER-USD'!$D32,'01. KE30'!$F:$F,'06. BC BH THEO CUSTOMER-USD'!$H32,'01. KE30'!$A:$A,'06. BC BH THEO CUSTOMER-USD'!O$4)/'06. BC BH THEO CUSTOMER-USD'!CU32/'02. Tỷ giá'!D$5,"-")</f>
        <v>-</v>
      </c>
      <c r="AD32" s="147" t="str">
        <f>IFERROR(SUMIFS('01. KE30'!$O:$O,'01. KE30'!$C:$C,'06. BC BH THEO CUSTOMER-USD'!$D32,'01. KE30'!$F:$F,'06. BC BH THEO CUSTOMER-USD'!$H32,'01. KE30'!$A:$A,'06. BC BH THEO CUSTOMER-USD'!P$4)/'06. BC BH THEO CUSTOMER-USD'!CV32/'02. Tỷ giá'!E$5,"-")</f>
        <v>-</v>
      </c>
      <c r="AE32" s="147">
        <f>IFERROR(SUMIFS('01. KE30'!$O:$O,'01. KE30'!$C:$C,'06. BC BH THEO CUSTOMER-USD'!$D32,'01. KE30'!$F:$F,'06. BC BH THEO CUSTOMER-USD'!$H32,'01. KE30'!$A:$A,'06. BC BH THEO CUSTOMER-USD'!Q$4)/'06. BC BH THEO CUSTOMER-USD'!CW32/'02. Tỷ giá'!F$5,"-")</f>
        <v>1356.2258313998452</v>
      </c>
      <c r="AF32" s="147" t="str">
        <f>IFERROR(SUMIFS('01. KE30'!$O:$O,'01. KE30'!$C:$C,'06. BC BH THEO CUSTOMER-USD'!$D32,'01. KE30'!$F:$F,'06. BC BH THEO CUSTOMER-USD'!$H32,'01. KE30'!$A:$A,'06. BC BH THEO CUSTOMER-USD'!R$4)/'06. BC BH THEO CUSTOMER-USD'!CX32/'02. Tỷ giá'!G$5,"-")</f>
        <v>-</v>
      </c>
      <c r="AG32" s="147" t="str">
        <f>IFERROR(SUMIFS('01. KE30'!$O:$O,'01. KE30'!$C:$C,'06. BC BH THEO CUSTOMER-USD'!$D32,'01. KE30'!$F:$F,'06. BC BH THEO CUSTOMER-USD'!$H32,'01. KE30'!$A:$A,'06. BC BH THEO CUSTOMER-USD'!S$4)/'06. BC BH THEO CUSTOMER-USD'!CY32/'02. Tỷ giá'!H$5,"-")</f>
        <v>-</v>
      </c>
      <c r="AH32" s="147" t="str">
        <f>IFERROR(SUMIFS('01. KE30'!$O:$O,'01. KE30'!$C:$C,'06. BC BH THEO CUSTOMER-USD'!$D32,'01. KE30'!$F:$F,'06. BC BH THEO CUSTOMER-USD'!$H32,'01. KE30'!$A:$A,'06. BC BH THEO CUSTOMER-USD'!T$4)/'06. BC BH THEO CUSTOMER-USD'!CZ32/'02. Tỷ giá'!I$5,"-")</f>
        <v>-</v>
      </c>
      <c r="AI32" s="147" t="str">
        <f>IFERROR(SUMIFS('01. KE30'!$O:$O,'01. KE30'!$C:$C,'06. BC BH THEO CUSTOMER-USD'!$D32,'01. KE30'!$F:$F,'06. BC BH THEO CUSTOMER-USD'!$H32,'01. KE30'!$A:$A,'06. BC BH THEO CUSTOMER-USD'!U$4)/'06. BC BH THEO CUSTOMER-USD'!DA32/'02. Tỷ giá'!J$5,"-")</f>
        <v>-</v>
      </c>
      <c r="AJ32" s="147" t="str">
        <f>IFERROR(SUMIFS('01. KE30'!$O:$O,'01. KE30'!$C:$C,'06. BC BH THEO CUSTOMER-USD'!$D32,'01. KE30'!$F:$F,'06. BC BH THEO CUSTOMER-USD'!$H32,'01. KE30'!$A:$A,'06. BC BH THEO CUSTOMER-USD'!V$4)/'06. BC BH THEO CUSTOMER-USD'!DB32/'02. Tỷ giá'!K$5,"-")</f>
        <v>-</v>
      </c>
      <c r="AK32" s="147" t="str">
        <f>IFERROR(SUMIFS('01. KE30'!$O:$O,'01. KE30'!$C:$C,'06. BC BH THEO CUSTOMER-USD'!$D32,'01. KE30'!$F:$F,'06. BC BH THEO CUSTOMER-USD'!$H32,'01. KE30'!$A:$A,'06. BC BH THEO CUSTOMER-USD'!W$4)/'06. BC BH THEO CUSTOMER-USD'!DC32/'02. Tỷ giá'!L$5,"-")</f>
        <v>-</v>
      </c>
      <c r="AL32" s="147" t="str">
        <f>IFERROR(SUMIFS('01. KE30'!$O:$O,'01. KE30'!$C:$C,'06. BC BH THEO CUSTOMER-USD'!$D32,'01. KE30'!$F:$F,'06. BC BH THEO CUSTOMER-USD'!$H32,'01. KE30'!$A:$A,'06. BC BH THEO CUSTOMER-USD'!X$4)/'06. BC BH THEO CUSTOMER-USD'!DD32/'02. Tỷ giá'!M$5,"-")</f>
        <v>-</v>
      </c>
      <c r="AN32" s="92">
        <f t="shared" si="44"/>
        <v>1440</v>
      </c>
      <c r="AO32" s="25"/>
      <c r="AP32" s="25"/>
      <c r="AQ32" s="25"/>
      <c r="AR32" s="4"/>
      <c r="AS32" s="4"/>
      <c r="AT32" s="4"/>
      <c r="AU32" s="4">
        <v>1440</v>
      </c>
      <c r="AV32" s="4">
        <v>1440</v>
      </c>
      <c r="AW32" s="4">
        <v>1440</v>
      </c>
      <c r="AX32" s="25"/>
      <c r="AY32" s="4"/>
      <c r="AZ32" s="4"/>
      <c r="BB32" s="95">
        <f t="shared" si="45"/>
        <v>-180.95481905428346</v>
      </c>
      <c r="BC32" s="95">
        <f t="shared" si="46"/>
        <v>1161.8645304915879</v>
      </c>
      <c r="BD32" s="95" t="str">
        <f t="shared" si="74"/>
        <v>-</v>
      </c>
      <c r="BE32" s="95" t="str">
        <f t="shared" si="74"/>
        <v>-</v>
      </c>
      <c r="BF32" s="95" t="str">
        <f t="shared" si="74"/>
        <v>-</v>
      </c>
      <c r="BG32" s="95">
        <f t="shared" si="74"/>
        <v>1356.2258313998452</v>
      </c>
      <c r="BH32" s="95" t="str">
        <f t="shared" si="74"/>
        <v>-</v>
      </c>
      <c r="BI32" s="95" t="str">
        <f t="shared" si="74"/>
        <v>-</v>
      </c>
      <c r="BJ32" s="95" t="str">
        <f t="shared" si="74"/>
        <v>-</v>
      </c>
      <c r="BK32" s="95" t="str">
        <f t="shared" si="74"/>
        <v>-</v>
      </c>
      <c r="BL32" s="95" t="str">
        <f t="shared" si="74"/>
        <v>-</v>
      </c>
      <c r="BM32" s="95" t="str">
        <f t="shared" si="74"/>
        <v>-</v>
      </c>
      <c r="BN32" s="95" t="str">
        <f t="shared" si="74"/>
        <v>-</v>
      </c>
      <c r="BP32" s="143">
        <f t="shared" si="47"/>
        <v>-0.12566306878769684</v>
      </c>
      <c r="BQ32" s="143" t="str">
        <f t="shared" si="8"/>
        <v>-</v>
      </c>
      <c r="BR32" s="143" t="str">
        <f t="shared" si="9"/>
        <v>-</v>
      </c>
      <c r="BS32" s="143" t="str">
        <f t="shared" si="10"/>
        <v>-</v>
      </c>
      <c r="BT32" s="143" t="str">
        <f t="shared" si="11"/>
        <v>-</v>
      </c>
      <c r="BU32" s="143" t="str">
        <f t="shared" si="12"/>
        <v>-</v>
      </c>
      <c r="BV32" s="143" t="str">
        <f t="shared" si="13"/>
        <v>-</v>
      </c>
      <c r="BW32" s="143" t="str">
        <f t="shared" si="14"/>
        <v>-</v>
      </c>
      <c r="BX32" s="143" t="str">
        <f t="shared" si="15"/>
        <v>-</v>
      </c>
      <c r="BY32" s="143" t="str">
        <f t="shared" si="16"/>
        <v>-</v>
      </c>
      <c r="BZ32" s="143" t="str">
        <f t="shared" si="17"/>
        <v>-</v>
      </c>
      <c r="CA32" s="143" t="str">
        <f t="shared" si="18"/>
        <v>-</v>
      </c>
      <c r="CB32" s="143" t="str">
        <f t="shared" si="19"/>
        <v>-</v>
      </c>
      <c r="CD32" s="112">
        <f t="shared" si="25"/>
        <v>1578.1677952038431</v>
      </c>
      <c r="CE32" s="95">
        <f>IFERROR(SUMIFS('01. KE30'!$R:$R,'01. KE30'!$C:$C,'06. BC BH THEO CUSTOMER-USD'!$D32,'01. KE30'!$F:$F,'06. BC BH THEO CUSTOMER-USD'!$H32,'01. KE30'!$A:$A,'06. BC BH THEO CUSTOMER-USD'!CE$4)/CS32/'02. Tỷ giá'!B$5," -")</f>
        <v>1713.9379949636875</v>
      </c>
      <c r="CF32" s="95" t="str">
        <f>IFERROR(SUMIFS('01. KE30'!$R:$R,'01. KE30'!$C:$C,'06. BC BH THEO CUSTOMER-USD'!$D32,'01. KE30'!$F:$F,'06. BC BH THEO CUSTOMER-USD'!$H32,'01. KE30'!$A:$A,'06. BC BH THEO CUSTOMER-USD'!CF$4)/CT32/'02. Tỷ giá'!C$5," -")</f>
        <v xml:space="preserve"> -</v>
      </c>
      <c r="CG32" s="95" t="str">
        <f>IFERROR(SUMIFS('01. KE30'!$R:$R,'01. KE30'!$C:$C,'06. BC BH THEO CUSTOMER-USD'!$D32,'01. KE30'!$F:$F,'06. BC BH THEO CUSTOMER-USD'!$H32,'01. KE30'!$A:$A,'06. BC BH THEO CUSTOMER-USD'!CG$4)/CU32/'02. Tỷ giá'!D$5," -")</f>
        <v xml:space="preserve"> -</v>
      </c>
      <c r="CH32" s="95" t="str">
        <f>IFERROR(SUMIFS('01. KE30'!$R:$R,'01. KE30'!$C:$C,'06. BC BH THEO CUSTOMER-USD'!$D32,'01. KE30'!$F:$F,'06. BC BH THEO CUSTOMER-USD'!$H32,'01. KE30'!$A:$A,'06. BC BH THEO CUSTOMER-USD'!CH$4)/CV32/'02. Tỷ giá'!E$5," -")</f>
        <v xml:space="preserve"> -</v>
      </c>
      <c r="CI32" s="95">
        <f>IFERROR(SUMIFS('01. KE30'!$R:$R,'01. KE30'!$C:$C,'06. BC BH THEO CUSTOMER-USD'!$D32,'01. KE30'!$F:$F,'06. BC BH THEO CUSTOMER-USD'!$H32,'01. KE30'!$A:$A,'06. BC BH THEO CUSTOMER-USD'!CI$4)/CW32/'02. Tỷ giá'!F$5," -")</f>
        <v>1442.3975954439989</v>
      </c>
      <c r="CJ32" s="95" t="str">
        <f>IFERROR(SUMIFS('01. KE30'!$R:$R,'01. KE30'!$C:$C,'06. BC BH THEO CUSTOMER-USD'!$D32,'01. KE30'!$F:$F,'06. BC BH THEO CUSTOMER-USD'!$H32,'01. KE30'!$A:$A,'06. BC BH THEO CUSTOMER-USD'!CJ$4)/CX32/'02. Tỷ giá'!G$5," -")</f>
        <v xml:space="preserve"> -</v>
      </c>
      <c r="CK32" s="95" t="str">
        <f>IFERROR(SUMIFS('01. KE30'!$R:$R,'01. KE30'!$C:$C,'06. BC BH THEO CUSTOMER-USD'!$D32,'01. KE30'!$F:$F,'06. BC BH THEO CUSTOMER-USD'!$H32,'01. KE30'!$A:$A,'06. BC BH THEO CUSTOMER-USD'!CK$4)/CY32/'02. Tỷ giá'!H$5," -")</f>
        <v xml:space="preserve"> -</v>
      </c>
      <c r="CL32" s="95" t="str">
        <f>IFERROR(SUMIFS('01. KE30'!$R:$R,'01. KE30'!$C:$C,'06. BC BH THEO CUSTOMER-USD'!$D32,'01. KE30'!$F:$F,'06. BC BH THEO CUSTOMER-USD'!$H32,'01. KE30'!$A:$A,'06. BC BH THEO CUSTOMER-USD'!CL$4)/CZ32/'02. Tỷ giá'!I$5," -")</f>
        <v xml:space="preserve"> -</v>
      </c>
      <c r="CM32" s="95" t="str">
        <f>IFERROR(SUMIFS('01. KE30'!$R:$R,'01. KE30'!$C:$C,'06. BC BH THEO CUSTOMER-USD'!$D32,'01. KE30'!$F:$F,'06. BC BH THEO CUSTOMER-USD'!$H32,'01. KE30'!$A:$A,'06. BC BH THEO CUSTOMER-USD'!CM$4)/DA32/'02. Tỷ giá'!J$5," -")</f>
        <v xml:space="preserve"> -</v>
      </c>
      <c r="CN32" s="95" t="str">
        <f>IFERROR(SUMIFS('01. KE30'!$R:$R,'01. KE30'!$C:$C,'06. BC BH THEO CUSTOMER-USD'!$D32,'01. KE30'!$F:$F,'06. BC BH THEO CUSTOMER-USD'!$H32,'01. KE30'!$A:$A,'06. BC BH THEO CUSTOMER-USD'!CN$4)/DB32/'02. Tỷ giá'!K$5," -")</f>
        <v xml:space="preserve"> -</v>
      </c>
      <c r="CO32" s="95" t="str">
        <f>IFERROR(SUMIFS('01. KE30'!$R:$R,'01. KE30'!$C:$C,'06. BC BH THEO CUSTOMER-USD'!$D32,'01. KE30'!$F:$F,'06. BC BH THEO CUSTOMER-USD'!$H32,'01. KE30'!$A:$A,'06. BC BH THEO CUSTOMER-USD'!CO$4)/DC32/'02. Tỷ giá'!L$5," -")</f>
        <v xml:space="preserve"> -</v>
      </c>
      <c r="CP32" s="95" t="str">
        <f>IFERROR(SUMIFS('01. KE30'!$R:$R,'01. KE30'!$C:$C,'06. BC BH THEO CUSTOMER-USD'!$D32,'01. KE30'!$F:$F,'06. BC BH THEO CUSTOMER-USD'!$H32,'01. KE30'!$A:$A,'06. BC BH THEO CUSTOMER-USD'!CP$4)/DD32/'02. Tỷ giá'!M$5," -")</f>
        <v xml:space="preserve"> -</v>
      </c>
      <c r="CR32" s="112">
        <f t="shared" si="26"/>
        <v>2.75</v>
      </c>
      <c r="CS32" s="114">
        <f>SUMIFS('01. KE30'!$I:$I,'01. KE30'!$C:$C,'06. BC BH THEO CUSTOMER-USD'!$D32,'01. KE30'!$F:$F,'06. BC BH THEO CUSTOMER-USD'!$H32,'01. KE30'!$A:$A,'06. BC BH THEO CUSTOMER-USD'!CS$4)/1000</f>
        <v>2.2000000000000002</v>
      </c>
      <c r="CT32" s="114">
        <f>SUMIFS('01. KE30'!$I:$I,'01. KE30'!$C:$C,'06. BC BH THEO CUSTOMER-USD'!$D32,'01. KE30'!$F:$F,'06. BC BH THEO CUSTOMER-USD'!$H32,'01. KE30'!$A:$A,'06. BC BH THEO CUSTOMER-USD'!CT$4)/1000</f>
        <v>0</v>
      </c>
      <c r="CU32" s="114">
        <f>SUMIFS('01. KE30'!$I:$I,'01. KE30'!$C:$C,'06. BC BH THEO CUSTOMER-USD'!$D32,'01. KE30'!$F:$F,'06. BC BH THEO CUSTOMER-USD'!$H32,'01. KE30'!$A:$A,'06. BC BH THEO CUSTOMER-USD'!CU$4)/1000</f>
        <v>0</v>
      </c>
      <c r="CV32" s="114">
        <f>SUMIFS('01. KE30'!$I:$I,'01. KE30'!$C:$C,'06. BC BH THEO CUSTOMER-USD'!$D32,'01. KE30'!$F:$F,'06. BC BH THEO CUSTOMER-USD'!$H32,'01. KE30'!$A:$A,'06. BC BH THEO CUSTOMER-USD'!CV$4)/1000</f>
        <v>0</v>
      </c>
      <c r="CW32" s="114">
        <f>SUMIFS('01. KE30'!$I:$I,'01. KE30'!$C:$C,'06. BC BH THEO CUSTOMER-USD'!$D32,'01. KE30'!$F:$F,'06. BC BH THEO CUSTOMER-USD'!$H32,'01. KE30'!$A:$A,'06. BC BH THEO CUSTOMER-USD'!CW$4)/1000</f>
        <v>0.55000000000000004</v>
      </c>
      <c r="CX32" s="114">
        <f>SUMIFS('01. KE30'!$I:$I,'01. KE30'!$C:$C,'06. BC BH THEO CUSTOMER-USD'!$D32,'01. KE30'!$F:$F,'06. BC BH THEO CUSTOMER-USD'!$H32,'01. KE30'!$A:$A,'06. BC BH THEO CUSTOMER-USD'!CX$4)/1000</f>
        <v>0</v>
      </c>
      <c r="CY32" s="114">
        <f>SUMIFS('01. KE30'!$I:$I,'01. KE30'!$C:$C,'06. BC BH THEO CUSTOMER-USD'!$D32,'01. KE30'!$F:$F,'06. BC BH THEO CUSTOMER-USD'!$H32,'01. KE30'!$A:$A,'06. BC BH THEO CUSTOMER-USD'!CY$4)/1000</f>
        <v>0</v>
      </c>
      <c r="CZ32" s="114">
        <f>SUMIFS('01. KE30'!$I:$I,'01. KE30'!$C:$C,'06. BC BH THEO CUSTOMER-USD'!$D32,'01. KE30'!$F:$F,'06. BC BH THEO CUSTOMER-USD'!$H32,'01. KE30'!$A:$A,'06. BC BH THEO CUSTOMER-USD'!CZ$4)/1000</f>
        <v>0</v>
      </c>
      <c r="DA32" s="114">
        <f>SUMIFS('01. KE30'!$I:$I,'01. KE30'!$C:$C,'06. BC BH THEO CUSTOMER-USD'!$D32,'01. KE30'!$F:$F,'06. BC BH THEO CUSTOMER-USD'!$H32,'01. KE30'!$A:$A,'06. BC BH THEO CUSTOMER-USD'!DA$4)/1000</f>
        <v>0</v>
      </c>
      <c r="DB32" s="114">
        <f>SUMIFS('01. KE30'!$I:$I,'01. KE30'!$C:$C,'06. BC BH THEO CUSTOMER-USD'!$D32,'01. KE30'!$F:$F,'06. BC BH THEO CUSTOMER-USD'!$H32,'01. KE30'!$A:$A,'06. BC BH THEO CUSTOMER-USD'!DB$4)/1000</f>
        <v>0</v>
      </c>
      <c r="DC32" s="114">
        <f>SUMIFS('01. KE30'!$I:$I,'01. KE30'!$C:$C,'06. BC BH THEO CUSTOMER-USD'!$D32,'01. KE30'!$F:$F,'06. BC BH THEO CUSTOMER-USD'!$H32,'01. KE30'!$A:$A,'06. BC BH THEO CUSTOMER-USD'!DC$4)/1000</f>
        <v>0</v>
      </c>
      <c r="DD32" s="114">
        <f>SUMIFS('01. KE30'!$I:$I,'01. KE30'!$C:$C,'06. BC BH THEO CUSTOMER-USD'!$D32,'01. KE30'!$F:$F,'06. BC BH THEO CUSTOMER-USD'!$H32,'01. KE30'!$A:$A,'06. BC BH THEO CUSTOMER-USD'!DD$4)/1000</f>
        <v>0</v>
      </c>
      <c r="DF32" s="112">
        <f t="shared" si="73"/>
        <v>3482.6765155798303</v>
      </c>
      <c r="DG32" s="54">
        <f t="shared" si="48"/>
        <v>2736.7523083099154</v>
      </c>
      <c r="DH32" s="54" t="str">
        <f t="shared" si="49"/>
        <v>-</v>
      </c>
      <c r="DI32" s="54" t="str">
        <f t="shared" si="50"/>
        <v>-</v>
      </c>
      <c r="DJ32" s="54" t="str">
        <f t="shared" si="51"/>
        <v>-</v>
      </c>
      <c r="DK32" s="54">
        <f t="shared" si="52"/>
        <v>745.92420726991497</v>
      </c>
      <c r="DL32" s="54" t="str">
        <f t="shared" si="53"/>
        <v>-</v>
      </c>
      <c r="DM32" s="54" t="str">
        <f t="shared" si="54"/>
        <v>-</v>
      </c>
      <c r="DN32" s="54" t="str">
        <f t="shared" si="55"/>
        <v>-</v>
      </c>
      <c r="DO32" s="54" t="str">
        <f t="shared" si="56"/>
        <v>-</v>
      </c>
      <c r="DP32" s="54" t="str">
        <f t="shared" si="57"/>
        <v>-</v>
      </c>
      <c r="DQ32" s="54" t="str">
        <f t="shared" si="58"/>
        <v>-</v>
      </c>
      <c r="DR32" s="54" t="str">
        <f t="shared" si="59"/>
        <v>-</v>
      </c>
      <c r="DT32" s="112">
        <f t="shared" si="60"/>
        <v>-1261.9560920629035</v>
      </c>
      <c r="DU32" s="114">
        <f>IFERROR(SUMIFS('01. KE30'!$X:$X,'01. KE30'!$C:$C,'06. BC BH THEO CUSTOMER-USD'!$D32,'01. KE30'!$F:$F,'06. BC BH THEO CUSTOMER-USD'!$H32,'01. KE30'!$A:$A,'06. BC BH THEO CUSTOMER-USD'!DU$4)-SUMIFS('01. KE30'!$AA:$AA,'01. KE30'!$C:$C,'06. BC BH THEO CUSTOMER-USD'!$D32,'01. KE30'!$F:$F,'06. BC BH THEO CUSTOMER-USD'!$H32,'01. KE30'!$A:$A,'06. BC BH THEO CUSTOMER-USD'!DU$4),"-")</f>
        <v>-1214.561621838619</v>
      </c>
      <c r="DV32" s="114">
        <f>IFERROR(SUMIFS('01. KE30'!$X:$X,'01. KE30'!$C:$C,'06. BC BH THEO CUSTOMER-USD'!$D32,'01. KE30'!$F:$F,'06. BC BH THEO CUSTOMER-USD'!$H32,'01. KE30'!$A:$A,'06. BC BH THEO CUSTOMER-USD'!DV$4)-SUMIFS('01. KE30'!$AA:$AA,'01. KE30'!$C:$C,'06. BC BH THEO CUSTOMER-USD'!$D32,'01. KE30'!$F:$F,'06. BC BH THEO CUSTOMER-USD'!$H32,'01. KE30'!$A:$A,'06. BC BH THEO CUSTOMER-USD'!DV$4),"-")</f>
        <v>0</v>
      </c>
      <c r="DW32" s="114">
        <f>IFERROR(SUMIFS('01. KE30'!$X:$X,'01. KE30'!$C:$C,'06. BC BH THEO CUSTOMER-USD'!$D32,'01. KE30'!$F:$F,'06. BC BH THEO CUSTOMER-USD'!$H32,'01. KE30'!$A:$A,'06. BC BH THEO CUSTOMER-USD'!DW$4)-SUMIFS('01. KE30'!$AA:$AA,'01. KE30'!$C:$C,'06. BC BH THEO CUSTOMER-USD'!$D32,'01. KE30'!$F:$F,'06. BC BH THEO CUSTOMER-USD'!$H32,'01. KE30'!$A:$A,'06. BC BH THEO CUSTOMER-USD'!DW$4),"-")</f>
        <v>0</v>
      </c>
      <c r="DX32" s="114">
        <f>IFERROR(SUMIFS('01. KE30'!$X:$X,'01. KE30'!$C:$C,'06. BC BH THEO CUSTOMER-USD'!$D32,'01. KE30'!$F:$F,'06. BC BH THEO CUSTOMER-USD'!$H32,'01. KE30'!$A:$A,'06. BC BH THEO CUSTOMER-USD'!DX$4)-SUMIFS('01. KE30'!$AA:$AA,'01. KE30'!$C:$C,'06. BC BH THEO CUSTOMER-USD'!$D32,'01. KE30'!$F:$F,'06. BC BH THEO CUSTOMER-USD'!$H32,'01. KE30'!$A:$A,'06. BC BH THEO CUSTOMER-USD'!DX$4),"-")</f>
        <v>0</v>
      </c>
      <c r="DY32" s="114">
        <f>IFERROR(SUMIFS('01. KE30'!$X:$X,'01. KE30'!$C:$C,'06. BC BH THEO CUSTOMER-USD'!$D32,'01. KE30'!$F:$F,'06. BC BH THEO CUSTOMER-USD'!$H32,'01. KE30'!$A:$A,'06. BC BH THEO CUSTOMER-USD'!DY$4)-SUMIFS('01. KE30'!$AA:$AA,'01. KE30'!$C:$C,'06. BC BH THEO CUSTOMER-USD'!$D32,'01. KE30'!$F:$F,'06. BC BH THEO CUSTOMER-USD'!$H32,'01. KE30'!$A:$A,'06. BC BH THEO CUSTOMER-USD'!DY$4),"-")</f>
        <v>-47.394470224284532</v>
      </c>
      <c r="DZ32" s="114">
        <f>IFERROR(SUMIFS('01. KE30'!$X:$X,'01. KE30'!$C:$C,'06. BC BH THEO CUSTOMER-USD'!$D32,'01. KE30'!$F:$F,'06. BC BH THEO CUSTOMER-USD'!$H32,'01. KE30'!$A:$A,'06. BC BH THEO CUSTOMER-USD'!DZ$4)-SUMIFS('01. KE30'!$AA:$AA,'01. KE30'!$C:$C,'06. BC BH THEO CUSTOMER-USD'!$D32,'01. KE30'!$F:$F,'06. BC BH THEO CUSTOMER-USD'!$H32,'01. KE30'!$A:$A,'06. BC BH THEO CUSTOMER-USD'!DZ$4),"-")</f>
        <v>0</v>
      </c>
      <c r="EA32" s="114">
        <f>IFERROR(SUMIFS('01. KE30'!$X:$X,'01. KE30'!$C:$C,'06. BC BH THEO CUSTOMER-USD'!$D32,'01. KE30'!$F:$F,'06. BC BH THEO CUSTOMER-USD'!$H32,'01. KE30'!$A:$A,'06. BC BH THEO CUSTOMER-USD'!EA$4)-SUMIFS('01. KE30'!$AA:$AA,'01. KE30'!$C:$C,'06. BC BH THEO CUSTOMER-USD'!$D32,'01. KE30'!$F:$F,'06. BC BH THEO CUSTOMER-USD'!$H32,'01. KE30'!$A:$A,'06. BC BH THEO CUSTOMER-USD'!EA$4),"-")</f>
        <v>0</v>
      </c>
      <c r="EB32" s="114">
        <f>IFERROR(SUMIFS('01. KE30'!$X:$X,'01. KE30'!$C:$C,'06. BC BH THEO CUSTOMER-USD'!$D32,'01. KE30'!$F:$F,'06. BC BH THEO CUSTOMER-USD'!$H32,'01. KE30'!$A:$A,'06. BC BH THEO CUSTOMER-USD'!EB$4)-SUMIFS('01. KE30'!$AA:$AA,'01. KE30'!$C:$C,'06. BC BH THEO CUSTOMER-USD'!$D32,'01. KE30'!$F:$F,'06. BC BH THEO CUSTOMER-USD'!$H32,'01. KE30'!$A:$A,'06. BC BH THEO CUSTOMER-USD'!EB$4),"-")</f>
        <v>0</v>
      </c>
      <c r="EC32" s="114">
        <f>IFERROR(SUMIFS('01. KE30'!$X:$X,'01. KE30'!$C:$C,'06. BC BH THEO CUSTOMER-USD'!$D32,'01. KE30'!$F:$F,'06. BC BH THEO CUSTOMER-USD'!$H32,'01. KE30'!$A:$A,'06. BC BH THEO CUSTOMER-USD'!EC$4)-SUMIFS('01. KE30'!$AA:$AA,'01. KE30'!$C:$C,'06. BC BH THEO CUSTOMER-USD'!$D32,'01. KE30'!$F:$F,'06. BC BH THEO CUSTOMER-USD'!$H32,'01. KE30'!$A:$A,'06. BC BH THEO CUSTOMER-USD'!EC$4),"-")</f>
        <v>0</v>
      </c>
      <c r="ED32" s="114">
        <f>IFERROR(SUMIFS('01. KE30'!$X:$X,'01. KE30'!$C:$C,'06. BC BH THEO CUSTOMER-USD'!$D32,'01. KE30'!$F:$F,'06. BC BH THEO CUSTOMER-USD'!$H32,'01. KE30'!$A:$A,'06. BC BH THEO CUSTOMER-USD'!ED$4)-SUMIFS('01. KE30'!$AA:$AA,'01. KE30'!$C:$C,'06. BC BH THEO CUSTOMER-USD'!$D32,'01. KE30'!$F:$F,'06. BC BH THEO CUSTOMER-USD'!$H32,'01. KE30'!$A:$A,'06. BC BH THEO CUSTOMER-USD'!ED$4),"-")</f>
        <v>0</v>
      </c>
      <c r="EE32" s="114">
        <f>IFERROR(SUMIFS('01. KE30'!$X:$X,'01. KE30'!$C:$C,'06. BC BH THEO CUSTOMER-USD'!$D32,'01. KE30'!$F:$F,'06. BC BH THEO CUSTOMER-USD'!$H32,'01. KE30'!$A:$A,'06. BC BH THEO CUSTOMER-USD'!EE$4)-SUMIFS('01. KE30'!$AA:$AA,'01. KE30'!$C:$C,'06. BC BH THEO CUSTOMER-USD'!$D32,'01. KE30'!$F:$F,'06. BC BH THEO CUSTOMER-USD'!$H32,'01. KE30'!$A:$A,'06. BC BH THEO CUSTOMER-USD'!EE$4),"-")</f>
        <v>0</v>
      </c>
      <c r="EF32" s="114">
        <f>IFERROR(SUMIFS('01. KE30'!$X:$X,'01. KE30'!$C:$C,'06. BC BH THEO CUSTOMER-USD'!$D32,'01. KE30'!$F:$F,'06. BC BH THEO CUSTOMER-USD'!$H32,'01. KE30'!$A:$A,'06. BC BH THEO CUSTOMER-USD'!EF$4)-SUMIFS('01. KE30'!$AA:$AA,'01. KE30'!$C:$C,'06. BC BH THEO CUSTOMER-USD'!$D32,'01. KE30'!$F:$F,'06. BC BH THEO CUSTOMER-USD'!$H32,'01. KE30'!$A:$A,'06. BC BH THEO CUSTOMER-USD'!EF$4),"-")</f>
        <v>0</v>
      </c>
      <c r="EH32" s="571">
        <f t="shared" si="29"/>
        <v>-0.36235237077503901</v>
      </c>
      <c r="EI32" s="572">
        <f t="shared" si="30"/>
        <v>-0.44379669221460272</v>
      </c>
      <c r="EJ32" s="572" t="str">
        <f t="shared" si="31"/>
        <v>-</v>
      </c>
      <c r="EK32" s="572" t="str">
        <f t="shared" si="32"/>
        <v>-</v>
      </c>
      <c r="EL32" s="572" t="str">
        <f t="shared" si="33"/>
        <v>-</v>
      </c>
      <c r="EM32" s="572">
        <f t="shared" si="34"/>
        <v>-6.3537916804910305E-2</v>
      </c>
      <c r="EN32" s="572" t="str">
        <f t="shared" si="35"/>
        <v>-</v>
      </c>
      <c r="EO32" s="572" t="str">
        <f t="shared" si="36"/>
        <v>-</v>
      </c>
      <c r="EP32" s="572" t="str">
        <f t="shared" si="37"/>
        <v>-</v>
      </c>
      <c r="EQ32" s="572" t="str">
        <f t="shared" si="38"/>
        <v>-</v>
      </c>
      <c r="ER32" s="572" t="str">
        <f t="shared" si="39"/>
        <v>-</v>
      </c>
      <c r="ES32" s="572" t="str">
        <f t="shared" si="40"/>
        <v>-</v>
      </c>
      <c r="ET32" s="572" t="str">
        <f t="shared" si="41"/>
        <v>-</v>
      </c>
    </row>
    <row r="33" spans="1:150" ht="15.5" hidden="1" outlineLevel="1" x14ac:dyDescent="0.35">
      <c r="A33" s="27">
        <f t="shared" si="63"/>
        <v>26</v>
      </c>
      <c r="B33" s="27" t="s">
        <v>283</v>
      </c>
      <c r="C33" s="442" t="s">
        <v>507</v>
      </c>
      <c r="D33" s="9" t="s">
        <v>134</v>
      </c>
      <c r="E33" s="12" t="s">
        <v>133</v>
      </c>
      <c r="F33" s="12" t="s">
        <v>245</v>
      </c>
      <c r="G33" s="12" t="str">
        <f>_xlfn.XLOOKUP(F33,'Quy đổi'!$G$5:$G$32,'Quy đổi'!$H$5:$H$32,0)</f>
        <v>Nội địa</v>
      </c>
      <c r="H33" s="76" t="s">
        <v>1015</v>
      </c>
      <c r="I33" s="28" t="s">
        <v>1016</v>
      </c>
      <c r="J33" s="13" t="s">
        <v>22</v>
      </c>
      <c r="K33" s="11"/>
      <c r="L33" s="92">
        <f t="shared" ref="L33" si="136">IFERROR(AVERAGE(M33:X33),"-")</f>
        <v>1400.966449197861</v>
      </c>
      <c r="M33" s="106" t="str">
        <f>IFERROR(SUMIFS('01. KE30'!$K:$K,'01. KE30'!$C:$C,'06. BC BH THEO CUSTOMER-USD'!$D33,'01. KE30'!$F:$F,'06. BC BH THEO CUSTOMER-USD'!$H33,'01. KE30'!$A:$A,'06. BC BH THEO CUSTOMER-USD'!M$4)/'06. BC BH THEO CUSTOMER-USD'!CS33/'02. Tỷ giá'!B$5,"-")</f>
        <v>-</v>
      </c>
      <c r="N33" s="106" t="str">
        <f>IFERROR(SUMIFS('01. KE30'!$K:$K,'01. KE30'!$C:$C,'06. BC BH THEO CUSTOMER-USD'!$D33,'01. KE30'!$F:$F,'06. BC BH THEO CUSTOMER-USD'!$H33,'01. KE30'!$A:$A,'06. BC BH THEO CUSTOMER-USD'!N$4)/'06. BC BH THEO CUSTOMER-USD'!CT33/'02. Tỷ giá'!C$5,"-")</f>
        <v>-</v>
      </c>
      <c r="O33" s="106" t="str">
        <f>IFERROR(SUMIFS('01. KE30'!$K:$K,'01. KE30'!$C:$C,'06. BC BH THEO CUSTOMER-USD'!$D33,'01. KE30'!$F:$F,'06. BC BH THEO CUSTOMER-USD'!$H33,'01. KE30'!$A:$A,'06. BC BH THEO CUSTOMER-USD'!O$4)/'06. BC BH THEO CUSTOMER-USD'!CU33/'02. Tỷ giá'!D$5,"-")</f>
        <v>-</v>
      </c>
      <c r="P33" s="106" t="str">
        <f>IFERROR(SUMIFS('01. KE30'!$K:$K,'01. KE30'!$C:$C,'06. BC BH THEO CUSTOMER-USD'!$D33,'01. KE30'!$F:$F,'06. BC BH THEO CUSTOMER-USD'!$H33,'01. KE30'!$A:$A,'06. BC BH THEO CUSTOMER-USD'!P$4)/'06. BC BH THEO CUSTOMER-USD'!CV33/'02. Tỷ giá'!E$5,"-")</f>
        <v>-</v>
      </c>
      <c r="Q33" s="106" t="str">
        <f>IFERROR(SUMIFS('01. KE30'!$K:$K,'01. KE30'!$C:$C,'06. BC BH THEO CUSTOMER-USD'!$D33,'01. KE30'!$F:$F,'06. BC BH THEO CUSTOMER-USD'!$H33,'01. KE30'!$A:$A,'06. BC BH THEO CUSTOMER-USD'!Q$4)/'06. BC BH THEO CUSTOMER-USD'!CW33/'02. Tỷ giá'!F$5,"-")</f>
        <v>-</v>
      </c>
      <c r="R33" s="106" t="str">
        <f>IFERROR(SUMIFS('01. KE30'!$K:$K,'01. KE30'!$C:$C,'06. BC BH THEO CUSTOMER-USD'!$D33,'01. KE30'!$F:$F,'06. BC BH THEO CUSTOMER-USD'!$H33,'01. KE30'!$A:$A,'06. BC BH THEO CUSTOMER-USD'!R$4)/'06. BC BH THEO CUSTOMER-USD'!CX33/'02. Tỷ giá'!G$5,"-")</f>
        <v>-</v>
      </c>
      <c r="S33" s="106" t="str">
        <f>IFERROR(SUMIFS('01. KE30'!$K:$K,'01. KE30'!$C:$C,'06. BC BH THEO CUSTOMER-USD'!$D33,'01. KE30'!$F:$F,'06. BC BH THEO CUSTOMER-USD'!$H33,'01. KE30'!$A:$A,'06. BC BH THEO CUSTOMER-USD'!S$4)/'06. BC BH THEO CUSTOMER-USD'!CY33/'02. Tỷ giá'!H$5,"-")</f>
        <v>-</v>
      </c>
      <c r="T33" s="106">
        <f>IFERROR(SUMIFS('01. KE30'!$K:$K,'01. KE30'!$C:$C,'06. BC BH THEO CUSTOMER-USD'!$D33,'01. KE30'!$F:$F,'06. BC BH THEO CUSTOMER-USD'!$H33,'01. KE30'!$A:$A,'06. BC BH THEO CUSTOMER-USD'!T$4)/'06. BC BH THEO CUSTOMER-USD'!CZ33/'02. Tỷ giá'!I$5,"-")</f>
        <v>1402.8368983957218</v>
      </c>
      <c r="U33" s="106">
        <f>IFERROR(SUMIFS('01. KE30'!$K:$K,'01. KE30'!$C:$C,'06. BC BH THEO CUSTOMER-USD'!$D33,'01. KE30'!$F:$F,'06. BC BH THEO CUSTOMER-USD'!$H33,'01. KE30'!$A:$A,'06. BC BH THEO CUSTOMER-USD'!U$4)/'06. BC BH THEO CUSTOMER-USD'!DA33/'02. Tỷ giá'!J$5,"-")</f>
        <v>1399.096</v>
      </c>
      <c r="V33" s="106" t="str">
        <f>IFERROR(SUMIFS('01. KE30'!$K:$K,'01. KE30'!$C:$C,'06. BC BH THEO CUSTOMER-USD'!$D33,'01. KE30'!$F:$F,'06. BC BH THEO CUSTOMER-USD'!$H33,'01. KE30'!$A:$A,'06. BC BH THEO CUSTOMER-USD'!V$4)/'06. BC BH THEO CUSTOMER-USD'!DB33/'02. Tỷ giá'!K$5,"-")</f>
        <v>-</v>
      </c>
      <c r="W33" s="106" t="str">
        <f>IFERROR(SUMIFS('01. KE30'!$K:$K,'01. KE30'!$C:$C,'06. BC BH THEO CUSTOMER-USD'!$D33,'01. KE30'!$F:$F,'06. BC BH THEO CUSTOMER-USD'!$H33,'01. KE30'!$A:$A,'06. BC BH THEO CUSTOMER-USD'!W$4)/'06. BC BH THEO CUSTOMER-USD'!DC33/'02. Tỷ giá'!L$5,"-")</f>
        <v>-</v>
      </c>
      <c r="X33" s="106" t="str">
        <f>IFERROR(SUMIFS('01. KE30'!$K:$K,'01. KE30'!$C:$C,'06. BC BH THEO CUSTOMER-USD'!$D33,'01. KE30'!$F:$F,'06. BC BH THEO CUSTOMER-USD'!$H33,'01. KE30'!$A:$A,'06. BC BH THEO CUSTOMER-USD'!X$4)/'06. BC BH THEO CUSTOMER-USD'!DD33/'02. Tỷ giá'!M$5,"-")</f>
        <v>-</v>
      </c>
      <c r="Z33" s="92">
        <f t="shared" ref="Z33" si="137">IFERROR(AVERAGE(AA33:AL33),"-")</f>
        <v>1400.966449197861</v>
      </c>
      <c r="AA33" s="147" t="str">
        <f>IFERROR(SUMIFS('01. KE30'!$O:$O,'01. KE30'!$C:$C,'06. BC BH THEO CUSTOMER-USD'!$D33,'01. KE30'!$F:$F,'06. BC BH THEO CUSTOMER-USD'!$H33,'01. KE30'!$A:$A,'06. BC BH THEO CUSTOMER-USD'!M$4)/'06. BC BH THEO CUSTOMER-USD'!CS33/'02. Tỷ giá'!B$5,"-")</f>
        <v>-</v>
      </c>
      <c r="AB33" s="147" t="str">
        <f>IFERROR(SUMIFS('01. KE30'!$O:$O,'01. KE30'!$C:$C,'06. BC BH THEO CUSTOMER-USD'!$D33,'01. KE30'!$F:$F,'06. BC BH THEO CUSTOMER-USD'!$H33,'01. KE30'!$A:$A,'06. BC BH THEO CUSTOMER-USD'!N$4)/'06. BC BH THEO CUSTOMER-USD'!CT33/'02. Tỷ giá'!C$5,"-")</f>
        <v>-</v>
      </c>
      <c r="AC33" s="147" t="str">
        <f>IFERROR(SUMIFS('01. KE30'!$O:$O,'01. KE30'!$C:$C,'06. BC BH THEO CUSTOMER-USD'!$D33,'01. KE30'!$F:$F,'06. BC BH THEO CUSTOMER-USD'!$H33,'01. KE30'!$A:$A,'06. BC BH THEO CUSTOMER-USD'!O$4)/'06. BC BH THEO CUSTOMER-USD'!CU33/'02. Tỷ giá'!D$5,"-")</f>
        <v>-</v>
      </c>
      <c r="AD33" s="147" t="str">
        <f>IFERROR(SUMIFS('01. KE30'!$O:$O,'01. KE30'!$C:$C,'06. BC BH THEO CUSTOMER-USD'!$D33,'01. KE30'!$F:$F,'06. BC BH THEO CUSTOMER-USD'!$H33,'01. KE30'!$A:$A,'06. BC BH THEO CUSTOMER-USD'!P$4)/'06. BC BH THEO CUSTOMER-USD'!CV33/'02. Tỷ giá'!E$5,"-")</f>
        <v>-</v>
      </c>
      <c r="AE33" s="147" t="str">
        <f>IFERROR(SUMIFS('01. KE30'!$O:$O,'01. KE30'!$C:$C,'06. BC BH THEO CUSTOMER-USD'!$D33,'01. KE30'!$F:$F,'06. BC BH THEO CUSTOMER-USD'!$H33,'01. KE30'!$A:$A,'06. BC BH THEO CUSTOMER-USD'!Q$4)/'06. BC BH THEO CUSTOMER-USD'!CW33/'02. Tỷ giá'!F$5,"-")</f>
        <v>-</v>
      </c>
      <c r="AF33" s="147" t="str">
        <f>IFERROR(SUMIFS('01. KE30'!$O:$O,'01. KE30'!$C:$C,'06. BC BH THEO CUSTOMER-USD'!$D33,'01. KE30'!$F:$F,'06. BC BH THEO CUSTOMER-USD'!$H33,'01. KE30'!$A:$A,'06. BC BH THEO CUSTOMER-USD'!R$4)/'06. BC BH THEO CUSTOMER-USD'!CX33/'02. Tỷ giá'!G$5,"-")</f>
        <v>-</v>
      </c>
      <c r="AG33" s="147" t="str">
        <f>IFERROR(SUMIFS('01. KE30'!$O:$O,'01. KE30'!$C:$C,'06. BC BH THEO CUSTOMER-USD'!$D33,'01. KE30'!$F:$F,'06. BC BH THEO CUSTOMER-USD'!$H33,'01. KE30'!$A:$A,'06. BC BH THEO CUSTOMER-USD'!S$4)/'06. BC BH THEO CUSTOMER-USD'!CY33/'02. Tỷ giá'!H$5,"-")</f>
        <v>-</v>
      </c>
      <c r="AH33" s="147">
        <f>IFERROR(SUMIFS('01. KE30'!$O:$O,'01. KE30'!$C:$C,'06. BC BH THEO CUSTOMER-USD'!$D33,'01. KE30'!$F:$F,'06. BC BH THEO CUSTOMER-USD'!$H33,'01. KE30'!$A:$A,'06. BC BH THEO CUSTOMER-USD'!T$4)/'06. BC BH THEO CUSTOMER-USD'!CZ33/'02. Tỷ giá'!I$5,"-")</f>
        <v>1402.8368983957218</v>
      </c>
      <c r="AI33" s="147">
        <f>IFERROR(SUMIFS('01. KE30'!$O:$O,'01. KE30'!$C:$C,'06. BC BH THEO CUSTOMER-USD'!$D33,'01. KE30'!$F:$F,'06. BC BH THEO CUSTOMER-USD'!$H33,'01. KE30'!$A:$A,'06. BC BH THEO CUSTOMER-USD'!U$4)/'06. BC BH THEO CUSTOMER-USD'!DA33/'02. Tỷ giá'!J$5,"-")</f>
        <v>1399.096</v>
      </c>
      <c r="AJ33" s="147" t="str">
        <f>IFERROR(SUMIFS('01. KE30'!$O:$O,'01. KE30'!$C:$C,'06. BC BH THEO CUSTOMER-USD'!$D33,'01. KE30'!$F:$F,'06. BC BH THEO CUSTOMER-USD'!$H33,'01. KE30'!$A:$A,'06. BC BH THEO CUSTOMER-USD'!V$4)/'06. BC BH THEO CUSTOMER-USD'!DB33/'02. Tỷ giá'!K$5,"-")</f>
        <v>-</v>
      </c>
      <c r="AK33" s="147" t="str">
        <f>IFERROR(SUMIFS('01. KE30'!$O:$O,'01. KE30'!$C:$C,'06. BC BH THEO CUSTOMER-USD'!$D33,'01. KE30'!$F:$F,'06. BC BH THEO CUSTOMER-USD'!$H33,'01. KE30'!$A:$A,'06. BC BH THEO CUSTOMER-USD'!W$4)/'06. BC BH THEO CUSTOMER-USD'!DC33/'02. Tỷ giá'!L$5,"-")</f>
        <v>-</v>
      </c>
      <c r="AL33" s="147" t="str">
        <f>IFERROR(SUMIFS('01. KE30'!$O:$O,'01. KE30'!$C:$C,'06. BC BH THEO CUSTOMER-USD'!$D33,'01. KE30'!$F:$F,'06. BC BH THEO CUSTOMER-USD'!$H33,'01. KE30'!$A:$A,'06. BC BH THEO CUSTOMER-USD'!X$4)/'06. BC BH THEO CUSTOMER-USD'!DD33/'02. Tỷ giá'!M$5,"-")</f>
        <v>-</v>
      </c>
      <c r="AN33" s="92">
        <f t="shared" ref="AN33" si="138">IFERROR(AVERAGE(AO33:AZ33),"-")</f>
        <v>1410</v>
      </c>
      <c r="AO33" s="25"/>
      <c r="AP33" s="25"/>
      <c r="AQ33" s="25"/>
      <c r="AR33" s="4"/>
      <c r="AS33" s="4"/>
      <c r="AT33" s="4"/>
      <c r="AU33" s="4"/>
      <c r="AV33" s="4">
        <v>1410</v>
      </c>
      <c r="AW33" s="4">
        <v>1410</v>
      </c>
      <c r="AX33" s="25"/>
      <c r="AY33" s="4"/>
      <c r="AZ33" s="4"/>
      <c r="BB33" s="95">
        <f t="shared" ref="BB33" si="139">IF(L33&lt;&gt;"-",Z33-AN33,"-")</f>
        <v>-9.0335508021389614</v>
      </c>
      <c r="BC33" s="95" t="str">
        <f t="shared" ref="BC33" si="140">IF(M33&lt;&gt;"-",AA33-AO33,"-")</f>
        <v>-</v>
      </c>
      <c r="BD33" s="95" t="str">
        <f t="shared" ref="BD33" si="141">IF(N33&lt;&gt;"-",AB33-AP33,"-")</f>
        <v>-</v>
      </c>
      <c r="BE33" s="95" t="str">
        <f t="shared" ref="BE33" si="142">IF(O33&lt;&gt;"-",AC33-AQ33,"-")</f>
        <v>-</v>
      </c>
      <c r="BF33" s="95" t="str">
        <f t="shared" ref="BF33" si="143">IF(P33&lt;&gt;"-",AD33-AR33,"-")</f>
        <v>-</v>
      </c>
      <c r="BG33" s="95" t="str">
        <f t="shared" ref="BG33" si="144">IF(Q33&lt;&gt;"-",AE33-AS33,"-")</f>
        <v>-</v>
      </c>
      <c r="BH33" s="95" t="str">
        <f t="shared" ref="BH33" si="145">IF(R33&lt;&gt;"-",AF33-AT33,"-")</f>
        <v>-</v>
      </c>
      <c r="BI33" s="95" t="str">
        <f t="shared" ref="BI33" si="146">IF(S33&lt;&gt;"-",AG33-AU33,"-")</f>
        <v>-</v>
      </c>
      <c r="BJ33" s="95">
        <f t="shared" ref="BJ33" si="147">IF(T33&lt;&gt;"-",AH33-AV33,"-")</f>
        <v>-7.1631016042781539</v>
      </c>
      <c r="BK33" s="95">
        <f t="shared" ref="BK33" si="148">IF(U33&lt;&gt;"-",AI33-AW33,"-")</f>
        <v>-10.903999999999996</v>
      </c>
      <c r="BL33" s="95" t="str">
        <f t="shared" ref="BL33" si="149">IF(V33&lt;&gt;"-",AJ33-AX33,"-")</f>
        <v>-</v>
      </c>
      <c r="BM33" s="95" t="str">
        <f t="shared" ref="BM33" si="150">IF(W33&lt;&gt;"-",AK33-AY33,"-")</f>
        <v>-</v>
      </c>
      <c r="BN33" s="95" t="str">
        <f t="shared" ref="BN33" si="151">IF(X33&lt;&gt;"-",AL33-AZ33,"-")</f>
        <v>-</v>
      </c>
      <c r="BP33" s="143">
        <f t="shared" ref="BP33" si="152">IFERROR(IF(BB33&lt;&gt;"-",BB33/AN33,"-"),"-")</f>
        <v>-6.4067736185382702E-3</v>
      </c>
      <c r="BQ33" s="143" t="str">
        <f t="shared" ref="BQ33" si="153">IFERROR(IF(BC33&lt;&gt;"-",BC33/AO33,"-"),"-")</f>
        <v>-</v>
      </c>
      <c r="BR33" s="143" t="str">
        <f t="shared" ref="BR33" si="154">IFERROR(IF(BD33&lt;&gt;"-",BD33/AP33,"-"),"-")</f>
        <v>-</v>
      </c>
      <c r="BS33" s="143" t="str">
        <f t="shared" ref="BS33" si="155">IFERROR(IF(BE33&lt;&gt;"-",BE33/AQ33,"-"),"-")</f>
        <v>-</v>
      </c>
      <c r="BT33" s="143" t="str">
        <f t="shared" ref="BT33" si="156">IFERROR(IF(BF33&lt;&gt;"-",BF33/AR33,"-"),"-")</f>
        <v>-</v>
      </c>
      <c r="BU33" s="143" t="str">
        <f t="shared" ref="BU33" si="157">IFERROR(IF(BG33&lt;&gt;"-",BG33/AS33,"-"),"-")</f>
        <v>-</v>
      </c>
      <c r="BV33" s="143" t="str">
        <f t="shared" ref="BV33" si="158">IFERROR(IF(BH33&lt;&gt;"-",BH33/AT33,"-"),"-")</f>
        <v>-</v>
      </c>
      <c r="BW33" s="143" t="str">
        <f t="shared" ref="BW33" si="159">IFERROR(IF(BI33&lt;&gt;"-",BI33/AU33,"-"),"-")</f>
        <v>-</v>
      </c>
      <c r="BX33" s="143">
        <f t="shared" ref="BX33" si="160">IFERROR(IF(BJ33&lt;&gt;"-",BJ33/AV33,"-"),"-")</f>
        <v>-5.0802139037433719E-3</v>
      </c>
      <c r="BY33" s="143">
        <f t="shared" ref="BY33" si="161">IFERROR(IF(BK33&lt;&gt;"-",BK33/AW33,"-"),"-")</f>
        <v>-7.7333333333333308E-3</v>
      </c>
      <c r="BZ33" s="143" t="str">
        <f t="shared" ref="BZ33" si="162">IFERROR(IF(BL33&lt;&gt;"-",BL33/AX33,"-"),"-")</f>
        <v>-</v>
      </c>
      <c r="CA33" s="143" t="str">
        <f t="shared" ref="CA33" si="163">IFERROR(IF(BM33&lt;&gt;"-",BM33/AY33,"-"),"-")</f>
        <v>-</v>
      </c>
      <c r="CB33" s="143" t="str">
        <f t="shared" ref="CB33" si="164">IFERROR(IF(BN33&lt;&gt;"-",BN33/AZ33,"-"),"-")</f>
        <v>-</v>
      </c>
      <c r="CD33" s="112">
        <f t="shared" ref="CD33" si="165">IFERROR(AVERAGE(CE33:CP33),"-")</f>
        <v>1147.7279935087595</v>
      </c>
      <c r="CE33" s="95" t="str">
        <f>IFERROR(SUMIFS('01. KE30'!$R:$R,'01. KE30'!$C:$C,'06. BC BH THEO CUSTOMER-USD'!$D33,'01. KE30'!$F:$F,'06. BC BH THEO CUSTOMER-USD'!$H33,'01. KE30'!$A:$A,'06. BC BH THEO CUSTOMER-USD'!CE$4)/CS33/'02. Tỷ giá'!B$5," -")</f>
        <v xml:space="preserve"> -</v>
      </c>
      <c r="CF33" s="95" t="str">
        <f>IFERROR(SUMIFS('01. KE30'!$R:$R,'01. KE30'!$C:$C,'06. BC BH THEO CUSTOMER-USD'!$D33,'01. KE30'!$F:$F,'06. BC BH THEO CUSTOMER-USD'!$H33,'01. KE30'!$A:$A,'06. BC BH THEO CUSTOMER-USD'!CF$4)/CT33/'02. Tỷ giá'!C$5," -")</f>
        <v xml:space="preserve"> -</v>
      </c>
      <c r="CG33" s="95" t="str">
        <f>IFERROR(SUMIFS('01. KE30'!$R:$R,'01. KE30'!$C:$C,'06. BC BH THEO CUSTOMER-USD'!$D33,'01. KE30'!$F:$F,'06. BC BH THEO CUSTOMER-USD'!$H33,'01. KE30'!$A:$A,'06. BC BH THEO CUSTOMER-USD'!CG$4)/CU33/'02. Tỷ giá'!D$5," -")</f>
        <v xml:space="preserve"> -</v>
      </c>
      <c r="CH33" s="95" t="str">
        <f>IFERROR(SUMIFS('01. KE30'!$R:$R,'01. KE30'!$C:$C,'06. BC BH THEO CUSTOMER-USD'!$D33,'01. KE30'!$F:$F,'06. BC BH THEO CUSTOMER-USD'!$H33,'01. KE30'!$A:$A,'06. BC BH THEO CUSTOMER-USD'!CH$4)/CV33/'02. Tỷ giá'!E$5," -")</f>
        <v xml:space="preserve"> -</v>
      </c>
      <c r="CI33" s="95" t="str">
        <f>IFERROR(SUMIFS('01. KE30'!$R:$R,'01. KE30'!$C:$C,'06. BC BH THEO CUSTOMER-USD'!$D33,'01. KE30'!$F:$F,'06. BC BH THEO CUSTOMER-USD'!$H33,'01. KE30'!$A:$A,'06. BC BH THEO CUSTOMER-USD'!CI$4)/CW33/'02. Tỷ giá'!F$5," -")</f>
        <v xml:space="preserve"> -</v>
      </c>
      <c r="CJ33" s="95" t="str">
        <f>IFERROR(SUMIFS('01. KE30'!$R:$R,'01. KE30'!$C:$C,'06. BC BH THEO CUSTOMER-USD'!$D33,'01. KE30'!$F:$F,'06. BC BH THEO CUSTOMER-USD'!$H33,'01. KE30'!$A:$A,'06. BC BH THEO CUSTOMER-USD'!CJ$4)/CX33/'02. Tỷ giá'!G$5," -")</f>
        <v xml:space="preserve"> -</v>
      </c>
      <c r="CK33" s="95" t="str">
        <f>IFERROR(SUMIFS('01. KE30'!$R:$R,'01. KE30'!$C:$C,'06. BC BH THEO CUSTOMER-USD'!$D33,'01. KE30'!$F:$F,'06. BC BH THEO CUSTOMER-USD'!$H33,'01. KE30'!$A:$A,'06. BC BH THEO CUSTOMER-USD'!CK$4)/CY33/'02. Tỷ giá'!H$5," -")</f>
        <v xml:space="preserve"> -</v>
      </c>
      <c r="CL33" s="95">
        <f>IFERROR(SUMIFS('01. KE30'!$R:$R,'01. KE30'!$C:$C,'06. BC BH THEO CUSTOMER-USD'!$D33,'01. KE30'!$F:$F,'06. BC BH THEO CUSTOMER-USD'!$H33,'01. KE30'!$A:$A,'06. BC BH THEO CUSTOMER-USD'!CL$4)/CZ33/'02. Tỷ giá'!I$5," -")</f>
        <v>1145.6053322155308</v>
      </c>
      <c r="CM33" s="95">
        <f>IFERROR(SUMIFS('01. KE30'!$R:$R,'01. KE30'!$C:$C,'06. BC BH THEO CUSTOMER-USD'!$D33,'01. KE30'!$F:$F,'06. BC BH THEO CUSTOMER-USD'!$H33,'01. KE30'!$A:$A,'06. BC BH THEO CUSTOMER-USD'!CM$4)/DA33/'02. Tỷ giá'!J$5," -")</f>
        <v>1149.8506548019882</v>
      </c>
      <c r="CN33" s="95" t="str">
        <f>IFERROR(SUMIFS('01. KE30'!$R:$R,'01. KE30'!$C:$C,'06. BC BH THEO CUSTOMER-USD'!$D33,'01. KE30'!$F:$F,'06. BC BH THEO CUSTOMER-USD'!$H33,'01. KE30'!$A:$A,'06. BC BH THEO CUSTOMER-USD'!CN$4)/DB33/'02. Tỷ giá'!K$5," -")</f>
        <v xml:space="preserve"> -</v>
      </c>
      <c r="CO33" s="95" t="str">
        <f>IFERROR(SUMIFS('01. KE30'!$R:$R,'01. KE30'!$C:$C,'06. BC BH THEO CUSTOMER-USD'!$D33,'01. KE30'!$F:$F,'06. BC BH THEO CUSTOMER-USD'!$H33,'01. KE30'!$A:$A,'06. BC BH THEO CUSTOMER-USD'!CO$4)/DC33/'02. Tỷ giá'!L$5," -")</f>
        <v xml:space="preserve"> -</v>
      </c>
      <c r="CP33" s="95" t="str">
        <f>IFERROR(SUMIFS('01. KE30'!$R:$R,'01. KE30'!$C:$C,'06. BC BH THEO CUSTOMER-USD'!$D33,'01. KE30'!$F:$F,'06. BC BH THEO CUSTOMER-USD'!$H33,'01. KE30'!$A:$A,'06. BC BH THEO CUSTOMER-USD'!CP$4)/DD33/'02. Tỷ giá'!M$5," -")</f>
        <v xml:space="preserve"> -</v>
      </c>
      <c r="CR33" s="112">
        <f t="shared" ref="CR33" si="166">SUM(CS33:DD33)</f>
        <v>422.4</v>
      </c>
      <c r="CS33" s="114">
        <f>SUMIFS('01. KE30'!$I:$I,'01. KE30'!$C:$C,'06. BC BH THEO CUSTOMER-USD'!$D33,'01. KE30'!$F:$F,'06. BC BH THEO CUSTOMER-USD'!$H33,'01. KE30'!$A:$A,'06. BC BH THEO CUSTOMER-USD'!CS$4)/1000</f>
        <v>0</v>
      </c>
      <c r="CT33" s="114">
        <f>SUMIFS('01. KE30'!$I:$I,'01. KE30'!$C:$C,'06. BC BH THEO CUSTOMER-USD'!$D33,'01. KE30'!$F:$F,'06. BC BH THEO CUSTOMER-USD'!$H33,'01. KE30'!$A:$A,'06. BC BH THEO CUSTOMER-USD'!CT$4)/1000</f>
        <v>0</v>
      </c>
      <c r="CU33" s="114">
        <f>SUMIFS('01. KE30'!$I:$I,'01. KE30'!$C:$C,'06. BC BH THEO CUSTOMER-USD'!$D33,'01. KE30'!$F:$F,'06. BC BH THEO CUSTOMER-USD'!$H33,'01. KE30'!$A:$A,'06. BC BH THEO CUSTOMER-USD'!CU$4)/1000</f>
        <v>0</v>
      </c>
      <c r="CV33" s="114">
        <f>SUMIFS('01. KE30'!$I:$I,'01. KE30'!$C:$C,'06. BC BH THEO CUSTOMER-USD'!$D33,'01. KE30'!$F:$F,'06. BC BH THEO CUSTOMER-USD'!$H33,'01. KE30'!$A:$A,'06. BC BH THEO CUSTOMER-USD'!CV$4)/1000</f>
        <v>0</v>
      </c>
      <c r="CW33" s="114">
        <f>SUMIFS('01. KE30'!$I:$I,'01. KE30'!$C:$C,'06. BC BH THEO CUSTOMER-USD'!$D33,'01. KE30'!$F:$F,'06. BC BH THEO CUSTOMER-USD'!$H33,'01. KE30'!$A:$A,'06. BC BH THEO CUSTOMER-USD'!CW$4)/1000</f>
        <v>0</v>
      </c>
      <c r="CX33" s="114">
        <f>SUMIFS('01. KE30'!$I:$I,'01. KE30'!$C:$C,'06. BC BH THEO CUSTOMER-USD'!$D33,'01. KE30'!$F:$F,'06. BC BH THEO CUSTOMER-USD'!$H33,'01. KE30'!$A:$A,'06. BC BH THEO CUSTOMER-USD'!CX$4)/1000</f>
        <v>0</v>
      </c>
      <c r="CY33" s="114">
        <f>SUMIFS('01. KE30'!$I:$I,'01. KE30'!$C:$C,'06. BC BH THEO CUSTOMER-USD'!$D33,'01. KE30'!$F:$F,'06. BC BH THEO CUSTOMER-USD'!$H33,'01. KE30'!$A:$A,'06. BC BH THEO CUSTOMER-USD'!CY$4)/1000</f>
        <v>0</v>
      </c>
      <c r="CZ33" s="114">
        <f>SUMIFS('01. KE30'!$I:$I,'01. KE30'!$C:$C,'06. BC BH THEO CUSTOMER-USD'!$D33,'01. KE30'!$F:$F,'06. BC BH THEO CUSTOMER-USD'!$H33,'01. KE30'!$A:$A,'06. BC BH THEO CUSTOMER-USD'!CZ$4)/1000</f>
        <v>184.8</v>
      </c>
      <c r="DA33" s="114">
        <f>SUMIFS('01. KE30'!$I:$I,'01. KE30'!$C:$C,'06. BC BH THEO CUSTOMER-USD'!$D33,'01. KE30'!$F:$F,'06. BC BH THEO CUSTOMER-USD'!$H33,'01. KE30'!$A:$A,'06. BC BH THEO CUSTOMER-USD'!DA$4)/1000</f>
        <v>237.6</v>
      </c>
      <c r="DB33" s="114">
        <f>SUMIFS('01. KE30'!$I:$I,'01. KE30'!$C:$C,'06. BC BH THEO CUSTOMER-USD'!$D33,'01. KE30'!$F:$F,'06. BC BH THEO CUSTOMER-USD'!$H33,'01. KE30'!$A:$A,'06. BC BH THEO CUSTOMER-USD'!DB$4)/1000</f>
        <v>0</v>
      </c>
      <c r="DC33" s="114">
        <f>SUMIFS('01. KE30'!$I:$I,'01. KE30'!$C:$C,'06. BC BH THEO CUSTOMER-USD'!$D33,'01. KE30'!$F:$F,'06. BC BH THEO CUSTOMER-USD'!$H33,'01. KE30'!$A:$A,'06. BC BH THEO CUSTOMER-USD'!DC$4)/1000</f>
        <v>0</v>
      </c>
      <c r="DD33" s="114">
        <f>SUMIFS('01. KE30'!$I:$I,'01. KE30'!$C:$C,'06. BC BH THEO CUSTOMER-USD'!$D33,'01. KE30'!$F:$F,'06. BC BH THEO CUSTOMER-USD'!$H33,'01. KE30'!$A:$A,'06. BC BH THEO CUSTOMER-USD'!DD$4)/1000</f>
        <v>0</v>
      </c>
      <c r="DF33" s="112">
        <f t="shared" ref="DF33" si="167">SUM(DG33:DR33)</f>
        <v>591669.46842352941</v>
      </c>
      <c r="DG33" s="54" t="str">
        <f t="shared" ref="DG33" si="168">IFERROR(M33*CS33,"-")</f>
        <v>-</v>
      </c>
      <c r="DH33" s="54" t="str">
        <f t="shared" ref="DH33" si="169">IFERROR(N33*CT33,"-")</f>
        <v>-</v>
      </c>
      <c r="DI33" s="54" t="str">
        <f t="shared" ref="DI33" si="170">IFERROR(O33*CU33,"-")</f>
        <v>-</v>
      </c>
      <c r="DJ33" s="54" t="str">
        <f t="shared" ref="DJ33" si="171">IFERROR(P33*CV33,"-")</f>
        <v>-</v>
      </c>
      <c r="DK33" s="54" t="str">
        <f t="shared" ref="DK33" si="172">IFERROR(Q33*CW33,"-")</f>
        <v>-</v>
      </c>
      <c r="DL33" s="54" t="str">
        <f t="shared" ref="DL33" si="173">IFERROR(R33*CX33,"-")</f>
        <v>-</v>
      </c>
      <c r="DM33" s="54" t="str">
        <f t="shared" ref="DM33" si="174">IFERROR(S33*CY33,"-")</f>
        <v>-</v>
      </c>
      <c r="DN33" s="54">
        <f t="shared" ref="DN33" si="175">IFERROR(T33*CZ33,"-")</f>
        <v>259244.25882352941</v>
      </c>
      <c r="DO33" s="54">
        <f t="shared" ref="DO33" si="176">IFERROR(U33*DA33,"-")</f>
        <v>332425.2096</v>
      </c>
      <c r="DP33" s="54" t="str">
        <f t="shared" ref="DP33" si="177">IFERROR(V33*DB33,"-")</f>
        <v>-</v>
      </c>
      <c r="DQ33" s="54" t="str">
        <f t="shared" ref="DQ33" si="178">IFERROR(W33*DC33,"-")</f>
        <v>-</v>
      </c>
      <c r="DR33" s="54" t="str">
        <f t="shared" ref="DR33" si="179">IFERROR(X33*DD33,"-")</f>
        <v>-</v>
      </c>
      <c r="DT33" s="112">
        <f t="shared" ref="DT33" si="180">SUM(DU33:EF33)</f>
        <v>106757.08744914693</v>
      </c>
      <c r="DU33" s="114">
        <f>IFERROR(SUMIFS('01. KE30'!$X:$X,'01. KE30'!$C:$C,'06. BC BH THEO CUSTOMER-USD'!$D33,'01. KE30'!$F:$F,'06. BC BH THEO CUSTOMER-USD'!$H33,'01. KE30'!$A:$A,'06. BC BH THEO CUSTOMER-USD'!DU$4)-SUMIFS('01. KE30'!$AA:$AA,'01. KE30'!$C:$C,'06. BC BH THEO CUSTOMER-USD'!$D33,'01. KE30'!$F:$F,'06. BC BH THEO CUSTOMER-USD'!$H33,'01. KE30'!$A:$A,'06. BC BH THEO CUSTOMER-USD'!DU$4),"-")</f>
        <v>0</v>
      </c>
      <c r="DV33" s="114">
        <f>IFERROR(SUMIFS('01. KE30'!$X:$X,'01. KE30'!$C:$C,'06. BC BH THEO CUSTOMER-USD'!$D33,'01. KE30'!$F:$F,'06. BC BH THEO CUSTOMER-USD'!$H33,'01. KE30'!$A:$A,'06. BC BH THEO CUSTOMER-USD'!DV$4)-SUMIFS('01. KE30'!$AA:$AA,'01. KE30'!$C:$C,'06. BC BH THEO CUSTOMER-USD'!$D33,'01. KE30'!$F:$F,'06. BC BH THEO CUSTOMER-USD'!$H33,'01. KE30'!$A:$A,'06. BC BH THEO CUSTOMER-USD'!DV$4),"-")</f>
        <v>0</v>
      </c>
      <c r="DW33" s="114">
        <f>IFERROR(SUMIFS('01. KE30'!$X:$X,'01. KE30'!$C:$C,'06. BC BH THEO CUSTOMER-USD'!$D33,'01. KE30'!$F:$F,'06. BC BH THEO CUSTOMER-USD'!$H33,'01. KE30'!$A:$A,'06. BC BH THEO CUSTOMER-USD'!DW$4)-SUMIFS('01. KE30'!$AA:$AA,'01. KE30'!$C:$C,'06. BC BH THEO CUSTOMER-USD'!$D33,'01. KE30'!$F:$F,'06. BC BH THEO CUSTOMER-USD'!$H33,'01. KE30'!$A:$A,'06. BC BH THEO CUSTOMER-USD'!DW$4),"-")</f>
        <v>0</v>
      </c>
      <c r="DX33" s="114">
        <f>IFERROR(SUMIFS('01. KE30'!$X:$X,'01. KE30'!$C:$C,'06. BC BH THEO CUSTOMER-USD'!$D33,'01. KE30'!$F:$F,'06. BC BH THEO CUSTOMER-USD'!$H33,'01. KE30'!$A:$A,'06. BC BH THEO CUSTOMER-USD'!DX$4)-SUMIFS('01. KE30'!$AA:$AA,'01. KE30'!$C:$C,'06. BC BH THEO CUSTOMER-USD'!$D33,'01. KE30'!$F:$F,'06. BC BH THEO CUSTOMER-USD'!$H33,'01. KE30'!$A:$A,'06. BC BH THEO CUSTOMER-USD'!DX$4),"-")</f>
        <v>0</v>
      </c>
      <c r="DY33" s="114">
        <f>IFERROR(SUMIFS('01. KE30'!$X:$X,'01. KE30'!$C:$C,'06. BC BH THEO CUSTOMER-USD'!$D33,'01. KE30'!$F:$F,'06. BC BH THEO CUSTOMER-USD'!$H33,'01. KE30'!$A:$A,'06. BC BH THEO CUSTOMER-USD'!DY$4)-SUMIFS('01. KE30'!$AA:$AA,'01. KE30'!$C:$C,'06. BC BH THEO CUSTOMER-USD'!$D33,'01. KE30'!$F:$F,'06. BC BH THEO CUSTOMER-USD'!$H33,'01. KE30'!$A:$A,'06. BC BH THEO CUSTOMER-USD'!DY$4),"-")</f>
        <v>0</v>
      </c>
      <c r="DZ33" s="114">
        <f>IFERROR(SUMIFS('01. KE30'!$X:$X,'01. KE30'!$C:$C,'06. BC BH THEO CUSTOMER-USD'!$D33,'01. KE30'!$F:$F,'06. BC BH THEO CUSTOMER-USD'!$H33,'01. KE30'!$A:$A,'06. BC BH THEO CUSTOMER-USD'!DZ$4)-SUMIFS('01. KE30'!$AA:$AA,'01. KE30'!$C:$C,'06. BC BH THEO CUSTOMER-USD'!$D33,'01. KE30'!$F:$F,'06. BC BH THEO CUSTOMER-USD'!$H33,'01. KE30'!$A:$A,'06. BC BH THEO CUSTOMER-USD'!DZ$4),"-")</f>
        <v>0</v>
      </c>
      <c r="EA33" s="114">
        <f>IFERROR(SUMIFS('01. KE30'!$X:$X,'01. KE30'!$C:$C,'06. BC BH THEO CUSTOMER-USD'!$D33,'01. KE30'!$F:$F,'06. BC BH THEO CUSTOMER-USD'!$H33,'01. KE30'!$A:$A,'06. BC BH THEO CUSTOMER-USD'!EA$4)-SUMIFS('01. KE30'!$AA:$AA,'01. KE30'!$C:$C,'06. BC BH THEO CUSTOMER-USD'!$D33,'01. KE30'!$F:$F,'06. BC BH THEO CUSTOMER-USD'!$H33,'01. KE30'!$A:$A,'06. BC BH THEO CUSTOMER-USD'!EA$4),"-")</f>
        <v>0</v>
      </c>
      <c r="EB33" s="114">
        <f>IFERROR(SUMIFS('01. KE30'!$X:$X,'01. KE30'!$C:$C,'06. BC BH THEO CUSTOMER-USD'!$D33,'01. KE30'!$F:$F,'06. BC BH THEO CUSTOMER-USD'!$H33,'01. KE30'!$A:$A,'06. BC BH THEO CUSTOMER-USD'!EB$4)-SUMIFS('01. KE30'!$AA:$AA,'01. KE30'!$C:$C,'06. BC BH THEO CUSTOMER-USD'!$D33,'01. KE30'!$F:$F,'06. BC BH THEO CUSTOMER-USD'!$H33,'01. KE30'!$A:$A,'06. BC BH THEO CUSTOMER-USD'!EB$4),"-")</f>
        <v>47536.393430099328</v>
      </c>
      <c r="EC33" s="114">
        <f>IFERROR(SUMIFS('01. KE30'!$X:$X,'01. KE30'!$C:$C,'06. BC BH THEO CUSTOMER-USD'!$D33,'01. KE30'!$F:$F,'06. BC BH THEO CUSTOMER-USD'!$H33,'01. KE30'!$A:$A,'06. BC BH THEO CUSTOMER-USD'!EC$4)-SUMIFS('01. KE30'!$AA:$AA,'01. KE30'!$C:$C,'06. BC BH THEO CUSTOMER-USD'!$D33,'01. KE30'!$F:$F,'06. BC BH THEO CUSTOMER-USD'!$H33,'01. KE30'!$A:$A,'06. BC BH THEO CUSTOMER-USD'!EC$4),"-")</f>
        <v>59220.694019047602</v>
      </c>
      <c r="ED33" s="114">
        <f>IFERROR(SUMIFS('01. KE30'!$X:$X,'01. KE30'!$C:$C,'06. BC BH THEO CUSTOMER-USD'!$D33,'01. KE30'!$F:$F,'06. BC BH THEO CUSTOMER-USD'!$H33,'01. KE30'!$A:$A,'06. BC BH THEO CUSTOMER-USD'!ED$4)-SUMIFS('01. KE30'!$AA:$AA,'01. KE30'!$C:$C,'06. BC BH THEO CUSTOMER-USD'!$D33,'01. KE30'!$F:$F,'06. BC BH THEO CUSTOMER-USD'!$H33,'01. KE30'!$A:$A,'06. BC BH THEO CUSTOMER-USD'!ED$4),"-")</f>
        <v>0</v>
      </c>
      <c r="EE33" s="114">
        <f>IFERROR(SUMIFS('01. KE30'!$X:$X,'01. KE30'!$C:$C,'06. BC BH THEO CUSTOMER-USD'!$D33,'01. KE30'!$F:$F,'06. BC BH THEO CUSTOMER-USD'!$H33,'01. KE30'!$A:$A,'06. BC BH THEO CUSTOMER-USD'!EE$4)-SUMIFS('01. KE30'!$AA:$AA,'01. KE30'!$C:$C,'06. BC BH THEO CUSTOMER-USD'!$D33,'01. KE30'!$F:$F,'06. BC BH THEO CUSTOMER-USD'!$H33,'01. KE30'!$A:$A,'06. BC BH THEO CUSTOMER-USD'!EE$4),"-")</f>
        <v>0</v>
      </c>
      <c r="EF33" s="114">
        <f>IFERROR(SUMIFS('01. KE30'!$X:$X,'01. KE30'!$C:$C,'06. BC BH THEO CUSTOMER-USD'!$D33,'01. KE30'!$F:$F,'06. BC BH THEO CUSTOMER-USD'!$H33,'01. KE30'!$A:$A,'06. BC BH THEO CUSTOMER-USD'!EF$4)-SUMIFS('01. KE30'!$AA:$AA,'01. KE30'!$C:$C,'06. BC BH THEO CUSTOMER-USD'!$D33,'01. KE30'!$F:$F,'06. BC BH THEO CUSTOMER-USD'!$H33,'01. KE30'!$A:$A,'06. BC BH THEO CUSTOMER-USD'!EF$4),"-")</f>
        <v>0</v>
      </c>
      <c r="EH33" s="571">
        <f t="shared" ref="EH33" si="181">IFERROR(DT33/DF33,"-")</f>
        <v>0.18043365957955426</v>
      </c>
      <c r="EI33" s="572" t="str">
        <f t="shared" ref="EI33" si="182">IFERROR(DU33/DG33,"-")</f>
        <v>-</v>
      </c>
      <c r="EJ33" s="572" t="str">
        <f t="shared" ref="EJ33" si="183">IFERROR(DV33/DH33,"-")</f>
        <v>-</v>
      </c>
      <c r="EK33" s="572" t="str">
        <f t="shared" ref="EK33" si="184">IFERROR(DW33/DI33,"-")</f>
        <v>-</v>
      </c>
      <c r="EL33" s="572" t="str">
        <f t="shared" ref="EL33" si="185">IFERROR(DX33/DJ33,"-")</f>
        <v>-</v>
      </c>
      <c r="EM33" s="572" t="str">
        <f t="shared" ref="EM33" si="186">IFERROR(DY33/DK33,"-")</f>
        <v>-</v>
      </c>
      <c r="EN33" s="572" t="str">
        <f t="shared" ref="EN33" si="187">IFERROR(DZ33/DL33,"-")</f>
        <v>-</v>
      </c>
      <c r="EO33" s="572" t="str">
        <f t="shared" ref="EO33" si="188">IFERROR(EA33/DM33,"-")</f>
        <v>-</v>
      </c>
      <c r="EP33" s="572">
        <f t="shared" ref="EP33" si="189">IFERROR(EB33/DN33,"-")</f>
        <v>0.18336526967201963</v>
      </c>
      <c r="EQ33" s="572">
        <f t="shared" ref="EQ33" si="190">IFERROR(EC33/DO33,"-")</f>
        <v>0.17814742176234638</v>
      </c>
      <c r="ER33" s="572" t="str">
        <f t="shared" ref="ER33" si="191">IFERROR(ED33/DP33,"-")</f>
        <v>-</v>
      </c>
      <c r="ES33" s="572" t="str">
        <f t="shared" ref="ES33" si="192">IFERROR(EE33/DQ33,"-")</f>
        <v>-</v>
      </c>
      <c r="ET33" s="572" t="str">
        <f t="shared" ref="ET33" si="193">IFERROR(EF33/DR33,"-")</f>
        <v>-</v>
      </c>
    </row>
    <row r="34" spans="1:150" ht="15.5" hidden="1" outlineLevel="1" x14ac:dyDescent="0.35">
      <c r="A34" s="27">
        <f>A32+1</f>
        <v>26</v>
      </c>
      <c r="B34" s="27" t="s">
        <v>283</v>
      </c>
      <c r="C34" s="442" t="s">
        <v>502</v>
      </c>
      <c r="D34" s="9" t="s">
        <v>132</v>
      </c>
      <c r="E34" s="31" t="s">
        <v>130</v>
      </c>
      <c r="F34" s="12" t="s">
        <v>245</v>
      </c>
      <c r="G34" s="12" t="str">
        <f>_xlfn.XLOOKUP(F34,'Quy đổi'!$G$5:$G$32,'Quy đổi'!$H$5:$H$32,0)</f>
        <v>Nội địa</v>
      </c>
      <c r="H34" s="1215" t="s">
        <v>110</v>
      </c>
      <c r="I34" s="1216" t="s">
        <v>109</v>
      </c>
      <c r="J34" s="13" t="s">
        <v>22</v>
      </c>
      <c r="K34" s="11"/>
      <c r="L34" s="92">
        <f t="shared" si="42"/>
        <v>1267.0979015594532</v>
      </c>
      <c r="M34" s="106">
        <f>IFERROR(SUMIFS('01. KE30'!$K:$K,'01. KE30'!$C:$C,'06. BC BH THEO CUSTOMER-USD'!$D34,'01. KE30'!$F:$F,'06. BC BH THEO CUSTOMER-USD'!$H34,'01. KE30'!$A:$A,'06. BC BH THEO CUSTOMER-USD'!M$4)/'06. BC BH THEO CUSTOMER-USD'!CS34/'02. Tỷ giá'!B$5,"-")</f>
        <v>1308.2624721725485</v>
      </c>
      <c r="N34" s="106">
        <f>IFERROR(SUMIFS('01. KE30'!$K:$K,'01. KE30'!$C:$C,'06. BC BH THEO CUSTOMER-USD'!$D34,'01. KE30'!$F:$F,'06. BC BH THEO CUSTOMER-USD'!$H34,'01. KE30'!$A:$A,'06. BC BH THEO CUSTOMER-USD'!N$4)/'06. BC BH THEO CUSTOMER-USD'!CT34/'02. Tỷ giá'!C$5,"-")</f>
        <v>1300.5120126033871</v>
      </c>
      <c r="O34" s="106">
        <f>IFERROR(SUMIFS('01. KE30'!$K:$K,'01. KE30'!$C:$C,'06. BC BH THEO CUSTOMER-USD'!$D34,'01. KE30'!$F:$F,'06. BC BH THEO CUSTOMER-USD'!$H34,'01. KE30'!$A:$A,'06. BC BH THEO CUSTOMER-USD'!O$4)/'06. BC BH THEO CUSTOMER-USD'!CU34/'02. Tỷ giá'!D$5,"-")</f>
        <v>1297.4690935372209</v>
      </c>
      <c r="P34" s="106">
        <f>IFERROR(SUMIFS('01. KE30'!$K:$K,'01. KE30'!$C:$C,'06. BC BH THEO CUSTOMER-USD'!$D34,'01. KE30'!$F:$F,'06. BC BH THEO CUSTOMER-USD'!$H34,'01. KE30'!$A:$A,'06. BC BH THEO CUSTOMER-USD'!P$4)/'06. BC BH THEO CUSTOMER-USD'!CV34/'02. Tỷ giá'!E$5,"-")</f>
        <v>1241.3085559427022</v>
      </c>
      <c r="Q34" s="106">
        <f>IFERROR(SUMIFS('01. KE30'!$K:$K,'01. KE30'!$C:$C,'06. BC BH THEO CUSTOMER-USD'!$D34,'01. KE30'!$F:$F,'06. BC BH THEO CUSTOMER-USD'!$H34,'01. KE30'!$A:$A,'06. BC BH THEO CUSTOMER-USD'!Q$4)/'06. BC BH THEO CUSTOMER-USD'!CW34/'02. Tỷ giá'!F$5,"-")</f>
        <v>1239.8685228151585</v>
      </c>
      <c r="R34" s="106">
        <f>IFERROR(SUMIFS('01. KE30'!$K:$K,'01. KE30'!$C:$C,'06. BC BH THEO CUSTOMER-USD'!$D34,'01. KE30'!$F:$F,'06. BC BH THEO CUSTOMER-USD'!$H34,'01. KE30'!$A:$A,'06. BC BH THEO CUSTOMER-USD'!R$4)/'06. BC BH THEO CUSTOMER-USD'!CX34/'02. Tỷ giá'!G$5,"-")</f>
        <v>1236.9984567901236</v>
      </c>
      <c r="S34" s="106">
        <f>IFERROR(SUMIFS('01. KE30'!$K:$K,'01. KE30'!$C:$C,'06. BC BH THEO CUSTOMER-USD'!$D34,'01. KE30'!$F:$F,'06. BC BH THEO CUSTOMER-USD'!$H34,'01. KE30'!$A:$A,'06. BC BH THEO CUSTOMER-USD'!S$4)/'06. BC BH THEO CUSTOMER-USD'!CY34/'02. Tỷ giá'!H$5,"-")</f>
        <v>1243.1233192470227</v>
      </c>
      <c r="T34" s="106">
        <f>IFERROR(SUMIFS('01. KE30'!$K:$K,'01. KE30'!$C:$C,'06. BC BH THEO CUSTOMER-USD'!$D34,'01. KE30'!$F:$F,'06. BC BH THEO CUSTOMER-USD'!$H34,'01. KE30'!$A:$A,'06. BC BH THEO CUSTOMER-USD'!T$4)/'06. BC BH THEO CUSTOMER-USD'!CZ34/'02. Tỷ giá'!I$5,"-")</f>
        <v>1269.8624904507258</v>
      </c>
      <c r="U34" s="106">
        <f>IFERROR(SUMIFS('01. KE30'!$K:$K,'01. KE30'!$C:$C,'06. BC BH THEO CUSTOMER-USD'!$D34,'01. KE30'!$F:$F,'06. BC BH THEO CUSTOMER-USD'!$H34,'01. KE30'!$A:$A,'06. BC BH THEO CUSTOMER-USD'!U$4)/'06. BC BH THEO CUSTOMER-USD'!DA34/'02. Tỷ giá'!J$5,"-")</f>
        <v>1266.4761904761904</v>
      </c>
      <c r="V34" s="106" t="str">
        <f>IFERROR(SUMIFS('01. KE30'!$K:$K,'01. KE30'!$C:$C,'06. BC BH THEO CUSTOMER-USD'!$D34,'01. KE30'!$F:$F,'06. BC BH THEO CUSTOMER-USD'!$H34,'01. KE30'!$A:$A,'06. BC BH THEO CUSTOMER-USD'!V$4)/'06. BC BH THEO CUSTOMER-USD'!DB34/'02. Tỷ giá'!K$5,"-")</f>
        <v>-</v>
      </c>
      <c r="W34" s="106" t="str">
        <f>IFERROR(SUMIFS('01. KE30'!$K:$K,'01. KE30'!$C:$C,'06. BC BH THEO CUSTOMER-USD'!$D34,'01. KE30'!$F:$F,'06. BC BH THEO CUSTOMER-USD'!$H34,'01. KE30'!$A:$A,'06. BC BH THEO CUSTOMER-USD'!W$4)/'06. BC BH THEO CUSTOMER-USD'!DC34/'02. Tỷ giá'!L$5,"-")</f>
        <v>-</v>
      </c>
      <c r="X34" s="106" t="str">
        <f>IFERROR(SUMIFS('01. KE30'!$K:$K,'01. KE30'!$C:$C,'06. BC BH THEO CUSTOMER-USD'!$D34,'01. KE30'!$F:$F,'06. BC BH THEO CUSTOMER-USD'!$H34,'01. KE30'!$A:$A,'06. BC BH THEO CUSTOMER-USD'!X$4)/'06. BC BH THEO CUSTOMER-USD'!DD34/'02. Tỷ giá'!M$5,"-")</f>
        <v>-</v>
      </c>
      <c r="Z34" s="92">
        <f t="shared" si="43"/>
        <v>1261.66007740487</v>
      </c>
      <c r="AA34" s="147">
        <f>IFERROR(SUMIFS('01. KE30'!$O:$O,'01. KE30'!$C:$C,'06. BC BH THEO CUSTOMER-USD'!$D34,'01. KE30'!$F:$F,'06. BC BH THEO CUSTOMER-USD'!$H34,'01. KE30'!$A:$A,'06. BC BH THEO CUSTOMER-USD'!M$4)/'06. BC BH THEO CUSTOMER-USD'!CS34/'02. Tỷ giá'!B$5,"-")</f>
        <v>1302.642239334331</v>
      </c>
      <c r="AB34" s="147">
        <f>IFERROR(SUMIFS('01. KE30'!$O:$O,'01. KE30'!$C:$C,'06. BC BH THEO CUSTOMER-USD'!$D34,'01. KE30'!$F:$F,'06. BC BH THEO CUSTOMER-USD'!$H34,'01. KE30'!$A:$A,'06. BC BH THEO CUSTOMER-USD'!N$4)/'06. BC BH THEO CUSTOMER-USD'!CT34/'02. Tỷ giá'!C$5,"-")</f>
        <v>1294.9980307207561</v>
      </c>
      <c r="AC34" s="147">
        <f>IFERROR(SUMIFS('01. KE30'!$O:$O,'01. KE30'!$C:$C,'06. BC BH THEO CUSTOMER-USD'!$D34,'01. KE30'!$F:$F,'06. BC BH THEO CUSTOMER-USD'!$H34,'01. KE30'!$A:$A,'06. BC BH THEO CUSTOMER-USD'!O$4)/'06. BC BH THEO CUSTOMER-USD'!CU34/'02. Tỷ giá'!D$5,"-")</f>
        <v>1291.9572825135988</v>
      </c>
      <c r="AD34" s="147">
        <f>IFERROR(SUMIFS('01. KE30'!$O:$O,'01. KE30'!$C:$C,'06. BC BH THEO CUSTOMER-USD'!$D34,'01. KE30'!$F:$F,'06. BC BH THEO CUSTOMER-USD'!$H34,'01. KE30'!$A:$A,'06. BC BH THEO CUSTOMER-USD'!P$4)/'06. BC BH THEO CUSTOMER-USD'!CV34/'02. Tỷ giá'!E$5,"-")</f>
        <v>1235.8885017421603</v>
      </c>
      <c r="AE34" s="147">
        <f>IFERROR(SUMIFS('01. KE30'!$O:$O,'01. KE30'!$C:$C,'06. BC BH THEO CUSTOMER-USD'!$D34,'01. KE30'!$F:$F,'06. BC BH THEO CUSTOMER-USD'!$H34,'01. KE30'!$A:$A,'06. BC BH THEO CUSTOMER-USD'!Q$4)/'06. BC BH THEO CUSTOMER-USD'!CW34/'02. Tỷ giá'!F$5,"-")</f>
        <v>1234.4547563805104</v>
      </c>
      <c r="AF34" s="147">
        <f>IFERROR(SUMIFS('01. KE30'!$O:$O,'01. KE30'!$C:$C,'06. BC BH THEO CUSTOMER-USD'!$D34,'01. KE30'!$F:$F,'06. BC BH THEO CUSTOMER-USD'!$H34,'01. KE30'!$A:$A,'06. BC BH THEO CUSTOMER-USD'!R$4)/'06. BC BH THEO CUSTOMER-USD'!CX34/'02. Tỷ giá'!G$5,"-")</f>
        <v>1231.5972222222222</v>
      </c>
      <c r="AG34" s="147">
        <f>IFERROR(SUMIFS('01. KE30'!$O:$O,'01. KE30'!$C:$C,'06. BC BH THEO CUSTOMER-USD'!$D34,'01. KE30'!$F:$F,'06. BC BH THEO CUSTOMER-USD'!$H34,'01. KE30'!$A:$A,'06. BC BH THEO CUSTOMER-USD'!S$4)/'06. BC BH THEO CUSTOMER-USD'!CY34/'02. Tỷ giá'!H$5,"-")</f>
        <v>1237.7449097195545</v>
      </c>
      <c r="AH34" s="147">
        <f>IFERROR(SUMIFS('01. KE30'!$O:$O,'01. KE30'!$C:$C,'06. BC BH THEO CUSTOMER-USD'!$D34,'01. KE30'!$F:$F,'06. BC BH THEO CUSTOMER-USD'!$H34,'01. KE30'!$A:$A,'06. BC BH THEO CUSTOMER-USD'!T$4)/'06. BC BH THEO CUSTOMER-USD'!CZ34/'02. Tỷ giá'!I$5,"-")</f>
        <v>1264.5148968678379</v>
      </c>
      <c r="AI34" s="147">
        <f>IFERROR(SUMIFS('01. KE30'!$O:$O,'01. KE30'!$C:$C,'06. BC BH THEO CUSTOMER-USD'!$D34,'01. KE30'!$F:$F,'06. BC BH THEO CUSTOMER-USD'!$H34,'01. KE30'!$A:$A,'06. BC BH THEO CUSTOMER-USD'!U$4)/'06. BC BH THEO CUSTOMER-USD'!DA34/'02. Tỷ giá'!J$5,"-")</f>
        <v>1261.1428571428571</v>
      </c>
      <c r="AJ34" s="147" t="str">
        <f>IFERROR(SUMIFS('01. KE30'!$O:$O,'01. KE30'!$C:$C,'06. BC BH THEO CUSTOMER-USD'!$D34,'01. KE30'!$F:$F,'06. BC BH THEO CUSTOMER-USD'!$H34,'01. KE30'!$A:$A,'06. BC BH THEO CUSTOMER-USD'!V$4)/'06. BC BH THEO CUSTOMER-USD'!DB34/'02. Tỷ giá'!K$5,"-")</f>
        <v>-</v>
      </c>
      <c r="AK34" s="147" t="str">
        <f>IFERROR(SUMIFS('01. KE30'!$O:$O,'01. KE30'!$C:$C,'06. BC BH THEO CUSTOMER-USD'!$D34,'01. KE30'!$F:$F,'06. BC BH THEO CUSTOMER-USD'!$H34,'01. KE30'!$A:$A,'06. BC BH THEO CUSTOMER-USD'!W$4)/'06. BC BH THEO CUSTOMER-USD'!DC34/'02. Tỷ giá'!L$5,"-")</f>
        <v>-</v>
      </c>
      <c r="AL34" s="147" t="str">
        <f>IFERROR(SUMIFS('01. KE30'!$O:$O,'01. KE30'!$C:$C,'06. BC BH THEO CUSTOMER-USD'!$D34,'01. KE30'!$F:$F,'06. BC BH THEO CUSTOMER-USD'!$H34,'01. KE30'!$A:$A,'06. BC BH THEO CUSTOMER-USD'!X$4)/'06. BC BH THEO CUSTOMER-USD'!DD34/'02. Tỷ giá'!M$5,"-")</f>
        <v>-</v>
      </c>
      <c r="AN34" s="92">
        <f t="shared" si="44"/>
        <v>1236.6666666666667</v>
      </c>
      <c r="AO34" s="25">
        <v>1230</v>
      </c>
      <c r="AP34" s="25">
        <v>1230</v>
      </c>
      <c r="AQ34" s="25">
        <v>1230</v>
      </c>
      <c r="AR34" s="25">
        <f t="shared" si="135"/>
        <v>1250</v>
      </c>
      <c r="AS34" s="25">
        <v>1250</v>
      </c>
      <c r="AT34" s="25">
        <v>1250</v>
      </c>
      <c r="AU34" s="25">
        <v>1250</v>
      </c>
      <c r="AV34" s="4">
        <f t="shared" ref="AV34" si="194">AU34-30</f>
        <v>1220</v>
      </c>
      <c r="AW34" s="25">
        <v>1220</v>
      </c>
      <c r="AX34" s="25"/>
      <c r="AY34" s="4"/>
      <c r="AZ34" s="4"/>
      <c r="BB34" s="95">
        <f t="shared" si="45"/>
        <v>24.993410738203238</v>
      </c>
      <c r="BC34" s="95">
        <f t="shared" si="46"/>
        <v>72.642239334330952</v>
      </c>
      <c r="BD34" s="95">
        <f t="shared" si="74"/>
        <v>64.998030720756105</v>
      </c>
      <c r="BE34" s="95">
        <f t="shared" si="74"/>
        <v>61.957282513598784</v>
      </c>
      <c r="BF34" s="95">
        <f t="shared" si="74"/>
        <v>-14.111498257839685</v>
      </c>
      <c r="BG34" s="95">
        <f t="shared" si="74"/>
        <v>-15.545243619489611</v>
      </c>
      <c r="BH34" s="95">
        <f t="shared" si="74"/>
        <v>-18.402777777777828</v>
      </c>
      <c r="BI34" s="95">
        <f t="shared" si="74"/>
        <v>-12.255090280445529</v>
      </c>
      <c r="BJ34" s="95">
        <f t="shared" si="74"/>
        <v>44.514896867837933</v>
      </c>
      <c r="BK34" s="95">
        <f t="shared" si="74"/>
        <v>41.14285714285711</v>
      </c>
      <c r="BL34" s="95" t="str">
        <f t="shared" si="74"/>
        <v>-</v>
      </c>
      <c r="BM34" s="95" t="str">
        <f t="shared" si="74"/>
        <v>-</v>
      </c>
      <c r="BN34" s="95" t="str">
        <f t="shared" si="74"/>
        <v>-</v>
      </c>
      <c r="BP34" s="143">
        <f t="shared" si="47"/>
        <v>2.0210305179140083E-2</v>
      </c>
      <c r="BQ34" s="143">
        <f t="shared" si="8"/>
        <v>5.9058731166122723E-2</v>
      </c>
      <c r="BR34" s="143">
        <f t="shared" si="9"/>
        <v>5.2843927415248869E-2</v>
      </c>
      <c r="BS34" s="143">
        <f t="shared" si="10"/>
        <v>5.0371774401299828E-2</v>
      </c>
      <c r="BT34" s="143">
        <f t="shared" si="11"/>
        <v>-1.1289198606271748E-2</v>
      </c>
      <c r="BU34" s="143">
        <f t="shared" si="12"/>
        <v>-1.2436194895591689E-2</v>
      </c>
      <c r="BV34" s="143">
        <f t="shared" si="13"/>
        <v>-1.4722222222222263E-2</v>
      </c>
      <c r="BW34" s="143">
        <f t="shared" si="14"/>
        <v>-9.8040722243564228E-3</v>
      </c>
      <c r="BX34" s="143">
        <f t="shared" si="15"/>
        <v>3.6487620383473716E-2</v>
      </c>
      <c r="BY34" s="143">
        <f t="shared" si="16"/>
        <v>3.3723653395784516E-2</v>
      </c>
      <c r="BZ34" s="143" t="str">
        <f t="shared" si="17"/>
        <v>-</v>
      </c>
      <c r="CA34" s="143" t="str">
        <f t="shared" si="18"/>
        <v>-</v>
      </c>
      <c r="CB34" s="143" t="str">
        <f t="shared" si="19"/>
        <v>-</v>
      </c>
      <c r="CD34" s="112">
        <f t="shared" si="25"/>
        <v>1043.6474839626408</v>
      </c>
      <c r="CE34" s="95">
        <f>IFERROR(SUMIFS('01. KE30'!$R:$R,'01. KE30'!$C:$C,'06. BC BH THEO CUSTOMER-USD'!$D34,'01. KE30'!$F:$F,'06. BC BH THEO CUSTOMER-USD'!$H34,'01. KE30'!$A:$A,'06. BC BH THEO CUSTOMER-USD'!CE$4)/CS34/'02. Tỷ giá'!B$5," -")</f>
        <v>1026.9498248239115</v>
      </c>
      <c r="CF34" s="95">
        <f>IFERROR(SUMIFS('01. KE30'!$R:$R,'01. KE30'!$C:$C,'06. BC BH THEO CUSTOMER-USD'!$D34,'01. KE30'!$F:$F,'06. BC BH THEO CUSTOMER-USD'!$H34,'01. KE30'!$A:$A,'06. BC BH THEO CUSTOMER-USD'!CF$4)/CT34/'02. Tỷ giá'!C$5," -")</f>
        <v>987.02003652117867</v>
      </c>
      <c r="CG34" s="95">
        <f>IFERROR(SUMIFS('01. KE30'!$R:$R,'01. KE30'!$C:$C,'06. BC BH THEO CUSTOMER-USD'!$D34,'01. KE30'!$F:$F,'06. BC BH THEO CUSTOMER-USD'!$H34,'01. KE30'!$A:$A,'06. BC BH THEO CUSTOMER-USD'!CG$4)/CU34/'02. Tỷ giá'!D$5," -")</f>
        <v>1032.9728991385959</v>
      </c>
      <c r="CH34" s="95">
        <f>IFERROR(SUMIFS('01. KE30'!$R:$R,'01. KE30'!$C:$C,'06. BC BH THEO CUSTOMER-USD'!$D34,'01. KE30'!$F:$F,'06. BC BH THEO CUSTOMER-USD'!$H34,'01. KE30'!$A:$A,'06. BC BH THEO CUSTOMER-USD'!CH$4)/CV34/'02. Tỷ giá'!E$5," -")</f>
        <v>1040.2917045014606</v>
      </c>
      <c r="CI34" s="95">
        <f>IFERROR(SUMIFS('01. KE30'!$R:$R,'01. KE30'!$C:$C,'06. BC BH THEO CUSTOMER-USD'!$D34,'01. KE30'!$F:$F,'06. BC BH THEO CUSTOMER-USD'!$H34,'01. KE30'!$A:$A,'06. BC BH THEO CUSTOMER-USD'!CI$4)/CW34/'02. Tỷ giá'!F$5," -")</f>
        <v>1049.5963931659987</v>
      </c>
      <c r="CJ34" s="95">
        <f>IFERROR(SUMIFS('01. KE30'!$R:$R,'01. KE30'!$C:$C,'06. BC BH THEO CUSTOMER-USD'!$D34,'01. KE30'!$F:$F,'06. BC BH THEO CUSTOMER-USD'!$H34,'01. KE30'!$A:$A,'06. BC BH THEO CUSTOMER-USD'!CJ$4)/CX34/'02. Tỷ giá'!G$5," -")</f>
        <v>1078.8699266975309</v>
      </c>
      <c r="CK34" s="95">
        <f>IFERROR(SUMIFS('01. KE30'!$R:$R,'01. KE30'!$C:$C,'06. BC BH THEO CUSTOMER-USD'!$D34,'01. KE30'!$F:$F,'06. BC BH THEO CUSTOMER-USD'!$H34,'01. KE30'!$A:$A,'06. BC BH THEO CUSTOMER-USD'!CK$4)/CY34/'02. Tỷ giá'!H$5," -")</f>
        <v>1095.1091939370656</v>
      </c>
      <c r="CL34" s="95">
        <f>IFERROR(SUMIFS('01. KE30'!$R:$R,'01. KE30'!$C:$C,'06. BC BH THEO CUSTOMER-USD'!$D34,'01. KE30'!$F:$F,'06. BC BH THEO CUSTOMER-USD'!$H34,'01. KE30'!$A:$A,'06. BC BH THEO CUSTOMER-USD'!CL$4)/CZ34/'02. Tỷ giá'!I$5," -")</f>
        <v>1060.8793162719633</v>
      </c>
      <c r="CM34" s="95">
        <f>IFERROR(SUMIFS('01. KE30'!$R:$R,'01. KE30'!$C:$C,'06. BC BH THEO CUSTOMER-USD'!$D34,'01. KE30'!$F:$F,'06. BC BH THEO CUSTOMER-USD'!$H34,'01. KE30'!$A:$A,'06. BC BH THEO CUSTOMER-USD'!CM$4)/DA34/'02. Tỷ giá'!J$5," -")</f>
        <v>1021.1380606060605</v>
      </c>
      <c r="CN34" s="95" t="str">
        <f>IFERROR(SUMIFS('01. KE30'!$R:$R,'01. KE30'!$C:$C,'06. BC BH THEO CUSTOMER-USD'!$D34,'01. KE30'!$F:$F,'06. BC BH THEO CUSTOMER-USD'!$H34,'01. KE30'!$A:$A,'06. BC BH THEO CUSTOMER-USD'!CN$4)/DB34/'02. Tỷ giá'!K$5," -")</f>
        <v xml:space="preserve"> -</v>
      </c>
      <c r="CO34" s="95" t="str">
        <f>IFERROR(SUMIFS('01. KE30'!$R:$R,'01. KE30'!$C:$C,'06. BC BH THEO CUSTOMER-USD'!$D34,'01. KE30'!$F:$F,'06. BC BH THEO CUSTOMER-USD'!$H34,'01. KE30'!$A:$A,'06. BC BH THEO CUSTOMER-USD'!CO$4)/DC34/'02. Tỷ giá'!L$5," -")</f>
        <v xml:space="preserve"> -</v>
      </c>
      <c r="CP34" s="95" t="str">
        <f>IFERROR(SUMIFS('01. KE30'!$R:$R,'01. KE30'!$C:$C,'06. BC BH THEO CUSTOMER-USD'!$D34,'01. KE30'!$F:$F,'06. BC BH THEO CUSTOMER-USD'!$H34,'01. KE30'!$A:$A,'06. BC BH THEO CUSTOMER-USD'!CP$4)/DD34/'02. Tỷ giá'!M$5," -")</f>
        <v xml:space="preserve"> -</v>
      </c>
      <c r="CR34" s="112">
        <f t="shared" si="26"/>
        <v>2339.6999999999998</v>
      </c>
      <c r="CS34" s="114">
        <f>SUMIFS('01. KE30'!$I:$I,'01. KE30'!$C:$C,'06. BC BH THEO CUSTOMER-USD'!$D34,'01. KE30'!$F:$F,'06. BC BH THEO CUSTOMER-USD'!$H34,'01. KE30'!$A:$A,'06. BC BH THEO CUSTOMER-USD'!CS$4)/1000</f>
        <v>242</v>
      </c>
      <c r="CT34" s="114">
        <f>SUMIFS('01. KE30'!$I:$I,'01. KE30'!$C:$C,'06. BC BH THEO CUSTOMER-USD'!$D34,'01. KE30'!$F:$F,'06. BC BH THEO CUSTOMER-USD'!$H34,'01. KE30'!$A:$A,'06. BC BH THEO CUSTOMER-USD'!CT$4)/1000</f>
        <v>352</v>
      </c>
      <c r="CU34" s="114">
        <f>SUMIFS('01. KE30'!$I:$I,'01. KE30'!$C:$C,'06. BC BH THEO CUSTOMER-USD'!$D34,'01. KE30'!$F:$F,'06. BC BH THEO CUSTOMER-USD'!$H34,'01. KE30'!$A:$A,'06. BC BH THEO CUSTOMER-USD'!CU$4)/1000</f>
        <v>227.7</v>
      </c>
      <c r="CV34" s="725">
        <f>SUMIFS('01. KE30'!$I:$I,'01. KE30'!$C:$C,'06. BC BH THEO CUSTOMER-USD'!$D34,'01. KE30'!$F:$F,'06. BC BH THEO CUSTOMER-USD'!$H34,'01. KE30'!$A:$A,'06. BC BH THEO CUSTOMER-USD'!CV$4)/1000</f>
        <v>176</v>
      </c>
      <c r="CW34" s="114">
        <f>SUMIFS('01. KE30'!$I:$I,'01. KE30'!$C:$C,'06. BC BH THEO CUSTOMER-USD'!$D34,'01. KE30'!$F:$F,'06. BC BH THEO CUSTOMER-USD'!$H34,'01. KE30'!$A:$A,'06. BC BH THEO CUSTOMER-USD'!CW$4)/1000</f>
        <v>220</v>
      </c>
      <c r="CX34" s="114">
        <f>SUMIFS('01. KE30'!$I:$I,'01. KE30'!$C:$C,'06. BC BH THEO CUSTOMER-USD'!$D34,'01. KE30'!$F:$F,'06. BC BH THEO CUSTOMER-USD'!$H34,'01. KE30'!$A:$A,'06. BC BH THEO CUSTOMER-USD'!CX$4)/1000</f>
        <v>286</v>
      </c>
      <c r="CY34" s="114">
        <f>SUMIFS('01. KE30'!$I:$I,'01. KE30'!$C:$C,'06. BC BH THEO CUSTOMER-USD'!$D34,'01. KE30'!$F:$F,'06. BC BH THEO CUSTOMER-USD'!$H34,'01. KE30'!$A:$A,'06. BC BH THEO CUSTOMER-USD'!CY$4)/1000</f>
        <v>176</v>
      </c>
      <c r="CZ34" s="114">
        <f>SUMIFS('01. KE30'!$I:$I,'01. KE30'!$C:$C,'06. BC BH THEO CUSTOMER-USD'!$D34,'01. KE30'!$F:$F,'06. BC BH THEO CUSTOMER-USD'!$H34,'01. KE30'!$A:$A,'06. BC BH THEO CUSTOMER-USD'!CZ$4)/1000</f>
        <v>330</v>
      </c>
      <c r="DA34" s="114">
        <f>SUMIFS('01. KE30'!$I:$I,'01. KE30'!$C:$C,'06. BC BH THEO CUSTOMER-USD'!$D34,'01. KE30'!$F:$F,'06. BC BH THEO CUSTOMER-USD'!$H34,'01. KE30'!$A:$A,'06. BC BH THEO CUSTOMER-USD'!DA$4)/1000</f>
        <v>330</v>
      </c>
      <c r="DB34" s="114">
        <f>SUMIFS('01. KE30'!$I:$I,'01. KE30'!$C:$C,'06. BC BH THEO CUSTOMER-USD'!$D34,'01. KE30'!$F:$F,'06. BC BH THEO CUSTOMER-USD'!$H34,'01. KE30'!$A:$A,'06. BC BH THEO CUSTOMER-USD'!DB$4)/1000</f>
        <v>0</v>
      </c>
      <c r="DC34" s="114">
        <f>SUMIFS('01. KE30'!$I:$I,'01. KE30'!$C:$C,'06. BC BH THEO CUSTOMER-USD'!$D34,'01. KE30'!$F:$F,'06. BC BH THEO CUSTOMER-USD'!$H34,'01. KE30'!$A:$A,'06. BC BH THEO CUSTOMER-USD'!DC$4)/1000</f>
        <v>0</v>
      </c>
      <c r="DD34" s="114">
        <f>SUMIFS('01. KE30'!$I:$I,'01. KE30'!$C:$C,'06. BC BH THEO CUSTOMER-USD'!$D34,'01. KE30'!$F:$F,'06. BC BH THEO CUSTOMER-USD'!$H34,'01. KE30'!$A:$A,'06. BC BH THEO CUSTOMER-USD'!DD$4)/1000</f>
        <v>0</v>
      </c>
      <c r="DF34" s="112">
        <f t="shared" si="73"/>
        <v>2970617.8677011584</v>
      </c>
      <c r="DG34" s="54">
        <f t="shared" si="48"/>
        <v>316599.51826575672</v>
      </c>
      <c r="DH34" s="54">
        <f t="shared" si="49"/>
        <v>457780.22843639227</v>
      </c>
      <c r="DI34" s="54">
        <f t="shared" si="50"/>
        <v>295433.71259842522</v>
      </c>
      <c r="DJ34" s="54">
        <f t="shared" si="51"/>
        <v>218470.3058459156</v>
      </c>
      <c r="DK34" s="54">
        <f t="shared" si="52"/>
        <v>272771.07501933485</v>
      </c>
      <c r="DL34" s="54">
        <f t="shared" si="53"/>
        <v>353781.55864197534</v>
      </c>
      <c r="DM34" s="54">
        <f t="shared" si="54"/>
        <v>218789.70418747599</v>
      </c>
      <c r="DN34" s="54">
        <f t="shared" si="55"/>
        <v>419054.62184873951</v>
      </c>
      <c r="DO34" s="54">
        <f t="shared" si="56"/>
        <v>417937.14285714284</v>
      </c>
      <c r="DP34" s="54" t="str">
        <f t="shared" si="57"/>
        <v>-</v>
      </c>
      <c r="DQ34" s="54" t="str">
        <f t="shared" si="58"/>
        <v>-</v>
      </c>
      <c r="DR34" s="54" t="str">
        <f t="shared" si="59"/>
        <v>-</v>
      </c>
      <c r="DT34" s="112">
        <f t="shared" si="60"/>
        <v>524375.65553737781</v>
      </c>
      <c r="DU34" s="114">
        <f>IFERROR(SUMIFS('01. KE30'!$X:$X,'01. KE30'!$C:$C,'06. BC BH THEO CUSTOMER-USD'!$D34,'01. KE30'!$F:$F,'06. BC BH THEO CUSTOMER-USD'!$H34,'01. KE30'!$A:$A,'06. BC BH THEO CUSTOMER-USD'!DU$4)-SUMIFS('01. KE30'!$AA:$AA,'01. KE30'!$C:$C,'06. BC BH THEO CUSTOMER-USD'!$D34,'01. KE30'!$F:$F,'06. BC BH THEO CUSTOMER-USD'!$H34,'01. KE30'!$A:$A,'06. BC BH THEO CUSTOMER-USD'!DU$4),"-")</f>
        <v>66717.564311521477</v>
      </c>
      <c r="DV34" s="114">
        <f>IFERROR(SUMIFS('01. KE30'!$X:$X,'01. KE30'!$C:$C,'06. BC BH THEO CUSTOMER-USD'!$D34,'01. KE30'!$F:$F,'06. BC BH THEO CUSTOMER-USD'!$H34,'01. KE30'!$A:$A,'06. BC BH THEO CUSTOMER-USD'!DV$4)-SUMIFS('01. KE30'!$AA:$AA,'01. KE30'!$C:$C,'06. BC BH THEO CUSTOMER-USD'!$D34,'01. KE30'!$F:$F,'06. BC BH THEO CUSTOMER-USD'!$H34,'01. KE30'!$A:$A,'06. BC BH THEO CUSTOMER-USD'!DV$4),"-")</f>
        <v>108408.25395825127</v>
      </c>
      <c r="DW34" s="114">
        <f>IFERROR(SUMIFS('01. KE30'!$X:$X,'01. KE30'!$C:$C,'06. BC BH THEO CUSTOMER-USD'!$D34,'01. KE30'!$F:$F,'06. BC BH THEO CUSTOMER-USD'!$H34,'01. KE30'!$A:$A,'06. BC BH THEO CUSTOMER-USD'!DW$4)-SUMIFS('01. KE30'!$AA:$AA,'01. KE30'!$C:$C,'06. BC BH THEO CUSTOMER-USD'!$D34,'01. KE30'!$F:$F,'06. BC BH THEO CUSTOMER-USD'!$H34,'01. KE30'!$A:$A,'06. BC BH THEO CUSTOMER-USD'!DW$4),"-")</f>
        <v>58970.744094488182</v>
      </c>
      <c r="DX34" s="114">
        <f>IFERROR(SUMIFS('01. KE30'!$X:$X,'01. KE30'!$C:$C,'06. BC BH THEO CUSTOMER-USD'!$D34,'01. KE30'!$F:$F,'06. BC BH THEO CUSTOMER-USD'!$H34,'01. KE30'!$A:$A,'06. BC BH THEO CUSTOMER-USD'!DX$4)-SUMIFS('01. KE30'!$AA:$AA,'01. KE30'!$C:$C,'06. BC BH THEO CUSTOMER-USD'!$D34,'01. KE30'!$F:$F,'06. BC BH THEO CUSTOMER-USD'!$H34,'01. KE30'!$A:$A,'06. BC BH THEO CUSTOMER-USD'!DX$4),"-")</f>
        <v>34425.036314363155</v>
      </c>
      <c r="DY34" s="114">
        <f>IFERROR(SUMIFS('01. KE30'!$X:$X,'01. KE30'!$C:$C,'06. BC BH THEO CUSTOMER-USD'!$D34,'01. KE30'!$F:$F,'06. BC BH THEO CUSTOMER-USD'!$H34,'01. KE30'!$A:$A,'06. BC BH THEO CUSTOMER-USD'!DY$4)-SUMIFS('01. KE30'!$AA:$AA,'01. KE30'!$C:$C,'06. BC BH THEO CUSTOMER-USD'!$D34,'01. KE30'!$F:$F,'06. BC BH THEO CUSTOMER-USD'!$H34,'01. KE30'!$A:$A,'06. BC BH THEO CUSTOMER-USD'!DY$4),"-")</f>
        <v>40668.839907192567</v>
      </c>
      <c r="DZ34" s="114">
        <f>IFERROR(SUMIFS('01. KE30'!$X:$X,'01. KE30'!$C:$C,'06. BC BH THEO CUSTOMER-USD'!$D34,'01. KE30'!$F:$F,'06. BC BH THEO CUSTOMER-USD'!$H34,'01. KE30'!$A:$A,'06. BC BH THEO CUSTOMER-USD'!DZ$4)-SUMIFS('01. KE30'!$AA:$AA,'01. KE30'!$C:$C,'06. BC BH THEO CUSTOMER-USD'!$D34,'01. KE30'!$F:$F,'06. BC BH THEO CUSTOMER-USD'!$H34,'01. KE30'!$A:$A,'06. BC BH THEO CUSTOMER-USD'!DZ$4),"-")</f>
        <v>43680.006520061695</v>
      </c>
      <c r="EA34" s="114">
        <f>IFERROR(SUMIFS('01. KE30'!$X:$X,'01. KE30'!$C:$C,'06. BC BH THEO CUSTOMER-USD'!$D34,'01. KE30'!$F:$F,'06. BC BH THEO CUSTOMER-USD'!$H34,'01. KE30'!$A:$A,'06. BC BH THEO CUSTOMER-USD'!EA$4)-SUMIFS('01. KE30'!$AA:$AA,'01. KE30'!$C:$C,'06. BC BH THEO CUSTOMER-USD'!$D34,'01. KE30'!$F:$F,'06. BC BH THEO CUSTOMER-USD'!$H34,'01. KE30'!$A:$A,'06. BC BH THEO CUSTOMER-USD'!EA$4),"-")</f>
        <v>25103.885977718019</v>
      </c>
      <c r="EB34" s="114">
        <f>IFERROR(SUMIFS('01. KE30'!$X:$X,'01. KE30'!$C:$C,'06. BC BH THEO CUSTOMER-USD'!$D34,'01. KE30'!$F:$F,'06. BC BH THEO CUSTOMER-USD'!$H34,'01. KE30'!$A:$A,'06. BC BH THEO CUSTOMER-USD'!EB$4)-SUMIFS('01. KE30'!$AA:$AA,'01. KE30'!$C:$C,'06. BC BH THEO CUSTOMER-USD'!$D34,'01. KE30'!$F:$F,'06. BC BH THEO CUSTOMER-USD'!$H34,'01. KE30'!$A:$A,'06. BC BH THEO CUSTOMER-USD'!EB$4),"-")</f>
        <v>67199.741596638632</v>
      </c>
      <c r="EC34" s="114">
        <f>IFERROR(SUMIFS('01. KE30'!$X:$X,'01. KE30'!$C:$C,'06. BC BH THEO CUSTOMER-USD'!$D34,'01. KE30'!$F:$F,'06. BC BH THEO CUSTOMER-USD'!$H34,'01. KE30'!$A:$A,'06. BC BH THEO CUSTOMER-USD'!EC$4)-SUMIFS('01. KE30'!$AA:$AA,'01. KE30'!$C:$C,'06. BC BH THEO CUSTOMER-USD'!$D34,'01. KE30'!$F:$F,'06. BC BH THEO CUSTOMER-USD'!$H34,'01. KE30'!$A:$A,'06. BC BH THEO CUSTOMER-USD'!EC$4),"-")</f>
        <v>79201.582857142843</v>
      </c>
      <c r="ED34" s="114">
        <f>IFERROR(SUMIFS('01. KE30'!$X:$X,'01. KE30'!$C:$C,'06. BC BH THEO CUSTOMER-USD'!$D34,'01. KE30'!$F:$F,'06. BC BH THEO CUSTOMER-USD'!$H34,'01. KE30'!$A:$A,'06. BC BH THEO CUSTOMER-USD'!ED$4)-SUMIFS('01. KE30'!$AA:$AA,'01. KE30'!$C:$C,'06. BC BH THEO CUSTOMER-USD'!$D34,'01. KE30'!$F:$F,'06. BC BH THEO CUSTOMER-USD'!$H34,'01. KE30'!$A:$A,'06. BC BH THEO CUSTOMER-USD'!ED$4),"-")</f>
        <v>0</v>
      </c>
      <c r="EE34" s="114">
        <f>IFERROR(SUMIFS('01. KE30'!$X:$X,'01. KE30'!$C:$C,'06. BC BH THEO CUSTOMER-USD'!$D34,'01. KE30'!$F:$F,'06. BC BH THEO CUSTOMER-USD'!$H34,'01. KE30'!$A:$A,'06. BC BH THEO CUSTOMER-USD'!EE$4)-SUMIFS('01. KE30'!$AA:$AA,'01. KE30'!$C:$C,'06. BC BH THEO CUSTOMER-USD'!$D34,'01. KE30'!$F:$F,'06. BC BH THEO CUSTOMER-USD'!$H34,'01. KE30'!$A:$A,'06. BC BH THEO CUSTOMER-USD'!EE$4),"-")</f>
        <v>0</v>
      </c>
      <c r="EF34" s="114">
        <f>IFERROR(SUMIFS('01. KE30'!$X:$X,'01. KE30'!$C:$C,'06. BC BH THEO CUSTOMER-USD'!$D34,'01. KE30'!$F:$F,'06. BC BH THEO CUSTOMER-USD'!$H34,'01. KE30'!$A:$A,'06. BC BH THEO CUSTOMER-USD'!EF$4)-SUMIFS('01. KE30'!$AA:$AA,'01. KE30'!$C:$C,'06. BC BH THEO CUSTOMER-USD'!$D34,'01. KE30'!$F:$F,'06. BC BH THEO CUSTOMER-USD'!$H34,'01. KE30'!$A:$A,'06. BC BH THEO CUSTOMER-USD'!EF$4),"-")</f>
        <v>0</v>
      </c>
      <c r="EH34" s="571">
        <f t="shared" si="29"/>
        <v>0.17652073706241153</v>
      </c>
      <c r="EI34" s="572">
        <f t="shared" si="30"/>
        <v>0.2107317303481116</v>
      </c>
      <c r="EJ34" s="572">
        <f t="shared" si="31"/>
        <v>0.2368128792467375</v>
      </c>
      <c r="EK34" s="572">
        <f t="shared" si="32"/>
        <v>0.19960736226012724</v>
      </c>
      <c r="EL34" s="572">
        <f t="shared" si="33"/>
        <v>0.15757306779550492</v>
      </c>
      <c r="EM34" s="572">
        <f t="shared" si="34"/>
        <v>0.14909513372819985</v>
      </c>
      <c r="EN34" s="572">
        <f t="shared" si="35"/>
        <v>0.12346603561737818</v>
      </c>
      <c r="EO34" s="572">
        <f t="shared" si="36"/>
        <v>0.11473979578219577</v>
      </c>
      <c r="EP34" s="572">
        <f t="shared" si="37"/>
        <v>0.16036033990073689</v>
      </c>
      <c r="EQ34" s="572">
        <f t="shared" si="38"/>
        <v>0.18950596808816086</v>
      </c>
      <c r="ER34" s="572" t="str">
        <f t="shared" si="39"/>
        <v>-</v>
      </c>
      <c r="ES34" s="572" t="str">
        <f t="shared" si="40"/>
        <v>-</v>
      </c>
      <c r="ET34" s="572" t="str">
        <f t="shared" si="41"/>
        <v>-</v>
      </c>
    </row>
    <row r="35" spans="1:150" ht="15.5" hidden="1" outlineLevel="1" x14ac:dyDescent="0.35">
      <c r="A35" s="27">
        <f t="shared" si="63"/>
        <v>27</v>
      </c>
      <c r="B35" s="27" t="s">
        <v>283</v>
      </c>
      <c r="C35" s="442" t="s">
        <v>502</v>
      </c>
      <c r="D35" s="9" t="s">
        <v>131</v>
      </c>
      <c r="E35" s="31" t="s">
        <v>130</v>
      </c>
      <c r="F35" s="12" t="s">
        <v>245</v>
      </c>
      <c r="G35" s="12" t="str">
        <f>_xlfn.XLOOKUP(F35,'Quy đổi'!$G$5:$G$32,'Quy đổi'!$H$5:$H$32,0)</f>
        <v>Nội địa</v>
      </c>
      <c r="H35" s="77" t="s">
        <v>127</v>
      </c>
      <c r="I35" s="31" t="s">
        <v>114</v>
      </c>
      <c r="J35" s="13" t="s">
        <v>22</v>
      </c>
      <c r="K35" s="11"/>
      <c r="L35" s="92">
        <f t="shared" si="42"/>
        <v>1346.8677494199535</v>
      </c>
      <c r="M35" s="106" t="str">
        <f>IFERROR(SUMIFS('01. KE30'!$K:$K,'01. KE30'!$C:$C,'06. BC BH THEO CUSTOMER-USD'!$D35,'01. KE30'!$F:$F,'06. BC BH THEO CUSTOMER-USD'!$H35,'01. KE30'!$A:$A,'06. BC BH THEO CUSTOMER-USD'!M$4)/'06. BC BH THEO CUSTOMER-USD'!CS35/'02. Tỷ giá'!B$5,"-")</f>
        <v>-</v>
      </c>
      <c r="N35" s="106" t="str">
        <f>IFERROR(SUMIFS('01. KE30'!$K:$K,'01. KE30'!$C:$C,'06. BC BH THEO CUSTOMER-USD'!$D35,'01. KE30'!$F:$F,'06. BC BH THEO CUSTOMER-USD'!$H35,'01. KE30'!$A:$A,'06. BC BH THEO CUSTOMER-USD'!N$4)/'06. BC BH THEO CUSTOMER-USD'!CT35/'02. Tỷ giá'!C$5,"-")</f>
        <v>-</v>
      </c>
      <c r="O35" s="106" t="str">
        <f>IFERROR(SUMIFS('01. KE30'!$K:$K,'01. KE30'!$C:$C,'06. BC BH THEO CUSTOMER-USD'!$D35,'01. KE30'!$F:$F,'06. BC BH THEO CUSTOMER-USD'!$H35,'01. KE30'!$A:$A,'06. BC BH THEO CUSTOMER-USD'!O$4)/'06. BC BH THEO CUSTOMER-USD'!CU35/'02. Tỷ giá'!D$5,"-")</f>
        <v>-</v>
      </c>
      <c r="P35" s="106" t="str">
        <f>IFERROR(SUMIFS('01. KE30'!$K:$K,'01. KE30'!$C:$C,'06. BC BH THEO CUSTOMER-USD'!$D35,'01. KE30'!$F:$F,'06. BC BH THEO CUSTOMER-USD'!$H35,'01. KE30'!$A:$A,'06. BC BH THEO CUSTOMER-USD'!P$4)/'06. BC BH THEO CUSTOMER-USD'!CV35/'02. Tỷ giá'!E$5,"-")</f>
        <v>-</v>
      </c>
      <c r="Q35" s="106">
        <f>IFERROR(SUMIFS('01. KE30'!$K:$K,'01. KE30'!$C:$C,'06. BC BH THEO CUSTOMER-USD'!$D35,'01. KE30'!$F:$F,'06. BC BH THEO CUSTOMER-USD'!$H35,'01. KE30'!$A:$A,'06. BC BH THEO CUSTOMER-USD'!Q$4)/'06. BC BH THEO CUSTOMER-USD'!CW35/'02. Tỷ giá'!F$5,"-")</f>
        <v>1346.8677494199535</v>
      </c>
      <c r="R35" s="106" t="str">
        <f>IFERROR(SUMIFS('01. KE30'!$K:$K,'01. KE30'!$C:$C,'06. BC BH THEO CUSTOMER-USD'!$D35,'01. KE30'!$F:$F,'06. BC BH THEO CUSTOMER-USD'!$H35,'01. KE30'!$A:$A,'06. BC BH THEO CUSTOMER-USD'!R$4)/'06. BC BH THEO CUSTOMER-USD'!CX35/'02. Tỷ giá'!G$5,"-")</f>
        <v>-</v>
      </c>
      <c r="S35" s="106" t="str">
        <f>IFERROR(SUMIFS('01. KE30'!$K:$K,'01. KE30'!$C:$C,'06. BC BH THEO CUSTOMER-USD'!$D35,'01. KE30'!$F:$F,'06. BC BH THEO CUSTOMER-USD'!$H35,'01. KE30'!$A:$A,'06. BC BH THEO CUSTOMER-USD'!S$4)/'06. BC BH THEO CUSTOMER-USD'!CY35/'02. Tỷ giá'!H$5,"-")</f>
        <v>-</v>
      </c>
      <c r="T35" s="106" t="str">
        <f>IFERROR(SUMIFS('01. KE30'!$K:$K,'01. KE30'!$C:$C,'06. BC BH THEO CUSTOMER-USD'!$D35,'01. KE30'!$F:$F,'06. BC BH THEO CUSTOMER-USD'!$H35,'01. KE30'!$A:$A,'06. BC BH THEO CUSTOMER-USD'!T$4)/'06. BC BH THEO CUSTOMER-USD'!CZ35/'02. Tỷ giá'!I$5,"-")</f>
        <v>-</v>
      </c>
      <c r="U35" s="106" t="str">
        <f>IFERROR(SUMIFS('01. KE30'!$K:$K,'01. KE30'!$C:$C,'06. BC BH THEO CUSTOMER-USD'!$D35,'01. KE30'!$F:$F,'06. BC BH THEO CUSTOMER-USD'!$H35,'01. KE30'!$A:$A,'06. BC BH THEO CUSTOMER-USD'!U$4)/'06. BC BH THEO CUSTOMER-USD'!DA35/'02. Tỷ giá'!J$5,"-")</f>
        <v>-</v>
      </c>
      <c r="V35" s="106" t="str">
        <f>IFERROR(SUMIFS('01. KE30'!$K:$K,'01. KE30'!$C:$C,'06. BC BH THEO CUSTOMER-USD'!$D35,'01. KE30'!$F:$F,'06. BC BH THEO CUSTOMER-USD'!$H35,'01. KE30'!$A:$A,'06. BC BH THEO CUSTOMER-USD'!V$4)/'06. BC BH THEO CUSTOMER-USD'!DB35/'02. Tỷ giá'!K$5,"-")</f>
        <v>-</v>
      </c>
      <c r="W35" s="106" t="str">
        <f>IFERROR(SUMIFS('01. KE30'!$K:$K,'01. KE30'!$C:$C,'06. BC BH THEO CUSTOMER-USD'!$D35,'01. KE30'!$F:$F,'06. BC BH THEO CUSTOMER-USD'!$H35,'01. KE30'!$A:$A,'06. BC BH THEO CUSTOMER-USD'!W$4)/'06. BC BH THEO CUSTOMER-USD'!DC35/'02. Tỷ giá'!L$5,"-")</f>
        <v>-</v>
      </c>
      <c r="X35" s="106" t="str">
        <f>IFERROR(SUMIFS('01. KE30'!$K:$K,'01. KE30'!$C:$C,'06. BC BH THEO CUSTOMER-USD'!$D35,'01. KE30'!$F:$F,'06. BC BH THEO CUSTOMER-USD'!$H35,'01. KE30'!$A:$A,'06. BC BH THEO CUSTOMER-USD'!X$4)/'06. BC BH THEO CUSTOMER-USD'!DD35/'02. Tỷ giá'!M$5,"-")</f>
        <v>-</v>
      </c>
      <c r="Z35" s="92">
        <f t="shared" si="43"/>
        <v>1346.8677494199535</v>
      </c>
      <c r="AA35" s="147" t="str">
        <f>IFERROR(SUMIFS('01. KE30'!$O:$O,'01. KE30'!$C:$C,'06. BC BH THEO CUSTOMER-USD'!$D35,'01. KE30'!$F:$F,'06. BC BH THEO CUSTOMER-USD'!$H35,'01. KE30'!$A:$A,'06. BC BH THEO CUSTOMER-USD'!M$4)/'06. BC BH THEO CUSTOMER-USD'!CS35/'02. Tỷ giá'!B$5,"-")</f>
        <v>-</v>
      </c>
      <c r="AB35" s="147" t="str">
        <f>IFERROR(SUMIFS('01. KE30'!$O:$O,'01. KE30'!$C:$C,'06. BC BH THEO CUSTOMER-USD'!$D35,'01. KE30'!$F:$F,'06. BC BH THEO CUSTOMER-USD'!$H35,'01. KE30'!$A:$A,'06. BC BH THEO CUSTOMER-USD'!N$4)/'06. BC BH THEO CUSTOMER-USD'!CT35/'02. Tỷ giá'!C$5,"-")</f>
        <v>-</v>
      </c>
      <c r="AC35" s="147" t="str">
        <f>IFERROR(SUMIFS('01. KE30'!$O:$O,'01. KE30'!$C:$C,'06. BC BH THEO CUSTOMER-USD'!$D35,'01. KE30'!$F:$F,'06. BC BH THEO CUSTOMER-USD'!$H35,'01. KE30'!$A:$A,'06. BC BH THEO CUSTOMER-USD'!O$4)/'06. BC BH THEO CUSTOMER-USD'!CU35/'02. Tỷ giá'!D$5,"-")</f>
        <v>-</v>
      </c>
      <c r="AD35" s="147" t="str">
        <f>IFERROR(SUMIFS('01. KE30'!$O:$O,'01. KE30'!$C:$C,'06. BC BH THEO CUSTOMER-USD'!$D35,'01. KE30'!$F:$F,'06. BC BH THEO CUSTOMER-USD'!$H35,'01. KE30'!$A:$A,'06. BC BH THEO CUSTOMER-USD'!P$4)/'06. BC BH THEO CUSTOMER-USD'!CV35/'02. Tỷ giá'!E$5,"-")</f>
        <v>-</v>
      </c>
      <c r="AE35" s="147">
        <f>IFERROR(SUMIFS('01. KE30'!$O:$O,'01. KE30'!$C:$C,'06. BC BH THEO CUSTOMER-USD'!$D35,'01. KE30'!$F:$F,'06. BC BH THEO CUSTOMER-USD'!$H35,'01. KE30'!$A:$A,'06. BC BH THEO CUSTOMER-USD'!Q$4)/'06. BC BH THEO CUSTOMER-USD'!CW35/'02. Tỷ giá'!F$5,"-")</f>
        <v>1346.8677494199535</v>
      </c>
      <c r="AF35" s="147" t="str">
        <f>IFERROR(SUMIFS('01. KE30'!$O:$O,'01. KE30'!$C:$C,'06. BC BH THEO CUSTOMER-USD'!$D35,'01. KE30'!$F:$F,'06. BC BH THEO CUSTOMER-USD'!$H35,'01. KE30'!$A:$A,'06. BC BH THEO CUSTOMER-USD'!R$4)/'06. BC BH THEO CUSTOMER-USD'!CX35/'02. Tỷ giá'!G$5,"-")</f>
        <v>-</v>
      </c>
      <c r="AG35" s="147" t="str">
        <f>IFERROR(SUMIFS('01. KE30'!$O:$O,'01. KE30'!$C:$C,'06. BC BH THEO CUSTOMER-USD'!$D35,'01. KE30'!$F:$F,'06. BC BH THEO CUSTOMER-USD'!$H35,'01. KE30'!$A:$A,'06. BC BH THEO CUSTOMER-USD'!S$4)/'06. BC BH THEO CUSTOMER-USD'!CY35/'02. Tỷ giá'!H$5,"-")</f>
        <v>-</v>
      </c>
      <c r="AH35" s="147" t="str">
        <f>IFERROR(SUMIFS('01. KE30'!$O:$O,'01. KE30'!$C:$C,'06. BC BH THEO CUSTOMER-USD'!$D35,'01. KE30'!$F:$F,'06. BC BH THEO CUSTOMER-USD'!$H35,'01. KE30'!$A:$A,'06. BC BH THEO CUSTOMER-USD'!T$4)/'06. BC BH THEO CUSTOMER-USD'!CZ35/'02. Tỷ giá'!I$5,"-")</f>
        <v>-</v>
      </c>
      <c r="AI35" s="147" t="str">
        <f>IFERROR(SUMIFS('01. KE30'!$O:$O,'01. KE30'!$C:$C,'06. BC BH THEO CUSTOMER-USD'!$D35,'01. KE30'!$F:$F,'06. BC BH THEO CUSTOMER-USD'!$H35,'01. KE30'!$A:$A,'06. BC BH THEO CUSTOMER-USD'!U$4)/'06. BC BH THEO CUSTOMER-USD'!DA35/'02. Tỷ giá'!J$5,"-")</f>
        <v>-</v>
      </c>
      <c r="AJ35" s="147" t="str">
        <f>IFERROR(SUMIFS('01. KE30'!$O:$O,'01. KE30'!$C:$C,'06. BC BH THEO CUSTOMER-USD'!$D35,'01. KE30'!$F:$F,'06. BC BH THEO CUSTOMER-USD'!$H35,'01. KE30'!$A:$A,'06. BC BH THEO CUSTOMER-USD'!V$4)/'06. BC BH THEO CUSTOMER-USD'!DB35/'02. Tỷ giá'!K$5,"-")</f>
        <v>-</v>
      </c>
      <c r="AK35" s="147" t="str">
        <f>IFERROR(SUMIFS('01. KE30'!$O:$O,'01. KE30'!$C:$C,'06. BC BH THEO CUSTOMER-USD'!$D35,'01. KE30'!$F:$F,'06. BC BH THEO CUSTOMER-USD'!$H35,'01. KE30'!$A:$A,'06. BC BH THEO CUSTOMER-USD'!W$4)/'06. BC BH THEO CUSTOMER-USD'!DC35/'02. Tỷ giá'!L$5,"-")</f>
        <v>-</v>
      </c>
      <c r="AL35" s="147" t="str">
        <f>IFERROR(SUMIFS('01. KE30'!$O:$O,'01. KE30'!$C:$C,'06. BC BH THEO CUSTOMER-USD'!$D35,'01. KE30'!$F:$F,'06. BC BH THEO CUSTOMER-USD'!$H35,'01. KE30'!$A:$A,'06. BC BH THEO CUSTOMER-USD'!X$4)/'06. BC BH THEO CUSTOMER-USD'!DD35/'02. Tỷ giá'!M$5,"-")</f>
        <v>-</v>
      </c>
      <c r="AN35" s="92">
        <f t="shared" si="44"/>
        <v>1322.2222222222222</v>
      </c>
      <c r="AO35" s="25">
        <v>1320</v>
      </c>
      <c r="AP35" s="25">
        <f>1320-40</f>
        <v>1280</v>
      </c>
      <c r="AQ35" s="4">
        <v>1320</v>
      </c>
      <c r="AR35" s="4">
        <f t="shared" si="135"/>
        <v>1340</v>
      </c>
      <c r="AS35" s="4">
        <v>1340</v>
      </c>
      <c r="AT35" s="4">
        <v>1340</v>
      </c>
      <c r="AU35" s="4">
        <v>1340</v>
      </c>
      <c r="AV35" s="4">
        <f t="shared" ref="AV35:AV37" si="195">AU35-30</f>
        <v>1310</v>
      </c>
      <c r="AW35" s="25">
        <v>1310</v>
      </c>
      <c r="AX35" s="25"/>
      <c r="AY35" s="4"/>
      <c r="AZ35" s="4"/>
      <c r="BB35" s="95">
        <f t="shared" si="45"/>
        <v>24.645527197731326</v>
      </c>
      <c r="BC35" s="95" t="str">
        <f t="shared" si="46"/>
        <v>-</v>
      </c>
      <c r="BD35" s="95" t="str">
        <f t="shared" si="74"/>
        <v>-</v>
      </c>
      <c r="BE35" s="95" t="str">
        <f t="shared" si="74"/>
        <v>-</v>
      </c>
      <c r="BF35" s="95" t="str">
        <f t="shared" si="74"/>
        <v>-</v>
      </c>
      <c r="BG35" s="95">
        <f t="shared" si="74"/>
        <v>6.8677494199534976</v>
      </c>
      <c r="BH35" s="95" t="str">
        <f t="shared" si="74"/>
        <v>-</v>
      </c>
      <c r="BI35" s="95" t="str">
        <f t="shared" si="74"/>
        <v>-</v>
      </c>
      <c r="BJ35" s="95" t="str">
        <f t="shared" si="74"/>
        <v>-</v>
      </c>
      <c r="BK35" s="95" t="str">
        <f t="shared" si="74"/>
        <v>-</v>
      </c>
      <c r="BL35" s="95" t="str">
        <f t="shared" si="74"/>
        <v>-</v>
      </c>
      <c r="BM35" s="95" t="str">
        <f t="shared" si="74"/>
        <v>-</v>
      </c>
      <c r="BN35" s="95" t="str">
        <f t="shared" si="74"/>
        <v>-</v>
      </c>
      <c r="BP35" s="143">
        <f t="shared" si="47"/>
        <v>1.8639474351225375E-2</v>
      </c>
      <c r="BQ35" s="143" t="str">
        <f t="shared" si="8"/>
        <v>-</v>
      </c>
      <c r="BR35" s="143" t="str">
        <f t="shared" si="9"/>
        <v>-</v>
      </c>
      <c r="BS35" s="143" t="str">
        <f t="shared" si="10"/>
        <v>-</v>
      </c>
      <c r="BT35" s="143" t="str">
        <f t="shared" si="11"/>
        <v>-</v>
      </c>
      <c r="BU35" s="143">
        <f t="shared" si="12"/>
        <v>5.1251861342936546E-3</v>
      </c>
      <c r="BV35" s="143" t="str">
        <f t="shared" si="13"/>
        <v>-</v>
      </c>
      <c r="BW35" s="143" t="str">
        <f t="shared" si="14"/>
        <v>-</v>
      </c>
      <c r="BX35" s="143" t="str">
        <f t="shared" si="15"/>
        <v>-</v>
      </c>
      <c r="BY35" s="143" t="str">
        <f t="shared" si="16"/>
        <v>-</v>
      </c>
      <c r="BZ35" s="143" t="str">
        <f t="shared" si="17"/>
        <v>-</v>
      </c>
      <c r="CA35" s="143" t="str">
        <f t="shared" si="18"/>
        <v>-</v>
      </c>
      <c r="CB35" s="143" t="str">
        <f t="shared" si="19"/>
        <v>-</v>
      </c>
      <c r="CD35" s="112">
        <f t="shared" si="25"/>
        <v>1072.9135906630106</v>
      </c>
      <c r="CE35" s="95" t="str">
        <f>IFERROR(SUMIFS('01. KE30'!$R:$R,'01. KE30'!$C:$C,'06. BC BH THEO CUSTOMER-USD'!$D35,'01. KE30'!$F:$F,'06. BC BH THEO CUSTOMER-USD'!$H35,'01. KE30'!$A:$A,'06. BC BH THEO CUSTOMER-USD'!CE$4)/CS35/'02. Tỷ giá'!B$5," -")</f>
        <v xml:space="preserve"> -</v>
      </c>
      <c r="CF35" s="95" t="str">
        <f>IFERROR(SUMIFS('01. KE30'!$R:$R,'01. KE30'!$C:$C,'06. BC BH THEO CUSTOMER-USD'!$D35,'01. KE30'!$F:$F,'06. BC BH THEO CUSTOMER-USD'!$H35,'01. KE30'!$A:$A,'06. BC BH THEO CUSTOMER-USD'!CF$4)/CT35/'02. Tỷ giá'!C$5," -")</f>
        <v xml:space="preserve"> -</v>
      </c>
      <c r="CG35" s="95" t="str">
        <f>IFERROR(SUMIFS('01. KE30'!$R:$R,'01. KE30'!$C:$C,'06. BC BH THEO CUSTOMER-USD'!$D35,'01. KE30'!$F:$F,'06. BC BH THEO CUSTOMER-USD'!$H35,'01. KE30'!$A:$A,'06. BC BH THEO CUSTOMER-USD'!CG$4)/CU35/'02. Tỷ giá'!D$5," -")</f>
        <v xml:space="preserve"> -</v>
      </c>
      <c r="CH35" s="95" t="str">
        <f>IFERROR(SUMIFS('01. KE30'!$R:$R,'01. KE30'!$C:$C,'06. BC BH THEO CUSTOMER-USD'!$D35,'01. KE30'!$F:$F,'06. BC BH THEO CUSTOMER-USD'!$H35,'01. KE30'!$A:$A,'06. BC BH THEO CUSTOMER-USD'!CH$4)/CV35/'02. Tỷ giá'!E$5," -")</f>
        <v xml:space="preserve"> -</v>
      </c>
      <c r="CI35" s="95">
        <f>IFERROR(SUMIFS('01. KE30'!$R:$R,'01. KE30'!$C:$C,'06. BC BH THEO CUSTOMER-USD'!$D35,'01. KE30'!$F:$F,'06. BC BH THEO CUSTOMER-USD'!$H35,'01. KE30'!$A:$A,'06. BC BH THEO CUSTOMER-USD'!CI$4)/CW35/'02. Tỷ giá'!F$5," -")</f>
        <v>1072.9135906630106</v>
      </c>
      <c r="CJ35" s="95" t="str">
        <f>IFERROR(SUMIFS('01. KE30'!$R:$R,'01. KE30'!$C:$C,'06. BC BH THEO CUSTOMER-USD'!$D35,'01. KE30'!$F:$F,'06. BC BH THEO CUSTOMER-USD'!$H35,'01. KE30'!$A:$A,'06. BC BH THEO CUSTOMER-USD'!CJ$4)/CX35/'02. Tỷ giá'!G$5," -")</f>
        <v xml:space="preserve"> -</v>
      </c>
      <c r="CK35" s="95" t="str">
        <f>IFERROR(SUMIFS('01. KE30'!$R:$R,'01. KE30'!$C:$C,'06. BC BH THEO CUSTOMER-USD'!$D35,'01. KE30'!$F:$F,'06. BC BH THEO CUSTOMER-USD'!$H35,'01. KE30'!$A:$A,'06. BC BH THEO CUSTOMER-USD'!CK$4)/CY35/'02. Tỷ giá'!H$5," -")</f>
        <v xml:space="preserve"> -</v>
      </c>
      <c r="CL35" s="95" t="str">
        <f>IFERROR(SUMIFS('01. KE30'!$R:$R,'01. KE30'!$C:$C,'06. BC BH THEO CUSTOMER-USD'!$D35,'01. KE30'!$F:$F,'06. BC BH THEO CUSTOMER-USD'!$H35,'01. KE30'!$A:$A,'06. BC BH THEO CUSTOMER-USD'!CL$4)/CZ35/'02. Tỷ giá'!I$5," -")</f>
        <v xml:space="preserve"> -</v>
      </c>
      <c r="CM35" s="95" t="str">
        <f>IFERROR(SUMIFS('01. KE30'!$R:$R,'01. KE30'!$C:$C,'06. BC BH THEO CUSTOMER-USD'!$D35,'01. KE30'!$F:$F,'06. BC BH THEO CUSTOMER-USD'!$H35,'01. KE30'!$A:$A,'06. BC BH THEO CUSTOMER-USD'!CM$4)/DA35/'02. Tỷ giá'!J$5," -")</f>
        <v xml:space="preserve"> -</v>
      </c>
      <c r="CN35" s="95" t="str">
        <f>IFERROR(SUMIFS('01. KE30'!$R:$R,'01. KE30'!$C:$C,'06. BC BH THEO CUSTOMER-USD'!$D35,'01. KE30'!$F:$F,'06. BC BH THEO CUSTOMER-USD'!$H35,'01. KE30'!$A:$A,'06. BC BH THEO CUSTOMER-USD'!CN$4)/DB35/'02. Tỷ giá'!K$5," -")</f>
        <v xml:space="preserve"> -</v>
      </c>
      <c r="CO35" s="95" t="str">
        <f>IFERROR(SUMIFS('01. KE30'!$R:$R,'01. KE30'!$C:$C,'06. BC BH THEO CUSTOMER-USD'!$D35,'01. KE30'!$F:$F,'06. BC BH THEO CUSTOMER-USD'!$H35,'01. KE30'!$A:$A,'06. BC BH THEO CUSTOMER-USD'!CO$4)/DC35/'02. Tỷ giá'!L$5," -")</f>
        <v xml:space="preserve"> -</v>
      </c>
      <c r="CP35" s="95" t="str">
        <f>IFERROR(SUMIFS('01. KE30'!$R:$R,'01. KE30'!$C:$C,'06. BC BH THEO CUSTOMER-USD'!$D35,'01. KE30'!$F:$F,'06. BC BH THEO CUSTOMER-USD'!$H35,'01. KE30'!$A:$A,'06. BC BH THEO CUSTOMER-USD'!CP$4)/DD35/'02. Tỷ giá'!M$5," -")</f>
        <v xml:space="preserve"> -</v>
      </c>
      <c r="CR35" s="112">
        <f t="shared" si="26"/>
        <v>2.2000000000000002</v>
      </c>
      <c r="CS35" s="114">
        <f>SUMIFS('01. KE30'!$I:$I,'01. KE30'!$C:$C,'06. BC BH THEO CUSTOMER-USD'!$D35,'01. KE30'!$F:$F,'06. BC BH THEO CUSTOMER-USD'!$H35,'01. KE30'!$A:$A,'06. BC BH THEO CUSTOMER-USD'!CS$4)/1000</f>
        <v>0</v>
      </c>
      <c r="CT35" s="114">
        <f>SUMIFS('01. KE30'!$I:$I,'01. KE30'!$C:$C,'06. BC BH THEO CUSTOMER-USD'!$D35,'01. KE30'!$F:$F,'06. BC BH THEO CUSTOMER-USD'!$H35,'01. KE30'!$A:$A,'06. BC BH THEO CUSTOMER-USD'!CT$4)/1000</f>
        <v>0</v>
      </c>
      <c r="CU35" s="114">
        <f>SUMIFS('01. KE30'!$I:$I,'01. KE30'!$C:$C,'06. BC BH THEO CUSTOMER-USD'!$D35,'01. KE30'!$F:$F,'06. BC BH THEO CUSTOMER-USD'!$H35,'01. KE30'!$A:$A,'06. BC BH THEO CUSTOMER-USD'!CU$4)/1000</f>
        <v>0</v>
      </c>
      <c r="CV35" s="114">
        <f>SUMIFS('01. KE30'!$I:$I,'01. KE30'!$C:$C,'06. BC BH THEO CUSTOMER-USD'!$D35,'01. KE30'!$F:$F,'06. BC BH THEO CUSTOMER-USD'!$H35,'01. KE30'!$A:$A,'06. BC BH THEO CUSTOMER-USD'!CV$4)/1000</f>
        <v>0</v>
      </c>
      <c r="CW35" s="114">
        <f>SUMIFS('01. KE30'!$I:$I,'01. KE30'!$C:$C,'06. BC BH THEO CUSTOMER-USD'!$D35,'01. KE30'!$F:$F,'06. BC BH THEO CUSTOMER-USD'!$H35,'01. KE30'!$A:$A,'06. BC BH THEO CUSTOMER-USD'!CW$4)/1000</f>
        <v>2.2000000000000002</v>
      </c>
      <c r="CX35" s="114">
        <f>SUMIFS('01. KE30'!$I:$I,'01. KE30'!$C:$C,'06. BC BH THEO CUSTOMER-USD'!$D35,'01. KE30'!$F:$F,'06. BC BH THEO CUSTOMER-USD'!$H35,'01. KE30'!$A:$A,'06. BC BH THEO CUSTOMER-USD'!CX$4)/1000</f>
        <v>0</v>
      </c>
      <c r="CY35" s="114">
        <f>SUMIFS('01. KE30'!$I:$I,'01. KE30'!$C:$C,'06. BC BH THEO CUSTOMER-USD'!$D35,'01. KE30'!$F:$F,'06. BC BH THEO CUSTOMER-USD'!$H35,'01. KE30'!$A:$A,'06. BC BH THEO CUSTOMER-USD'!CY$4)/1000</f>
        <v>0</v>
      </c>
      <c r="CZ35" s="114">
        <f>SUMIFS('01. KE30'!$I:$I,'01. KE30'!$C:$C,'06. BC BH THEO CUSTOMER-USD'!$D35,'01. KE30'!$F:$F,'06. BC BH THEO CUSTOMER-USD'!$H35,'01. KE30'!$A:$A,'06. BC BH THEO CUSTOMER-USD'!CZ$4)/1000</f>
        <v>0</v>
      </c>
      <c r="DA35" s="114">
        <f>SUMIFS('01. KE30'!$I:$I,'01. KE30'!$C:$C,'06. BC BH THEO CUSTOMER-USD'!$D35,'01. KE30'!$F:$F,'06. BC BH THEO CUSTOMER-USD'!$H35,'01. KE30'!$A:$A,'06. BC BH THEO CUSTOMER-USD'!DA$4)/1000</f>
        <v>0</v>
      </c>
      <c r="DB35" s="114">
        <f>SUMIFS('01. KE30'!$I:$I,'01. KE30'!$C:$C,'06. BC BH THEO CUSTOMER-USD'!$D35,'01. KE30'!$F:$F,'06. BC BH THEO CUSTOMER-USD'!$H35,'01. KE30'!$A:$A,'06. BC BH THEO CUSTOMER-USD'!DB$4)/1000</f>
        <v>0</v>
      </c>
      <c r="DC35" s="114">
        <f>SUMIFS('01. KE30'!$I:$I,'01. KE30'!$C:$C,'06. BC BH THEO CUSTOMER-USD'!$D35,'01. KE30'!$F:$F,'06. BC BH THEO CUSTOMER-USD'!$H35,'01. KE30'!$A:$A,'06. BC BH THEO CUSTOMER-USD'!DC$4)/1000</f>
        <v>0</v>
      </c>
      <c r="DD35" s="114">
        <f>SUMIFS('01. KE30'!$I:$I,'01. KE30'!$C:$C,'06. BC BH THEO CUSTOMER-USD'!$D35,'01. KE30'!$F:$F,'06. BC BH THEO CUSTOMER-USD'!$H35,'01. KE30'!$A:$A,'06. BC BH THEO CUSTOMER-USD'!DD$4)/1000</f>
        <v>0</v>
      </c>
      <c r="DF35" s="112">
        <f t="shared" si="73"/>
        <v>2963.109048723898</v>
      </c>
      <c r="DG35" s="54" t="str">
        <f t="shared" si="48"/>
        <v>-</v>
      </c>
      <c r="DH35" s="54" t="str">
        <f t="shared" si="49"/>
        <v>-</v>
      </c>
      <c r="DI35" s="54" t="str">
        <f t="shared" si="50"/>
        <v>-</v>
      </c>
      <c r="DJ35" s="54" t="str">
        <f t="shared" si="51"/>
        <v>-</v>
      </c>
      <c r="DK35" s="54">
        <f t="shared" si="52"/>
        <v>2963.109048723898</v>
      </c>
      <c r="DL35" s="54" t="str">
        <f t="shared" si="53"/>
        <v>-</v>
      </c>
      <c r="DM35" s="54" t="str">
        <f t="shared" si="54"/>
        <v>-</v>
      </c>
      <c r="DN35" s="54" t="str">
        <f t="shared" si="55"/>
        <v>-</v>
      </c>
      <c r="DO35" s="54" t="str">
        <f t="shared" si="56"/>
        <v>-</v>
      </c>
      <c r="DP35" s="54" t="str">
        <f t="shared" si="57"/>
        <v>-</v>
      </c>
      <c r="DQ35" s="54" t="str">
        <f t="shared" si="58"/>
        <v>-</v>
      </c>
      <c r="DR35" s="54" t="str">
        <f t="shared" si="59"/>
        <v>-</v>
      </c>
      <c r="DT35" s="112">
        <f t="shared" si="60"/>
        <v>602.69914926527463</v>
      </c>
      <c r="DU35" s="114">
        <f>IFERROR(SUMIFS('01. KE30'!$X:$X,'01. KE30'!$C:$C,'06. BC BH THEO CUSTOMER-USD'!$D35,'01. KE30'!$F:$F,'06. BC BH THEO CUSTOMER-USD'!$H35,'01. KE30'!$A:$A,'06. BC BH THEO CUSTOMER-USD'!DU$4)-SUMIFS('01. KE30'!$AA:$AA,'01. KE30'!$C:$C,'06. BC BH THEO CUSTOMER-USD'!$D35,'01. KE30'!$F:$F,'06. BC BH THEO CUSTOMER-USD'!$H35,'01. KE30'!$A:$A,'06. BC BH THEO CUSTOMER-USD'!DU$4),"-")</f>
        <v>0</v>
      </c>
      <c r="DV35" s="114">
        <f>IFERROR(SUMIFS('01. KE30'!$X:$X,'01. KE30'!$C:$C,'06. BC BH THEO CUSTOMER-USD'!$D35,'01. KE30'!$F:$F,'06. BC BH THEO CUSTOMER-USD'!$H35,'01. KE30'!$A:$A,'06. BC BH THEO CUSTOMER-USD'!DV$4)-SUMIFS('01. KE30'!$AA:$AA,'01. KE30'!$C:$C,'06. BC BH THEO CUSTOMER-USD'!$D35,'01. KE30'!$F:$F,'06. BC BH THEO CUSTOMER-USD'!$H35,'01. KE30'!$A:$A,'06. BC BH THEO CUSTOMER-USD'!DV$4),"-")</f>
        <v>0</v>
      </c>
      <c r="DW35" s="114">
        <f>IFERROR(SUMIFS('01. KE30'!$X:$X,'01. KE30'!$C:$C,'06. BC BH THEO CUSTOMER-USD'!$D35,'01. KE30'!$F:$F,'06. BC BH THEO CUSTOMER-USD'!$H35,'01. KE30'!$A:$A,'06. BC BH THEO CUSTOMER-USD'!DW$4)-SUMIFS('01. KE30'!$AA:$AA,'01. KE30'!$C:$C,'06. BC BH THEO CUSTOMER-USD'!$D35,'01. KE30'!$F:$F,'06. BC BH THEO CUSTOMER-USD'!$H35,'01. KE30'!$A:$A,'06. BC BH THEO CUSTOMER-USD'!DW$4),"-")</f>
        <v>0</v>
      </c>
      <c r="DX35" s="114">
        <f>IFERROR(SUMIFS('01. KE30'!$X:$X,'01. KE30'!$C:$C,'06. BC BH THEO CUSTOMER-USD'!$D35,'01. KE30'!$F:$F,'06. BC BH THEO CUSTOMER-USD'!$H35,'01. KE30'!$A:$A,'06. BC BH THEO CUSTOMER-USD'!DX$4)-SUMIFS('01. KE30'!$AA:$AA,'01. KE30'!$C:$C,'06. BC BH THEO CUSTOMER-USD'!$D35,'01. KE30'!$F:$F,'06. BC BH THEO CUSTOMER-USD'!$H35,'01. KE30'!$A:$A,'06. BC BH THEO CUSTOMER-USD'!DX$4),"-")</f>
        <v>0</v>
      </c>
      <c r="DY35" s="114">
        <f>IFERROR(SUMIFS('01. KE30'!$X:$X,'01. KE30'!$C:$C,'06. BC BH THEO CUSTOMER-USD'!$D35,'01. KE30'!$F:$F,'06. BC BH THEO CUSTOMER-USD'!$H35,'01. KE30'!$A:$A,'06. BC BH THEO CUSTOMER-USD'!DY$4)-SUMIFS('01. KE30'!$AA:$AA,'01. KE30'!$C:$C,'06. BC BH THEO CUSTOMER-USD'!$D35,'01. KE30'!$F:$F,'06. BC BH THEO CUSTOMER-USD'!$H35,'01. KE30'!$A:$A,'06. BC BH THEO CUSTOMER-USD'!DY$4),"-")</f>
        <v>602.69914926527463</v>
      </c>
      <c r="DZ35" s="114">
        <f>IFERROR(SUMIFS('01. KE30'!$X:$X,'01. KE30'!$C:$C,'06. BC BH THEO CUSTOMER-USD'!$D35,'01. KE30'!$F:$F,'06. BC BH THEO CUSTOMER-USD'!$H35,'01. KE30'!$A:$A,'06. BC BH THEO CUSTOMER-USD'!DZ$4)-SUMIFS('01. KE30'!$AA:$AA,'01. KE30'!$C:$C,'06. BC BH THEO CUSTOMER-USD'!$D35,'01. KE30'!$F:$F,'06. BC BH THEO CUSTOMER-USD'!$H35,'01. KE30'!$A:$A,'06. BC BH THEO CUSTOMER-USD'!DZ$4),"-")</f>
        <v>0</v>
      </c>
      <c r="EA35" s="114">
        <f>IFERROR(SUMIFS('01. KE30'!$X:$X,'01. KE30'!$C:$C,'06. BC BH THEO CUSTOMER-USD'!$D35,'01. KE30'!$F:$F,'06. BC BH THEO CUSTOMER-USD'!$H35,'01. KE30'!$A:$A,'06. BC BH THEO CUSTOMER-USD'!EA$4)-SUMIFS('01. KE30'!$AA:$AA,'01. KE30'!$C:$C,'06. BC BH THEO CUSTOMER-USD'!$D35,'01. KE30'!$F:$F,'06. BC BH THEO CUSTOMER-USD'!$H35,'01. KE30'!$A:$A,'06. BC BH THEO CUSTOMER-USD'!EA$4),"-")</f>
        <v>0</v>
      </c>
      <c r="EB35" s="114">
        <f>IFERROR(SUMIFS('01. KE30'!$X:$X,'01. KE30'!$C:$C,'06. BC BH THEO CUSTOMER-USD'!$D35,'01. KE30'!$F:$F,'06. BC BH THEO CUSTOMER-USD'!$H35,'01. KE30'!$A:$A,'06. BC BH THEO CUSTOMER-USD'!EB$4)-SUMIFS('01. KE30'!$AA:$AA,'01. KE30'!$C:$C,'06. BC BH THEO CUSTOMER-USD'!$D35,'01. KE30'!$F:$F,'06. BC BH THEO CUSTOMER-USD'!$H35,'01. KE30'!$A:$A,'06. BC BH THEO CUSTOMER-USD'!EB$4),"-")</f>
        <v>0</v>
      </c>
      <c r="EC35" s="114">
        <f>IFERROR(SUMIFS('01. KE30'!$X:$X,'01. KE30'!$C:$C,'06. BC BH THEO CUSTOMER-USD'!$D35,'01. KE30'!$F:$F,'06. BC BH THEO CUSTOMER-USD'!$H35,'01. KE30'!$A:$A,'06. BC BH THEO CUSTOMER-USD'!EC$4)-SUMIFS('01. KE30'!$AA:$AA,'01. KE30'!$C:$C,'06. BC BH THEO CUSTOMER-USD'!$D35,'01. KE30'!$F:$F,'06. BC BH THEO CUSTOMER-USD'!$H35,'01. KE30'!$A:$A,'06. BC BH THEO CUSTOMER-USD'!EC$4),"-")</f>
        <v>0</v>
      </c>
      <c r="ED35" s="114">
        <f>IFERROR(SUMIFS('01. KE30'!$X:$X,'01. KE30'!$C:$C,'06. BC BH THEO CUSTOMER-USD'!$D35,'01. KE30'!$F:$F,'06. BC BH THEO CUSTOMER-USD'!$H35,'01. KE30'!$A:$A,'06. BC BH THEO CUSTOMER-USD'!ED$4)-SUMIFS('01. KE30'!$AA:$AA,'01. KE30'!$C:$C,'06. BC BH THEO CUSTOMER-USD'!$D35,'01. KE30'!$F:$F,'06. BC BH THEO CUSTOMER-USD'!$H35,'01. KE30'!$A:$A,'06. BC BH THEO CUSTOMER-USD'!ED$4),"-")</f>
        <v>0</v>
      </c>
      <c r="EE35" s="114">
        <f>IFERROR(SUMIFS('01. KE30'!$X:$X,'01. KE30'!$C:$C,'06. BC BH THEO CUSTOMER-USD'!$D35,'01. KE30'!$F:$F,'06. BC BH THEO CUSTOMER-USD'!$H35,'01. KE30'!$A:$A,'06. BC BH THEO CUSTOMER-USD'!EE$4)-SUMIFS('01. KE30'!$AA:$AA,'01. KE30'!$C:$C,'06. BC BH THEO CUSTOMER-USD'!$D35,'01. KE30'!$F:$F,'06. BC BH THEO CUSTOMER-USD'!$H35,'01. KE30'!$A:$A,'06. BC BH THEO CUSTOMER-USD'!EE$4),"-")</f>
        <v>0</v>
      </c>
      <c r="EF35" s="114">
        <f>IFERROR(SUMIFS('01. KE30'!$X:$X,'01. KE30'!$C:$C,'06. BC BH THEO CUSTOMER-USD'!$D35,'01. KE30'!$F:$F,'06. BC BH THEO CUSTOMER-USD'!$H35,'01. KE30'!$A:$A,'06. BC BH THEO CUSTOMER-USD'!EF$4)-SUMIFS('01. KE30'!$AA:$AA,'01. KE30'!$C:$C,'06. BC BH THEO CUSTOMER-USD'!$D35,'01. KE30'!$F:$F,'06. BC BH THEO CUSTOMER-USD'!$H35,'01. KE30'!$A:$A,'06. BC BH THEO CUSTOMER-USD'!EF$4),"-")</f>
        <v>0</v>
      </c>
      <c r="EH35" s="571">
        <f t="shared" si="29"/>
        <v>0.20340093440868637</v>
      </c>
      <c r="EI35" s="572" t="str">
        <f t="shared" si="30"/>
        <v>-</v>
      </c>
      <c r="EJ35" s="572" t="str">
        <f t="shared" si="31"/>
        <v>-</v>
      </c>
      <c r="EK35" s="572" t="str">
        <f t="shared" si="32"/>
        <v>-</v>
      </c>
      <c r="EL35" s="572" t="str">
        <f t="shared" si="33"/>
        <v>-</v>
      </c>
      <c r="EM35" s="572">
        <f t="shared" si="34"/>
        <v>0.20340093440868637</v>
      </c>
      <c r="EN35" s="572" t="str">
        <f t="shared" si="35"/>
        <v>-</v>
      </c>
      <c r="EO35" s="572" t="str">
        <f t="shared" si="36"/>
        <v>-</v>
      </c>
      <c r="EP35" s="572" t="str">
        <f t="shared" si="37"/>
        <v>-</v>
      </c>
      <c r="EQ35" s="572" t="str">
        <f t="shared" si="38"/>
        <v>-</v>
      </c>
      <c r="ER35" s="572" t="str">
        <f t="shared" si="39"/>
        <v>-</v>
      </c>
      <c r="ES35" s="572" t="str">
        <f t="shared" si="40"/>
        <v>-</v>
      </c>
      <c r="ET35" s="572" t="str">
        <f t="shared" si="41"/>
        <v>-</v>
      </c>
    </row>
    <row r="36" spans="1:150" ht="15.5" hidden="1" outlineLevel="1" x14ac:dyDescent="0.35">
      <c r="A36" s="27">
        <f t="shared" si="63"/>
        <v>28</v>
      </c>
      <c r="B36" s="27" t="s">
        <v>283</v>
      </c>
      <c r="C36" s="442" t="s">
        <v>502</v>
      </c>
      <c r="D36" s="9" t="s">
        <v>131</v>
      </c>
      <c r="E36" s="31" t="s">
        <v>130</v>
      </c>
      <c r="F36" s="12" t="s">
        <v>245</v>
      </c>
      <c r="G36" s="12" t="str">
        <f>_xlfn.XLOOKUP(F36,'Quy đổi'!$G$5:$G$32,'Quy đổi'!$H$5:$H$32,0)</f>
        <v>Nội địa</v>
      </c>
      <c r="H36" s="77" t="s">
        <v>100</v>
      </c>
      <c r="I36" s="31" t="s">
        <v>99</v>
      </c>
      <c r="J36" s="13" t="s">
        <v>22</v>
      </c>
      <c r="K36" s="11"/>
      <c r="L36" s="92" t="str">
        <f t="shared" si="42"/>
        <v>-</v>
      </c>
      <c r="M36" s="106" t="str">
        <f>IFERROR(SUMIFS('01. KE30'!$K:$K,'01. KE30'!$C:$C,'06. BC BH THEO CUSTOMER-USD'!$D36,'01. KE30'!$F:$F,'06. BC BH THEO CUSTOMER-USD'!$H36,'01. KE30'!$A:$A,'06. BC BH THEO CUSTOMER-USD'!M$4)/'06. BC BH THEO CUSTOMER-USD'!CS36/'02. Tỷ giá'!B$5,"-")</f>
        <v>-</v>
      </c>
      <c r="N36" s="106" t="str">
        <f>IFERROR(SUMIFS('01. KE30'!$K:$K,'01. KE30'!$C:$C,'06. BC BH THEO CUSTOMER-USD'!$D36,'01. KE30'!$F:$F,'06. BC BH THEO CUSTOMER-USD'!$H36,'01. KE30'!$A:$A,'06. BC BH THEO CUSTOMER-USD'!N$4)/'06. BC BH THEO CUSTOMER-USD'!CT36/'02. Tỷ giá'!C$5,"-")</f>
        <v>-</v>
      </c>
      <c r="O36" s="106" t="str">
        <f>IFERROR(SUMIFS('01. KE30'!$K:$K,'01. KE30'!$C:$C,'06. BC BH THEO CUSTOMER-USD'!$D36,'01. KE30'!$F:$F,'06. BC BH THEO CUSTOMER-USD'!$H36,'01. KE30'!$A:$A,'06. BC BH THEO CUSTOMER-USD'!O$4)/'06. BC BH THEO CUSTOMER-USD'!CU36/'02. Tỷ giá'!D$5,"-")</f>
        <v>-</v>
      </c>
      <c r="P36" s="106" t="str">
        <f>IFERROR(SUMIFS('01. KE30'!$K:$K,'01. KE30'!$C:$C,'06. BC BH THEO CUSTOMER-USD'!$D36,'01. KE30'!$F:$F,'06. BC BH THEO CUSTOMER-USD'!$H36,'01. KE30'!$A:$A,'06. BC BH THEO CUSTOMER-USD'!P$4)/'06. BC BH THEO CUSTOMER-USD'!CV36/'02. Tỷ giá'!E$5,"-")</f>
        <v>-</v>
      </c>
      <c r="Q36" s="106" t="str">
        <f>IFERROR(SUMIFS('01. KE30'!$K:$K,'01. KE30'!$C:$C,'06. BC BH THEO CUSTOMER-USD'!$D36,'01. KE30'!$F:$F,'06. BC BH THEO CUSTOMER-USD'!$H36,'01. KE30'!$A:$A,'06. BC BH THEO CUSTOMER-USD'!Q$4)/'06. BC BH THEO CUSTOMER-USD'!CW36/'02. Tỷ giá'!F$5,"-")</f>
        <v>-</v>
      </c>
      <c r="R36" s="106" t="str">
        <f>IFERROR(SUMIFS('01. KE30'!$K:$K,'01. KE30'!$C:$C,'06. BC BH THEO CUSTOMER-USD'!$D36,'01. KE30'!$F:$F,'06. BC BH THEO CUSTOMER-USD'!$H36,'01. KE30'!$A:$A,'06. BC BH THEO CUSTOMER-USD'!R$4)/'06. BC BH THEO CUSTOMER-USD'!CX36/'02. Tỷ giá'!G$5,"-")</f>
        <v>-</v>
      </c>
      <c r="S36" s="106" t="str">
        <f>IFERROR(SUMIFS('01. KE30'!$K:$K,'01. KE30'!$C:$C,'06. BC BH THEO CUSTOMER-USD'!$D36,'01. KE30'!$F:$F,'06. BC BH THEO CUSTOMER-USD'!$H36,'01. KE30'!$A:$A,'06. BC BH THEO CUSTOMER-USD'!S$4)/'06. BC BH THEO CUSTOMER-USD'!CY36/'02. Tỷ giá'!H$5,"-")</f>
        <v>-</v>
      </c>
      <c r="T36" s="106" t="str">
        <f>IFERROR(SUMIFS('01. KE30'!$K:$K,'01. KE30'!$C:$C,'06. BC BH THEO CUSTOMER-USD'!$D36,'01. KE30'!$F:$F,'06. BC BH THEO CUSTOMER-USD'!$H36,'01. KE30'!$A:$A,'06. BC BH THEO CUSTOMER-USD'!T$4)/'06. BC BH THEO CUSTOMER-USD'!CZ36/'02. Tỷ giá'!I$5,"-")</f>
        <v>-</v>
      </c>
      <c r="U36" s="106" t="str">
        <f>IFERROR(SUMIFS('01. KE30'!$K:$K,'01. KE30'!$C:$C,'06. BC BH THEO CUSTOMER-USD'!$D36,'01. KE30'!$F:$F,'06. BC BH THEO CUSTOMER-USD'!$H36,'01. KE30'!$A:$A,'06. BC BH THEO CUSTOMER-USD'!U$4)/'06. BC BH THEO CUSTOMER-USD'!DA36/'02. Tỷ giá'!J$5,"-")</f>
        <v>-</v>
      </c>
      <c r="V36" s="106" t="str">
        <f>IFERROR(SUMIFS('01. KE30'!$K:$K,'01. KE30'!$C:$C,'06. BC BH THEO CUSTOMER-USD'!$D36,'01. KE30'!$F:$F,'06. BC BH THEO CUSTOMER-USD'!$H36,'01. KE30'!$A:$A,'06. BC BH THEO CUSTOMER-USD'!V$4)/'06. BC BH THEO CUSTOMER-USD'!DB36/'02. Tỷ giá'!K$5,"-")</f>
        <v>-</v>
      </c>
      <c r="W36" s="106" t="str">
        <f>IFERROR(SUMIFS('01. KE30'!$K:$K,'01. KE30'!$C:$C,'06. BC BH THEO CUSTOMER-USD'!$D36,'01. KE30'!$F:$F,'06. BC BH THEO CUSTOMER-USD'!$H36,'01. KE30'!$A:$A,'06. BC BH THEO CUSTOMER-USD'!W$4)/'06. BC BH THEO CUSTOMER-USD'!DC36/'02. Tỷ giá'!L$5,"-")</f>
        <v>-</v>
      </c>
      <c r="X36" s="106" t="str">
        <f>IFERROR(SUMIFS('01. KE30'!$K:$K,'01. KE30'!$C:$C,'06. BC BH THEO CUSTOMER-USD'!$D36,'01. KE30'!$F:$F,'06. BC BH THEO CUSTOMER-USD'!$H36,'01. KE30'!$A:$A,'06. BC BH THEO CUSTOMER-USD'!X$4)/'06. BC BH THEO CUSTOMER-USD'!DD36/'02. Tỷ giá'!M$5,"-")</f>
        <v>-</v>
      </c>
      <c r="Z36" s="92" t="str">
        <f t="shared" si="43"/>
        <v>-</v>
      </c>
      <c r="AA36" s="147" t="str">
        <f>IFERROR(SUMIFS('01. KE30'!$O:$O,'01. KE30'!$C:$C,'06. BC BH THEO CUSTOMER-USD'!$D36,'01. KE30'!$F:$F,'06. BC BH THEO CUSTOMER-USD'!$H36,'01. KE30'!$A:$A,'06. BC BH THEO CUSTOMER-USD'!M$4)/'06. BC BH THEO CUSTOMER-USD'!CS36/'02. Tỷ giá'!B$5,"-")</f>
        <v>-</v>
      </c>
      <c r="AB36" s="147" t="str">
        <f>IFERROR(SUMIFS('01. KE30'!$O:$O,'01. KE30'!$C:$C,'06. BC BH THEO CUSTOMER-USD'!$D36,'01. KE30'!$F:$F,'06. BC BH THEO CUSTOMER-USD'!$H36,'01. KE30'!$A:$A,'06. BC BH THEO CUSTOMER-USD'!N$4)/'06. BC BH THEO CUSTOMER-USD'!CT36/'02. Tỷ giá'!C$5,"-")</f>
        <v>-</v>
      </c>
      <c r="AC36" s="147" t="str">
        <f>IFERROR(SUMIFS('01. KE30'!$O:$O,'01. KE30'!$C:$C,'06. BC BH THEO CUSTOMER-USD'!$D36,'01. KE30'!$F:$F,'06. BC BH THEO CUSTOMER-USD'!$H36,'01. KE30'!$A:$A,'06. BC BH THEO CUSTOMER-USD'!O$4)/'06. BC BH THEO CUSTOMER-USD'!CU36/'02. Tỷ giá'!D$5,"-")</f>
        <v>-</v>
      </c>
      <c r="AD36" s="147" t="str">
        <f>IFERROR(SUMIFS('01. KE30'!$O:$O,'01. KE30'!$C:$C,'06. BC BH THEO CUSTOMER-USD'!$D36,'01. KE30'!$F:$F,'06. BC BH THEO CUSTOMER-USD'!$H36,'01. KE30'!$A:$A,'06. BC BH THEO CUSTOMER-USD'!P$4)/'06. BC BH THEO CUSTOMER-USD'!CV36/'02. Tỷ giá'!E$5,"-")</f>
        <v>-</v>
      </c>
      <c r="AE36" s="147" t="str">
        <f>IFERROR(SUMIFS('01. KE30'!$O:$O,'01. KE30'!$C:$C,'06. BC BH THEO CUSTOMER-USD'!$D36,'01. KE30'!$F:$F,'06. BC BH THEO CUSTOMER-USD'!$H36,'01. KE30'!$A:$A,'06. BC BH THEO CUSTOMER-USD'!Q$4)/'06. BC BH THEO CUSTOMER-USD'!CW36/'02. Tỷ giá'!F$5,"-")</f>
        <v>-</v>
      </c>
      <c r="AF36" s="147" t="str">
        <f>IFERROR(SUMIFS('01. KE30'!$O:$O,'01. KE30'!$C:$C,'06. BC BH THEO CUSTOMER-USD'!$D36,'01. KE30'!$F:$F,'06. BC BH THEO CUSTOMER-USD'!$H36,'01. KE30'!$A:$A,'06. BC BH THEO CUSTOMER-USD'!R$4)/'06. BC BH THEO CUSTOMER-USD'!CX36/'02. Tỷ giá'!G$5,"-")</f>
        <v>-</v>
      </c>
      <c r="AG36" s="147" t="str">
        <f>IFERROR(SUMIFS('01. KE30'!$O:$O,'01. KE30'!$C:$C,'06. BC BH THEO CUSTOMER-USD'!$D36,'01. KE30'!$F:$F,'06. BC BH THEO CUSTOMER-USD'!$H36,'01. KE30'!$A:$A,'06. BC BH THEO CUSTOMER-USD'!S$4)/'06. BC BH THEO CUSTOMER-USD'!CY36/'02. Tỷ giá'!H$5,"-")</f>
        <v>-</v>
      </c>
      <c r="AH36" s="147" t="str">
        <f>IFERROR(SUMIFS('01. KE30'!$O:$O,'01. KE30'!$C:$C,'06. BC BH THEO CUSTOMER-USD'!$D36,'01. KE30'!$F:$F,'06. BC BH THEO CUSTOMER-USD'!$H36,'01. KE30'!$A:$A,'06. BC BH THEO CUSTOMER-USD'!T$4)/'06. BC BH THEO CUSTOMER-USD'!CZ36/'02. Tỷ giá'!I$5,"-")</f>
        <v>-</v>
      </c>
      <c r="AI36" s="147" t="str">
        <f>IFERROR(SUMIFS('01. KE30'!$O:$O,'01. KE30'!$C:$C,'06. BC BH THEO CUSTOMER-USD'!$D36,'01. KE30'!$F:$F,'06. BC BH THEO CUSTOMER-USD'!$H36,'01. KE30'!$A:$A,'06. BC BH THEO CUSTOMER-USD'!U$4)/'06. BC BH THEO CUSTOMER-USD'!DA36/'02. Tỷ giá'!J$5,"-")</f>
        <v>-</v>
      </c>
      <c r="AJ36" s="147" t="str">
        <f>IFERROR(SUMIFS('01. KE30'!$O:$O,'01. KE30'!$C:$C,'06. BC BH THEO CUSTOMER-USD'!$D36,'01. KE30'!$F:$F,'06. BC BH THEO CUSTOMER-USD'!$H36,'01. KE30'!$A:$A,'06. BC BH THEO CUSTOMER-USD'!V$4)/'06. BC BH THEO CUSTOMER-USD'!DB36/'02. Tỷ giá'!K$5,"-")</f>
        <v>-</v>
      </c>
      <c r="AK36" s="147" t="str">
        <f>IFERROR(SUMIFS('01. KE30'!$O:$O,'01. KE30'!$C:$C,'06. BC BH THEO CUSTOMER-USD'!$D36,'01. KE30'!$F:$F,'06. BC BH THEO CUSTOMER-USD'!$H36,'01. KE30'!$A:$A,'06. BC BH THEO CUSTOMER-USD'!W$4)/'06. BC BH THEO CUSTOMER-USD'!DC36/'02. Tỷ giá'!L$5,"-")</f>
        <v>-</v>
      </c>
      <c r="AL36" s="147" t="str">
        <f>IFERROR(SUMIFS('01. KE30'!$O:$O,'01. KE30'!$C:$C,'06. BC BH THEO CUSTOMER-USD'!$D36,'01. KE30'!$F:$F,'06. BC BH THEO CUSTOMER-USD'!$H36,'01. KE30'!$A:$A,'06. BC BH THEO CUSTOMER-USD'!X$4)/'06. BC BH THEO CUSTOMER-USD'!DD36/'02. Tỷ giá'!M$5,"-")</f>
        <v>-</v>
      </c>
      <c r="AN36" s="92">
        <f t="shared" si="44"/>
        <v>1266.6666666666667</v>
      </c>
      <c r="AO36" s="25">
        <v>1260</v>
      </c>
      <c r="AP36" s="25">
        <v>1260</v>
      </c>
      <c r="AQ36" s="25">
        <v>1260</v>
      </c>
      <c r="AR36" s="4">
        <f t="shared" si="135"/>
        <v>1280</v>
      </c>
      <c r="AS36" s="4">
        <v>1280</v>
      </c>
      <c r="AT36" s="4">
        <v>1280</v>
      </c>
      <c r="AU36" s="4">
        <v>1280</v>
      </c>
      <c r="AV36" s="4">
        <f t="shared" si="195"/>
        <v>1250</v>
      </c>
      <c r="AW36" s="25">
        <v>1250</v>
      </c>
      <c r="AX36" s="25"/>
      <c r="AY36" s="4"/>
      <c r="AZ36" s="4"/>
      <c r="BB36" s="95" t="str">
        <f t="shared" si="45"/>
        <v>-</v>
      </c>
      <c r="BC36" s="95" t="str">
        <f t="shared" si="46"/>
        <v>-</v>
      </c>
      <c r="BD36" s="95" t="str">
        <f t="shared" si="74"/>
        <v>-</v>
      </c>
      <c r="BE36" s="95" t="str">
        <f t="shared" si="74"/>
        <v>-</v>
      </c>
      <c r="BF36" s="95" t="str">
        <f t="shared" si="74"/>
        <v>-</v>
      </c>
      <c r="BG36" s="95" t="str">
        <f t="shared" si="74"/>
        <v>-</v>
      </c>
      <c r="BH36" s="95" t="str">
        <f t="shared" si="74"/>
        <v>-</v>
      </c>
      <c r="BI36" s="95" t="str">
        <f t="shared" si="74"/>
        <v>-</v>
      </c>
      <c r="BJ36" s="95" t="str">
        <f t="shared" si="74"/>
        <v>-</v>
      </c>
      <c r="BK36" s="95" t="str">
        <f t="shared" si="74"/>
        <v>-</v>
      </c>
      <c r="BL36" s="95" t="str">
        <f t="shared" si="74"/>
        <v>-</v>
      </c>
      <c r="BM36" s="95" t="str">
        <f t="shared" si="74"/>
        <v>-</v>
      </c>
      <c r="BN36" s="95" t="str">
        <f t="shared" si="74"/>
        <v>-</v>
      </c>
      <c r="BP36" s="143" t="str">
        <f t="shared" si="47"/>
        <v>-</v>
      </c>
      <c r="BQ36" s="143" t="str">
        <f t="shared" si="8"/>
        <v>-</v>
      </c>
      <c r="BR36" s="143" t="str">
        <f t="shared" si="9"/>
        <v>-</v>
      </c>
      <c r="BS36" s="143" t="str">
        <f t="shared" si="10"/>
        <v>-</v>
      </c>
      <c r="BT36" s="143" t="str">
        <f t="shared" si="11"/>
        <v>-</v>
      </c>
      <c r="BU36" s="143" t="str">
        <f t="shared" si="12"/>
        <v>-</v>
      </c>
      <c r="BV36" s="143" t="str">
        <f t="shared" si="13"/>
        <v>-</v>
      </c>
      <c r="BW36" s="143" t="str">
        <f t="shared" si="14"/>
        <v>-</v>
      </c>
      <c r="BX36" s="143" t="str">
        <f t="shared" si="15"/>
        <v>-</v>
      </c>
      <c r="BY36" s="143" t="str">
        <f t="shared" si="16"/>
        <v>-</v>
      </c>
      <c r="BZ36" s="143" t="str">
        <f t="shared" si="17"/>
        <v>-</v>
      </c>
      <c r="CA36" s="143" t="str">
        <f t="shared" si="18"/>
        <v>-</v>
      </c>
      <c r="CB36" s="143" t="str">
        <f t="shared" si="19"/>
        <v>-</v>
      </c>
      <c r="CD36" s="112" t="str">
        <f t="shared" si="25"/>
        <v>-</v>
      </c>
      <c r="CE36" s="95" t="str">
        <f>IFERROR(SUMIFS('01. KE30'!$R:$R,'01. KE30'!$C:$C,'06. BC BH THEO CUSTOMER-USD'!$D36,'01. KE30'!$F:$F,'06. BC BH THEO CUSTOMER-USD'!$H36,'01. KE30'!$A:$A,'06. BC BH THEO CUSTOMER-USD'!CE$4)/CS36/'02. Tỷ giá'!B$5," -")</f>
        <v xml:space="preserve"> -</v>
      </c>
      <c r="CF36" s="95" t="str">
        <f>IFERROR(SUMIFS('01. KE30'!$R:$R,'01. KE30'!$C:$C,'06. BC BH THEO CUSTOMER-USD'!$D36,'01. KE30'!$F:$F,'06. BC BH THEO CUSTOMER-USD'!$H36,'01. KE30'!$A:$A,'06. BC BH THEO CUSTOMER-USD'!CF$4)/CT36/'02. Tỷ giá'!C$5," -")</f>
        <v xml:space="preserve"> -</v>
      </c>
      <c r="CG36" s="95" t="str">
        <f>IFERROR(SUMIFS('01. KE30'!$R:$R,'01. KE30'!$C:$C,'06. BC BH THEO CUSTOMER-USD'!$D36,'01. KE30'!$F:$F,'06. BC BH THEO CUSTOMER-USD'!$H36,'01. KE30'!$A:$A,'06. BC BH THEO CUSTOMER-USD'!CG$4)/CU36/'02. Tỷ giá'!D$5," -")</f>
        <v xml:space="preserve"> -</v>
      </c>
      <c r="CH36" s="95" t="str">
        <f>IFERROR(SUMIFS('01. KE30'!$R:$R,'01. KE30'!$C:$C,'06. BC BH THEO CUSTOMER-USD'!$D36,'01. KE30'!$F:$F,'06. BC BH THEO CUSTOMER-USD'!$H36,'01. KE30'!$A:$A,'06. BC BH THEO CUSTOMER-USD'!CH$4)/CV36/'02. Tỷ giá'!E$5," -")</f>
        <v xml:space="preserve"> -</v>
      </c>
      <c r="CI36" s="95" t="str">
        <f>IFERROR(SUMIFS('01. KE30'!$R:$R,'01. KE30'!$C:$C,'06. BC BH THEO CUSTOMER-USD'!$D36,'01. KE30'!$F:$F,'06. BC BH THEO CUSTOMER-USD'!$H36,'01. KE30'!$A:$A,'06. BC BH THEO CUSTOMER-USD'!CI$4)/CW36/'02. Tỷ giá'!F$5," -")</f>
        <v xml:space="preserve"> -</v>
      </c>
      <c r="CJ36" s="95" t="str">
        <f>IFERROR(SUMIFS('01. KE30'!$R:$R,'01. KE30'!$C:$C,'06. BC BH THEO CUSTOMER-USD'!$D36,'01. KE30'!$F:$F,'06. BC BH THEO CUSTOMER-USD'!$H36,'01. KE30'!$A:$A,'06. BC BH THEO CUSTOMER-USD'!CJ$4)/CX36/'02. Tỷ giá'!G$5," -")</f>
        <v xml:space="preserve"> -</v>
      </c>
      <c r="CK36" s="95" t="str">
        <f>IFERROR(SUMIFS('01. KE30'!$R:$R,'01. KE30'!$C:$C,'06. BC BH THEO CUSTOMER-USD'!$D36,'01. KE30'!$F:$F,'06. BC BH THEO CUSTOMER-USD'!$H36,'01. KE30'!$A:$A,'06. BC BH THEO CUSTOMER-USD'!CK$4)/CY36/'02. Tỷ giá'!H$5," -")</f>
        <v xml:space="preserve"> -</v>
      </c>
      <c r="CL36" s="95" t="str">
        <f>IFERROR(SUMIFS('01. KE30'!$R:$R,'01. KE30'!$C:$C,'06. BC BH THEO CUSTOMER-USD'!$D36,'01. KE30'!$F:$F,'06. BC BH THEO CUSTOMER-USD'!$H36,'01. KE30'!$A:$A,'06. BC BH THEO CUSTOMER-USD'!CL$4)/CZ36/'02. Tỷ giá'!I$5," -")</f>
        <v xml:space="preserve"> -</v>
      </c>
      <c r="CM36" s="95" t="str">
        <f>IFERROR(SUMIFS('01. KE30'!$R:$R,'01. KE30'!$C:$C,'06. BC BH THEO CUSTOMER-USD'!$D36,'01. KE30'!$F:$F,'06. BC BH THEO CUSTOMER-USD'!$H36,'01. KE30'!$A:$A,'06. BC BH THEO CUSTOMER-USD'!CM$4)/DA36/'02. Tỷ giá'!J$5," -")</f>
        <v xml:space="preserve"> -</v>
      </c>
      <c r="CN36" s="95" t="str">
        <f>IFERROR(SUMIFS('01. KE30'!$R:$R,'01. KE30'!$C:$C,'06. BC BH THEO CUSTOMER-USD'!$D36,'01. KE30'!$F:$F,'06. BC BH THEO CUSTOMER-USD'!$H36,'01. KE30'!$A:$A,'06. BC BH THEO CUSTOMER-USD'!CN$4)/DB36/'02. Tỷ giá'!K$5," -")</f>
        <v xml:space="preserve"> -</v>
      </c>
      <c r="CO36" s="95" t="str">
        <f>IFERROR(SUMIFS('01. KE30'!$R:$R,'01. KE30'!$C:$C,'06. BC BH THEO CUSTOMER-USD'!$D36,'01. KE30'!$F:$F,'06. BC BH THEO CUSTOMER-USD'!$H36,'01. KE30'!$A:$A,'06. BC BH THEO CUSTOMER-USD'!CO$4)/DC36/'02. Tỷ giá'!L$5," -")</f>
        <v xml:space="preserve"> -</v>
      </c>
      <c r="CP36" s="95" t="str">
        <f>IFERROR(SUMIFS('01. KE30'!$R:$R,'01. KE30'!$C:$C,'06. BC BH THEO CUSTOMER-USD'!$D36,'01. KE30'!$F:$F,'06. BC BH THEO CUSTOMER-USD'!$H36,'01. KE30'!$A:$A,'06. BC BH THEO CUSTOMER-USD'!CP$4)/DD36/'02. Tỷ giá'!M$5," -")</f>
        <v xml:space="preserve"> -</v>
      </c>
      <c r="CR36" s="112">
        <f t="shared" si="26"/>
        <v>0</v>
      </c>
      <c r="CS36" s="114">
        <f>SUMIFS('01. KE30'!$I:$I,'01. KE30'!$C:$C,'06. BC BH THEO CUSTOMER-USD'!$D36,'01. KE30'!$F:$F,'06. BC BH THEO CUSTOMER-USD'!$H36,'01. KE30'!$A:$A,'06. BC BH THEO CUSTOMER-USD'!CS$4)/1000</f>
        <v>0</v>
      </c>
      <c r="CT36" s="114">
        <f>SUMIFS('01. KE30'!$I:$I,'01. KE30'!$C:$C,'06. BC BH THEO CUSTOMER-USD'!$D36,'01. KE30'!$F:$F,'06. BC BH THEO CUSTOMER-USD'!$H36,'01. KE30'!$A:$A,'06. BC BH THEO CUSTOMER-USD'!CT$4)/1000</f>
        <v>0</v>
      </c>
      <c r="CU36" s="114">
        <f>SUMIFS('01. KE30'!$I:$I,'01. KE30'!$C:$C,'06. BC BH THEO CUSTOMER-USD'!$D36,'01. KE30'!$F:$F,'06. BC BH THEO CUSTOMER-USD'!$H36,'01. KE30'!$A:$A,'06. BC BH THEO CUSTOMER-USD'!CU$4)/1000</f>
        <v>0</v>
      </c>
      <c r="CV36" s="114">
        <f>SUMIFS('01. KE30'!$I:$I,'01. KE30'!$C:$C,'06. BC BH THEO CUSTOMER-USD'!$D36,'01. KE30'!$F:$F,'06. BC BH THEO CUSTOMER-USD'!$H36,'01. KE30'!$A:$A,'06. BC BH THEO CUSTOMER-USD'!CV$4)/1000</f>
        <v>0</v>
      </c>
      <c r="CW36" s="114">
        <f>SUMIFS('01. KE30'!$I:$I,'01. KE30'!$C:$C,'06. BC BH THEO CUSTOMER-USD'!$D36,'01. KE30'!$F:$F,'06. BC BH THEO CUSTOMER-USD'!$H36,'01. KE30'!$A:$A,'06. BC BH THEO CUSTOMER-USD'!CW$4)/1000</f>
        <v>0</v>
      </c>
      <c r="CX36" s="114">
        <f>SUMIFS('01. KE30'!$I:$I,'01. KE30'!$C:$C,'06. BC BH THEO CUSTOMER-USD'!$D36,'01. KE30'!$F:$F,'06. BC BH THEO CUSTOMER-USD'!$H36,'01. KE30'!$A:$A,'06. BC BH THEO CUSTOMER-USD'!CX$4)/1000</f>
        <v>0</v>
      </c>
      <c r="CY36" s="114">
        <f>SUMIFS('01. KE30'!$I:$I,'01. KE30'!$C:$C,'06. BC BH THEO CUSTOMER-USD'!$D36,'01. KE30'!$F:$F,'06. BC BH THEO CUSTOMER-USD'!$H36,'01. KE30'!$A:$A,'06. BC BH THEO CUSTOMER-USD'!CY$4)/1000</f>
        <v>0</v>
      </c>
      <c r="CZ36" s="114">
        <f>SUMIFS('01. KE30'!$I:$I,'01. KE30'!$C:$C,'06. BC BH THEO CUSTOMER-USD'!$D36,'01. KE30'!$F:$F,'06. BC BH THEO CUSTOMER-USD'!$H36,'01. KE30'!$A:$A,'06. BC BH THEO CUSTOMER-USD'!CZ$4)/1000</f>
        <v>0</v>
      </c>
      <c r="DA36" s="114">
        <f>SUMIFS('01. KE30'!$I:$I,'01. KE30'!$C:$C,'06. BC BH THEO CUSTOMER-USD'!$D36,'01. KE30'!$F:$F,'06. BC BH THEO CUSTOMER-USD'!$H36,'01. KE30'!$A:$A,'06. BC BH THEO CUSTOMER-USD'!DA$4)/1000</f>
        <v>0</v>
      </c>
      <c r="DB36" s="114">
        <f>SUMIFS('01. KE30'!$I:$I,'01. KE30'!$C:$C,'06. BC BH THEO CUSTOMER-USD'!$D36,'01. KE30'!$F:$F,'06. BC BH THEO CUSTOMER-USD'!$H36,'01. KE30'!$A:$A,'06. BC BH THEO CUSTOMER-USD'!DB$4)/1000</f>
        <v>0</v>
      </c>
      <c r="DC36" s="114">
        <f>SUMIFS('01. KE30'!$I:$I,'01. KE30'!$C:$C,'06. BC BH THEO CUSTOMER-USD'!$D36,'01. KE30'!$F:$F,'06. BC BH THEO CUSTOMER-USD'!$H36,'01. KE30'!$A:$A,'06. BC BH THEO CUSTOMER-USD'!DC$4)/1000</f>
        <v>0</v>
      </c>
      <c r="DD36" s="114">
        <f>SUMIFS('01. KE30'!$I:$I,'01. KE30'!$C:$C,'06. BC BH THEO CUSTOMER-USD'!$D36,'01. KE30'!$F:$F,'06. BC BH THEO CUSTOMER-USD'!$H36,'01. KE30'!$A:$A,'06. BC BH THEO CUSTOMER-USD'!DD$4)/1000</f>
        <v>0</v>
      </c>
      <c r="DF36" s="112">
        <f t="shared" si="73"/>
        <v>0</v>
      </c>
      <c r="DG36" s="54" t="str">
        <f t="shared" si="48"/>
        <v>-</v>
      </c>
      <c r="DH36" s="54" t="str">
        <f t="shared" si="49"/>
        <v>-</v>
      </c>
      <c r="DI36" s="54" t="str">
        <f t="shared" si="50"/>
        <v>-</v>
      </c>
      <c r="DJ36" s="54" t="str">
        <f t="shared" si="51"/>
        <v>-</v>
      </c>
      <c r="DK36" s="54" t="str">
        <f t="shared" si="52"/>
        <v>-</v>
      </c>
      <c r="DL36" s="54" t="str">
        <f t="shared" si="53"/>
        <v>-</v>
      </c>
      <c r="DM36" s="54" t="str">
        <f t="shared" si="54"/>
        <v>-</v>
      </c>
      <c r="DN36" s="54" t="str">
        <f t="shared" si="55"/>
        <v>-</v>
      </c>
      <c r="DO36" s="54" t="str">
        <f t="shared" si="56"/>
        <v>-</v>
      </c>
      <c r="DP36" s="54" t="str">
        <f t="shared" si="57"/>
        <v>-</v>
      </c>
      <c r="DQ36" s="54" t="str">
        <f t="shared" si="58"/>
        <v>-</v>
      </c>
      <c r="DR36" s="54" t="str">
        <f t="shared" si="59"/>
        <v>-</v>
      </c>
      <c r="DT36" s="112">
        <f t="shared" si="60"/>
        <v>0</v>
      </c>
      <c r="DU36" s="114">
        <f>IFERROR(SUMIFS('01. KE30'!$X:$X,'01. KE30'!$C:$C,'06. BC BH THEO CUSTOMER-USD'!$D36,'01. KE30'!$F:$F,'06. BC BH THEO CUSTOMER-USD'!$H36,'01. KE30'!$A:$A,'06. BC BH THEO CUSTOMER-USD'!DU$4)-SUMIFS('01. KE30'!$AA:$AA,'01. KE30'!$C:$C,'06. BC BH THEO CUSTOMER-USD'!$D36,'01. KE30'!$F:$F,'06. BC BH THEO CUSTOMER-USD'!$H36,'01. KE30'!$A:$A,'06. BC BH THEO CUSTOMER-USD'!DU$4),"-")</f>
        <v>0</v>
      </c>
      <c r="DV36" s="114">
        <f>IFERROR(SUMIFS('01. KE30'!$X:$X,'01. KE30'!$C:$C,'06. BC BH THEO CUSTOMER-USD'!$D36,'01. KE30'!$F:$F,'06. BC BH THEO CUSTOMER-USD'!$H36,'01. KE30'!$A:$A,'06. BC BH THEO CUSTOMER-USD'!DV$4)-SUMIFS('01. KE30'!$AA:$AA,'01. KE30'!$C:$C,'06. BC BH THEO CUSTOMER-USD'!$D36,'01. KE30'!$F:$F,'06. BC BH THEO CUSTOMER-USD'!$H36,'01. KE30'!$A:$A,'06. BC BH THEO CUSTOMER-USD'!DV$4),"-")</f>
        <v>0</v>
      </c>
      <c r="DW36" s="114">
        <f>IFERROR(SUMIFS('01. KE30'!$X:$X,'01. KE30'!$C:$C,'06. BC BH THEO CUSTOMER-USD'!$D36,'01. KE30'!$F:$F,'06. BC BH THEO CUSTOMER-USD'!$H36,'01. KE30'!$A:$A,'06. BC BH THEO CUSTOMER-USD'!DW$4)-SUMIFS('01. KE30'!$AA:$AA,'01. KE30'!$C:$C,'06. BC BH THEO CUSTOMER-USD'!$D36,'01. KE30'!$F:$F,'06. BC BH THEO CUSTOMER-USD'!$H36,'01. KE30'!$A:$A,'06. BC BH THEO CUSTOMER-USD'!DW$4),"-")</f>
        <v>0</v>
      </c>
      <c r="DX36" s="114">
        <f>IFERROR(SUMIFS('01. KE30'!$X:$X,'01. KE30'!$C:$C,'06. BC BH THEO CUSTOMER-USD'!$D36,'01. KE30'!$F:$F,'06. BC BH THEO CUSTOMER-USD'!$H36,'01. KE30'!$A:$A,'06. BC BH THEO CUSTOMER-USD'!DX$4)-SUMIFS('01. KE30'!$AA:$AA,'01. KE30'!$C:$C,'06. BC BH THEO CUSTOMER-USD'!$D36,'01. KE30'!$F:$F,'06. BC BH THEO CUSTOMER-USD'!$H36,'01. KE30'!$A:$A,'06. BC BH THEO CUSTOMER-USD'!DX$4),"-")</f>
        <v>0</v>
      </c>
      <c r="DY36" s="114">
        <f>IFERROR(SUMIFS('01. KE30'!$X:$X,'01. KE30'!$C:$C,'06. BC BH THEO CUSTOMER-USD'!$D36,'01. KE30'!$F:$F,'06. BC BH THEO CUSTOMER-USD'!$H36,'01. KE30'!$A:$A,'06. BC BH THEO CUSTOMER-USD'!DY$4)-SUMIFS('01. KE30'!$AA:$AA,'01. KE30'!$C:$C,'06. BC BH THEO CUSTOMER-USD'!$D36,'01. KE30'!$F:$F,'06. BC BH THEO CUSTOMER-USD'!$H36,'01. KE30'!$A:$A,'06. BC BH THEO CUSTOMER-USD'!DY$4),"-")</f>
        <v>0</v>
      </c>
      <c r="DZ36" s="114">
        <f>IFERROR(SUMIFS('01. KE30'!$X:$X,'01. KE30'!$C:$C,'06. BC BH THEO CUSTOMER-USD'!$D36,'01. KE30'!$F:$F,'06. BC BH THEO CUSTOMER-USD'!$H36,'01. KE30'!$A:$A,'06. BC BH THEO CUSTOMER-USD'!DZ$4)-SUMIFS('01. KE30'!$AA:$AA,'01. KE30'!$C:$C,'06. BC BH THEO CUSTOMER-USD'!$D36,'01. KE30'!$F:$F,'06. BC BH THEO CUSTOMER-USD'!$H36,'01. KE30'!$A:$A,'06. BC BH THEO CUSTOMER-USD'!DZ$4),"-")</f>
        <v>0</v>
      </c>
      <c r="EA36" s="114">
        <f>IFERROR(SUMIFS('01. KE30'!$X:$X,'01. KE30'!$C:$C,'06. BC BH THEO CUSTOMER-USD'!$D36,'01. KE30'!$F:$F,'06. BC BH THEO CUSTOMER-USD'!$H36,'01. KE30'!$A:$A,'06. BC BH THEO CUSTOMER-USD'!EA$4)-SUMIFS('01. KE30'!$AA:$AA,'01. KE30'!$C:$C,'06. BC BH THEO CUSTOMER-USD'!$D36,'01. KE30'!$F:$F,'06. BC BH THEO CUSTOMER-USD'!$H36,'01. KE30'!$A:$A,'06. BC BH THEO CUSTOMER-USD'!EA$4),"-")</f>
        <v>0</v>
      </c>
      <c r="EB36" s="114">
        <f>IFERROR(SUMIFS('01. KE30'!$X:$X,'01. KE30'!$C:$C,'06. BC BH THEO CUSTOMER-USD'!$D36,'01. KE30'!$F:$F,'06. BC BH THEO CUSTOMER-USD'!$H36,'01. KE30'!$A:$A,'06. BC BH THEO CUSTOMER-USD'!EB$4)-SUMIFS('01. KE30'!$AA:$AA,'01. KE30'!$C:$C,'06. BC BH THEO CUSTOMER-USD'!$D36,'01. KE30'!$F:$F,'06. BC BH THEO CUSTOMER-USD'!$H36,'01. KE30'!$A:$A,'06. BC BH THEO CUSTOMER-USD'!EB$4),"-")</f>
        <v>0</v>
      </c>
      <c r="EC36" s="114">
        <f>IFERROR(SUMIFS('01. KE30'!$X:$X,'01. KE30'!$C:$C,'06. BC BH THEO CUSTOMER-USD'!$D36,'01. KE30'!$F:$F,'06. BC BH THEO CUSTOMER-USD'!$H36,'01. KE30'!$A:$A,'06. BC BH THEO CUSTOMER-USD'!EC$4)-SUMIFS('01. KE30'!$AA:$AA,'01. KE30'!$C:$C,'06. BC BH THEO CUSTOMER-USD'!$D36,'01. KE30'!$F:$F,'06. BC BH THEO CUSTOMER-USD'!$H36,'01. KE30'!$A:$A,'06. BC BH THEO CUSTOMER-USD'!EC$4),"-")</f>
        <v>0</v>
      </c>
      <c r="ED36" s="114">
        <f>IFERROR(SUMIFS('01. KE30'!$X:$X,'01. KE30'!$C:$C,'06. BC BH THEO CUSTOMER-USD'!$D36,'01. KE30'!$F:$F,'06. BC BH THEO CUSTOMER-USD'!$H36,'01. KE30'!$A:$A,'06. BC BH THEO CUSTOMER-USD'!ED$4)-SUMIFS('01. KE30'!$AA:$AA,'01. KE30'!$C:$C,'06. BC BH THEO CUSTOMER-USD'!$D36,'01. KE30'!$F:$F,'06. BC BH THEO CUSTOMER-USD'!$H36,'01. KE30'!$A:$A,'06. BC BH THEO CUSTOMER-USD'!ED$4),"-")</f>
        <v>0</v>
      </c>
      <c r="EE36" s="114">
        <f>IFERROR(SUMIFS('01. KE30'!$X:$X,'01. KE30'!$C:$C,'06. BC BH THEO CUSTOMER-USD'!$D36,'01. KE30'!$F:$F,'06. BC BH THEO CUSTOMER-USD'!$H36,'01. KE30'!$A:$A,'06. BC BH THEO CUSTOMER-USD'!EE$4)-SUMIFS('01. KE30'!$AA:$AA,'01. KE30'!$C:$C,'06. BC BH THEO CUSTOMER-USD'!$D36,'01. KE30'!$F:$F,'06. BC BH THEO CUSTOMER-USD'!$H36,'01. KE30'!$A:$A,'06. BC BH THEO CUSTOMER-USD'!EE$4),"-")</f>
        <v>0</v>
      </c>
      <c r="EF36" s="114">
        <f>IFERROR(SUMIFS('01. KE30'!$X:$X,'01. KE30'!$C:$C,'06. BC BH THEO CUSTOMER-USD'!$D36,'01. KE30'!$F:$F,'06. BC BH THEO CUSTOMER-USD'!$H36,'01. KE30'!$A:$A,'06. BC BH THEO CUSTOMER-USD'!EF$4)-SUMIFS('01. KE30'!$AA:$AA,'01. KE30'!$C:$C,'06. BC BH THEO CUSTOMER-USD'!$D36,'01. KE30'!$F:$F,'06. BC BH THEO CUSTOMER-USD'!$H36,'01. KE30'!$A:$A,'06. BC BH THEO CUSTOMER-USD'!EF$4),"-")</f>
        <v>0</v>
      </c>
      <c r="EH36" s="571" t="str">
        <f t="shared" si="29"/>
        <v>-</v>
      </c>
      <c r="EI36" s="572" t="str">
        <f t="shared" si="30"/>
        <v>-</v>
      </c>
      <c r="EJ36" s="572" t="str">
        <f t="shared" si="31"/>
        <v>-</v>
      </c>
      <c r="EK36" s="572" t="str">
        <f t="shared" si="32"/>
        <v>-</v>
      </c>
      <c r="EL36" s="572" t="str">
        <f t="shared" si="33"/>
        <v>-</v>
      </c>
      <c r="EM36" s="572" t="str">
        <f t="shared" si="34"/>
        <v>-</v>
      </c>
      <c r="EN36" s="572" t="str">
        <f t="shared" si="35"/>
        <v>-</v>
      </c>
      <c r="EO36" s="572" t="str">
        <f t="shared" si="36"/>
        <v>-</v>
      </c>
      <c r="EP36" s="572" t="str">
        <f t="shared" si="37"/>
        <v>-</v>
      </c>
      <c r="EQ36" s="572" t="str">
        <f t="shared" si="38"/>
        <v>-</v>
      </c>
      <c r="ER36" s="572" t="str">
        <f t="shared" si="39"/>
        <v>-</v>
      </c>
      <c r="ES36" s="572" t="str">
        <f t="shared" si="40"/>
        <v>-</v>
      </c>
      <c r="ET36" s="572" t="str">
        <f t="shared" si="41"/>
        <v>-</v>
      </c>
    </row>
    <row r="37" spans="1:150" ht="15.5" hidden="1" outlineLevel="1" x14ac:dyDescent="0.35">
      <c r="A37" s="27">
        <f t="shared" si="63"/>
        <v>29</v>
      </c>
      <c r="B37" s="27" t="s">
        <v>283</v>
      </c>
      <c r="C37" s="442" t="s">
        <v>502</v>
      </c>
      <c r="D37" s="9" t="s">
        <v>131</v>
      </c>
      <c r="E37" s="31" t="s">
        <v>130</v>
      </c>
      <c r="F37" s="12" t="s">
        <v>245</v>
      </c>
      <c r="G37" s="12" t="str">
        <f>_xlfn.XLOOKUP(F37,'Quy đổi'!$G$5:$G$32,'Quy đổi'!$H$5:$H$32,0)</f>
        <v>Nội địa</v>
      </c>
      <c r="H37" s="1215" t="s">
        <v>110</v>
      </c>
      <c r="I37" s="1216" t="s">
        <v>109</v>
      </c>
      <c r="J37" s="13" t="s">
        <v>22</v>
      </c>
      <c r="K37" s="11"/>
      <c r="L37" s="92">
        <f t="shared" si="42"/>
        <v>1262.9220813495324</v>
      </c>
      <c r="M37" s="106">
        <f>IFERROR(SUMIFS('01. KE30'!$K:$K,'01. KE30'!$C:$C,'06. BC BH THEO CUSTOMER-USD'!$D37,'01. KE30'!$F:$F,'06. BC BH THEO CUSTOMER-USD'!$H37,'01. KE30'!$A:$A,'06. BC BH THEO CUSTOMER-USD'!M$4)/'06. BC BH THEO CUSTOMER-USD'!CS37/'02. Tỷ giá'!B$5,"-")</f>
        <v>1274.5885186672019</v>
      </c>
      <c r="N37" s="106">
        <f>IFERROR(SUMIFS('01. KE30'!$K:$K,'01. KE30'!$C:$C,'06. BC BH THEO CUSTOMER-USD'!$D37,'01. KE30'!$F:$F,'06. BC BH THEO CUSTOMER-USD'!$H37,'01. KE30'!$A:$A,'06. BC BH THEO CUSTOMER-USD'!N$4)/'06. BC BH THEO CUSTOMER-USD'!CT37/'02. Tỷ giá'!C$5,"-")</f>
        <v>1225.6400157542339</v>
      </c>
      <c r="O37" s="106">
        <f>IFERROR(SUMIFS('01. KE30'!$K:$K,'01. KE30'!$C:$C,'06. BC BH THEO CUSTOMER-USD'!$D37,'01. KE30'!$F:$F,'06. BC BH THEO CUSTOMER-USD'!$H37,'01. KE30'!$A:$A,'06. BC BH THEO CUSTOMER-USD'!O$4)/'06. BC BH THEO CUSTOMER-USD'!CU37/'02. Tỷ giá'!D$5,"-")</f>
        <v>1292.0866141732283</v>
      </c>
      <c r="P37" s="106">
        <f>IFERROR(SUMIFS('01. KE30'!$K:$K,'01. KE30'!$C:$C,'06. BC BH THEO CUSTOMER-USD'!$D37,'01. KE30'!$F:$F,'06. BC BH THEO CUSTOMER-USD'!$H37,'01. KE30'!$A:$A,'06. BC BH THEO CUSTOMER-USD'!P$4)/'06. BC BH THEO CUSTOMER-USD'!CV37/'02. Tỷ giá'!E$5,"-")</f>
        <v>1241.3085559427022</v>
      </c>
      <c r="Q37" s="106">
        <f>IFERROR(SUMIFS('01. KE30'!$K:$K,'01. KE30'!$C:$C,'06. BC BH THEO CUSTOMER-USD'!$D37,'01. KE30'!$F:$F,'06. BC BH THEO CUSTOMER-USD'!$H37,'01. KE30'!$A:$A,'06. BC BH THEO CUSTOMER-USD'!Q$4)/'06. BC BH THEO CUSTOMER-USD'!CW37/'02. Tỷ giá'!F$5,"-")</f>
        <v>1316.937354988399</v>
      </c>
      <c r="R37" s="106" t="str">
        <f>IFERROR(SUMIFS('01. KE30'!$K:$K,'01. KE30'!$C:$C,'06. BC BH THEO CUSTOMER-USD'!$D37,'01. KE30'!$F:$F,'06. BC BH THEO CUSTOMER-USD'!$H37,'01. KE30'!$A:$A,'06. BC BH THEO CUSTOMER-USD'!R$4)/'06. BC BH THEO CUSTOMER-USD'!CX37/'02. Tỷ giá'!G$5,"-")</f>
        <v>-</v>
      </c>
      <c r="S37" s="106" t="str">
        <f>IFERROR(SUMIFS('01. KE30'!$K:$K,'01. KE30'!$C:$C,'06. BC BH THEO CUSTOMER-USD'!$D37,'01. KE30'!$F:$F,'06. BC BH THEO CUSTOMER-USD'!$H37,'01. KE30'!$A:$A,'06. BC BH THEO CUSTOMER-USD'!S$4)/'06. BC BH THEO CUSTOMER-USD'!CY37/'02. Tỷ giá'!H$5,"-")</f>
        <v>-</v>
      </c>
      <c r="T37" s="106" t="str">
        <f>IFERROR(SUMIFS('01. KE30'!$K:$K,'01. KE30'!$C:$C,'06. BC BH THEO CUSTOMER-USD'!$D37,'01. KE30'!$F:$F,'06. BC BH THEO CUSTOMER-USD'!$H37,'01. KE30'!$A:$A,'06. BC BH THEO CUSTOMER-USD'!T$4)/'06. BC BH THEO CUSTOMER-USD'!CZ37/'02. Tỷ giá'!I$5,"-")</f>
        <v>-</v>
      </c>
      <c r="U37" s="106">
        <f>IFERROR(SUMIFS('01. KE30'!$K:$K,'01. KE30'!$C:$C,'06. BC BH THEO CUSTOMER-USD'!$D37,'01. KE30'!$F:$F,'06. BC BH THEO CUSTOMER-USD'!$H37,'01. KE30'!$A:$A,'06. BC BH THEO CUSTOMER-USD'!U$4)/'06. BC BH THEO CUSTOMER-USD'!DA37/'02. Tỷ giá'!J$5,"-")</f>
        <v>1226.9714285714285</v>
      </c>
      <c r="V37" s="106" t="str">
        <f>IFERROR(SUMIFS('01. KE30'!$K:$K,'01. KE30'!$C:$C,'06. BC BH THEO CUSTOMER-USD'!$D37,'01. KE30'!$F:$F,'06. BC BH THEO CUSTOMER-USD'!$H37,'01. KE30'!$A:$A,'06. BC BH THEO CUSTOMER-USD'!V$4)/'06. BC BH THEO CUSTOMER-USD'!DB37/'02. Tỷ giá'!K$5,"-")</f>
        <v>-</v>
      </c>
      <c r="W37" s="106" t="str">
        <f>IFERROR(SUMIFS('01. KE30'!$K:$K,'01. KE30'!$C:$C,'06. BC BH THEO CUSTOMER-USD'!$D37,'01. KE30'!$F:$F,'06. BC BH THEO CUSTOMER-USD'!$H37,'01. KE30'!$A:$A,'06. BC BH THEO CUSTOMER-USD'!W$4)/'06. BC BH THEO CUSTOMER-USD'!DC37/'02. Tỷ giá'!L$5,"-")</f>
        <v>-</v>
      </c>
      <c r="X37" s="106" t="str">
        <f>IFERROR(SUMIFS('01. KE30'!$K:$K,'01. KE30'!$C:$C,'06. BC BH THEO CUSTOMER-USD'!$D37,'01. KE30'!$F:$F,'06. BC BH THEO CUSTOMER-USD'!$H37,'01. KE30'!$A:$A,'06. BC BH THEO CUSTOMER-USD'!X$4)/'06. BC BH THEO CUSTOMER-USD'!DD37/'02. Tỷ giá'!M$5,"-")</f>
        <v>-</v>
      </c>
      <c r="Z37" s="92">
        <f t="shared" si="43"/>
        <v>1258.7469998396243</v>
      </c>
      <c r="AA37" s="147">
        <f>IFERROR(SUMIFS('01. KE30'!$O:$O,'01. KE30'!$C:$C,'06. BC BH THEO CUSTOMER-USD'!$D37,'01. KE30'!$F:$F,'06. BC BH THEO CUSTOMER-USD'!$H37,'01. KE30'!$A:$A,'06. BC BH THEO CUSTOMER-USD'!M$4)/'06. BC BH THEO CUSTOMER-USD'!CS37/'02. Tỷ giá'!B$5,"-")</f>
        <v>1269.4792160870043</v>
      </c>
      <c r="AB37" s="147">
        <f>IFERROR(SUMIFS('01. KE30'!$O:$O,'01. KE30'!$C:$C,'06. BC BH THEO CUSTOMER-USD'!$D37,'01. KE30'!$F:$F,'06. BC BH THEO CUSTOMER-USD'!$H37,'01. KE30'!$A:$A,'06. BC BH THEO CUSTOMER-USD'!N$4)/'06. BC BH THEO CUSTOMER-USD'!CT37/'02. Tỷ giá'!C$5,"-")</f>
        <v>1221.96402783248</v>
      </c>
      <c r="AC37" s="147">
        <f>IFERROR(SUMIFS('01. KE30'!$O:$O,'01. KE30'!$C:$C,'06. BC BH THEO CUSTOMER-USD'!$D37,'01. KE30'!$F:$F,'06. BC BH THEO CUSTOMER-USD'!$H37,'01. KE30'!$A:$A,'06. BC BH THEO CUSTOMER-USD'!O$4)/'06. BC BH THEO CUSTOMER-USD'!CU37/'02. Tỷ giá'!D$5,"-")</f>
        <v>1286.5748031496064</v>
      </c>
      <c r="AD37" s="147">
        <f>IFERROR(SUMIFS('01. KE30'!$O:$O,'01. KE30'!$C:$C,'06. BC BH THEO CUSTOMER-USD'!$D37,'01. KE30'!$F:$F,'06. BC BH THEO CUSTOMER-USD'!$H37,'01. KE30'!$A:$A,'06. BC BH THEO CUSTOMER-USD'!P$4)/'06. BC BH THEO CUSTOMER-USD'!CV37/'02. Tỷ giá'!E$5,"-")</f>
        <v>1235.8885017421603</v>
      </c>
      <c r="AE37" s="147">
        <f>IFERROR(SUMIFS('01. KE30'!$O:$O,'01. KE30'!$C:$C,'06. BC BH THEO CUSTOMER-USD'!$D37,'01. KE30'!$F:$F,'06. BC BH THEO CUSTOMER-USD'!$H37,'01. KE30'!$A:$A,'06. BC BH THEO CUSTOMER-USD'!Q$4)/'06. BC BH THEO CUSTOMER-USD'!CW37/'02. Tỷ giá'!F$5,"-")</f>
        <v>1316.937354988399</v>
      </c>
      <c r="AF37" s="147" t="str">
        <f>IFERROR(SUMIFS('01. KE30'!$O:$O,'01. KE30'!$C:$C,'06. BC BH THEO CUSTOMER-USD'!$D37,'01. KE30'!$F:$F,'06. BC BH THEO CUSTOMER-USD'!$H37,'01. KE30'!$A:$A,'06. BC BH THEO CUSTOMER-USD'!R$4)/'06. BC BH THEO CUSTOMER-USD'!CX37/'02. Tỷ giá'!G$5,"-")</f>
        <v>-</v>
      </c>
      <c r="AG37" s="147" t="str">
        <f>IFERROR(SUMIFS('01. KE30'!$O:$O,'01. KE30'!$C:$C,'06. BC BH THEO CUSTOMER-USD'!$D37,'01. KE30'!$F:$F,'06. BC BH THEO CUSTOMER-USD'!$H37,'01. KE30'!$A:$A,'06. BC BH THEO CUSTOMER-USD'!S$4)/'06. BC BH THEO CUSTOMER-USD'!CY37/'02. Tỷ giá'!H$5,"-")</f>
        <v>-</v>
      </c>
      <c r="AH37" s="147" t="str">
        <f>IFERROR(SUMIFS('01. KE30'!$O:$O,'01. KE30'!$C:$C,'06. BC BH THEO CUSTOMER-USD'!$D37,'01. KE30'!$F:$F,'06. BC BH THEO CUSTOMER-USD'!$H37,'01. KE30'!$A:$A,'06. BC BH THEO CUSTOMER-USD'!T$4)/'06. BC BH THEO CUSTOMER-USD'!CZ37/'02. Tỷ giá'!I$5,"-")</f>
        <v>-</v>
      </c>
      <c r="AI37" s="147">
        <f>IFERROR(SUMIFS('01. KE30'!$O:$O,'01. KE30'!$C:$C,'06. BC BH THEO CUSTOMER-USD'!$D37,'01. KE30'!$F:$F,'06. BC BH THEO CUSTOMER-USD'!$H37,'01. KE30'!$A:$A,'06. BC BH THEO CUSTOMER-USD'!U$4)/'06. BC BH THEO CUSTOMER-USD'!DA37/'02. Tỷ giá'!J$5,"-")</f>
        <v>1221.6380952380953</v>
      </c>
      <c r="AJ37" s="147" t="str">
        <f>IFERROR(SUMIFS('01. KE30'!$O:$O,'01. KE30'!$C:$C,'06. BC BH THEO CUSTOMER-USD'!$D37,'01. KE30'!$F:$F,'06. BC BH THEO CUSTOMER-USD'!$H37,'01. KE30'!$A:$A,'06. BC BH THEO CUSTOMER-USD'!V$4)/'06. BC BH THEO CUSTOMER-USD'!DB37/'02. Tỷ giá'!K$5,"-")</f>
        <v>-</v>
      </c>
      <c r="AK37" s="147" t="str">
        <f>IFERROR(SUMIFS('01. KE30'!$O:$O,'01. KE30'!$C:$C,'06. BC BH THEO CUSTOMER-USD'!$D37,'01. KE30'!$F:$F,'06. BC BH THEO CUSTOMER-USD'!$H37,'01. KE30'!$A:$A,'06. BC BH THEO CUSTOMER-USD'!W$4)/'06. BC BH THEO CUSTOMER-USD'!DC37/'02. Tỷ giá'!L$5,"-")</f>
        <v>-</v>
      </c>
      <c r="AL37" s="147" t="str">
        <f>IFERROR(SUMIFS('01. KE30'!$O:$O,'01. KE30'!$C:$C,'06. BC BH THEO CUSTOMER-USD'!$D37,'01. KE30'!$F:$F,'06. BC BH THEO CUSTOMER-USD'!$H37,'01. KE30'!$A:$A,'06. BC BH THEO CUSTOMER-USD'!X$4)/'06. BC BH THEO CUSTOMER-USD'!DD37/'02. Tỷ giá'!M$5,"-")</f>
        <v>-</v>
      </c>
      <c r="AN37" s="92">
        <f t="shared" si="44"/>
        <v>1236.6666666666667</v>
      </c>
      <c r="AO37" s="25">
        <v>1230</v>
      </c>
      <c r="AP37" s="25">
        <v>1230</v>
      </c>
      <c r="AQ37" s="25">
        <v>1230</v>
      </c>
      <c r="AR37" s="25">
        <f t="shared" si="135"/>
        <v>1250</v>
      </c>
      <c r="AS37" s="25">
        <v>1250</v>
      </c>
      <c r="AT37" s="25">
        <v>1250</v>
      </c>
      <c r="AU37" s="25">
        <v>1250</v>
      </c>
      <c r="AV37" s="4">
        <f t="shared" si="195"/>
        <v>1220</v>
      </c>
      <c r="AW37" s="25">
        <v>1220</v>
      </c>
      <c r="AX37" s="25"/>
      <c r="AY37" s="4"/>
      <c r="AZ37" s="4"/>
      <c r="BB37" s="95">
        <f t="shared" si="45"/>
        <v>22.08033317295758</v>
      </c>
      <c r="BC37" s="95">
        <f t="shared" si="46"/>
        <v>39.479216087004261</v>
      </c>
      <c r="BD37" s="95">
        <f t="shared" si="74"/>
        <v>-8.035972167519958</v>
      </c>
      <c r="BE37" s="95">
        <f t="shared" si="74"/>
        <v>56.574803149606396</v>
      </c>
      <c r="BF37" s="95">
        <f t="shared" si="74"/>
        <v>-14.111498257839685</v>
      </c>
      <c r="BG37" s="95">
        <f t="shared" si="74"/>
        <v>66.937354988398965</v>
      </c>
      <c r="BH37" s="95" t="str">
        <f t="shared" si="74"/>
        <v>-</v>
      </c>
      <c r="BI37" s="95" t="str">
        <f t="shared" si="74"/>
        <v>-</v>
      </c>
      <c r="BJ37" s="95" t="str">
        <f t="shared" si="74"/>
        <v>-</v>
      </c>
      <c r="BK37" s="95">
        <f t="shared" si="74"/>
        <v>1.6380952380952749</v>
      </c>
      <c r="BL37" s="95" t="str">
        <f t="shared" si="74"/>
        <v>-</v>
      </c>
      <c r="BM37" s="95" t="str">
        <f t="shared" si="74"/>
        <v>-</v>
      </c>
      <c r="BN37" s="95" t="str">
        <f t="shared" si="74"/>
        <v>-</v>
      </c>
      <c r="BP37" s="143">
        <f t="shared" si="47"/>
        <v>1.7854716851448175E-2</v>
      </c>
      <c r="BQ37" s="143">
        <f t="shared" si="8"/>
        <v>3.2096923647970947E-2</v>
      </c>
      <c r="BR37" s="143">
        <f t="shared" si="9"/>
        <v>-6.5333107053007792E-3</v>
      </c>
      <c r="BS37" s="143">
        <f t="shared" si="10"/>
        <v>4.5995774918379181E-2</v>
      </c>
      <c r="BT37" s="143">
        <f t="shared" si="11"/>
        <v>-1.1289198606271748E-2</v>
      </c>
      <c r="BU37" s="143">
        <f t="shared" si="12"/>
        <v>5.3549883990719173E-2</v>
      </c>
      <c r="BV37" s="143" t="str">
        <f t="shared" si="13"/>
        <v>-</v>
      </c>
      <c r="BW37" s="143" t="str">
        <f t="shared" si="14"/>
        <v>-</v>
      </c>
      <c r="BX37" s="143" t="str">
        <f t="shared" si="15"/>
        <v>-</v>
      </c>
      <c r="BY37" s="143">
        <f t="shared" si="16"/>
        <v>1.3427010148321925E-3</v>
      </c>
      <c r="BZ37" s="143" t="str">
        <f t="shared" si="17"/>
        <v>-</v>
      </c>
      <c r="CA37" s="143" t="str">
        <f t="shared" si="18"/>
        <v>-</v>
      </c>
      <c r="CB37" s="143" t="str">
        <f t="shared" si="19"/>
        <v>-</v>
      </c>
      <c r="CD37" s="112">
        <f t="shared" si="25"/>
        <v>1026.3281529885546</v>
      </c>
      <c r="CE37" s="95">
        <f>IFERROR(SUMIFS('01. KE30'!$R:$R,'01. KE30'!$C:$C,'06. BC BH THEO CUSTOMER-USD'!$D37,'01. KE30'!$F:$F,'06. BC BH THEO CUSTOMER-USD'!$H37,'01. KE30'!$A:$A,'06. BC BH THEO CUSTOMER-USD'!CE$4)/CS37/'02. Tỷ giá'!B$5," -")</f>
        <v>1026.9498243262522</v>
      </c>
      <c r="CF37" s="95">
        <f>IFERROR(SUMIFS('01. KE30'!$R:$R,'01. KE30'!$C:$C,'06. BC BH THEO CUSTOMER-USD'!$D37,'01. KE30'!$F:$F,'06. BC BH THEO CUSTOMER-USD'!$H37,'01. KE30'!$A:$A,'06. BC BH THEO CUSTOMER-USD'!CF$4)/CT37/'02. Tỷ giá'!C$5," -")</f>
        <v>987.02003652117867</v>
      </c>
      <c r="CG37" s="95">
        <f>IFERROR(SUMIFS('01. KE30'!$R:$R,'01. KE30'!$C:$C,'06. BC BH THEO CUSTOMER-USD'!$D37,'01. KE30'!$F:$F,'06. BC BH THEO CUSTOMER-USD'!$H37,'01. KE30'!$A:$A,'06. BC BH THEO CUSTOMER-USD'!CG$4)/CU37/'02. Tỷ giá'!D$5," -")</f>
        <v>1032.9728993875765</v>
      </c>
      <c r="CH37" s="95">
        <f>IFERROR(SUMIFS('01. KE30'!$R:$R,'01. KE30'!$C:$C,'06. BC BH THEO CUSTOMER-USD'!$D37,'01. KE30'!$F:$F,'06. BC BH THEO CUSTOMER-USD'!$H37,'01. KE30'!$A:$A,'06. BC BH THEO CUSTOMER-USD'!CH$4)/CV37/'02. Tỷ giá'!E$5," -")</f>
        <v>1040.2917045014606</v>
      </c>
      <c r="CI37" s="95">
        <f>IFERROR(SUMIFS('01. KE30'!$R:$R,'01. KE30'!$C:$C,'06. BC BH THEO CUSTOMER-USD'!$D37,'01. KE30'!$F:$F,'06. BC BH THEO CUSTOMER-USD'!$H37,'01. KE30'!$A:$A,'06. BC BH THEO CUSTOMER-USD'!CI$4)/CW37/'02. Tỷ giá'!F$5," -")</f>
        <v>1049.5963931659987</v>
      </c>
      <c r="CJ37" s="95" t="str">
        <f>IFERROR(SUMIFS('01. KE30'!$R:$R,'01. KE30'!$C:$C,'06. BC BH THEO CUSTOMER-USD'!$D37,'01. KE30'!$F:$F,'06. BC BH THEO CUSTOMER-USD'!$H37,'01. KE30'!$A:$A,'06. BC BH THEO CUSTOMER-USD'!CJ$4)/CX37/'02. Tỷ giá'!G$5," -")</f>
        <v xml:space="preserve"> -</v>
      </c>
      <c r="CK37" s="95" t="str">
        <f>IFERROR(SUMIFS('01. KE30'!$R:$R,'01. KE30'!$C:$C,'06. BC BH THEO CUSTOMER-USD'!$D37,'01. KE30'!$F:$F,'06. BC BH THEO CUSTOMER-USD'!$H37,'01. KE30'!$A:$A,'06. BC BH THEO CUSTOMER-USD'!CK$4)/CY37/'02. Tỷ giá'!H$5," -")</f>
        <v xml:space="preserve"> -</v>
      </c>
      <c r="CL37" s="95" t="str">
        <f>IFERROR(SUMIFS('01. KE30'!$R:$R,'01. KE30'!$C:$C,'06. BC BH THEO CUSTOMER-USD'!$D37,'01. KE30'!$F:$F,'06. BC BH THEO CUSTOMER-USD'!$H37,'01. KE30'!$A:$A,'06. BC BH THEO CUSTOMER-USD'!CL$4)/CZ37/'02. Tỷ giá'!I$5," -")</f>
        <v xml:space="preserve"> -</v>
      </c>
      <c r="CM37" s="95">
        <f>IFERROR(SUMIFS('01. KE30'!$R:$R,'01. KE30'!$C:$C,'06. BC BH THEO CUSTOMER-USD'!$D37,'01. KE30'!$F:$F,'06. BC BH THEO CUSTOMER-USD'!$H37,'01. KE30'!$A:$A,'06. BC BH THEO CUSTOMER-USD'!CM$4)/DA37/'02. Tỷ giá'!J$5," -")</f>
        <v>1021.13806002886</v>
      </c>
      <c r="CN37" s="95" t="str">
        <f>IFERROR(SUMIFS('01. KE30'!$R:$R,'01. KE30'!$C:$C,'06. BC BH THEO CUSTOMER-USD'!$D37,'01. KE30'!$F:$F,'06. BC BH THEO CUSTOMER-USD'!$H37,'01. KE30'!$A:$A,'06. BC BH THEO CUSTOMER-USD'!CN$4)/DB37/'02. Tỷ giá'!K$5," -")</f>
        <v xml:space="preserve"> -</v>
      </c>
      <c r="CO37" s="95" t="str">
        <f>IFERROR(SUMIFS('01. KE30'!$R:$R,'01. KE30'!$C:$C,'06. BC BH THEO CUSTOMER-USD'!$D37,'01. KE30'!$F:$F,'06. BC BH THEO CUSTOMER-USD'!$H37,'01. KE30'!$A:$A,'06. BC BH THEO CUSTOMER-USD'!CO$4)/DC37/'02. Tỷ giá'!L$5," -")</f>
        <v xml:space="preserve"> -</v>
      </c>
      <c r="CP37" s="95" t="str">
        <f>IFERROR(SUMIFS('01. KE30'!$R:$R,'01. KE30'!$C:$C,'06. BC BH THEO CUSTOMER-USD'!$D37,'01. KE30'!$F:$F,'06. BC BH THEO CUSTOMER-USD'!$H37,'01. KE30'!$A:$A,'06. BC BH THEO CUSTOMER-USD'!CP$4)/DD37/'02. Tỷ giá'!M$5," -")</f>
        <v xml:space="preserve"> -</v>
      </c>
      <c r="CR37" s="112">
        <f t="shared" ref="CR37" si="196">SUM(CS37:DD37)</f>
        <v>207.8</v>
      </c>
      <c r="CS37" s="114">
        <f>SUMIFS('01. KE30'!$I:$I,'01. KE30'!$C:$C,'06. BC BH THEO CUSTOMER-USD'!$D37,'01. KE30'!$F:$F,'06. BC BH THEO CUSTOMER-USD'!$H37,'01. KE30'!$A:$A,'06. BC BH THEO CUSTOMER-USD'!CS$4)/1000</f>
        <v>24.2</v>
      </c>
      <c r="CT37" s="114">
        <f>SUMIFS('01. KE30'!$I:$I,'01. KE30'!$C:$C,'06. BC BH THEO CUSTOMER-USD'!$D37,'01. KE30'!$F:$F,'06. BC BH THEO CUSTOMER-USD'!$H37,'01. KE30'!$A:$A,'06. BC BH THEO CUSTOMER-USD'!CT$4)/1000</f>
        <v>33</v>
      </c>
      <c r="CU37" s="114">
        <f>SUMIFS('01. KE30'!$I:$I,'01. KE30'!$C:$C,'06. BC BH THEO CUSTOMER-USD'!$D37,'01. KE30'!$F:$F,'06. BC BH THEO CUSTOMER-USD'!$H37,'01. KE30'!$A:$A,'06. BC BH THEO CUSTOMER-USD'!CU$4)/1000</f>
        <v>45</v>
      </c>
      <c r="CV37" s="725">
        <f>SUMIFS('01. KE30'!$I:$I,'01. KE30'!$C:$C,'06. BC BH THEO CUSTOMER-USD'!$D37,'01. KE30'!$F:$F,'06. BC BH THEO CUSTOMER-USD'!$H37,'01. KE30'!$A:$A,'06. BC BH THEO CUSTOMER-USD'!CV$4)/1000</f>
        <v>11</v>
      </c>
      <c r="CW37" s="114">
        <f>SUMIFS('01. KE30'!$I:$I,'01. KE30'!$C:$C,'06. BC BH THEO CUSTOMER-USD'!$D37,'01. KE30'!$F:$F,'06. BC BH THEO CUSTOMER-USD'!$H37,'01. KE30'!$A:$A,'06. BC BH THEO CUSTOMER-USD'!CW$4)/1000</f>
        <v>28.6</v>
      </c>
      <c r="CX37" s="114">
        <f>SUMIFS('01. KE30'!$I:$I,'01. KE30'!$C:$C,'06. BC BH THEO CUSTOMER-USD'!$D37,'01. KE30'!$F:$F,'06. BC BH THEO CUSTOMER-USD'!$H37,'01. KE30'!$A:$A,'06. BC BH THEO CUSTOMER-USD'!CX$4)/1000</f>
        <v>0</v>
      </c>
      <c r="CY37" s="114">
        <f>SUMIFS('01. KE30'!$I:$I,'01. KE30'!$C:$C,'06. BC BH THEO CUSTOMER-USD'!$D37,'01. KE30'!$F:$F,'06. BC BH THEO CUSTOMER-USD'!$H37,'01. KE30'!$A:$A,'06. BC BH THEO CUSTOMER-USD'!CY$4)/1000</f>
        <v>0</v>
      </c>
      <c r="CZ37" s="114">
        <f>SUMIFS('01. KE30'!$I:$I,'01. KE30'!$C:$C,'06. BC BH THEO CUSTOMER-USD'!$D37,'01. KE30'!$F:$F,'06. BC BH THEO CUSTOMER-USD'!$H37,'01. KE30'!$A:$A,'06. BC BH THEO CUSTOMER-USD'!CZ$4)/1000</f>
        <v>0</v>
      </c>
      <c r="DA37" s="114">
        <f>SUMIFS('01. KE30'!$I:$I,'01. KE30'!$C:$C,'06. BC BH THEO CUSTOMER-USD'!$D37,'01. KE30'!$F:$F,'06. BC BH THEO CUSTOMER-USD'!$H37,'01. KE30'!$A:$A,'06. BC BH THEO CUSTOMER-USD'!DA$4)/1000</f>
        <v>66</v>
      </c>
      <c r="DB37" s="114">
        <f>SUMIFS('01. KE30'!$I:$I,'01. KE30'!$C:$C,'06. BC BH THEO CUSTOMER-USD'!$D37,'01. KE30'!$F:$F,'06. BC BH THEO CUSTOMER-USD'!$H37,'01. KE30'!$A:$A,'06. BC BH THEO CUSTOMER-USD'!DB$4)/1000</f>
        <v>0</v>
      </c>
      <c r="DC37" s="114">
        <f>SUMIFS('01. KE30'!$I:$I,'01. KE30'!$C:$C,'06. BC BH THEO CUSTOMER-USD'!$D37,'01. KE30'!$F:$F,'06. BC BH THEO CUSTOMER-USD'!$H37,'01. KE30'!$A:$A,'06. BC BH THEO CUSTOMER-USD'!DC$4)/1000</f>
        <v>0</v>
      </c>
      <c r="DD37" s="114">
        <f>SUMIFS('01. KE30'!$I:$I,'01. KE30'!$C:$C,'06. BC BH THEO CUSTOMER-USD'!$D37,'01. KE30'!$F:$F,'06. BC BH THEO CUSTOMER-USD'!$H37,'01. KE30'!$A:$A,'06. BC BH THEO CUSTOMER-USD'!DD$4)/1000</f>
        <v>0</v>
      </c>
      <c r="DF37" s="112">
        <f t="shared" ref="DF37" si="197">SUM(DG37:DR37)</f>
        <v>261733.97706318353</v>
      </c>
      <c r="DG37" s="54">
        <f t="shared" si="48"/>
        <v>30845.042151746286</v>
      </c>
      <c r="DH37" s="54">
        <f t="shared" si="49"/>
        <v>40446.120519889722</v>
      </c>
      <c r="DI37" s="54">
        <f t="shared" si="50"/>
        <v>58143.897637795271</v>
      </c>
      <c r="DJ37" s="54">
        <f t="shared" si="51"/>
        <v>13654.394115369725</v>
      </c>
      <c r="DK37" s="54">
        <f t="shared" si="52"/>
        <v>37664.408352668215</v>
      </c>
      <c r="DL37" s="54" t="str">
        <f t="shared" si="53"/>
        <v>-</v>
      </c>
      <c r="DM37" s="54" t="str">
        <f t="shared" si="54"/>
        <v>-</v>
      </c>
      <c r="DN37" s="54" t="str">
        <f t="shared" si="55"/>
        <v>-</v>
      </c>
      <c r="DO37" s="54">
        <f t="shared" si="56"/>
        <v>80980.114285714284</v>
      </c>
      <c r="DP37" s="54" t="str">
        <f t="shared" si="57"/>
        <v>-</v>
      </c>
      <c r="DQ37" s="54" t="str">
        <f t="shared" si="58"/>
        <v>-</v>
      </c>
      <c r="DR37" s="54" t="str">
        <f t="shared" si="59"/>
        <v>-</v>
      </c>
      <c r="DT37" s="112">
        <f t="shared" si="60"/>
        <v>48064.96726475234</v>
      </c>
      <c r="DU37" s="114">
        <f>IFERROR(SUMIFS('01. KE30'!$X:$X,'01. KE30'!$C:$C,'06. BC BH THEO CUSTOMER-USD'!$D37,'01. KE30'!$F:$F,'06. BC BH THEO CUSTOMER-USD'!$H37,'01. KE30'!$A:$A,'06. BC BH THEO CUSTOMER-USD'!DU$4)-SUMIFS('01. KE30'!$AA:$AA,'01. KE30'!$C:$C,'06. BC BH THEO CUSTOMER-USD'!$D37,'01. KE30'!$F:$F,'06. BC BH THEO CUSTOMER-USD'!$H37,'01. KE30'!$A:$A,'06. BC BH THEO CUSTOMER-USD'!DU$4),"-")</f>
        <v>5869.2112806101977</v>
      </c>
      <c r="DV37" s="114">
        <f>IFERROR(SUMIFS('01. KE30'!$X:$X,'01. KE30'!$C:$C,'06. BC BH THEO CUSTOMER-USD'!$D37,'01. KE30'!$F:$F,'06. BC BH THEO CUSTOMER-USD'!$H37,'01. KE30'!$A:$A,'06. BC BH THEO CUSTOMER-USD'!DV$4)-SUMIFS('01. KE30'!$AA:$AA,'01. KE30'!$C:$C,'06. BC BH THEO CUSTOMER-USD'!$D37,'01. KE30'!$F:$F,'06. BC BH THEO CUSTOMER-USD'!$H37,'01. KE30'!$A:$A,'06. BC BH THEO CUSTOMER-USD'!DV$4),"-")</f>
        <v>7753.1517132729459</v>
      </c>
      <c r="DW37" s="114">
        <f>IFERROR(SUMIFS('01. KE30'!$X:$X,'01. KE30'!$C:$C,'06. BC BH THEO CUSTOMER-USD'!$D37,'01. KE30'!$F:$F,'06. BC BH THEO CUSTOMER-USD'!$H37,'01. KE30'!$A:$A,'06. BC BH THEO CUSTOMER-USD'!DW$4)-SUMIFS('01. KE30'!$AA:$AA,'01. KE30'!$C:$C,'06. BC BH THEO CUSTOMER-USD'!$D37,'01. KE30'!$F:$F,'06. BC BH THEO CUSTOMER-USD'!$H37,'01. KE30'!$A:$A,'06. BC BH THEO CUSTOMER-USD'!DW$4),"-")</f>
        <v>11412.085669291337</v>
      </c>
      <c r="DX37" s="114">
        <f>IFERROR(SUMIFS('01. KE30'!$X:$X,'01. KE30'!$C:$C,'06. BC BH THEO CUSTOMER-USD'!$D37,'01. KE30'!$F:$F,'06. BC BH THEO CUSTOMER-USD'!$H37,'01. KE30'!$A:$A,'06. BC BH THEO CUSTOMER-USD'!DX$4)-SUMIFS('01. KE30'!$AA:$AA,'01. KE30'!$C:$C,'06. BC BH THEO CUSTOMER-USD'!$D37,'01. KE30'!$F:$F,'06. BC BH THEO CUSTOMER-USD'!$H37,'01. KE30'!$A:$A,'06. BC BH THEO CUSTOMER-USD'!DX$4),"-")</f>
        <v>2151.5647696476972</v>
      </c>
      <c r="DY37" s="114">
        <f>IFERROR(SUMIFS('01. KE30'!$X:$X,'01. KE30'!$C:$C,'06. BC BH THEO CUSTOMER-USD'!$D37,'01. KE30'!$F:$F,'06. BC BH THEO CUSTOMER-USD'!$H37,'01. KE30'!$A:$A,'06. BC BH THEO CUSTOMER-USD'!DY$4)-SUMIFS('01. KE30'!$AA:$AA,'01. KE30'!$C:$C,'06. BC BH THEO CUSTOMER-USD'!$D37,'01. KE30'!$F:$F,'06. BC BH THEO CUSTOMER-USD'!$H37,'01. KE30'!$A:$A,'06. BC BH THEO CUSTOMER-USD'!DY$4),"-")</f>
        <v>7645.9515081206519</v>
      </c>
      <c r="DZ37" s="114">
        <f>IFERROR(SUMIFS('01. KE30'!$X:$X,'01. KE30'!$C:$C,'06. BC BH THEO CUSTOMER-USD'!$D37,'01. KE30'!$F:$F,'06. BC BH THEO CUSTOMER-USD'!$H37,'01. KE30'!$A:$A,'06. BC BH THEO CUSTOMER-USD'!DZ$4)-SUMIFS('01. KE30'!$AA:$AA,'01. KE30'!$C:$C,'06. BC BH THEO CUSTOMER-USD'!$D37,'01. KE30'!$F:$F,'06. BC BH THEO CUSTOMER-USD'!$H37,'01. KE30'!$A:$A,'06. BC BH THEO CUSTOMER-USD'!DZ$4),"-")</f>
        <v>0</v>
      </c>
      <c r="EA37" s="114">
        <f>IFERROR(SUMIFS('01. KE30'!$X:$X,'01. KE30'!$C:$C,'06. BC BH THEO CUSTOMER-USD'!$D37,'01. KE30'!$F:$F,'06. BC BH THEO CUSTOMER-USD'!$H37,'01. KE30'!$A:$A,'06. BC BH THEO CUSTOMER-USD'!EA$4)-SUMIFS('01. KE30'!$AA:$AA,'01. KE30'!$C:$C,'06. BC BH THEO CUSTOMER-USD'!$D37,'01. KE30'!$F:$F,'06. BC BH THEO CUSTOMER-USD'!$H37,'01. KE30'!$A:$A,'06. BC BH THEO CUSTOMER-USD'!EA$4),"-")</f>
        <v>0</v>
      </c>
      <c r="EB37" s="114">
        <f>IFERROR(SUMIFS('01. KE30'!$X:$X,'01. KE30'!$C:$C,'06. BC BH THEO CUSTOMER-USD'!$D37,'01. KE30'!$F:$F,'06. BC BH THEO CUSTOMER-USD'!$H37,'01. KE30'!$A:$A,'06. BC BH THEO CUSTOMER-USD'!EB$4)-SUMIFS('01. KE30'!$AA:$AA,'01. KE30'!$C:$C,'06. BC BH THEO CUSTOMER-USD'!$D37,'01. KE30'!$F:$F,'06. BC BH THEO CUSTOMER-USD'!$H37,'01. KE30'!$A:$A,'06. BC BH THEO CUSTOMER-USD'!EB$4),"-")</f>
        <v>0</v>
      </c>
      <c r="EC37" s="114">
        <f>IFERROR(SUMIFS('01. KE30'!$X:$X,'01. KE30'!$C:$C,'06. BC BH THEO CUSTOMER-USD'!$D37,'01. KE30'!$F:$F,'06. BC BH THEO CUSTOMER-USD'!$H37,'01. KE30'!$A:$A,'06. BC BH THEO CUSTOMER-USD'!EC$4)-SUMIFS('01. KE30'!$AA:$AA,'01. KE30'!$C:$C,'06. BC BH THEO CUSTOMER-USD'!$D37,'01. KE30'!$F:$F,'06. BC BH THEO CUSTOMER-USD'!$H37,'01. KE30'!$A:$A,'06. BC BH THEO CUSTOMER-USD'!EC$4),"-")</f>
        <v>13233.002323809516</v>
      </c>
      <c r="ED37" s="114">
        <f>IFERROR(SUMIFS('01. KE30'!$X:$X,'01. KE30'!$C:$C,'06. BC BH THEO CUSTOMER-USD'!$D37,'01. KE30'!$F:$F,'06. BC BH THEO CUSTOMER-USD'!$H37,'01. KE30'!$A:$A,'06. BC BH THEO CUSTOMER-USD'!ED$4)-SUMIFS('01. KE30'!$AA:$AA,'01. KE30'!$C:$C,'06. BC BH THEO CUSTOMER-USD'!$D37,'01. KE30'!$F:$F,'06. BC BH THEO CUSTOMER-USD'!$H37,'01. KE30'!$A:$A,'06. BC BH THEO CUSTOMER-USD'!ED$4),"-")</f>
        <v>0</v>
      </c>
      <c r="EE37" s="114">
        <f>IFERROR(SUMIFS('01. KE30'!$X:$X,'01. KE30'!$C:$C,'06. BC BH THEO CUSTOMER-USD'!$D37,'01. KE30'!$F:$F,'06. BC BH THEO CUSTOMER-USD'!$H37,'01. KE30'!$A:$A,'06. BC BH THEO CUSTOMER-USD'!EE$4)-SUMIFS('01. KE30'!$AA:$AA,'01. KE30'!$C:$C,'06. BC BH THEO CUSTOMER-USD'!$D37,'01. KE30'!$F:$F,'06. BC BH THEO CUSTOMER-USD'!$H37,'01. KE30'!$A:$A,'06. BC BH THEO CUSTOMER-USD'!EE$4),"-")</f>
        <v>0</v>
      </c>
      <c r="EF37" s="114">
        <f>IFERROR(SUMIFS('01. KE30'!$X:$X,'01. KE30'!$C:$C,'06. BC BH THEO CUSTOMER-USD'!$D37,'01. KE30'!$F:$F,'06. BC BH THEO CUSTOMER-USD'!$H37,'01. KE30'!$A:$A,'06. BC BH THEO CUSTOMER-USD'!EF$4)-SUMIFS('01. KE30'!$AA:$AA,'01. KE30'!$C:$C,'06. BC BH THEO CUSTOMER-USD'!$D37,'01. KE30'!$F:$F,'06. BC BH THEO CUSTOMER-USD'!$H37,'01. KE30'!$A:$A,'06. BC BH THEO CUSTOMER-USD'!EF$4),"-")</f>
        <v>0</v>
      </c>
      <c r="EH37" s="571">
        <f t="shared" si="29"/>
        <v>0.18364053381250262</v>
      </c>
      <c r="EI37" s="572">
        <f t="shared" si="30"/>
        <v>0.19028054011843565</v>
      </c>
      <c r="EJ37" s="572">
        <f t="shared" si="31"/>
        <v>0.19169086215475889</v>
      </c>
      <c r="EK37" s="572">
        <f t="shared" si="32"/>
        <v>0.19627314529862441</v>
      </c>
      <c r="EL37" s="572">
        <f t="shared" si="33"/>
        <v>0.15757306779550492</v>
      </c>
      <c r="EM37" s="572">
        <f t="shared" si="34"/>
        <v>0.20300203408290093</v>
      </c>
      <c r="EN37" s="572" t="str">
        <f t="shared" si="35"/>
        <v>-</v>
      </c>
      <c r="EO37" s="572" t="str">
        <f t="shared" si="36"/>
        <v>-</v>
      </c>
      <c r="EP37" s="572" t="str">
        <f t="shared" si="37"/>
        <v>-</v>
      </c>
      <c r="EQ37" s="572">
        <f t="shared" si="38"/>
        <v>0.16341051677354762</v>
      </c>
      <c r="ER37" s="572" t="str">
        <f t="shared" si="39"/>
        <v>-</v>
      </c>
      <c r="ES37" s="572" t="str">
        <f t="shared" si="40"/>
        <v>-</v>
      </c>
      <c r="ET37" s="572" t="str">
        <f t="shared" si="41"/>
        <v>-</v>
      </c>
    </row>
    <row r="38" spans="1:150" ht="15.5" hidden="1" outlineLevel="1" x14ac:dyDescent="0.35">
      <c r="A38" s="27">
        <f t="shared" si="63"/>
        <v>30</v>
      </c>
      <c r="B38" s="27" t="s">
        <v>283</v>
      </c>
      <c r="C38" s="497" t="s">
        <v>29</v>
      </c>
      <c r="D38" s="9" t="s">
        <v>30</v>
      </c>
      <c r="E38" s="31" t="s">
        <v>29</v>
      </c>
      <c r="F38" s="12" t="s">
        <v>245</v>
      </c>
      <c r="G38" s="12" t="str">
        <f>_xlfn.XLOOKUP(F38,'Quy đổi'!$G$5:$G$32,'Quy đổi'!$H$5:$H$32,0)</f>
        <v>Nội địa</v>
      </c>
      <c r="H38" s="77" t="s">
        <v>122</v>
      </c>
      <c r="I38" s="31" t="s">
        <v>121</v>
      </c>
      <c r="J38" s="13" t="s">
        <v>22</v>
      </c>
      <c r="K38" s="11"/>
      <c r="L38" s="92" t="str">
        <f t="shared" si="42"/>
        <v>-</v>
      </c>
      <c r="M38" s="106" t="str">
        <f>IFERROR(SUMIFS('01. KE30'!$K:$K,'01. KE30'!$C:$C,'06. BC BH THEO CUSTOMER-USD'!$D38,'01. KE30'!$F:$F,'06. BC BH THEO CUSTOMER-USD'!$H38,'01. KE30'!$A:$A,'06. BC BH THEO CUSTOMER-USD'!M$4)/'06. BC BH THEO CUSTOMER-USD'!CS38/'02. Tỷ giá'!B$5,"-")</f>
        <v>-</v>
      </c>
      <c r="N38" s="106" t="str">
        <f>IFERROR(SUMIFS('01. KE30'!$K:$K,'01. KE30'!$C:$C,'06. BC BH THEO CUSTOMER-USD'!$D38,'01. KE30'!$F:$F,'06. BC BH THEO CUSTOMER-USD'!$H38,'01. KE30'!$A:$A,'06. BC BH THEO CUSTOMER-USD'!N$4)/'06. BC BH THEO CUSTOMER-USD'!CT38/'02. Tỷ giá'!C$5,"-")</f>
        <v>-</v>
      </c>
      <c r="O38" s="106" t="str">
        <f>IFERROR(SUMIFS('01. KE30'!$K:$K,'01. KE30'!$C:$C,'06. BC BH THEO CUSTOMER-USD'!$D38,'01. KE30'!$F:$F,'06. BC BH THEO CUSTOMER-USD'!$H38,'01. KE30'!$A:$A,'06. BC BH THEO CUSTOMER-USD'!O$4)/'06. BC BH THEO CUSTOMER-USD'!CU38/'02. Tỷ giá'!D$5,"-")</f>
        <v>-</v>
      </c>
      <c r="P38" s="106" t="str">
        <f>IFERROR(SUMIFS('01. KE30'!$K:$K,'01. KE30'!$C:$C,'06. BC BH THEO CUSTOMER-USD'!$D38,'01. KE30'!$F:$F,'06. BC BH THEO CUSTOMER-USD'!$H38,'01. KE30'!$A:$A,'06. BC BH THEO CUSTOMER-USD'!P$4)/'06. BC BH THEO CUSTOMER-USD'!CV38/'02. Tỷ giá'!E$5,"-")</f>
        <v>-</v>
      </c>
      <c r="Q38" s="106" t="str">
        <f>IFERROR(SUMIFS('01. KE30'!$K:$K,'01. KE30'!$C:$C,'06. BC BH THEO CUSTOMER-USD'!$D38,'01. KE30'!$F:$F,'06. BC BH THEO CUSTOMER-USD'!$H38,'01. KE30'!$A:$A,'06. BC BH THEO CUSTOMER-USD'!Q$4)/'06. BC BH THEO CUSTOMER-USD'!CW38/'02. Tỷ giá'!F$5,"-")</f>
        <v>-</v>
      </c>
      <c r="R38" s="106" t="str">
        <f>IFERROR(SUMIFS('01. KE30'!$K:$K,'01. KE30'!$C:$C,'06. BC BH THEO CUSTOMER-USD'!$D38,'01. KE30'!$F:$F,'06. BC BH THEO CUSTOMER-USD'!$H38,'01. KE30'!$A:$A,'06. BC BH THEO CUSTOMER-USD'!R$4)/'06. BC BH THEO CUSTOMER-USD'!CX38/'02. Tỷ giá'!G$5,"-")</f>
        <v>-</v>
      </c>
      <c r="S38" s="106" t="str">
        <f>IFERROR(SUMIFS('01. KE30'!$K:$K,'01. KE30'!$C:$C,'06. BC BH THEO CUSTOMER-USD'!$D38,'01. KE30'!$F:$F,'06. BC BH THEO CUSTOMER-USD'!$H38,'01. KE30'!$A:$A,'06. BC BH THEO CUSTOMER-USD'!S$4)/'06. BC BH THEO CUSTOMER-USD'!CY38/'02. Tỷ giá'!H$5,"-")</f>
        <v>-</v>
      </c>
      <c r="T38" s="106" t="str">
        <f>IFERROR(SUMIFS('01. KE30'!$K:$K,'01. KE30'!$C:$C,'06. BC BH THEO CUSTOMER-USD'!$D38,'01. KE30'!$F:$F,'06. BC BH THEO CUSTOMER-USD'!$H38,'01. KE30'!$A:$A,'06. BC BH THEO CUSTOMER-USD'!T$4)/'06. BC BH THEO CUSTOMER-USD'!CZ38/'02. Tỷ giá'!I$5,"-")</f>
        <v>-</v>
      </c>
      <c r="U38" s="106" t="str">
        <f>IFERROR(SUMIFS('01. KE30'!$K:$K,'01. KE30'!$C:$C,'06. BC BH THEO CUSTOMER-USD'!$D38,'01. KE30'!$F:$F,'06. BC BH THEO CUSTOMER-USD'!$H38,'01. KE30'!$A:$A,'06. BC BH THEO CUSTOMER-USD'!U$4)/'06. BC BH THEO CUSTOMER-USD'!DA38/'02. Tỷ giá'!J$5,"-")</f>
        <v>-</v>
      </c>
      <c r="V38" s="106" t="str">
        <f>IFERROR(SUMIFS('01. KE30'!$K:$K,'01. KE30'!$C:$C,'06. BC BH THEO CUSTOMER-USD'!$D38,'01. KE30'!$F:$F,'06. BC BH THEO CUSTOMER-USD'!$H38,'01. KE30'!$A:$A,'06. BC BH THEO CUSTOMER-USD'!V$4)/'06. BC BH THEO CUSTOMER-USD'!DB38/'02. Tỷ giá'!K$5,"-")</f>
        <v>-</v>
      </c>
      <c r="W38" s="106" t="str">
        <f>IFERROR(SUMIFS('01. KE30'!$K:$K,'01. KE30'!$C:$C,'06. BC BH THEO CUSTOMER-USD'!$D38,'01. KE30'!$F:$F,'06. BC BH THEO CUSTOMER-USD'!$H38,'01. KE30'!$A:$A,'06. BC BH THEO CUSTOMER-USD'!W$4)/'06. BC BH THEO CUSTOMER-USD'!DC38/'02. Tỷ giá'!L$5,"-")</f>
        <v>-</v>
      </c>
      <c r="X38" s="106" t="str">
        <f>IFERROR(SUMIFS('01. KE30'!$K:$K,'01. KE30'!$C:$C,'06. BC BH THEO CUSTOMER-USD'!$D38,'01. KE30'!$F:$F,'06. BC BH THEO CUSTOMER-USD'!$H38,'01. KE30'!$A:$A,'06. BC BH THEO CUSTOMER-USD'!X$4)/'06. BC BH THEO CUSTOMER-USD'!DD38/'02. Tỷ giá'!M$5,"-")</f>
        <v>-</v>
      </c>
      <c r="Z38" s="92" t="str">
        <f t="shared" si="43"/>
        <v>-</v>
      </c>
      <c r="AA38" s="147" t="str">
        <f>IFERROR(SUMIFS('01. KE30'!$O:$O,'01. KE30'!$C:$C,'06. BC BH THEO CUSTOMER-USD'!$D38,'01. KE30'!$F:$F,'06. BC BH THEO CUSTOMER-USD'!$H38,'01. KE30'!$A:$A,'06. BC BH THEO CUSTOMER-USD'!M$4)/'06. BC BH THEO CUSTOMER-USD'!CS38/'02. Tỷ giá'!B$5,"-")</f>
        <v>-</v>
      </c>
      <c r="AB38" s="147" t="str">
        <f>IFERROR(SUMIFS('01. KE30'!$O:$O,'01. KE30'!$C:$C,'06. BC BH THEO CUSTOMER-USD'!$D38,'01. KE30'!$F:$F,'06. BC BH THEO CUSTOMER-USD'!$H38,'01. KE30'!$A:$A,'06. BC BH THEO CUSTOMER-USD'!N$4)/'06. BC BH THEO CUSTOMER-USD'!CT38/'02. Tỷ giá'!C$5,"-")</f>
        <v>-</v>
      </c>
      <c r="AC38" s="147" t="str">
        <f>IFERROR(SUMIFS('01. KE30'!$O:$O,'01. KE30'!$C:$C,'06. BC BH THEO CUSTOMER-USD'!$D38,'01. KE30'!$F:$F,'06. BC BH THEO CUSTOMER-USD'!$H38,'01. KE30'!$A:$A,'06. BC BH THEO CUSTOMER-USD'!O$4)/'06. BC BH THEO CUSTOMER-USD'!CU38/'02. Tỷ giá'!D$5,"-")</f>
        <v>-</v>
      </c>
      <c r="AD38" s="147" t="str">
        <f>IFERROR(SUMIFS('01. KE30'!$O:$O,'01. KE30'!$C:$C,'06. BC BH THEO CUSTOMER-USD'!$D38,'01. KE30'!$F:$F,'06. BC BH THEO CUSTOMER-USD'!$H38,'01. KE30'!$A:$A,'06. BC BH THEO CUSTOMER-USD'!P$4)/'06. BC BH THEO CUSTOMER-USD'!CV38/'02. Tỷ giá'!E$5,"-")</f>
        <v>-</v>
      </c>
      <c r="AE38" s="147" t="str">
        <f>IFERROR(SUMIFS('01. KE30'!$O:$O,'01. KE30'!$C:$C,'06. BC BH THEO CUSTOMER-USD'!$D38,'01. KE30'!$F:$F,'06. BC BH THEO CUSTOMER-USD'!$H38,'01. KE30'!$A:$A,'06. BC BH THEO CUSTOMER-USD'!Q$4)/'06. BC BH THEO CUSTOMER-USD'!CW38/'02. Tỷ giá'!F$5,"-")</f>
        <v>-</v>
      </c>
      <c r="AF38" s="147" t="str">
        <f>IFERROR(SUMIFS('01. KE30'!$O:$O,'01. KE30'!$C:$C,'06. BC BH THEO CUSTOMER-USD'!$D38,'01. KE30'!$F:$F,'06. BC BH THEO CUSTOMER-USD'!$H38,'01. KE30'!$A:$A,'06. BC BH THEO CUSTOMER-USD'!R$4)/'06. BC BH THEO CUSTOMER-USD'!CX38/'02. Tỷ giá'!G$5,"-")</f>
        <v>-</v>
      </c>
      <c r="AG38" s="147" t="str">
        <f>IFERROR(SUMIFS('01. KE30'!$O:$O,'01. KE30'!$C:$C,'06. BC BH THEO CUSTOMER-USD'!$D38,'01. KE30'!$F:$F,'06. BC BH THEO CUSTOMER-USD'!$H38,'01. KE30'!$A:$A,'06. BC BH THEO CUSTOMER-USD'!S$4)/'06. BC BH THEO CUSTOMER-USD'!CY38/'02. Tỷ giá'!H$5,"-")</f>
        <v>-</v>
      </c>
      <c r="AH38" s="147" t="str">
        <f>IFERROR(SUMIFS('01. KE30'!$O:$O,'01. KE30'!$C:$C,'06. BC BH THEO CUSTOMER-USD'!$D38,'01. KE30'!$F:$F,'06. BC BH THEO CUSTOMER-USD'!$H38,'01. KE30'!$A:$A,'06. BC BH THEO CUSTOMER-USD'!T$4)/'06. BC BH THEO CUSTOMER-USD'!CZ38/'02. Tỷ giá'!I$5,"-")</f>
        <v>-</v>
      </c>
      <c r="AI38" s="147" t="str">
        <f>IFERROR(SUMIFS('01. KE30'!$O:$O,'01. KE30'!$C:$C,'06. BC BH THEO CUSTOMER-USD'!$D38,'01. KE30'!$F:$F,'06. BC BH THEO CUSTOMER-USD'!$H38,'01. KE30'!$A:$A,'06. BC BH THEO CUSTOMER-USD'!U$4)/'06. BC BH THEO CUSTOMER-USD'!DA38/'02. Tỷ giá'!J$5,"-")</f>
        <v>-</v>
      </c>
      <c r="AJ38" s="147" t="str">
        <f>IFERROR(SUMIFS('01. KE30'!$O:$O,'01. KE30'!$C:$C,'06. BC BH THEO CUSTOMER-USD'!$D38,'01. KE30'!$F:$F,'06. BC BH THEO CUSTOMER-USD'!$H38,'01. KE30'!$A:$A,'06. BC BH THEO CUSTOMER-USD'!V$4)/'06. BC BH THEO CUSTOMER-USD'!DB38/'02. Tỷ giá'!K$5,"-")</f>
        <v>-</v>
      </c>
      <c r="AK38" s="147" t="str">
        <f>IFERROR(SUMIFS('01. KE30'!$O:$O,'01. KE30'!$C:$C,'06. BC BH THEO CUSTOMER-USD'!$D38,'01. KE30'!$F:$F,'06. BC BH THEO CUSTOMER-USD'!$H38,'01. KE30'!$A:$A,'06. BC BH THEO CUSTOMER-USD'!W$4)/'06. BC BH THEO CUSTOMER-USD'!DC38/'02. Tỷ giá'!L$5,"-")</f>
        <v>-</v>
      </c>
      <c r="AL38" s="147" t="str">
        <f>IFERROR(SUMIFS('01. KE30'!$O:$O,'01. KE30'!$C:$C,'06. BC BH THEO CUSTOMER-USD'!$D38,'01. KE30'!$F:$F,'06. BC BH THEO CUSTOMER-USD'!$H38,'01. KE30'!$A:$A,'06. BC BH THEO CUSTOMER-USD'!X$4)/'06. BC BH THEO CUSTOMER-USD'!DD38/'02. Tỷ giá'!M$5,"-")</f>
        <v>-</v>
      </c>
      <c r="AN38" s="92">
        <f t="shared" si="44"/>
        <v>1236.6666666666667</v>
      </c>
      <c r="AO38" s="25">
        <v>1230</v>
      </c>
      <c r="AP38" s="25">
        <v>1230</v>
      </c>
      <c r="AQ38" s="25">
        <v>1230</v>
      </c>
      <c r="AR38" s="25">
        <f t="shared" si="135"/>
        <v>1250</v>
      </c>
      <c r="AS38" s="25">
        <v>1250</v>
      </c>
      <c r="AT38" s="25">
        <v>1250</v>
      </c>
      <c r="AU38" s="25">
        <v>1250</v>
      </c>
      <c r="AV38" s="4">
        <f t="shared" ref="AV38:AV40" si="198">AU38-30</f>
        <v>1220</v>
      </c>
      <c r="AW38" s="25">
        <v>1220</v>
      </c>
      <c r="AX38" s="25"/>
      <c r="AY38" s="4"/>
      <c r="AZ38" s="4"/>
      <c r="BB38" s="95" t="str">
        <f t="shared" si="45"/>
        <v>-</v>
      </c>
      <c r="BC38" s="95" t="str">
        <f t="shared" si="46"/>
        <v>-</v>
      </c>
      <c r="BD38" s="95" t="str">
        <f t="shared" si="74"/>
        <v>-</v>
      </c>
      <c r="BE38" s="95" t="str">
        <f t="shared" si="74"/>
        <v>-</v>
      </c>
      <c r="BF38" s="95" t="str">
        <f t="shared" si="74"/>
        <v>-</v>
      </c>
      <c r="BG38" s="95" t="str">
        <f t="shared" si="74"/>
        <v>-</v>
      </c>
      <c r="BH38" s="95" t="str">
        <f t="shared" si="74"/>
        <v>-</v>
      </c>
      <c r="BI38" s="95" t="str">
        <f t="shared" si="74"/>
        <v>-</v>
      </c>
      <c r="BJ38" s="95" t="str">
        <f t="shared" si="74"/>
        <v>-</v>
      </c>
      <c r="BK38" s="95" t="str">
        <f t="shared" si="74"/>
        <v>-</v>
      </c>
      <c r="BL38" s="95" t="str">
        <f t="shared" si="74"/>
        <v>-</v>
      </c>
      <c r="BM38" s="95" t="str">
        <f t="shared" si="74"/>
        <v>-</v>
      </c>
      <c r="BN38" s="95" t="str">
        <f t="shared" si="74"/>
        <v>-</v>
      </c>
      <c r="BP38" s="143" t="str">
        <f t="shared" si="47"/>
        <v>-</v>
      </c>
      <c r="BQ38" s="143" t="str">
        <f t="shared" si="8"/>
        <v>-</v>
      </c>
      <c r="BR38" s="143" t="str">
        <f t="shared" si="9"/>
        <v>-</v>
      </c>
      <c r="BS38" s="143" t="str">
        <f t="shared" si="10"/>
        <v>-</v>
      </c>
      <c r="BT38" s="143" t="str">
        <f t="shared" si="11"/>
        <v>-</v>
      </c>
      <c r="BU38" s="143" t="str">
        <f t="shared" si="12"/>
        <v>-</v>
      </c>
      <c r="BV38" s="143" t="str">
        <f t="shared" si="13"/>
        <v>-</v>
      </c>
      <c r="BW38" s="143" t="str">
        <f t="shared" si="14"/>
        <v>-</v>
      </c>
      <c r="BX38" s="143" t="str">
        <f t="shared" si="15"/>
        <v>-</v>
      </c>
      <c r="BY38" s="143" t="str">
        <f t="shared" si="16"/>
        <v>-</v>
      </c>
      <c r="BZ38" s="143" t="str">
        <f t="shared" si="17"/>
        <v>-</v>
      </c>
      <c r="CA38" s="143" t="str">
        <f t="shared" si="18"/>
        <v>-</v>
      </c>
      <c r="CB38" s="143" t="str">
        <f t="shared" si="19"/>
        <v>-</v>
      </c>
      <c r="CD38" s="112" t="str">
        <f t="shared" si="25"/>
        <v>-</v>
      </c>
      <c r="CE38" s="95" t="str">
        <f>IFERROR(SUMIFS('01. KE30'!$R:$R,'01. KE30'!$C:$C,'06. BC BH THEO CUSTOMER-USD'!$D38,'01. KE30'!$F:$F,'06. BC BH THEO CUSTOMER-USD'!$H38,'01. KE30'!$A:$A,'06. BC BH THEO CUSTOMER-USD'!CE$4)/CS38/'02. Tỷ giá'!B$5," -")</f>
        <v xml:space="preserve"> -</v>
      </c>
      <c r="CF38" s="95" t="str">
        <f>IFERROR(SUMIFS('01. KE30'!$R:$R,'01. KE30'!$C:$C,'06. BC BH THEO CUSTOMER-USD'!$D38,'01. KE30'!$F:$F,'06. BC BH THEO CUSTOMER-USD'!$H38,'01. KE30'!$A:$A,'06. BC BH THEO CUSTOMER-USD'!CF$4)/CT38/'02. Tỷ giá'!C$5," -")</f>
        <v xml:space="preserve"> -</v>
      </c>
      <c r="CG38" s="95" t="str">
        <f>IFERROR(SUMIFS('01. KE30'!$R:$R,'01. KE30'!$C:$C,'06. BC BH THEO CUSTOMER-USD'!$D38,'01. KE30'!$F:$F,'06. BC BH THEO CUSTOMER-USD'!$H38,'01. KE30'!$A:$A,'06. BC BH THEO CUSTOMER-USD'!CG$4)/CU38/'02. Tỷ giá'!D$5," -")</f>
        <v xml:space="preserve"> -</v>
      </c>
      <c r="CH38" s="95" t="str">
        <f>IFERROR(SUMIFS('01. KE30'!$R:$R,'01. KE30'!$C:$C,'06. BC BH THEO CUSTOMER-USD'!$D38,'01. KE30'!$F:$F,'06. BC BH THEO CUSTOMER-USD'!$H38,'01. KE30'!$A:$A,'06. BC BH THEO CUSTOMER-USD'!CH$4)/CV38/'02. Tỷ giá'!E$5," -")</f>
        <v xml:space="preserve"> -</v>
      </c>
      <c r="CI38" s="95" t="str">
        <f>IFERROR(SUMIFS('01. KE30'!$R:$R,'01. KE30'!$C:$C,'06. BC BH THEO CUSTOMER-USD'!$D38,'01. KE30'!$F:$F,'06. BC BH THEO CUSTOMER-USD'!$H38,'01. KE30'!$A:$A,'06. BC BH THEO CUSTOMER-USD'!CI$4)/CW38/'02. Tỷ giá'!F$5," -")</f>
        <v xml:space="preserve"> -</v>
      </c>
      <c r="CJ38" s="95" t="str">
        <f>IFERROR(SUMIFS('01. KE30'!$R:$R,'01. KE30'!$C:$C,'06. BC BH THEO CUSTOMER-USD'!$D38,'01. KE30'!$F:$F,'06. BC BH THEO CUSTOMER-USD'!$H38,'01. KE30'!$A:$A,'06. BC BH THEO CUSTOMER-USD'!CJ$4)/CX38/'02. Tỷ giá'!G$5," -")</f>
        <v xml:space="preserve"> -</v>
      </c>
      <c r="CK38" s="95" t="str">
        <f>IFERROR(SUMIFS('01. KE30'!$R:$R,'01. KE30'!$C:$C,'06. BC BH THEO CUSTOMER-USD'!$D38,'01. KE30'!$F:$F,'06. BC BH THEO CUSTOMER-USD'!$H38,'01. KE30'!$A:$A,'06. BC BH THEO CUSTOMER-USD'!CK$4)/CY38/'02. Tỷ giá'!H$5," -")</f>
        <v xml:space="preserve"> -</v>
      </c>
      <c r="CL38" s="95" t="str">
        <f>IFERROR(SUMIFS('01. KE30'!$R:$R,'01. KE30'!$C:$C,'06. BC BH THEO CUSTOMER-USD'!$D38,'01. KE30'!$F:$F,'06. BC BH THEO CUSTOMER-USD'!$H38,'01. KE30'!$A:$A,'06. BC BH THEO CUSTOMER-USD'!CL$4)/CZ38/'02. Tỷ giá'!I$5," -")</f>
        <v xml:space="preserve"> -</v>
      </c>
      <c r="CM38" s="95" t="str">
        <f>IFERROR(SUMIFS('01. KE30'!$R:$R,'01. KE30'!$C:$C,'06. BC BH THEO CUSTOMER-USD'!$D38,'01. KE30'!$F:$F,'06. BC BH THEO CUSTOMER-USD'!$H38,'01. KE30'!$A:$A,'06. BC BH THEO CUSTOMER-USD'!CM$4)/DA38/'02. Tỷ giá'!J$5," -")</f>
        <v xml:space="preserve"> -</v>
      </c>
      <c r="CN38" s="95" t="str">
        <f>IFERROR(SUMIFS('01. KE30'!$R:$R,'01. KE30'!$C:$C,'06. BC BH THEO CUSTOMER-USD'!$D38,'01. KE30'!$F:$F,'06. BC BH THEO CUSTOMER-USD'!$H38,'01. KE30'!$A:$A,'06. BC BH THEO CUSTOMER-USD'!CN$4)/DB38/'02. Tỷ giá'!K$5," -")</f>
        <v xml:space="preserve"> -</v>
      </c>
      <c r="CO38" s="95" t="str">
        <f>IFERROR(SUMIFS('01. KE30'!$R:$R,'01. KE30'!$C:$C,'06. BC BH THEO CUSTOMER-USD'!$D38,'01. KE30'!$F:$F,'06. BC BH THEO CUSTOMER-USD'!$H38,'01. KE30'!$A:$A,'06. BC BH THEO CUSTOMER-USD'!CO$4)/DC38/'02. Tỷ giá'!L$5," -")</f>
        <v xml:space="preserve"> -</v>
      </c>
      <c r="CP38" s="95" t="str">
        <f>IFERROR(SUMIFS('01. KE30'!$R:$R,'01. KE30'!$C:$C,'06. BC BH THEO CUSTOMER-USD'!$D38,'01. KE30'!$F:$F,'06. BC BH THEO CUSTOMER-USD'!$H38,'01. KE30'!$A:$A,'06. BC BH THEO CUSTOMER-USD'!CP$4)/DD38/'02. Tỷ giá'!M$5," -")</f>
        <v xml:space="preserve"> -</v>
      </c>
      <c r="CR38" s="112">
        <f t="shared" si="26"/>
        <v>0</v>
      </c>
      <c r="CS38" s="114">
        <f>SUMIFS('01. KE30'!$I:$I,'01. KE30'!$C:$C,'06. BC BH THEO CUSTOMER-USD'!$D38,'01. KE30'!$F:$F,'06. BC BH THEO CUSTOMER-USD'!$H38,'01. KE30'!$A:$A,'06. BC BH THEO CUSTOMER-USD'!CS$4)/1000</f>
        <v>0</v>
      </c>
      <c r="CT38" s="114">
        <f>SUMIFS('01. KE30'!$I:$I,'01. KE30'!$C:$C,'06. BC BH THEO CUSTOMER-USD'!$D38,'01. KE30'!$F:$F,'06. BC BH THEO CUSTOMER-USD'!$H38,'01. KE30'!$A:$A,'06. BC BH THEO CUSTOMER-USD'!CT$4)/1000</f>
        <v>0</v>
      </c>
      <c r="CU38" s="114">
        <f>SUMIFS('01. KE30'!$I:$I,'01. KE30'!$C:$C,'06. BC BH THEO CUSTOMER-USD'!$D38,'01. KE30'!$F:$F,'06. BC BH THEO CUSTOMER-USD'!$H38,'01. KE30'!$A:$A,'06. BC BH THEO CUSTOMER-USD'!CU$4)/1000</f>
        <v>0</v>
      </c>
      <c r="CV38" s="114">
        <f>SUMIFS('01. KE30'!$I:$I,'01. KE30'!$C:$C,'06. BC BH THEO CUSTOMER-USD'!$D38,'01. KE30'!$F:$F,'06. BC BH THEO CUSTOMER-USD'!$H38,'01. KE30'!$A:$A,'06. BC BH THEO CUSTOMER-USD'!CV$4)/1000</f>
        <v>0</v>
      </c>
      <c r="CW38" s="114">
        <f>SUMIFS('01. KE30'!$I:$I,'01. KE30'!$C:$C,'06. BC BH THEO CUSTOMER-USD'!$D38,'01. KE30'!$F:$F,'06. BC BH THEO CUSTOMER-USD'!$H38,'01. KE30'!$A:$A,'06. BC BH THEO CUSTOMER-USD'!CW$4)/1000</f>
        <v>0</v>
      </c>
      <c r="CX38" s="114">
        <f>SUMIFS('01. KE30'!$I:$I,'01. KE30'!$C:$C,'06. BC BH THEO CUSTOMER-USD'!$D38,'01. KE30'!$F:$F,'06. BC BH THEO CUSTOMER-USD'!$H38,'01. KE30'!$A:$A,'06. BC BH THEO CUSTOMER-USD'!CX$4)/1000</f>
        <v>0</v>
      </c>
      <c r="CY38" s="114">
        <f>SUMIFS('01. KE30'!$I:$I,'01. KE30'!$C:$C,'06. BC BH THEO CUSTOMER-USD'!$D38,'01. KE30'!$F:$F,'06. BC BH THEO CUSTOMER-USD'!$H38,'01. KE30'!$A:$A,'06. BC BH THEO CUSTOMER-USD'!CY$4)/1000</f>
        <v>0</v>
      </c>
      <c r="CZ38" s="114">
        <f>SUMIFS('01. KE30'!$I:$I,'01. KE30'!$C:$C,'06. BC BH THEO CUSTOMER-USD'!$D38,'01. KE30'!$F:$F,'06. BC BH THEO CUSTOMER-USD'!$H38,'01. KE30'!$A:$A,'06. BC BH THEO CUSTOMER-USD'!CZ$4)/1000</f>
        <v>0</v>
      </c>
      <c r="DA38" s="114">
        <f>SUMIFS('01. KE30'!$I:$I,'01. KE30'!$C:$C,'06. BC BH THEO CUSTOMER-USD'!$D38,'01. KE30'!$F:$F,'06. BC BH THEO CUSTOMER-USD'!$H38,'01. KE30'!$A:$A,'06. BC BH THEO CUSTOMER-USD'!DA$4)/1000</f>
        <v>0</v>
      </c>
      <c r="DB38" s="114">
        <f>SUMIFS('01. KE30'!$I:$I,'01. KE30'!$C:$C,'06. BC BH THEO CUSTOMER-USD'!$D38,'01. KE30'!$F:$F,'06. BC BH THEO CUSTOMER-USD'!$H38,'01. KE30'!$A:$A,'06. BC BH THEO CUSTOMER-USD'!DB$4)/1000</f>
        <v>0</v>
      </c>
      <c r="DC38" s="114">
        <f>SUMIFS('01. KE30'!$I:$I,'01. KE30'!$C:$C,'06. BC BH THEO CUSTOMER-USD'!$D38,'01. KE30'!$F:$F,'06. BC BH THEO CUSTOMER-USD'!$H38,'01. KE30'!$A:$A,'06. BC BH THEO CUSTOMER-USD'!DC$4)/1000</f>
        <v>0</v>
      </c>
      <c r="DD38" s="114">
        <f>SUMIFS('01. KE30'!$I:$I,'01. KE30'!$C:$C,'06. BC BH THEO CUSTOMER-USD'!$D38,'01. KE30'!$F:$F,'06. BC BH THEO CUSTOMER-USD'!$H38,'01. KE30'!$A:$A,'06. BC BH THEO CUSTOMER-USD'!DD$4)/1000</f>
        <v>0</v>
      </c>
      <c r="DF38" s="112">
        <f t="shared" ref="DF38:DF45" si="199">SUM(DG38:DR38)</f>
        <v>0</v>
      </c>
      <c r="DG38" s="54" t="str">
        <f t="shared" si="48"/>
        <v>-</v>
      </c>
      <c r="DH38" s="54" t="str">
        <f t="shared" si="49"/>
        <v>-</v>
      </c>
      <c r="DI38" s="54" t="str">
        <f t="shared" si="50"/>
        <v>-</v>
      </c>
      <c r="DJ38" s="54" t="str">
        <f t="shared" si="51"/>
        <v>-</v>
      </c>
      <c r="DK38" s="54" t="str">
        <f t="shared" si="52"/>
        <v>-</v>
      </c>
      <c r="DL38" s="54" t="str">
        <f t="shared" si="53"/>
        <v>-</v>
      </c>
      <c r="DM38" s="54" t="str">
        <f t="shared" si="54"/>
        <v>-</v>
      </c>
      <c r="DN38" s="54" t="str">
        <f t="shared" si="55"/>
        <v>-</v>
      </c>
      <c r="DO38" s="54" t="str">
        <f t="shared" si="56"/>
        <v>-</v>
      </c>
      <c r="DP38" s="54" t="str">
        <f t="shared" si="57"/>
        <v>-</v>
      </c>
      <c r="DQ38" s="54" t="str">
        <f t="shared" si="58"/>
        <v>-</v>
      </c>
      <c r="DR38" s="54" t="str">
        <f t="shared" si="59"/>
        <v>-</v>
      </c>
      <c r="DT38" s="112">
        <f t="shared" si="60"/>
        <v>0</v>
      </c>
      <c r="DU38" s="114">
        <f>IFERROR(SUMIFS('01. KE30'!$X:$X,'01. KE30'!$C:$C,'06. BC BH THEO CUSTOMER-USD'!$D38,'01. KE30'!$F:$F,'06. BC BH THEO CUSTOMER-USD'!$H38,'01. KE30'!$A:$A,'06. BC BH THEO CUSTOMER-USD'!DU$4)-SUMIFS('01. KE30'!$AA:$AA,'01. KE30'!$C:$C,'06. BC BH THEO CUSTOMER-USD'!$D38,'01. KE30'!$F:$F,'06. BC BH THEO CUSTOMER-USD'!$H38,'01. KE30'!$A:$A,'06. BC BH THEO CUSTOMER-USD'!DU$4),"-")</f>
        <v>0</v>
      </c>
      <c r="DV38" s="114">
        <f>IFERROR(SUMIFS('01. KE30'!$X:$X,'01. KE30'!$C:$C,'06. BC BH THEO CUSTOMER-USD'!$D38,'01. KE30'!$F:$F,'06. BC BH THEO CUSTOMER-USD'!$H38,'01. KE30'!$A:$A,'06. BC BH THEO CUSTOMER-USD'!DV$4)-SUMIFS('01. KE30'!$AA:$AA,'01. KE30'!$C:$C,'06. BC BH THEO CUSTOMER-USD'!$D38,'01. KE30'!$F:$F,'06. BC BH THEO CUSTOMER-USD'!$H38,'01. KE30'!$A:$A,'06. BC BH THEO CUSTOMER-USD'!DV$4),"-")</f>
        <v>0</v>
      </c>
      <c r="DW38" s="114">
        <f>IFERROR(SUMIFS('01. KE30'!$X:$X,'01. KE30'!$C:$C,'06. BC BH THEO CUSTOMER-USD'!$D38,'01. KE30'!$F:$F,'06. BC BH THEO CUSTOMER-USD'!$H38,'01. KE30'!$A:$A,'06. BC BH THEO CUSTOMER-USD'!DW$4)-SUMIFS('01. KE30'!$AA:$AA,'01. KE30'!$C:$C,'06. BC BH THEO CUSTOMER-USD'!$D38,'01. KE30'!$F:$F,'06. BC BH THEO CUSTOMER-USD'!$H38,'01. KE30'!$A:$A,'06. BC BH THEO CUSTOMER-USD'!DW$4),"-")</f>
        <v>0</v>
      </c>
      <c r="DX38" s="114">
        <f>IFERROR(SUMIFS('01. KE30'!$X:$X,'01. KE30'!$C:$C,'06. BC BH THEO CUSTOMER-USD'!$D38,'01. KE30'!$F:$F,'06. BC BH THEO CUSTOMER-USD'!$H38,'01. KE30'!$A:$A,'06. BC BH THEO CUSTOMER-USD'!DX$4)-SUMIFS('01. KE30'!$AA:$AA,'01. KE30'!$C:$C,'06. BC BH THEO CUSTOMER-USD'!$D38,'01. KE30'!$F:$F,'06. BC BH THEO CUSTOMER-USD'!$H38,'01. KE30'!$A:$A,'06. BC BH THEO CUSTOMER-USD'!DX$4),"-")</f>
        <v>0</v>
      </c>
      <c r="DY38" s="114">
        <f>IFERROR(SUMIFS('01. KE30'!$X:$X,'01. KE30'!$C:$C,'06. BC BH THEO CUSTOMER-USD'!$D38,'01. KE30'!$F:$F,'06. BC BH THEO CUSTOMER-USD'!$H38,'01. KE30'!$A:$A,'06. BC BH THEO CUSTOMER-USD'!DY$4)-SUMIFS('01. KE30'!$AA:$AA,'01. KE30'!$C:$C,'06. BC BH THEO CUSTOMER-USD'!$D38,'01. KE30'!$F:$F,'06. BC BH THEO CUSTOMER-USD'!$H38,'01. KE30'!$A:$A,'06. BC BH THEO CUSTOMER-USD'!DY$4),"-")</f>
        <v>0</v>
      </c>
      <c r="DZ38" s="114">
        <f>IFERROR(SUMIFS('01. KE30'!$X:$X,'01. KE30'!$C:$C,'06. BC BH THEO CUSTOMER-USD'!$D38,'01. KE30'!$F:$F,'06. BC BH THEO CUSTOMER-USD'!$H38,'01. KE30'!$A:$A,'06. BC BH THEO CUSTOMER-USD'!DZ$4)-SUMIFS('01. KE30'!$AA:$AA,'01. KE30'!$C:$C,'06. BC BH THEO CUSTOMER-USD'!$D38,'01. KE30'!$F:$F,'06. BC BH THEO CUSTOMER-USD'!$H38,'01. KE30'!$A:$A,'06. BC BH THEO CUSTOMER-USD'!DZ$4),"-")</f>
        <v>0</v>
      </c>
      <c r="EA38" s="114">
        <f>IFERROR(SUMIFS('01. KE30'!$X:$X,'01. KE30'!$C:$C,'06. BC BH THEO CUSTOMER-USD'!$D38,'01. KE30'!$F:$F,'06. BC BH THEO CUSTOMER-USD'!$H38,'01. KE30'!$A:$A,'06. BC BH THEO CUSTOMER-USD'!EA$4)-SUMIFS('01. KE30'!$AA:$AA,'01. KE30'!$C:$C,'06. BC BH THEO CUSTOMER-USD'!$D38,'01. KE30'!$F:$F,'06. BC BH THEO CUSTOMER-USD'!$H38,'01. KE30'!$A:$A,'06. BC BH THEO CUSTOMER-USD'!EA$4),"-")</f>
        <v>0</v>
      </c>
      <c r="EB38" s="114">
        <f>IFERROR(SUMIFS('01. KE30'!$X:$X,'01. KE30'!$C:$C,'06. BC BH THEO CUSTOMER-USD'!$D38,'01. KE30'!$F:$F,'06. BC BH THEO CUSTOMER-USD'!$H38,'01. KE30'!$A:$A,'06. BC BH THEO CUSTOMER-USD'!EB$4)-SUMIFS('01. KE30'!$AA:$AA,'01. KE30'!$C:$C,'06. BC BH THEO CUSTOMER-USD'!$D38,'01. KE30'!$F:$F,'06. BC BH THEO CUSTOMER-USD'!$H38,'01. KE30'!$A:$A,'06. BC BH THEO CUSTOMER-USD'!EB$4),"-")</f>
        <v>0</v>
      </c>
      <c r="EC38" s="114">
        <f>IFERROR(SUMIFS('01. KE30'!$X:$X,'01. KE30'!$C:$C,'06. BC BH THEO CUSTOMER-USD'!$D38,'01. KE30'!$F:$F,'06. BC BH THEO CUSTOMER-USD'!$H38,'01. KE30'!$A:$A,'06. BC BH THEO CUSTOMER-USD'!EC$4)-SUMIFS('01. KE30'!$AA:$AA,'01. KE30'!$C:$C,'06. BC BH THEO CUSTOMER-USD'!$D38,'01. KE30'!$F:$F,'06. BC BH THEO CUSTOMER-USD'!$H38,'01. KE30'!$A:$A,'06. BC BH THEO CUSTOMER-USD'!EC$4),"-")</f>
        <v>0</v>
      </c>
      <c r="ED38" s="114">
        <f>IFERROR(SUMIFS('01. KE30'!$X:$X,'01. KE30'!$C:$C,'06. BC BH THEO CUSTOMER-USD'!$D38,'01. KE30'!$F:$F,'06. BC BH THEO CUSTOMER-USD'!$H38,'01. KE30'!$A:$A,'06. BC BH THEO CUSTOMER-USD'!ED$4)-SUMIFS('01. KE30'!$AA:$AA,'01. KE30'!$C:$C,'06. BC BH THEO CUSTOMER-USD'!$D38,'01. KE30'!$F:$F,'06. BC BH THEO CUSTOMER-USD'!$H38,'01. KE30'!$A:$A,'06. BC BH THEO CUSTOMER-USD'!ED$4),"-")</f>
        <v>0</v>
      </c>
      <c r="EE38" s="114">
        <f>IFERROR(SUMIFS('01. KE30'!$X:$X,'01. KE30'!$C:$C,'06. BC BH THEO CUSTOMER-USD'!$D38,'01. KE30'!$F:$F,'06. BC BH THEO CUSTOMER-USD'!$H38,'01. KE30'!$A:$A,'06. BC BH THEO CUSTOMER-USD'!EE$4)-SUMIFS('01. KE30'!$AA:$AA,'01. KE30'!$C:$C,'06. BC BH THEO CUSTOMER-USD'!$D38,'01. KE30'!$F:$F,'06. BC BH THEO CUSTOMER-USD'!$H38,'01. KE30'!$A:$A,'06. BC BH THEO CUSTOMER-USD'!EE$4),"-")</f>
        <v>0</v>
      </c>
      <c r="EF38" s="114">
        <f>IFERROR(SUMIFS('01. KE30'!$X:$X,'01. KE30'!$C:$C,'06. BC BH THEO CUSTOMER-USD'!$D38,'01. KE30'!$F:$F,'06. BC BH THEO CUSTOMER-USD'!$H38,'01. KE30'!$A:$A,'06. BC BH THEO CUSTOMER-USD'!EF$4)-SUMIFS('01. KE30'!$AA:$AA,'01. KE30'!$C:$C,'06. BC BH THEO CUSTOMER-USD'!$D38,'01. KE30'!$F:$F,'06. BC BH THEO CUSTOMER-USD'!$H38,'01. KE30'!$A:$A,'06. BC BH THEO CUSTOMER-USD'!EF$4),"-")</f>
        <v>0</v>
      </c>
      <c r="EH38" s="571" t="str">
        <f t="shared" si="29"/>
        <v>-</v>
      </c>
      <c r="EI38" s="572" t="str">
        <f t="shared" si="30"/>
        <v>-</v>
      </c>
      <c r="EJ38" s="572" t="str">
        <f t="shared" si="31"/>
        <v>-</v>
      </c>
      <c r="EK38" s="572" t="str">
        <f t="shared" si="32"/>
        <v>-</v>
      </c>
      <c r="EL38" s="572" t="str">
        <f t="shared" si="33"/>
        <v>-</v>
      </c>
      <c r="EM38" s="572" t="str">
        <f t="shared" si="34"/>
        <v>-</v>
      </c>
      <c r="EN38" s="572" t="str">
        <f t="shared" si="35"/>
        <v>-</v>
      </c>
      <c r="EO38" s="572" t="str">
        <f t="shared" si="36"/>
        <v>-</v>
      </c>
      <c r="EP38" s="572" t="str">
        <f t="shared" si="37"/>
        <v>-</v>
      </c>
      <c r="EQ38" s="572" t="str">
        <f t="shared" si="38"/>
        <v>-</v>
      </c>
      <c r="ER38" s="572" t="str">
        <f t="shared" si="39"/>
        <v>-</v>
      </c>
      <c r="ES38" s="572" t="str">
        <f t="shared" si="40"/>
        <v>-</v>
      </c>
      <c r="ET38" s="572" t="str">
        <f t="shared" si="41"/>
        <v>-</v>
      </c>
    </row>
    <row r="39" spans="1:150" ht="15.5" hidden="1" outlineLevel="1" x14ac:dyDescent="0.35">
      <c r="A39" s="27">
        <f t="shared" si="63"/>
        <v>31</v>
      </c>
      <c r="B39" s="27" t="s">
        <v>283</v>
      </c>
      <c r="C39" s="497" t="s">
        <v>29</v>
      </c>
      <c r="D39" s="9" t="s">
        <v>30</v>
      </c>
      <c r="E39" s="31" t="s">
        <v>29</v>
      </c>
      <c r="F39" s="12" t="s">
        <v>245</v>
      </c>
      <c r="G39" s="12" t="str">
        <f>_xlfn.XLOOKUP(F39,'Quy đổi'!$G$5:$G$32,'Quy đổi'!$H$5:$H$32,0)</f>
        <v>Nội địa</v>
      </c>
      <c r="H39" s="77" t="s">
        <v>110</v>
      </c>
      <c r="I39" s="31" t="s">
        <v>109</v>
      </c>
      <c r="J39" s="13" t="s">
        <v>22</v>
      </c>
      <c r="K39" s="11"/>
      <c r="L39" s="92">
        <f t="shared" si="42"/>
        <v>1258.4649309036561</v>
      </c>
      <c r="M39" s="106">
        <f>IFERROR(SUMIFS('01. KE30'!$K:$K,'01. KE30'!$C:$C,'06. BC BH THEO CUSTOMER-USD'!$D39,'01. KE30'!$F:$F,'06. BC BH THEO CUSTOMER-USD'!$H39,'01. KE30'!$A:$A,'06. BC BH THEO CUSTOMER-USD'!M$4)/'06. BC BH THEO CUSTOMER-USD'!CS39/'02. Tỷ giá'!B$5,"-")</f>
        <v>1354.9468085106382</v>
      </c>
      <c r="N39" s="106">
        <f>IFERROR(SUMIFS('01. KE30'!$K:$K,'01. KE30'!$C:$C,'06. BC BH THEO CUSTOMER-USD'!$D39,'01. KE30'!$F:$F,'06. BC BH THEO CUSTOMER-USD'!$H39,'01. KE30'!$A:$A,'06. BC BH THEO CUSTOMER-USD'!N$4)/'06. BC BH THEO CUSTOMER-USD'!CT39/'02. Tỷ giá'!C$5,"-")</f>
        <v>1237.5896022055927</v>
      </c>
      <c r="O39" s="106">
        <f>IFERROR(SUMIFS('01. KE30'!$K:$K,'01. KE30'!$C:$C,'06. BC BH THEO CUSTOMER-USD'!$D39,'01. KE30'!$F:$F,'06. BC BH THEO CUSTOMER-USD'!$H39,'01. KE30'!$A:$A,'06. BC BH THEO CUSTOMER-USD'!O$4)/'06. BC BH THEO CUSTOMER-USD'!CU39/'02. Tỷ giá'!D$5,"-")</f>
        <v>1225.1574803149606</v>
      </c>
      <c r="P39" s="106" t="str">
        <f>IFERROR(SUMIFS('01. KE30'!$K:$K,'01. KE30'!$C:$C,'06. BC BH THEO CUSTOMER-USD'!$D39,'01. KE30'!$F:$F,'06. BC BH THEO CUSTOMER-USD'!$H39,'01. KE30'!$A:$A,'06. BC BH THEO CUSTOMER-USD'!P$4)/'06. BC BH THEO CUSTOMER-USD'!CV39/'02. Tỷ giá'!E$5,"-")</f>
        <v>-</v>
      </c>
      <c r="Q39" s="106">
        <f>IFERROR(SUMIFS('01. KE30'!$K:$K,'01. KE30'!$C:$C,'06. BC BH THEO CUSTOMER-USD'!$D39,'01. KE30'!$F:$F,'06. BC BH THEO CUSTOMER-USD'!$H39,'01. KE30'!$A:$A,'06. BC BH THEO CUSTOMER-USD'!Q$4)/'06. BC BH THEO CUSTOMER-USD'!CW39/'02. Tỷ giá'!F$5,"-")</f>
        <v>1245.1662799690641</v>
      </c>
      <c r="R39" s="106">
        <f>IFERROR(SUMIFS('01. KE30'!$K:$K,'01. KE30'!$C:$C,'06. BC BH THEO CUSTOMER-USD'!$D39,'01. KE30'!$F:$F,'06. BC BH THEO CUSTOMER-USD'!$H39,'01. KE30'!$A:$A,'06. BC BH THEO CUSTOMER-USD'!R$4)/'06. BC BH THEO CUSTOMER-USD'!CX39/'02. Tỷ giá'!G$5,"-")</f>
        <v>1262.0563271604938</v>
      </c>
      <c r="S39" s="106" t="str">
        <f>IFERROR(SUMIFS('01. KE30'!$K:$K,'01. KE30'!$C:$C,'06. BC BH THEO CUSTOMER-USD'!$D39,'01. KE30'!$F:$F,'06. BC BH THEO CUSTOMER-USD'!$H39,'01. KE30'!$A:$A,'06. BC BH THEO CUSTOMER-USD'!S$4)/'06. BC BH THEO CUSTOMER-USD'!CY39/'02. Tỷ giá'!H$5,"-")</f>
        <v>-</v>
      </c>
      <c r="T39" s="106">
        <f>IFERROR(SUMIFS('01. KE30'!$K:$K,'01. KE30'!$C:$C,'06. BC BH THEO CUSTOMER-USD'!$D39,'01. KE30'!$F:$F,'06. BC BH THEO CUSTOMER-USD'!$H39,'01. KE30'!$A:$A,'06. BC BH THEO CUSTOMER-USD'!T$4)/'06. BC BH THEO CUSTOMER-USD'!CZ39/'02. Tỷ giá'!I$5,"-")</f>
        <v>1248.0901451489688</v>
      </c>
      <c r="U39" s="106">
        <f>IFERROR(SUMIFS('01. KE30'!$K:$K,'01. KE30'!$C:$C,'06. BC BH THEO CUSTOMER-USD'!$D39,'01. KE30'!$F:$F,'06. BC BH THEO CUSTOMER-USD'!$H39,'01. KE30'!$A:$A,'06. BC BH THEO CUSTOMER-USD'!U$4)/'06. BC BH THEO CUSTOMER-USD'!DA39/'02. Tỷ giá'!J$5,"-")</f>
        <v>1236.247873015873</v>
      </c>
      <c r="V39" s="106" t="str">
        <f>IFERROR(SUMIFS('01. KE30'!$K:$K,'01. KE30'!$C:$C,'06. BC BH THEO CUSTOMER-USD'!$D39,'01. KE30'!$F:$F,'06. BC BH THEO CUSTOMER-USD'!$H39,'01. KE30'!$A:$A,'06. BC BH THEO CUSTOMER-USD'!V$4)/'06. BC BH THEO CUSTOMER-USD'!DB39/'02. Tỷ giá'!K$5,"-")</f>
        <v>-</v>
      </c>
      <c r="W39" s="106" t="str">
        <f>IFERROR(SUMIFS('01. KE30'!$K:$K,'01. KE30'!$C:$C,'06. BC BH THEO CUSTOMER-USD'!$D39,'01. KE30'!$F:$F,'06. BC BH THEO CUSTOMER-USD'!$H39,'01. KE30'!$A:$A,'06. BC BH THEO CUSTOMER-USD'!W$4)/'06. BC BH THEO CUSTOMER-USD'!DC39/'02. Tỷ giá'!L$5,"-")</f>
        <v>-</v>
      </c>
      <c r="X39" s="106" t="str">
        <f>IFERROR(SUMIFS('01. KE30'!$K:$K,'01. KE30'!$C:$C,'06. BC BH THEO CUSTOMER-USD'!$D39,'01. KE30'!$F:$F,'06. BC BH THEO CUSTOMER-USD'!$H39,'01. KE30'!$A:$A,'06. BC BH THEO CUSTOMER-USD'!X$4)/'06. BC BH THEO CUSTOMER-USD'!DD39/'02. Tỷ giá'!M$5,"-")</f>
        <v>-</v>
      </c>
      <c r="Z39" s="92">
        <f t="shared" si="43"/>
        <v>1258.4649309036561</v>
      </c>
      <c r="AA39" s="147">
        <f>IFERROR(SUMIFS('01. KE30'!$O:$O,'01. KE30'!$C:$C,'06. BC BH THEO CUSTOMER-USD'!$D39,'01. KE30'!$F:$F,'06. BC BH THEO CUSTOMER-USD'!$H39,'01. KE30'!$A:$A,'06. BC BH THEO CUSTOMER-USD'!M$4)/'06. BC BH THEO CUSTOMER-USD'!CS39/'02. Tỷ giá'!B$5,"-")</f>
        <v>1354.9468085106382</v>
      </c>
      <c r="AB39" s="147">
        <f>IFERROR(SUMIFS('01. KE30'!$O:$O,'01. KE30'!$C:$C,'06. BC BH THEO CUSTOMER-USD'!$D39,'01. KE30'!$F:$F,'06. BC BH THEO CUSTOMER-USD'!$H39,'01. KE30'!$A:$A,'06. BC BH THEO CUSTOMER-USD'!N$4)/'06. BC BH THEO CUSTOMER-USD'!CT39/'02. Tỷ giá'!C$5,"-")</f>
        <v>1237.5896022055927</v>
      </c>
      <c r="AC39" s="147">
        <f>IFERROR(SUMIFS('01. KE30'!$O:$O,'01. KE30'!$C:$C,'06. BC BH THEO CUSTOMER-USD'!$D39,'01. KE30'!$F:$F,'06. BC BH THEO CUSTOMER-USD'!$H39,'01. KE30'!$A:$A,'06. BC BH THEO CUSTOMER-USD'!O$4)/'06. BC BH THEO CUSTOMER-USD'!CU39/'02. Tỷ giá'!D$5,"-")</f>
        <v>1225.1574803149606</v>
      </c>
      <c r="AD39" s="147" t="str">
        <f>IFERROR(SUMIFS('01. KE30'!$O:$O,'01. KE30'!$C:$C,'06. BC BH THEO CUSTOMER-USD'!$D39,'01. KE30'!$F:$F,'06. BC BH THEO CUSTOMER-USD'!$H39,'01. KE30'!$A:$A,'06. BC BH THEO CUSTOMER-USD'!P$4)/'06. BC BH THEO CUSTOMER-USD'!CV39/'02. Tỷ giá'!E$5,"-")</f>
        <v>-</v>
      </c>
      <c r="AE39" s="147">
        <f>IFERROR(SUMIFS('01. KE30'!$O:$O,'01. KE30'!$C:$C,'06. BC BH THEO CUSTOMER-USD'!$D39,'01. KE30'!$F:$F,'06. BC BH THEO CUSTOMER-USD'!$H39,'01. KE30'!$A:$A,'06. BC BH THEO CUSTOMER-USD'!Q$4)/'06. BC BH THEO CUSTOMER-USD'!CW39/'02. Tỷ giá'!F$5,"-")</f>
        <v>1245.1662799690641</v>
      </c>
      <c r="AF39" s="147">
        <f>IFERROR(SUMIFS('01. KE30'!$O:$O,'01. KE30'!$C:$C,'06. BC BH THEO CUSTOMER-USD'!$D39,'01. KE30'!$F:$F,'06. BC BH THEO CUSTOMER-USD'!$H39,'01. KE30'!$A:$A,'06. BC BH THEO CUSTOMER-USD'!R$4)/'06. BC BH THEO CUSTOMER-USD'!CX39/'02. Tỷ giá'!G$5,"-")</f>
        <v>1262.0563271604938</v>
      </c>
      <c r="AG39" s="147" t="str">
        <f>IFERROR(SUMIFS('01. KE30'!$O:$O,'01. KE30'!$C:$C,'06. BC BH THEO CUSTOMER-USD'!$D39,'01. KE30'!$F:$F,'06. BC BH THEO CUSTOMER-USD'!$H39,'01. KE30'!$A:$A,'06. BC BH THEO CUSTOMER-USD'!S$4)/'06. BC BH THEO CUSTOMER-USD'!CY39/'02. Tỷ giá'!H$5,"-")</f>
        <v>-</v>
      </c>
      <c r="AH39" s="147">
        <f>IFERROR(SUMIFS('01. KE30'!$O:$O,'01. KE30'!$C:$C,'06. BC BH THEO CUSTOMER-USD'!$D39,'01. KE30'!$F:$F,'06. BC BH THEO CUSTOMER-USD'!$H39,'01. KE30'!$A:$A,'06. BC BH THEO CUSTOMER-USD'!T$4)/'06. BC BH THEO CUSTOMER-USD'!CZ39/'02. Tỷ giá'!I$5,"-")</f>
        <v>1248.0901451489688</v>
      </c>
      <c r="AI39" s="147">
        <f>IFERROR(SUMIFS('01. KE30'!$O:$O,'01. KE30'!$C:$C,'06. BC BH THEO CUSTOMER-USD'!$D39,'01. KE30'!$F:$F,'06. BC BH THEO CUSTOMER-USD'!$H39,'01. KE30'!$A:$A,'06. BC BH THEO CUSTOMER-USD'!U$4)/'06. BC BH THEO CUSTOMER-USD'!DA39/'02. Tỷ giá'!J$5,"-")</f>
        <v>1236.247873015873</v>
      </c>
      <c r="AJ39" s="147" t="str">
        <f>IFERROR(SUMIFS('01. KE30'!$O:$O,'01. KE30'!$C:$C,'06. BC BH THEO CUSTOMER-USD'!$D39,'01. KE30'!$F:$F,'06. BC BH THEO CUSTOMER-USD'!$H39,'01. KE30'!$A:$A,'06. BC BH THEO CUSTOMER-USD'!V$4)/'06. BC BH THEO CUSTOMER-USD'!DB39/'02. Tỷ giá'!K$5,"-")</f>
        <v>-</v>
      </c>
      <c r="AK39" s="147" t="str">
        <f>IFERROR(SUMIFS('01. KE30'!$O:$O,'01. KE30'!$C:$C,'06. BC BH THEO CUSTOMER-USD'!$D39,'01. KE30'!$F:$F,'06. BC BH THEO CUSTOMER-USD'!$H39,'01. KE30'!$A:$A,'06. BC BH THEO CUSTOMER-USD'!W$4)/'06. BC BH THEO CUSTOMER-USD'!DC39/'02. Tỷ giá'!L$5,"-")</f>
        <v>-</v>
      </c>
      <c r="AL39" s="147" t="str">
        <f>IFERROR(SUMIFS('01. KE30'!$O:$O,'01. KE30'!$C:$C,'06. BC BH THEO CUSTOMER-USD'!$D39,'01. KE30'!$F:$F,'06. BC BH THEO CUSTOMER-USD'!$H39,'01. KE30'!$A:$A,'06. BC BH THEO CUSTOMER-USD'!X$4)/'06. BC BH THEO CUSTOMER-USD'!DD39/'02. Tỷ giá'!M$5,"-")</f>
        <v>-</v>
      </c>
      <c r="AN39" s="92">
        <f t="shared" si="44"/>
        <v>1236.6666666666667</v>
      </c>
      <c r="AO39" s="25">
        <v>1230</v>
      </c>
      <c r="AP39" s="25">
        <v>1230</v>
      </c>
      <c r="AQ39" s="25">
        <v>1230</v>
      </c>
      <c r="AR39" s="25">
        <f t="shared" ref="AR39:AR40" si="200">AQ39+20</f>
        <v>1250</v>
      </c>
      <c r="AS39" s="25">
        <v>1250</v>
      </c>
      <c r="AT39" s="25">
        <v>1250</v>
      </c>
      <c r="AU39" s="25">
        <v>1250</v>
      </c>
      <c r="AV39" s="4">
        <f t="shared" si="198"/>
        <v>1220</v>
      </c>
      <c r="AW39" s="25">
        <v>1220</v>
      </c>
      <c r="AX39" s="25"/>
      <c r="AY39" s="4"/>
      <c r="AZ39" s="4"/>
      <c r="BB39" s="95">
        <f t="shared" si="45"/>
        <v>21.798264236989326</v>
      </c>
      <c r="BC39" s="95">
        <f t="shared" si="46"/>
        <v>124.94680851063822</v>
      </c>
      <c r="BD39" s="95">
        <f t="shared" si="74"/>
        <v>7.5896022055926551</v>
      </c>
      <c r="BE39" s="95">
        <f t="shared" si="74"/>
        <v>-4.8425196850394059</v>
      </c>
      <c r="BF39" s="95" t="str">
        <f t="shared" si="74"/>
        <v>-</v>
      </c>
      <c r="BG39" s="95">
        <f t="shared" si="74"/>
        <v>-4.833720030935865</v>
      </c>
      <c r="BH39" s="95">
        <f t="shared" si="74"/>
        <v>12.056327160493765</v>
      </c>
      <c r="BI39" s="95" t="str">
        <f t="shared" si="74"/>
        <v>-</v>
      </c>
      <c r="BJ39" s="95">
        <f t="shared" si="74"/>
        <v>28.090145148968759</v>
      </c>
      <c r="BK39" s="95">
        <f t="shared" si="74"/>
        <v>16.247873015872983</v>
      </c>
      <c r="BL39" s="95" t="str">
        <f t="shared" si="74"/>
        <v>-</v>
      </c>
      <c r="BM39" s="95" t="str">
        <f t="shared" si="74"/>
        <v>-</v>
      </c>
      <c r="BN39" s="95" t="str">
        <f t="shared" si="74"/>
        <v>-</v>
      </c>
      <c r="BP39" s="143">
        <f t="shared" si="47"/>
        <v>1.7626628763064145E-2</v>
      </c>
      <c r="BQ39" s="143">
        <f t="shared" si="8"/>
        <v>0.10158277114686035</v>
      </c>
      <c r="BR39" s="143">
        <f t="shared" si="9"/>
        <v>6.1704082972298012E-3</v>
      </c>
      <c r="BS39" s="143">
        <f t="shared" si="10"/>
        <v>-3.9370078740157775E-3</v>
      </c>
      <c r="BT39" s="143" t="str">
        <f t="shared" si="11"/>
        <v>-</v>
      </c>
      <c r="BU39" s="143">
        <f t="shared" si="12"/>
        <v>-3.8669760247486921E-3</v>
      </c>
      <c r="BV39" s="143">
        <f t="shared" si="13"/>
        <v>9.6450617283950126E-3</v>
      </c>
      <c r="BW39" s="143" t="str">
        <f t="shared" si="14"/>
        <v>-</v>
      </c>
      <c r="BX39" s="143">
        <f t="shared" si="15"/>
        <v>2.3024709138498984E-2</v>
      </c>
      <c r="BY39" s="143">
        <f t="shared" si="16"/>
        <v>1.3317928701535232E-2</v>
      </c>
      <c r="BZ39" s="143" t="str">
        <f t="shared" si="17"/>
        <v>-</v>
      </c>
      <c r="CA39" s="143" t="str">
        <f t="shared" si="18"/>
        <v>-</v>
      </c>
      <c r="CB39" s="143" t="str">
        <f t="shared" si="19"/>
        <v>-</v>
      </c>
      <c r="CD39" s="112">
        <f t="shared" si="25"/>
        <v>1036.7752083558591</v>
      </c>
      <c r="CE39" s="95">
        <f>IFERROR(SUMIFS('01. KE30'!$R:$R,'01. KE30'!$C:$C,'06. BC BH THEO CUSTOMER-USD'!$D39,'01. KE30'!$F:$F,'06. BC BH THEO CUSTOMER-USD'!$H39,'01. KE30'!$A:$A,'06. BC BH THEO CUSTOMER-USD'!CE$4)/CS39/'02. Tỷ giá'!B$5," -")</f>
        <v>1026.9498266486626</v>
      </c>
      <c r="CF39" s="95">
        <f>IFERROR(SUMIFS('01. KE30'!$R:$R,'01. KE30'!$C:$C,'06. BC BH THEO CUSTOMER-USD'!$D39,'01. KE30'!$F:$F,'06. BC BH THEO CUSTOMER-USD'!$H39,'01. KE30'!$A:$A,'06. BC BH THEO CUSTOMER-USD'!CF$4)/CT39/'02. Tỷ giá'!C$5," -")</f>
        <v>987.0200372031801</v>
      </c>
      <c r="CG39" s="95">
        <f>IFERROR(SUMIFS('01. KE30'!$R:$R,'01. KE30'!$C:$C,'06. BC BH THEO CUSTOMER-USD'!$D39,'01. KE30'!$F:$F,'06. BC BH THEO CUSTOMER-USD'!$H39,'01. KE30'!$A:$A,'06. BC BH THEO CUSTOMER-USD'!CG$4)/CU39/'02. Tỷ giá'!D$5," -")</f>
        <v>1032.9728990694346</v>
      </c>
      <c r="CH39" s="95" t="str">
        <f>IFERROR(SUMIFS('01. KE30'!$R:$R,'01. KE30'!$C:$C,'06. BC BH THEO CUSTOMER-USD'!$D39,'01. KE30'!$F:$F,'06. BC BH THEO CUSTOMER-USD'!$H39,'01. KE30'!$A:$A,'06. BC BH THEO CUSTOMER-USD'!CH$4)/CV39/'02. Tỷ giá'!E$5," -")</f>
        <v xml:space="preserve"> -</v>
      </c>
      <c r="CI39" s="95">
        <f>IFERROR(SUMIFS('01. KE30'!$R:$R,'01. KE30'!$C:$C,'06. BC BH THEO CUSTOMER-USD'!$D39,'01. KE30'!$F:$F,'06. BC BH THEO CUSTOMER-USD'!$H39,'01. KE30'!$A:$A,'06. BC BH THEO CUSTOMER-USD'!CI$4)/CW39/'02. Tỷ giá'!F$5," -")</f>
        <v>1049.5963931659987</v>
      </c>
      <c r="CJ39" s="95">
        <f>IFERROR(SUMIFS('01. KE30'!$R:$R,'01. KE30'!$C:$C,'06. BC BH THEO CUSTOMER-USD'!$D39,'01. KE30'!$F:$F,'06. BC BH THEO CUSTOMER-USD'!$H39,'01. KE30'!$A:$A,'06. BC BH THEO CUSTOMER-USD'!CJ$4)/CX39/'02. Tỷ giá'!G$5," -")</f>
        <v>1078.8699249438832</v>
      </c>
      <c r="CK39" s="95" t="str">
        <f>IFERROR(SUMIFS('01. KE30'!$R:$R,'01. KE30'!$C:$C,'06. BC BH THEO CUSTOMER-USD'!$D39,'01. KE30'!$F:$F,'06. BC BH THEO CUSTOMER-USD'!$H39,'01. KE30'!$A:$A,'06. BC BH THEO CUSTOMER-USD'!CK$4)/CY39/'02. Tỷ giá'!H$5," -")</f>
        <v xml:space="preserve"> -</v>
      </c>
      <c r="CL39" s="95">
        <f>IFERROR(SUMIFS('01. KE30'!$R:$R,'01. KE30'!$C:$C,'06. BC BH THEO CUSTOMER-USD'!$D39,'01. KE30'!$F:$F,'06. BC BH THEO CUSTOMER-USD'!$H39,'01. KE30'!$A:$A,'06. BC BH THEO CUSTOMER-USD'!CL$4)/CZ39/'02. Tỷ giá'!I$5," -")</f>
        <v>1060.879318008195</v>
      </c>
      <c r="CM39" s="95">
        <f>IFERROR(SUMIFS('01. KE30'!$R:$R,'01. KE30'!$C:$C,'06. BC BH THEO CUSTOMER-USD'!$D39,'01. KE30'!$F:$F,'06. BC BH THEO CUSTOMER-USD'!$H39,'01. KE30'!$A:$A,'06. BC BH THEO CUSTOMER-USD'!CM$4)/DA39/'02. Tỷ giá'!J$5," -")</f>
        <v>1021.1380594516595</v>
      </c>
      <c r="CN39" s="95" t="str">
        <f>IFERROR(SUMIFS('01. KE30'!$R:$R,'01. KE30'!$C:$C,'06. BC BH THEO CUSTOMER-USD'!$D39,'01. KE30'!$F:$F,'06. BC BH THEO CUSTOMER-USD'!$H39,'01. KE30'!$A:$A,'06. BC BH THEO CUSTOMER-USD'!CN$4)/DB39/'02. Tỷ giá'!K$5," -")</f>
        <v xml:space="preserve"> -</v>
      </c>
      <c r="CO39" s="95" t="str">
        <f>IFERROR(SUMIFS('01. KE30'!$R:$R,'01. KE30'!$C:$C,'06. BC BH THEO CUSTOMER-USD'!$D39,'01. KE30'!$F:$F,'06. BC BH THEO CUSTOMER-USD'!$H39,'01. KE30'!$A:$A,'06. BC BH THEO CUSTOMER-USD'!CO$4)/DC39/'02. Tỷ giá'!L$5," -")</f>
        <v xml:space="preserve"> -</v>
      </c>
      <c r="CP39" s="95" t="str">
        <f>IFERROR(SUMIFS('01. KE30'!$R:$R,'01. KE30'!$C:$C,'06. BC BH THEO CUSTOMER-USD'!$D39,'01. KE30'!$F:$F,'06. BC BH THEO CUSTOMER-USD'!$H39,'01. KE30'!$A:$A,'06. BC BH THEO CUSTOMER-USD'!CP$4)/DD39/'02. Tỷ giá'!M$5," -")</f>
        <v xml:space="preserve"> -</v>
      </c>
      <c r="CR39" s="112">
        <f t="shared" si="26"/>
        <v>100.1</v>
      </c>
      <c r="CS39" s="114">
        <f>SUMIFS('01. KE30'!$I:$I,'01. KE30'!$C:$C,'06. BC BH THEO CUSTOMER-USD'!$D39,'01. KE30'!$F:$F,'06. BC BH THEO CUSTOMER-USD'!$H39,'01. KE30'!$A:$A,'06. BC BH THEO CUSTOMER-USD'!CS$4)/1000</f>
        <v>11</v>
      </c>
      <c r="CT39" s="114">
        <f>SUMIFS('01. KE30'!$I:$I,'01. KE30'!$C:$C,'06. BC BH THEO CUSTOMER-USD'!$D39,'01. KE30'!$F:$F,'06. BC BH THEO CUSTOMER-USD'!$H39,'01. KE30'!$A:$A,'06. BC BH THEO CUSTOMER-USD'!CT$4)/1000</f>
        <v>23.1</v>
      </c>
      <c r="CU39" s="114">
        <f>SUMIFS('01. KE30'!$I:$I,'01. KE30'!$C:$C,'06. BC BH THEO CUSTOMER-USD'!$D39,'01. KE30'!$F:$F,'06. BC BH THEO CUSTOMER-USD'!$H39,'01. KE30'!$A:$A,'06. BC BH THEO CUSTOMER-USD'!CU$4)/1000</f>
        <v>11</v>
      </c>
      <c r="CV39" s="114">
        <f>SUMIFS('01. KE30'!$I:$I,'01. KE30'!$C:$C,'06. BC BH THEO CUSTOMER-USD'!$D39,'01. KE30'!$F:$F,'06. BC BH THEO CUSTOMER-USD'!$H39,'01. KE30'!$A:$A,'06. BC BH THEO CUSTOMER-USD'!CV$4)/1000</f>
        <v>0</v>
      </c>
      <c r="CW39" s="114">
        <f>SUMIFS('01. KE30'!$I:$I,'01. KE30'!$C:$C,'06. BC BH THEO CUSTOMER-USD'!$D39,'01. KE30'!$F:$F,'06. BC BH THEO CUSTOMER-USD'!$H39,'01. KE30'!$A:$A,'06. BC BH THEO CUSTOMER-USD'!CW$4)/1000</f>
        <v>11</v>
      </c>
      <c r="CX39" s="114">
        <f>SUMIFS('01. KE30'!$I:$I,'01. KE30'!$C:$C,'06. BC BH THEO CUSTOMER-USD'!$D39,'01. KE30'!$F:$F,'06. BC BH THEO CUSTOMER-USD'!$H39,'01. KE30'!$A:$A,'06. BC BH THEO CUSTOMER-USD'!CX$4)/1000</f>
        <v>22</v>
      </c>
      <c r="CY39" s="114">
        <f>SUMIFS('01. KE30'!$I:$I,'01. KE30'!$C:$C,'06. BC BH THEO CUSTOMER-USD'!$D39,'01. KE30'!$F:$F,'06. BC BH THEO CUSTOMER-USD'!$H39,'01. KE30'!$A:$A,'06. BC BH THEO CUSTOMER-USD'!CY$4)/1000</f>
        <v>0</v>
      </c>
      <c r="CZ39" s="114">
        <f>SUMIFS('01. KE30'!$I:$I,'01. KE30'!$C:$C,'06. BC BH THEO CUSTOMER-USD'!$D39,'01. KE30'!$F:$F,'06. BC BH THEO CUSTOMER-USD'!$H39,'01. KE30'!$A:$A,'06. BC BH THEO CUSTOMER-USD'!CZ$4)/1000</f>
        <v>5.5</v>
      </c>
      <c r="DA39" s="114">
        <f>SUMIFS('01. KE30'!$I:$I,'01. KE30'!$C:$C,'06. BC BH THEO CUSTOMER-USD'!$D39,'01. KE30'!$F:$F,'06. BC BH THEO CUSTOMER-USD'!$H39,'01. KE30'!$A:$A,'06. BC BH THEO CUSTOMER-USD'!DA$4)/1000</f>
        <v>16.5</v>
      </c>
      <c r="DB39" s="114">
        <f>SUMIFS('01. KE30'!$I:$I,'01. KE30'!$C:$C,'06. BC BH THEO CUSTOMER-USD'!$D39,'01. KE30'!$F:$F,'06. BC BH THEO CUSTOMER-USD'!$H39,'01. KE30'!$A:$A,'06. BC BH THEO CUSTOMER-USD'!DB$4)/1000</f>
        <v>0</v>
      </c>
      <c r="DC39" s="114">
        <f>SUMIFS('01. KE30'!$I:$I,'01. KE30'!$C:$C,'06. BC BH THEO CUSTOMER-USD'!$D39,'01. KE30'!$F:$F,'06. BC BH THEO CUSTOMER-USD'!$H39,'01. KE30'!$A:$A,'06. BC BH THEO CUSTOMER-USD'!DC$4)/1000</f>
        <v>0</v>
      </c>
      <c r="DD39" s="114">
        <f>SUMIFS('01. KE30'!$I:$I,'01. KE30'!$C:$C,'06. BC BH THEO CUSTOMER-USD'!$D39,'01. KE30'!$F:$F,'06. BC BH THEO CUSTOMER-USD'!$H39,'01. KE30'!$A:$A,'06. BC BH THEO CUSTOMER-USD'!DD$4)/1000</f>
        <v>0</v>
      </c>
      <c r="DF39" s="112">
        <f t="shared" si="199"/>
        <v>125694.12096830258</v>
      </c>
      <c r="DG39" s="54">
        <f t="shared" si="48"/>
        <v>14904.41489361702</v>
      </c>
      <c r="DH39" s="54">
        <f t="shared" si="49"/>
        <v>28588.319810949193</v>
      </c>
      <c r="DI39" s="54">
        <f t="shared" si="50"/>
        <v>13476.732283464567</v>
      </c>
      <c r="DJ39" s="54" t="str">
        <f t="shared" si="51"/>
        <v>-</v>
      </c>
      <c r="DK39" s="54">
        <f t="shared" si="52"/>
        <v>13696.829079659705</v>
      </c>
      <c r="DL39" s="54">
        <f t="shared" si="53"/>
        <v>27765.239197530864</v>
      </c>
      <c r="DM39" s="54" t="str">
        <f t="shared" si="54"/>
        <v>-</v>
      </c>
      <c r="DN39" s="54">
        <f t="shared" si="55"/>
        <v>6864.4957983193281</v>
      </c>
      <c r="DO39" s="54">
        <f t="shared" si="56"/>
        <v>20398.089904761906</v>
      </c>
      <c r="DP39" s="54" t="str">
        <f t="shared" si="57"/>
        <v>-</v>
      </c>
      <c r="DQ39" s="54" t="str">
        <f t="shared" si="58"/>
        <v>-</v>
      </c>
      <c r="DR39" s="54" t="str">
        <f t="shared" si="59"/>
        <v>-</v>
      </c>
      <c r="DT39" s="112">
        <f t="shared" si="60"/>
        <v>22270.495222421188</v>
      </c>
      <c r="DU39" s="114">
        <f>IFERROR(SUMIFS('01. KE30'!$X:$X,'01. KE30'!$C:$C,'06. BC BH THEO CUSTOMER-USD'!$D39,'01. KE30'!$F:$F,'06. BC BH THEO CUSTOMER-USD'!$H39,'01. KE30'!$A:$A,'06. BC BH THEO CUSTOMER-USD'!DU$4)-SUMIFS('01. KE30'!$AA:$AA,'01. KE30'!$C:$C,'06. BC BH THEO CUSTOMER-USD'!$D39,'01. KE30'!$F:$F,'06. BC BH THEO CUSTOMER-USD'!$H39,'01. KE30'!$A:$A,'06. BC BH THEO CUSTOMER-USD'!DU$4),"-")</f>
        <v>3607.966800481734</v>
      </c>
      <c r="DV39" s="114">
        <f>IFERROR(SUMIFS('01. KE30'!$X:$X,'01. KE30'!$C:$C,'06. BC BH THEO CUSTOMER-USD'!$D39,'01. KE30'!$F:$F,'06. BC BH THEO CUSTOMER-USD'!$H39,'01. KE30'!$A:$A,'06. BC BH THEO CUSTOMER-USD'!DV$4)-SUMIFS('01. KE30'!$AA:$AA,'01. KE30'!$C:$C,'06. BC BH THEO CUSTOMER-USD'!$D39,'01. KE30'!$F:$F,'06. BC BH THEO CUSTOMER-USD'!$H39,'01. KE30'!$A:$A,'06. BC BH THEO CUSTOMER-USD'!DV$4),"-")</f>
        <v>5788.1569515557312</v>
      </c>
      <c r="DW39" s="114">
        <f>IFERROR(SUMIFS('01. KE30'!$X:$X,'01. KE30'!$C:$C,'06. BC BH THEO CUSTOMER-USD'!$D39,'01. KE30'!$F:$F,'06. BC BH THEO CUSTOMER-USD'!$H39,'01. KE30'!$A:$A,'06. BC BH THEO CUSTOMER-USD'!DW$4)-SUMIFS('01. KE30'!$AA:$AA,'01. KE30'!$C:$C,'06. BC BH THEO CUSTOMER-USD'!$D39,'01. KE30'!$F:$F,'06. BC BH THEO CUSTOMER-USD'!$H39,'01. KE30'!$A:$A,'06. BC BH THEO CUSTOMER-USD'!DW$4),"-")</f>
        <v>2114.0303937007884</v>
      </c>
      <c r="DX39" s="114">
        <f>IFERROR(SUMIFS('01. KE30'!$X:$X,'01. KE30'!$C:$C,'06. BC BH THEO CUSTOMER-USD'!$D39,'01. KE30'!$F:$F,'06. BC BH THEO CUSTOMER-USD'!$H39,'01. KE30'!$A:$A,'06. BC BH THEO CUSTOMER-USD'!DX$4)-SUMIFS('01. KE30'!$AA:$AA,'01. KE30'!$C:$C,'06. BC BH THEO CUSTOMER-USD'!$D39,'01. KE30'!$F:$F,'06. BC BH THEO CUSTOMER-USD'!$H39,'01. KE30'!$A:$A,'06. BC BH THEO CUSTOMER-USD'!DX$4),"-")</f>
        <v>0</v>
      </c>
      <c r="DY39" s="114">
        <f>IFERROR(SUMIFS('01. KE30'!$X:$X,'01. KE30'!$C:$C,'06. BC BH THEO CUSTOMER-USD'!$D39,'01. KE30'!$F:$F,'06. BC BH THEO CUSTOMER-USD'!$H39,'01. KE30'!$A:$A,'06. BC BH THEO CUSTOMER-USD'!DY$4)-SUMIFS('01. KE30'!$AA:$AA,'01. KE30'!$C:$C,'06. BC BH THEO CUSTOMER-USD'!$D39,'01. KE30'!$F:$F,'06. BC BH THEO CUSTOMER-USD'!$H39,'01. KE30'!$A:$A,'06. BC BH THEO CUSTOMER-USD'!DY$4),"-")</f>
        <v>2151.2687548337199</v>
      </c>
      <c r="DZ39" s="114">
        <f>IFERROR(SUMIFS('01. KE30'!$X:$X,'01. KE30'!$C:$C,'06. BC BH THEO CUSTOMER-USD'!$D39,'01. KE30'!$F:$F,'06. BC BH THEO CUSTOMER-USD'!$H39,'01. KE30'!$A:$A,'06. BC BH THEO CUSTOMER-USD'!DZ$4)-SUMIFS('01. KE30'!$AA:$AA,'01. KE30'!$C:$C,'06. BC BH THEO CUSTOMER-USD'!$D39,'01. KE30'!$F:$F,'06. BC BH THEO CUSTOMER-USD'!$H39,'01. KE30'!$A:$A,'06. BC BH THEO CUSTOMER-USD'!DZ$4),"-")</f>
        <v>4030.1008487654326</v>
      </c>
      <c r="EA39" s="114">
        <f>IFERROR(SUMIFS('01. KE30'!$X:$X,'01. KE30'!$C:$C,'06. BC BH THEO CUSTOMER-USD'!$D39,'01. KE30'!$F:$F,'06. BC BH THEO CUSTOMER-USD'!$H39,'01. KE30'!$A:$A,'06. BC BH THEO CUSTOMER-USD'!EA$4)-SUMIFS('01. KE30'!$AA:$AA,'01. KE30'!$C:$C,'06. BC BH THEO CUSTOMER-USD'!$D39,'01. KE30'!$F:$F,'06. BC BH THEO CUSTOMER-USD'!$H39,'01. KE30'!$A:$A,'06. BC BH THEO CUSTOMER-USD'!EA$4),"-")</f>
        <v>0</v>
      </c>
      <c r="EB39" s="114">
        <f>IFERROR(SUMIFS('01. KE30'!$X:$X,'01. KE30'!$C:$C,'06. BC BH THEO CUSTOMER-USD'!$D39,'01. KE30'!$F:$F,'06. BC BH THEO CUSTOMER-USD'!$H39,'01. KE30'!$A:$A,'06. BC BH THEO CUSTOMER-USD'!EB$4)-SUMIFS('01. KE30'!$AA:$AA,'01. KE30'!$C:$C,'06. BC BH THEO CUSTOMER-USD'!$D39,'01. KE30'!$F:$F,'06. BC BH THEO CUSTOMER-USD'!$H39,'01. KE30'!$A:$A,'06. BC BH THEO CUSTOMER-USD'!EB$4),"-")</f>
        <v>1029.6595492742554</v>
      </c>
      <c r="EC39" s="114">
        <f>IFERROR(SUMIFS('01. KE30'!$X:$X,'01. KE30'!$C:$C,'06. BC BH THEO CUSTOMER-USD'!$D39,'01. KE30'!$F:$F,'06. BC BH THEO CUSTOMER-USD'!$H39,'01. KE30'!$A:$A,'06. BC BH THEO CUSTOMER-USD'!EC$4)-SUMIFS('01. KE30'!$AA:$AA,'01. KE30'!$C:$C,'06. BC BH THEO CUSTOMER-USD'!$D39,'01. KE30'!$F:$F,'06. BC BH THEO CUSTOMER-USD'!$H39,'01. KE30'!$A:$A,'06. BC BH THEO CUSTOMER-USD'!EC$4),"-")</f>
        <v>3549.3119238095242</v>
      </c>
      <c r="ED39" s="114">
        <f>IFERROR(SUMIFS('01. KE30'!$X:$X,'01. KE30'!$C:$C,'06. BC BH THEO CUSTOMER-USD'!$D39,'01. KE30'!$F:$F,'06. BC BH THEO CUSTOMER-USD'!$H39,'01. KE30'!$A:$A,'06. BC BH THEO CUSTOMER-USD'!ED$4)-SUMIFS('01. KE30'!$AA:$AA,'01. KE30'!$C:$C,'06. BC BH THEO CUSTOMER-USD'!$D39,'01. KE30'!$F:$F,'06. BC BH THEO CUSTOMER-USD'!$H39,'01. KE30'!$A:$A,'06. BC BH THEO CUSTOMER-USD'!ED$4),"-")</f>
        <v>0</v>
      </c>
      <c r="EE39" s="114">
        <f>IFERROR(SUMIFS('01. KE30'!$X:$X,'01. KE30'!$C:$C,'06. BC BH THEO CUSTOMER-USD'!$D39,'01. KE30'!$F:$F,'06. BC BH THEO CUSTOMER-USD'!$H39,'01. KE30'!$A:$A,'06. BC BH THEO CUSTOMER-USD'!EE$4)-SUMIFS('01. KE30'!$AA:$AA,'01. KE30'!$C:$C,'06. BC BH THEO CUSTOMER-USD'!$D39,'01. KE30'!$F:$F,'06. BC BH THEO CUSTOMER-USD'!$H39,'01. KE30'!$A:$A,'06. BC BH THEO CUSTOMER-USD'!EE$4),"-")</f>
        <v>0</v>
      </c>
      <c r="EF39" s="114">
        <f>IFERROR(SUMIFS('01. KE30'!$X:$X,'01. KE30'!$C:$C,'06. BC BH THEO CUSTOMER-USD'!$D39,'01. KE30'!$F:$F,'06. BC BH THEO CUSTOMER-USD'!$H39,'01. KE30'!$A:$A,'06. BC BH THEO CUSTOMER-USD'!EF$4)-SUMIFS('01. KE30'!$AA:$AA,'01. KE30'!$C:$C,'06. BC BH THEO CUSTOMER-USD'!$D39,'01. KE30'!$F:$F,'06. BC BH THEO CUSTOMER-USD'!$H39,'01. KE30'!$A:$A,'06. BC BH THEO CUSTOMER-USD'!EF$4),"-")</f>
        <v>0</v>
      </c>
      <c r="EH39" s="571">
        <f t="shared" si="29"/>
        <v>0.17718008647387207</v>
      </c>
      <c r="EI39" s="572">
        <f t="shared" si="30"/>
        <v>0.24207369603129375</v>
      </c>
      <c r="EJ39" s="572">
        <f t="shared" si="31"/>
        <v>0.20246579686501529</v>
      </c>
      <c r="EK39" s="572">
        <f t="shared" si="32"/>
        <v>0.15686520658235695</v>
      </c>
      <c r="EL39" s="572" t="str">
        <f t="shared" si="33"/>
        <v>-</v>
      </c>
      <c r="EM39" s="572">
        <f t="shared" si="34"/>
        <v>0.1570632693393563</v>
      </c>
      <c r="EN39" s="572">
        <f t="shared" si="35"/>
        <v>0.14514914926876718</v>
      </c>
      <c r="EO39" s="572" t="str">
        <f t="shared" si="36"/>
        <v>-</v>
      </c>
      <c r="EP39" s="572">
        <f t="shared" si="37"/>
        <v>0.14999784099603536</v>
      </c>
      <c r="EQ39" s="572">
        <f t="shared" si="38"/>
        <v>0.174002170810167</v>
      </c>
      <c r="ER39" s="572" t="str">
        <f t="shared" si="39"/>
        <v>-</v>
      </c>
      <c r="ES39" s="572" t="str">
        <f t="shared" si="40"/>
        <v>-</v>
      </c>
      <c r="ET39" s="572" t="str">
        <f t="shared" si="41"/>
        <v>-</v>
      </c>
    </row>
    <row r="40" spans="1:150" ht="15.5" hidden="1" outlineLevel="1" x14ac:dyDescent="0.35">
      <c r="A40" s="27">
        <f t="shared" si="63"/>
        <v>32</v>
      </c>
      <c r="B40" s="27" t="s">
        <v>283</v>
      </c>
      <c r="C40" s="442" t="s">
        <v>502</v>
      </c>
      <c r="D40" s="9" t="s">
        <v>82</v>
      </c>
      <c r="E40" s="31" t="s">
        <v>81</v>
      </c>
      <c r="F40" s="12" t="s">
        <v>245</v>
      </c>
      <c r="G40" s="12" t="str">
        <f>_xlfn.XLOOKUP(F40,'Quy đổi'!$G$5:$G$32,'Quy đổi'!$H$5:$H$32,0)</f>
        <v>Nội địa</v>
      </c>
      <c r="H40" s="77" t="s">
        <v>110</v>
      </c>
      <c r="I40" s="31" t="s">
        <v>109</v>
      </c>
      <c r="J40" s="13" t="s">
        <v>22</v>
      </c>
      <c r="K40" s="11"/>
      <c r="L40" s="92">
        <f t="shared" si="42"/>
        <v>1270.2552745314895</v>
      </c>
      <c r="M40" s="106">
        <f>IFERROR(SUMIFS('01. KE30'!$K:$K,'01. KE30'!$C:$C,'06. BC BH THEO CUSTOMER-USD'!$D40,'01. KE30'!$F:$F,'06. BC BH THEO CUSTOMER-USD'!$H40,'01. KE30'!$A:$A,'06. BC BH THEO CUSTOMER-USD'!M$4)/'06. BC BH THEO CUSTOMER-USD'!CS40/'02. Tỷ giá'!B$5,"-")</f>
        <v>1304.4158972300281</v>
      </c>
      <c r="N40" s="106">
        <f>IFERROR(SUMIFS('01. KE30'!$K:$K,'01. KE30'!$C:$C,'06. BC BH THEO CUSTOMER-USD'!$D40,'01. KE30'!$F:$F,'06. BC BH THEO CUSTOMER-USD'!$H40,'01. KE30'!$A:$A,'06. BC BH THEO CUSTOMER-USD'!N$4)/'06. BC BH THEO CUSTOMER-USD'!CT40/'02. Tỷ giá'!C$5,"-")</f>
        <v>1300.5120126033871</v>
      </c>
      <c r="O40" s="106">
        <f>IFERROR(SUMIFS('01. KE30'!$K:$K,'01. KE30'!$C:$C,'06. BC BH THEO CUSTOMER-USD'!$D40,'01. KE30'!$F:$F,'06. BC BH THEO CUSTOMER-USD'!$H40,'01. KE30'!$A:$A,'06. BC BH THEO CUSTOMER-USD'!O$4)/'06. BC BH THEO CUSTOMER-USD'!CU40/'02. Tỷ giá'!D$5,"-")</f>
        <v>1300</v>
      </c>
      <c r="P40" s="106" t="str">
        <f>IFERROR(SUMIFS('01. KE30'!$K:$K,'01. KE30'!$C:$C,'06. BC BH THEO CUSTOMER-USD'!$D40,'01. KE30'!$F:$F,'06. BC BH THEO CUSTOMER-USD'!$H40,'01. KE30'!$A:$A,'06. BC BH THEO CUSTOMER-USD'!P$4)/'06. BC BH THEO CUSTOMER-USD'!CV40/'02. Tỷ giá'!E$5,"-")</f>
        <v>-</v>
      </c>
      <c r="Q40" s="106">
        <f>IFERROR(SUMIFS('01. KE30'!$K:$K,'01. KE30'!$C:$C,'06. BC BH THEO CUSTOMER-USD'!$D40,'01. KE30'!$F:$F,'06. BC BH THEO CUSTOMER-USD'!$H40,'01. KE30'!$A:$A,'06. BC BH THEO CUSTOMER-USD'!Q$4)/'06. BC BH THEO CUSTOMER-USD'!CW40/'02. Tỷ giá'!F$5,"-")</f>
        <v>1239.8685228151585</v>
      </c>
      <c r="R40" s="106">
        <f>IFERROR(SUMIFS('01. KE30'!$K:$K,'01. KE30'!$C:$C,'06. BC BH THEO CUSTOMER-USD'!$D40,'01. KE30'!$F:$F,'06. BC BH THEO CUSTOMER-USD'!$H40,'01. KE30'!$A:$A,'06. BC BH THEO CUSTOMER-USD'!R$4)/'06. BC BH THEO CUSTOMER-USD'!CX40/'02. Tỷ giá'!G$5,"-")</f>
        <v>1236.9791666666667</v>
      </c>
      <c r="S40" s="106" t="str">
        <f>IFERROR(SUMIFS('01. KE30'!$K:$K,'01. KE30'!$C:$C,'06. BC BH THEO CUSTOMER-USD'!$D40,'01. KE30'!$F:$F,'06. BC BH THEO CUSTOMER-USD'!$H40,'01. KE30'!$A:$A,'06. BC BH THEO CUSTOMER-USD'!S$4)/'06. BC BH THEO CUSTOMER-USD'!CY40/'02. Tỷ giá'!H$5,"-")</f>
        <v>-</v>
      </c>
      <c r="T40" s="106">
        <f>IFERROR(SUMIFS('01. KE30'!$K:$K,'01. KE30'!$C:$C,'06. BC BH THEO CUSTOMER-USD'!$D40,'01. KE30'!$F:$F,'06. BC BH THEO CUSTOMER-USD'!$H40,'01. KE30'!$A:$A,'06. BC BH THEO CUSTOMER-USD'!T$4)/'06. BC BH THEO CUSTOMER-USD'!CZ40/'02. Tỷ giá'!I$5,"-")</f>
        <v>1239.7560478736948</v>
      </c>
      <c r="U40" s="106" t="str">
        <f>IFERROR(SUMIFS('01. KE30'!$K:$K,'01. KE30'!$C:$C,'06. BC BH THEO CUSTOMER-USD'!$D40,'01. KE30'!$F:$F,'06. BC BH THEO CUSTOMER-USD'!$H40,'01. KE30'!$A:$A,'06. BC BH THEO CUSTOMER-USD'!U$4)/'06. BC BH THEO CUSTOMER-USD'!DA40/'02. Tỷ giá'!J$5,"-")</f>
        <v>-</v>
      </c>
      <c r="V40" s="106" t="str">
        <f>IFERROR(SUMIFS('01. KE30'!$K:$K,'01. KE30'!$C:$C,'06. BC BH THEO CUSTOMER-USD'!$D40,'01. KE30'!$F:$F,'06. BC BH THEO CUSTOMER-USD'!$H40,'01. KE30'!$A:$A,'06. BC BH THEO CUSTOMER-USD'!V$4)/'06. BC BH THEO CUSTOMER-USD'!DB40/'02. Tỷ giá'!K$5,"-")</f>
        <v>-</v>
      </c>
      <c r="W40" s="106" t="str">
        <f>IFERROR(SUMIFS('01. KE30'!$K:$K,'01. KE30'!$C:$C,'06. BC BH THEO CUSTOMER-USD'!$D40,'01. KE30'!$F:$F,'06. BC BH THEO CUSTOMER-USD'!$H40,'01. KE30'!$A:$A,'06. BC BH THEO CUSTOMER-USD'!W$4)/'06. BC BH THEO CUSTOMER-USD'!DC40/'02. Tỷ giá'!L$5,"-")</f>
        <v>-</v>
      </c>
      <c r="X40" s="106" t="str">
        <f>IFERROR(SUMIFS('01. KE30'!$K:$K,'01. KE30'!$C:$C,'06. BC BH THEO CUSTOMER-USD'!$D40,'01. KE30'!$F:$F,'06. BC BH THEO CUSTOMER-USD'!$H40,'01. KE30'!$A:$A,'06. BC BH THEO CUSTOMER-USD'!X$4)/'06. BC BH THEO CUSTOMER-USD'!DD40/'02. Tỷ giá'!M$5,"-")</f>
        <v>-</v>
      </c>
      <c r="Z40" s="92">
        <f t="shared" si="43"/>
        <v>1270.2552745314895</v>
      </c>
      <c r="AA40" s="147">
        <f>IFERROR(SUMIFS('01. KE30'!$O:$O,'01. KE30'!$C:$C,'06. BC BH THEO CUSTOMER-USD'!$D40,'01. KE30'!$F:$F,'06. BC BH THEO CUSTOMER-USD'!$H40,'01. KE30'!$A:$A,'06. BC BH THEO CUSTOMER-USD'!M$4)/'06. BC BH THEO CUSTOMER-USD'!CS40/'02. Tỷ giá'!B$5,"-")</f>
        <v>1304.4158972300281</v>
      </c>
      <c r="AB40" s="147">
        <f>IFERROR(SUMIFS('01. KE30'!$O:$O,'01. KE30'!$C:$C,'06. BC BH THEO CUSTOMER-USD'!$D40,'01. KE30'!$F:$F,'06. BC BH THEO CUSTOMER-USD'!$H40,'01. KE30'!$A:$A,'06. BC BH THEO CUSTOMER-USD'!N$4)/'06. BC BH THEO CUSTOMER-USD'!CT40/'02. Tỷ giá'!C$5,"-")</f>
        <v>1300.5120126033871</v>
      </c>
      <c r="AC40" s="147">
        <f>IFERROR(SUMIFS('01. KE30'!$O:$O,'01. KE30'!$C:$C,'06. BC BH THEO CUSTOMER-USD'!$D40,'01. KE30'!$F:$F,'06. BC BH THEO CUSTOMER-USD'!$H40,'01. KE30'!$A:$A,'06. BC BH THEO CUSTOMER-USD'!O$4)/'06. BC BH THEO CUSTOMER-USD'!CU40/'02. Tỷ giá'!D$5,"-")</f>
        <v>1300</v>
      </c>
      <c r="AD40" s="147" t="str">
        <f>IFERROR(SUMIFS('01. KE30'!$O:$O,'01. KE30'!$C:$C,'06. BC BH THEO CUSTOMER-USD'!$D40,'01. KE30'!$F:$F,'06. BC BH THEO CUSTOMER-USD'!$H40,'01. KE30'!$A:$A,'06. BC BH THEO CUSTOMER-USD'!P$4)/'06. BC BH THEO CUSTOMER-USD'!CV40/'02. Tỷ giá'!E$5,"-")</f>
        <v>-</v>
      </c>
      <c r="AE40" s="147">
        <f>IFERROR(SUMIFS('01. KE30'!$O:$O,'01. KE30'!$C:$C,'06. BC BH THEO CUSTOMER-USD'!$D40,'01. KE30'!$F:$F,'06. BC BH THEO CUSTOMER-USD'!$H40,'01. KE30'!$A:$A,'06. BC BH THEO CUSTOMER-USD'!Q$4)/'06. BC BH THEO CUSTOMER-USD'!CW40/'02. Tỷ giá'!F$5,"-")</f>
        <v>1239.8685228151585</v>
      </c>
      <c r="AF40" s="147">
        <f>IFERROR(SUMIFS('01. KE30'!$O:$O,'01. KE30'!$C:$C,'06. BC BH THEO CUSTOMER-USD'!$D40,'01. KE30'!$F:$F,'06. BC BH THEO CUSTOMER-USD'!$H40,'01. KE30'!$A:$A,'06. BC BH THEO CUSTOMER-USD'!R$4)/'06. BC BH THEO CUSTOMER-USD'!CX40/'02. Tỷ giá'!G$5,"-")</f>
        <v>1236.9791666666667</v>
      </c>
      <c r="AG40" s="147" t="str">
        <f>IFERROR(SUMIFS('01. KE30'!$O:$O,'01. KE30'!$C:$C,'06. BC BH THEO CUSTOMER-USD'!$D40,'01. KE30'!$F:$F,'06. BC BH THEO CUSTOMER-USD'!$H40,'01. KE30'!$A:$A,'06. BC BH THEO CUSTOMER-USD'!S$4)/'06. BC BH THEO CUSTOMER-USD'!CY40/'02. Tỷ giá'!H$5,"-")</f>
        <v>-</v>
      </c>
      <c r="AH40" s="147">
        <f>IFERROR(SUMIFS('01. KE30'!$O:$O,'01. KE30'!$C:$C,'06. BC BH THEO CUSTOMER-USD'!$D40,'01. KE30'!$F:$F,'06. BC BH THEO CUSTOMER-USD'!$H40,'01. KE30'!$A:$A,'06. BC BH THEO CUSTOMER-USD'!T$4)/'06. BC BH THEO CUSTOMER-USD'!CZ40/'02. Tỷ giá'!I$5,"-")</f>
        <v>1239.7560478736948</v>
      </c>
      <c r="AI40" s="147" t="str">
        <f>IFERROR(SUMIFS('01. KE30'!$O:$O,'01. KE30'!$C:$C,'06. BC BH THEO CUSTOMER-USD'!$D40,'01. KE30'!$F:$F,'06. BC BH THEO CUSTOMER-USD'!$H40,'01. KE30'!$A:$A,'06. BC BH THEO CUSTOMER-USD'!U$4)/'06. BC BH THEO CUSTOMER-USD'!DA40/'02. Tỷ giá'!J$5,"-")</f>
        <v>-</v>
      </c>
      <c r="AJ40" s="147" t="str">
        <f>IFERROR(SUMIFS('01. KE30'!$O:$O,'01. KE30'!$C:$C,'06. BC BH THEO CUSTOMER-USD'!$D40,'01. KE30'!$F:$F,'06. BC BH THEO CUSTOMER-USD'!$H40,'01. KE30'!$A:$A,'06. BC BH THEO CUSTOMER-USD'!V$4)/'06. BC BH THEO CUSTOMER-USD'!DB40/'02. Tỷ giá'!K$5,"-")</f>
        <v>-</v>
      </c>
      <c r="AK40" s="147" t="str">
        <f>IFERROR(SUMIFS('01. KE30'!$O:$O,'01. KE30'!$C:$C,'06. BC BH THEO CUSTOMER-USD'!$D40,'01. KE30'!$F:$F,'06. BC BH THEO CUSTOMER-USD'!$H40,'01. KE30'!$A:$A,'06. BC BH THEO CUSTOMER-USD'!W$4)/'06. BC BH THEO CUSTOMER-USD'!DC40/'02. Tỷ giá'!L$5,"-")</f>
        <v>-</v>
      </c>
      <c r="AL40" s="147" t="str">
        <f>IFERROR(SUMIFS('01. KE30'!$O:$O,'01. KE30'!$C:$C,'06. BC BH THEO CUSTOMER-USD'!$D40,'01. KE30'!$F:$F,'06. BC BH THEO CUSTOMER-USD'!$H40,'01. KE30'!$A:$A,'06. BC BH THEO CUSTOMER-USD'!X$4)/'06. BC BH THEO CUSTOMER-USD'!DD40/'02. Tỷ giá'!M$5,"-")</f>
        <v>-</v>
      </c>
      <c r="AN40" s="92">
        <f t="shared" si="44"/>
        <v>1236.6666666666667</v>
      </c>
      <c r="AO40" s="25">
        <v>1230</v>
      </c>
      <c r="AP40" s="25">
        <v>1230</v>
      </c>
      <c r="AQ40" s="25">
        <v>1230</v>
      </c>
      <c r="AR40" s="25">
        <f t="shared" si="200"/>
        <v>1250</v>
      </c>
      <c r="AS40" s="25">
        <v>1250</v>
      </c>
      <c r="AT40" s="25">
        <v>1250</v>
      </c>
      <c r="AU40" s="25">
        <v>1250</v>
      </c>
      <c r="AV40" s="4">
        <f t="shared" si="198"/>
        <v>1220</v>
      </c>
      <c r="AW40" s="25">
        <v>1220</v>
      </c>
      <c r="AX40" s="25"/>
      <c r="AY40" s="4"/>
      <c r="AZ40" s="4"/>
      <c r="BB40" s="95">
        <f t="shared" si="45"/>
        <v>33.588607864822734</v>
      </c>
      <c r="BC40" s="95">
        <f t="shared" si="46"/>
        <v>74.415897230028122</v>
      </c>
      <c r="BD40" s="95">
        <f t="shared" ref="BD40:BN57" si="201">IF(N40&lt;&gt;"-",AB40-AP40,"-")</f>
        <v>70.51201260338712</v>
      </c>
      <c r="BE40" s="95">
        <f t="shared" si="201"/>
        <v>70</v>
      </c>
      <c r="BF40" s="95" t="str">
        <f t="shared" si="201"/>
        <v>-</v>
      </c>
      <c r="BG40" s="95">
        <f t="shared" si="201"/>
        <v>-10.131477184841515</v>
      </c>
      <c r="BH40" s="95">
        <f t="shared" si="201"/>
        <v>-13.020833333333258</v>
      </c>
      <c r="BI40" s="95" t="str">
        <f t="shared" si="201"/>
        <v>-</v>
      </c>
      <c r="BJ40" s="95">
        <f t="shared" si="201"/>
        <v>19.756047873694797</v>
      </c>
      <c r="BK40" s="95" t="str">
        <f t="shared" si="201"/>
        <v>-</v>
      </c>
      <c r="BL40" s="95" t="str">
        <f t="shared" si="201"/>
        <v>-</v>
      </c>
      <c r="BM40" s="95" t="str">
        <f t="shared" si="201"/>
        <v>-</v>
      </c>
      <c r="BN40" s="95" t="str">
        <f t="shared" si="201"/>
        <v>-</v>
      </c>
      <c r="BP40" s="143">
        <f t="shared" si="47"/>
        <v>2.7160599351608677E-2</v>
      </c>
      <c r="BQ40" s="143">
        <f t="shared" ref="BQ40:BQ77" si="202">IFERROR(IF(BC40&lt;&gt;"-",BC40/AO40,"-"),"-")</f>
        <v>6.0500729455307413E-2</v>
      </c>
      <c r="BR40" s="143">
        <f t="shared" si="9"/>
        <v>5.732683951494888E-2</v>
      </c>
      <c r="BS40" s="143">
        <f t="shared" si="10"/>
        <v>5.6910569105691054E-2</v>
      </c>
      <c r="BT40" s="143" t="str">
        <f t="shared" si="11"/>
        <v>-</v>
      </c>
      <c r="BU40" s="143">
        <f t="shared" si="12"/>
        <v>-8.1051817478732125E-3</v>
      </c>
      <c r="BV40" s="143">
        <f t="shared" si="13"/>
        <v>-1.0416666666666605E-2</v>
      </c>
      <c r="BW40" s="143" t="str">
        <f t="shared" si="14"/>
        <v>-</v>
      </c>
      <c r="BX40" s="143">
        <f t="shared" si="15"/>
        <v>1.6193481863684259E-2</v>
      </c>
      <c r="BY40" s="143" t="str">
        <f t="shared" si="16"/>
        <v>-</v>
      </c>
      <c r="BZ40" s="143" t="str">
        <f t="shared" si="17"/>
        <v>-</v>
      </c>
      <c r="CA40" s="143" t="str">
        <f t="shared" si="18"/>
        <v>-</v>
      </c>
      <c r="CB40" s="143" t="str">
        <f t="shared" si="19"/>
        <v>-</v>
      </c>
      <c r="CD40" s="112">
        <f t="shared" si="25"/>
        <v>1039.3813993403962</v>
      </c>
      <c r="CE40" s="95">
        <f>IFERROR(SUMIFS('01. KE30'!$R:$R,'01. KE30'!$C:$C,'06. BC BH THEO CUSTOMER-USD'!$D40,'01. KE30'!$F:$F,'06. BC BH THEO CUSTOMER-USD'!$H40,'01. KE30'!$A:$A,'06. BC BH THEO CUSTOMER-USD'!CE$4)/CS40/'02. Tỷ giá'!B$5," -")</f>
        <v>1026.9498266486626</v>
      </c>
      <c r="CF40" s="95">
        <f>IFERROR(SUMIFS('01. KE30'!$R:$R,'01. KE30'!$C:$C,'06. BC BH THEO CUSTOMER-USD'!$D40,'01. KE30'!$F:$F,'06. BC BH THEO CUSTOMER-USD'!$H40,'01. KE30'!$A:$A,'06. BC BH THEO CUSTOMER-USD'!CF$4)/CT40/'02. Tỷ giá'!C$5," -")</f>
        <v>987.02003652117867</v>
      </c>
      <c r="CG40" s="95">
        <f>IFERROR(SUMIFS('01. KE30'!$R:$R,'01. KE30'!$C:$C,'06. BC BH THEO CUSTOMER-USD'!$D40,'01. KE30'!$F:$F,'06. BC BH THEO CUSTOMER-USD'!$H40,'01. KE30'!$A:$A,'06. BC BH THEO CUSTOMER-USD'!CG$4)/CU40/'02. Tỷ giá'!D$5," -")</f>
        <v>1032.9728990694346</v>
      </c>
      <c r="CH40" s="95" t="str">
        <f>IFERROR(SUMIFS('01. KE30'!$R:$R,'01. KE30'!$C:$C,'06. BC BH THEO CUSTOMER-USD'!$D40,'01. KE30'!$F:$F,'06. BC BH THEO CUSTOMER-USD'!$H40,'01. KE30'!$A:$A,'06. BC BH THEO CUSTOMER-USD'!CH$4)/CV40/'02. Tỷ giá'!E$5," -")</f>
        <v xml:space="preserve"> -</v>
      </c>
      <c r="CI40" s="95">
        <f>IFERROR(SUMIFS('01. KE30'!$R:$R,'01. KE30'!$C:$C,'06. BC BH THEO CUSTOMER-USD'!$D40,'01. KE30'!$F:$F,'06. BC BH THEO CUSTOMER-USD'!$H40,'01. KE30'!$A:$A,'06. BC BH THEO CUSTOMER-USD'!CI$4)/CW40/'02. Tỷ giá'!F$5," -")</f>
        <v>1049.5963931659987</v>
      </c>
      <c r="CJ40" s="95">
        <f>IFERROR(SUMIFS('01. KE30'!$R:$R,'01. KE30'!$C:$C,'06. BC BH THEO CUSTOMER-USD'!$D40,'01. KE30'!$F:$F,'06. BC BH THEO CUSTOMER-USD'!$H40,'01. KE30'!$A:$A,'06. BC BH THEO CUSTOMER-USD'!CJ$4)/CX40/'02. Tỷ giá'!G$5," -")</f>
        <v>1078.8699249438832</v>
      </c>
      <c r="CK40" s="95" t="str">
        <f>IFERROR(SUMIFS('01. KE30'!$R:$R,'01. KE30'!$C:$C,'06. BC BH THEO CUSTOMER-USD'!$D40,'01. KE30'!$F:$F,'06. BC BH THEO CUSTOMER-USD'!$H40,'01. KE30'!$A:$A,'06. BC BH THEO CUSTOMER-USD'!CK$4)/CY40/'02. Tỷ giá'!H$5," -")</f>
        <v xml:space="preserve"> -</v>
      </c>
      <c r="CL40" s="95">
        <f>IFERROR(SUMIFS('01. KE30'!$R:$R,'01. KE30'!$C:$C,'06. BC BH THEO CUSTOMER-USD'!$D40,'01. KE30'!$F:$F,'06. BC BH THEO CUSTOMER-USD'!$H40,'01. KE30'!$A:$A,'06. BC BH THEO CUSTOMER-USD'!CL$4)/CZ40/'02. Tỷ giá'!I$5," -")</f>
        <v>1060.8793156932195</v>
      </c>
      <c r="CM40" s="95" t="str">
        <f>IFERROR(SUMIFS('01. KE30'!$R:$R,'01. KE30'!$C:$C,'06. BC BH THEO CUSTOMER-USD'!$D40,'01. KE30'!$F:$F,'06. BC BH THEO CUSTOMER-USD'!$H40,'01. KE30'!$A:$A,'06. BC BH THEO CUSTOMER-USD'!CM$4)/DA40/'02. Tỷ giá'!J$5," -")</f>
        <v xml:space="preserve"> -</v>
      </c>
      <c r="CN40" s="95" t="str">
        <f>IFERROR(SUMIFS('01. KE30'!$R:$R,'01. KE30'!$C:$C,'06. BC BH THEO CUSTOMER-USD'!$D40,'01. KE30'!$F:$F,'06. BC BH THEO CUSTOMER-USD'!$H40,'01. KE30'!$A:$A,'06. BC BH THEO CUSTOMER-USD'!CN$4)/DB40/'02. Tỷ giá'!K$5," -")</f>
        <v xml:space="preserve"> -</v>
      </c>
      <c r="CO40" s="95" t="str">
        <f>IFERROR(SUMIFS('01. KE30'!$R:$R,'01. KE30'!$C:$C,'06. BC BH THEO CUSTOMER-USD'!$D40,'01. KE30'!$F:$F,'06. BC BH THEO CUSTOMER-USD'!$H40,'01. KE30'!$A:$A,'06. BC BH THEO CUSTOMER-USD'!CO$4)/DC40/'02. Tỷ giá'!L$5," -")</f>
        <v xml:space="preserve"> -</v>
      </c>
      <c r="CP40" s="95" t="str">
        <f>IFERROR(SUMIFS('01. KE30'!$R:$R,'01. KE30'!$C:$C,'06. BC BH THEO CUSTOMER-USD'!$D40,'01. KE30'!$F:$F,'06. BC BH THEO CUSTOMER-USD'!$H40,'01. KE30'!$A:$A,'06. BC BH THEO CUSTOMER-USD'!CP$4)/DD40/'02. Tỷ giá'!M$5," -")</f>
        <v xml:space="preserve"> -</v>
      </c>
      <c r="CR40" s="112">
        <f t="shared" si="26"/>
        <v>93.5</v>
      </c>
      <c r="CS40" s="114">
        <f>SUMIFS('01. KE30'!$I:$I,'01. KE30'!$C:$C,'06. BC BH THEO CUSTOMER-USD'!$D40,'01. KE30'!$F:$F,'06. BC BH THEO CUSTOMER-USD'!$H40,'01. KE30'!$A:$A,'06. BC BH THEO CUSTOMER-USD'!CS$4)/1000</f>
        <v>11</v>
      </c>
      <c r="CT40" s="114">
        <f>SUMIFS('01. KE30'!$I:$I,'01. KE30'!$C:$C,'06. BC BH THEO CUSTOMER-USD'!$D40,'01. KE30'!$F:$F,'06. BC BH THEO CUSTOMER-USD'!$H40,'01. KE30'!$A:$A,'06. BC BH THEO CUSTOMER-USD'!CT$4)/1000</f>
        <v>11</v>
      </c>
      <c r="CU40" s="114">
        <f>SUMIFS('01. KE30'!$I:$I,'01. KE30'!$C:$C,'06. BC BH THEO CUSTOMER-USD'!$D40,'01. KE30'!$F:$F,'06. BC BH THEO CUSTOMER-USD'!$H40,'01. KE30'!$A:$A,'06. BC BH THEO CUSTOMER-USD'!CU$4)/1000</f>
        <v>22</v>
      </c>
      <c r="CV40" s="114">
        <f>SUMIFS('01. KE30'!$I:$I,'01. KE30'!$C:$C,'06. BC BH THEO CUSTOMER-USD'!$D40,'01. KE30'!$F:$F,'06. BC BH THEO CUSTOMER-USD'!$H40,'01. KE30'!$A:$A,'06. BC BH THEO CUSTOMER-USD'!CV$4)/1000</f>
        <v>0</v>
      </c>
      <c r="CW40" s="114">
        <f>SUMIFS('01. KE30'!$I:$I,'01. KE30'!$C:$C,'06. BC BH THEO CUSTOMER-USD'!$D40,'01. KE30'!$F:$F,'06. BC BH THEO CUSTOMER-USD'!$H40,'01. KE30'!$A:$A,'06. BC BH THEO CUSTOMER-USD'!CW$4)/1000</f>
        <v>22</v>
      </c>
      <c r="CX40" s="114">
        <f>SUMIFS('01. KE30'!$I:$I,'01. KE30'!$C:$C,'06. BC BH THEO CUSTOMER-USD'!$D40,'01. KE30'!$F:$F,'06. BC BH THEO CUSTOMER-USD'!$H40,'01. KE30'!$A:$A,'06. BC BH THEO CUSTOMER-USD'!CX$4)/1000</f>
        <v>11</v>
      </c>
      <c r="CY40" s="114">
        <f>SUMIFS('01. KE30'!$I:$I,'01. KE30'!$C:$C,'06. BC BH THEO CUSTOMER-USD'!$D40,'01. KE30'!$F:$F,'06. BC BH THEO CUSTOMER-USD'!$H40,'01. KE30'!$A:$A,'06. BC BH THEO CUSTOMER-USD'!CY$4)/1000</f>
        <v>0</v>
      </c>
      <c r="CZ40" s="114">
        <f>SUMIFS('01. KE30'!$I:$I,'01. KE30'!$C:$C,'06. BC BH THEO CUSTOMER-USD'!$D40,'01. KE30'!$F:$F,'06. BC BH THEO CUSTOMER-USD'!$H40,'01. KE30'!$A:$A,'06. BC BH THEO CUSTOMER-USD'!CZ$4)/1000</f>
        <v>16.5</v>
      </c>
      <c r="DA40" s="114">
        <f>SUMIFS('01. KE30'!$I:$I,'01. KE30'!$C:$C,'06. BC BH THEO CUSTOMER-USD'!$D40,'01. KE30'!$F:$F,'06. BC BH THEO CUSTOMER-USD'!$H40,'01. KE30'!$A:$A,'06. BC BH THEO CUSTOMER-USD'!DA$4)/1000</f>
        <v>0</v>
      </c>
      <c r="DB40" s="114">
        <f>SUMIFS('01. KE30'!$I:$I,'01. KE30'!$C:$C,'06. BC BH THEO CUSTOMER-USD'!$D40,'01. KE30'!$F:$F,'06. BC BH THEO CUSTOMER-USD'!$H40,'01. KE30'!$A:$A,'06. BC BH THEO CUSTOMER-USD'!DB$4)/1000</f>
        <v>0</v>
      </c>
      <c r="DC40" s="114">
        <f>SUMIFS('01. KE30'!$I:$I,'01. KE30'!$C:$C,'06. BC BH THEO CUSTOMER-USD'!$D40,'01. KE30'!$F:$F,'06. BC BH THEO CUSTOMER-USD'!$H40,'01. KE30'!$A:$A,'06. BC BH THEO CUSTOMER-USD'!DC$4)/1000</f>
        <v>0</v>
      </c>
      <c r="DD40" s="114">
        <f>SUMIFS('01. KE30'!$I:$I,'01. KE30'!$C:$C,'06. BC BH THEO CUSTOMER-USD'!$D40,'01. KE30'!$F:$F,'06. BC BH THEO CUSTOMER-USD'!$H40,'01. KE30'!$A:$A,'06. BC BH THEO CUSTOMER-USD'!DD$4)/1000</f>
        <v>0</v>
      </c>
      <c r="DF40" s="112">
        <f t="shared" si="199"/>
        <v>118594.06013335034</v>
      </c>
      <c r="DG40" s="54">
        <f t="shared" si="48"/>
        <v>14348.57486953031</v>
      </c>
      <c r="DH40" s="54">
        <f t="shared" si="49"/>
        <v>14305.632138637258</v>
      </c>
      <c r="DI40" s="54">
        <f t="shared" si="50"/>
        <v>28600</v>
      </c>
      <c r="DJ40" s="54" t="str">
        <f t="shared" si="51"/>
        <v>-</v>
      </c>
      <c r="DK40" s="54">
        <f t="shared" si="52"/>
        <v>27277.107501933486</v>
      </c>
      <c r="DL40" s="54">
        <f t="shared" si="53"/>
        <v>13606.770833333334</v>
      </c>
      <c r="DM40" s="54" t="str">
        <f t="shared" si="54"/>
        <v>-</v>
      </c>
      <c r="DN40" s="54">
        <f t="shared" si="55"/>
        <v>20455.974789915963</v>
      </c>
      <c r="DO40" s="54" t="str">
        <f t="shared" si="56"/>
        <v>-</v>
      </c>
      <c r="DP40" s="54" t="str">
        <f t="shared" si="57"/>
        <v>-</v>
      </c>
      <c r="DQ40" s="54" t="str">
        <f t="shared" si="58"/>
        <v>-</v>
      </c>
      <c r="DR40" s="54" t="str">
        <f t="shared" si="59"/>
        <v>-</v>
      </c>
      <c r="DT40" s="112">
        <f t="shared" si="60"/>
        <v>21251.789325981739</v>
      </c>
      <c r="DU40" s="114">
        <f>IFERROR(SUMIFS('01. KE30'!$X:$X,'01. KE30'!$C:$C,'06. BC BH THEO CUSTOMER-USD'!$D40,'01. KE30'!$F:$F,'06. BC BH THEO CUSTOMER-USD'!$H40,'01. KE30'!$A:$A,'06. BC BH THEO CUSTOMER-USD'!DU$4)-SUMIFS('01. KE30'!$AA:$AA,'01. KE30'!$C:$C,'06. BC BH THEO CUSTOMER-USD'!$D40,'01. KE30'!$F:$F,'06. BC BH THEO CUSTOMER-USD'!$H40,'01. KE30'!$A:$A,'06. BC BH THEO CUSTOMER-USD'!DU$4),"-")</f>
        <v>3052.1267763950218</v>
      </c>
      <c r="DV40" s="114">
        <f>IFERROR(SUMIFS('01. KE30'!$X:$X,'01. KE30'!$C:$C,'06. BC BH THEO CUSTOMER-USD'!$D40,'01. KE30'!$F:$F,'06. BC BH THEO CUSTOMER-USD'!$H40,'01. KE30'!$A:$A,'06. BC BH THEO CUSTOMER-USD'!DV$4)-SUMIFS('01. KE30'!$AA:$AA,'01. KE30'!$C:$C,'06. BC BH THEO CUSTOMER-USD'!$D40,'01. KE30'!$F:$F,'06. BC BH THEO CUSTOMER-USD'!$H40,'01. KE30'!$A:$A,'06. BC BH THEO CUSTOMER-USD'!DV$4),"-")</f>
        <v>3448.4117369042924</v>
      </c>
      <c r="DW40" s="114">
        <f>IFERROR(SUMIFS('01. KE30'!$X:$X,'01. KE30'!$C:$C,'06. BC BH THEO CUSTOMER-USD'!$D40,'01. KE30'!$F:$F,'06. BC BH THEO CUSTOMER-USD'!$H40,'01. KE30'!$A:$A,'06. BC BH THEO CUSTOMER-USD'!DW$4)-SUMIFS('01. KE30'!$AA:$AA,'01. KE30'!$C:$C,'06. BC BH THEO CUSTOMER-USD'!$D40,'01. KE30'!$F:$F,'06. BC BH THEO CUSTOMER-USD'!$H40,'01. KE30'!$A:$A,'06. BC BH THEO CUSTOMER-USD'!DW$4),"-")</f>
        <v>5874.5962204724419</v>
      </c>
      <c r="DX40" s="114">
        <f>IFERROR(SUMIFS('01. KE30'!$X:$X,'01. KE30'!$C:$C,'06. BC BH THEO CUSTOMER-USD'!$D40,'01. KE30'!$F:$F,'06. BC BH THEO CUSTOMER-USD'!$H40,'01. KE30'!$A:$A,'06. BC BH THEO CUSTOMER-USD'!DX$4)-SUMIFS('01. KE30'!$AA:$AA,'01. KE30'!$C:$C,'06. BC BH THEO CUSTOMER-USD'!$D40,'01. KE30'!$F:$F,'06. BC BH THEO CUSTOMER-USD'!$H40,'01. KE30'!$A:$A,'06. BC BH THEO CUSTOMER-USD'!DX$4),"-")</f>
        <v>0</v>
      </c>
      <c r="DY40" s="114">
        <f>IFERROR(SUMIFS('01. KE30'!$X:$X,'01. KE30'!$C:$C,'06. BC BH THEO CUSTOMER-USD'!$D40,'01. KE30'!$F:$F,'06. BC BH THEO CUSTOMER-USD'!$H40,'01. KE30'!$A:$A,'06. BC BH THEO CUSTOMER-USD'!DY$4)-SUMIFS('01. KE30'!$AA:$AA,'01. KE30'!$C:$C,'06. BC BH THEO CUSTOMER-USD'!$D40,'01. KE30'!$F:$F,'06. BC BH THEO CUSTOMER-USD'!$H40,'01. KE30'!$A:$A,'06. BC BH THEO CUSTOMER-USD'!DY$4),"-")</f>
        <v>4185.9868522815159</v>
      </c>
      <c r="DZ40" s="114">
        <f>IFERROR(SUMIFS('01. KE30'!$X:$X,'01. KE30'!$C:$C,'06. BC BH THEO CUSTOMER-USD'!$D40,'01. KE30'!$F:$F,'06. BC BH THEO CUSTOMER-USD'!$H40,'01. KE30'!$A:$A,'06. BC BH THEO CUSTOMER-USD'!DZ$4)-SUMIFS('01. KE30'!$AA:$AA,'01. KE30'!$C:$C,'06. BC BH THEO CUSTOMER-USD'!$D40,'01. KE30'!$F:$F,'06. BC BH THEO CUSTOMER-USD'!$H40,'01. KE30'!$A:$A,'06. BC BH THEO CUSTOMER-USD'!DZ$4),"-")</f>
        <v>1739.2016589506184</v>
      </c>
      <c r="EA40" s="114">
        <f>IFERROR(SUMIFS('01. KE30'!$X:$X,'01. KE30'!$C:$C,'06. BC BH THEO CUSTOMER-USD'!$D40,'01. KE30'!$F:$F,'06. BC BH THEO CUSTOMER-USD'!$H40,'01. KE30'!$A:$A,'06. BC BH THEO CUSTOMER-USD'!EA$4)-SUMIFS('01. KE30'!$AA:$AA,'01. KE30'!$C:$C,'06. BC BH THEO CUSTOMER-USD'!$D40,'01. KE30'!$F:$F,'06. BC BH THEO CUSTOMER-USD'!$H40,'01. KE30'!$A:$A,'06. BC BH THEO CUSTOMER-USD'!EA$4),"-")</f>
        <v>0</v>
      </c>
      <c r="EB40" s="114">
        <f>IFERROR(SUMIFS('01. KE30'!$X:$X,'01. KE30'!$C:$C,'06. BC BH THEO CUSTOMER-USD'!$D40,'01. KE30'!$F:$F,'06. BC BH THEO CUSTOMER-USD'!$H40,'01. KE30'!$A:$A,'06. BC BH THEO CUSTOMER-USD'!EB$4)-SUMIFS('01. KE30'!$AA:$AA,'01. KE30'!$C:$C,'06. BC BH THEO CUSTOMER-USD'!$D40,'01. KE30'!$F:$F,'06. BC BH THEO CUSTOMER-USD'!$H40,'01. KE30'!$A:$A,'06. BC BH THEO CUSTOMER-USD'!EB$4),"-")</f>
        <v>2951.466080977847</v>
      </c>
      <c r="EC40" s="114">
        <f>IFERROR(SUMIFS('01. KE30'!$X:$X,'01. KE30'!$C:$C,'06. BC BH THEO CUSTOMER-USD'!$D40,'01. KE30'!$F:$F,'06. BC BH THEO CUSTOMER-USD'!$H40,'01. KE30'!$A:$A,'06. BC BH THEO CUSTOMER-USD'!EC$4)-SUMIFS('01. KE30'!$AA:$AA,'01. KE30'!$C:$C,'06. BC BH THEO CUSTOMER-USD'!$D40,'01. KE30'!$F:$F,'06. BC BH THEO CUSTOMER-USD'!$H40,'01. KE30'!$A:$A,'06. BC BH THEO CUSTOMER-USD'!EC$4),"-")</f>
        <v>0</v>
      </c>
      <c r="ED40" s="114">
        <f>IFERROR(SUMIFS('01. KE30'!$X:$X,'01. KE30'!$C:$C,'06. BC BH THEO CUSTOMER-USD'!$D40,'01. KE30'!$F:$F,'06. BC BH THEO CUSTOMER-USD'!$H40,'01. KE30'!$A:$A,'06. BC BH THEO CUSTOMER-USD'!ED$4)-SUMIFS('01. KE30'!$AA:$AA,'01. KE30'!$C:$C,'06. BC BH THEO CUSTOMER-USD'!$D40,'01. KE30'!$F:$F,'06. BC BH THEO CUSTOMER-USD'!$H40,'01. KE30'!$A:$A,'06. BC BH THEO CUSTOMER-USD'!ED$4),"-")</f>
        <v>0</v>
      </c>
      <c r="EE40" s="114">
        <f>IFERROR(SUMIFS('01. KE30'!$X:$X,'01. KE30'!$C:$C,'06. BC BH THEO CUSTOMER-USD'!$D40,'01. KE30'!$F:$F,'06. BC BH THEO CUSTOMER-USD'!$H40,'01. KE30'!$A:$A,'06. BC BH THEO CUSTOMER-USD'!EE$4)-SUMIFS('01. KE30'!$AA:$AA,'01. KE30'!$C:$C,'06. BC BH THEO CUSTOMER-USD'!$D40,'01. KE30'!$F:$F,'06. BC BH THEO CUSTOMER-USD'!$H40,'01. KE30'!$A:$A,'06. BC BH THEO CUSTOMER-USD'!EE$4),"-")</f>
        <v>0</v>
      </c>
      <c r="EF40" s="114">
        <f>IFERROR(SUMIFS('01. KE30'!$X:$X,'01. KE30'!$C:$C,'06. BC BH THEO CUSTOMER-USD'!$D40,'01. KE30'!$F:$F,'06. BC BH THEO CUSTOMER-USD'!$H40,'01. KE30'!$A:$A,'06. BC BH THEO CUSTOMER-USD'!EF$4)-SUMIFS('01. KE30'!$AA:$AA,'01. KE30'!$C:$C,'06. BC BH THEO CUSTOMER-USD'!$D40,'01. KE30'!$F:$F,'06. BC BH THEO CUSTOMER-USD'!$H40,'01. KE30'!$A:$A,'06. BC BH THEO CUSTOMER-USD'!EF$4),"-")</f>
        <v>0</v>
      </c>
      <c r="EH40" s="571">
        <f t="shared" si="29"/>
        <v>0.17919775494730222</v>
      </c>
      <c r="EI40" s="572">
        <f t="shared" si="30"/>
        <v>0.21271288641189848</v>
      </c>
      <c r="EJ40" s="572">
        <f t="shared" si="31"/>
        <v>0.24105273388029291</v>
      </c>
      <c r="EK40" s="572">
        <f t="shared" si="32"/>
        <v>0.20540546225428119</v>
      </c>
      <c r="EL40" s="572" t="str">
        <f t="shared" si="33"/>
        <v>-</v>
      </c>
      <c r="EM40" s="572">
        <f t="shared" si="34"/>
        <v>0.15346153737102808</v>
      </c>
      <c r="EN40" s="572">
        <f t="shared" si="35"/>
        <v>0.1278188396243134</v>
      </c>
      <c r="EO40" s="572" t="str">
        <f t="shared" si="36"/>
        <v>-</v>
      </c>
      <c r="EP40" s="572">
        <f t="shared" si="37"/>
        <v>0.1442838149386462</v>
      </c>
      <c r="EQ40" s="572" t="str">
        <f t="shared" si="38"/>
        <v>-</v>
      </c>
      <c r="ER40" s="572" t="str">
        <f t="shared" si="39"/>
        <v>-</v>
      </c>
      <c r="ES40" s="572" t="str">
        <f t="shared" si="40"/>
        <v>-</v>
      </c>
      <c r="ET40" s="572" t="str">
        <f t="shared" si="41"/>
        <v>-</v>
      </c>
    </row>
    <row r="41" spans="1:150" ht="15.5" hidden="1" outlineLevel="1" x14ac:dyDescent="0.35">
      <c r="A41" s="27">
        <f t="shared" si="63"/>
        <v>33</v>
      </c>
      <c r="B41" s="27" t="s">
        <v>283</v>
      </c>
      <c r="C41" s="442" t="s">
        <v>489</v>
      </c>
      <c r="D41" s="9" t="s">
        <v>460</v>
      </c>
      <c r="E41" s="12" t="s">
        <v>461</v>
      </c>
      <c r="F41" s="12" t="s">
        <v>256</v>
      </c>
      <c r="G41" s="12" t="str">
        <f>_xlfn.XLOOKUP(F41,'Quy đổi'!$G$5:$G$32,'Quy đổi'!$H$5:$H$32,0)</f>
        <v>Châu á</v>
      </c>
      <c r="H41" s="76" t="s">
        <v>127</v>
      </c>
      <c r="I41" s="7" t="s">
        <v>114</v>
      </c>
      <c r="J41" s="13" t="s">
        <v>26</v>
      </c>
      <c r="K41" s="11" t="s">
        <v>90</v>
      </c>
      <c r="L41" s="92">
        <f t="shared" si="42"/>
        <v>1580.5688478522682</v>
      </c>
      <c r="M41" s="106">
        <f>IFERROR(SUMIFS('01. KE30'!$K:$K,'01. KE30'!$C:$C,'06. BC BH THEO CUSTOMER-USD'!$D41,'01. KE30'!$F:$F,'06. BC BH THEO CUSTOMER-USD'!$H41,'01. KE30'!$A:$A,'06. BC BH THEO CUSTOMER-USD'!M$4)/'06. BC BH THEO CUSTOMER-USD'!CS41/'02. Tỷ giá'!B$5,"-")</f>
        <v>1580.5688478522682</v>
      </c>
      <c r="N41" s="106" t="str">
        <f>IFERROR(SUMIFS('01. KE30'!$K:$K,'01. KE30'!$C:$C,'06. BC BH THEO CUSTOMER-USD'!$D41,'01. KE30'!$F:$F,'06. BC BH THEO CUSTOMER-USD'!$H41,'01. KE30'!$A:$A,'06. BC BH THEO CUSTOMER-USD'!N$4)/'06. BC BH THEO CUSTOMER-USD'!CT41/'02. Tỷ giá'!C$5,"-")</f>
        <v>-</v>
      </c>
      <c r="O41" s="106" t="str">
        <f>IFERROR(SUMIFS('01. KE30'!$K:$K,'01. KE30'!$C:$C,'06. BC BH THEO CUSTOMER-USD'!$D41,'01. KE30'!$F:$F,'06. BC BH THEO CUSTOMER-USD'!$H41,'01. KE30'!$A:$A,'06. BC BH THEO CUSTOMER-USD'!O$4)/'06. BC BH THEO CUSTOMER-USD'!CU41/'02. Tỷ giá'!D$5,"-")</f>
        <v>-</v>
      </c>
      <c r="P41" s="106" t="str">
        <f>IFERROR(SUMIFS('01. KE30'!$K:$K,'01. KE30'!$C:$C,'06. BC BH THEO CUSTOMER-USD'!$D41,'01. KE30'!$F:$F,'06. BC BH THEO CUSTOMER-USD'!$H41,'01. KE30'!$A:$A,'06. BC BH THEO CUSTOMER-USD'!P$4)/'06. BC BH THEO CUSTOMER-USD'!CV41/'02. Tỷ giá'!E$5,"-")</f>
        <v>-</v>
      </c>
      <c r="Q41" s="106" t="str">
        <f>IFERROR(SUMIFS('01. KE30'!$K:$K,'01. KE30'!$C:$C,'06. BC BH THEO CUSTOMER-USD'!$D41,'01. KE30'!$F:$F,'06. BC BH THEO CUSTOMER-USD'!$H41,'01. KE30'!$A:$A,'06. BC BH THEO CUSTOMER-USD'!Q$4)/'06. BC BH THEO CUSTOMER-USD'!CW41/'02. Tỷ giá'!F$5,"-")</f>
        <v>-</v>
      </c>
      <c r="R41" s="106" t="str">
        <f>IFERROR(SUMIFS('01. KE30'!$K:$K,'01. KE30'!$C:$C,'06. BC BH THEO CUSTOMER-USD'!$D41,'01. KE30'!$F:$F,'06. BC BH THEO CUSTOMER-USD'!$H41,'01. KE30'!$A:$A,'06. BC BH THEO CUSTOMER-USD'!R$4)/'06. BC BH THEO CUSTOMER-USD'!CX41/'02. Tỷ giá'!G$5,"-")</f>
        <v>-</v>
      </c>
      <c r="S41" s="106" t="str">
        <f>IFERROR(SUMIFS('01. KE30'!$K:$K,'01. KE30'!$C:$C,'06. BC BH THEO CUSTOMER-USD'!$D41,'01. KE30'!$F:$F,'06. BC BH THEO CUSTOMER-USD'!$H41,'01. KE30'!$A:$A,'06. BC BH THEO CUSTOMER-USD'!S$4)/'06. BC BH THEO CUSTOMER-USD'!CY41/'02. Tỷ giá'!H$5,"-")</f>
        <v>-</v>
      </c>
      <c r="T41" s="106" t="str">
        <f>IFERROR(SUMIFS('01. KE30'!$K:$K,'01. KE30'!$C:$C,'06. BC BH THEO CUSTOMER-USD'!$D41,'01. KE30'!$F:$F,'06. BC BH THEO CUSTOMER-USD'!$H41,'01. KE30'!$A:$A,'06. BC BH THEO CUSTOMER-USD'!T$4)/'06. BC BH THEO CUSTOMER-USD'!CZ41/'02. Tỷ giá'!I$5,"-")</f>
        <v>-</v>
      </c>
      <c r="U41" s="106" t="str">
        <f>IFERROR(SUMIFS('01. KE30'!$K:$K,'01. KE30'!$C:$C,'06. BC BH THEO CUSTOMER-USD'!$D41,'01. KE30'!$F:$F,'06. BC BH THEO CUSTOMER-USD'!$H41,'01. KE30'!$A:$A,'06. BC BH THEO CUSTOMER-USD'!U$4)/'06. BC BH THEO CUSTOMER-USD'!DA41/'02. Tỷ giá'!J$5,"-")</f>
        <v>-</v>
      </c>
      <c r="V41" s="106" t="str">
        <f>IFERROR(SUMIFS('01. KE30'!$K:$K,'01. KE30'!$C:$C,'06. BC BH THEO CUSTOMER-USD'!$D41,'01. KE30'!$F:$F,'06. BC BH THEO CUSTOMER-USD'!$H41,'01. KE30'!$A:$A,'06. BC BH THEO CUSTOMER-USD'!V$4)/'06. BC BH THEO CUSTOMER-USD'!DB41/'02. Tỷ giá'!K$5,"-")</f>
        <v>-</v>
      </c>
      <c r="W41" s="106" t="str">
        <f>IFERROR(SUMIFS('01. KE30'!$K:$K,'01. KE30'!$C:$C,'06. BC BH THEO CUSTOMER-USD'!$D41,'01. KE30'!$F:$F,'06. BC BH THEO CUSTOMER-USD'!$H41,'01. KE30'!$A:$A,'06. BC BH THEO CUSTOMER-USD'!W$4)/'06. BC BH THEO CUSTOMER-USD'!DC41/'02. Tỷ giá'!L$5,"-")</f>
        <v>-</v>
      </c>
      <c r="X41" s="106" t="str">
        <f>IFERROR(SUMIFS('01. KE30'!$K:$K,'01. KE30'!$C:$C,'06. BC BH THEO CUSTOMER-USD'!$D41,'01. KE30'!$F:$F,'06. BC BH THEO CUSTOMER-USD'!$H41,'01. KE30'!$A:$A,'06. BC BH THEO CUSTOMER-USD'!X$4)/'06. BC BH THEO CUSTOMER-USD'!DD41/'02. Tỷ giá'!M$5,"-")</f>
        <v>-</v>
      </c>
      <c r="Z41" s="92">
        <f t="shared" si="43"/>
        <v>1368.6311448487281</v>
      </c>
      <c r="AA41" s="147">
        <f>IFERROR(SUMIFS('01. KE30'!$O:$O,'01. KE30'!$C:$C,'06. BC BH THEO CUSTOMER-USD'!$D41,'01. KE30'!$F:$F,'06. BC BH THEO CUSTOMER-USD'!$H41,'01. KE30'!$A:$A,'06. BC BH THEO CUSTOMER-USD'!M$4)/'06. BC BH THEO CUSTOMER-USD'!CS41/'02. Tỷ giá'!B$5,"-")</f>
        <v>1368.6311448487281</v>
      </c>
      <c r="AB41" s="147" t="str">
        <f>IFERROR(SUMIFS('01. KE30'!$O:$O,'01. KE30'!$C:$C,'06. BC BH THEO CUSTOMER-USD'!$D41,'01. KE30'!$F:$F,'06. BC BH THEO CUSTOMER-USD'!$H41,'01. KE30'!$A:$A,'06. BC BH THEO CUSTOMER-USD'!N$4)/'06. BC BH THEO CUSTOMER-USD'!CT41/'02. Tỷ giá'!C$5,"-")</f>
        <v>-</v>
      </c>
      <c r="AC41" s="147" t="str">
        <f>IFERROR(SUMIFS('01. KE30'!$O:$O,'01. KE30'!$C:$C,'06. BC BH THEO CUSTOMER-USD'!$D41,'01. KE30'!$F:$F,'06. BC BH THEO CUSTOMER-USD'!$H41,'01. KE30'!$A:$A,'06. BC BH THEO CUSTOMER-USD'!O$4)/'06. BC BH THEO CUSTOMER-USD'!CU41/'02. Tỷ giá'!D$5,"-")</f>
        <v>-</v>
      </c>
      <c r="AD41" s="147" t="str">
        <f>IFERROR(SUMIFS('01. KE30'!$O:$O,'01. KE30'!$C:$C,'06. BC BH THEO CUSTOMER-USD'!$D41,'01. KE30'!$F:$F,'06. BC BH THEO CUSTOMER-USD'!$H41,'01. KE30'!$A:$A,'06. BC BH THEO CUSTOMER-USD'!P$4)/'06. BC BH THEO CUSTOMER-USD'!CV41/'02. Tỷ giá'!E$5,"-")</f>
        <v>-</v>
      </c>
      <c r="AE41" s="147" t="str">
        <f>IFERROR(SUMIFS('01. KE30'!$O:$O,'01. KE30'!$C:$C,'06. BC BH THEO CUSTOMER-USD'!$D41,'01. KE30'!$F:$F,'06. BC BH THEO CUSTOMER-USD'!$H41,'01. KE30'!$A:$A,'06. BC BH THEO CUSTOMER-USD'!Q$4)/'06. BC BH THEO CUSTOMER-USD'!CW41/'02. Tỷ giá'!F$5,"-")</f>
        <v>-</v>
      </c>
      <c r="AF41" s="147" t="str">
        <f>IFERROR(SUMIFS('01. KE30'!$O:$O,'01. KE30'!$C:$C,'06. BC BH THEO CUSTOMER-USD'!$D41,'01. KE30'!$F:$F,'06. BC BH THEO CUSTOMER-USD'!$H41,'01. KE30'!$A:$A,'06. BC BH THEO CUSTOMER-USD'!R$4)/'06. BC BH THEO CUSTOMER-USD'!CX41/'02. Tỷ giá'!G$5,"-")</f>
        <v>-</v>
      </c>
      <c r="AG41" s="147" t="str">
        <f>IFERROR(SUMIFS('01. KE30'!$O:$O,'01. KE30'!$C:$C,'06. BC BH THEO CUSTOMER-USD'!$D41,'01. KE30'!$F:$F,'06. BC BH THEO CUSTOMER-USD'!$H41,'01. KE30'!$A:$A,'06. BC BH THEO CUSTOMER-USD'!S$4)/'06. BC BH THEO CUSTOMER-USD'!CY41/'02. Tỷ giá'!H$5,"-")</f>
        <v>-</v>
      </c>
      <c r="AH41" s="147" t="str">
        <f>IFERROR(SUMIFS('01. KE30'!$O:$O,'01. KE30'!$C:$C,'06. BC BH THEO CUSTOMER-USD'!$D41,'01. KE30'!$F:$F,'06. BC BH THEO CUSTOMER-USD'!$H41,'01. KE30'!$A:$A,'06. BC BH THEO CUSTOMER-USD'!T$4)/'06. BC BH THEO CUSTOMER-USD'!CZ41/'02. Tỷ giá'!I$5,"-")</f>
        <v>-</v>
      </c>
      <c r="AI41" s="147" t="str">
        <f>IFERROR(SUMIFS('01. KE30'!$O:$O,'01. KE30'!$C:$C,'06. BC BH THEO CUSTOMER-USD'!$D41,'01. KE30'!$F:$F,'06. BC BH THEO CUSTOMER-USD'!$H41,'01. KE30'!$A:$A,'06. BC BH THEO CUSTOMER-USD'!U$4)/'06. BC BH THEO CUSTOMER-USD'!DA41/'02. Tỷ giá'!J$5,"-")</f>
        <v>-</v>
      </c>
      <c r="AJ41" s="147" t="str">
        <f>IFERROR(SUMIFS('01. KE30'!$O:$O,'01. KE30'!$C:$C,'06. BC BH THEO CUSTOMER-USD'!$D41,'01. KE30'!$F:$F,'06. BC BH THEO CUSTOMER-USD'!$H41,'01. KE30'!$A:$A,'06. BC BH THEO CUSTOMER-USD'!V$4)/'06. BC BH THEO CUSTOMER-USD'!DB41/'02. Tỷ giá'!K$5,"-")</f>
        <v>-</v>
      </c>
      <c r="AK41" s="147" t="str">
        <f>IFERROR(SUMIFS('01. KE30'!$O:$O,'01. KE30'!$C:$C,'06. BC BH THEO CUSTOMER-USD'!$D41,'01. KE30'!$F:$F,'06. BC BH THEO CUSTOMER-USD'!$H41,'01. KE30'!$A:$A,'06. BC BH THEO CUSTOMER-USD'!W$4)/'06. BC BH THEO CUSTOMER-USD'!DC41/'02. Tỷ giá'!L$5,"-")</f>
        <v>-</v>
      </c>
      <c r="AL41" s="147" t="str">
        <f>IFERROR(SUMIFS('01. KE30'!$O:$O,'01. KE30'!$C:$C,'06. BC BH THEO CUSTOMER-USD'!$D41,'01. KE30'!$F:$F,'06. BC BH THEO CUSTOMER-USD'!$H41,'01. KE30'!$A:$A,'06. BC BH THEO CUSTOMER-USD'!X$4)/'06. BC BH THEO CUSTOMER-USD'!DD41/'02. Tỷ giá'!M$5,"-")</f>
        <v>-</v>
      </c>
      <c r="AN41" s="92">
        <f t="shared" si="44"/>
        <v>1322.2222222222222</v>
      </c>
      <c r="AO41" s="25">
        <v>1320</v>
      </c>
      <c r="AP41" s="25">
        <f t="shared" ref="AP41:AP46" si="203">1320-40</f>
        <v>1280</v>
      </c>
      <c r="AQ41" s="4">
        <v>1320</v>
      </c>
      <c r="AR41" s="4">
        <f t="shared" ref="AR41:AR45" si="204">AQ41+20</f>
        <v>1340</v>
      </c>
      <c r="AS41" s="4">
        <v>1340</v>
      </c>
      <c r="AT41" s="4">
        <v>1340</v>
      </c>
      <c r="AU41" s="4">
        <v>1340</v>
      </c>
      <c r="AV41" s="4">
        <f t="shared" ref="AV41:AV108" si="205">AU41-30</f>
        <v>1310</v>
      </c>
      <c r="AW41" s="25">
        <v>1310</v>
      </c>
      <c r="AX41" s="25"/>
      <c r="AY41" s="4"/>
      <c r="AZ41" s="4"/>
      <c r="BB41" s="95">
        <f t="shared" si="45"/>
        <v>46.408922626505955</v>
      </c>
      <c r="BC41" s="95">
        <f t="shared" si="46"/>
        <v>48.631144848728127</v>
      </c>
      <c r="BD41" s="95" t="str">
        <f t="shared" si="201"/>
        <v>-</v>
      </c>
      <c r="BE41" s="95" t="str">
        <f t="shared" si="201"/>
        <v>-</v>
      </c>
      <c r="BF41" s="95" t="str">
        <f t="shared" si="201"/>
        <v>-</v>
      </c>
      <c r="BG41" s="95" t="str">
        <f t="shared" si="201"/>
        <v>-</v>
      </c>
      <c r="BH41" s="95" t="str">
        <f t="shared" si="201"/>
        <v>-</v>
      </c>
      <c r="BI41" s="95" t="str">
        <f t="shared" si="201"/>
        <v>-</v>
      </c>
      <c r="BJ41" s="95" t="str">
        <f t="shared" si="201"/>
        <v>-</v>
      </c>
      <c r="BK41" s="95" t="str">
        <f t="shared" si="201"/>
        <v>-</v>
      </c>
      <c r="BL41" s="95" t="str">
        <f t="shared" si="201"/>
        <v>-</v>
      </c>
      <c r="BM41" s="95" t="str">
        <f t="shared" si="201"/>
        <v>-</v>
      </c>
      <c r="BN41" s="95" t="str">
        <f t="shared" si="201"/>
        <v>-</v>
      </c>
      <c r="BP41" s="143">
        <f t="shared" si="47"/>
        <v>3.509918517971039E-2</v>
      </c>
      <c r="BQ41" s="143">
        <f t="shared" si="202"/>
        <v>3.6841776400551612E-2</v>
      </c>
      <c r="BR41" s="143" t="str">
        <f t="shared" si="9"/>
        <v>-</v>
      </c>
      <c r="BS41" s="143" t="str">
        <f t="shared" si="10"/>
        <v>-</v>
      </c>
      <c r="BT41" s="143" t="str">
        <f t="shared" si="11"/>
        <v>-</v>
      </c>
      <c r="BU41" s="143" t="str">
        <f t="shared" si="12"/>
        <v>-</v>
      </c>
      <c r="BV41" s="143" t="str">
        <f t="shared" si="13"/>
        <v>-</v>
      </c>
      <c r="BW41" s="143" t="str">
        <f t="shared" si="14"/>
        <v>-</v>
      </c>
      <c r="BX41" s="143" t="str">
        <f t="shared" si="15"/>
        <v>-</v>
      </c>
      <c r="BY41" s="143" t="str">
        <f t="shared" si="16"/>
        <v>-</v>
      </c>
      <c r="BZ41" s="143" t="str">
        <f t="shared" si="17"/>
        <v>-</v>
      </c>
      <c r="CA41" s="143" t="str">
        <f t="shared" si="18"/>
        <v>-</v>
      </c>
      <c r="CB41" s="143" t="str">
        <f t="shared" si="19"/>
        <v>-</v>
      </c>
      <c r="CD41" s="112">
        <f t="shared" si="25"/>
        <v>1064.5535400167878</v>
      </c>
      <c r="CE41" s="95">
        <f>IFERROR(SUMIFS('01. KE30'!$R:$R,'01. KE30'!$C:$C,'06. BC BH THEO CUSTOMER-USD'!$D41,'01. KE30'!$F:$F,'06. BC BH THEO CUSTOMER-USD'!$H41,'01. KE30'!$A:$A,'06. BC BH THEO CUSTOMER-USD'!CE$4)/CS41/'02. Tỷ giá'!B$5," -")</f>
        <v>1064.5535400167878</v>
      </c>
      <c r="CF41" s="95" t="str">
        <f>IFERROR(SUMIFS('01. KE30'!$R:$R,'01. KE30'!$C:$C,'06. BC BH THEO CUSTOMER-USD'!$D41,'01. KE30'!$F:$F,'06. BC BH THEO CUSTOMER-USD'!$H41,'01. KE30'!$A:$A,'06. BC BH THEO CUSTOMER-USD'!CF$4)/CT41/'02. Tỷ giá'!C$5," -")</f>
        <v xml:space="preserve"> -</v>
      </c>
      <c r="CG41" s="95" t="str">
        <f>IFERROR(SUMIFS('01. KE30'!$R:$R,'01. KE30'!$C:$C,'06. BC BH THEO CUSTOMER-USD'!$D41,'01. KE30'!$F:$F,'06. BC BH THEO CUSTOMER-USD'!$H41,'01. KE30'!$A:$A,'06. BC BH THEO CUSTOMER-USD'!CG$4)/CU41/'02. Tỷ giá'!D$5," -")</f>
        <v xml:space="preserve"> -</v>
      </c>
      <c r="CH41" s="95" t="str">
        <f>IFERROR(SUMIFS('01. KE30'!$R:$R,'01. KE30'!$C:$C,'06. BC BH THEO CUSTOMER-USD'!$D41,'01. KE30'!$F:$F,'06. BC BH THEO CUSTOMER-USD'!$H41,'01. KE30'!$A:$A,'06. BC BH THEO CUSTOMER-USD'!CH$4)/CV41/'02. Tỷ giá'!E$5," -")</f>
        <v xml:space="preserve"> -</v>
      </c>
      <c r="CI41" s="95" t="str">
        <f>IFERROR(SUMIFS('01. KE30'!$R:$R,'01. KE30'!$C:$C,'06. BC BH THEO CUSTOMER-USD'!$D41,'01. KE30'!$F:$F,'06. BC BH THEO CUSTOMER-USD'!$H41,'01. KE30'!$A:$A,'06. BC BH THEO CUSTOMER-USD'!CI$4)/CW41/'02. Tỷ giá'!F$5," -")</f>
        <v xml:space="preserve"> -</v>
      </c>
      <c r="CJ41" s="95" t="str">
        <f>IFERROR(SUMIFS('01. KE30'!$R:$R,'01. KE30'!$C:$C,'06. BC BH THEO CUSTOMER-USD'!$D41,'01. KE30'!$F:$F,'06. BC BH THEO CUSTOMER-USD'!$H41,'01. KE30'!$A:$A,'06. BC BH THEO CUSTOMER-USD'!CJ$4)/CX41/'02. Tỷ giá'!G$5," -")</f>
        <v xml:space="preserve"> -</v>
      </c>
      <c r="CK41" s="95" t="str">
        <f>IFERROR(SUMIFS('01. KE30'!$R:$R,'01. KE30'!$C:$C,'06. BC BH THEO CUSTOMER-USD'!$D41,'01. KE30'!$F:$F,'06. BC BH THEO CUSTOMER-USD'!$H41,'01. KE30'!$A:$A,'06. BC BH THEO CUSTOMER-USD'!CK$4)/CY41/'02. Tỷ giá'!H$5," -")</f>
        <v xml:space="preserve"> -</v>
      </c>
      <c r="CL41" s="95" t="str">
        <f>IFERROR(SUMIFS('01. KE30'!$R:$R,'01. KE30'!$C:$C,'06. BC BH THEO CUSTOMER-USD'!$D41,'01. KE30'!$F:$F,'06. BC BH THEO CUSTOMER-USD'!$H41,'01. KE30'!$A:$A,'06. BC BH THEO CUSTOMER-USD'!CL$4)/CZ41/'02. Tỷ giá'!I$5," -")</f>
        <v xml:space="preserve"> -</v>
      </c>
      <c r="CM41" s="95" t="str">
        <f>IFERROR(SUMIFS('01. KE30'!$R:$R,'01. KE30'!$C:$C,'06. BC BH THEO CUSTOMER-USD'!$D41,'01. KE30'!$F:$F,'06. BC BH THEO CUSTOMER-USD'!$H41,'01. KE30'!$A:$A,'06. BC BH THEO CUSTOMER-USD'!CM$4)/DA41/'02. Tỷ giá'!J$5," -")</f>
        <v xml:space="preserve"> -</v>
      </c>
      <c r="CN41" s="95" t="str">
        <f>IFERROR(SUMIFS('01. KE30'!$R:$R,'01. KE30'!$C:$C,'06. BC BH THEO CUSTOMER-USD'!$D41,'01. KE30'!$F:$F,'06. BC BH THEO CUSTOMER-USD'!$H41,'01. KE30'!$A:$A,'06. BC BH THEO CUSTOMER-USD'!CN$4)/DB41/'02. Tỷ giá'!K$5," -")</f>
        <v xml:space="preserve"> -</v>
      </c>
      <c r="CO41" s="95" t="str">
        <f>IFERROR(SUMIFS('01. KE30'!$R:$R,'01. KE30'!$C:$C,'06. BC BH THEO CUSTOMER-USD'!$D41,'01. KE30'!$F:$F,'06. BC BH THEO CUSTOMER-USD'!$H41,'01. KE30'!$A:$A,'06. BC BH THEO CUSTOMER-USD'!CO$4)/DC41/'02. Tỷ giá'!L$5," -")</f>
        <v xml:space="preserve"> -</v>
      </c>
      <c r="CP41" s="95" t="str">
        <f>IFERROR(SUMIFS('01. KE30'!$R:$R,'01. KE30'!$C:$C,'06. BC BH THEO CUSTOMER-USD'!$D41,'01. KE30'!$F:$F,'06. BC BH THEO CUSTOMER-USD'!$H41,'01. KE30'!$A:$A,'06. BC BH THEO CUSTOMER-USD'!CP$4)/DD41/'02. Tỷ giá'!M$5," -")</f>
        <v xml:space="preserve"> -</v>
      </c>
      <c r="CR41" s="112">
        <f t="shared" si="26"/>
        <v>44</v>
      </c>
      <c r="CS41" s="114">
        <f>SUMIFS('01. KE30'!$I:$I,'01. KE30'!$C:$C,'06. BC BH THEO CUSTOMER-USD'!$D41,'01. KE30'!$F:$F,'06. BC BH THEO CUSTOMER-USD'!$H41,'01. KE30'!$A:$A,'06. BC BH THEO CUSTOMER-USD'!CS$4)/1000</f>
        <v>44</v>
      </c>
      <c r="CT41" s="114">
        <f>SUMIFS('01. KE30'!$I:$I,'01. KE30'!$C:$C,'06. BC BH THEO CUSTOMER-USD'!$D41,'01. KE30'!$F:$F,'06. BC BH THEO CUSTOMER-USD'!$H41,'01. KE30'!$A:$A,'06. BC BH THEO CUSTOMER-USD'!CT$4)/1000</f>
        <v>0</v>
      </c>
      <c r="CU41" s="114">
        <f>SUMIFS('01. KE30'!$I:$I,'01. KE30'!$C:$C,'06. BC BH THEO CUSTOMER-USD'!$D41,'01. KE30'!$F:$F,'06. BC BH THEO CUSTOMER-USD'!$H41,'01. KE30'!$A:$A,'06. BC BH THEO CUSTOMER-USD'!CU$4)/1000</f>
        <v>0</v>
      </c>
      <c r="CV41" s="114">
        <f>SUMIFS('01. KE30'!$I:$I,'01. KE30'!$C:$C,'06. BC BH THEO CUSTOMER-USD'!$D41,'01. KE30'!$F:$F,'06. BC BH THEO CUSTOMER-USD'!$H41,'01. KE30'!$A:$A,'06. BC BH THEO CUSTOMER-USD'!CV$4)/1000</f>
        <v>0</v>
      </c>
      <c r="CW41" s="114">
        <f>SUMIFS('01. KE30'!$I:$I,'01. KE30'!$C:$C,'06. BC BH THEO CUSTOMER-USD'!$D41,'01. KE30'!$F:$F,'06. BC BH THEO CUSTOMER-USD'!$H41,'01. KE30'!$A:$A,'06. BC BH THEO CUSTOMER-USD'!CW$4)/1000</f>
        <v>0</v>
      </c>
      <c r="CX41" s="114">
        <f>SUMIFS('01. KE30'!$I:$I,'01. KE30'!$C:$C,'06. BC BH THEO CUSTOMER-USD'!$D41,'01. KE30'!$F:$F,'06. BC BH THEO CUSTOMER-USD'!$H41,'01. KE30'!$A:$A,'06. BC BH THEO CUSTOMER-USD'!CX$4)/1000</f>
        <v>0</v>
      </c>
      <c r="CY41" s="114">
        <f>SUMIFS('01. KE30'!$I:$I,'01. KE30'!$C:$C,'06. BC BH THEO CUSTOMER-USD'!$D41,'01. KE30'!$F:$F,'06. BC BH THEO CUSTOMER-USD'!$H41,'01. KE30'!$A:$A,'06. BC BH THEO CUSTOMER-USD'!CY$4)/1000</f>
        <v>0</v>
      </c>
      <c r="CZ41" s="114">
        <f>SUMIFS('01. KE30'!$I:$I,'01. KE30'!$C:$C,'06. BC BH THEO CUSTOMER-USD'!$D41,'01. KE30'!$F:$F,'06. BC BH THEO CUSTOMER-USD'!$H41,'01. KE30'!$A:$A,'06. BC BH THEO CUSTOMER-USD'!CZ$4)/1000</f>
        <v>0</v>
      </c>
      <c r="DA41" s="114">
        <f>SUMIFS('01. KE30'!$I:$I,'01. KE30'!$C:$C,'06. BC BH THEO CUSTOMER-USD'!$D41,'01. KE30'!$F:$F,'06. BC BH THEO CUSTOMER-USD'!$H41,'01. KE30'!$A:$A,'06. BC BH THEO CUSTOMER-USD'!DA$4)/1000</f>
        <v>0</v>
      </c>
      <c r="DB41" s="114">
        <f>SUMIFS('01. KE30'!$I:$I,'01. KE30'!$C:$C,'06. BC BH THEO CUSTOMER-USD'!$D41,'01. KE30'!$F:$F,'06. BC BH THEO CUSTOMER-USD'!$H41,'01. KE30'!$A:$A,'06. BC BH THEO CUSTOMER-USD'!DB$4)/1000</f>
        <v>0</v>
      </c>
      <c r="DC41" s="114">
        <f>SUMIFS('01. KE30'!$I:$I,'01. KE30'!$C:$C,'06. BC BH THEO CUSTOMER-USD'!$D41,'01. KE30'!$F:$F,'06. BC BH THEO CUSTOMER-USD'!$H41,'01. KE30'!$A:$A,'06. BC BH THEO CUSTOMER-USD'!DC$4)/1000</f>
        <v>0</v>
      </c>
      <c r="DD41" s="114">
        <f>SUMIFS('01. KE30'!$I:$I,'01. KE30'!$C:$C,'06. BC BH THEO CUSTOMER-USD'!$D41,'01. KE30'!$F:$F,'06. BC BH THEO CUSTOMER-USD'!$H41,'01. KE30'!$A:$A,'06. BC BH THEO CUSTOMER-USD'!DD$4)/1000</f>
        <v>0</v>
      </c>
      <c r="DF41" s="112">
        <f t="shared" si="199"/>
        <v>69545.029305499804</v>
      </c>
      <c r="DG41" s="54">
        <f t="shared" si="48"/>
        <v>69545.029305499804</v>
      </c>
      <c r="DH41" s="54" t="str">
        <f t="shared" si="49"/>
        <v>-</v>
      </c>
      <c r="DI41" s="54" t="str">
        <f t="shared" si="50"/>
        <v>-</v>
      </c>
      <c r="DJ41" s="54" t="str">
        <f t="shared" si="51"/>
        <v>-</v>
      </c>
      <c r="DK41" s="54" t="str">
        <f t="shared" si="52"/>
        <v>-</v>
      </c>
      <c r="DL41" s="54" t="str">
        <f t="shared" si="53"/>
        <v>-</v>
      </c>
      <c r="DM41" s="54" t="str">
        <f t="shared" si="54"/>
        <v>-</v>
      </c>
      <c r="DN41" s="54" t="str">
        <f t="shared" si="55"/>
        <v>-</v>
      </c>
      <c r="DO41" s="54" t="str">
        <f t="shared" si="56"/>
        <v>-</v>
      </c>
      <c r="DP41" s="54" t="str">
        <f t="shared" si="57"/>
        <v>-</v>
      </c>
      <c r="DQ41" s="54" t="str">
        <f t="shared" si="58"/>
        <v>-</v>
      </c>
      <c r="DR41" s="54" t="str">
        <f t="shared" si="59"/>
        <v>-</v>
      </c>
      <c r="DT41" s="112">
        <f t="shared" si="60"/>
        <v>13379.414612605375</v>
      </c>
      <c r="DU41" s="114">
        <f>IFERROR(SUMIFS('01. KE30'!$X:$X,'01. KE30'!$C:$C,'06. BC BH THEO CUSTOMER-USD'!$D41,'01. KE30'!$F:$F,'06. BC BH THEO CUSTOMER-USD'!$H41,'01. KE30'!$A:$A,'06. BC BH THEO CUSTOMER-USD'!DU$4)-SUMIFS('01. KE30'!$AA:$AA,'01. KE30'!$C:$C,'06. BC BH THEO CUSTOMER-USD'!$D41,'01. KE30'!$F:$F,'06. BC BH THEO CUSTOMER-USD'!$H41,'01. KE30'!$A:$A,'06. BC BH THEO CUSTOMER-USD'!DU$4),"-")</f>
        <v>13379.414612605375</v>
      </c>
      <c r="DV41" s="114">
        <f>IFERROR(SUMIFS('01. KE30'!$X:$X,'01. KE30'!$C:$C,'06. BC BH THEO CUSTOMER-USD'!$D41,'01. KE30'!$F:$F,'06. BC BH THEO CUSTOMER-USD'!$H41,'01. KE30'!$A:$A,'06. BC BH THEO CUSTOMER-USD'!DV$4)-SUMIFS('01. KE30'!$AA:$AA,'01. KE30'!$C:$C,'06. BC BH THEO CUSTOMER-USD'!$D41,'01. KE30'!$F:$F,'06. BC BH THEO CUSTOMER-USD'!$H41,'01. KE30'!$A:$A,'06. BC BH THEO CUSTOMER-USD'!DV$4),"-")</f>
        <v>0</v>
      </c>
      <c r="DW41" s="114">
        <f>IFERROR(SUMIFS('01. KE30'!$X:$X,'01. KE30'!$C:$C,'06. BC BH THEO CUSTOMER-USD'!$D41,'01. KE30'!$F:$F,'06. BC BH THEO CUSTOMER-USD'!$H41,'01. KE30'!$A:$A,'06. BC BH THEO CUSTOMER-USD'!DW$4)-SUMIFS('01. KE30'!$AA:$AA,'01. KE30'!$C:$C,'06. BC BH THEO CUSTOMER-USD'!$D41,'01. KE30'!$F:$F,'06. BC BH THEO CUSTOMER-USD'!$H41,'01. KE30'!$A:$A,'06. BC BH THEO CUSTOMER-USD'!DW$4),"-")</f>
        <v>0</v>
      </c>
      <c r="DX41" s="114">
        <f>IFERROR(SUMIFS('01. KE30'!$X:$X,'01. KE30'!$C:$C,'06. BC BH THEO CUSTOMER-USD'!$D41,'01. KE30'!$F:$F,'06. BC BH THEO CUSTOMER-USD'!$H41,'01. KE30'!$A:$A,'06. BC BH THEO CUSTOMER-USD'!DX$4)-SUMIFS('01. KE30'!$AA:$AA,'01. KE30'!$C:$C,'06. BC BH THEO CUSTOMER-USD'!$D41,'01. KE30'!$F:$F,'06. BC BH THEO CUSTOMER-USD'!$H41,'01. KE30'!$A:$A,'06. BC BH THEO CUSTOMER-USD'!DX$4),"-")</f>
        <v>0</v>
      </c>
      <c r="DY41" s="114">
        <f>IFERROR(SUMIFS('01. KE30'!$X:$X,'01. KE30'!$C:$C,'06. BC BH THEO CUSTOMER-USD'!$D41,'01. KE30'!$F:$F,'06. BC BH THEO CUSTOMER-USD'!$H41,'01. KE30'!$A:$A,'06. BC BH THEO CUSTOMER-USD'!DY$4)-SUMIFS('01. KE30'!$AA:$AA,'01. KE30'!$C:$C,'06. BC BH THEO CUSTOMER-USD'!$D41,'01. KE30'!$F:$F,'06. BC BH THEO CUSTOMER-USD'!$H41,'01. KE30'!$A:$A,'06. BC BH THEO CUSTOMER-USD'!DY$4),"-")</f>
        <v>0</v>
      </c>
      <c r="DZ41" s="114">
        <f>IFERROR(SUMIFS('01. KE30'!$X:$X,'01. KE30'!$C:$C,'06. BC BH THEO CUSTOMER-USD'!$D41,'01. KE30'!$F:$F,'06. BC BH THEO CUSTOMER-USD'!$H41,'01. KE30'!$A:$A,'06. BC BH THEO CUSTOMER-USD'!DZ$4)-SUMIFS('01. KE30'!$AA:$AA,'01. KE30'!$C:$C,'06. BC BH THEO CUSTOMER-USD'!$D41,'01. KE30'!$F:$F,'06. BC BH THEO CUSTOMER-USD'!$H41,'01. KE30'!$A:$A,'06. BC BH THEO CUSTOMER-USD'!DZ$4),"-")</f>
        <v>0</v>
      </c>
      <c r="EA41" s="114">
        <f>IFERROR(SUMIFS('01. KE30'!$X:$X,'01. KE30'!$C:$C,'06. BC BH THEO CUSTOMER-USD'!$D41,'01. KE30'!$F:$F,'06. BC BH THEO CUSTOMER-USD'!$H41,'01. KE30'!$A:$A,'06. BC BH THEO CUSTOMER-USD'!EA$4)-SUMIFS('01. KE30'!$AA:$AA,'01. KE30'!$C:$C,'06. BC BH THEO CUSTOMER-USD'!$D41,'01. KE30'!$F:$F,'06. BC BH THEO CUSTOMER-USD'!$H41,'01. KE30'!$A:$A,'06. BC BH THEO CUSTOMER-USD'!EA$4),"-")</f>
        <v>0</v>
      </c>
      <c r="EB41" s="114">
        <f>IFERROR(SUMIFS('01. KE30'!$X:$X,'01. KE30'!$C:$C,'06. BC BH THEO CUSTOMER-USD'!$D41,'01. KE30'!$F:$F,'06. BC BH THEO CUSTOMER-USD'!$H41,'01. KE30'!$A:$A,'06. BC BH THEO CUSTOMER-USD'!EB$4)-SUMIFS('01. KE30'!$AA:$AA,'01. KE30'!$C:$C,'06. BC BH THEO CUSTOMER-USD'!$D41,'01. KE30'!$F:$F,'06. BC BH THEO CUSTOMER-USD'!$H41,'01. KE30'!$A:$A,'06. BC BH THEO CUSTOMER-USD'!EB$4),"-")</f>
        <v>0</v>
      </c>
      <c r="EC41" s="114">
        <f>IFERROR(SUMIFS('01. KE30'!$X:$X,'01. KE30'!$C:$C,'06. BC BH THEO CUSTOMER-USD'!$D41,'01. KE30'!$F:$F,'06. BC BH THEO CUSTOMER-USD'!$H41,'01. KE30'!$A:$A,'06. BC BH THEO CUSTOMER-USD'!EC$4)-SUMIFS('01. KE30'!$AA:$AA,'01. KE30'!$C:$C,'06. BC BH THEO CUSTOMER-USD'!$D41,'01. KE30'!$F:$F,'06. BC BH THEO CUSTOMER-USD'!$H41,'01. KE30'!$A:$A,'06. BC BH THEO CUSTOMER-USD'!EC$4),"-")</f>
        <v>0</v>
      </c>
      <c r="ED41" s="114">
        <f>IFERROR(SUMIFS('01. KE30'!$X:$X,'01. KE30'!$C:$C,'06. BC BH THEO CUSTOMER-USD'!$D41,'01. KE30'!$F:$F,'06. BC BH THEO CUSTOMER-USD'!$H41,'01. KE30'!$A:$A,'06. BC BH THEO CUSTOMER-USD'!ED$4)-SUMIFS('01. KE30'!$AA:$AA,'01. KE30'!$C:$C,'06. BC BH THEO CUSTOMER-USD'!$D41,'01. KE30'!$F:$F,'06. BC BH THEO CUSTOMER-USD'!$H41,'01. KE30'!$A:$A,'06. BC BH THEO CUSTOMER-USD'!ED$4),"-")</f>
        <v>0</v>
      </c>
      <c r="EE41" s="114">
        <f>IFERROR(SUMIFS('01. KE30'!$X:$X,'01. KE30'!$C:$C,'06. BC BH THEO CUSTOMER-USD'!$D41,'01. KE30'!$F:$F,'06. BC BH THEO CUSTOMER-USD'!$H41,'01. KE30'!$A:$A,'06. BC BH THEO CUSTOMER-USD'!EE$4)-SUMIFS('01. KE30'!$AA:$AA,'01. KE30'!$C:$C,'06. BC BH THEO CUSTOMER-USD'!$D41,'01. KE30'!$F:$F,'06. BC BH THEO CUSTOMER-USD'!$H41,'01. KE30'!$A:$A,'06. BC BH THEO CUSTOMER-USD'!EE$4),"-")</f>
        <v>0</v>
      </c>
      <c r="EF41" s="114">
        <f>IFERROR(SUMIFS('01. KE30'!$X:$X,'01. KE30'!$C:$C,'06. BC BH THEO CUSTOMER-USD'!$D41,'01. KE30'!$F:$F,'06. BC BH THEO CUSTOMER-USD'!$H41,'01. KE30'!$A:$A,'06. BC BH THEO CUSTOMER-USD'!EF$4)-SUMIFS('01. KE30'!$AA:$AA,'01. KE30'!$C:$C,'06. BC BH THEO CUSTOMER-USD'!$D41,'01. KE30'!$F:$F,'06. BC BH THEO CUSTOMER-USD'!$H41,'01. KE30'!$A:$A,'06. BC BH THEO CUSTOMER-USD'!EF$4),"-")</f>
        <v>0</v>
      </c>
      <c r="EH41" s="571">
        <f t="shared" si="29"/>
        <v>0.1923849158770474</v>
      </c>
      <c r="EI41" s="572">
        <f t="shared" si="30"/>
        <v>0.1923849158770474</v>
      </c>
      <c r="EJ41" s="572" t="str">
        <f t="shared" si="31"/>
        <v>-</v>
      </c>
      <c r="EK41" s="572" t="str">
        <f t="shared" si="32"/>
        <v>-</v>
      </c>
      <c r="EL41" s="572" t="str">
        <f t="shared" si="33"/>
        <v>-</v>
      </c>
      <c r="EM41" s="572" t="str">
        <f t="shared" si="34"/>
        <v>-</v>
      </c>
      <c r="EN41" s="572" t="str">
        <f t="shared" si="35"/>
        <v>-</v>
      </c>
      <c r="EO41" s="572" t="str">
        <f t="shared" si="36"/>
        <v>-</v>
      </c>
      <c r="EP41" s="572" t="str">
        <f t="shared" si="37"/>
        <v>-</v>
      </c>
      <c r="EQ41" s="572" t="str">
        <f t="shared" si="38"/>
        <v>-</v>
      </c>
      <c r="ER41" s="572" t="str">
        <f t="shared" si="39"/>
        <v>-</v>
      </c>
      <c r="ES41" s="572" t="str">
        <f t="shared" si="40"/>
        <v>-</v>
      </c>
      <c r="ET41" s="572" t="str">
        <f t="shared" si="41"/>
        <v>-</v>
      </c>
    </row>
    <row r="42" spans="1:150" ht="15.5" hidden="1" outlineLevel="1" x14ac:dyDescent="0.35">
      <c r="A42" s="27">
        <f t="shared" si="63"/>
        <v>34</v>
      </c>
      <c r="B42" s="27" t="s">
        <v>283</v>
      </c>
      <c r="C42" s="442" t="s">
        <v>504</v>
      </c>
      <c r="D42" s="9" t="s">
        <v>181</v>
      </c>
      <c r="E42" s="12" t="s">
        <v>182</v>
      </c>
      <c r="F42" s="12" t="s">
        <v>245</v>
      </c>
      <c r="G42" s="12" t="str">
        <f>_xlfn.XLOOKUP(F42,'Quy đổi'!$G$5:$G$32,'Quy đổi'!$H$5:$H$32,0)</f>
        <v>Nội địa</v>
      </c>
      <c r="H42" s="76" t="s">
        <v>127</v>
      </c>
      <c r="I42" s="7" t="s">
        <v>114</v>
      </c>
      <c r="J42" s="13" t="s">
        <v>22</v>
      </c>
      <c r="K42" s="11"/>
      <c r="L42" s="92">
        <f t="shared" si="42"/>
        <v>1385.5989510119689</v>
      </c>
      <c r="M42" s="106">
        <f>IFERROR(SUMIFS('01. KE30'!$K:$K,'01. KE30'!$C:$C,'06. BC BH THEO CUSTOMER-USD'!$D42,'01. KE30'!$F:$F,'06. BC BH THEO CUSTOMER-USD'!$H42,'01. KE30'!$A:$A,'06. BC BH THEO CUSTOMER-USD'!M$4)/'06. BC BH THEO CUSTOMER-USD'!CS42/'02. Tỷ giá'!B$5,"-")</f>
        <v>1381.9349658771578</v>
      </c>
      <c r="N42" s="106">
        <f>IFERROR(SUMIFS('01. KE30'!$K:$K,'01. KE30'!$C:$C,'06. BC BH THEO CUSTOMER-USD'!$D42,'01. KE30'!$F:$F,'06. BC BH THEO CUSTOMER-USD'!$H42,'01. KE30'!$A:$A,'06. BC BH THEO CUSTOMER-USD'!N$4)/'06. BC BH THEO CUSTOMER-USD'!CT42/'02. Tỷ giá'!C$5,"-")</f>
        <v>1431.1933832217408</v>
      </c>
      <c r="O42" s="106">
        <f>IFERROR(SUMIFS('01. KE30'!$K:$K,'01. KE30'!$C:$C,'06. BC BH THEO CUSTOMER-USD'!$D42,'01. KE30'!$F:$F,'06. BC BH THEO CUSTOMER-USD'!$H42,'01. KE30'!$A:$A,'06. BC BH THEO CUSTOMER-USD'!O$4)/'06. BC BH THEO CUSTOMER-USD'!CU42/'02. Tỷ giá'!D$5,"-")</f>
        <v>1343.6685039370079</v>
      </c>
      <c r="P42" s="106" t="str">
        <f>IFERROR(SUMIFS('01. KE30'!$K:$K,'01. KE30'!$C:$C,'06. BC BH THEO CUSTOMER-USD'!$D42,'01. KE30'!$F:$F,'06. BC BH THEO CUSTOMER-USD'!$H42,'01. KE30'!$A:$A,'06. BC BH THEO CUSTOMER-USD'!P$4)/'06. BC BH THEO CUSTOMER-USD'!CV42/'02. Tỷ giá'!E$5,"-")</f>
        <v>-</v>
      </c>
      <c r="Q42" s="106" t="str">
        <f>IFERROR(SUMIFS('01. KE30'!$K:$K,'01. KE30'!$C:$C,'06. BC BH THEO CUSTOMER-USD'!$D42,'01. KE30'!$F:$F,'06. BC BH THEO CUSTOMER-USD'!$H42,'01. KE30'!$A:$A,'06. BC BH THEO CUSTOMER-USD'!Q$4)/'06. BC BH THEO CUSTOMER-USD'!CW42/'02. Tỷ giá'!F$5,"-")</f>
        <v>-</v>
      </c>
      <c r="R42" s="106" t="str">
        <f>IFERROR(SUMIFS('01. KE30'!$K:$K,'01. KE30'!$C:$C,'06. BC BH THEO CUSTOMER-USD'!$D42,'01. KE30'!$F:$F,'06. BC BH THEO CUSTOMER-USD'!$H42,'01. KE30'!$A:$A,'06. BC BH THEO CUSTOMER-USD'!R$4)/'06. BC BH THEO CUSTOMER-USD'!CX42/'02. Tỷ giá'!G$5,"-")</f>
        <v>-</v>
      </c>
      <c r="S42" s="106" t="str">
        <f>IFERROR(SUMIFS('01. KE30'!$K:$K,'01. KE30'!$C:$C,'06. BC BH THEO CUSTOMER-USD'!$D42,'01. KE30'!$F:$F,'06. BC BH THEO CUSTOMER-USD'!$H42,'01. KE30'!$A:$A,'06. BC BH THEO CUSTOMER-USD'!S$4)/'06. BC BH THEO CUSTOMER-USD'!CY42/'02. Tỷ giá'!H$5,"-")</f>
        <v>-</v>
      </c>
      <c r="T42" s="106" t="str">
        <f>IFERROR(SUMIFS('01. KE30'!$K:$K,'01. KE30'!$C:$C,'06. BC BH THEO CUSTOMER-USD'!$D42,'01. KE30'!$F:$F,'06. BC BH THEO CUSTOMER-USD'!$H42,'01. KE30'!$A:$A,'06. BC BH THEO CUSTOMER-USD'!T$4)/'06. BC BH THEO CUSTOMER-USD'!CZ42/'02. Tỷ giá'!I$5,"-")</f>
        <v>-</v>
      </c>
      <c r="U42" s="106" t="str">
        <f>IFERROR(SUMIFS('01. KE30'!$K:$K,'01. KE30'!$C:$C,'06. BC BH THEO CUSTOMER-USD'!$D42,'01. KE30'!$F:$F,'06. BC BH THEO CUSTOMER-USD'!$H42,'01. KE30'!$A:$A,'06. BC BH THEO CUSTOMER-USD'!U$4)/'06. BC BH THEO CUSTOMER-USD'!DA42/'02. Tỷ giá'!J$5,"-")</f>
        <v>-</v>
      </c>
      <c r="V42" s="106" t="str">
        <f>IFERROR(SUMIFS('01. KE30'!$K:$K,'01. KE30'!$C:$C,'06. BC BH THEO CUSTOMER-USD'!$D42,'01. KE30'!$F:$F,'06. BC BH THEO CUSTOMER-USD'!$H42,'01. KE30'!$A:$A,'06. BC BH THEO CUSTOMER-USD'!V$4)/'06. BC BH THEO CUSTOMER-USD'!DB42/'02. Tỷ giá'!K$5,"-")</f>
        <v>-</v>
      </c>
      <c r="W42" s="106" t="str">
        <f>IFERROR(SUMIFS('01. KE30'!$K:$K,'01. KE30'!$C:$C,'06. BC BH THEO CUSTOMER-USD'!$D42,'01. KE30'!$F:$F,'06. BC BH THEO CUSTOMER-USD'!$H42,'01. KE30'!$A:$A,'06. BC BH THEO CUSTOMER-USD'!W$4)/'06. BC BH THEO CUSTOMER-USD'!DC42/'02. Tỷ giá'!L$5,"-")</f>
        <v>-</v>
      </c>
      <c r="X42" s="106" t="str">
        <f>IFERROR(SUMIFS('01. KE30'!$K:$K,'01. KE30'!$C:$C,'06. BC BH THEO CUSTOMER-USD'!$D42,'01. KE30'!$F:$F,'06. BC BH THEO CUSTOMER-USD'!$H42,'01. KE30'!$A:$A,'06. BC BH THEO CUSTOMER-USD'!X$4)/'06. BC BH THEO CUSTOMER-USD'!DD42/'02. Tỷ giá'!M$5,"-")</f>
        <v>-</v>
      </c>
      <c r="Z42" s="92">
        <f t="shared" si="43"/>
        <v>1361.1910378630002</v>
      </c>
      <c r="AA42" s="147">
        <f>IFERROR(SUMIFS('01. KE30'!$O:$O,'01. KE30'!$C:$C,'06. BC BH THEO CUSTOMER-USD'!$D42,'01. KE30'!$F:$F,'06. BC BH THEO CUSTOMER-USD'!$H42,'01. KE30'!$A:$A,'06. BC BH THEO CUSTOMER-USD'!M$4)/'06. BC BH THEO CUSTOMER-USD'!CS42/'02. Tỷ giá'!B$5,"-")</f>
        <v>1357.4359950366775</v>
      </c>
      <c r="AB42" s="147">
        <f>IFERROR(SUMIFS('01. KE30'!$O:$O,'01. KE30'!$C:$C,'06. BC BH THEO CUSTOMER-USD'!$D42,'01. KE30'!$F:$F,'06. BC BH THEO CUSTOMER-USD'!$H42,'01. KE30'!$A:$A,'06. BC BH THEO CUSTOMER-USD'!N$4)/'06. BC BH THEO CUSTOMER-USD'!CT42/'02. Tỷ giá'!C$5,"-")</f>
        <v>1407.654860274002</v>
      </c>
      <c r="AC42" s="147">
        <f>IFERROR(SUMIFS('01. KE30'!$O:$O,'01. KE30'!$C:$C,'06. BC BH THEO CUSTOMER-USD'!$D42,'01. KE30'!$F:$F,'06. BC BH THEO CUSTOMER-USD'!$H42,'01. KE30'!$A:$A,'06. BC BH THEO CUSTOMER-USD'!O$4)/'06. BC BH THEO CUSTOMER-USD'!CU42/'02. Tỷ giá'!D$5,"-")</f>
        <v>1318.4822582783213</v>
      </c>
      <c r="AD42" s="147" t="str">
        <f>IFERROR(SUMIFS('01. KE30'!$O:$O,'01. KE30'!$C:$C,'06. BC BH THEO CUSTOMER-USD'!$D42,'01. KE30'!$F:$F,'06. BC BH THEO CUSTOMER-USD'!$H42,'01. KE30'!$A:$A,'06. BC BH THEO CUSTOMER-USD'!P$4)/'06. BC BH THEO CUSTOMER-USD'!CV42/'02. Tỷ giá'!E$5,"-")</f>
        <v>-</v>
      </c>
      <c r="AE42" s="147" t="str">
        <f>IFERROR(SUMIFS('01. KE30'!$O:$O,'01. KE30'!$C:$C,'06. BC BH THEO CUSTOMER-USD'!$D42,'01. KE30'!$F:$F,'06. BC BH THEO CUSTOMER-USD'!$H42,'01. KE30'!$A:$A,'06. BC BH THEO CUSTOMER-USD'!Q$4)/'06. BC BH THEO CUSTOMER-USD'!CW42/'02. Tỷ giá'!F$5,"-")</f>
        <v>-</v>
      </c>
      <c r="AF42" s="147" t="str">
        <f>IFERROR(SUMIFS('01. KE30'!$O:$O,'01. KE30'!$C:$C,'06. BC BH THEO CUSTOMER-USD'!$D42,'01. KE30'!$F:$F,'06. BC BH THEO CUSTOMER-USD'!$H42,'01. KE30'!$A:$A,'06. BC BH THEO CUSTOMER-USD'!R$4)/'06. BC BH THEO CUSTOMER-USD'!CX42/'02. Tỷ giá'!G$5,"-")</f>
        <v>-</v>
      </c>
      <c r="AG42" s="147" t="str">
        <f>IFERROR(SUMIFS('01. KE30'!$O:$O,'01. KE30'!$C:$C,'06. BC BH THEO CUSTOMER-USD'!$D42,'01. KE30'!$F:$F,'06. BC BH THEO CUSTOMER-USD'!$H42,'01. KE30'!$A:$A,'06. BC BH THEO CUSTOMER-USD'!S$4)/'06. BC BH THEO CUSTOMER-USD'!CY42/'02. Tỷ giá'!H$5,"-")</f>
        <v>-</v>
      </c>
      <c r="AH42" s="147" t="str">
        <f>IFERROR(SUMIFS('01. KE30'!$O:$O,'01. KE30'!$C:$C,'06. BC BH THEO CUSTOMER-USD'!$D42,'01. KE30'!$F:$F,'06. BC BH THEO CUSTOMER-USD'!$H42,'01. KE30'!$A:$A,'06. BC BH THEO CUSTOMER-USD'!T$4)/'06. BC BH THEO CUSTOMER-USD'!CZ42/'02. Tỷ giá'!I$5,"-")</f>
        <v>-</v>
      </c>
      <c r="AI42" s="147" t="str">
        <f>IFERROR(SUMIFS('01. KE30'!$O:$O,'01. KE30'!$C:$C,'06. BC BH THEO CUSTOMER-USD'!$D42,'01. KE30'!$F:$F,'06. BC BH THEO CUSTOMER-USD'!$H42,'01. KE30'!$A:$A,'06. BC BH THEO CUSTOMER-USD'!U$4)/'06. BC BH THEO CUSTOMER-USD'!DA42/'02. Tỷ giá'!J$5,"-")</f>
        <v>-</v>
      </c>
      <c r="AJ42" s="147" t="str">
        <f>IFERROR(SUMIFS('01. KE30'!$O:$O,'01. KE30'!$C:$C,'06. BC BH THEO CUSTOMER-USD'!$D42,'01. KE30'!$F:$F,'06. BC BH THEO CUSTOMER-USD'!$H42,'01. KE30'!$A:$A,'06. BC BH THEO CUSTOMER-USD'!V$4)/'06. BC BH THEO CUSTOMER-USD'!DB42/'02. Tỷ giá'!K$5,"-")</f>
        <v>-</v>
      </c>
      <c r="AK42" s="147" t="str">
        <f>IFERROR(SUMIFS('01. KE30'!$O:$O,'01. KE30'!$C:$C,'06. BC BH THEO CUSTOMER-USD'!$D42,'01. KE30'!$F:$F,'06. BC BH THEO CUSTOMER-USD'!$H42,'01. KE30'!$A:$A,'06. BC BH THEO CUSTOMER-USD'!W$4)/'06. BC BH THEO CUSTOMER-USD'!DC42/'02. Tỷ giá'!L$5,"-")</f>
        <v>-</v>
      </c>
      <c r="AL42" s="147" t="str">
        <f>IFERROR(SUMIFS('01. KE30'!$O:$O,'01. KE30'!$C:$C,'06. BC BH THEO CUSTOMER-USD'!$D42,'01. KE30'!$F:$F,'06. BC BH THEO CUSTOMER-USD'!$H42,'01. KE30'!$A:$A,'06. BC BH THEO CUSTOMER-USD'!X$4)/'06. BC BH THEO CUSTOMER-USD'!DD42/'02. Tỷ giá'!M$5,"-")</f>
        <v>-</v>
      </c>
      <c r="AN42" s="92">
        <f t="shared" si="44"/>
        <v>1322.2222222222222</v>
      </c>
      <c r="AO42" s="25">
        <v>1320</v>
      </c>
      <c r="AP42" s="25">
        <f t="shared" si="203"/>
        <v>1280</v>
      </c>
      <c r="AQ42" s="4">
        <v>1320</v>
      </c>
      <c r="AR42" s="4">
        <f t="shared" si="204"/>
        <v>1340</v>
      </c>
      <c r="AS42" s="4">
        <v>1340</v>
      </c>
      <c r="AT42" s="4">
        <v>1340</v>
      </c>
      <c r="AU42" s="4">
        <v>1340</v>
      </c>
      <c r="AV42" s="4">
        <f t="shared" si="205"/>
        <v>1310</v>
      </c>
      <c r="AW42" s="25">
        <v>1310</v>
      </c>
      <c r="AX42" s="25"/>
      <c r="AY42" s="4"/>
      <c r="AZ42" s="4"/>
      <c r="BB42" s="95">
        <f t="shared" si="45"/>
        <v>38.968815640778075</v>
      </c>
      <c r="BC42" s="95">
        <f t="shared" ref="BC42:BC79" si="206">IF(M42&lt;&gt;"-",AA42-AO42,"-")</f>
        <v>37.435995036677468</v>
      </c>
      <c r="BD42" s="95">
        <f t="shared" si="201"/>
        <v>127.65486027400198</v>
      </c>
      <c r="BE42" s="95">
        <f t="shared" si="201"/>
        <v>-1.5177417216787035</v>
      </c>
      <c r="BF42" s="95" t="str">
        <f t="shared" si="201"/>
        <v>-</v>
      </c>
      <c r="BG42" s="95" t="str">
        <f t="shared" si="201"/>
        <v>-</v>
      </c>
      <c r="BH42" s="95" t="str">
        <f t="shared" si="201"/>
        <v>-</v>
      </c>
      <c r="BI42" s="95" t="str">
        <f t="shared" si="201"/>
        <v>-</v>
      </c>
      <c r="BJ42" s="95" t="str">
        <f t="shared" si="201"/>
        <v>-</v>
      </c>
      <c r="BK42" s="95" t="str">
        <f t="shared" si="201"/>
        <v>-</v>
      </c>
      <c r="BL42" s="95" t="str">
        <f t="shared" si="201"/>
        <v>-</v>
      </c>
      <c r="BM42" s="95" t="str">
        <f t="shared" si="201"/>
        <v>-</v>
      </c>
      <c r="BN42" s="95" t="str">
        <f t="shared" si="201"/>
        <v>-</v>
      </c>
      <c r="BP42" s="143">
        <f t="shared" si="47"/>
        <v>2.947221350983216E-2</v>
      </c>
      <c r="BQ42" s="143">
        <f t="shared" si="202"/>
        <v>2.8360602300513234E-2</v>
      </c>
      <c r="BR42" s="143">
        <f t="shared" si="9"/>
        <v>9.9730359589064038E-2</v>
      </c>
      <c r="BS42" s="143">
        <f t="shared" si="10"/>
        <v>-1.1498043346050784E-3</v>
      </c>
      <c r="BT42" s="143" t="str">
        <f t="shared" si="11"/>
        <v>-</v>
      </c>
      <c r="BU42" s="143" t="str">
        <f t="shared" si="12"/>
        <v>-</v>
      </c>
      <c r="BV42" s="143" t="str">
        <f t="shared" si="13"/>
        <v>-</v>
      </c>
      <c r="BW42" s="143" t="str">
        <f t="shared" si="14"/>
        <v>-</v>
      </c>
      <c r="BX42" s="143" t="str">
        <f t="shared" si="15"/>
        <v>-</v>
      </c>
      <c r="BY42" s="143" t="str">
        <f t="shared" si="16"/>
        <v>-</v>
      </c>
      <c r="BZ42" s="143" t="str">
        <f t="shared" si="17"/>
        <v>-</v>
      </c>
      <c r="CA42" s="143" t="str">
        <f t="shared" si="18"/>
        <v>-</v>
      </c>
      <c r="CB42" s="143" t="str">
        <f t="shared" si="19"/>
        <v>-</v>
      </c>
      <c r="CD42" s="112">
        <f t="shared" si="25"/>
        <v>1047.7257908708955</v>
      </c>
      <c r="CE42" s="95">
        <f>IFERROR(SUMIFS('01. KE30'!$R:$R,'01. KE30'!$C:$C,'06. BC BH THEO CUSTOMER-USD'!$D42,'01. KE30'!$F:$F,'06. BC BH THEO CUSTOMER-USD'!$H42,'01. KE30'!$A:$A,'06. BC BH THEO CUSTOMER-USD'!CE$4)/CS42/'02. Tỷ giá'!B$5," -")</f>
        <v>1064.5535400167878</v>
      </c>
      <c r="CF42" s="95">
        <f>IFERROR(SUMIFS('01. KE30'!$R:$R,'01. KE30'!$C:$C,'06. BC BH THEO CUSTOMER-USD'!$D42,'01. KE30'!$F:$F,'06. BC BH THEO CUSTOMER-USD'!$H42,'01. KE30'!$A:$A,'06. BC BH THEO CUSTOMER-USD'!CF$4)/CT42/'02. Tỷ giá'!C$5," -")</f>
        <v>1040.043884492821</v>
      </c>
      <c r="CG42" s="95">
        <f>IFERROR(SUMIFS('01. KE30'!$R:$R,'01. KE30'!$C:$C,'06. BC BH THEO CUSTOMER-USD'!$D42,'01. KE30'!$F:$F,'06. BC BH THEO CUSTOMER-USD'!$H42,'01. KE30'!$A:$A,'06. BC BH THEO CUSTOMER-USD'!CG$4)/CU42/'02. Tỷ giá'!D$5," -")</f>
        <v>1038.5799481030781</v>
      </c>
      <c r="CH42" s="95" t="str">
        <f>IFERROR(SUMIFS('01. KE30'!$R:$R,'01. KE30'!$C:$C,'06. BC BH THEO CUSTOMER-USD'!$D42,'01. KE30'!$F:$F,'06. BC BH THEO CUSTOMER-USD'!$H42,'01. KE30'!$A:$A,'06. BC BH THEO CUSTOMER-USD'!CH$4)/CV42/'02. Tỷ giá'!E$5," -")</f>
        <v xml:space="preserve"> -</v>
      </c>
      <c r="CI42" s="95" t="str">
        <f>IFERROR(SUMIFS('01. KE30'!$R:$R,'01. KE30'!$C:$C,'06. BC BH THEO CUSTOMER-USD'!$D42,'01. KE30'!$F:$F,'06. BC BH THEO CUSTOMER-USD'!$H42,'01. KE30'!$A:$A,'06. BC BH THEO CUSTOMER-USD'!CI$4)/CW42/'02. Tỷ giá'!F$5," -")</f>
        <v xml:space="preserve"> -</v>
      </c>
      <c r="CJ42" s="95" t="str">
        <f>IFERROR(SUMIFS('01. KE30'!$R:$R,'01. KE30'!$C:$C,'06. BC BH THEO CUSTOMER-USD'!$D42,'01. KE30'!$F:$F,'06. BC BH THEO CUSTOMER-USD'!$H42,'01. KE30'!$A:$A,'06. BC BH THEO CUSTOMER-USD'!CJ$4)/CX42/'02. Tỷ giá'!G$5," -")</f>
        <v xml:space="preserve"> -</v>
      </c>
      <c r="CK42" s="95" t="str">
        <f>IFERROR(SUMIFS('01. KE30'!$R:$R,'01. KE30'!$C:$C,'06. BC BH THEO CUSTOMER-USD'!$D42,'01. KE30'!$F:$F,'06. BC BH THEO CUSTOMER-USD'!$H42,'01. KE30'!$A:$A,'06. BC BH THEO CUSTOMER-USD'!CK$4)/CY42/'02. Tỷ giá'!H$5," -")</f>
        <v xml:space="preserve"> -</v>
      </c>
      <c r="CL42" s="95" t="str">
        <f>IFERROR(SUMIFS('01. KE30'!$R:$R,'01. KE30'!$C:$C,'06. BC BH THEO CUSTOMER-USD'!$D42,'01. KE30'!$F:$F,'06. BC BH THEO CUSTOMER-USD'!$H42,'01. KE30'!$A:$A,'06. BC BH THEO CUSTOMER-USD'!CL$4)/CZ42/'02. Tỷ giá'!I$5," -")</f>
        <v xml:space="preserve"> -</v>
      </c>
      <c r="CM42" s="95" t="str">
        <f>IFERROR(SUMIFS('01. KE30'!$R:$R,'01. KE30'!$C:$C,'06. BC BH THEO CUSTOMER-USD'!$D42,'01. KE30'!$F:$F,'06. BC BH THEO CUSTOMER-USD'!$H42,'01. KE30'!$A:$A,'06. BC BH THEO CUSTOMER-USD'!CM$4)/DA42/'02. Tỷ giá'!J$5," -")</f>
        <v xml:space="preserve"> -</v>
      </c>
      <c r="CN42" s="95" t="str">
        <f>IFERROR(SUMIFS('01. KE30'!$R:$R,'01. KE30'!$C:$C,'06. BC BH THEO CUSTOMER-USD'!$D42,'01. KE30'!$F:$F,'06. BC BH THEO CUSTOMER-USD'!$H42,'01. KE30'!$A:$A,'06. BC BH THEO CUSTOMER-USD'!CN$4)/DB42/'02. Tỷ giá'!K$5," -")</f>
        <v xml:space="preserve"> -</v>
      </c>
      <c r="CO42" s="95" t="str">
        <f>IFERROR(SUMIFS('01. KE30'!$R:$R,'01. KE30'!$C:$C,'06. BC BH THEO CUSTOMER-USD'!$D42,'01. KE30'!$F:$F,'06. BC BH THEO CUSTOMER-USD'!$H42,'01. KE30'!$A:$A,'06. BC BH THEO CUSTOMER-USD'!CO$4)/DC42/'02. Tỷ giá'!L$5," -")</f>
        <v xml:space="preserve"> -</v>
      </c>
      <c r="CP42" s="95" t="str">
        <f>IFERROR(SUMIFS('01. KE30'!$R:$R,'01. KE30'!$C:$C,'06. BC BH THEO CUSTOMER-USD'!$D42,'01. KE30'!$F:$F,'06. BC BH THEO CUSTOMER-USD'!$H42,'01. KE30'!$A:$A,'06. BC BH THEO CUSTOMER-USD'!CP$4)/DD42/'02. Tỷ giá'!M$5," -")</f>
        <v xml:space="preserve"> -</v>
      </c>
      <c r="CR42" s="112">
        <f t="shared" si="26"/>
        <v>242</v>
      </c>
      <c r="CS42" s="114">
        <f>SUMIFS('01. KE30'!$I:$I,'01. KE30'!$C:$C,'06. BC BH THEO CUSTOMER-USD'!$D42,'01. KE30'!$F:$F,'06. BC BH THEO CUSTOMER-USD'!$H42,'01. KE30'!$A:$A,'06. BC BH THEO CUSTOMER-USD'!CS$4)/1000</f>
        <v>88</v>
      </c>
      <c r="CT42" s="114">
        <f>SUMIFS('01. KE30'!$I:$I,'01. KE30'!$C:$C,'06. BC BH THEO CUSTOMER-USD'!$D42,'01. KE30'!$F:$F,'06. BC BH THEO CUSTOMER-USD'!$H42,'01. KE30'!$A:$A,'06. BC BH THEO CUSTOMER-USD'!CT$4)/1000</f>
        <v>88</v>
      </c>
      <c r="CU42" s="114">
        <f>SUMIFS('01. KE30'!$I:$I,'01. KE30'!$C:$C,'06. BC BH THEO CUSTOMER-USD'!$D42,'01. KE30'!$F:$F,'06. BC BH THEO CUSTOMER-USD'!$H42,'01. KE30'!$A:$A,'06. BC BH THEO CUSTOMER-USD'!CU$4)/1000</f>
        <v>66</v>
      </c>
      <c r="CV42" s="114">
        <f>SUMIFS('01. KE30'!$I:$I,'01. KE30'!$C:$C,'06. BC BH THEO CUSTOMER-USD'!$D42,'01. KE30'!$F:$F,'06. BC BH THEO CUSTOMER-USD'!$H42,'01. KE30'!$A:$A,'06. BC BH THEO CUSTOMER-USD'!CV$4)/1000</f>
        <v>0</v>
      </c>
      <c r="CW42" s="114">
        <f>SUMIFS('01. KE30'!$I:$I,'01. KE30'!$C:$C,'06. BC BH THEO CUSTOMER-USD'!$D42,'01. KE30'!$F:$F,'06. BC BH THEO CUSTOMER-USD'!$H42,'01. KE30'!$A:$A,'06. BC BH THEO CUSTOMER-USD'!CW$4)/1000</f>
        <v>0</v>
      </c>
      <c r="CX42" s="114">
        <f>SUMIFS('01. KE30'!$I:$I,'01. KE30'!$C:$C,'06. BC BH THEO CUSTOMER-USD'!$D42,'01. KE30'!$F:$F,'06. BC BH THEO CUSTOMER-USD'!$H42,'01. KE30'!$A:$A,'06. BC BH THEO CUSTOMER-USD'!CX$4)/1000</f>
        <v>0</v>
      </c>
      <c r="CY42" s="114">
        <f>SUMIFS('01. KE30'!$I:$I,'01. KE30'!$C:$C,'06. BC BH THEO CUSTOMER-USD'!$D42,'01. KE30'!$F:$F,'06. BC BH THEO CUSTOMER-USD'!$H42,'01. KE30'!$A:$A,'06. BC BH THEO CUSTOMER-USD'!CY$4)/1000</f>
        <v>0</v>
      </c>
      <c r="CZ42" s="114">
        <f>SUMIFS('01. KE30'!$I:$I,'01. KE30'!$C:$C,'06. BC BH THEO CUSTOMER-USD'!$D42,'01. KE30'!$F:$F,'06. BC BH THEO CUSTOMER-USD'!$H42,'01. KE30'!$A:$A,'06. BC BH THEO CUSTOMER-USD'!CZ$4)/1000</f>
        <v>0</v>
      </c>
      <c r="DA42" s="114">
        <f>SUMIFS('01. KE30'!$I:$I,'01. KE30'!$C:$C,'06. BC BH THEO CUSTOMER-USD'!$D42,'01. KE30'!$F:$F,'06. BC BH THEO CUSTOMER-USD'!$H42,'01. KE30'!$A:$A,'06. BC BH THEO CUSTOMER-USD'!DA$4)/1000</f>
        <v>0</v>
      </c>
      <c r="DB42" s="114">
        <f>SUMIFS('01. KE30'!$I:$I,'01. KE30'!$C:$C,'06. BC BH THEO CUSTOMER-USD'!$D42,'01. KE30'!$F:$F,'06. BC BH THEO CUSTOMER-USD'!$H42,'01. KE30'!$A:$A,'06. BC BH THEO CUSTOMER-USD'!DB$4)/1000</f>
        <v>0</v>
      </c>
      <c r="DC42" s="114">
        <f>SUMIFS('01. KE30'!$I:$I,'01. KE30'!$C:$C,'06. BC BH THEO CUSTOMER-USD'!$D42,'01. KE30'!$F:$F,'06. BC BH THEO CUSTOMER-USD'!$H42,'01. KE30'!$A:$A,'06. BC BH THEO CUSTOMER-USD'!DC$4)/1000</f>
        <v>0</v>
      </c>
      <c r="DD42" s="114">
        <f>SUMIFS('01. KE30'!$I:$I,'01. KE30'!$C:$C,'06. BC BH THEO CUSTOMER-USD'!$D42,'01. KE30'!$F:$F,'06. BC BH THEO CUSTOMER-USD'!$H42,'01. KE30'!$A:$A,'06. BC BH THEO CUSTOMER-USD'!DD$4)/1000</f>
        <v>0</v>
      </c>
      <c r="DF42" s="112">
        <f t="shared" si="199"/>
        <v>336237.41598054557</v>
      </c>
      <c r="DG42" s="54">
        <f t="shared" si="48"/>
        <v>121610.27699718988</v>
      </c>
      <c r="DH42" s="54">
        <f t="shared" si="49"/>
        <v>125945.01772351319</v>
      </c>
      <c r="DI42" s="54">
        <f t="shared" si="50"/>
        <v>88682.121259842519</v>
      </c>
      <c r="DJ42" s="54" t="str">
        <f t="shared" si="51"/>
        <v>-</v>
      </c>
      <c r="DK42" s="54" t="str">
        <f t="shared" si="52"/>
        <v>-</v>
      </c>
      <c r="DL42" s="54" t="str">
        <f t="shared" si="53"/>
        <v>-</v>
      </c>
      <c r="DM42" s="54" t="str">
        <f t="shared" si="54"/>
        <v>-</v>
      </c>
      <c r="DN42" s="54" t="str">
        <f t="shared" si="55"/>
        <v>-</v>
      </c>
      <c r="DO42" s="54" t="str">
        <f t="shared" si="56"/>
        <v>-</v>
      </c>
      <c r="DP42" s="54" t="str">
        <f t="shared" si="57"/>
        <v>-</v>
      </c>
      <c r="DQ42" s="54" t="str">
        <f t="shared" si="58"/>
        <v>-</v>
      </c>
      <c r="DR42" s="54" t="str">
        <f t="shared" si="59"/>
        <v>-</v>
      </c>
      <c r="DT42" s="112">
        <f t="shared" si="60"/>
        <v>76596.974382060245</v>
      </c>
      <c r="DU42" s="114">
        <f>IFERROR(SUMIFS('01. KE30'!$X:$X,'01. KE30'!$C:$C,'06. BC BH THEO CUSTOMER-USD'!$D42,'01. KE30'!$F:$F,'06. BC BH THEO CUSTOMER-USD'!$H42,'01. KE30'!$A:$A,'06. BC BH THEO CUSTOMER-USD'!DU$4)-SUMIFS('01. KE30'!$AA:$AA,'01. KE30'!$C:$C,'06. BC BH THEO CUSTOMER-USD'!$D42,'01. KE30'!$F:$F,'06. BC BH THEO CUSTOMER-USD'!$H42,'01. KE30'!$A:$A,'06. BC BH THEO CUSTOMER-USD'!DU$4),"-")</f>
        <v>25773.656041750291</v>
      </c>
      <c r="DV42" s="114">
        <f>IFERROR(SUMIFS('01. KE30'!$X:$X,'01. KE30'!$C:$C,'06. BC BH THEO CUSTOMER-USD'!$D42,'01. KE30'!$F:$F,'06. BC BH THEO CUSTOMER-USD'!$H42,'01. KE30'!$A:$A,'06. BC BH THEO CUSTOMER-USD'!DV$4)-SUMIFS('01. KE30'!$AA:$AA,'01. KE30'!$C:$C,'06. BC BH THEO CUSTOMER-USD'!$D42,'01. KE30'!$F:$F,'06. BC BH THEO CUSTOMER-USD'!$H42,'01. KE30'!$A:$A,'06. BC BH THEO CUSTOMER-USD'!DV$4),"-")</f>
        <v>32349.765868743911</v>
      </c>
      <c r="DW42" s="114">
        <f>IFERROR(SUMIFS('01. KE30'!$X:$X,'01. KE30'!$C:$C,'06. BC BH THEO CUSTOMER-USD'!$D42,'01. KE30'!$F:$F,'06. BC BH THEO CUSTOMER-USD'!$H42,'01. KE30'!$A:$A,'06. BC BH THEO CUSTOMER-USD'!DW$4)-SUMIFS('01. KE30'!$AA:$AA,'01. KE30'!$C:$C,'06. BC BH THEO CUSTOMER-USD'!$D42,'01. KE30'!$F:$F,'06. BC BH THEO CUSTOMER-USD'!$H42,'01. KE30'!$A:$A,'06. BC BH THEO CUSTOMER-USD'!DW$4),"-")</f>
        <v>18473.552471566043</v>
      </c>
      <c r="DX42" s="114">
        <f>IFERROR(SUMIFS('01. KE30'!$X:$X,'01. KE30'!$C:$C,'06. BC BH THEO CUSTOMER-USD'!$D42,'01. KE30'!$F:$F,'06. BC BH THEO CUSTOMER-USD'!$H42,'01. KE30'!$A:$A,'06. BC BH THEO CUSTOMER-USD'!DX$4)-SUMIFS('01. KE30'!$AA:$AA,'01. KE30'!$C:$C,'06. BC BH THEO CUSTOMER-USD'!$D42,'01. KE30'!$F:$F,'06. BC BH THEO CUSTOMER-USD'!$H42,'01. KE30'!$A:$A,'06. BC BH THEO CUSTOMER-USD'!DX$4),"-")</f>
        <v>0</v>
      </c>
      <c r="DY42" s="114">
        <f>IFERROR(SUMIFS('01. KE30'!$X:$X,'01. KE30'!$C:$C,'06. BC BH THEO CUSTOMER-USD'!$D42,'01. KE30'!$F:$F,'06. BC BH THEO CUSTOMER-USD'!$H42,'01. KE30'!$A:$A,'06. BC BH THEO CUSTOMER-USD'!DY$4)-SUMIFS('01. KE30'!$AA:$AA,'01. KE30'!$C:$C,'06. BC BH THEO CUSTOMER-USD'!$D42,'01. KE30'!$F:$F,'06. BC BH THEO CUSTOMER-USD'!$H42,'01. KE30'!$A:$A,'06. BC BH THEO CUSTOMER-USD'!DY$4),"-")</f>
        <v>0</v>
      </c>
      <c r="DZ42" s="114">
        <f>IFERROR(SUMIFS('01. KE30'!$X:$X,'01. KE30'!$C:$C,'06. BC BH THEO CUSTOMER-USD'!$D42,'01. KE30'!$F:$F,'06. BC BH THEO CUSTOMER-USD'!$H42,'01. KE30'!$A:$A,'06. BC BH THEO CUSTOMER-USD'!DZ$4)-SUMIFS('01. KE30'!$AA:$AA,'01. KE30'!$C:$C,'06. BC BH THEO CUSTOMER-USD'!$D42,'01. KE30'!$F:$F,'06. BC BH THEO CUSTOMER-USD'!$H42,'01. KE30'!$A:$A,'06. BC BH THEO CUSTOMER-USD'!DZ$4),"-")</f>
        <v>0</v>
      </c>
      <c r="EA42" s="114">
        <f>IFERROR(SUMIFS('01. KE30'!$X:$X,'01. KE30'!$C:$C,'06. BC BH THEO CUSTOMER-USD'!$D42,'01. KE30'!$F:$F,'06. BC BH THEO CUSTOMER-USD'!$H42,'01. KE30'!$A:$A,'06. BC BH THEO CUSTOMER-USD'!EA$4)-SUMIFS('01. KE30'!$AA:$AA,'01. KE30'!$C:$C,'06. BC BH THEO CUSTOMER-USD'!$D42,'01. KE30'!$F:$F,'06. BC BH THEO CUSTOMER-USD'!$H42,'01. KE30'!$A:$A,'06. BC BH THEO CUSTOMER-USD'!EA$4),"-")</f>
        <v>0</v>
      </c>
      <c r="EB42" s="114">
        <f>IFERROR(SUMIFS('01. KE30'!$X:$X,'01. KE30'!$C:$C,'06. BC BH THEO CUSTOMER-USD'!$D42,'01. KE30'!$F:$F,'06. BC BH THEO CUSTOMER-USD'!$H42,'01. KE30'!$A:$A,'06. BC BH THEO CUSTOMER-USD'!EB$4)-SUMIFS('01. KE30'!$AA:$AA,'01. KE30'!$C:$C,'06. BC BH THEO CUSTOMER-USD'!$D42,'01. KE30'!$F:$F,'06. BC BH THEO CUSTOMER-USD'!$H42,'01. KE30'!$A:$A,'06. BC BH THEO CUSTOMER-USD'!EB$4),"-")</f>
        <v>0</v>
      </c>
      <c r="EC42" s="114">
        <f>IFERROR(SUMIFS('01. KE30'!$X:$X,'01. KE30'!$C:$C,'06. BC BH THEO CUSTOMER-USD'!$D42,'01. KE30'!$F:$F,'06. BC BH THEO CUSTOMER-USD'!$H42,'01. KE30'!$A:$A,'06. BC BH THEO CUSTOMER-USD'!EC$4)-SUMIFS('01. KE30'!$AA:$AA,'01. KE30'!$C:$C,'06. BC BH THEO CUSTOMER-USD'!$D42,'01. KE30'!$F:$F,'06. BC BH THEO CUSTOMER-USD'!$H42,'01. KE30'!$A:$A,'06. BC BH THEO CUSTOMER-USD'!EC$4),"-")</f>
        <v>0</v>
      </c>
      <c r="ED42" s="114">
        <f>IFERROR(SUMIFS('01. KE30'!$X:$X,'01. KE30'!$C:$C,'06. BC BH THEO CUSTOMER-USD'!$D42,'01. KE30'!$F:$F,'06. BC BH THEO CUSTOMER-USD'!$H42,'01. KE30'!$A:$A,'06. BC BH THEO CUSTOMER-USD'!ED$4)-SUMIFS('01. KE30'!$AA:$AA,'01. KE30'!$C:$C,'06. BC BH THEO CUSTOMER-USD'!$D42,'01. KE30'!$F:$F,'06. BC BH THEO CUSTOMER-USD'!$H42,'01. KE30'!$A:$A,'06. BC BH THEO CUSTOMER-USD'!ED$4),"-")</f>
        <v>0</v>
      </c>
      <c r="EE42" s="114">
        <f>IFERROR(SUMIFS('01. KE30'!$X:$X,'01. KE30'!$C:$C,'06. BC BH THEO CUSTOMER-USD'!$D42,'01. KE30'!$F:$F,'06. BC BH THEO CUSTOMER-USD'!$H42,'01. KE30'!$A:$A,'06. BC BH THEO CUSTOMER-USD'!EE$4)-SUMIFS('01. KE30'!$AA:$AA,'01. KE30'!$C:$C,'06. BC BH THEO CUSTOMER-USD'!$D42,'01. KE30'!$F:$F,'06. BC BH THEO CUSTOMER-USD'!$H42,'01. KE30'!$A:$A,'06. BC BH THEO CUSTOMER-USD'!EE$4),"-")</f>
        <v>0</v>
      </c>
      <c r="EF42" s="114">
        <f>IFERROR(SUMIFS('01. KE30'!$X:$X,'01. KE30'!$C:$C,'06. BC BH THEO CUSTOMER-USD'!$D42,'01. KE30'!$F:$F,'06. BC BH THEO CUSTOMER-USD'!$H42,'01. KE30'!$A:$A,'06. BC BH THEO CUSTOMER-USD'!EF$4)-SUMIFS('01. KE30'!$AA:$AA,'01. KE30'!$C:$C,'06. BC BH THEO CUSTOMER-USD'!$D42,'01. KE30'!$F:$F,'06. BC BH THEO CUSTOMER-USD'!$H42,'01. KE30'!$A:$A,'06. BC BH THEO CUSTOMER-USD'!EF$4),"-")</f>
        <v>0</v>
      </c>
      <c r="EH42" s="571">
        <f t="shared" si="29"/>
        <v>0.22780621888461125</v>
      </c>
      <c r="EI42" s="572">
        <f t="shared" si="30"/>
        <v>0.21193649647180607</v>
      </c>
      <c r="EJ42" s="572">
        <f t="shared" si="31"/>
        <v>0.2568562572261594</v>
      </c>
      <c r="EK42" s="572">
        <f t="shared" si="32"/>
        <v>0.20831202737514273</v>
      </c>
      <c r="EL42" s="572" t="str">
        <f t="shared" si="33"/>
        <v>-</v>
      </c>
      <c r="EM42" s="572" t="str">
        <f t="shared" si="34"/>
        <v>-</v>
      </c>
      <c r="EN42" s="572" t="str">
        <f t="shared" si="35"/>
        <v>-</v>
      </c>
      <c r="EO42" s="572" t="str">
        <f t="shared" si="36"/>
        <v>-</v>
      </c>
      <c r="EP42" s="572" t="str">
        <f t="shared" si="37"/>
        <v>-</v>
      </c>
      <c r="EQ42" s="572" t="str">
        <f t="shared" si="38"/>
        <v>-</v>
      </c>
      <c r="ER42" s="572" t="str">
        <f t="shared" si="39"/>
        <v>-</v>
      </c>
      <c r="ES42" s="572" t="str">
        <f t="shared" si="40"/>
        <v>-</v>
      </c>
      <c r="ET42" s="572" t="str">
        <f t="shared" si="41"/>
        <v>-</v>
      </c>
    </row>
    <row r="43" spans="1:150" ht="15.5" hidden="1" outlineLevel="1" x14ac:dyDescent="0.35">
      <c r="A43" s="27">
        <f t="shared" si="63"/>
        <v>35</v>
      </c>
      <c r="B43" s="27" t="s">
        <v>283</v>
      </c>
      <c r="C43" s="442" t="s">
        <v>504</v>
      </c>
      <c r="D43" s="9" t="s">
        <v>1003</v>
      </c>
      <c r="E43" s="12" t="s">
        <v>1004</v>
      </c>
      <c r="F43" s="12" t="s">
        <v>245</v>
      </c>
      <c r="G43" s="12" t="str">
        <f>_xlfn.XLOOKUP(F43,'Quy đổi'!$G$5:$G$32,'Quy đổi'!$H$5:$H$32,0)</f>
        <v>Nội địa</v>
      </c>
      <c r="H43" s="76" t="s">
        <v>127</v>
      </c>
      <c r="I43" s="7" t="s">
        <v>114</v>
      </c>
      <c r="J43" s="13" t="s">
        <v>22</v>
      </c>
      <c r="K43" s="11"/>
      <c r="L43" s="92">
        <f t="shared" ref="L43" si="207">IFERROR(AVERAGE(M43:X43),"-")</f>
        <v>1418.601986249045</v>
      </c>
      <c r="M43" s="106" t="str">
        <f>IFERROR(SUMIFS('01. KE30'!$K:$K,'01. KE30'!$C:$C,'06. BC BH THEO CUSTOMER-USD'!$D43,'01. KE30'!$F:$F,'06. BC BH THEO CUSTOMER-USD'!$H43,'01. KE30'!$A:$A,'06. BC BH THEO CUSTOMER-USD'!M$4)/'06. BC BH THEO CUSTOMER-USD'!CS43/'02. Tỷ giá'!B$5,"-")</f>
        <v>-</v>
      </c>
      <c r="N43" s="106" t="str">
        <f>IFERROR(SUMIFS('01. KE30'!$K:$K,'01. KE30'!$C:$C,'06. BC BH THEO CUSTOMER-USD'!$D43,'01. KE30'!$F:$F,'06. BC BH THEO CUSTOMER-USD'!$H43,'01. KE30'!$A:$A,'06. BC BH THEO CUSTOMER-USD'!N$4)/'06. BC BH THEO CUSTOMER-USD'!CT43/'02. Tỷ giá'!C$5,"-")</f>
        <v>-</v>
      </c>
      <c r="O43" s="106" t="str">
        <f>IFERROR(SUMIFS('01. KE30'!$K:$K,'01. KE30'!$C:$C,'06. BC BH THEO CUSTOMER-USD'!$D43,'01. KE30'!$F:$F,'06. BC BH THEO CUSTOMER-USD'!$H43,'01. KE30'!$A:$A,'06. BC BH THEO CUSTOMER-USD'!O$4)/'06. BC BH THEO CUSTOMER-USD'!CU43/'02. Tỷ giá'!D$5,"-")</f>
        <v>-</v>
      </c>
      <c r="P43" s="106" t="str">
        <f>IFERROR(SUMIFS('01. KE30'!$K:$K,'01. KE30'!$C:$C,'06. BC BH THEO CUSTOMER-USD'!$D43,'01. KE30'!$F:$F,'06. BC BH THEO CUSTOMER-USD'!$H43,'01. KE30'!$A:$A,'06. BC BH THEO CUSTOMER-USD'!P$4)/'06. BC BH THEO CUSTOMER-USD'!CV43/'02. Tỷ giá'!E$5,"-")</f>
        <v>-</v>
      </c>
      <c r="Q43" s="106" t="str">
        <f>IFERROR(SUMIFS('01. KE30'!$K:$K,'01. KE30'!$C:$C,'06. BC BH THEO CUSTOMER-USD'!$D43,'01. KE30'!$F:$F,'06. BC BH THEO CUSTOMER-USD'!$H43,'01. KE30'!$A:$A,'06. BC BH THEO CUSTOMER-USD'!Q$4)/'06. BC BH THEO CUSTOMER-USD'!CW43/'02. Tỷ giá'!F$5,"-")</f>
        <v>-</v>
      </c>
      <c r="R43" s="106" t="str">
        <f>IFERROR(SUMIFS('01. KE30'!$K:$K,'01. KE30'!$C:$C,'06. BC BH THEO CUSTOMER-USD'!$D43,'01. KE30'!$F:$F,'06. BC BH THEO CUSTOMER-USD'!$H43,'01. KE30'!$A:$A,'06. BC BH THEO CUSTOMER-USD'!R$4)/'06. BC BH THEO CUSTOMER-USD'!CX43/'02. Tỷ giá'!G$5,"-")</f>
        <v>-</v>
      </c>
      <c r="S43" s="106" t="str">
        <f>IFERROR(SUMIFS('01. KE30'!$K:$K,'01. KE30'!$C:$C,'06. BC BH THEO CUSTOMER-USD'!$D43,'01. KE30'!$F:$F,'06. BC BH THEO CUSTOMER-USD'!$H43,'01. KE30'!$A:$A,'06. BC BH THEO CUSTOMER-USD'!S$4)/'06. BC BH THEO CUSTOMER-USD'!CY43/'02. Tỷ giá'!H$5,"-")</f>
        <v>-</v>
      </c>
      <c r="T43" s="106">
        <f>IFERROR(SUMIFS('01. KE30'!$K:$K,'01. KE30'!$C:$C,'06. BC BH THEO CUSTOMER-USD'!$D43,'01. KE30'!$F:$F,'06. BC BH THEO CUSTOMER-USD'!$H43,'01. KE30'!$A:$A,'06. BC BH THEO CUSTOMER-USD'!T$4)/'06. BC BH THEO CUSTOMER-USD'!CZ43/'02. Tỷ giá'!I$5,"-")</f>
        <v>1418.601986249045</v>
      </c>
      <c r="U43" s="106" t="str">
        <f>IFERROR(SUMIFS('01. KE30'!$K:$K,'01. KE30'!$C:$C,'06. BC BH THEO CUSTOMER-USD'!$D43,'01. KE30'!$F:$F,'06. BC BH THEO CUSTOMER-USD'!$H43,'01. KE30'!$A:$A,'06. BC BH THEO CUSTOMER-USD'!U$4)/'06. BC BH THEO CUSTOMER-USD'!DA43/'02. Tỷ giá'!J$5,"-")</f>
        <v>-</v>
      </c>
      <c r="V43" s="106" t="str">
        <f>IFERROR(SUMIFS('01. KE30'!$K:$K,'01. KE30'!$C:$C,'06. BC BH THEO CUSTOMER-USD'!$D43,'01. KE30'!$F:$F,'06. BC BH THEO CUSTOMER-USD'!$H43,'01. KE30'!$A:$A,'06. BC BH THEO CUSTOMER-USD'!V$4)/'06. BC BH THEO CUSTOMER-USD'!DB43/'02. Tỷ giá'!K$5,"-")</f>
        <v>-</v>
      </c>
      <c r="W43" s="106" t="str">
        <f>IFERROR(SUMIFS('01. KE30'!$K:$K,'01. KE30'!$C:$C,'06. BC BH THEO CUSTOMER-USD'!$D43,'01. KE30'!$F:$F,'06. BC BH THEO CUSTOMER-USD'!$H43,'01. KE30'!$A:$A,'06. BC BH THEO CUSTOMER-USD'!W$4)/'06. BC BH THEO CUSTOMER-USD'!DC43/'02. Tỷ giá'!L$5,"-")</f>
        <v>-</v>
      </c>
      <c r="X43" s="106" t="str">
        <f>IFERROR(SUMIFS('01. KE30'!$K:$K,'01. KE30'!$C:$C,'06. BC BH THEO CUSTOMER-USD'!$D43,'01. KE30'!$F:$F,'06. BC BH THEO CUSTOMER-USD'!$H43,'01. KE30'!$A:$A,'06. BC BH THEO CUSTOMER-USD'!X$4)/'06. BC BH THEO CUSTOMER-USD'!DD43/'02. Tỷ giá'!M$5,"-")</f>
        <v>-</v>
      </c>
      <c r="Z43" s="92">
        <f t="shared" ref="Z43" si="208">IFERROR(AVERAGE(AA43:AL43),"-")</f>
        <v>1369.85179526356</v>
      </c>
      <c r="AA43" s="147" t="str">
        <f>IFERROR(SUMIFS('01. KE30'!$O:$O,'01. KE30'!$C:$C,'06. BC BH THEO CUSTOMER-USD'!$D43,'01. KE30'!$F:$F,'06. BC BH THEO CUSTOMER-USD'!$H43,'01. KE30'!$A:$A,'06. BC BH THEO CUSTOMER-USD'!M$4)/'06. BC BH THEO CUSTOMER-USD'!CS43/'02. Tỷ giá'!B$5,"-")</f>
        <v>-</v>
      </c>
      <c r="AB43" s="147" t="str">
        <f>IFERROR(SUMIFS('01. KE30'!$O:$O,'01. KE30'!$C:$C,'06. BC BH THEO CUSTOMER-USD'!$D43,'01. KE30'!$F:$F,'06. BC BH THEO CUSTOMER-USD'!$H43,'01. KE30'!$A:$A,'06. BC BH THEO CUSTOMER-USD'!N$4)/'06. BC BH THEO CUSTOMER-USD'!CT43/'02. Tỷ giá'!C$5,"-")</f>
        <v>-</v>
      </c>
      <c r="AC43" s="147" t="str">
        <f>IFERROR(SUMIFS('01. KE30'!$O:$O,'01. KE30'!$C:$C,'06. BC BH THEO CUSTOMER-USD'!$D43,'01. KE30'!$F:$F,'06. BC BH THEO CUSTOMER-USD'!$H43,'01. KE30'!$A:$A,'06. BC BH THEO CUSTOMER-USD'!O$4)/'06. BC BH THEO CUSTOMER-USD'!CU43/'02. Tỷ giá'!D$5,"-")</f>
        <v>-</v>
      </c>
      <c r="AD43" s="147" t="str">
        <f>IFERROR(SUMIFS('01. KE30'!$O:$O,'01. KE30'!$C:$C,'06. BC BH THEO CUSTOMER-USD'!$D43,'01. KE30'!$F:$F,'06. BC BH THEO CUSTOMER-USD'!$H43,'01. KE30'!$A:$A,'06. BC BH THEO CUSTOMER-USD'!P$4)/'06. BC BH THEO CUSTOMER-USD'!CV43/'02. Tỷ giá'!E$5,"-")</f>
        <v>-</v>
      </c>
      <c r="AE43" s="147" t="str">
        <f>IFERROR(SUMIFS('01. KE30'!$O:$O,'01. KE30'!$C:$C,'06. BC BH THEO CUSTOMER-USD'!$D43,'01. KE30'!$F:$F,'06. BC BH THEO CUSTOMER-USD'!$H43,'01. KE30'!$A:$A,'06. BC BH THEO CUSTOMER-USD'!Q$4)/'06. BC BH THEO CUSTOMER-USD'!CW43/'02. Tỷ giá'!F$5,"-")</f>
        <v>-</v>
      </c>
      <c r="AF43" s="147" t="str">
        <f>IFERROR(SUMIFS('01. KE30'!$O:$O,'01. KE30'!$C:$C,'06. BC BH THEO CUSTOMER-USD'!$D43,'01. KE30'!$F:$F,'06. BC BH THEO CUSTOMER-USD'!$H43,'01. KE30'!$A:$A,'06. BC BH THEO CUSTOMER-USD'!R$4)/'06. BC BH THEO CUSTOMER-USD'!CX43/'02. Tỷ giá'!G$5,"-")</f>
        <v>-</v>
      </c>
      <c r="AG43" s="147" t="str">
        <f>IFERROR(SUMIFS('01. KE30'!$O:$O,'01. KE30'!$C:$C,'06. BC BH THEO CUSTOMER-USD'!$D43,'01. KE30'!$F:$F,'06. BC BH THEO CUSTOMER-USD'!$H43,'01. KE30'!$A:$A,'06. BC BH THEO CUSTOMER-USD'!S$4)/'06. BC BH THEO CUSTOMER-USD'!CY43/'02. Tỷ giá'!H$5,"-")</f>
        <v>-</v>
      </c>
      <c r="AH43" s="147">
        <f>IFERROR(SUMIFS('01. KE30'!$O:$O,'01. KE30'!$C:$C,'06. BC BH THEO CUSTOMER-USD'!$D43,'01. KE30'!$F:$F,'06. BC BH THEO CUSTOMER-USD'!$H43,'01. KE30'!$A:$A,'06. BC BH THEO CUSTOMER-USD'!T$4)/'06. BC BH THEO CUSTOMER-USD'!CZ43/'02. Tỷ giá'!I$5,"-")</f>
        <v>1369.85179526356</v>
      </c>
      <c r="AI43" s="147" t="str">
        <f>IFERROR(SUMIFS('01. KE30'!$O:$O,'01. KE30'!$C:$C,'06. BC BH THEO CUSTOMER-USD'!$D43,'01. KE30'!$F:$F,'06. BC BH THEO CUSTOMER-USD'!$H43,'01. KE30'!$A:$A,'06. BC BH THEO CUSTOMER-USD'!U$4)/'06. BC BH THEO CUSTOMER-USD'!DA43/'02. Tỷ giá'!J$5,"-")</f>
        <v>-</v>
      </c>
      <c r="AJ43" s="147" t="str">
        <f>IFERROR(SUMIFS('01. KE30'!$O:$O,'01. KE30'!$C:$C,'06. BC BH THEO CUSTOMER-USD'!$D43,'01. KE30'!$F:$F,'06. BC BH THEO CUSTOMER-USD'!$H43,'01. KE30'!$A:$A,'06. BC BH THEO CUSTOMER-USD'!V$4)/'06. BC BH THEO CUSTOMER-USD'!DB43/'02. Tỷ giá'!K$5,"-")</f>
        <v>-</v>
      </c>
      <c r="AK43" s="147" t="str">
        <f>IFERROR(SUMIFS('01. KE30'!$O:$O,'01. KE30'!$C:$C,'06. BC BH THEO CUSTOMER-USD'!$D43,'01. KE30'!$F:$F,'06. BC BH THEO CUSTOMER-USD'!$H43,'01. KE30'!$A:$A,'06. BC BH THEO CUSTOMER-USD'!W$4)/'06. BC BH THEO CUSTOMER-USD'!DC43/'02. Tỷ giá'!L$5,"-")</f>
        <v>-</v>
      </c>
      <c r="AL43" s="147" t="str">
        <f>IFERROR(SUMIFS('01. KE30'!$O:$O,'01. KE30'!$C:$C,'06. BC BH THEO CUSTOMER-USD'!$D43,'01. KE30'!$F:$F,'06. BC BH THEO CUSTOMER-USD'!$H43,'01. KE30'!$A:$A,'06. BC BH THEO CUSTOMER-USD'!X$4)/'06. BC BH THEO CUSTOMER-USD'!DD43/'02. Tỷ giá'!M$5,"-")</f>
        <v>-</v>
      </c>
      <c r="AN43" s="92">
        <f t="shared" ref="AN43" si="209">IFERROR(AVERAGE(AO43:AZ43),"-")</f>
        <v>1322.2222222222222</v>
      </c>
      <c r="AO43" s="25">
        <v>1320</v>
      </c>
      <c r="AP43" s="25">
        <f t="shared" si="203"/>
        <v>1280</v>
      </c>
      <c r="AQ43" s="4">
        <v>1320</v>
      </c>
      <c r="AR43" s="4">
        <f t="shared" ref="AR43" si="210">AQ43+20</f>
        <v>1340</v>
      </c>
      <c r="AS43" s="4">
        <v>1340</v>
      </c>
      <c r="AT43" s="4">
        <v>1340</v>
      </c>
      <c r="AU43" s="4">
        <v>1340</v>
      </c>
      <c r="AV43" s="4">
        <f t="shared" si="205"/>
        <v>1310</v>
      </c>
      <c r="AW43" s="25">
        <v>1310</v>
      </c>
      <c r="AX43" s="25"/>
      <c r="AY43" s="4"/>
      <c r="AZ43" s="4"/>
      <c r="BB43" s="95">
        <f t="shared" ref="BB43" si="211">IF(L43&lt;&gt;"-",Z43-AN43,"-")</f>
        <v>47.629573041337835</v>
      </c>
      <c r="BC43" s="95" t="str">
        <f t="shared" ref="BC43" si="212">IF(M43&lt;&gt;"-",AA43-AO43,"-")</f>
        <v>-</v>
      </c>
      <c r="BD43" s="95" t="str">
        <f t="shared" ref="BD43" si="213">IF(N43&lt;&gt;"-",AB43-AP43,"-")</f>
        <v>-</v>
      </c>
      <c r="BE43" s="95" t="str">
        <f t="shared" ref="BE43" si="214">IF(O43&lt;&gt;"-",AC43-AQ43,"-")</f>
        <v>-</v>
      </c>
      <c r="BF43" s="95" t="str">
        <f t="shared" ref="BF43" si="215">IF(P43&lt;&gt;"-",AD43-AR43,"-")</f>
        <v>-</v>
      </c>
      <c r="BG43" s="95" t="str">
        <f t="shared" ref="BG43" si="216">IF(Q43&lt;&gt;"-",AE43-AS43,"-")</f>
        <v>-</v>
      </c>
      <c r="BH43" s="95" t="str">
        <f t="shared" ref="BH43" si="217">IF(R43&lt;&gt;"-",AF43-AT43,"-")</f>
        <v>-</v>
      </c>
      <c r="BI43" s="95" t="str">
        <f t="shared" ref="BI43" si="218">IF(S43&lt;&gt;"-",AG43-AU43,"-")</f>
        <v>-</v>
      </c>
      <c r="BJ43" s="95">
        <f t="shared" ref="BJ43" si="219">IF(T43&lt;&gt;"-",AH43-AV43,"-")</f>
        <v>59.851795263560007</v>
      </c>
      <c r="BK43" s="95" t="str">
        <f t="shared" ref="BK43" si="220">IF(U43&lt;&gt;"-",AI43-AW43,"-")</f>
        <v>-</v>
      </c>
      <c r="BL43" s="95" t="str">
        <f t="shared" ref="BL43" si="221">IF(V43&lt;&gt;"-",AJ43-AX43,"-")</f>
        <v>-</v>
      </c>
      <c r="BM43" s="95" t="str">
        <f t="shared" ref="BM43" si="222">IF(W43&lt;&gt;"-",AK43-AY43,"-")</f>
        <v>-</v>
      </c>
      <c r="BN43" s="95" t="str">
        <f t="shared" ref="BN43" si="223">IF(X43&lt;&gt;"-",AL43-AZ43,"-")</f>
        <v>-</v>
      </c>
      <c r="BP43" s="143">
        <f t="shared" ref="BP43" si="224">IFERROR(IF(BB43&lt;&gt;"-",BB43/AN43,"-"),"-")</f>
        <v>3.602236616571769E-2</v>
      </c>
      <c r="BQ43" s="143" t="str">
        <f t="shared" ref="BQ43" si="225">IFERROR(IF(BC43&lt;&gt;"-",BC43/AO43,"-"),"-")</f>
        <v>-</v>
      </c>
      <c r="BR43" s="143" t="str">
        <f t="shared" ref="BR43" si="226">IFERROR(IF(BD43&lt;&gt;"-",BD43/AP43,"-"),"-")</f>
        <v>-</v>
      </c>
      <c r="BS43" s="143" t="str">
        <f t="shared" ref="BS43" si="227">IFERROR(IF(BE43&lt;&gt;"-",BE43/AQ43,"-"),"-")</f>
        <v>-</v>
      </c>
      <c r="BT43" s="143" t="str">
        <f t="shared" ref="BT43" si="228">IFERROR(IF(BF43&lt;&gt;"-",BF43/AR43,"-"),"-")</f>
        <v>-</v>
      </c>
      <c r="BU43" s="143" t="str">
        <f t="shared" ref="BU43" si="229">IFERROR(IF(BG43&lt;&gt;"-",BG43/AS43,"-"),"-")</f>
        <v>-</v>
      </c>
      <c r="BV43" s="143" t="str">
        <f t="shared" ref="BV43" si="230">IFERROR(IF(BH43&lt;&gt;"-",BH43/AT43,"-"),"-")</f>
        <v>-</v>
      </c>
      <c r="BW43" s="143" t="str">
        <f t="shared" ref="BW43" si="231">IFERROR(IF(BI43&lt;&gt;"-",BI43/AU43,"-"),"-")</f>
        <v>-</v>
      </c>
      <c r="BX43" s="143">
        <f t="shared" ref="BX43" si="232">IFERROR(IF(BJ43&lt;&gt;"-",BJ43/AV43,"-"),"-")</f>
        <v>4.5688393330961835E-2</v>
      </c>
      <c r="BY43" s="143" t="str">
        <f t="shared" ref="BY43" si="233">IFERROR(IF(BK43&lt;&gt;"-",BK43/AW43,"-"),"-")</f>
        <v>-</v>
      </c>
      <c r="BZ43" s="143" t="str">
        <f t="shared" ref="BZ43" si="234">IFERROR(IF(BL43&lt;&gt;"-",BL43/AX43,"-"),"-")</f>
        <v>-</v>
      </c>
      <c r="CA43" s="143" t="str">
        <f t="shared" ref="CA43" si="235">IFERROR(IF(BM43&lt;&gt;"-",BM43/AY43,"-"),"-")</f>
        <v>-</v>
      </c>
      <c r="CB43" s="143" t="str">
        <f t="shared" ref="CB43" si="236">IFERROR(IF(BN43&lt;&gt;"-",BN43/AZ43,"-"),"-")</f>
        <v>-</v>
      </c>
      <c r="CD43" s="112">
        <f t="shared" ref="CD43" si="237">IFERROR(AVERAGE(CE43:CP43),"-")</f>
        <v>1119.1702097367872</v>
      </c>
      <c r="CE43" s="95" t="str">
        <f>IFERROR(SUMIFS('01. KE30'!$R:$R,'01. KE30'!$C:$C,'06. BC BH THEO CUSTOMER-USD'!$D43,'01. KE30'!$F:$F,'06. BC BH THEO CUSTOMER-USD'!$H43,'01. KE30'!$A:$A,'06. BC BH THEO CUSTOMER-USD'!CE$4)/CS43/'02. Tỷ giá'!B$5," -")</f>
        <v xml:space="preserve"> -</v>
      </c>
      <c r="CF43" s="95" t="str">
        <f>IFERROR(SUMIFS('01. KE30'!$R:$R,'01. KE30'!$C:$C,'06. BC BH THEO CUSTOMER-USD'!$D43,'01. KE30'!$F:$F,'06. BC BH THEO CUSTOMER-USD'!$H43,'01. KE30'!$A:$A,'06. BC BH THEO CUSTOMER-USD'!CF$4)/CT43/'02. Tỷ giá'!C$5," -")</f>
        <v xml:space="preserve"> -</v>
      </c>
      <c r="CG43" s="95" t="str">
        <f>IFERROR(SUMIFS('01. KE30'!$R:$R,'01. KE30'!$C:$C,'06. BC BH THEO CUSTOMER-USD'!$D43,'01. KE30'!$F:$F,'06. BC BH THEO CUSTOMER-USD'!$H43,'01. KE30'!$A:$A,'06. BC BH THEO CUSTOMER-USD'!CG$4)/CU43/'02. Tỷ giá'!D$5," -")</f>
        <v xml:space="preserve"> -</v>
      </c>
      <c r="CH43" s="95" t="str">
        <f>IFERROR(SUMIFS('01. KE30'!$R:$R,'01. KE30'!$C:$C,'06. BC BH THEO CUSTOMER-USD'!$D43,'01. KE30'!$F:$F,'06. BC BH THEO CUSTOMER-USD'!$H43,'01. KE30'!$A:$A,'06. BC BH THEO CUSTOMER-USD'!CH$4)/CV43/'02. Tỷ giá'!E$5," -")</f>
        <v xml:space="preserve"> -</v>
      </c>
      <c r="CI43" s="95" t="str">
        <f>IFERROR(SUMIFS('01. KE30'!$R:$R,'01. KE30'!$C:$C,'06. BC BH THEO CUSTOMER-USD'!$D43,'01. KE30'!$F:$F,'06. BC BH THEO CUSTOMER-USD'!$H43,'01. KE30'!$A:$A,'06. BC BH THEO CUSTOMER-USD'!CI$4)/CW43/'02. Tỷ giá'!F$5," -")</f>
        <v xml:space="preserve"> -</v>
      </c>
      <c r="CJ43" s="95" t="str">
        <f>IFERROR(SUMIFS('01. KE30'!$R:$R,'01. KE30'!$C:$C,'06. BC BH THEO CUSTOMER-USD'!$D43,'01. KE30'!$F:$F,'06. BC BH THEO CUSTOMER-USD'!$H43,'01. KE30'!$A:$A,'06. BC BH THEO CUSTOMER-USD'!CJ$4)/CX43/'02. Tỷ giá'!G$5," -")</f>
        <v xml:space="preserve"> -</v>
      </c>
      <c r="CK43" s="95" t="str">
        <f>IFERROR(SUMIFS('01. KE30'!$R:$R,'01. KE30'!$C:$C,'06. BC BH THEO CUSTOMER-USD'!$D43,'01. KE30'!$F:$F,'06. BC BH THEO CUSTOMER-USD'!$H43,'01. KE30'!$A:$A,'06. BC BH THEO CUSTOMER-USD'!CK$4)/CY43/'02. Tỷ giá'!H$5," -")</f>
        <v xml:space="preserve"> -</v>
      </c>
      <c r="CL43" s="95">
        <f>IFERROR(SUMIFS('01. KE30'!$R:$R,'01. KE30'!$C:$C,'06. BC BH THEO CUSTOMER-USD'!$D43,'01. KE30'!$F:$F,'06. BC BH THEO CUSTOMER-USD'!$H43,'01. KE30'!$A:$A,'06. BC BH THEO CUSTOMER-USD'!CL$4)/CZ43/'02. Tỷ giá'!I$5," -")</f>
        <v>1119.1702097367872</v>
      </c>
      <c r="CM43" s="95" t="str">
        <f>IFERROR(SUMIFS('01. KE30'!$R:$R,'01. KE30'!$C:$C,'06. BC BH THEO CUSTOMER-USD'!$D43,'01. KE30'!$F:$F,'06. BC BH THEO CUSTOMER-USD'!$H43,'01. KE30'!$A:$A,'06. BC BH THEO CUSTOMER-USD'!CM$4)/DA43/'02. Tỷ giá'!J$5," -")</f>
        <v xml:space="preserve"> -</v>
      </c>
      <c r="CN43" s="95" t="str">
        <f>IFERROR(SUMIFS('01. KE30'!$R:$R,'01. KE30'!$C:$C,'06. BC BH THEO CUSTOMER-USD'!$D43,'01. KE30'!$F:$F,'06. BC BH THEO CUSTOMER-USD'!$H43,'01. KE30'!$A:$A,'06. BC BH THEO CUSTOMER-USD'!CN$4)/DB43/'02. Tỷ giá'!K$5," -")</f>
        <v xml:space="preserve"> -</v>
      </c>
      <c r="CO43" s="95" t="str">
        <f>IFERROR(SUMIFS('01. KE30'!$R:$R,'01. KE30'!$C:$C,'06. BC BH THEO CUSTOMER-USD'!$D43,'01. KE30'!$F:$F,'06. BC BH THEO CUSTOMER-USD'!$H43,'01. KE30'!$A:$A,'06. BC BH THEO CUSTOMER-USD'!CO$4)/DC43/'02. Tỷ giá'!L$5," -")</f>
        <v xml:space="preserve"> -</v>
      </c>
      <c r="CP43" s="95" t="str">
        <f>IFERROR(SUMIFS('01. KE30'!$R:$R,'01. KE30'!$C:$C,'06. BC BH THEO CUSTOMER-USD'!$D43,'01. KE30'!$F:$F,'06. BC BH THEO CUSTOMER-USD'!$H43,'01. KE30'!$A:$A,'06. BC BH THEO CUSTOMER-USD'!CP$4)/DD43/'02. Tỷ giá'!M$5," -")</f>
        <v xml:space="preserve"> -</v>
      </c>
      <c r="CR43" s="112">
        <f t="shared" ref="CR43" si="238">SUM(CS43:DD43)</f>
        <v>88</v>
      </c>
      <c r="CS43" s="114">
        <f>SUMIFS('01. KE30'!$I:$I,'01. KE30'!$C:$C,'06. BC BH THEO CUSTOMER-USD'!$D43,'01. KE30'!$F:$F,'06. BC BH THEO CUSTOMER-USD'!$H43,'01. KE30'!$A:$A,'06. BC BH THEO CUSTOMER-USD'!CS$4)/1000</f>
        <v>0</v>
      </c>
      <c r="CT43" s="114">
        <f>SUMIFS('01. KE30'!$I:$I,'01. KE30'!$C:$C,'06. BC BH THEO CUSTOMER-USD'!$D43,'01. KE30'!$F:$F,'06. BC BH THEO CUSTOMER-USD'!$H43,'01. KE30'!$A:$A,'06. BC BH THEO CUSTOMER-USD'!CT$4)/1000</f>
        <v>0</v>
      </c>
      <c r="CU43" s="114">
        <f>SUMIFS('01. KE30'!$I:$I,'01. KE30'!$C:$C,'06. BC BH THEO CUSTOMER-USD'!$D43,'01. KE30'!$F:$F,'06. BC BH THEO CUSTOMER-USD'!$H43,'01. KE30'!$A:$A,'06. BC BH THEO CUSTOMER-USD'!CU$4)/1000</f>
        <v>0</v>
      </c>
      <c r="CV43" s="114">
        <f>SUMIFS('01. KE30'!$I:$I,'01. KE30'!$C:$C,'06. BC BH THEO CUSTOMER-USD'!$D43,'01. KE30'!$F:$F,'06. BC BH THEO CUSTOMER-USD'!$H43,'01. KE30'!$A:$A,'06. BC BH THEO CUSTOMER-USD'!CV$4)/1000</f>
        <v>0</v>
      </c>
      <c r="CW43" s="114">
        <f>SUMIFS('01. KE30'!$I:$I,'01. KE30'!$C:$C,'06. BC BH THEO CUSTOMER-USD'!$D43,'01. KE30'!$F:$F,'06. BC BH THEO CUSTOMER-USD'!$H43,'01. KE30'!$A:$A,'06. BC BH THEO CUSTOMER-USD'!CW$4)/1000</f>
        <v>0</v>
      </c>
      <c r="CX43" s="114">
        <f>SUMIFS('01. KE30'!$I:$I,'01. KE30'!$C:$C,'06. BC BH THEO CUSTOMER-USD'!$D43,'01. KE30'!$F:$F,'06. BC BH THEO CUSTOMER-USD'!$H43,'01. KE30'!$A:$A,'06. BC BH THEO CUSTOMER-USD'!CX$4)/1000</f>
        <v>0</v>
      </c>
      <c r="CY43" s="114">
        <f>SUMIFS('01. KE30'!$I:$I,'01. KE30'!$C:$C,'06. BC BH THEO CUSTOMER-USD'!$D43,'01. KE30'!$F:$F,'06. BC BH THEO CUSTOMER-USD'!$H43,'01. KE30'!$A:$A,'06. BC BH THEO CUSTOMER-USD'!CY$4)/1000</f>
        <v>0</v>
      </c>
      <c r="CZ43" s="114">
        <f>SUMIFS('01. KE30'!$I:$I,'01. KE30'!$C:$C,'06. BC BH THEO CUSTOMER-USD'!$D43,'01. KE30'!$F:$F,'06. BC BH THEO CUSTOMER-USD'!$H43,'01. KE30'!$A:$A,'06. BC BH THEO CUSTOMER-USD'!CZ$4)/1000</f>
        <v>88</v>
      </c>
      <c r="DA43" s="114">
        <f>SUMIFS('01. KE30'!$I:$I,'01. KE30'!$C:$C,'06. BC BH THEO CUSTOMER-USD'!$D43,'01. KE30'!$F:$F,'06. BC BH THEO CUSTOMER-USD'!$H43,'01. KE30'!$A:$A,'06. BC BH THEO CUSTOMER-USD'!DA$4)/1000</f>
        <v>0</v>
      </c>
      <c r="DB43" s="114">
        <f>SUMIFS('01. KE30'!$I:$I,'01. KE30'!$C:$C,'06. BC BH THEO CUSTOMER-USD'!$D43,'01. KE30'!$F:$F,'06. BC BH THEO CUSTOMER-USD'!$H43,'01. KE30'!$A:$A,'06. BC BH THEO CUSTOMER-USD'!DB$4)/1000</f>
        <v>0</v>
      </c>
      <c r="DC43" s="114">
        <f>SUMIFS('01. KE30'!$I:$I,'01. KE30'!$C:$C,'06. BC BH THEO CUSTOMER-USD'!$D43,'01. KE30'!$F:$F,'06. BC BH THEO CUSTOMER-USD'!$H43,'01. KE30'!$A:$A,'06. BC BH THEO CUSTOMER-USD'!DC$4)/1000</f>
        <v>0</v>
      </c>
      <c r="DD43" s="114">
        <f>SUMIFS('01. KE30'!$I:$I,'01. KE30'!$C:$C,'06. BC BH THEO CUSTOMER-USD'!$D43,'01. KE30'!$F:$F,'06. BC BH THEO CUSTOMER-USD'!$H43,'01. KE30'!$A:$A,'06. BC BH THEO CUSTOMER-USD'!DD$4)/1000</f>
        <v>0</v>
      </c>
      <c r="DF43" s="112">
        <f t="shared" ref="DF43" si="239">SUM(DG43:DR43)</f>
        <v>124836.97478991596</v>
      </c>
      <c r="DG43" s="54" t="str">
        <f t="shared" ref="DG43" si="240">IFERROR(M43*CS43,"-")</f>
        <v>-</v>
      </c>
      <c r="DH43" s="54" t="str">
        <f t="shared" ref="DH43" si="241">IFERROR(N43*CT43,"-")</f>
        <v>-</v>
      </c>
      <c r="DI43" s="54" t="str">
        <f t="shared" ref="DI43" si="242">IFERROR(O43*CU43,"-")</f>
        <v>-</v>
      </c>
      <c r="DJ43" s="54" t="str">
        <f t="shared" ref="DJ43" si="243">IFERROR(P43*CV43,"-")</f>
        <v>-</v>
      </c>
      <c r="DK43" s="54" t="str">
        <f t="shared" ref="DK43" si="244">IFERROR(Q43*CW43,"-")</f>
        <v>-</v>
      </c>
      <c r="DL43" s="54" t="str">
        <f t="shared" ref="DL43" si="245">IFERROR(R43*CX43,"-")</f>
        <v>-</v>
      </c>
      <c r="DM43" s="54" t="str">
        <f t="shared" ref="DM43" si="246">IFERROR(S43*CY43,"-")</f>
        <v>-</v>
      </c>
      <c r="DN43" s="54">
        <f t="shared" ref="DN43" si="247">IFERROR(T43*CZ43,"-")</f>
        <v>124836.97478991596</v>
      </c>
      <c r="DO43" s="54" t="str">
        <f t="shared" ref="DO43" si="248">IFERROR(U43*DA43,"-")</f>
        <v>-</v>
      </c>
      <c r="DP43" s="54" t="str">
        <f t="shared" ref="DP43" si="249">IFERROR(V43*DB43,"-")</f>
        <v>-</v>
      </c>
      <c r="DQ43" s="54" t="str">
        <f t="shared" ref="DQ43" si="250">IFERROR(W43*DC43,"-")</f>
        <v>-</v>
      </c>
      <c r="DR43" s="54" t="str">
        <f t="shared" ref="DR43" si="251">IFERROR(X43*DD43,"-")</f>
        <v>-</v>
      </c>
      <c r="DT43" s="112">
        <f t="shared" ref="DT43" si="252">SUM(DU43:EF43)</f>
        <v>22059.979526355994</v>
      </c>
      <c r="DU43" s="114">
        <f>IFERROR(SUMIFS('01. KE30'!$X:$X,'01. KE30'!$C:$C,'06. BC BH THEO CUSTOMER-USD'!$D43,'01. KE30'!$F:$F,'06. BC BH THEO CUSTOMER-USD'!$H43,'01. KE30'!$A:$A,'06. BC BH THEO CUSTOMER-USD'!DU$4)-SUMIFS('01. KE30'!$AA:$AA,'01. KE30'!$C:$C,'06. BC BH THEO CUSTOMER-USD'!$D43,'01. KE30'!$F:$F,'06. BC BH THEO CUSTOMER-USD'!$H43,'01. KE30'!$A:$A,'06. BC BH THEO CUSTOMER-USD'!DU$4),"-")</f>
        <v>0</v>
      </c>
      <c r="DV43" s="114">
        <f>IFERROR(SUMIFS('01. KE30'!$X:$X,'01. KE30'!$C:$C,'06. BC BH THEO CUSTOMER-USD'!$D43,'01. KE30'!$F:$F,'06. BC BH THEO CUSTOMER-USD'!$H43,'01. KE30'!$A:$A,'06. BC BH THEO CUSTOMER-USD'!DV$4)-SUMIFS('01. KE30'!$AA:$AA,'01. KE30'!$C:$C,'06. BC BH THEO CUSTOMER-USD'!$D43,'01. KE30'!$F:$F,'06. BC BH THEO CUSTOMER-USD'!$H43,'01. KE30'!$A:$A,'06. BC BH THEO CUSTOMER-USD'!DV$4),"-")</f>
        <v>0</v>
      </c>
      <c r="DW43" s="114">
        <f>IFERROR(SUMIFS('01. KE30'!$X:$X,'01. KE30'!$C:$C,'06. BC BH THEO CUSTOMER-USD'!$D43,'01. KE30'!$F:$F,'06. BC BH THEO CUSTOMER-USD'!$H43,'01. KE30'!$A:$A,'06. BC BH THEO CUSTOMER-USD'!DW$4)-SUMIFS('01. KE30'!$AA:$AA,'01. KE30'!$C:$C,'06. BC BH THEO CUSTOMER-USD'!$D43,'01. KE30'!$F:$F,'06. BC BH THEO CUSTOMER-USD'!$H43,'01. KE30'!$A:$A,'06. BC BH THEO CUSTOMER-USD'!DW$4),"-")</f>
        <v>0</v>
      </c>
      <c r="DX43" s="114">
        <f>IFERROR(SUMIFS('01. KE30'!$X:$X,'01. KE30'!$C:$C,'06. BC BH THEO CUSTOMER-USD'!$D43,'01. KE30'!$F:$F,'06. BC BH THEO CUSTOMER-USD'!$H43,'01. KE30'!$A:$A,'06. BC BH THEO CUSTOMER-USD'!DX$4)-SUMIFS('01. KE30'!$AA:$AA,'01. KE30'!$C:$C,'06. BC BH THEO CUSTOMER-USD'!$D43,'01. KE30'!$F:$F,'06. BC BH THEO CUSTOMER-USD'!$H43,'01. KE30'!$A:$A,'06. BC BH THEO CUSTOMER-USD'!DX$4),"-")</f>
        <v>0</v>
      </c>
      <c r="DY43" s="114">
        <f>IFERROR(SUMIFS('01. KE30'!$X:$X,'01. KE30'!$C:$C,'06. BC BH THEO CUSTOMER-USD'!$D43,'01. KE30'!$F:$F,'06. BC BH THEO CUSTOMER-USD'!$H43,'01. KE30'!$A:$A,'06. BC BH THEO CUSTOMER-USD'!DY$4)-SUMIFS('01. KE30'!$AA:$AA,'01. KE30'!$C:$C,'06. BC BH THEO CUSTOMER-USD'!$D43,'01. KE30'!$F:$F,'06. BC BH THEO CUSTOMER-USD'!$H43,'01. KE30'!$A:$A,'06. BC BH THEO CUSTOMER-USD'!DY$4),"-")</f>
        <v>0</v>
      </c>
      <c r="DZ43" s="114">
        <f>IFERROR(SUMIFS('01. KE30'!$X:$X,'01. KE30'!$C:$C,'06. BC BH THEO CUSTOMER-USD'!$D43,'01. KE30'!$F:$F,'06. BC BH THEO CUSTOMER-USD'!$H43,'01. KE30'!$A:$A,'06. BC BH THEO CUSTOMER-USD'!DZ$4)-SUMIFS('01. KE30'!$AA:$AA,'01. KE30'!$C:$C,'06. BC BH THEO CUSTOMER-USD'!$D43,'01. KE30'!$F:$F,'06. BC BH THEO CUSTOMER-USD'!$H43,'01. KE30'!$A:$A,'06. BC BH THEO CUSTOMER-USD'!DZ$4),"-")</f>
        <v>0</v>
      </c>
      <c r="EA43" s="114">
        <f>IFERROR(SUMIFS('01. KE30'!$X:$X,'01. KE30'!$C:$C,'06. BC BH THEO CUSTOMER-USD'!$D43,'01. KE30'!$F:$F,'06. BC BH THEO CUSTOMER-USD'!$H43,'01. KE30'!$A:$A,'06. BC BH THEO CUSTOMER-USD'!EA$4)-SUMIFS('01. KE30'!$AA:$AA,'01. KE30'!$C:$C,'06. BC BH THEO CUSTOMER-USD'!$D43,'01. KE30'!$F:$F,'06. BC BH THEO CUSTOMER-USD'!$H43,'01. KE30'!$A:$A,'06. BC BH THEO CUSTOMER-USD'!EA$4),"-")</f>
        <v>0</v>
      </c>
      <c r="EB43" s="114">
        <f>IFERROR(SUMIFS('01. KE30'!$X:$X,'01. KE30'!$C:$C,'06. BC BH THEO CUSTOMER-USD'!$D43,'01. KE30'!$F:$F,'06. BC BH THEO CUSTOMER-USD'!$H43,'01. KE30'!$A:$A,'06. BC BH THEO CUSTOMER-USD'!EB$4)-SUMIFS('01. KE30'!$AA:$AA,'01. KE30'!$C:$C,'06. BC BH THEO CUSTOMER-USD'!$D43,'01. KE30'!$F:$F,'06. BC BH THEO CUSTOMER-USD'!$H43,'01. KE30'!$A:$A,'06. BC BH THEO CUSTOMER-USD'!EB$4),"-")</f>
        <v>22059.979526355994</v>
      </c>
      <c r="EC43" s="114">
        <f>IFERROR(SUMIFS('01. KE30'!$X:$X,'01. KE30'!$C:$C,'06. BC BH THEO CUSTOMER-USD'!$D43,'01. KE30'!$F:$F,'06. BC BH THEO CUSTOMER-USD'!$H43,'01. KE30'!$A:$A,'06. BC BH THEO CUSTOMER-USD'!EC$4)-SUMIFS('01. KE30'!$AA:$AA,'01. KE30'!$C:$C,'06. BC BH THEO CUSTOMER-USD'!$D43,'01. KE30'!$F:$F,'06. BC BH THEO CUSTOMER-USD'!$H43,'01. KE30'!$A:$A,'06. BC BH THEO CUSTOMER-USD'!EC$4),"-")</f>
        <v>0</v>
      </c>
      <c r="ED43" s="114">
        <f>IFERROR(SUMIFS('01. KE30'!$X:$X,'01. KE30'!$C:$C,'06. BC BH THEO CUSTOMER-USD'!$D43,'01. KE30'!$F:$F,'06. BC BH THEO CUSTOMER-USD'!$H43,'01. KE30'!$A:$A,'06. BC BH THEO CUSTOMER-USD'!ED$4)-SUMIFS('01. KE30'!$AA:$AA,'01. KE30'!$C:$C,'06. BC BH THEO CUSTOMER-USD'!$D43,'01. KE30'!$F:$F,'06. BC BH THEO CUSTOMER-USD'!$H43,'01. KE30'!$A:$A,'06. BC BH THEO CUSTOMER-USD'!ED$4),"-")</f>
        <v>0</v>
      </c>
      <c r="EE43" s="114">
        <f>IFERROR(SUMIFS('01. KE30'!$X:$X,'01. KE30'!$C:$C,'06. BC BH THEO CUSTOMER-USD'!$D43,'01. KE30'!$F:$F,'06. BC BH THEO CUSTOMER-USD'!$H43,'01. KE30'!$A:$A,'06. BC BH THEO CUSTOMER-USD'!EE$4)-SUMIFS('01. KE30'!$AA:$AA,'01. KE30'!$C:$C,'06. BC BH THEO CUSTOMER-USD'!$D43,'01. KE30'!$F:$F,'06. BC BH THEO CUSTOMER-USD'!$H43,'01. KE30'!$A:$A,'06. BC BH THEO CUSTOMER-USD'!EE$4),"-")</f>
        <v>0</v>
      </c>
      <c r="EF43" s="114">
        <f>IFERROR(SUMIFS('01. KE30'!$X:$X,'01. KE30'!$C:$C,'06. BC BH THEO CUSTOMER-USD'!$D43,'01. KE30'!$F:$F,'06. BC BH THEO CUSTOMER-USD'!$H43,'01. KE30'!$A:$A,'06. BC BH THEO CUSTOMER-USD'!EF$4)-SUMIFS('01. KE30'!$AA:$AA,'01. KE30'!$C:$C,'06. BC BH THEO CUSTOMER-USD'!$D43,'01. KE30'!$F:$F,'06. BC BH THEO CUSTOMER-USD'!$H43,'01. KE30'!$A:$A,'06. BC BH THEO CUSTOMER-USD'!EF$4),"-")</f>
        <v>0</v>
      </c>
      <c r="EH43" s="571">
        <f t="shared" ref="EH43" si="253">IFERROR(DT43/DF43,"-")</f>
        <v>0.17671030208381777</v>
      </c>
      <c r="EI43" s="572" t="str">
        <f t="shared" ref="EI43" si="254">IFERROR(DU43/DG43,"-")</f>
        <v>-</v>
      </c>
      <c r="EJ43" s="572" t="str">
        <f t="shared" ref="EJ43" si="255">IFERROR(DV43/DH43,"-")</f>
        <v>-</v>
      </c>
      <c r="EK43" s="572" t="str">
        <f t="shared" ref="EK43" si="256">IFERROR(DW43/DI43,"-")</f>
        <v>-</v>
      </c>
      <c r="EL43" s="572" t="str">
        <f t="shared" ref="EL43" si="257">IFERROR(DX43/DJ43,"-")</f>
        <v>-</v>
      </c>
      <c r="EM43" s="572" t="str">
        <f t="shared" ref="EM43" si="258">IFERROR(DY43/DK43,"-")</f>
        <v>-</v>
      </c>
      <c r="EN43" s="572" t="str">
        <f t="shared" ref="EN43" si="259">IFERROR(DZ43/DL43,"-")</f>
        <v>-</v>
      </c>
      <c r="EO43" s="572" t="str">
        <f t="shared" ref="EO43" si="260">IFERROR(EA43/DM43,"-")</f>
        <v>-</v>
      </c>
      <c r="EP43" s="572">
        <f t="shared" ref="EP43" si="261">IFERROR(EB43/DN43,"-")</f>
        <v>0.17671030208381777</v>
      </c>
      <c r="EQ43" s="572" t="str">
        <f t="shared" ref="EQ43" si="262">IFERROR(EC43/DO43,"-")</f>
        <v>-</v>
      </c>
      <c r="ER43" s="572" t="str">
        <f t="shared" ref="ER43" si="263">IFERROR(ED43/DP43,"-")</f>
        <v>-</v>
      </c>
      <c r="ES43" s="572" t="str">
        <f t="shared" ref="ES43" si="264">IFERROR(EE43/DQ43,"-")</f>
        <v>-</v>
      </c>
      <c r="ET43" s="572" t="str">
        <f t="shared" ref="ET43" si="265">IFERROR(EF43/DR43,"-")</f>
        <v>-</v>
      </c>
    </row>
    <row r="44" spans="1:150" ht="15.5" hidden="1" outlineLevel="1" x14ac:dyDescent="0.35">
      <c r="A44" s="27">
        <f>A42+1</f>
        <v>35</v>
      </c>
      <c r="B44" s="27" t="s">
        <v>283</v>
      </c>
      <c r="C44" s="442" t="s">
        <v>489</v>
      </c>
      <c r="D44" s="9" t="s">
        <v>129</v>
      </c>
      <c r="E44" s="12" t="s">
        <v>128</v>
      </c>
      <c r="F44" s="12" t="s">
        <v>245</v>
      </c>
      <c r="G44" s="12" t="str">
        <f>_xlfn.XLOOKUP(F44,'Quy đổi'!$G$5:$G$32,'Quy đổi'!$H$5:$H$32,0)</f>
        <v>Nội địa</v>
      </c>
      <c r="H44" s="76" t="s">
        <v>127</v>
      </c>
      <c r="I44" s="7" t="s">
        <v>114</v>
      </c>
      <c r="J44" s="13" t="s">
        <v>22</v>
      </c>
      <c r="K44" s="11"/>
      <c r="L44" s="92">
        <f t="shared" si="42"/>
        <v>1395.9359517728512</v>
      </c>
      <c r="M44" s="106">
        <f>IFERROR(SUMIFS('01. KE30'!$K:$K,'01. KE30'!$C:$C,'06. BC BH THEO CUSTOMER-USD'!$D44,'01. KE30'!$F:$F,'06. BC BH THEO CUSTOMER-USD'!$H44,'01. KE30'!$A:$A,'06. BC BH THEO CUSTOMER-USD'!M$4)/'06. BC BH THEO CUSTOMER-USD'!CS44/'02. Tỷ giá'!B$5,"-")</f>
        <v>1485.0421526805117</v>
      </c>
      <c r="N44" s="106">
        <f>IFERROR(SUMIFS('01. KE30'!$K:$K,'01. KE30'!$C:$C,'06. BC BH THEO CUSTOMER-USD'!$D44,'01. KE30'!$F:$F,'06. BC BH THEO CUSTOMER-USD'!$H44,'01. KE30'!$A:$A,'06. BC BH THEO CUSTOMER-USD'!N$4)/'06. BC BH THEO CUSTOMER-USD'!CT44/'02. Tỷ giá'!C$5,"-")</f>
        <v>1405.2561280389559</v>
      </c>
      <c r="O44" s="106">
        <f>IFERROR(SUMIFS('01. KE30'!$K:$K,'01. KE30'!$C:$C,'06. BC BH THEO CUSTOMER-USD'!$D44,'01. KE30'!$F:$F,'06. BC BH THEO CUSTOMER-USD'!$H44,'01. KE30'!$A:$A,'06. BC BH THEO CUSTOMER-USD'!O$4)/'06. BC BH THEO CUSTOMER-USD'!CU44/'02. Tỷ giá'!D$5,"-")</f>
        <v>1369.0838976377952</v>
      </c>
      <c r="P44" s="106">
        <f>IFERROR(SUMIFS('01. KE30'!$K:$K,'01. KE30'!$C:$C,'06. BC BH THEO CUSTOMER-USD'!$D44,'01. KE30'!$F:$F,'06. BC BH THEO CUSTOMER-USD'!$H44,'01. KE30'!$A:$A,'06. BC BH THEO CUSTOMER-USD'!P$4)/'06. BC BH THEO CUSTOMER-USD'!CV44/'02. Tỷ giá'!E$5,"-")</f>
        <v>1358.0364401858305</v>
      </c>
      <c r="Q44" s="106">
        <f>IFERROR(SUMIFS('01. KE30'!$K:$K,'01. KE30'!$C:$C,'06. BC BH THEO CUSTOMER-USD'!$D44,'01. KE30'!$F:$F,'06. BC BH THEO CUSTOMER-USD'!$H44,'01. KE30'!$A:$A,'06. BC BH THEO CUSTOMER-USD'!Q$4)/'06. BC BH THEO CUSTOMER-USD'!CW44/'02. Tỷ giá'!F$5,"-")</f>
        <v>1356.4609910819738</v>
      </c>
      <c r="R44" s="106" t="str">
        <f>IFERROR(SUMIFS('01. KE30'!$K:$K,'01. KE30'!$C:$C,'06. BC BH THEO CUSTOMER-USD'!$D44,'01. KE30'!$F:$F,'06. BC BH THEO CUSTOMER-USD'!$H44,'01. KE30'!$A:$A,'06. BC BH THEO CUSTOMER-USD'!R$4)/'06. BC BH THEO CUSTOMER-USD'!CX44/'02. Tỷ giá'!G$5,"-")</f>
        <v>-</v>
      </c>
      <c r="S44" s="106">
        <f>IFERROR(SUMIFS('01. KE30'!$K:$K,'01. KE30'!$C:$C,'06. BC BH THEO CUSTOMER-USD'!$D44,'01. KE30'!$F:$F,'06. BC BH THEO CUSTOMER-USD'!$H44,'01. KE30'!$A:$A,'06. BC BH THEO CUSTOMER-USD'!S$4)/'06. BC BH THEO CUSTOMER-USD'!CY44/'02. Tỷ giá'!H$5,"-")</f>
        <v>1400.7698379708675</v>
      </c>
      <c r="T44" s="106">
        <f>IFERROR(SUMIFS('01. KE30'!$K:$K,'01. KE30'!$C:$C,'06. BC BH THEO CUSTOMER-USD'!$D44,'01. KE30'!$F:$F,'06. BC BH THEO CUSTOMER-USD'!$H44,'01. KE30'!$A:$A,'06. BC BH THEO CUSTOMER-USD'!T$4)/'06. BC BH THEO CUSTOMER-USD'!CZ44/'02. Tỷ giá'!I$5,"-")</f>
        <v>1396.9022148140225</v>
      </c>
      <c r="U44" s="106" t="str">
        <f>IFERROR(SUMIFS('01. KE30'!$K:$K,'01. KE30'!$C:$C,'06. BC BH THEO CUSTOMER-USD'!$D44,'01. KE30'!$F:$F,'06. BC BH THEO CUSTOMER-USD'!$H44,'01. KE30'!$A:$A,'06. BC BH THEO CUSTOMER-USD'!U$4)/'06. BC BH THEO CUSTOMER-USD'!DA44/'02. Tỷ giá'!J$5,"-")</f>
        <v>-</v>
      </c>
      <c r="V44" s="106" t="str">
        <f>IFERROR(SUMIFS('01. KE30'!$K:$K,'01. KE30'!$C:$C,'06. BC BH THEO CUSTOMER-USD'!$D44,'01. KE30'!$F:$F,'06. BC BH THEO CUSTOMER-USD'!$H44,'01. KE30'!$A:$A,'06. BC BH THEO CUSTOMER-USD'!V$4)/'06. BC BH THEO CUSTOMER-USD'!DB44/'02. Tỷ giá'!K$5,"-")</f>
        <v>-</v>
      </c>
      <c r="W44" s="106" t="str">
        <f>IFERROR(SUMIFS('01. KE30'!$K:$K,'01. KE30'!$C:$C,'06. BC BH THEO CUSTOMER-USD'!$D44,'01. KE30'!$F:$F,'06. BC BH THEO CUSTOMER-USD'!$H44,'01. KE30'!$A:$A,'06. BC BH THEO CUSTOMER-USD'!W$4)/'06. BC BH THEO CUSTOMER-USD'!DC44/'02. Tỷ giá'!L$5,"-")</f>
        <v>-</v>
      </c>
      <c r="X44" s="106" t="str">
        <f>IFERROR(SUMIFS('01. KE30'!$K:$K,'01. KE30'!$C:$C,'06. BC BH THEO CUSTOMER-USD'!$D44,'01. KE30'!$F:$F,'06. BC BH THEO CUSTOMER-USD'!$H44,'01. KE30'!$A:$A,'06. BC BH THEO CUSTOMER-USD'!X$4)/'06. BC BH THEO CUSTOMER-USD'!DD44/'02. Tỷ giá'!M$5,"-")</f>
        <v>-</v>
      </c>
      <c r="Z44" s="92">
        <f t="shared" si="43"/>
        <v>1385.6679135456895</v>
      </c>
      <c r="AA44" s="147">
        <f>IFERROR(SUMIFS('01. KE30'!$O:$O,'01. KE30'!$C:$C,'06. BC BH THEO CUSTOMER-USD'!$D44,'01. KE30'!$F:$F,'06. BC BH THEO CUSTOMER-USD'!$H44,'01. KE30'!$A:$A,'06. BC BH THEO CUSTOMER-USD'!M$4)/'06. BC BH THEO CUSTOMER-USD'!CS44/'02. Tỷ giá'!B$5,"-")</f>
        <v>1485.0421526805117</v>
      </c>
      <c r="AB44" s="147">
        <f>IFERROR(SUMIFS('01. KE30'!$O:$O,'01. KE30'!$C:$C,'06. BC BH THEO CUSTOMER-USD'!$D44,'01. KE30'!$F:$F,'06. BC BH THEO CUSTOMER-USD'!$H44,'01. KE30'!$A:$A,'06. BC BH THEO CUSTOMER-USD'!N$4)/'06. BC BH THEO CUSTOMER-USD'!CT44/'02. Tỷ giá'!C$5,"-")</f>
        <v>1398.9544344588064</v>
      </c>
      <c r="AC44" s="147">
        <f>IFERROR(SUMIFS('01. KE30'!$O:$O,'01. KE30'!$C:$C,'06. BC BH THEO CUSTOMER-USD'!$D44,'01. KE30'!$F:$F,'06. BC BH THEO CUSTOMER-USD'!$H44,'01. KE30'!$A:$A,'06. BC BH THEO CUSTOMER-USD'!O$4)/'06. BC BH THEO CUSTOMER-USD'!CU44/'02. Tỷ giá'!D$5,"-")</f>
        <v>1362.7846850393701</v>
      </c>
      <c r="AD44" s="147">
        <f>IFERROR(SUMIFS('01. KE30'!$O:$O,'01. KE30'!$C:$C,'06. BC BH THEO CUSTOMER-USD'!$D44,'01. KE30'!$F:$F,'06. BC BH THEO CUSTOMER-USD'!$H44,'01. KE30'!$A:$A,'06. BC BH THEO CUSTOMER-USD'!P$4)/'06. BC BH THEO CUSTOMER-USD'!CV44/'02. Tỷ giá'!E$5,"-")</f>
        <v>1351.8420925280682</v>
      </c>
      <c r="AE44" s="147">
        <f>IFERROR(SUMIFS('01. KE30'!$O:$O,'01. KE30'!$C:$C,'06. BC BH THEO CUSTOMER-USD'!$D44,'01. KE30'!$F:$F,'06. BC BH THEO CUSTOMER-USD'!$H44,'01. KE30'!$A:$A,'06. BC BH THEO CUSTOMER-USD'!Q$4)/'06. BC BH THEO CUSTOMER-USD'!CW44/'02. Tỷ giá'!F$5,"-")</f>
        <v>1356.4609910819738</v>
      </c>
      <c r="AF44" s="147" t="str">
        <f>IFERROR(SUMIFS('01. KE30'!$O:$O,'01. KE30'!$C:$C,'06. BC BH THEO CUSTOMER-USD'!$D44,'01. KE30'!$F:$F,'06. BC BH THEO CUSTOMER-USD'!$H44,'01. KE30'!$A:$A,'06. BC BH THEO CUSTOMER-USD'!R$4)/'06. BC BH THEO CUSTOMER-USD'!CX44/'02. Tỷ giá'!G$5,"-")</f>
        <v>-</v>
      </c>
      <c r="AG44" s="147">
        <f>IFERROR(SUMIFS('01. KE30'!$O:$O,'01. KE30'!$C:$C,'06. BC BH THEO CUSTOMER-USD'!$D44,'01. KE30'!$F:$F,'06. BC BH THEO CUSTOMER-USD'!$H44,'01. KE30'!$A:$A,'06. BC BH THEO CUSTOMER-USD'!S$4)/'06. BC BH THEO CUSTOMER-USD'!CY44/'02. Tỷ giá'!H$5,"-")</f>
        <v>1374.6031483216802</v>
      </c>
      <c r="AH44" s="147">
        <f>IFERROR(SUMIFS('01. KE30'!$O:$O,'01. KE30'!$C:$C,'06. BC BH THEO CUSTOMER-USD'!$D44,'01. KE30'!$F:$F,'06. BC BH THEO CUSTOMER-USD'!$H44,'01. KE30'!$A:$A,'06. BC BH THEO CUSTOMER-USD'!T$4)/'06. BC BH THEO CUSTOMER-USD'!CZ44/'02. Tỷ giá'!I$5,"-")</f>
        <v>1369.9878907094176</v>
      </c>
      <c r="AI44" s="147" t="str">
        <f>IFERROR(SUMIFS('01. KE30'!$O:$O,'01. KE30'!$C:$C,'06. BC BH THEO CUSTOMER-USD'!$D44,'01. KE30'!$F:$F,'06. BC BH THEO CUSTOMER-USD'!$H44,'01. KE30'!$A:$A,'06. BC BH THEO CUSTOMER-USD'!U$4)/'06. BC BH THEO CUSTOMER-USD'!DA44/'02. Tỷ giá'!J$5,"-")</f>
        <v>-</v>
      </c>
      <c r="AJ44" s="147" t="str">
        <f>IFERROR(SUMIFS('01. KE30'!$O:$O,'01. KE30'!$C:$C,'06. BC BH THEO CUSTOMER-USD'!$D44,'01. KE30'!$F:$F,'06. BC BH THEO CUSTOMER-USD'!$H44,'01. KE30'!$A:$A,'06. BC BH THEO CUSTOMER-USD'!V$4)/'06. BC BH THEO CUSTOMER-USD'!DB44/'02. Tỷ giá'!K$5,"-")</f>
        <v>-</v>
      </c>
      <c r="AK44" s="147" t="str">
        <f>IFERROR(SUMIFS('01. KE30'!$O:$O,'01. KE30'!$C:$C,'06. BC BH THEO CUSTOMER-USD'!$D44,'01. KE30'!$F:$F,'06. BC BH THEO CUSTOMER-USD'!$H44,'01. KE30'!$A:$A,'06. BC BH THEO CUSTOMER-USD'!W$4)/'06. BC BH THEO CUSTOMER-USD'!DC44/'02. Tỷ giá'!L$5,"-")</f>
        <v>-</v>
      </c>
      <c r="AL44" s="147" t="str">
        <f>IFERROR(SUMIFS('01. KE30'!$O:$O,'01. KE30'!$C:$C,'06. BC BH THEO CUSTOMER-USD'!$D44,'01. KE30'!$F:$F,'06. BC BH THEO CUSTOMER-USD'!$H44,'01. KE30'!$A:$A,'06. BC BH THEO CUSTOMER-USD'!X$4)/'06. BC BH THEO CUSTOMER-USD'!DD44/'02. Tỷ giá'!M$5,"-")</f>
        <v>-</v>
      </c>
      <c r="AN44" s="92">
        <f t="shared" si="44"/>
        <v>1322.2222222222222</v>
      </c>
      <c r="AO44" s="25">
        <v>1320</v>
      </c>
      <c r="AP44" s="25">
        <f t="shared" si="203"/>
        <v>1280</v>
      </c>
      <c r="AQ44" s="4">
        <v>1320</v>
      </c>
      <c r="AR44" s="4">
        <f t="shared" si="204"/>
        <v>1340</v>
      </c>
      <c r="AS44" s="4">
        <v>1340</v>
      </c>
      <c r="AT44" s="4">
        <v>1340</v>
      </c>
      <c r="AU44" s="4">
        <v>1340</v>
      </c>
      <c r="AV44" s="4">
        <f t="shared" si="205"/>
        <v>1310</v>
      </c>
      <c r="AW44" s="25">
        <v>1310</v>
      </c>
      <c r="AX44" s="25"/>
      <c r="AY44" s="4"/>
      <c r="AZ44" s="4"/>
      <c r="BB44" s="95">
        <f t="shared" si="45"/>
        <v>63.445691323467372</v>
      </c>
      <c r="BC44" s="95">
        <f t="shared" si="206"/>
        <v>165.04215268051166</v>
      </c>
      <c r="BD44" s="95">
        <f t="shared" si="201"/>
        <v>118.95443445880642</v>
      </c>
      <c r="BE44" s="95">
        <f t="shared" si="201"/>
        <v>42.784685039370061</v>
      </c>
      <c r="BF44" s="95">
        <f t="shared" si="201"/>
        <v>11.842092528068179</v>
      </c>
      <c r="BG44" s="95">
        <f t="shared" si="201"/>
        <v>16.460991081973816</v>
      </c>
      <c r="BH44" s="95" t="str">
        <f t="shared" si="201"/>
        <v>-</v>
      </c>
      <c r="BI44" s="95">
        <f t="shared" si="201"/>
        <v>34.603148321680237</v>
      </c>
      <c r="BJ44" s="95">
        <f t="shared" si="201"/>
        <v>59.98789070941757</v>
      </c>
      <c r="BK44" s="95" t="str">
        <f t="shared" si="201"/>
        <v>-</v>
      </c>
      <c r="BL44" s="95" t="str">
        <f t="shared" si="201"/>
        <v>-</v>
      </c>
      <c r="BM44" s="95" t="str">
        <f t="shared" si="201"/>
        <v>-</v>
      </c>
      <c r="BN44" s="95" t="str">
        <f t="shared" si="201"/>
        <v>-</v>
      </c>
      <c r="BP44" s="143">
        <f t="shared" si="47"/>
        <v>4.7984136295059356E-2</v>
      </c>
      <c r="BQ44" s="143">
        <f t="shared" si="202"/>
        <v>0.12503193384887248</v>
      </c>
      <c r="BR44" s="143">
        <f t="shared" si="9"/>
        <v>9.2933151920942508E-2</v>
      </c>
      <c r="BS44" s="143">
        <f t="shared" si="10"/>
        <v>3.2412640181340956E-2</v>
      </c>
      <c r="BT44" s="143">
        <f t="shared" si="11"/>
        <v>8.8373824836329683E-3</v>
      </c>
      <c r="BU44" s="143">
        <f t="shared" si="12"/>
        <v>1.2284321702965534E-2</v>
      </c>
      <c r="BV44" s="143" t="str">
        <f t="shared" si="13"/>
        <v>-</v>
      </c>
      <c r="BW44" s="143">
        <f t="shared" si="14"/>
        <v>2.5823245016179282E-2</v>
      </c>
      <c r="BX44" s="143">
        <f t="shared" si="15"/>
        <v>4.5792282984288224E-2</v>
      </c>
      <c r="BY44" s="143" t="str">
        <f t="shared" si="16"/>
        <v>-</v>
      </c>
      <c r="BZ44" s="143" t="str">
        <f t="shared" si="17"/>
        <v>-</v>
      </c>
      <c r="CA44" s="143" t="str">
        <f t="shared" si="18"/>
        <v>-</v>
      </c>
      <c r="CB44" s="143" t="str">
        <f t="shared" si="19"/>
        <v>-</v>
      </c>
      <c r="CD44" s="112">
        <f t="shared" si="25"/>
        <v>1066.3110798086577</v>
      </c>
      <c r="CE44" s="95">
        <f>IFERROR(SUMIFS('01. KE30'!$R:$R,'01. KE30'!$C:$C,'06. BC BH THEO CUSTOMER-USD'!$D44,'01. KE30'!$F:$F,'06. BC BH THEO CUSTOMER-USD'!$H44,'01. KE30'!$A:$A,'06. BC BH THEO CUSTOMER-USD'!CE$4)/CS44/'02. Tỷ giá'!B$5," -")</f>
        <v>1064.5535400311594</v>
      </c>
      <c r="CF44" s="95">
        <f>IFERROR(SUMIFS('01. KE30'!$R:$R,'01. KE30'!$C:$C,'06. BC BH THEO CUSTOMER-USD'!$D44,'01. KE30'!$F:$F,'06. BC BH THEO CUSTOMER-USD'!$H44,'01. KE30'!$A:$A,'06. BC BH THEO CUSTOMER-USD'!CF$4)/CT44/'02. Tỷ giá'!C$5," -")</f>
        <v>1040.043884492821</v>
      </c>
      <c r="CG44" s="95">
        <f>IFERROR(SUMIFS('01. KE30'!$R:$R,'01. KE30'!$C:$C,'06. BC BH THEO CUSTOMER-USD'!$D44,'01. KE30'!$F:$F,'06. BC BH THEO CUSTOMER-USD'!$H44,'01. KE30'!$A:$A,'06. BC BH THEO CUSTOMER-USD'!CG$4)/CU44/'02. Tỷ giá'!D$5," -")</f>
        <v>1038.5799481030781</v>
      </c>
      <c r="CH44" s="95">
        <f>IFERROR(SUMIFS('01. KE30'!$R:$R,'01. KE30'!$C:$C,'06. BC BH THEO CUSTOMER-USD'!$D44,'01. KE30'!$F:$F,'06. BC BH THEO CUSTOMER-USD'!$H44,'01. KE30'!$A:$A,'06. BC BH THEO CUSTOMER-USD'!CH$4)/CV44/'02. Tỷ giá'!E$5," -")</f>
        <v>1028.8379878928658</v>
      </c>
      <c r="CI44" s="95">
        <f>IFERROR(SUMIFS('01. KE30'!$R:$R,'01. KE30'!$C:$C,'06. BC BH THEO CUSTOMER-USD'!$D44,'01. KE30'!$F:$F,'06. BC BH THEO CUSTOMER-USD'!$H44,'01. KE30'!$A:$A,'06. BC BH THEO CUSTOMER-USD'!CI$4)/CW44/'02. Tỷ giá'!F$5," -")</f>
        <v>1072.9135922697265</v>
      </c>
      <c r="CJ44" s="95" t="str">
        <f>IFERROR(SUMIFS('01. KE30'!$R:$R,'01. KE30'!$C:$C,'06. BC BH THEO CUSTOMER-USD'!$D44,'01. KE30'!$F:$F,'06. BC BH THEO CUSTOMER-USD'!$H44,'01. KE30'!$A:$A,'06. BC BH THEO CUSTOMER-USD'!CJ$4)/CX44/'02. Tỷ giá'!G$5," -")</f>
        <v xml:space="preserve"> -</v>
      </c>
      <c r="CK44" s="95">
        <f>IFERROR(SUMIFS('01. KE30'!$R:$R,'01. KE30'!$C:$C,'06. BC BH THEO CUSTOMER-USD'!$D44,'01. KE30'!$F:$F,'06. BC BH THEO CUSTOMER-USD'!$H44,'01. KE30'!$A:$A,'06. BC BH THEO CUSTOMER-USD'!CK$4)/CY44/'02. Tỷ giá'!H$5," -")</f>
        <v>1100.078395784537</v>
      </c>
      <c r="CL44" s="95">
        <f>IFERROR(SUMIFS('01. KE30'!$R:$R,'01. KE30'!$C:$C,'06. BC BH THEO CUSTOMER-USD'!$D44,'01. KE30'!$F:$F,'06. BC BH THEO CUSTOMER-USD'!$H44,'01. KE30'!$A:$A,'06. BC BH THEO CUSTOMER-USD'!CL$4)/CZ44/'02. Tỷ giá'!I$5," -")</f>
        <v>1119.1702100864159</v>
      </c>
      <c r="CM44" s="95" t="str">
        <f>IFERROR(SUMIFS('01. KE30'!$R:$R,'01. KE30'!$C:$C,'06. BC BH THEO CUSTOMER-USD'!$D44,'01. KE30'!$F:$F,'06. BC BH THEO CUSTOMER-USD'!$H44,'01. KE30'!$A:$A,'06. BC BH THEO CUSTOMER-USD'!CM$4)/DA44/'02. Tỷ giá'!J$5," -")</f>
        <v xml:space="preserve"> -</v>
      </c>
      <c r="CN44" s="95" t="str">
        <f>IFERROR(SUMIFS('01. KE30'!$R:$R,'01. KE30'!$C:$C,'06. BC BH THEO CUSTOMER-USD'!$D44,'01. KE30'!$F:$F,'06. BC BH THEO CUSTOMER-USD'!$H44,'01. KE30'!$A:$A,'06. BC BH THEO CUSTOMER-USD'!CN$4)/DB44/'02. Tỷ giá'!K$5," -")</f>
        <v xml:space="preserve"> -</v>
      </c>
      <c r="CO44" s="95" t="str">
        <f>IFERROR(SUMIFS('01. KE30'!$R:$R,'01. KE30'!$C:$C,'06. BC BH THEO CUSTOMER-USD'!$D44,'01. KE30'!$F:$F,'06. BC BH THEO CUSTOMER-USD'!$H44,'01. KE30'!$A:$A,'06. BC BH THEO CUSTOMER-USD'!CO$4)/DC44/'02. Tỷ giá'!L$5," -")</f>
        <v xml:space="preserve"> -</v>
      </c>
      <c r="CP44" s="95" t="str">
        <f>IFERROR(SUMIFS('01. KE30'!$R:$R,'01. KE30'!$C:$C,'06. BC BH THEO CUSTOMER-USD'!$D44,'01. KE30'!$F:$F,'06. BC BH THEO CUSTOMER-USD'!$H44,'01. KE30'!$A:$A,'06. BC BH THEO CUSTOMER-USD'!CP$4)/DD44/'02. Tỷ giá'!M$5," -")</f>
        <v xml:space="preserve"> -</v>
      </c>
      <c r="CR44" s="112">
        <f t="shared" si="26"/>
        <v>194.4717</v>
      </c>
      <c r="CS44" s="114">
        <f>SUMIFS('01. KE30'!$I:$I,'01. KE30'!$C:$C,'06. BC BH THEO CUSTOMER-USD'!$D44,'01. KE30'!$F:$F,'06. BC BH THEO CUSTOMER-USD'!$H44,'01. KE30'!$A:$A,'06. BC BH THEO CUSTOMER-USD'!CS$4)/1000</f>
        <v>-13.7507</v>
      </c>
      <c r="CT44" s="114">
        <f>SUMIFS('01. KE30'!$I:$I,'01. KE30'!$C:$C,'06. BC BH THEO CUSTOMER-USD'!$D44,'01. KE30'!$F:$F,'06. BC BH THEO CUSTOMER-USD'!$H44,'01. KE30'!$A:$A,'06. BC BH THEO CUSTOMER-USD'!CT$4)/1000</f>
        <v>22</v>
      </c>
      <c r="CU44" s="114">
        <f>SUMIFS('01. KE30'!$I:$I,'01. KE30'!$C:$C,'06. BC BH THEO CUSTOMER-USD'!$D44,'01. KE30'!$F:$F,'06. BC BH THEO CUSTOMER-USD'!$H44,'01. KE30'!$A:$A,'06. BC BH THEO CUSTOMER-USD'!CU$4)/1000</f>
        <v>88</v>
      </c>
      <c r="CV44" s="725">
        <f>SUMIFS('01. KE30'!$I:$I,'01. KE30'!$C:$C,'06. BC BH THEO CUSTOMER-USD'!$D44,'01. KE30'!$F:$F,'06. BC BH THEO CUSTOMER-USD'!$H44,'01. KE30'!$A:$A,'06. BC BH THEO CUSTOMER-USD'!CV$4)/1000</f>
        <v>44</v>
      </c>
      <c r="CW44" s="114">
        <f>SUMIFS('01. KE30'!$I:$I,'01. KE30'!$C:$C,'06. BC BH THEO CUSTOMER-USD'!$D44,'01. KE30'!$F:$F,'06. BC BH THEO CUSTOMER-USD'!$H44,'01. KE30'!$A:$A,'06. BC BH THEO CUSTOMER-USD'!CW$4)/1000</f>
        <v>-40.039699999999996</v>
      </c>
      <c r="CX44" s="114">
        <f>SUMIFS('01. KE30'!$I:$I,'01. KE30'!$C:$C,'06. BC BH THEO CUSTOMER-USD'!$D44,'01. KE30'!$F:$F,'06. BC BH THEO CUSTOMER-USD'!$H44,'01. KE30'!$A:$A,'06. BC BH THEO CUSTOMER-USD'!CX$4)/1000</f>
        <v>0</v>
      </c>
      <c r="CY44" s="114">
        <f>SUMIFS('01. KE30'!$I:$I,'01. KE30'!$C:$C,'06. BC BH THEO CUSTOMER-USD'!$D44,'01. KE30'!$F:$F,'06. BC BH THEO CUSTOMER-USD'!$H44,'01. KE30'!$A:$A,'06. BC BH THEO CUSTOMER-USD'!CY$4)/1000</f>
        <v>50.969099999999997</v>
      </c>
      <c r="CZ44" s="114">
        <f>SUMIFS('01. KE30'!$I:$I,'01. KE30'!$C:$C,'06. BC BH THEO CUSTOMER-USD'!$D44,'01. KE30'!$F:$F,'06. BC BH THEO CUSTOMER-USD'!$H44,'01. KE30'!$A:$A,'06. BC BH THEO CUSTOMER-USD'!CZ$4)/1000</f>
        <v>43.292999999999999</v>
      </c>
      <c r="DA44" s="114">
        <f>SUMIFS('01. KE30'!$I:$I,'01. KE30'!$C:$C,'06. BC BH THEO CUSTOMER-USD'!$D44,'01. KE30'!$F:$F,'06. BC BH THEO CUSTOMER-USD'!$H44,'01. KE30'!$A:$A,'06. BC BH THEO CUSTOMER-USD'!DA$4)/1000</f>
        <v>0</v>
      </c>
      <c r="DB44" s="114">
        <f>SUMIFS('01. KE30'!$I:$I,'01. KE30'!$C:$C,'06. BC BH THEO CUSTOMER-USD'!$D44,'01. KE30'!$F:$F,'06. BC BH THEO CUSTOMER-USD'!$H44,'01. KE30'!$A:$A,'06. BC BH THEO CUSTOMER-USD'!DB$4)/1000</f>
        <v>0</v>
      </c>
      <c r="DC44" s="114">
        <f>SUMIFS('01. KE30'!$I:$I,'01. KE30'!$C:$C,'06. BC BH THEO CUSTOMER-USD'!$D44,'01. KE30'!$F:$F,'06. BC BH THEO CUSTOMER-USD'!$H44,'01. KE30'!$A:$A,'06. BC BH THEO CUSTOMER-USD'!DC$4)/1000</f>
        <v>0</v>
      </c>
      <c r="DD44" s="114">
        <f>SUMIFS('01. KE30'!$I:$I,'01. KE30'!$C:$C,'06. BC BH THEO CUSTOMER-USD'!$D44,'01. KE30'!$F:$F,'06. BC BH THEO CUSTOMER-USD'!$H44,'01. KE30'!$A:$A,'06. BC BH THEO CUSTOMER-USD'!DD$4)/1000</f>
        <v>0</v>
      </c>
      <c r="DF44" s="112">
        <f t="shared" si="199"/>
        <v>268288.02643813513</v>
      </c>
      <c r="DG44" s="54">
        <f t="shared" si="48"/>
        <v>-20420.369128863913</v>
      </c>
      <c r="DH44" s="54">
        <f t="shared" si="49"/>
        <v>30915.634816857029</v>
      </c>
      <c r="DI44" s="54">
        <f t="shared" si="50"/>
        <v>120479.38299212597</v>
      </c>
      <c r="DJ44" s="54">
        <f t="shared" si="51"/>
        <v>59753.60336817654</v>
      </c>
      <c r="DK44" s="54">
        <f t="shared" si="52"/>
        <v>-54312.291144624905</v>
      </c>
      <c r="DL44" s="54" t="str">
        <f t="shared" si="53"/>
        <v>-</v>
      </c>
      <c r="DM44" s="54">
        <f t="shared" si="54"/>
        <v>71395.977948520944</v>
      </c>
      <c r="DN44" s="54">
        <f t="shared" si="55"/>
        <v>60476.087585943475</v>
      </c>
      <c r="DO44" s="54" t="str">
        <f t="shared" si="56"/>
        <v>-</v>
      </c>
      <c r="DP44" s="54" t="str">
        <f t="shared" si="57"/>
        <v>-</v>
      </c>
      <c r="DQ44" s="54" t="str">
        <f t="shared" si="58"/>
        <v>-</v>
      </c>
      <c r="DR44" s="54" t="str">
        <f t="shared" si="59"/>
        <v>-</v>
      </c>
      <c r="DT44" s="112">
        <f t="shared" si="60"/>
        <v>58353.993415166617</v>
      </c>
      <c r="DU44" s="114">
        <f>IFERROR(SUMIFS('01. KE30'!$X:$X,'01. KE30'!$C:$C,'06. BC BH THEO CUSTOMER-USD'!$D44,'01. KE30'!$F:$F,'06. BC BH THEO CUSTOMER-USD'!$H44,'01. KE30'!$A:$A,'06. BC BH THEO CUSTOMER-USD'!DU$4)-SUMIFS('01. KE30'!$AA:$AA,'01. KE30'!$C:$C,'06. BC BH THEO CUSTOMER-USD'!$D44,'01. KE30'!$F:$F,'06. BC BH THEO CUSTOMER-USD'!$H44,'01. KE30'!$A:$A,'06. BC BH THEO CUSTOMER-USD'!DU$4),"-")</f>
        <v>-5782.0127659574464</v>
      </c>
      <c r="DV44" s="114">
        <f>IFERROR(SUMIFS('01. KE30'!$X:$X,'01. KE30'!$C:$C,'06. BC BH THEO CUSTOMER-USD'!$D44,'01. KE30'!$F:$F,'06. BC BH THEO CUSTOMER-USD'!$H44,'01. KE30'!$A:$A,'06. BC BH THEO CUSTOMER-USD'!DV$4)-SUMIFS('01. KE30'!$AA:$AA,'01. KE30'!$C:$C,'06. BC BH THEO CUSTOMER-USD'!$D44,'01. KE30'!$F:$F,'06. BC BH THEO CUSTOMER-USD'!$H44,'01. KE30'!$A:$A,'06. BC BH THEO CUSTOMER-USD'!DV$4),"-")</f>
        <v>7896.0320992516754</v>
      </c>
      <c r="DW44" s="114">
        <f>IFERROR(SUMIFS('01. KE30'!$X:$X,'01. KE30'!$C:$C,'06. BC BH THEO CUSTOMER-USD'!$D44,'01. KE30'!$F:$F,'06. BC BH THEO CUSTOMER-USD'!$H44,'01. KE30'!$A:$A,'06. BC BH THEO CUSTOMER-USD'!DW$4)-SUMIFS('01. KE30'!$AA:$AA,'01. KE30'!$C:$C,'06. BC BH THEO CUSTOMER-USD'!$D44,'01. KE30'!$F:$F,'06. BC BH THEO CUSTOMER-USD'!$H44,'01. KE30'!$A:$A,'06. BC BH THEO CUSTOMER-USD'!DW$4),"-")</f>
        <v>28530.016850393702</v>
      </c>
      <c r="DX44" s="114">
        <f>IFERROR(SUMIFS('01. KE30'!$X:$X,'01. KE30'!$C:$C,'06. BC BH THEO CUSTOMER-USD'!$D44,'01. KE30'!$F:$F,'06. BC BH THEO CUSTOMER-USD'!$H44,'01. KE30'!$A:$A,'06. BC BH THEO CUSTOMER-USD'!DX$4)-SUMIFS('01. KE30'!$AA:$AA,'01. KE30'!$C:$C,'06. BC BH THEO CUSTOMER-USD'!$D44,'01. KE30'!$F:$F,'06. BC BH THEO CUSTOMER-USD'!$H44,'01. KE30'!$A:$A,'06. BC BH THEO CUSTOMER-USD'!DX$4),"-")</f>
        <v>14212.180603948895</v>
      </c>
      <c r="DY44" s="114">
        <f>IFERROR(SUMIFS('01. KE30'!$X:$X,'01. KE30'!$C:$C,'06. BC BH THEO CUSTOMER-USD'!$D44,'01. KE30'!$F:$F,'06. BC BH THEO CUSTOMER-USD'!$H44,'01. KE30'!$A:$A,'06. BC BH THEO CUSTOMER-USD'!DY$4)-SUMIFS('01. KE30'!$AA:$AA,'01. KE30'!$C:$C,'06. BC BH THEO CUSTOMER-USD'!$D44,'01. KE30'!$F:$F,'06. BC BH THEO CUSTOMER-USD'!$H44,'01. KE30'!$A:$A,'06. BC BH THEO CUSTOMER-USD'!DY$4),"-")</f>
        <v>-11353.152784222737</v>
      </c>
      <c r="DZ44" s="114">
        <f>IFERROR(SUMIFS('01. KE30'!$X:$X,'01. KE30'!$C:$C,'06. BC BH THEO CUSTOMER-USD'!$D44,'01. KE30'!$F:$F,'06. BC BH THEO CUSTOMER-USD'!$H44,'01. KE30'!$A:$A,'06. BC BH THEO CUSTOMER-USD'!DZ$4)-SUMIFS('01. KE30'!$AA:$AA,'01. KE30'!$C:$C,'06. BC BH THEO CUSTOMER-USD'!$D44,'01. KE30'!$F:$F,'06. BC BH THEO CUSTOMER-USD'!$H44,'01. KE30'!$A:$A,'06. BC BH THEO CUSTOMER-USD'!DZ$4),"-")</f>
        <v>0</v>
      </c>
      <c r="EA44" s="114">
        <f>IFERROR(SUMIFS('01. KE30'!$X:$X,'01. KE30'!$C:$C,'06. BC BH THEO CUSTOMER-USD'!$D44,'01. KE30'!$F:$F,'06. BC BH THEO CUSTOMER-USD'!$H44,'01. KE30'!$A:$A,'06. BC BH THEO CUSTOMER-USD'!EA$4)-SUMIFS('01. KE30'!$AA:$AA,'01. KE30'!$C:$C,'06. BC BH THEO CUSTOMER-USD'!$D44,'01. KE30'!$F:$F,'06. BC BH THEO CUSTOMER-USD'!$H44,'01. KE30'!$A:$A,'06. BC BH THEO CUSTOMER-USD'!EA$4),"-")</f>
        <v>13992.279564540913</v>
      </c>
      <c r="EB44" s="114">
        <f>IFERROR(SUMIFS('01. KE30'!$X:$X,'01. KE30'!$C:$C,'06. BC BH THEO CUSTOMER-USD'!$D44,'01. KE30'!$F:$F,'06. BC BH THEO CUSTOMER-USD'!$H44,'01. KE30'!$A:$A,'06. BC BH THEO CUSTOMER-USD'!EB$4)-SUMIFS('01. KE30'!$AA:$AA,'01. KE30'!$C:$C,'06. BC BH THEO CUSTOMER-USD'!$D44,'01. KE30'!$F:$F,'06. BC BH THEO CUSTOMER-USD'!$H44,'01. KE30'!$A:$A,'06. BC BH THEO CUSTOMER-USD'!EB$4),"-")</f>
        <v>10858.649847211615</v>
      </c>
      <c r="EC44" s="114">
        <f>IFERROR(SUMIFS('01. KE30'!$X:$X,'01. KE30'!$C:$C,'06. BC BH THEO CUSTOMER-USD'!$D44,'01. KE30'!$F:$F,'06. BC BH THEO CUSTOMER-USD'!$H44,'01. KE30'!$A:$A,'06. BC BH THEO CUSTOMER-USD'!EC$4)-SUMIFS('01. KE30'!$AA:$AA,'01. KE30'!$C:$C,'06. BC BH THEO CUSTOMER-USD'!$D44,'01. KE30'!$F:$F,'06. BC BH THEO CUSTOMER-USD'!$H44,'01. KE30'!$A:$A,'06. BC BH THEO CUSTOMER-USD'!EC$4),"-")</f>
        <v>0</v>
      </c>
      <c r="ED44" s="114">
        <f>IFERROR(SUMIFS('01. KE30'!$X:$X,'01. KE30'!$C:$C,'06. BC BH THEO CUSTOMER-USD'!$D44,'01. KE30'!$F:$F,'06. BC BH THEO CUSTOMER-USD'!$H44,'01. KE30'!$A:$A,'06. BC BH THEO CUSTOMER-USD'!ED$4)-SUMIFS('01. KE30'!$AA:$AA,'01. KE30'!$C:$C,'06. BC BH THEO CUSTOMER-USD'!$D44,'01. KE30'!$F:$F,'06. BC BH THEO CUSTOMER-USD'!$H44,'01. KE30'!$A:$A,'06. BC BH THEO CUSTOMER-USD'!ED$4),"-")</f>
        <v>0</v>
      </c>
      <c r="EE44" s="114">
        <f>IFERROR(SUMIFS('01. KE30'!$X:$X,'01. KE30'!$C:$C,'06. BC BH THEO CUSTOMER-USD'!$D44,'01. KE30'!$F:$F,'06. BC BH THEO CUSTOMER-USD'!$H44,'01. KE30'!$A:$A,'06. BC BH THEO CUSTOMER-USD'!EE$4)-SUMIFS('01. KE30'!$AA:$AA,'01. KE30'!$C:$C,'06. BC BH THEO CUSTOMER-USD'!$D44,'01. KE30'!$F:$F,'06. BC BH THEO CUSTOMER-USD'!$H44,'01. KE30'!$A:$A,'06. BC BH THEO CUSTOMER-USD'!EE$4),"-")</f>
        <v>0</v>
      </c>
      <c r="EF44" s="114">
        <f>IFERROR(SUMIFS('01. KE30'!$X:$X,'01. KE30'!$C:$C,'06. BC BH THEO CUSTOMER-USD'!$D44,'01. KE30'!$F:$F,'06. BC BH THEO CUSTOMER-USD'!$H44,'01. KE30'!$A:$A,'06. BC BH THEO CUSTOMER-USD'!EF$4)-SUMIFS('01. KE30'!$AA:$AA,'01. KE30'!$C:$C,'06. BC BH THEO CUSTOMER-USD'!$D44,'01. KE30'!$F:$F,'06. BC BH THEO CUSTOMER-USD'!$H44,'01. KE30'!$A:$A,'06. BC BH THEO CUSTOMER-USD'!EF$4),"-")</f>
        <v>0</v>
      </c>
      <c r="EH44" s="571">
        <f t="shared" si="29"/>
        <v>0.21750502320170645</v>
      </c>
      <c r="EI44" s="572">
        <f t="shared" si="30"/>
        <v>0.28314927754095542</v>
      </c>
      <c r="EJ44" s="572">
        <f t="shared" si="31"/>
        <v>0.25540578888408566</v>
      </c>
      <c r="EK44" s="572">
        <f t="shared" si="32"/>
        <v>0.23680414143769565</v>
      </c>
      <c r="EL44" s="572">
        <f t="shared" si="33"/>
        <v>0.2378464193427704</v>
      </c>
      <c r="EM44" s="572">
        <f t="shared" si="34"/>
        <v>0.20903468708383366</v>
      </c>
      <c r="EN44" s="572" t="str">
        <f t="shared" si="35"/>
        <v>-</v>
      </c>
      <c r="EO44" s="572">
        <f t="shared" si="36"/>
        <v>0.19598134189897712</v>
      </c>
      <c r="EP44" s="572">
        <f t="shared" si="37"/>
        <v>0.17955278326793586</v>
      </c>
      <c r="EQ44" s="572" t="str">
        <f t="shared" si="38"/>
        <v>-</v>
      </c>
      <c r="ER44" s="572" t="str">
        <f t="shared" si="39"/>
        <v>-</v>
      </c>
      <c r="ES44" s="572" t="str">
        <f t="shared" si="40"/>
        <v>-</v>
      </c>
      <c r="ET44" s="572" t="str">
        <f t="shared" si="41"/>
        <v>-</v>
      </c>
    </row>
    <row r="45" spans="1:150" ht="15.5" hidden="1" outlineLevel="1" x14ac:dyDescent="0.35">
      <c r="A45" s="27">
        <f t="shared" si="63"/>
        <v>36</v>
      </c>
      <c r="B45" s="27" t="s">
        <v>283</v>
      </c>
      <c r="C45" s="442" t="s">
        <v>504</v>
      </c>
      <c r="D45" s="9" t="s">
        <v>44</v>
      </c>
      <c r="E45" s="12" t="s">
        <v>212</v>
      </c>
      <c r="F45" s="12" t="s">
        <v>245</v>
      </c>
      <c r="G45" s="12" t="str">
        <f>_xlfn.XLOOKUP(F45,'Quy đổi'!$G$5:$G$32,'Quy đổi'!$H$5:$H$32,0)</f>
        <v>Nội địa</v>
      </c>
      <c r="H45" s="76" t="s">
        <v>127</v>
      </c>
      <c r="I45" s="7" t="s">
        <v>114</v>
      </c>
      <c r="J45" s="13" t="s">
        <v>22</v>
      </c>
      <c r="K45" s="11"/>
      <c r="L45" s="92">
        <f t="shared" si="42"/>
        <v>1356.3227619429947</v>
      </c>
      <c r="M45" s="106">
        <f>IFERROR(SUMIFS('01. KE30'!$K:$K,'01. KE30'!$C:$C,'06. BC BH THEO CUSTOMER-USD'!$D45,'01. KE30'!$F:$F,'06. BC BH THEO CUSTOMER-USD'!$H45,'01. KE30'!$A:$A,'06. BC BH THEO CUSTOMER-USD'!M$4)/'06. BC BH THEO CUSTOMER-USD'!CS45/'02. Tỷ giá'!B$5,"-")</f>
        <v>1356.3227619429947</v>
      </c>
      <c r="N45" s="106" t="str">
        <f>IFERROR(SUMIFS('01. KE30'!$K:$K,'01. KE30'!$C:$C,'06. BC BH THEO CUSTOMER-USD'!$D45,'01. KE30'!$F:$F,'06. BC BH THEO CUSTOMER-USD'!$H45,'01. KE30'!$A:$A,'06. BC BH THEO CUSTOMER-USD'!N$4)/'06. BC BH THEO CUSTOMER-USD'!CT45/'02. Tỷ giá'!C$5,"-")</f>
        <v>-</v>
      </c>
      <c r="O45" s="106" t="str">
        <f>IFERROR(SUMIFS('01. KE30'!$K:$K,'01. KE30'!$C:$C,'06. BC BH THEO CUSTOMER-USD'!$D45,'01. KE30'!$F:$F,'06. BC BH THEO CUSTOMER-USD'!$H45,'01. KE30'!$A:$A,'06. BC BH THEO CUSTOMER-USD'!O$4)/'06. BC BH THEO CUSTOMER-USD'!CU45/'02. Tỷ giá'!D$5,"-")</f>
        <v>-</v>
      </c>
      <c r="P45" s="106" t="str">
        <f>IFERROR(SUMIFS('01. KE30'!$K:$K,'01. KE30'!$C:$C,'06. BC BH THEO CUSTOMER-USD'!$D45,'01. KE30'!$F:$F,'06. BC BH THEO CUSTOMER-USD'!$H45,'01. KE30'!$A:$A,'06. BC BH THEO CUSTOMER-USD'!P$4)/'06. BC BH THEO CUSTOMER-USD'!CV45/'02. Tỷ giá'!E$5,"-")</f>
        <v>-</v>
      </c>
      <c r="Q45" s="106" t="str">
        <f>IFERROR(SUMIFS('01. KE30'!$K:$K,'01. KE30'!$C:$C,'06. BC BH THEO CUSTOMER-USD'!$D45,'01. KE30'!$F:$F,'06. BC BH THEO CUSTOMER-USD'!$H45,'01. KE30'!$A:$A,'06. BC BH THEO CUSTOMER-USD'!Q$4)/'06. BC BH THEO CUSTOMER-USD'!CW45/'02. Tỷ giá'!F$5,"-")</f>
        <v>-</v>
      </c>
      <c r="R45" s="106" t="str">
        <f>IFERROR(SUMIFS('01. KE30'!$K:$K,'01. KE30'!$C:$C,'06. BC BH THEO CUSTOMER-USD'!$D45,'01. KE30'!$F:$F,'06. BC BH THEO CUSTOMER-USD'!$H45,'01. KE30'!$A:$A,'06. BC BH THEO CUSTOMER-USD'!R$4)/'06. BC BH THEO CUSTOMER-USD'!CX45/'02. Tỷ giá'!G$5,"-")</f>
        <v>-</v>
      </c>
      <c r="S45" s="106" t="str">
        <f>IFERROR(SUMIFS('01. KE30'!$K:$K,'01. KE30'!$C:$C,'06. BC BH THEO CUSTOMER-USD'!$D45,'01. KE30'!$F:$F,'06. BC BH THEO CUSTOMER-USD'!$H45,'01. KE30'!$A:$A,'06. BC BH THEO CUSTOMER-USD'!S$4)/'06. BC BH THEO CUSTOMER-USD'!CY45/'02. Tỷ giá'!H$5,"-")</f>
        <v>-</v>
      </c>
      <c r="T45" s="106" t="str">
        <f>IFERROR(SUMIFS('01. KE30'!$K:$K,'01. KE30'!$C:$C,'06. BC BH THEO CUSTOMER-USD'!$D45,'01. KE30'!$F:$F,'06. BC BH THEO CUSTOMER-USD'!$H45,'01. KE30'!$A:$A,'06. BC BH THEO CUSTOMER-USD'!T$4)/'06. BC BH THEO CUSTOMER-USD'!CZ45/'02. Tỷ giá'!I$5,"-")</f>
        <v>-</v>
      </c>
      <c r="U45" s="106" t="str">
        <f>IFERROR(SUMIFS('01. KE30'!$K:$K,'01. KE30'!$C:$C,'06. BC BH THEO CUSTOMER-USD'!$D45,'01. KE30'!$F:$F,'06. BC BH THEO CUSTOMER-USD'!$H45,'01. KE30'!$A:$A,'06. BC BH THEO CUSTOMER-USD'!U$4)/'06. BC BH THEO CUSTOMER-USD'!DA45/'02. Tỷ giá'!J$5,"-")</f>
        <v>-</v>
      </c>
      <c r="V45" s="106" t="str">
        <f>IFERROR(SUMIFS('01. KE30'!$K:$K,'01. KE30'!$C:$C,'06. BC BH THEO CUSTOMER-USD'!$D45,'01. KE30'!$F:$F,'06. BC BH THEO CUSTOMER-USD'!$H45,'01. KE30'!$A:$A,'06. BC BH THEO CUSTOMER-USD'!V$4)/'06. BC BH THEO CUSTOMER-USD'!DB45/'02. Tỷ giá'!K$5,"-")</f>
        <v>-</v>
      </c>
      <c r="W45" s="106" t="str">
        <f>IFERROR(SUMIFS('01. KE30'!$K:$K,'01. KE30'!$C:$C,'06. BC BH THEO CUSTOMER-USD'!$D45,'01. KE30'!$F:$F,'06. BC BH THEO CUSTOMER-USD'!$H45,'01. KE30'!$A:$A,'06. BC BH THEO CUSTOMER-USD'!W$4)/'06. BC BH THEO CUSTOMER-USD'!DC45/'02. Tỷ giá'!L$5,"-")</f>
        <v>-</v>
      </c>
      <c r="X45" s="106" t="str">
        <f>IFERROR(SUMIFS('01. KE30'!$K:$K,'01. KE30'!$C:$C,'06. BC BH THEO CUSTOMER-USD'!$D45,'01. KE30'!$F:$F,'06. BC BH THEO CUSTOMER-USD'!$H45,'01. KE30'!$A:$A,'06. BC BH THEO CUSTOMER-USD'!X$4)/'06. BC BH THEO CUSTOMER-USD'!DD45/'02. Tỷ giá'!M$5,"-")</f>
        <v>-</v>
      </c>
      <c r="Z45" s="92">
        <f t="shared" si="43"/>
        <v>1350.4835589941974</v>
      </c>
      <c r="AA45" s="147">
        <f>IFERROR(SUMIFS('01. KE30'!$O:$O,'01. KE30'!$C:$C,'06. BC BH THEO CUSTOMER-USD'!$D45,'01. KE30'!$F:$F,'06. BC BH THEO CUSTOMER-USD'!$H45,'01. KE30'!$A:$A,'06. BC BH THEO CUSTOMER-USD'!M$4)/'06. BC BH THEO CUSTOMER-USD'!CS45/'02. Tỷ giá'!B$5,"-")</f>
        <v>1350.4835589941974</v>
      </c>
      <c r="AB45" s="147" t="str">
        <f>IFERROR(SUMIFS('01. KE30'!$O:$O,'01. KE30'!$C:$C,'06. BC BH THEO CUSTOMER-USD'!$D45,'01. KE30'!$F:$F,'06. BC BH THEO CUSTOMER-USD'!$H45,'01. KE30'!$A:$A,'06. BC BH THEO CUSTOMER-USD'!N$4)/'06. BC BH THEO CUSTOMER-USD'!CT45/'02. Tỷ giá'!C$5,"-")</f>
        <v>-</v>
      </c>
      <c r="AC45" s="147" t="str">
        <f>IFERROR(SUMIFS('01. KE30'!$O:$O,'01. KE30'!$C:$C,'06. BC BH THEO CUSTOMER-USD'!$D45,'01. KE30'!$F:$F,'06. BC BH THEO CUSTOMER-USD'!$H45,'01. KE30'!$A:$A,'06. BC BH THEO CUSTOMER-USD'!O$4)/'06. BC BH THEO CUSTOMER-USD'!CU45/'02. Tỷ giá'!D$5,"-")</f>
        <v>-</v>
      </c>
      <c r="AD45" s="147" t="str">
        <f>IFERROR(SUMIFS('01. KE30'!$O:$O,'01. KE30'!$C:$C,'06. BC BH THEO CUSTOMER-USD'!$D45,'01. KE30'!$F:$F,'06. BC BH THEO CUSTOMER-USD'!$H45,'01. KE30'!$A:$A,'06. BC BH THEO CUSTOMER-USD'!P$4)/'06. BC BH THEO CUSTOMER-USD'!CV45/'02. Tỷ giá'!E$5,"-")</f>
        <v>-</v>
      </c>
      <c r="AE45" s="147" t="str">
        <f>IFERROR(SUMIFS('01. KE30'!$O:$O,'01. KE30'!$C:$C,'06. BC BH THEO CUSTOMER-USD'!$D45,'01. KE30'!$F:$F,'06. BC BH THEO CUSTOMER-USD'!$H45,'01. KE30'!$A:$A,'06. BC BH THEO CUSTOMER-USD'!Q$4)/'06. BC BH THEO CUSTOMER-USD'!CW45/'02. Tỷ giá'!F$5,"-")</f>
        <v>-</v>
      </c>
      <c r="AF45" s="147" t="str">
        <f>IFERROR(SUMIFS('01. KE30'!$O:$O,'01. KE30'!$C:$C,'06. BC BH THEO CUSTOMER-USD'!$D45,'01. KE30'!$F:$F,'06. BC BH THEO CUSTOMER-USD'!$H45,'01. KE30'!$A:$A,'06. BC BH THEO CUSTOMER-USD'!R$4)/'06. BC BH THEO CUSTOMER-USD'!CX45/'02. Tỷ giá'!G$5,"-")</f>
        <v>-</v>
      </c>
      <c r="AG45" s="147" t="str">
        <f>IFERROR(SUMIFS('01. KE30'!$O:$O,'01. KE30'!$C:$C,'06. BC BH THEO CUSTOMER-USD'!$D45,'01. KE30'!$F:$F,'06. BC BH THEO CUSTOMER-USD'!$H45,'01. KE30'!$A:$A,'06. BC BH THEO CUSTOMER-USD'!S$4)/'06. BC BH THEO CUSTOMER-USD'!CY45/'02. Tỷ giá'!H$5,"-")</f>
        <v>-</v>
      </c>
      <c r="AH45" s="147" t="str">
        <f>IFERROR(SUMIFS('01. KE30'!$O:$O,'01. KE30'!$C:$C,'06. BC BH THEO CUSTOMER-USD'!$D45,'01. KE30'!$F:$F,'06. BC BH THEO CUSTOMER-USD'!$H45,'01. KE30'!$A:$A,'06. BC BH THEO CUSTOMER-USD'!T$4)/'06. BC BH THEO CUSTOMER-USD'!CZ45/'02. Tỷ giá'!I$5,"-")</f>
        <v>-</v>
      </c>
      <c r="AI45" s="147" t="str">
        <f>IFERROR(SUMIFS('01. KE30'!$O:$O,'01. KE30'!$C:$C,'06. BC BH THEO CUSTOMER-USD'!$D45,'01. KE30'!$F:$F,'06. BC BH THEO CUSTOMER-USD'!$H45,'01. KE30'!$A:$A,'06. BC BH THEO CUSTOMER-USD'!U$4)/'06. BC BH THEO CUSTOMER-USD'!DA45/'02. Tỷ giá'!J$5,"-")</f>
        <v>-</v>
      </c>
      <c r="AJ45" s="147" t="str">
        <f>IFERROR(SUMIFS('01. KE30'!$O:$O,'01. KE30'!$C:$C,'06. BC BH THEO CUSTOMER-USD'!$D45,'01. KE30'!$F:$F,'06. BC BH THEO CUSTOMER-USD'!$H45,'01. KE30'!$A:$A,'06. BC BH THEO CUSTOMER-USD'!V$4)/'06. BC BH THEO CUSTOMER-USD'!DB45/'02. Tỷ giá'!K$5,"-")</f>
        <v>-</v>
      </c>
      <c r="AK45" s="147" t="str">
        <f>IFERROR(SUMIFS('01. KE30'!$O:$O,'01. KE30'!$C:$C,'06. BC BH THEO CUSTOMER-USD'!$D45,'01. KE30'!$F:$F,'06. BC BH THEO CUSTOMER-USD'!$H45,'01. KE30'!$A:$A,'06. BC BH THEO CUSTOMER-USD'!W$4)/'06. BC BH THEO CUSTOMER-USD'!DC45/'02. Tỷ giá'!L$5,"-")</f>
        <v>-</v>
      </c>
      <c r="AL45" s="147" t="str">
        <f>IFERROR(SUMIFS('01. KE30'!$O:$O,'01. KE30'!$C:$C,'06. BC BH THEO CUSTOMER-USD'!$D45,'01. KE30'!$F:$F,'06. BC BH THEO CUSTOMER-USD'!$H45,'01. KE30'!$A:$A,'06. BC BH THEO CUSTOMER-USD'!X$4)/'06. BC BH THEO CUSTOMER-USD'!DD45/'02. Tỷ giá'!M$5,"-")</f>
        <v>-</v>
      </c>
      <c r="AN45" s="92">
        <f t="shared" si="44"/>
        <v>1322.2222222222222</v>
      </c>
      <c r="AO45" s="25">
        <v>1320</v>
      </c>
      <c r="AP45" s="25">
        <f t="shared" si="203"/>
        <v>1280</v>
      </c>
      <c r="AQ45" s="4">
        <v>1320</v>
      </c>
      <c r="AR45" s="4">
        <f t="shared" si="204"/>
        <v>1340</v>
      </c>
      <c r="AS45" s="4">
        <v>1340</v>
      </c>
      <c r="AT45" s="4">
        <v>1340</v>
      </c>
      <c r="AU45" s="4">
        <v>1340</v>
      </c>
      <c r="AV45" s="4">
        <f t="shared" si="205"/>
        <v>1310</v>
      </c>
      <c r="AW45" s="25">
        <v>1310</v>
      </c>
      <c r="AX45" s="25"/>
      <c r="AY45" s="4"/>
      <c r="AZ45" s="4"/>
      <c r="BB45" s="95">
        <f t="shared" si="45"/>
        <v>28.261336771975266</v>
      </c>
      <c r="BC45" s="95">
        <f t="shared" si="206"/>
        <v>30.483558994197438</v>
      </c>
      <c r="BD45" s="95" t="str">
        <f t="shared" si="201"/>
        <v>-</v>
      </c>
      <c r="BE45" s="95" t="str">
        <f t="shared" si="201"/>
        <v>-</v>
      </c>
      <c r="BF45" s="95" t="str">
        <f t="shared" si="201"/>
        <v>-</v>
      </c>
      <c r="BG45" s="95" t="str">
        <f t="shared" si="201"/>
        <v>-</v>
      </c>
      <c r="BH45" s="95" t="str">
        <f t="shared" si="201"/>
        <v>-</v>
      </c>
      <c r="BI45" s="95" t="str">
        <f t="shared" si="201"/>
        <v>-</v>
      </c>
      <c r="BJ45" s="95" t="str">
        <f t="shared" si="201"/>
        <v>-</v>
      </c>
      <c r="BK45" s="95" t="str">
        <f t="shared" si="201"/>
        <v>-</v>
      </c>
      <c r="BL45" s="95" t="str">
        <f t="shared" si="201"/>
        <v>-</v>
      </c>
      <c r="BM45" s="95" t="str">
        <f t="shared" si="201"/>
        <v>-</v>
      </c>
      <c r="BN45" s="95" t="str">
        <f t="shared" si="201"/>
        <v>-</v>
      </c>
      <c r="BP45" s="143">
        <f t="shared" si="47"/>
        <v>2.1374120247712385E-2</v>
      </c>
      <c r="BQ45" s="143">
        <f t="shared" si="202"/>
        <v>2.3093605298634422E-2</v>
      </c>
      <c r="BR45" s="143" t="str">
        <f t="shared" si="9"/>
        <v>-</v>
      </c>
      <c r="BS45" s="143" t="str">
        <f t="shared" si="10"/>
        <v>-</v>
      </c>
      <c r="BT45" s="143" t="str">
        <f t="shared" si="11"/>
        <v>-</v>
      </c>
      <c r="BU45" s="143" t="str">
        <f t="shared" si="12"/>
        <v>-</v>
      </c>
      <c r="BV45" s="143" t="str">
        <f t="shared" si="13"/>
        <v>-</v>
      </c>
      <c r="BW45" s="143" t="str">
        <f t="shared" si="14"/>
        <v>-</v>
      </c>
      <c r="BX45" s="143" t="str">
        <f t="shared" si="15"/>
        <v>-</v>
      </c>
      <c r="BY45" s="143" t="str">
        <f t="shared" si="16"/>
        <v>-</v>
      </c>
      <c r="BZ45" s="143" t="str">
        <f t="shared" si="17"/>
        <v>-</v>
      </c>
      <c r="CA45" s="143" t="str">
        <f t="shared" si="18"/>
        <v>-</v>
      </c>
      <c r="CB45" s="143" t="str">
        <f t="shared" si="19"/>
        <v>-</v>
      </c>
      <c r="CD45" s="112">
        <f t="shared" si="25"/>
        <v>1064.5535398509014</v>
      </c>
      <c r="CE45" s="95">
        <f>IFERROR(SUMIFS('01. KE30'!$R:$R,'01. KE30'!$C:$C,'06. BC BH THEO CUSTOMER-USD'!$D45,'01. KE30'!$F:$F,'06. BC BH THEO CUSTOMER-USD'!$H45,'01. KE30'!$A:$A,'06. BC BH THEO CUSTOMER-USD'!CE$4)/CS45/'02. Tỷ giá'!B$5," -")</f>
        <v>1064.5535398509014</v>
      </c>
      <c r="CF45" s="95" t="str">
        <f>IFERROR(SUMIFS('01. KE30'!$R:$R,'01. KE30'!$C:$C,'06. BC BH THEO CUSTOMER-USD'!$D45,'01. KE30'!$F:$F,'06. BC BH THEO CUSTOMER-USD'!$H45,'01. KE30'!$A:$A,'06. BC BH THEO CUSTOMER-USD'!CF$4)/CT45/'02. Tỷ giá'!C$5," -")</f>
        <v xml:space="preserve"> -</v>
      </c>
      <c r="CG45" s="95" t="str">
        <f>IFERROR(SUMIFS('01. KE30'!$R:$R,'01. KE30'!$C:$C,'06. BC BH THEO CUSTOMER-USD'!$D45,'01. KE30'!$F:$F,'06. BC BH THEO CUSTOMER-USD'!$H45,'01. KE30'!$A:$A,'06. BC BH THEO CUSTOMER-USD'!CG$4)/CU45/'02. Tỷ giá'!D$5," -")</f>
        <v xml:space="preserve"> -</v>
      </c>
      <c r="CH45" s="95" t="str">
        <f>IFERROR(SUMIFS('01. KE30'!$R:$R,'01. KE30'!$C:$C,'06. BC BH THEO CUSTOMER-USD'!$D45,'01. KE30'!$F:$F,'06. BC BH THEO CUSTOMER-USD'!$H45,'01. KE30'!$A:$A,'06. BC BH THEO CUSTOMER-USD'!CH$4)/CV45/'02. Tỷ giá'!E$5," -")</f>
        <v xml:space="preserve"> -</v>
      </c>
      <c r="CI45" s="95" t="str">
        <f>IFERROR(SUMIFS('01. KE30'!$R:$R,'01. KE30'!$C:$C,'06. BC BH THEO CUSTOMER-USD'!$D45,'01. KE30'!$F:$F,'06. BC BH THEO CUSTOMER-USD'!$H45,'01. KE30'!$A:$A,'06. BC BH THEO CUSTOMER-USD'!CI$4)/CW45/'02. Tỷ giá'!F$5," -")</f>
        <v xml:space="preserve"> -</v>
      </c>
      <c r="CJ45" s="95" t="str">
        <f>IFERROR(SUMIFS('01. KE30'!$R:$R,'01. KE30'!$C:$C,'06. BC BH THEO CUSTOMER-USD'!$D45,'01. KE30'!$F:$F,'06. BC BH THEO CUSTOMER-USD'!$H45,'01. KE30'!$A:$A,'06. BC BH THEO CUSTOMER-USD'!CJ$4)/CX45/'02. Tỷ giá'!G$5," -")</f>
        <v xml:space="preserve"> -</v>
      </c>
      <c r="CK45" s="95" t="str">
        <f>IFERROR(SUMIFS('01. KE30'!$R:$R,'01. KE30'!$C:$C,'06. BC BH THEO CUSTOMER-USD'!$D45,'01. KE30'!$F:$F,'06. BC BH THEO CUSTOMER-USD'!$H45,'01. KE30'!$A:$A,'06. BC BH THEO CUSTOMER-USD'!CK$4)/CY45/'02. Tỷ giá'!H$5," -")</f>
        <v xml:space="preserve"> -</v>
      </c>
      <c r="CL45" s="95" t="str">
        <f>IFERROR(SUMIFS('01. KE30'!$R:$R,'01. KE30'!$C:$C,'06. BC BH THEO CUSTOMER-USD'!$D45,'01. KE30'!$F:$F,'06. BC BH THEO CUSTOMER-USD'!$H45,'01. KE30'!$A:$A,'06. BC BH THEO CUSTOMER-USD'!CL$4)/CZ45/'02. Tỷ giá'!I$5," -")</f>
        <v xml:space="preserve"> -</v>
      </c>
      <c r="CM45" s="95" t="str">
        <f>IFERROR(SUMIFS('01. KE30'!$R:$R,'01. KE30'!$C:$C,'06. BC BH THEO CUSTOMER-USD'!$D45,'01. KE30'!$F:$F,'06. BC BH THEO CUSTOMER-USD'!$H45,'01. KE30'!$A:$A,'06. BC BH THEO CUSTOMER-USD'!CM$4)/DA45/'02. Tỷ giá'!J$5," -")</f>
        <v xml:space="preserve"> -</v>
      </c>
      <c r="CN45" s="95" t="str">
        <f>IFERROR(SUMIFS('01. KE30'!$R:$R,'01. KE30'!$C:$C,'06. BC BH THEO CUSTOMER-USD'!$D45,'01. KE30'!$F:$F,'06. BC BH THEO CUSTOMER-USD'!$H45,'01. KE30'!$A:$A,'06. BC BH THEO CUSTOMER-USD'!CN$4)/DB45/'02. Tỷ giá'!K$5," -")</f>
        <v xml:space="preserve"> -</v>
      </c>
      <c r="CO45" s="95" t="str">
        <f>IFERROR(SUMIFS('01. KE30'!$R:$R,'01. KE30'!$C:$C,'06. BC BH THEO CUSTOMER-USD'!$D45,'01. KE30'!$F:$F,'06. BC BH THEO CUSTOMER-USD'!$H45,'01. KE30'!$A:$A,'06. BC BH THEO CUSTOMER-USD'!CO$4)/DC45/'02. Tỷ giá'!L$5," -")</f>
        <v xml:space="preserve"> -</v>
      </c>
      <c r="CP45" s="95" t="str">
        <f>IFERROR(SUMIFS('01. KE30'!$R:$R,'01. KE30'!$C:$C,'06. BC BH THEO CUSTOMER-USD'!$D45,'01. KE30'!$F:$F,'06. BC BH THEO CUSTOMER-USD'!$H45,'01. KE30'!$A:$A,'06. BC BH THEO CUSTOMER-USD'!CP$4)/DD45/'02. Tỷ giá'!M$5," -")</f>
        <v xml:space="preserve"> -</v>
      </c>
      <c r="CR45" s="112">
        <f t="shared" si="26"/>
        <v>72.599999999999994</v>
      </c>
      <c r="CS45" s="114">
        <f>SUMIFS('01. KE30'!$I:$I,'01. KE30'!$C:$C,'06. BC BH THEO CUSTOMER-USD'!$D45,'01. KE30'!$F:$F,'06. BC BH THEO CUSTOMER-USD'!$H45,'01. KE30'!$A:$A,'06. BC BH THEO CUSTOMER-USD'!CS$4)/1000</f>
        <v>72.599999999999994</v>
      </c>
      <c r="CT45" s="114">
        <f>SUMIFS('01. KE30'!$I:$I,'01. KE30'!$C:$C,'06. BC BH THEO CUSTOMER-USD'!$D45,'01. KE30'!$F:$F,'06. BC BH THEO CUSTOMER-USD'!$H45,'01. KE30'!$A:$A,'06. BC BH THEO CUSTOMER-USD'!CT$4)/1000</f>
        <v>0</v>
      </c>
      <c r="CU45" s="114">
        <f>SUMIFS('01. KE30'!$I:$I,'01. KE30'!$C:$C,'06. BC BH THEO CUSTOMER-USD'!$D45,'01. KE30'!$F:$F,'06. BC BH THEO CUSTOMER-USD'!$H45,'01. KE30'!$A:$A,'06. BC BH THEO CUSTOMER-USD'!CU$4)/1000</f>
        <v>0</v>
      </c>
      <c r="CV45" s="114">
        <f>SUMIFS('01. KE30'!$I:$I,'01. KE30'!$C:$C,'06. BC BH THEO CUSTOMER-USD'!$D45,'01. KE30'!$F:$F,'06. BC BH THEO CUSTOMER-USD'!$H45,'01. KE30'!$A:$A,'06. BC BH THEO CUSTOMER-USD'!CV$4)/1000</f>
        <v>0</v>
      </c>
      <c r="CW45" s="114">
        <f>SUMIFS('01. KE30'!$I:$I,'01. KE30'!$C:$C,'06. BC BH THEO CUSTOMER-USD'!$D45,'01. KE30'!$F:$F,'06. BC BH THEO CUSTOMER-USD'!$H45,'01. KE30'!$A:$A,'06. BC BH THEO CUSTOMER-USD'!CW$4)/1000</f>
        <v>0</v>
      </c>
      <c r="CX45" s="114">
        <f>SUMIFS('01. KE30'!$I:$I,'01. KE30'!$C:$C,'06. BC BH THEO CUSTOMER-USD'!$D45,'01. KE30'!$F:$F,'06. BC BH THEO CUSTOMER-USD'!$H45,'01. KE30'!$A:$A,'06. BC BH THEO CUSTOMER-USD'!CX$4)/1000</f>
        <v>0</v>
      </c>
      <c r="CY45" s="114">
        <f>SUMIFS('01. KE30'!$I:$I,'01. KE30'!$C:$C,'06. BC BH THEO CUSTOMER-USD'!$D45,'01. KE30'!$F:$F,'06. BC BH THEO CUSTOMER-USD'!$H45,'01. KE30'!$A:$A,'06. BC BH THEO CUSTOMER-USD'!CY$4)/1000</f>
        <v>0</v>
      </c>
      <c r="CZ45" s="114">
        <f>SUMIFS('01. KE30'!$I:$I,'01. KE30'!$C:$C,'06. BC BH THEO CUSTOMER-USD'!$D45,'01. KE30'!$F:$F,'06. BC BH THEO CUSTOMER-USD'!$H45,'01. KE30'!$A:$A,'06. BC BH THEO CUSTOMER-USD'!CZ$4)/1000</f>
        <v>0</v>
      </c>
      <c r="DA45" s="114">
        <f>SUMIFS('01. KE30'!$I:$I,'01. KE30'!$C:$C,'06. BC BH THEO CUSTOMER-USD'!$D45,'01. KE30'!$F:$F,'06. BC BH THEO CUSTOMER-USD'!$H45,'01. KE30'!$A:$A,'06. BC BH THEO CUSTOMER-USD'!DA$4)/1000</f>
        <v>0</v>
      </c>
      <c r="DB45" s="114">
        <f>SUMIFS('01. KE30'!$I:$I,'01. KE30'!$C:$C,'06. BC BH THEO CUSTOMER-USD'!$D45,'01. KE30'!$F:$F,'06. BC BH THEO CUSTOMER-USD'!$H45,'01. KE30'!$A:$A,'06. BC BH THEO CUSTOMER-USD'!DB$4)/1000</f>
        <v>0</v>
      </c>
      <c r="DC45" s="114">
        <f>SUMIFS('01. KE30'!$I:$I,'01. KE30'!$C:$C,'06. BC BH THEO CUSTOMER-USD'!$D45,'01. KE30'!$F:$F,'06. BC BH THEO CUSTOMER-USD'!$H45,'01. KE30'!$A:$A,'06. BC BH THEO CUSTOMER-USD'!DC$4)/1000</f>
        <v>0</v>
      </c>
      <c r="DD45" s="114">
        <f>SUMIFS('01. KE30'!$I:$I,'01. KE30'!$C:$C,'06. BC BH THEO CUSTOMER-USD'!$D45,'01. KE30'!$F:$F,'06. BC BH THEO CUSTOMER-USD'!$H45,'01. KE30'!$A:$A,'06. BC BH THEO CUSTOMER-USD'!DD$4)/1000</f>
        <v>0</v>
      </c>
      <c r="DF45" s="121">
        <f t="shared" si="199"/>
        <v>98469.032517061409</v>
      </c>
      <c r="DG45" s="54">
        <f t="shared" si="48"/>
        <v>98469.032517061409</v>
      </c>
      <c r="DH45" s="54" t="str">
        <f t="shared" si="49"/>
        <v>-</v>
      </c>
      <c r="DI45" s="54" t="str">
        <f t="shared" si="50"/>
        <v>-</v>
      </c>
      <c r="DJ45" s="54" t="str">
        <f t="shared" si="51"/>
        <v>-</v>
      </c>
      <c r="DK45" s="54" t="str">
        <f t="shared" si="52"/>
        <v>-</v>
      </c>
      <c r="DL45" s="54" t="str">
        <f t="shared" si="53"/>
        <v>-</v>
      </c>
      <c r="DM45" s="54" t="str">
        <f t="shared" si="54"/>
        <v>-</v>
      </c>
      <c r="DN45" s="54" t="str">
        <f t="shared" si="55"/>
        <v>-</v>
      </c>
      <c r="DO45" s="54" t="str">
        <f t="shared" si="56"/>
        <v>-</v>
      </c>
      <c r="DP45" s="54" t="str">
        <f t="shared" si="57"/>
        <v>-</v>
      </c>
      <c r="DQ45" s="54" t="str">
        <f t="shared" si="58"/>
        <v>-</v>
      </c>
      <c r="DR45" s="54" t="str">
        <f t="shared" si="59"/>
        <v>-</v>
      </c>
      <c r="DT45" s="112">
        <f t="shared" si="60"/>
        <v>20758.519389803289</v>
      </c>
      <c r="DU45" s="114">
        <f>IFERROR(SUMIFS('01. KE30'!$X:$X,'01. KE30'!$C:$C,'06. BC BH THEO CUSTOMER-USD'!$D45,'01. KE30'!$F:$F,'06. BC BH THEO CUSTOMER-USD'!$H45,'01. KE30'!$A:$A,'06. BC BH THEO CUSTOMER-USD'!DU$4)-SUMIFS('01. KE30'!$AA:$AA,'01. KE30'!$C:$C,'06. BC BH THEO CUSTOMER-USD'!$D45,'01. KE30'!$F:$F,'06. BC BH THEO CUSTOMER-USD'!$H45,'01. KE30'!$A:$A,'06. BC BH THEO CUSTOMER-USD'!DU$4),"-")</f>
        <v>20758.519389803289</v>
      </c>
      <c r="DV45" s="114">
        <f>IFERROR(SUMIFS('01. KE30'!$X:$X,'01. KE30'!$C:$C,'06. BC BH THEO CUSTOMER-USD'!$D45,'01. KE30'!$F:$F,'06. BC BH THEO CUSTOMER-USD'!$H45,'01. KE30'!$A:$A,'06. BC BH THEO CUSTOMER-USD'!DV$4)-SUMIFS('01. KE30'!$AA:$AA,'01. KE30'!$C:$C,'06. BC BH THEO CUSTOMER-USD'!$D45,'01. KE30'!$F:$F,'06. BC BH THEO CUSTOMER-USD'!$H45,'01. KE30'!$A:$A,'06. BC BH THEO CUSTOMER-USD'!DV$4),"-")</f>
        <v>0</v>
      </c>
      <c r="DW45" s="114">
        <f>IFERROR(SUMIFS('01. KE30'!$X:$X,'01. KE30'!$C:$C,'06. BC BH THEO CUSTOMER-USD'!$D45,'01. KE30'!$F:$F,'06. BC BH THEO CUSTOMER-USD'!$H45,'01. KE30'!$A:$A,'06. BC BH THEO CUSTOMER-USD'!DW$4)-SUMIFS('01. KE30'!$AA:$AA,'01. KE30'!$C:$C,'06. BC BH THEO CUSTOMER-USD'!$D45,'01. KE30'!$F:$F,'06. BC BH THEO CUSTOMER-USD'!$H45,'01. KE30'!$A:$A,'06. BC BH THEO CUSTOMER-USD'!DW$4),"-")</f>
        <v>0</v>
      </c>
      <c r="DX45" s="114">
        <f>IFERROR(SUMIFS('01. KE30'!$X:$X,'01. KE30'!$C:$C,'06. BC BH THEO CUSTOMER-USD'!$D45,'01. KE30'!$F:$F,'06. BC BH THEO CUSTOMER-USD'!$H45,'01. KE30'!$A:$A,'06. BC BH THEO CUSTOMER-USD'!DX$4)-SUMIFS('01. KE30'!$AA:$AA,'01. KE30'!$C:$C,'06. BC BH THEO CUSTOMER-USD'!$D45,'01. KE30'!$F:$F,'06. BC BH THEO CUSTOMER-USD'!$H45,'01. KE30'!$A:$A,'06. BC BH THEO CUSTOMER-USD'!DX$4),"-")</f>
        <v>0</v>
      </c>
      <c r="DY45" s="114">
        <f>IFERROR(SUMIFS('01. KE30'!$X:$X,'01. KE30'!$C:$C,'06. BC BH THEO CUSTOMER-USD'!$D45,'01. KE30'!$F:$F,'06. BC BH THEO CUSTOMER-USD'!$H45,'01. KE30'!$A:$A,'06. BC BH THEO CUSTOMER-USD'!DY$4)-SUMIFS('01. KE30'!$AA:$AA,'01. KE30'!$C:$C,'06. BC BH THEO CUSTOMER-USD'!$D45,'01. KE30'!$F:$F,'06. BC BH THEO CUSTOMER-USD'!$H45,'01. KE30'!$A:$A,'06. BC BH THEO CUSTOMER-USD'!DY$4),"-")</f>
        <v>0</v>
      </c>
      <c r="DZ45" s="114">
        <f>IFERROR(SUMIFS('01. KE30'!$X:$X,'01. KE30'!$C:$C,'06. BC BH THEO CUSTOMER-USD'!$D45,'01. KE30'!$F:$F,'06. BC BH THEO CUSTOMER-USD'!$H45,'01. KE30'!$A:$A,'06. BC BH THEO CUSTOMER-USD'!DZ$4)-SUMIFS('01. KE30'!$AA:$AA,'01. KE30'!$C:$C,'06. BC BH THEO CUSTOMER-USD'!$D45,'01. KE30'!$F:$F,'06. BC BH THEO CUSTOMER-USD'!$H45,'01. KE30'!$A:$A,'06. BC BH THEO CUSTOMER-USD'!DZ$4),"-")</f>
        <v>0</v>
      </c>
      <c r="EA45" s="114">
        <f>IFERROR(SUMIFS('01. KE30'!$X:$X,'01. KE30'!$C:$C,'06. BC BH THEO CUSTOMER-USD'!$D45,'01. KE30'!$F:$F,'06. BC BH THEO CUSTOMER-USD'!$H45,'01. KE30'!$A:$A,'06. BC BH THEO CUSTOMER-USD'!EA$4)-SUMIFS('01. KE30'!$AA:$AA,'01. KE30'!$C:$C,'06. BC BH THEO CUSTOMER-USD'!$D45,'01. KE30'!$F:$F,'06. BC BH THEO CUSTOMER-USD'!$H45,'01. KE30'!$A:$A,'06. BC BH THEO CUSTOMER-USD'!EA$4),"-")</f>
        <v>0</v>
      </c>
      <c r="EB45" s="114">
        <f>IFERROR(SUMIFS('01. KE30'!$X:$X,'01. KE30'!$C:$C,'06. BC BH THEO CUSTOMER-USD'!$D45,'01. KE30'!$F:$F,'06. BC BH THEO CUSTOMER-USD'!$H45,'01. KE30'!$A:$A,'06. BC BH THEO CUSTOMER-USD'!EB$4)-SUMIFS('01. KE30'!$AA:$AA,'01. KE30'!$C:$C,'06. BC BH THEO CUSTOMER-USD'!$D45,'01. KE30'!$F:$F,'06. BC BH THEO CUSTOMER-USD'!$H45,'01. KE30'!$A:$A,'06. BC BH THEO CUSTOMER-USD'!EB$4),"-")</f>
        <v>0</v>
      </c>
      <c r="EC45" s="114">
        <f>IFERROR(SUMIFS('01. KE30'!$X:$X,'01. KE30'!$C:$C,'06. BC BH THEO CUSTOMER-USD'!$D45,'01. KE30'!$F:$F,'06. BC BH THEO CUSTOMER-USD'!$H45,'01. KE30'!$A:$A,'06. BC BH THEO CUSTOMER-USD'!EC$4)-SUMIFS('01. KE30'!$AA:$AA,'01. KE30'!$C:$C,'06. BC BH THEO CUSTOMER-USD'!$D45,'01. KE30'!$F:$F,'06. BC BH THEO CUSTOMER-USD'!$H45,'01. KE30'!$A:$A,'06. BC BH THEO CUSTOMER-USD'!EC$4),"-")</f>
        <v>0</v>
      </c>
      <c r="ED45" s="114">
        <f>IFERROR(SUMIFS('01. KE30'!$X:$X,'01. KE30'!$C:$C,'06. BC BH THEO CUSTOMER-USD'!$D45,'01. KE30'!$F:$F,'06. BC BH THEO CUSTOMER-USD'!$H45,'01. KE30'!$A:$A,'06. BC BH THEO CUSTOMER-USD'!ED$4)-SUMIFS('01. KE30'!$AA:$AA,'01. KE30'!$C:$C,'06. BC BH THEO CUSTOMER-USD'!$D45,'01. KE30'!$F:$F,'06. BC BH THEO CUSTOMER-USD'!$H45,'01. KE30'!$A:$A,'06. BC BH THEO CUSTOMER-USD'!ED$4),"-")</f>
        <v>0</v>
      </c>
      <c r="EE45" s="114">
        <f>IFERROR(SUMIFS('01. KE30'!$X:$X,'01. KE30'!$C:$C,'06. BC BH THEO CUSTOMER-USD'!$D45,'01. KE30'!$F:$F,'06. BC BH THEO CUSTOMER-USD'!$H45,'01. KE30'!$A:$A,'06. BC BH THEO CUSTOMER-USD'!EE$4)-SUMIFS('01. KE30'!$AA:$AA,'01. KE30'!$C:$C,'06. BC BH THEO CUSTOMER-USD'!$D45,'01. KE30'!$F:$F,'06. BC BH THEO CUSTOMER-USD'!$H45,'01. KE30'!$A:$A,'06. BC BH THEO CUSTOMER-USD'!EE$4),"-")</f>
        <v>0</v>
      </c>
      <c r="EF45" s="114">
        <f>IFERROR(SUMIFS('01. KE30'!$X:$X,'01. KE30'!$C:$C,'06. BC BH THEO CUSTOMER-USD'!$D45,'01. KE30'!$F:$F,'06. BC BH THEO CUSTOMER-USD'!$H45,'01. KE30'!$A:$A,'06. BC BH THEO CUSTOMER-USD'!EF$4)-SUMIFS('01. KE30'!$AA:$AA,'01. KE30'!$C:$C,'06. BC BH THEO CUSTOMER-USD'!$D45,'01. KE30'!$F:$F,'06. BC BH THEO CUSTOMER-USD'!$H45,'01. KE30'!$A:$A,'06. BC BH THEO CUSTOMER-USD'!EF$4),"-")</f>
        <v>0</v>
      </c>
      <c r="EH45" s="571">
        <f t="shared" si="29"/>
        <v>0.21081266728406747</v>
      </c>
      <c r="EI45" s="572">
        <f t="shared" si="30"/>
        <v>0.21081266728406747</v>
      </c>
      <c r="EJ45" s="572" t="str">
        <f t="shared" si="31"/>
        <v>-</v>
      </c>
      <c r="EK45" s="572" t="str">
        <f t="shared" si="32"/>
        <v>-</v>
      </c>
      <c r="EL45" s="572" t="str">
        <f t="shared" si="33"/>
        <v>-</v>
      </c>
      <c r="EM45" s="572" t="str">
        <f t="shared" si="34"/>
        <v>-</v>
      </c>
      <c r="EN45" s="572" t="str">
        <f t="shared" si="35"/>
        <v>-</v>
      </c>
      <c r="EO45" s="572" t="str">
        <f t="shared" si="36"/>
        <v>-</v>
      </c>
      <c r="EP45" s="572" t="str">
        <f t="shared" si="37"/>
        <v>-</v>
      </c>
      <c r="EQ45" s="572" t="str">
        <f t="shared" si="38"/>
        <v>-</v>
      </c>
      <c r="ER45" s="572" t="str">
        <f t="shared" si="39"/>
        <v>-</v>
      </c>
      <c r="ES45" s="572" t="str">
        <f t="shared" si="40"/>
        <v>-</v>
      </c>
      <c r="ET45" s="572" t="str">
        <f t="shared" si="41"/>
        <v>-</v>
      </c>
    </row>
    <row r="46" spans="1:150" ht="15.5" hidden="1" outlineLevel="1" x14ac:dyDescent="0.35">
      <c r="A46" s="27">
        <f t="shared" si="63"/>
        <v>37</v>
      </c>
      <c r="B46" s="27" t="s">
        <v>283</v>
      </c>
      <c r="C46" s="442" t="s">
        <v>489</v>
      </c>
      <c r="D46" s="9" t="s">
        <v>124</v>
      </c>
      <c r="E46" s="12" t="s">
        <v>123</v>
      </c>
      <c r="F46" s="12" t="s">
        <v>245</v>
      </c>
      <c r="G46" s="12" t="str">
        <f>_xlfn.XLOOKUP(F46,'Quy đổi'!$G$5:$G$32,'Quy đổi'!$H$5:$H$32,0)</f>
        <v>Nội địa</v>
      </c>
      <c r="H46" s="76" t="s">
        <v>126</v>
      </c>
      <c r="I46" s="7" t="s">
        <v>125</v>
      </c>
      <c r="J46" s="13" t="s">
        <v>22</v>
      </c>
      <c r="K46" s="11"/>
      <c r="L46" s="92" t="str">
        <f t="shared" si="42"/>
        <v>-</v>
      </c>
      <c r="M46" s="106" t="str">
        <f>IFERROR(SUMIFS('01. KE30'!$K:$K,'01. KE30'!$C:$C,'06. BC BH THEO CUSTOMER-USD'!$D46,'01. KE30'!$F:$F,'06. BC BH THEO CUSTOMER-USD'!$H46,'01. KE30'!$A:$A,'06. BC BH THEO CUSTOMER-USD'!M$4)/'06. BC BH THEO CUSTOMER-USD'!CS46/'02. Tỷ giá'!B$5,"-")</f>
        <v>-</v>
      </c>
      <c r="N46" s="106" t="str">
        <f>IFERROR(SUMIFS('01. KE30'!$K:$K,'01. KE30'!$C:$C,'06. BC BH THEO CUSTOMER-USD'!$D46,'01. KE30'!$F:$F,'06. BC BH THEO CUSTOMER-USD'!$H46,'01. KE30'!$A:$A,'06. BC BH THEO CUSTOMER-USD'!N$4)/'06. BC BH THEO CUSTOMER-USD'!CT46/'02. Tỷ giá'!C$5,"-")</f>
        <v>-</v>
      </c>
      <c r="O46" s="106" t="str">
        <f>IFERROR(SUMIFS('01. KE30'!$K:$K,'01. KE30'!$C:$C,'06. BC BH THEO CUSTOMER-USD'!$D46,'01. KE30'!$F:$F,'06. BC BH THEO CUSTOMER-USD'!$H46,'01. KE30'!$A:$A,'06. BC BH THEO CUSTOMER-USD'!O$4)/'06. BC BH THEO CUSTOMER-USD'!CU46/'02. Tỷ giá'!D$5,"-")</f>
        <v>-</v>
      </c>
      <c r="P46" s="106" t="str">
        <f>IFERROR(SUMIFS('01. KE30'!$K:$K,'01. KE30'!$C:$C,'06. BC BH THEO CUSTOMER-USD'!$D46,'01. KE30'!$F:$F,'06. BC BH THEO CUSTOMER-USD'!$H46,'01. KE30'!$A:$A,'06. BC BH THEO CUSTOMER-USD'!P$4)/'06. BC BH THEO CUSTOMER-USD'!CV46/'02. Tỷ giá'!E$5,"-")</f>
        <v>-</v>
      </c>
      <c r="Q46" s="106" t="str">
        <f>IFERROR(SUMIFS('01. KE30'!$K:$K,'01. KE30'!$C:$C,'06. BC BH THEO CUSTOMER-USD'!$D46,'01. KE30'!$F:$F,'06. BC BH THEO CUSTOMER-USD'!$H46,'01. KE30'!$A:$A,'06. BC BH THEO CUSTOMER-USD'!Q$4)/'06. BC BH THEO CUSTOMER-USD'!CW46/'02. Tỷ giá'!F$5,"-")</f>
        <v>-</v>
      </c>
      <c r="R46" s="106" t="str">
        <f>IFERROR(SUMIFS('01. KE30'!$K:$K,'01. KE30'!$C:$C,'06. BC BH THEO CUSTOMER-USD'!$D46,'01. KE30'!$F:$F,'06. BC BH THEO CUSTOMER-USD'!$H46,'01. KE30'!$A:$A,'06. BC BH THEO CUSTOMER-USD'!R$4)/'06. BC BH THEO CUSTOMER-USD'!CX46/'02. Tỷ giá'!G$5,"-")</f>
        <v>-</v>
      </c>
      <c r="S46" s="106" t="str">
        <f>IFERROR(SUMIFS('01. KE30'!$K:$K,'01. KE30'!$C:$C,'06. BC BH THEO CUSTOMER-USD'!$D46,'01. KE30'!$F:$F,'06. BC BH THEO CUSTOMER-USD'!$H46,'01. KE30'!$A:$A,'06. BC BH THEO CUSTOMER-USD'!S$4)/'06. BC BH THEO CUSTOMER-USD'!CY46/'02. Tỷ giá'!H$5,"-")</f>
        <v>-</v>
      </c>
      <c r="T46" s="106" t="str">
        <f>IFERROR(SUMIFS('01. KE30'!$K:$K,'01. KE30'!$C:$C,'06. BC BH THEO CUSTOMER-USD'!$D46,'01. KE30'!$F:$F,'06. BC BH THEO CUSTOMER-USD'!$H46,'01. KE30'!$A:$A,'06. BC BH THEO CUSTOMER-USD'!T$4)/'06. BC BH THEO CUSTOMER-USD'!CZ46/'02. Tỷ giá'!I$5,"-")</f>
        <v>-</v>
      </c>
      <c r="U46" s="106" t="str">
        <f>IFERROR(SUMIFS('01. KE30'!$K:$K,'01. KE30'!$C:$C,'06. BC BH THEO CUSTOMER-USD'!$D46,'01. KE30'!$F:$F,'06. BC BH THEO CUSTOMER-USD'!$H46,'01. KE30'!$A:$A,'06. BC BH THEO CUSTOMER-USD'!U$4)/'06. BC BH THEO CUSTOMER-USD'!DA46/'02. Tỷ giá'!J$5,"-")</f>
        <v>-</v>
      </c>
      <c r="V46" s="106" t="str">
        <f>IFERROR(SUMIFS('01. KE30'!$K:$K,'01. KE30'!$C:$C,'06. BC BH THEO CUSTOMER-USD'!$D46,'01. KE30'!$F:$F,'06. BC BH THEO CUSTOMER-USD'!$H46,'01. KE30'!$A:$A,'06. BC BH THEO CUSTOMER-USD'!V$4)/'06. BC BH THEO CUSTOMER-USD'!DB46/'02. Tỷ giá'!K$5,"-")</f>
        <v>-</v>
      </c>
      <c r="W46" s="106" t="str">
        <f>IFERROR(SUMIFS('01. KE30'!$K:$K,'01. KE30'!$C:$C,'06. BC BH THEO CUSTOMER-USD'!$D46,'01. KE30'!$F:$F,'06. BC BH THEO CUSTOMER-USD'!$H46,'01. KE30'!$A:$A,'06. BC BH THEO CUSTOMER-USD'!W$4)/'06. BC BH THEO CUSTOMER-USD'!DC46/'02. Tỷ giá'!L$5,"-")</f>
        <v>-</v>
      </c>
      <c r="X46" s="106" t="str">
        <f>IFERROR(SUMIFS('01. KE30'!$K:$K,'01. KE30'!$C:$C,'06. BC BH THEO CUSTOMER-USD'!$D46,'01. KE30'!$F:$F,'06. BC BH THEO CUSTOMER-USD'!$H46,'01. KE30'!$A:$A,'06. BC BH THEO CUSTOMER-USD'!X$4)/'06. BC BH THEO CUSTOMER-USD'!DD46/'02. Tỷ giá'!M$5,"-")</f>
        <v>-</v>
      </c>
      <c r="Z46" s="92" t="str">
        <f t="shared" si="43"/>
        <v>-</v>
      </c>
      <c r="AA46" s="147" t="str">
        <f>IFERROR(SUMIFS('01. KE30'!$O:$O,'01. KE30'!$C:$C,'06. BC BH THEO CUSTOMER-USD'!$D46,'01. KE30'!$F:$F,'06. BC BH THEO CUSTOMER-USD'!$H46,'01. KE30'!$A:$A,'06. BC BH THEO CUSTOMER-USD'!M$4)/'06. BC BH THEO CUSTOMER-USD'!CS46/'02. Tỷ giá'!B$5,"-")</f>
        <v>-</v>
      </c>
      <c r="AB46" s="147" t="str">
        <f>IFERROR(SUMIFS('01. KE30'!$O:$O,'01. KE30'!$C:$C,'06. BC BH THEO CUSTOMER-USD'!$D46,'01. KE30'!$F:$F,'06. BC BH THEO CUSTOMER-USD'!$H46,'01. KE30'!$A:$A,'06. BC BH THEO CUSTOMER-USD'!N$4)/'06. BC BH THEO CUSTOMER-USD'!CT46/'02. Tỷ giá'!C$5,"-")</f>
        <v>-</v>
      </c>
      <c r="AC46" s="147" t="str">
        <f>IFERROR(SUMIFS('01. KE30'!$O:$O,'01. KE30'!$C:$C,'06. BC BH THEO CUSTOMER-USD'!$D46,'01. KE30'!$F:$F,'06. BC BH THEO CUSTOMER-USD'!$H46,'01. KE30'!$A:$A,'06. BC BH THEO CUSTOMER-USD'!O$4)/'06. BC BH THEO CUSTOMER-USD'!CU46/'02. Tỷ giá'!D$5,"-")</f>
        <v>-</v>
      </c>
      <c r="AD46" s="147" t="str">
        <f>IFERROR(SUMIFS('01. KE30'!$O:$O,'01. KE30'!$C:$C,'06. BC BH THEO CUSTOMER-USD'!$D46,'01. KE30'!$F:$F,'06. BC BH THEO CUSTOMER-USD'!$H46,'01. KE30'!$A:$A,'06. BC BH THEO CUSTOMER-USD'!P$4)/'06. BC BH THEO CUSTOMER-USD'!CV46/'02. Tỷ giá'!E$5,"-")</f>
        <v>-</v>
      </c>
      <c r="AE46" s="147" t="str">
        <f>IFERROR(SUMIFS('01. KE30'!$O:$O,'01. KE30'!$C:$C,'06. BC BH THEO CUSTOMER-USD'!$D46,'01. KE30'!$F:$F,'06. BC BH THEO CUSTOMER-USD'!$H46,'01. KE30'!$A:$A,'06. BC BH THEO CUSTOMER-USD'!Q$4)/'06. BC BH THEO CUSTOMER-USD'!CW46/'02. Tỷ giá'!F$5,"-")</f>
        <v>-</v>
      </c>
      <c r="AF46" s="147" t="str">
        <f>IFERROR(SUMIFS('01. KE30'!$O:$O,'01. KE30'!$C:$C,'06. BC BH THEO CUSTOMER-USD'!$D46,'01. KE30'!$F:$F,'06. BC BH THEO CUSTOMER-USD'!$H46,'01. KE30'!$A:$A,'06. BC BH THEO CUSTOMER-USD'!R$4)/'06. BC BH THEO CUSTOMER-USD'!CX46/'02. Tỷ giá'!G$5,"-")</f>
        <v>-</v>
      </c>
      <c r="AG46" s="147" t="str">
        <f>IFERROR(SUMIFS('01. KE30'!$O:$O,'01. KE30'!$C:$C,'06. BC BH THEO CUSTOMER-USD'!$D46,'01. KE30'!$F:$F,'06. BC BH THEO CUSTOMER-USD'!$H46,'01. KE30'!$A:$A,'06. BC BH THEO CUSTOMER-USD'!S$4)/'06. BC BH THEO CUSTOMER-USD'!CY46/'02. Tỷ giá'!H$5,"-")</f>
        <v>-</v>
      </c>
      <c r="AH46" s="147" t="str">
        <f>IFERROR(SUMIFS('01. KE30'!$O:$O,'01. KE30'!$C:$C,'06. BC BH THEO CUSTOMER-USD'!$D46,'01. KE30'!$F:$F,'06. BC BH THEO CUSTOMER-USD'!$H46,'01. KE30'!$A:$A,'06. BC BH THEO CUSTOMER-USD'!T$4)/'06. BC BH THEO CUSTOMER-USD'!CZ46/'02. Tỷ giá'!I$5,"-")</f>
        <v>-</v>
      </c>
      <c r="AI46" s="147" t="str">
        <f>IFERROR(SUMIFS('01. KE30'!$O:$O,'01. KE30'!$C:$C,'06. BC BH THEO CUSTOMER-USD'!$D46,'01. KE30'!$F:$F,'06. BC BH THEO CUSTOMER-USD'!$H46,'01. KE30'!$A:$A,'06. BC BH THEO CUSTOMER-USD'!U$4)/'06. BC BH THEO CUSTOMER-USD'!DA46/'02. Tỷ giá'!J$5,"-")</f>
        <v>-</v>
      </c>
      <c r="AJ46" s="147" t="str">
        <f>IFERROR(SUMIFS('01. KE30'!$O:$O,'01. KE30'!$C:$C,'06. BC BH THEO CUSTOMER-USD'!$D46,'01. KE30'!$F:$F,'06. BC BH THEO CUSTOMER-USD'!$H46,'01. KE30'!$A:$A,'06. BC BH THEO CUSTOMER-USD'!V$4)/'06. BC BH THEO CUSTOMER-USD'!DB46/'02. Tỷ giá'!K$5,"-")</f>
        <v>-</v>
      </c>
      <c r="AK46" s="147" t="str">
        <f>IFERROR(SUMIFS('01. KE30'!$O:$O,'01. KE30'!$C:$C,'06. BC BH THEO CUSTOMER-USD'!$D46,'01. KE30'!$F:$F,'06. BC BH THEO CUSTOMER-USD'!$H46,'01. KE30'!$A:$A,'06. BC BH THEO CUSTOMER-USD'!W$4)/'06. BC BH THEO CUSTOMER-USD'!DC46/'02. Tỷ giá'!L$5,"-")</f>
        <v>-</v>
      </c>
      <c r="AL46" s="147" t="str">
        <f>IFERROR(SUMIFS('01. KE30'!$O:$O,'01. KE30'!$C:$C,'06. BC BH THEO CUSTOMER-USD'!$D46,'01. KE30'!$F:$F,'06. BC BH THEO CUSTOMER-USD'!$H46,'01. KE30'!$A:$A,'06. BC BH THEO CUSTOMER-USD'!X$4)/'06. BC BH THEO CUSTOMER-USD'!DD46/'02. Tỷ giá'!M$5,"-")</f>
        <v>-</v>
      </c>
      <c r="AN46" s="92">
        <f t="shared" si="44"/>
        <v>1323.3333333333333</v>
      </c>
      <c r="AO46" s="25">
        <v>1320</v>
      </c>
      <c r="AP46" s="25">
        <f t="shared" si="203"/>
        <v>1280</v>
      </c>
      <c r="AQ46" s="4">
        <v>1320</v>
      </c>
      <c r="AR46" s="4">
        <f>AQ46+20</f>
        <v>1340</v>
      </c>
      <c r="AS46" s="4">
        <v>1340</v>
      </c>
      <c r="AT46" s="4">
        <v>1340</v>
      </c>
      <c r="AU46" s="4"/>
      <c r="AV46" s="4"/>
      <c r="AW46" s="25"/>
      <c r="AX46" s="25"/>
      <c r="AY46" s="4"/>
      <c r="AZ46" s="4"/>
      <c r="BB46" s="95" t="str">
        <f t="shared" si="45"/>
        <v>-</v>
      </c>
      <c r="BC46" s="95" t="str">
        <f t="shared" si="206"/>
        <v>-</v>
      </c>
      <c r="BD46" s="95" t="str">
        <f t="shared" si="201"/>
        <v>-</v>
      </c>
      <c r="BE46" s="95" t="str">
        <f t="shared" si="201"/>
        <v>-</v>
      </c>
      <c r="BF46" s="95" t="str">
        <f t="shared" si="201"/>
        <v>-</v>
      </c>
      <c r="BG46" s="95" t="str">
        <f t="shared" si="201"/>
        <v>-</v>
      </c>
      <c r="BH46" s="95" t="str">
        <f t="shared" si="201"/>
        <v>-</v>
      </c>
      <c r="BI46" s="95" t="str">
        <f t="shared" si="201"/>
        <v>-</v>
      </c>
      <c r="BJ46" s="95" t="str">
        <f t="shared" si="201"/>
        <v>-</v>
      </c>
      <c r="BK46" s="95" t="str">
        <f t="shared" si="201"/>
        <v>-</v>
      </c>
      <c r="BL46" s="95" t="str">
        <f t="shared" si="201"/>
        <v>-</v>
      </c>
      <c r="BM46" s="95" t="str">
        <f t="shared" si="201"/>
        <v>-</v>
      </c>
      <c r="BN46" s="95" t="str">
        <f t="shared" si="201"/>
        <v>-</v>
      </c>
      <c r="BP46" s="143" t="str">
        <f t="shared" si="47"/>
        <v>-</v>
      </c>
      <c r="BQ46" s="143" t="str">
        <f t="shared" si="202"/>
        <v>-</v>
      </c>
      <c r="BR46" s="143" t="str">
        <f t="shared" si="9"/>
        <v>-</v>
      </c>
      <c r="BS46" s="143" t="str">
        <f t="shared" si="10"/>
        <v>-</v>
      </c>
      <c r="BT46" s="143" t="str">
        <f t="shared" si="11"/>
        <v>-</v>
      </c>
      <c r="BU46" s="143" t="str">
        <f t="shared" si="12"/>
        <v>-</v>
      </c>
      <c r="BV46" s="143" t="str">
        <f t="shared" si="13"/>
        <v>-</v>
      </c>
      <c r="BW46" s="143" t="str">
        <f t="shared" si="14"/>
        <v>-</v>
      </c>
      <c r="BX46" s="143" t="str">
        <f t="shared" si="15"/>
        <v>-</v>
      </c>
      <c r="BY46" s="143" t="str">
        <f t="shared" si="16"/>
        <v>-</v>
      </c>
      <c r="BZ46" s="143" t="str">
        <f t="shared" si="17"/>
        <v>-</v>
      </c>
      <c r="CA46" s="143" t="str">
        <f t="shared" si="18"/>
        <v>-</v>
      </c>
      <c r="CB46" s="143" t="str">
        <f t="shared" si="19"/>
        <v>-</v>
      </c>
      <c r="CD46" s="112" t="str">
        <f t="shared" si="25"/>
        <v>-</v>
      </c>
      <c r="CE46" s="95" t="str">
        <f>IFERROR(SUMIFS('01. KE30'!$R:$R,'01. KE30'!$C:$C,'06. BC BH THEO CUSTOMER-USD'!$D46,'01. KE30'!$F:$F,'06. BC BH THEO CUSTOMER-USD'!$H46,'01. KE30'!$A:$A,'06. BC BH THEO CUSTOMER-USD'!CE$4)/CS46/'02. Tỷ giá'!B$5," -")</f>
        <v xml:space="preserve"> -</v>
      </c>
      <c r="CF46" s="95" t="str">
        <f>IFERROR(SUMIFS('01. KE30'!$R:$R,'01. KE30'!$C:$C,'06. BC BH THEO CUSTOMER-USD'!$D46,'01. KE30'!$F:$F,'06. BC BH THEO CUSTOMER-USD'!$H46,'01. KE30'!$A:$A,'06. BC BH THEO CUSTOMER-USD'!CF$4)/CT46/'02. Tỷ giá'!C$5," -")</f>
        <v xml:space="preserve"> -</v>
      </c>
      <c r="CG46" s="95" t="str">
        <f>IFERROR(SUMIFS('01. KE30'!$R:$R,'01. KE30'!$C:$C,'06. BC BH THEO CUSTOMER-USD'!$D46,'01. KE30'!$F:$F,'06. BC BH THEO CUSTOMER-USD'!$H46,'01. KE30'!$A:$A,'06. BC BH THEO CUSTOMER-USD'!CG$4)/CU46/'02. Tỷ giá'!D$5," -")</f>
        <v xml:space="preserve"> -</v>
      </c>
      <c r="CH46" s="95" t="str">
        <f>IFERROR(SUMIFS('01. KE30'!$R:$R,'01. KE30'!$C:$C,'06. BC BH THEO CUSTOMER-USD'!$D46,'01. KE30'!$F:$F,'06. BC BH THEO CUSTOMER-USD'!$H46,'01. KE30'!$A:$A,'06. BC BH THEO CUSTOMER-USD'!CH$4)/CV46/'02. Tỷ giá'!E$5," -")</f>
        <v xml:space="preserve"> -</v>
      </c>
      <c r="CI46" s="95" t="str">
        <f>IFERROR(SUMIFS('01. KE30'!$R:$R,'01. KE30'!$C:$C,'06. BC BH THEO CUSTOMER-USD'!$D46,'01. KE30'!$F:$F,'06. BC BH THEO CUSTOMER-USD'!$H46,'01. KE30'!$A:$A,'06. BC BH THEO CUSTOMER-USD'!CI$4)/CW46/'02. Tỷ giá'!F$5," -")</f>
        <v xml:space="preserve"> -</v>
      </c>
      <c r="CJ46" s="95" t="str">
        <f>IFERROR(SUMIFS('01. KE30'!$R:$R,'01. KE30'!$C:$C,'06. BC BH THEO CUSTOMER-USD'!$D46,'01. KE30'!$F:$F,'06. BC BH THEO CUSTOMER-USD'!$H46,'01. KE30'!$A:$A,'06. BC BH THEO CUSTOMER-USD'!CJ$4)/CX46/'02. Tỷ giá'!G$5," -")</f>
        <v xml:space="preserve"> -</v>
      </c>
      <c r="CK46" s="95" t="str">
        <f>IFERROR(SUMIFS('01. KE30'!$R:$R,'01. KE30'!$C:$C,'06. BC BH THEO CUSTOMER-USD'!$D46,'01. KE30'!$F:$F,'06. BC BH THEO CUSTOMER-USD'!$H46,'01. KE30'!$A:$A,'06. BC BH THEO CUSTOMER-USD'!CK$4)/CY46/'02. Tỷ giá'!H$5," -")</f>
        <v xml:space="preserve"> -</v>
      </c>
      <c r="CL46" s="95" t="str">
        <f>IFERROR(SUMIFS('01. KE30'!$R:$R,'01. KE30'!$C:$C,'06. BC BH THEO CUSTOMER-USD'!$D46,'01. KE30'!$F:$F,'06. BC BH THEO CUSTOMER-USD'!$H46,'01. KE30'!$A:$A,'06. BC BH THEO CUSTOMER-USD'!CL$4)/CZ46/'02. Tỷ giá'!I$5," -")</f>
        <v xml:space="preserve"> -</v>
      </c>
      <c r="CM46" s="95" t="str">
        <f>IFERROR(SUMIFS('01. KE30'!$R:$R,'01. KE30'!$C:$C,'06. BC BH THEO CUSTOMER-USD'!$D46,'01. KE30'!$F:$F,'06. BC BH THEO CUSTOMER-USD'!$H46,'01. KE30'!$A:$A,'06. BC BH THEO CUSTOMER-USD'!CM$4)/DA46/'02. Tỷ giá'!J$5," -")</f>
        <v xml:space="preserve"> -</v>
      </c>
      <c r="CN46" s="95" t="str">
        <f>IFERROR(SUMIFS('01. KE30'!$R:$R,'01. KE30'!$C:$C,'06. BC BH THEO CUSTOMER-USD'!$D46,'01. KE30'!$F:$F,'06. BC BH THEO CUSTOMER-USD'!$H46,'01. KE30'!$A:$A,'06. BC BH THEO CUSTOMER-USD'!CN$4)/DB46/'02. Tỷ giá'!K$5," -")</f>
        <v xml:space="preserve"> -</v>
      </c>
      <c r="CO46" s="95" t="str">
        <f>IFERROR(SUMIFS('01. KE30'!$R:$R,'01. KE30'!$C:$C,'06. BC BH THEO CUSTOMER-USD'!$D46,'01. KE30'!$F:$F,'06. BC BH THEO CUSTOMER-USD'!$H46,'01. KE30'!$A:$A,'06. BC BH THEO CUSTOMER-USD'!CO$4)/DC46/'02. Tỷ giá'!L$5," -")</f>
        <v xml:space="preserve"> -</v>
      </c>
      <c r="CP46" s="95" t="str">
        <f>IFERROR(SUMIFS('01. KE30'!$R:$R,'01. KE30'!$C:$C,'06. BC BH THEO CUSTOMER-USD'!$D46,'01. KE30'!$F:$F,'06. BC BH THEO CUSTOMER-USD'!$H46,'01. KE30'!$A:$A,'06. BC BH THEO CUSTOMER-USD'!CP$4)/DD46/'02. Tỷ giá'!M$5," -")</f>
        <v xml:space="preserve"> -</v>
      </c>
      <c r="CR46" s="112">
        <f t="shared" ref="CR46:CR90" si="266">SUM(CS46:DD46)</f>
        <v>0</v>
      </c>
      <c r="CS46" s="114">
        <f>SUMIFS('01. KE30'!$I:$I,'01. KE30'!$C:$C,'06. BC BH THEO CUSTOMER-USD'!$D46,'01. KE30'!$F:$F,'06. BC BH THEO CUSTOMER-USD'!$H46,'01. KE30'!$A:$A,'06. BC BH THEO CUSTOMER-USD'!CS$4)/1000</f>
        <v>0</v>
      </c>
      <c r="CT46" s="114">
        <f>SUMIFS('01. KE30'!$I:$I,'01. KE30'!$C:$C,'06. BC BH THEO CUSTOMER-USD'!$D46,'01. KE30'!$F:$F,'06. BC BH THEO CUSTOMER-USD'!$H46,'01. KE30'!$A:$A,'06. BC BH THEO CUSTOMER-USD'!CT$4)/1000</f>
        <v>0</v>
      </c>
      <c r="CU46" s="114">
        <f>SUMIFS('01. KE30'!$I:$I,'01. KE30'!$C:$C,'06. BC BH THEO CUSTOMER-USD'!$D46,'01. KE30'!$F:$F,'06. BC BH THEO CUSTOMER-USD'!$H46,'01. KE30'!$A:$A,'06. BC BH THEO CUSTOMER-USD'!CU$4)/1000</f>
        <v>0</v>
      </c>
      <c r="CV46" s="114">
        <f>SUMIFS('01. KE30'!$I:$I,'01. KE30'!$C:$C,'06. BC BH THEO CUSTOMER-USD'!$D46,'01. KE30'!$F:$F,'06. BC BH THEO CUSTOMER-USD'!$H46,'01. KE30'!$A:$A,'06. BC BH THEO CUSTOMER-USD'!CV$4)/1000</f>
        <v>0</v>
      </c>
      <c r="CW46" s="114">
        <f>SUMIFS('01. KE30'!$I:$I,'01. KE30'!$C:$C,'06. BC BH THEO CUSTOMER-USD'!$D46,'01. KE30'!$F:$F,'06. BC BH THEO CUSTOMER-USD'!$H46,'01. KE30'!$A:$A,'06. BC BH THEO CUSTOMER-USD'!CW$4)/1000</f>
        <v>0</v>
      </c>
      <c r="CX46" s="114">
        <f>SUMIFS('01. KE30'!$I:$I,'01. KE30'!$C:$C,'06. BC BH THEO CUSTOMER-USD'!$D46,'01. KE30'!$F:$F,'06. BC BH THEO CUSTOMER-USD'!$H46,'01. KE30'!$A:$A,'06. BC BH THEO CUSTOMER-USD'!CX$4)/1000</f>
        <v>0</v>
      </c>
      <c r="CY46" s="114">
        <f>SUMIFS('01. KE30'!$I:$I,'01. KE30'!$C:$C,'06. BC BH THEO CUSTOMER-USD'!$D46,'01. KE30'!$F:$F,'06. BC BH THEO CUSTOMER-USD'!$H46,'01. KE30'!$A:$A,'06. BC BH THEO CUSTOMER-USD'!CY$4)/1000</f>
        <v>0</v>
      </c>
      <c r="CZ46" s="114">
        <f>SUMIFS('01. KE30'!$I:$I,'01. KE30'!$C:$C,'06. BC BH THEO CUSTOMER-USD'!$D46,'01. KE30'!$F:$F,'06. BC BH THEO CUSTOMER-USD'!$H46,'01. KE30'!$A:$A,'06. BC BH THEO CUSTOMER-USD'!CZ$4)/1000</f>
        <v>0</v>
      </c>
      <c r="DA46" s="114">
        <f>SUMIFS('01. KE30'!$I:$I,'01. KE30'!$C:$C,'06. BC BH THEO CUSTOMER-USD'!$D46,'01. KE30'!$F:$F,'06. BC BH THEO CUSTOMER-USD'!$H46,'01. KE30'!$A:$A,'06. BC BH THEO CUSTOMER-USD'!DA$4)/1000</f>
        <v>0</v>
      </c>
      <c r="DB46" s="114">
        <f>SUMIFS('01. KE30'!$I:$I,'01. KE30'!$C:$C,'06. BC BH THEO CUSTOMER-USD'!$D46,'01. KE30'!$F:$F,'06. BC BH THEO CUSTOMER-USD'!$H46,'01. KE30'!$A:$A,'06. BC BH THEO CUSTOMER-USD'!DB$4)/1000</f>
        <v>0</v>
      </c>
      <c r="DC46" s="114">
        <f>SUMIFS('01. KE30'!$I:$I,'01. KE30'!$C:$C,'06. BC BH THEO CUSTOMER-USD'!$D46,'01. KE30'!$F:$F,'06. BC BH THEO CUSTOMER-USD'!$H46,'01. KE30'!$A:$A,'06. BC BH THEO CUSTOMER-USD'!DC$4)/1000</f>
        <v>0</v>
      </c>
      <c r="DD46" s="114">
        <f>SUMIFS('01. KE30'!$I:$I,'01. KE30'!$C:$C,'06. BC BH THEO CUSTOMER-USD'!$D46,'01. KE30'!$F:$F,'06. BC BH THEO CUSTOMER-USD'!$H46,'01. KE30'!$A:$A,'06. BC BH THEO CUSTOMER-USD'!DD$4)/1000</f>
        <v>0</v>
      </c>
      <c r="DF46" s="121">
        <f t="shared" ref="DF46:DF90" si="267">SUM(DG46:DR46)</f>
        <v>0</v>
      </c>
      <c r="DG46" s="54" t="str">
        <f t="shared" si="48"/>
        <v>-</v>
      </c>
      <c r="DH46" s="54" t="str">
        <f t="shared" si="49"/>
        <v>-</v>
      </c>
      <c r="DI46" s="54" t="str">
        <f t="shared" si="50"/>
        <v>-</v>
      </c>
      <c r="DJ46" s="54" t="str">
        <f t="shared" si="51"/>
        <v>-</v>
      </c>
      <c r="DK46" s="54" t="str">
        <f t="shared" si="52"/>
        <v>-</v>
      </c>
      <c r="DL46" s="54" t="str">
        <f t="shared" si="53"/>
        <v>-</v>
      </c>
      <c r="DM46" s="54" t="str">
        <f t="shared" si="54"/>
        <v>-</v>
      </c>
      <c r="DN46" s="54" t="str">
        <f t="shared" si="55"/>
        <v>-</v>
      </c>
      <c r="DO46" s="54" t="str">
        <f t="shared" si="56"/>
        <v>-</v>
      </c>
      <c r="DP46" s="54" t="str">
        <f t="shared" si="57"/>
        <v>-</v>
      </c>
      <c r="DQ46" s="54" t="str">
        <f t="shared" si="58"/>
        <v>-</v>
      </c>
      <c r="DR46" s="54" t="str">
        <f t="shared" si="59"/>
        <v>-</v>
      </c>
      <c r="DT46" s="112">
        <f t="shared" si="60"/>
        <v>0</v>
      </c>
      <c r="DU46" s="114">
        <f>IFERROR(SUMIFS('01. KE30'!$X:$X,'01. KE30'!$C:$C,'06. BC BH THEO CUSTOMER-USD'!$D46,'01. KE30'!$F:$F,'06. BC BH THEO CUSTOMER-USD'!$H46,'01. KE30'!$A:$A,'06. BC BH THEO CUSTOMER-USD'!DU$4)-SUMIFS('01. KE30'!$AA:$AA,'01. KE30'!$C:$C,'06. BC BH THEO CUSTOMER-USD'!$D46,'01. KE30'!$F:$F,'06. BC BH THEO CUSTOMER-USD'!$H46,'01. KE30'!$A:$A,'06. BC BH THEO CUSTOMER-USD'!DU$4),"-")</f>
        <v>0</v>
      </c>
      <c r="DV46" s="114">
        <f>IFERROR(SUMIFS('01. KE30'!$X:$X,'01. KE30'!$C:$C,'06. BC BH THEO CUSTOMER-USD'!$D46,'01. KE30'!$F:$F,'06. BC BH THEO CUSTOMER-USD'!$H46,'01. KE30'!$A:$A,'06. BC BH THEO CUSTOMER-USD'!DV$4)-SUMIFS('01. KE30'!$AA:$AA,'01. KE30'!$C:$C,'06. BC BH THEO CUSTOMER-USD'!$D46,'01. KE30'!$F:$F,'06. BC BH THEO CUSTOMER-USD'!$H46,'01. KE30'!$A:$A,'06. BC BH THEO CUSTOMER-USD'!DV$4),"-")</f>
        <v>0</v>
      </c>
      <c r="DW46" s="114">
        <f>IFERROR(SUMIFS('01. KE30'!$X:$X,'01. KE30'!$C:$C,'06. BC BH THEO CUSTOMER-USD'!$D46,'01. KE30'!$F:$F,'06. BC BH THEO CUSTOMER-USD'!$H46,'01. KE30'!$A:$A,'06. BC BH THEO CUSTOMER-USD'!DW$4)-SUMIFS('01. KE30'!$AA:$AA,'01. KE30'!$C:$C,'06. BC BH THEO CUSTOMER-USD'!$D46,'01. KE30'!$F:$F,'06. BC BH THEO CUSTOMER-USD'!$H46,'01. KE30'!$A:$A,'06. BC BH THEO CUSTOMER-USD'!DW$4),"-")</f>
        <v>0</v>
      </c>
      <c r="DX46" s="114">
        <f>IFERROR(SUMIFS('01. KE30'!$X:$X,'01. KE30'!$C:$C,'06. BC BH THEO CUSTOMER-USD'!$D46,'01. KE30'!$F:$F,'06. BC BH THEO CUSTOMER-USD'!$H46,'01. KE30'!$A:$A,'06. BC BH THEO CUSTOMER-USD'!DX$4)-SUMIFS('01. KE30'!$AA:$AA,'01. KE30'!$C:$C,'06. BC BH THEO CUSTOMER-USD'!$D46,'01. KE30'!$F:$F,'06. BC BH THEO CUSTOMER-USD'!$H46,'01. KE30'!$A:$A,'06. BC BH THEO CUSTOMER-USD'!DX$4),"-")</f>
        <v>0</v>
      </c>
      <c r="DY46" s="114">
        <f>IFERROR(SUMIFS('01. KE30'!$X:$X,'01. KE30'!$C:$C,'06. BC BH THEO CUSTOMER-USD'!$D46,'01. KE30'!$F:$F,'06. BC BH THEO CUSTOMER-USD'!$H46,'01. KE30'!$A:$A,'06. BC BH THEO CUSTOMER-USD'!DY$4)-SUMIFS('01. KE30'!$AA:$AA,'01. KE30'!$C:$C,'06. BC BH THEO CUSTOMER-USD'!$D46,'01. KE30'!$F:$F,'06. BC BH THEO CUSTOMER-USD'!$H46,'01. KE30'!$A:$A,'06. BC BH THEO CUSTOMER-USD'!DY$4),"-")</f>
        <v>0</v>
      </c>
      <c r="DZ46" s="114">
        <f>IFERROR(SUMIFS('01. KE30'!$X:$X,'01. KE30'!$C:$C,'06. BC BH THEO CUSTOMER-USD'!$D46,'01. KE30'!$F:$F,'06. BC BH THEO CUSTOMER-USD'!$H46,'01. KE30'!$A:$A,'06. BC BH THEO CUSTOMER-USD'!DZ$4)-SUMIFS('01. KE30'!$AA:$AA,'01. KE30'!$C:$C,'06. BC BH THEO CUSTOMER-USD'!$D46,'01. KE30'!$F:$F,'06. BC BH THEO CUSTOMER-USD'!$H46,'01. KE30'!$A:$A,'06. BC BH THEO CUSTOMER-USD'!DZ$4),"-")</f>
        <v>0</v>
      </c>
      <c r="EA46" s="114">
        <f>IFERROR(SUMIFS('01. KE30'!$X:$X,'01. KE30'!$C:$C,'06. BC BH THEO CUSTOMER-USD'!$D46,'01. KE30'!$F:$F,'06. BC BH THEO CUSTOMER-USD'!$H46,'01. KE30'!$A:$A,'06. BC BH THEO CUSTOMER-USD'!EA$4)-SUMIFS('01. KE30'!$AA:$AA,'01. KE30'!$C:$C,'06. BC BH THEO CUSTOMER-USD'!$D46,'01. KE30'!$F:$F,'06. BC BH THEO CUSTOMER-USD'!$H46,'01. KE30'!$A:$A,'06. BC BH THEO CUSTOMER-USD'!EA$4),"-")</f>
        <v>0</v>
      </c>
      <c r="EB46" s="114">
        <f>IFERROR(SUMIFS('01. KE30'!$X:$X,'01. KE30'!$C:$C,'06. BC BH THEO CUSTOMER-USD'!$D46,'01. KE30'!$F:$F,'06. BC BH THEO CUSTOMER-USD'!$H46,'01. KE30'!$A:$A,'06. BC BH THEO CUSTOMER-USD'!EB$4)-SUMIFS('01. KE30'!$AA:$AA,'01. KE30'!$C:$C,'06. BC BH THEO CUSTOMER-USD'!$D46,'01. KE30'!$F:$F,'06. BC BH THEO CUSTOMER-USD'!$H46,'01. KE30'!$A:$A,'06. BC BH THEO CUSTOMER-USD'!EB$4),"-")</f>
        <v>0</v>
      </c>
      <c r="EC46" s="114">
        <f>IFERROR(SUMIFS('01. KE30'!$X:$X,'01. KE30'!$C:$C,'06. BC BH THEO CUSTOMER-USD'!$D46,'01. KE30'!$F:$F,'06. BC BH THEO CUSTOMER-USD'!$H46,'01. KE30'!$A:$A,'06. BC BH THEO CUSTOMER-USD'!EC$4)-SUMIFS('01. KE30'!$AA:$AA,'01. KE30'!$C:$C,'06. BC BH THEO CUSTOMER-USD'!$D46,'01. KE30'!$F:$F,'06. BC BH THEO CUSTOMER-USD'!$H46,'01. KE30'!$A:$A,'06. BC BH THEO CUSTOMER-USD'!EC$4),"-")</f>
        <v>0</v>
      </c>
      <c r="ED46" s="114">
        <f>IFERROR(SUMIFS('01. KE30'!$X:$X,'01. KE30'!$C:$C,'06. BC BH THEO CUSTOMER-USD'!$D46,'01. KE30'!$F:$F,'06. BC BH THEO CUSTOMER-USD'!$H46,'01. KE30'!$A:$A,'06. BC BH THEO CUSTOMER-USD'!ED$4)-SUMIFS('01. KE30'!$AA:$AA,'01. KE30'!$C:$C,'06. BC BH THEO CUSTOMER-USD'!$D46,'01. KE30'!$F:$F,'06. BC BH THEO CUSTOMER-USD'!$H46,'01. KE30'!$A:$A,'06. BC BH THEO CUSTOMER-USD'!ED$4),"-")</f>
        <v>0</v>
      </c>
      <c r="EE46" s="114">
        <f>IFERROR(SUMIFS('01. KE30'!$X:$X,'01. KE30'!$C:$C,'06. BC BH THEO CUSTOMER-USD'!$D46,'01. KE30'!$F:$F,'06. BC BH THEO CUSTOMER-USD'!$H46,'01. KE30'!$A:$A,'06. BC BH THEO CUSTOMER-USD'!EE$4)-SUMIFS('01. KE30'!$AA:$AA,'01. KE30'!$C:$C,'06. BC BH THEO CUSTOMER-USD'!$D46,'01. KE30'!$F:$F,'06. BC BH THEO CUSTOMER-USD'!$H46,'01. KE30'!$A:$A,'06. BC BH THEO CUSTOMER-USD'!EE$4),"-")</f>
        <v>0</v>
      </c>
      <c r="EF46" s="114">
        <f>IFERROR(SUMIFS('01. KE30'!$X:$X,'01. KE30'!$C:$C,'06. BC BH THEO CUSTOMER-USD'!$D46,'01. KE30'!$F:$F,'06. BC BH THEO CUSTOMER-USD'!$H46,'01. KE30'!$A:$A,'06. BC BH THEO CUSTOMER-USD'!EF$4)-SUMIFS('01. KE30'!$AA:$AA,'01. KE30'!$C:$C,'06. BC BH THEO CUSTOMER-USD'!$D46,'01. KE30'!$F:$F,'06. BC BH THEO CUSTOMER-USD'!$H46,'01. KE30'!$A:$A,'06. BC BH THEO CUSTOMER-USD'!EF$4),"-")</f>
        <v>0</v>
      </c>
      <c r="EH46" s="571" t="str">
        <f t="shared" si="29"/>
        <v>-</v>
      </c>
      <c r="EI46" s="572" t="str">
        <f t="shared" si="30"/>
        <v>-</v>
      </c>
      <c r="EJ46" s="572" t="str">
        <f t="shared" si="31"/>
        <v>-</v>
      </c>
      <c r="EK46" s="572" t="str">
        <f t="shared" si="32"/>
        <v>-</v>
      </c>
      <c r="EL46" s="572" t="str">
        <f t="shared" si="33"/>
        <v>-</v>
      </c>
      <c r="EM46" s="572" t="str">
        <f t="shared" si="34"/>
        <v>-</v>
      </c>
      <c r="EN46" s="572" t="str">
        <f t="shared" si="35"/>
        <v>-</v>
      </c>
      <c r="EO46" s="572" t="str">
        <f t="shared" si="36"/>
        <v>-</v>
      </c>
      <c r="EP46" s="572" t="str">
        <f t="shared" si="37"/>
        <v>-</v>
      </c>
      <c r="EQ46" s="572" t="str">
        <f t="shared" si="38"/>
        <v>-</v>
      </c>
      <c r="ER46" s="572" t="str">
        <f t="shared" si="39"/>
        <v>-</v>
      </c>
      <c r="ES46" s="572" t="str">
        <f t="shared" si="40"/>
        <v>-</v>
      </c>
      <c r="ET46" s="572" t="str">
        <f t="shared" si="41"/>
        <v>-</v>
      </c>
    </row>
    <row r="47" spans="1:150" ht="15.5" hidden="1" outlineLevel="1" x14ac:dyDescent="0.35">
      <c r="A47" s="27">
        <f t="shared" si="63"/>
        <v>38</v>
      </c>
      <c r="B47" s="27" t="s">
        <v>283</v>
      </c>
      <c r="C47" s="442" t="s">
        <v>489</v>
      </c>
      <c r="D47" s="9" t="s">
        <v>124</v>
      </c>
      <c r="E47" s="12" t="s">
        <v>123</v>
      </c>
      <c r="F47" s="12" t="s">
        <v>245</v>
      </c>
      <c r="G47" s="12" t="str">
        <f>_xlfn.XLOOKUP(F47,'Quy đổi'!$G$5:$G$32,'Quy đổi'!$H$5:$H$32,0)</f>
        <v>Nội địa</v>
      </c>
      <c r="H47" s="77" t="s">
        <v>122</v>
      </c>
      <c r="I47" s="7" t="s">
        <v>121</v>
      </c>
      <c r="J47" s="13" t="s">
        <v>22</v>
      </c>
      <c r="K47" s="11"/>
      <c r="L47" s="92" t="str">
        <f t="shared" si="42"/>
        <v>-</v>
      </c>
      <c r="M47" s="106" t="str">
        <f>IFERROR(SUMIFS('01. KE30'!$K:$K,'01. KE30'!$C:$C,'06. BC BH THEO CUSTOMER-USD'!$D47,'01. KE30'!$F:$F,'06. BC BH THEO CUSTOMER-USD'!$H47,'01. KE30'!$A:$A,'06. BC BH THEO CUSTOMER-USD'!M$4)/'06. BC BH THEO CUSTOMER-USD'!CS47/'02. Tỷ giá'!B$5,"-")</f>
        <v>-</v>
      </c>
      <c r="N47" s="106" t="str">
        <f>IFERROR(SUMIFS('01. KE30'!$K:$K,'01. KE30'!$C:$C,'06. BC BH THEO CUSTOMER-USD'!$D47,'01. KE30'!$F:$F,'06. BC BH THEO CUSTOMER-USD'!$H47,'01. KE30'!$A:$A,'06. BC BH THEO CUSTOMER-USD'!N$4)/'06. BC BH THEO CUSTOMER-USD'!CT47/'02. Tỷ giá'!C$5,"-")</f>
        <v>-</v>
      </c>
      <c r="O47" s="106" t="str">
        <f>IFERROR(SUMIFS('01. KE30'!$K:$K,'01. KE30'!$C:$C,'06. BC BH THEO CUSTOMER-USD'!$D47,'01. KE30'!$F:$F,'06. BC BH THEO CUSTOMER-USD'!$H47,'01. KE30'!$A:$A,'06. BC BH THEO CUSTOMER-USD'!O$4)/'06. BC BH THEO CUSTOMER-USD'!CU47/'02. Tỷ giá'!D$5,"-")</f>
        <v>-</v>
      </c>
      <c r="P47" s="106" t="str">
        <f>IFERROR(SUMIFS('01. KE30'!$K:$K,'01. KE30'!$C:$C,'06. BC BH THEO CUSTOMER-USD'!$D47,'01. KE30'!$F:$F,'06. BC BH THEO CUSTOMER-USD'!$H47,'01. KE30'!$A:$A,'06. BC BH THEO CUSTOMER-USD'!P$4)/'06. BC BH THEO CUSTOMER-USD'!CV47/'02. Tỷ giá'!E$5,"-")</f>
        <v>-</v>
      </c>
      <c r="Q47" s="106" t="str">
        <f>IFERROR(SUMIFS('01. KE30'!$K:$K,'01. KE30'!$C:$C,'06. BC BH THEO CUSTOMER-USD'!$D47,'01. KE30'!$F:$F,'06. BC BH THEO CUSTOMER-USD'!$H47,'01. KE30'!$A:$A,'06. BC BH THEO CUSTOMER-USD'!Q$4)/'06. BC BH THEO CUSTOMER-USD'!CW47/'02. Tỷ giá'!F$5,"-")</f>
        <v>-</v>
      </c>
      <c r="R47" s="106" t="str">
        <f>IFERROR(SUMIFS('01. KE30'!$K:$K,'01. KE30'!$C:$C,'06. BC BH THEO CUSTOMER-USD'!$D47,'01. KE30'!$F:$F,'06. BC BH THEO CUSTOMER-USD'!$H47,'01. KE30'!$A:$A,'06. BC BH THEO CUSTOMER-USD'!R$4)/'06. BC BH THEO CUSTOMER-USD'!CX47/'02. Tỷ giá'!G$5,"-")</f>
        <v>-</v>
      </c>
      <c r="S47" s="106" t="str">
        <f>IFERROR(SUMIFS('01. KE30'!$K:$K,'01. KE30'!$C:$C,'06. BC BH THEO CUSTOMER-USD'!$D47,'01. KE30'!$F:$F,'06. BC BH THEO CUSTOMER-USD'!$H47,'01. KE30'!$A:$A,'06. BC BH THEO CUSTOMER-USD'!S$4)/'06. BC BH THEO CUSTOMER-USD'!CY47/'02. Tỷ giá'!H$5,"-")</f>
        <v>-</v>
      </c>
      <c r="T47" s="106" t="str">
        <f>IFERROR(SUMIFS('01. KE30'!$K:$K,'01. KE30'!$C:$C,'06. BC BH THEO CUSTOMER-USD'!$D47,'01. KE30'!$F:$F,'06. BC BH THEO CUSTOMER-USD'!$H47,'01. KE30'!$A:$A,'06. BC BH THEO CUSTOMER-USD'!T$4)/'06. BC BH THEO CUSTOMER-USD'!CZ47/'02. Tỷ giá'!I$5,"-")</f>
        <v>-</v>
      </c>
      <c r="U47" s="106" t="str">
        <f>IFERROR(SUMIFS('01. KE30'!$K:$K,'01. KE30'!$C:$C,'06. BC BH THEO CUSTOMER-USD'!$D47,'01. KE30'!$F:$F,'06. BC BH THEO CUSTOMER-USD'!$H47,'01. KE30'!$A:$A,'06. BC BH THEO CUSTOMER-USD'!U$4)/'06. BC BH THEO CUSTOMER-USD'!DA47/'02. Tỷ giá'!J$5,"-")</f>
        <v>-</v>
      </c>
      <c r="V47" s="106" t="str">
        <f>IFERROR(SUMIFS('01. KE30'!$K:$K,'01. KE30'!$C:$C,'06. BC BH THEO CUSTOMER-USD'!$D47,'01. KE30'!$F:$F,'06. BC BH THEO CUSTOMER-USD'!$H47,'01. KE30'!$A:$A,'06. BC BH THEO CUSTOMER-USD'!V$4)/'06. BC BH THEO CUSTOMER-USD'!DB47/'02. Tỷ giá'!K$5,"-")</f>
        <v>-</v>
      </c>
      <c r="W47" s="106" t="str">
        <f>IFERROR(SUMIFS('01. KE30'!$K:$K,'01. KE30'!$C:$C,'06. BC BH THEO CUSTOMER-USD'!$D47,'01. KE30'!$F:$F,'06. BC BH THEO CUSTOMER-USD'!$H47,'01. KE30'!$A:$A,'06. BC BH THEO CUSTOMER-USD'!W$4)/'06. BC BH THEO CUSTOMER-USD'!DC47/'02. Tỷ giá'!L$5,"-")</f>
        <v>-</v>
      </c>
      <c r="X47" s="106" t="str">
        <f>IFERROR(SUMIFS('01. KE30'!$K:$K,'01. KE30'!$C:$C,'06. BC BH THEO CUSTOMER-USD'!$D47,'01. KE30'!$F:$F,'06. BC BH THEO CUSTOMER-USD'!$H47,'01. KE30'!$A:$A,'06. BC BH THEO CUSTOMER-USD'!X$4)/'06. BC BH THEO CUSTOMER-USD'!DD47/'02. Tỷ giá'!M$5,"-")</f>
        <v>-</v>
      </c>
      <c r="Z47" s="92" t="str">
        <f t="shared" si="43"/>
        <v>-</v>
      </c>
      <c r="AA47" s="147" t="str">
        <f>IFERROR(SUMIFS('01. KE30'!$O:$O,'01. KE30'!$C:$C,'06. BC BH THEO CUSTOMER-USD'!$D47,'01. KE30'!$F:$F,'06. BC BH THEO CUSTOMER-USD'!$H47,'01. KE30'!$A:$A,'06. BC BH THEO CUSTOMER-USD'!M$4)/'06. BC BH THEO CUSTOMER-USD'!CS47/'02. Tỷ giá'!B$5,"-")</f>
        <v>-</v>
      </c>
      <c r="AB47" s="147" t="str">
        <f>IFERROR(SUMIFS('01. KE30'!$O:$O,'01. KE30'!$C:$C,'06. BC BH THEO CUSTOMER-USD'!$D47,'01. KE30'!$F:$F,'06. BC BH THEO CUSTOMER-USD'!$H47,'01. KE30'!$A:$A,'06. BC BH THEO CUSTOMER-USD'!N$4)/'06. BC BH THEO CUSTOMER-USD'!CT47/'02. Tỷ giá'!C$5,"-")</f>
        <v>-</v>
      </c>
      <c r="AC47" s="147" t="str">
        <f>IFERROR(SUMIFS('01. KE30'!$O:$O,'01. KE30'!$C:$C,'06. BC BH THEO CUSTOMER-USD'!$D47,'01. KE30'!$F:$F,'06. BC BH THEO CUSTOMER-USD'!$H47,'01. KE30'!$A:$A,'06. BC BH THEO CUSTOMER-USD'!O$4)/'06. BC BH THEO CUSTOMER-USD'!CU47/'02. Tỷ giá'!D$5,"-")</f>
        <v>-</v>
      </c>
      <c r="AD47" s="147" t="str">
        <f>IFERROR(SUMIFS('01. KE30'!$O:$O,'01. KE30'!$C:$C,'06. BC BH THEO CUSTOMER-USD'!$D47,'01. KE30'!$F:$F,'06. BC BH THEO CUSTOMER-USD'!$H47,'01. KE30'!$A:$A,'06. BC BH THEO CUSTOMER-USD'!P$4)/'06. BC BH THEO CUSTOMER-USD'!CV47/'02. Tỷ giá'!E$5,"-")</f>
        <v>-</v>
      </c>
      <c r="AE47" s="147" t="str">
        <f>IFERROR(SUMIFS('01. KE30'!$O:$O,'01. KE30'!$C:$C,'06. BC BH THEO CUSTOMER-USD'!$D47,'01. KE30'!$F:$F,'06. BC BH THEO CUSTOMER-USD'!$H47,'01. KE30'!$A:$A,'06. BC BH THEO CUSTOMER-USD'!Q$4)/'06. BC BH THEO CUSTOMER-USD'!CW47/'02. Tỷ giá'!F$5,"-")</f>
        <v>-</v>
      </c>
      <c r="AF47" s="147" t="str">
        <f>IFERROR(SUMIFS('01. KE30'!$O:$O,'01. KE30'!$C:$C,'06. BC BH THEO CUSTOMER-USD'!$D47,'01. KE30'!$F:$F,'06. BC BH THEO CUSTOMER-USD'!$H47,'01. KE30'!$A:$A,'06. BC BH THEO CUSTOMER-USD'!R$4)/'06. BC BH THEO CUSTOMER-USD'!CX47/'02. Tỷ giá'!G$5,"-")</f>
        <v>-</v>
      </c>
      <c r="AG47" s="147" t="str">
        <f>IFERROR(SUMIFS('01. KE30'!$O:$O,'01. KE30'!$C:$C,'06. BC BH THEO CUSTOMER-USD'!$D47,'01. KE30'!$F:$F,'06. BC BH THEO CUSTOMER-USD'!$H47,'01. KE30'!$A:$A,'06. BC BH THEO CUSTOMER-USD'!S$4)/'06. BC BH THEO CUSTOMER-USD'!CY47/'02. Tỷ giá'!H$5,"-")</f>
        <v>-</v>
      </c>
      <c r="AH47" s="147" t="str">
        <f>IFERROR(SUMIFS('01. KE30'!$O:$O,'01. KE30'!$C:$C,'06. BC BH THEO CUSTOMER-USD'!$D47,'01. KE30'!$F:$F,'06. BC BH THEO CUSTOMER-USD'!$H47,'01. KE30'!$A:$A,'06. BC BH THEO CUSTOMER-USD'!T$4)/'06. BC BH THEO CUSTOMER-USD'!CZ47/'02. Tỷ giá'!I$5,"-")</f>
        <v>-</v>
      </c>
      <c r="AI47" s="147" t="str">
        <f>IFERROR(SUMIFS('01. KE30'!$O:$O,'01. KE30'!$C:$C,'06. BC BH THEO CUSTOMER-USD'!$D47,'01. KE30'!$F:$F,'06. BC BH THEO CUSTOMER-USD'!$H47,'01. KE30'!$A:$A,'06. BC BH THEO CUSTOMER-USD'!U$4)/'06. BC BH THEO CUSTOMER-USD'!DA47/'02. Tỷ giá'!J$5,"-")</f>
        <v>-</v>
      </c>
      <c r="AJ47" s="147" t="str">
        <f>IFERROR(SUMIFS('01. KE30'!$O:$O,'01. KE30'!$C:$C,'06. BC BH THEO CUSTOMER-USD'!$D47,'01. KE30'!$F:$F,'06. BC BH THEO CUSTOMER-USD'!$H47,'01. KE30'!$A:$A,'06. BC BH THEO CUSTOMER-USD'!V$4)/'06. BC BH THEO CUSTOMER-USD'!DB47/'02. Tỷ giá'!K$5,"-")</f>
        <v>-</v>
      </c>
      <c r="AK47" s="147" t="str">
        <f>IFERROR(SUMIFS('01. KE30'!$O:$O,'01. KE30'!$C:$C,'06. BC BH THEO CUSTOMER-USD'!$D47,'01. KE30'!$F:$F,'06. BC BH THEO CUSTOMER-USD'!$H47,'01. KE30'!$A:$A,'06. BC BH THEO CUSTOMER-USD'!W$4)/'06. BC BH THEO CUSTOMER-USD'!DC47/'02. Tỷ giá'!L$5,"-")</f>
        <v>-</v>
      </c>
      <c r="AL47" s="147" t="str">
        <f>IFERROR(SUMIFS('01. KE30'!$O:$O,'01. KE30'!$C:$C,'06. BC BH THEO CUSTOMER-USD'!$D47,'01. KE30'!$F:$F,'06. BC BH THEO CUSTOMER-USD'!$H47,'01. KE30'!$A:$A,'06. BC BH THEO CUSTOMER-USD'!X$4)/'06. BC BH THEO CUSTOMER-USD'!DD47/'02. Tỷ giá'!M$5,"-")</f>
        <v>-</v>
      </c>
      <c r="AN47" s="92">
        <f t="shared" si="44"/>
        <v>1236.6666666666667</v>
      </c>
      <c r="AO47" s="25">
        <v>1230</v>
      </c>
      <c r="AP47" s="25">
        <v>1230</v>
      </c>
      <c r="AQ47" s="25">
        <v>1230</v>
      </c>
      <c r="AR47" s="25">
        <f t="shared" ref="AR47:AR48" si="268">AQ47+20</f>
        <v>1250</v>
      </c>
      <c r="AS47" s="25">
        <v>1250</v>
      </c>
      <c r="AT47" s="25">
        <v>1250</v>
      </c>
      <c r="AU47" s="25">
        <v>1250</v>
      </c>
      <c r="AV47" s="4">
        <f t="shared" si="205"/>
        <v>1220</v>
      </c>
      <c r="AW47" s="25">
        <v>1220</v>
      </c>
      <c r="AX47" s="25"/>
      <c r="AY47" s="4"/>
      <c r="AZ47" s="4"/>
      <c r="BB47" s="95" t="str">
        <f t="shared" si="45"/>
        <v>-</v>
      </c>
      <c r="BC47" s="95" t="str">
        <f t="shared" si="206"/>
        <v>-</v>
      </c>
      <c r="BD47" s="95" t="str">
        <f t="shared" si="201"/>
        <v>-</v>
      </c>
      <c r="BE47" s="95" t="str">
        <f t="shared" si="201"/>
        <v>-</v>
      </c>
      <c r="BF47" s="95" t="str">
        <f t="shared" si="201"/>
        <v>-</v>
      </c>
      <c r="BG47" s="95" t="str">
        <f t="shared" si="201"/>
        <v>-</v>
      </c>
      <c r="BH47" s="95" t="str">
        <f t="shared" si="201"/>
        <v>-</v>
      </c>
      <c r="BI47" s="95" t="str">
        <f t="shared" si="201"/>
        <v>-</v>
      </c>
      <c r="BJ47" s="95" t="str">
        <f t="shared" si="201"/>
        <v>-</v>
      </c>
      <c r="BK47" s="95" t="str">
        <f t="shared" si="201"/>
        <v>-</v>
      </c>
      <c r="BL47" s="95" t="str">
        <f t="shared" si="201"/>
        <v>-</v>
      </c>
      <c r="BM47" s="95" t="str">
        <f t="shared" si="201"/>
        <v>-</v>
      </c>
      <c r="BN47" s="95" t="str">
        <f t="shared" si="201"/>
        <v>-</v>
      </c>
      <c r="BP47" s="143" t="str">
        <f t="shared" si="47"/>
        <v>-</v>
      </c>
      <c r="BQ47" s="143" t="str">
        <f t="shared" si="202"/>
        <v>-</v>
      </c>
      <c r="BR47" s="143" t="str">
        <f t="shared" si="9"/>
        <v>-</v>
      </c>
      <c r="BS47" s="143" t="str">
        <f t="shared" si="10"/>
        <v>-</v>
      </c>
      <c r="BT47" s="143" t="str">
        <f t="shared" si="11"/>
        <v>-</v>
      </c>
      <c r="BU47" s="143" t="str">
        <f t="shared" si="12"/>
        <v>-</v>
      </c>
      <c r="BV47" s="143" t="str">
        <f t="shared" si="13"/>
        <v>-</v>
      </c>
      <c r="BW47" s="143" t="str">
        <f t="shared" si="14"/>
        <v>-</v>
      </c>
      <c r="BX47" s="143" t="str">
        <f t="shared" si="15"/>
        <v>-</v>
      </c>
      <c r="BY47" s="143" t="str">
        <f t="shared" si="16"/>
        <v>-</v>
      </c>
      <c r="BZ47" s="143" t="str">
        <f t="shared" si="17"/>
        <v>-</v>
      </c>
      <c r="CA47" s="143" t="str">
        <f t="shared" si="18"/>
        <v>-</v>
      </c>
      <c r="CB47" s="143" t="str">
        <f t="shared" si="19"/>
        <v>-</v>
      </c>
      <c r="CD47" s="112" t="str">
        <f t="shared" si="25"/>
        <v>-</v>
      </c>
      <c r="CE47" s="95" t="str">
        <f>IFERROR(SUMIFS('01. KE30'!$R:$R,'01. KE30'!$C:$C,'06. BC BH THEO CUSTOMER-USD'!$D47,'01. KE30'!$F:$F,'06. BC BH THEO CUSTOMER-USD'!$H47,'01. KE30'!$A:$A,'06. BC BH THEO CUSTOMER-USD'!CE$4)/CS47/'02. Tỷ giá'!B$5," -")</f>
        <v xml:space="preserve"> -</v>
      </c>
      <c r="CF47" s="95" t="str">
        <f>IFERROR(SUMIFS('01. KE30'!$R:$R,'01. KE30'!$C:$C,'06. BC BH THEO CUSTOMER-USD'!$D47,'01. KE30'!$F:$F,'06. BC BH THEO CUSTOMER-USD'!$H47,'01. KE30'!$A:$A,'06. BC BH THEO CUSTOMER-USD'!CF$4)/CT47/'02. Tỷ giá'!C$5," -")</f>
        <v xml:space="preserve"> -</v>
      </c>
      <c r="CG47" s="95" t="str">
        <f>IFERROR(SUMIFS('01. KE30'!$R:$R,'01. KE30'!$C:$C,'06. BC BH THEO CUSTOMER-USD'!$D47,'01. KE30'!$F:$F,'06. BC BH THEO CUSTOMER-USD'!$H47,'01. KE30'!$A:$A,'06. BC BH THEO CUSTOMER-USD'!CG$4)/CU47/'02. Tỷ giá'!D$5," -")</f>
        <v xml:space="preserve"> -</v>
      </c>
      <c r="CH47" s="95" t="str">
        <f>IFERROR(SUMIFS('01. KE30'!$R:$R,'01. KE30'!$C:$C,'06. BC BH THEO CUSTOMER-USD'!$D47,'01. KE30'!$F:$F,'06. BC BH THEO CUSTOMER-USD'!$H47,'01. KE30'!$A:$A,'06. BC BH THEO CUSTOMER-USD'!CH$4)/CV47/'02. Tỷ giá'!E$5," -")</f>
        <v xml:space="preserve"> -</v>
      </c>
      <c r="CI47" s="95" t="str">
        <f>IFERROR(SUMIFS('01. KE30'!$R:$R,'01. KE30'!$C:$C,'06. BC BH THEO CUSTOMER-USD'!$D47,'01. KE30'!$F:$F,'06. BC BH THEO CUSTOMER-USD'!$H47,'01. KE30'!$A:$A,'06. BC BH THEO CUSTOMER-USD'!CI$4)/CW47/'02. Tỷ giá'!F$5," -")</f>
        <v xml:space="preserve"> -</v>
      </c>
      <c r="CJ47" s="95" t="str">
        <f>IFERROR(SUMIFS('01. KE30'!$R:$R,'01. KE30'!$C:$C,'06. BC BH THEO CUSTOMER-USD'!$D47,'01. KE30'!$F:$F,'06. BC BH THEO CUSTOMER-USD'!$H47,'01. KE30'!$A:$A,'06. BC BH THEO CUSTOMER-USD'!CJ$4)/CX47/'02. Tỷ giá'!G$5," -")</f>
        <v xml:space="preserve"> -</v>
      </c>
      <c r="CK47" s="95" t="str">
        <f>IFERROR(SUMIFS('01. KE30'!$R:$R,'01. KE30'!$C:$C,'06. BC BH THEO CUSTOMER-USD'!$D47,'01. KE30'!$F:$F,'06. BC BH THEO CUSTOMER-USD'!$H47,'01. KE30'!$A:$A,'06. BC BH THEO CUSTOMER-USD'!CK$4)/CY47/'02. Tỷ giá'!H$5," -")</f>
        <v xml:space="preserve"> -</v>
      </c>
      <c r="CL47" s="95" t="str">
        <f>IFERROR(SUMIFS('01. KE30'!$R:$R,'01. KE30'!$C:$C,'06. BC BH THEO CUSTOMER-USD'!$D47,'01. KE30'!$F:$F,'06. BC BH THEO CUSTOMER-USD'!$H47,'01. KE30'!$A:$A,'06. BC BH THEO CUSTOMER-USD'!CL$4)/CZ47/'02. Tỷ giá'!I$5," -")</f>
        <v xml:space="preserve"> -</v>
      </c>
      <c r="CM47" s="95" t="str">
        <f>IFERROR(SUMIFS('01. KE30'!$R:$R,'01. KE30'!$C:$C,'06. BC BH THEO CUSTOMER-USD'!$D47,'01. KE30'!$F:$F,'06. BC BH THEO CUSTOMER-USD'!$H47,'01. KE30'!$A:$A,'06. BC BH THEO CUSTOMER-USD'!CM$4)/DA47/'02. Tỷ giá'!J$5," -")</f>
        <v xml:space="preserve"> -</v>
      </c>
      <c r="CN47" s="95" t="str">
        <f>IFERROR(SUMIFS('01. KE30'!$R:$R,'01. KE30'!$C:$C,'06. BC BH THEO CUSTOMER-USD'!$D47,'01. KE30'!$F:$F,'06. BC BH THEO CUSTOMER-USD'!$H47,'01. KE30'!$A:$A,'06. BC BH THEO CUSTOMER-USD'!CN$4)/DB47/'02. Tỷ giá'!K$5," -")</f>
        <v xml:space="preserve"> -</v>
      </c>
      <c r="CO47" s="95" t="str">
        <f>IFERROR(SUMIFS('01. KE30'!$R:$R,'01. KE30'!$C:$C,'06. BC BH THEO CUSTOMER-USD'!$D47,'01. KE30'!$F:$F,'06. BC BH THEO CUSTOMER-USD'!$H47,'01. KE30'!$A:$A,'06. BC BH THEO CUSTOMER-USD'!CO$4)/DC47/'02. Tỷ giá'!L$5," -")</f>
        <v xml:space="preserve"> -</v>
      </c>
      <c r="CP47" s="95" t="str">
        <f>IFERROR(SUMIFS('01. KE30'!$R:$R,'01. KE30'!$C:$C,'06. BC BH THEO CUSTOMER-USD'!$D47,'01. KE30'!$F:$F,'06. BC BH THEO CUSTOMER-USD'!$H47,'01. KE30'!$A:$A,'06. BC BH THEO CUSTOMER-USD'!CP$4)/DD47/'02. Tỷ giá'!M$5," -")</f>
        <v xml:space="preserve"> -</v>
      </c>
      <c r="CR47" s="112">
        <f t="shared" si="266"/>
        <v>0</v>
      </c>
      <c r="CS47" s="114">
        <f>SUMIFS('01. KE30'!$I:$I,'01. KE30'!$C:$C,'06. BC BH THEO CUSTOMER-USD'!$D47,'01. KE30'!$F:$F,'06. BC BH THEO CUSTOMER-USD'!$H47,'01. KE30'!$A:$A,'06. BC BH THEO CUSTOMER-USD'!CS$4)/1000</f>
        <v>0</v>
      </c>
      <c r="CT47" s="114">
        <f>SUMIFS('01. KE30'!$I:$I,'01. KE30'!$C:$C,'06. BC BH THEO CUSTOMER-USD'!$D47,'01. KE30'!$F:$F,'06. BC BH THEO CUSTOMER-USD'!$H47,'01. KE30'!$A:$A,'06. BC BH THEO CUSTOMER-USD'!CT$4)/1000</f>
        <v>0</v>
      </c>
      <c r="CU47" s="114">
        <f>SUMIFS('01. KE30'!$I:$I,'01. KE30'!$C:$C,'06. BC BH THEO CUSTOMER-USD'!$D47,'01. KE30'!$F:$F,'06. BC BH THEO CUSTOMER-USD'!$H47,'01. KE30'!$A:$A,'06. BC BH THEO CUSTOMER-USD'!CU$4)/1000</f>
        <v>0</v>
      </c>
      <c r="CV47" s="114">
        <f>SUMIFS('01. KE30'!$I:$I,'01. KE30'!$C:$C,'06. BC BH THEO CUSTOMER-USD'!$D47,'01. KE30'!$F:$F,'06. BC BH THEO CUSTOMER-USD'!$H47,'01. KE30'!$A:$A,'06. BC BH THEO CUSTOMER-USD'!CV$4)/1000</f>
        <v>0</v>
      </c>
      <c r="CW47" s="114">
        <f>SUMIFS('01. KE30'!$I:$I,'01. KE30'!$C:$C,'06. BC BH THEO CUSTOMER-USD'!$D47,'01. KE30'!$F:$F,'06. BC BH THEO CUSTOMER-USD'!$H47,'01. KE30'!$A:$A,'06. BC BH THEO CUSTOMER-USD'!CW$4)/1000</f>
        <v>0</v>
      </c>
      <c r="CX47" s="114">
        <f>SUMIFS('01. KE30'!$I:$I,'01. KE30'!$C:$C,'06. BC BH THEO CUSTOMER-USD'!$D47,'01. KE30'!$F:$F,'06. BC BH THEO CUSTOMER-USD'!$H47,'01. KE30'!$A:$A,'06. BC BH THEO CUSTOMER-USD'!CX$4)/1000</f>
        <v>0</v>
      </c>
      <c r="CY47" s="114">
        <f>SUMIFS('01. KE30'!$I:$I,'01. KE30'!$C:$C,'06. BC BH THEO CUSTOMER-USD'!$D47,'01. KE30'!$F:$F,'06. BC BH THEO CUSTOMER-USD'!$H47,'01. KE30'!$A:$A,'06. BC BH THEO CUSTOMER-USD'!CY$4)/1000</f>
        <v>0</v>
      </c>
      <c r="CZ47" s="114">
        <f>SUMIFS('01. KE30'!$I:$I,'01. KE30'!$C:$C,'06. BC BH THEO CUSTOMER-USD'!$D47,'01. KE30'!$F:$F,'06. BC BH THEO CUSTOMER-USD'!$H47,'01. KE30'!$A:$A,'06. BC BH THEO CUSTOMER-USD'!CZ$4)/1000</f>
        <v>0</v>
      </c>
      <c r="DA47" s="114">
        <f>SUMIFS('01. KE30'!$I:$I,'01. KE30'!$C:$C,'06. BC BH THEO CUSTOMER-USD'!$D47,'01. KE30'!$F:$F,'06. BC BH THEO CUSTOMER-USD'!$H47,'01. KE30'!$A:$A,'06. BC BH THEO CUSTOMER-USD'!DA$4)/1000</f>
        <v>0</v>
      </c>
      <c r="DB47" s="114">
        <f>SUMIFS('01. KE30'!$I:$I,'01. KE30'!$C:$C,'06. BC BH THEO CUSTOMER-USD'!$D47,'01. KE30'!$F:$F,'06. BC BH THEO CUSTOMER-USD'!$H47,'01. KE30'!$A:$A,'06. BC BH THEO CUSTOMER-USD'!DB$4)/1000</f>
        <v>0</v>
      </c>
      <c r="DC47" s="114">
        <f>SUMIFS('01. KE30'!$I:$I,'01. KE30'!$C:$C,'06. BC BH THEO CUSTOMER-USD'!$D47,'01. KE30'!$F:$F,'06. BC BH THEO CUSTOMER-USD'!$H47,'01. KE30'!$A:$A,'06. BC BH THEO CUSTOMER-USD'!DC$4)/1000</f>
        <v>0</v>
      </c>
      <c r="DD47" s="114">
        <f>SUMIFS('01. KE30'!$I:$I,'01. KE30'!$C:$C,'06. BC BH THEO CUSTOMER-USD'!$D47,'01. KE30'!$F:$F,'06. BC BH THEO CUSTOMER-USD'!$H47,'01. KE30'!$A:$A,'06. BC BH THEO CUSTOMER-USD'!DD$4)/1000</f>
        <v>0</v>
      </c>
      <c r="DF47" s="121">
        <f t="shared" si="267"/>
        <v>0</v>
      </c>
      <c r="DG47" s="54" t="str">
        <f t="shared" si="48"/>
        <v>-</v>
      </c>
      <c r="DH47" s="54" t="str">
        <f t="shared" si="49"/>
        <v>-</v>
      </c>
      <c r="DI47" s="54" t="str">
        <f t="shared" si="50"/>
        <v>-</v>
      </c>
      <c r="DJ47" s="54" t="str">
        <f t="shared" si="51"/>
        <v>-</v>
      </c>
      <c r="DK47" s="54" t="str">
        <f t="shared" si="52"/>
        <v>-</v>
      </c>
      <c r="DL47" s="54" t="str">
        <f t="shared" si="53"/>
        <v>-</v>
      </c>
      <c r="DM47" s="54" t="str">
        <f t="shared" si="54"/>
        <v>-</v>
      </c>
      <c r="DN47" s="54" t="str">
        <f t="shared" si="55"/>
        <v>-</v>
      </c>
      <c r="DO47" s="54" t="str">
        <f t="shared" si="56"/>
        <v>-</v>
      </c>
      <c r="DP47" s="54" t="str">
        <f t="shared" si="57"/>
        <v>-</v>
      </c>
      <c r="DQ47" s="54" t="str">
        <f t="shared" si="58"/>
        <v>-</v>
      </c>
      <c r="DR47" s="54" t="str">
        <f t="shared" si="59"/>
        <v>-</v>
      </c>
      <c r="DT47" s="112">
        <f t="shared" si="60"/>
        <v>0</v>
      </c>
      <c r="DU47" s="114">
        <f>IFERROR(SUMIFS('01. KE30'!$X:$X,'01. KE30'!$C:$C,'06. BC BH THEO CUSTOMER-USD'!$D47,'01. KE30'!$F:$F,'06. BC BH THEO CUSTOMER-USD'!$H47,'01. KE30'!$A:$A,'06. BC BH THEO CUSTOMER-USD'!DU$4)-SUMIFS('01. KE30'!$AA:$AA,'01. KE30'!$C:$C,'06. BC BH THEO CUSTOMER-USD'!$D47,'01. KE30'!$F:$F,'06. BC BH THEO CUSTOMER-USD'!$H47,'01. KE30'!$A:$A,'06. BC BH THEO CUSTOMER-USD'!DU$4),"-")</f>
        <v>0</v>
      </c>
      <c r="DV47" s="114">
        <f>IFERROR(SUMIFS('01. KE30'!$X:$X,'01. KE30'!$C:$C,'06. BC BH THEO CUSTOMER-USD'!$D47,'01. KE30'!$F:$F,'06. BC BH THEO CUSTOMER-USD'!$H47,'01. KE30'!$A:$A,'06. BC BH THEO CUSTOMER-USD'!DV$4)-SUMIFS('01. KE30'!$AA:$AA,'01. KE30'!$C:$C,'06. BC BH THEO CUSTOMER-USD'!$D47,'01. KE30'!$F:$F,'06. BC BH THEO CUSTOMER-USD'!$H47,'01. KE30'!$A:$A,'06. BC BH THEO CUSTOMER-USD'!DV$4),"-")</f>
        <v>0</v>
      </c>
      <c r="DW47" s="114">
        <f>IFERROR(SUMIFS('01. KE30'!$X:$X,'01. KE30'!$C:$C,'06. BC BH THEO CUSTOMER-USD'!$D47,'01. KE30'!$F:$F,'06. BC BH THEO CUSTOMER-USD'!$H47,'01. KE30'!$A:$A,'06. BC BH THEO CUSTOMER-USD'!DW$4)-SUMIFS('01. KE30'!$AA:$AA,'01. KE30'!$C:$C,'06. BC BH THEO CUSTOMER-USD'!$D47,'01. KE30'!$F:$F,'06. BC BH THEO CUSTOMER-USD'!$H47,'01. KE30'!$A:$A,'06. BC BH THEO CUSTOMER-USD'!DW$4),"-")</f>
        <v>0</v>
      </c>
      <c r="DX47" s="114">
        <f>IFERROR(SUMIFS('01. KE30'!$X:$X,'01. KE30'!$C:$C,'06. BC BH THEO CUSTOMER-USD'!$D47,'01. KE30'!$F:$F,'06. BC BH THEO CUSTOMER-USD'!$H47,'01. KE30'!$A:$A,'06. BC BH THEO CUSTOMER-USD'!DX$4)-SUMIFS('01. KE30'!$AA:$AA,'01. KE30'!$C:$C,'06. BC BH THEO CUSTOMER-USD'!$D47,'01. KE30'!$F:$F,'06. BC BH THEO CUSTOMER-USD'!$H47,'01. KE30'!$A:$A,'06. BC BH THEO CUSTOMER-USD'!DX$4),"-")</f>
        <v>0</v>
      </c>
      <c r="DY47" s="114">
        <f>IFERROR(SUMIFS('01. KE30'!$X:$X,'01. KE30'!$C:$C,'06. BC BH THEO CUSTOMER-USD'!$D47,'01. KE30'!$F:$F,'06. BC BH THEO CUSTOMER-USD'!$H47,'01. KE30'!$A:$A,'06. BC BH THEO CUSTOMER-USD'!DY$4)-SUMIFS('01. KE30'!$AA:$AA,'01. KE30'!$C:$C,'06. BC BH THEO CUSTOMER-USD'!$D47,'01. KE30'!$F:$F,'06. BC BH THEO CUSTOMER-USD'!$H47,'01. KE30'!$A:$A,'06. BC BH THEO CUSTOMER-USD'!DY$4),"-")</f>
        <v>0</v>
      </c>
      <c r="DZ47" s="114">
        <f>IFERROR(SUMIFS('01. KE30'!$X:$X,'01. KE30'!$C:$C,'06. BC BH THEO CUSTOMER-USD'!$D47,'01. KE30'!$F:$F,'06. BC BH THEO CUSTOMER-USD'!$H47,'01. KE30'!$A:$A,'06. BC BH THEO CUSTOMER-USD'!DZ$4)-SUMIFS('01. KE30'!$AA:$AA,'01. KE30'!$C:$C,'06. BC BH THEO CUSTOMER-USD'!$D47,'01. KE30'!$F:$F,'06. BC BH THEO CUSTOMER-USD'!$H47,'01. KE30'!$A:$A,'06. BC BH THEO CUSTOMER-USD'!DZ$4),"-")</f>
        <v>0</v>
      </c>
      <c r="EA47" s="114">
        <f>IFERROR(SUMIFS('01. KE30'!$X:$X,'01. KE30'!$C:$C,'06. BC BH THEO CUSTOMER-USD'!$D47,'01. KE30'!$F:$F,'06. BC BH THEO CUSTOMER-USD'!$H47,'01. KE30'!$A:$A,'06. BC BH THEO CUSTOMER-USD'!EA$4)-SUMIFS('01. KE30'!$AA:$AA,'01. KE30'!$C:$C,'06. BC BH THEO CUSTOMER-USD'!$D47,'01. KE30'!$F:$F,'06. BC BH THEO CUSTOMER-USD'!$H47,'01. KE30'!$A:$A,'06. BC BH THEO CUSTOMER-USD'!EA$4),"-")</f>
        <v>0</v>
      </c>
      <c r="EB47" s="114">
        <f>IFERROR(SUMIFS('01. KE30'!$X:$X,'01. KE30'!$C:$C,'06. BC BH THEO CUSTOMER-USD'!$D47,'01. KE30'!$F:$F,'06. BC BH THEO CUSTOMER-USD'!$H47,'01. KE30'!$A:$A,'06. BC BH THEO CUSTOMER-USD'!EB$4)-SUMIFS('01. KE30'!$AA:$AA,'01. KE30'!$C:$C,'06. BC BH THEO CUSTOMER-USD'!$D47,'01. KE30'!$F:$F,'06. BC BH THEO CUSTOMER-USD'!$H47,'01. KE30'!$A:$A,'06. BC BH THEO CUSTOMER-USD'!EB$4),"-")</f>
        <v>0</v>
      </c>
      <c r="EC47" s="114">
        <f>IFERROR(SUMIFS('01. KE30'!$X:$X,'01. KE30'!$C:$C,'06. BC BH THEO CUSTOMER-USD'!$D47,'01. KE30'!$F:$F,'06. BC BH THEO CUSTOMER-USD'!$H47,'01. KE30'!$A:$A,'06. BC BH THEO CUSTOMER-USD'!EC$4)-SUMIFS('01. KE30'!$AA:$AA,'01. KE30'!$C:$C,'06. BC BH THEO CUSTOMER-USD'!$D47,'01. KE30'!$F:$F,'06. BC BH THEO CUSTOMER-USD'!$H47,'01. KE30'!$A:$A,'06. BC BH THEO CUSTOMER-USD'!EC$4),"-")</f>
        <v>0</v>
      </c>
      <c r="ED47" s="114">
        <f>IFERROR(SUMIFS('01. KE30'!$X:$X,'01. KE30'!$C:$C,'06. BC BH THEO CUSTOMER-USD'!$D47,'01. KE30'!$F:$F,'06. BC BH THEO CUSTOMER-USD'!$H47,'01. KE30'!$A:$A,'06. BC BH THEO CUSTOMER-USD'!ED$4)-SUMIFS('01. KE30'!$AA:$AA,'01. KE30'!$C:$C,'06. BC BH THEO CUSTOMER-USD'!$D47,'01. KE30'!$F:$F,'06. BC BH THEO CUSTOMER-USD'!$H47,'01. KE30'!$A:$A,'06. BC BH THEO CUSTOMER-USD'!ED$4),"-")</f>
        <v>0</v>
      </c>
      <c r="EE47" s="114">
        <f>IFERROR(SUMIFS('01. KE30'!$X:$X,'01. KE30'!$C:$C,'06. BC BH THEO CUSTOMER-USD'!$D47,'01. KE30'!$F:$F,'06. BC BH THEO CUSTOMER-USD'!$H47,'01. KE30'!$A:$A,'06. BC BH THEO CUSTOMER-USD'!EE$4)-SUMIFS('01. KE30'!$AA:$AA,'01. KE30'!$C:$C,'06. BC BH THEO CUSTOMER-USD'!$D47,'01. KE30'!$F:$F,'06. BC BH THEO CUSTOMER-USD'!$H47,'01. KE30'!$A:$A,'06. BC BH THEO CUSTOMER-USD'!EE$4),"-")</f>
        <v>0</v>
      </c>
      <c r="EF47" s="114">
        <f>IFERROR(SUMIFS('01. KE30'!$X:$X,'01. KE30'!$C:$C,'06. BC BH THEO CUSTOMER-USD'!$D47,'01. KE30'!$F:$F,'06. BC BH THEO CUSTOMER-USD'!$H47,'01. KE30'!$A:$A,'06. BC BH THEO CUSTOMER-USD'!EF$4)-SUMIFS('01. KE30'!$AA:$AA,'01. KE30'!$C:$C,'06. BC BH THEO CUSTOMER-USD'!$D47,'01. KE30'!$F:$F,'06. BC BH THEO CUSTOMER-USD'!$H47,'01. KE30'!$A:$A,'06. BC BH THEO CUSTOMER-USD'!EF$4),"-")</f>
        <v>0</v>
      </c>
      <c r="EH47" s="571" t="str">
        <f t="shared" si="29"/>
        <v>-</v>
      </c>
      <c r="EI47" s="572" t="str">
        <f t="shared" si="30"/>
        <v>-</v>
      </c>
      <c r="EJ47" s="572" t="str">
        <f t="shared" si="31"/>
        <v>-</v>
      </c>
      <c r="EK47" s="572" t="str">
        <f t="shared" si="32"/>
        <v>-</v>
      </c>
      <c r="EL47" s="572" t="str">
        <f t="shared" si="33"/>
        <v>-</v>
      </c>
      <c r="EM47" s="572" t="str">
        <f t="shared" si="34"/>
        <v>-</v>
      </c>
      <c r="EN47" s="572" t="str">
        <f t="shared" si="35"/>
        <v>-</v>
      </c>
      <c r="EO47" s="572" t="str">
        <f t="shared" si="36"/>
        <v>-</v>
      </c>
      <c r="EP47" s="572" t="str">
        <f t="shared" si="37"/>
        <v>-</v>
      </c>
      <c r="EQ47" s="572" t="str">
        <f t="shared" si="38"/>
        <v>-</v>
      </c>
      <c r="ER47" s="572" t="str">
        <f t="shared" si="39"/>
        <v>-</v>
      </c>
      <c r="ES47" s="572" t="str">
        <f t="shared" si="40"/>
        <v>-</v>
      </c>
      <c r="ET47" s="572" t="str">
        <f t="shared" si="41"/>
        <v>-</v>
      </c>
    </row>
    <row r="48" spans="1:150" ht="15.5" hidden="1" outlineLevel="1" x14ac:dyDescent="0.35">
      <c r="A48" s="27">
        <f t="shared" si="63"/>
        <v>39</v>
      </c>
      <c r="B48" s="27" t="s">
        <v>283</v>
      </c>
      <c r="C48" s="442" t="s">
        <v>489</v>
      </c>
      <c r="D48" s="9" t="s">
        <v>233</v>
      </c>
      <c r="E48" s="12" t="s">
        <v>234</v>
      </c>
      <c r="F48" s="12" t="s">
        <v>245</v>
      </c>
      <c r="G48" s="12" t="str">
        <f>_xlfn.XLOOKUP(F48,'Quy đổi'!$G$5:$G$32,'Quy đổi'!$H$5:$H$32,0)</f>
        <v>Nội địa</v>
      </c>
      <c r="H48" s="77" t="s">
        <v>122</v>
      </c>
      <c r="I48" s="7" t="s">
        <v>121</v>
      </c>
      <c r="J48" s="13" t="s">
        <v>22</v>
      </c>
      <c r="K48" s="11"/>
      <c r="L48" s="92" t="str">
        <f t="shared" si="42"/>
        <v>-</v>
      </c>
      <c r="M48" s="106" t="str">
        <f>IFERROR(SUMIFS('01. KE30'!$K:$K,'01. KE30'!$C:$C,'06. BC BH THEO CUSTOMER-USD'!$D48,'01. KE30'!$F:$F,'06. BC BH THEO CUSTOMER-USD'!$H48,'01. KE30'!$A:$A,'06. BC BH THEO CUSTOMER-USD'!M$4)/'06. BC BH THEO CUSTOMER-USD'!CS48/'02. Tỷ giá'!B$5,"-")</f>
        <v>-</v>
      </c>
      <c r="N48" s="106" t="str">
        <f>IFERROR(SUMIFS('01. KE30'!$K:$K,'01. KE30'!$C:$C,'06. BC BH THEO CUSTOMER-USD'!$D48,'01. KE30'!$F:$F,'06. BC BH THEO CUSTOMER-USD'!$H48,'01. KE30'!$A:$A,'06. BC BH THEO CUSTOMER-USD'!N$4)/'06. BC BH THEO CUSTOMER-USD'!CT48/'02. Tỷ giá'!C$5,"-")</f>
        <v>-</v>
      </c>
      <c r="O48" s="106" t="str">
        <f>IFERROR(SUMIFS('01. KE30'!$K:$K,'01. KE30'!$C:$C,'06. BC BH THEO CUSTOMER-USD'!$D48,'01. KE30'!$F:$F,'06. BC BH THEO CUSTOMER-USD'!$H48,'01. KE30'!$A:$A,'06. BC BH THEO CUSTOMER-USD'!O$4)/'06. BC BH THEO CUSTOMER-USD'!CU48/'02. Tỷ giá'!D$5,"-")</f>
        <v>-</v>
      </c>
      <c r="P48" s="106" t="str">
        <f>IFERROR(SUMIFS('01. KE30'!$K:$K,'01. KE30'!$C:$C,'06. BC BH THEO CUSTOMER-USD'!$D48,'01. KE30'!$F:$F,'06. BC BH THEO CUSTOMER-USD'!$H48,'01. KE30'!$A:$A,'06. BC BH THEO CUSTOMER-USD'!P$4)/'06. BC BH THEO CUSTOMER-USD'!CV48/'02. Tỷ giá'!E$5,"-")</f>
        <v>-</v>
      </c>
      <c r="Q48" s="106" t="str">
        <f>IFERROR(SUMIFS('01. KE30'!$K:$K,'01. KE30'!$C:$C,'06. BC BH THEO CUSTOMER-USD'!$D48,'01. KE30'!$F:$F,'06. BC BH THEO CUSTOMER-USD'!$H48,'01. KE30'!$A:$A,'06. BC BH THEO CUSTOMER-USD'!Q$4)/'06. BC BH THEO CUSTOMER-USD'!CW48/'02. Tỷ giá'!F$5,"-")</f>
        <v>-</v>
      </c>
      <c r="R48" s="106" t="str">
        <f>IFERROR(SUMIFS('01. KE30'!$K:$K,'01. KE30'!$C:$C,'06. BC BH THEO CUSTOMER-USD'!$D48,'01. KE30'!$F:$F,'06. BC BH THEO CUSTOMER-USD'!$H48,'01. KE30'!$A:$A,'06. BC BH THEO CUSTOMER-USD'!R$4)/'06. BC BH THEO CUSTOMER-USD'!CX48/'02. Tỷ giá'!G$5,"-")</f>
        <v>-</v>
      </c>
      <c r="S48" s="106" t="str">
        <f>IFERROR(SUMIFS('01. KE30'!$K:$K,'01. KE30'!$C:$C,'06. BC BH THEO CUSTOMER-USD'!$D48,'01. KE30'!$F:$F,'06. BC BH THEO CUSTOMER-USD'!$H48,'01. KE30'!$A:$A,'06. BC BH THEO CUSTOMER-USD'!S$4)/'06. BC BH THEO CUSTOMER-USD'!CY48/'02. Tỷ giá'!H$5,"-")</f>
        <v>-</v>
      </c>
      <c r="T48" s="106" t="str">
        <f>IFERROR(SUMIFS('01. KE30'!$K:$K,'01. KE30'!$C:$C,'06. BC BH THEO CUSTOMER-USD'!$D48,'01. KE30'!$F:$F,'06. BC BH THEO CUSTOMER-USD'!$H48,'01. KE30'!$A:$A,'06. BC BH THEO CUSTOMER-USD'!T$4)/'06. BC BH THEO CUSTOMER-USD'!CZ48/'02. Tỷ giá'!I$5,"-")</f>
        <v>-</v>
      </c>
      <c r="U48" s="106" t="str">
        <f>IFERROR(SUMIFS('01. KE30'!$K:$K,'01. KE30'!$C:$C,'06. BC BH THEO CUSTOMER-USD'!$D48,'01. KE30'!$F:$F,'06. BC BH THEO CUSTOMER-USD'!$H48,'01. KE30'!$A:$A,'06. BC BH THEO CUSTOMER-USD'!U$4)/'06. BC BH THEO CUSTOMER-USD'!DA48/'02. Tỷ giá'!J$5,"-")</f>
        <v>-</v>
      </c>
      <c r="V48" s="106" t="str">
        <f>IFERROR(SUMIFS('01. KE30'!$K:$K,'01. KE30'!$C:$C,'06. BC BH THEO CUSTOMER-USD'!$D48,'01. KE30'!$F:$F,'06. BC BH THEO CUSTOMER-USD'!$H48,'01. KE30'!$A:$A,'06. BC BH THEO CUSTOMER-USD'!V$4)/'06. BC BH THEO CUSTOMER-USD'!DB48/'02. Tỷ giá'!K$5,"-")</f>
        <v>-</v>
      </c>
      <c r="W48" s="106" t="str">
        <f>IFERROR(SUMIFS('01. KE30'!$K:$K,'01. KE30'!$C:$C,'06. BC BH THEO CUSTOMER-USD'!$D48,'01. KE30'!$F:$F,'06. BC BH THEO CUSTOMER-USD'!$H48,'01. KE30'!$A:$A,'06. BC BH THEO CUSTOMER-USD'!W$4)/'06. BC BH THEO CUSTOMER-USD'!DC48/'02. Tỷ giá'!L$5,"-")</f>
        <v>-</v>
      </c>
      <c r="X48" s="106" t="str">
        <f>IFERROR(SUMIFS('01. KE30'!$K:$K,'01. KE30'!$C:$C,'06. BC BH THEO CUSTOMER-USD'!$D48,'01. KE30'!$F:$F,'06. BC BH THEO CUSTOMER-USD'!$H48,'01. KE30'!$A:$A,'06. BC BH THEO CUSTOMER-USD'!X$4)/'06. BC BH THEO CUSTOMER-USD'!DD48/'02. Tỷ giá'!M$5,"-")</f>
        <v>-</v>
      </c>
      <c r="Z48" s="92" t="str">
        <f t="shared" si="43"/>
        <v>-</v>
      </c>
      <c r="AA48" s="147" t="str">
        <f>IFERROR(SUMIFS('01. KE30'!$O:$O,'01. KE30'!$C:$C,'06. BC BH THEO CUSTOMER-USD'!$D48,'01. KE30'!$F:$F,'06. BC BH THEO CUSTOMER-USD'!$H48,'01. KE30'!$A:$A,'06. BC BH THEO CUSTOMER-USD'!M$4)/'06. BC BH THEO CUSTOMER-USD'!CS48/'02. Tỷ giá'!B$5,"-")</f>
        <v>-</v>
      </c>
      <c r="AB48" s="147" t="str">
        <f>IFERROR(SUMIFS('01. KE30'!$O:$O,'01. KE30'!$C:$C,'06. BC BH THEO CUSTOMER-USD'!$D48,'01. KE30'!$F:$F,'06. BC BH THEO CUSTOMER-USD'!$H48,'01. KE30'!$A:$A,'06. BC BH THEO CUSTOMER-USD'!N$4)/'06. BC BH THEO CUSTOMER-USD'!CT48/'02. Tỷ giá'!C$5,"-")</f>
        <v>-</v>
      </c>
      <c r="AC48" s="147" t="str">
        <f>IFERROR(SUMIFS('01. KE30'!$O:$O,'01. KE30'!$C:$C,'06. BC BH THEO CUSTOMER-USD'!$D48,'01. KE30'!$F:$F,'06. BC BH THEO CUSTOMER-USD'!$H48,'01. KE30'!$A:$A,'06. BC BH THEO CUSTOMER-USD'!O$4)/'06. BC BH THEO CUSTOMER-USD'!CU48/'02. Tỷ giá'!D$5,"-")</f>
        <v>-</v>
      </c>
      <c r="AD48" s="147" t="str">
        <f>IFERROR(SUMIFS('01. KE30'!$O:$O,'01. KE30'!$C:$C,'06. BC BH THEO CUSTOMER-USD'!$D48,'01. KE30'!$F:$F,'06. BC BH THEO CUSTOMER-USD'!$H48,'01. KE30'!$A:$A,'06. BC BH THEO CUSTOMER-USD'!P$4)/'06. BC BH THEO CUSTOMER-USD'!CV48/'02. Tỷ giá'!E$5,"-")</f>
        <v>-</v>
      </c>
      <c r="AE48" s="147" t="str">
        <f>IFERROR(SUMIFS('01. KE30'!$O:$O,'01. KE30'!$C:$C,'06. BC BH THEO CUSTOMER-USD'!$D48,'01. KE30'!$F:$F,'06. BC BH THEO CUSTOMER-USD'!$H48,'01. KE30'!$A:$A,'06. BC BH THEO CUSTOMER-USD'!Q$4)/'06. BC BH THEO CUSTOMER-USD'!CW48/'02. Tỷ giá'!F$5,"-")</f>
        <v>-</v>
      </c>
      <c r="AF48" s="147" t="str">
        <f>IFERROR(SUMIFS('01. KE30'!$O:$O,'01. KE30'!$C:$C,'06. BC BH THEO CUSTOMER-USD'!$D48,'01. KE30'!$F:$F,'06. BC BH THEO CUSTOMER-USD'!$H48,'01. KE30'!$A:$A,'06. BC BH THEO CUSTOMER-USD'!R$4)/'06. BC BH THEO CUSTOMER-USD'!CX48/'02. Tỷ giá'!G$5,"-")</f>
        <v>-</v>
      </c>
      <c r="AG48" s="147" t="str">
        <f>IFERROR(SUMIFS('01. KE30'!$O:$O,'01. KE30'!$C:$C,'06. BC BH THEO CUSTOMER-USD'!$D48,'01. KE30'!$F:$F,'06. BC BH THEO CUSTOMER-USD'!$H48,'01. KE30'!$A:$A,'06. BC BH THEO CUSTOMER-USD'!S$4)/'06. BC BH THEO CUSTOMER-USD'!CY48/'02. Tỷ giá'!H$5,"-")</f>
        <v>-</v>
      </c>
      <c r="AH48" s="147" t="str">
        <f>IFERROR(SUMIFS('01. KE30'!$O:$O,'01. KE30'!$C:$C,'06. BC BH THEO CUSTOMER-USD'!$D48,'01. KE30'!$F:$F,'06. BC BH THEO CUSTOMER-USD'!$H48,'01. KE30'!$A:$A,'06. BC BH THEO CUSTOMER-USD'!T$4)/'06. BC BH THEO CUSTOMER-USD'!CZ48/'02. Tỷ giá'!I$5,"-")</f>
        <v>-</v>
      </c>
      <c r="AI48" s="147" t="str">
        <f>IFERROR(SUMIFS('01. KE30'!$O:$O,'01. KE30'!$C:$C,'06. BC BH THEO CUSTOMER-USD'!$D48,'01. KE30'!$F:$F,'06. BC BH THEO CUSTOMER-USD'!$H48,'01. KE30'!$A:$A,'06. BC BH THEO CUSTOMER-USD'!U$4)/'06. BC BH THEO CUSTOMER-USD'!DA48/'02. Tỷ giá'!J$5,"-")</f>
        <v>-</v>
      </c>
      <c r="AJ48" s="147" t="str">
        <f>IFERROR(SUMIFS('01. KE30'!$O:$O,'01. KE30'!$C:$C,'06. BC BH THEO CUSTOMER-USD'!$D48,'01. KE30'!$F:$F,'06. BC BH THEO CUSTOMER-USD'!$H48,'01. KE30'!$A:$A,'06. BC BH THEO CUSTOMER-USD'!V$4)/'06. BC BH THEO CUSTOMER-USD'!DB48/'02. Tỷ giá'!K$5,"-")</f>
        <v>-</v>
      </c>
      <c r="AK48" s="147" t="str">
        <f>IFERROR(SUMIFS('01. KE30'!$O:$O,'01. KE30'!$C:$C,'06. BC BH THEO CUSTOMER-USD'!$D48,'01. KE30'!$F:$F,'06. BC BH THEO CUSTOMER-USD'!$H48,'01. KE30'!$A:$A,'06. BC BH THEO CUSTOMER-USD'!W$4)/'06. BC BH THEO CUSTOMER-USD'!DC48/'02. Tỷ giá'!L$5,"-")</f>
        <v>-</v>
      </c>
      <c r="AL48" s="147" t="str">
        <f>IFERROR(SUMIFS('01. KE30'!$O:$O,'01. KE30'!$C:$C,'06. BC BH THEO CUSTOMER-USD'!$D48,'01. KE30'!$F:$F,'06. BC BH THEO CUSTOMER-USD'!$H48,'01. KE30'!$A:$A,'06. BC BH THEO CUSTOMER-USD'!X$4)/'06. BC BH THEO CUSTOMER-USD'!DD48/'02. Tỷ giá'!M$5,"-")</f>
        <v>-</v>
      </c>
      <c r="AN48" s="92">
        <f t="shared" si="44"/>
        <v>1236.6666666666667</v>
      </c>
      <c r="AO48" s="25">
        <v>1230</v>
      </c>
      <c r="AP48" s="25">
        <v>1230</v>
      </c>
      <c r="AQ48" s="25">
        <v>1230</v>
      </c>
      <c r="AR48" s="25">
        <f t="shared" si="268"/>
        <v>1250</v>
      </c>
      <c r="AS48" s="25">
        <v>1250</v>
      </c>
      <c r="AT48" s="25">
        <v>1250</v>
      </c>
      <c r="AU48" s="25">
        <v>1250</v>
      </c>
      <c r="AV48" s="4">
        <f t="shared" si="205"/>
        <v>1220</v>
      </c>
      <c r="AW48" s="25">
        <v>1220</v>
      </c>
      <c r="AX48" s="25"/>
      <c r="AY48" s="4"/>
      <c r="AZ48" s="4"/>
      <c r="BB48" s="95" t="str">
        <f t="shared" si="45"/>
        <v>-</v>
      </c>
      <c r="BC48" s="95" t="str">
        <f t="shared" si="206"/>
        <v>-</v>
      </c>
      <c r="BD48" s="95" t="str">
        <f t="shared" si="201"/>
        <v>-</v>
      </c>
      <c r="BE48" s="95" t="str">
        <f t="shared" si="201"/>
        <v>-</v>
      </c>
      <c r="BF48" s="95" t="str">
        <f t="shared" si="201"/>
        <v>-</v>
      </c>
      <c r="BG48" s="95" t="str">
        <f t="shared" si="201"/>
        <v>-</v>
      </c>
      <c r="BH48" s="95" t="str">
        <f t="shared" si="201"/>
        <v>-</v>
      </c>
      <c r="BI48" s="95" t="str">
        <f t="shared" si="201"/>
        <v>-</v>
      </c>
      <c r="BJ48" s="95" t="str">
        <f t="shared" si="201"/>
        <v>-</v>
      </c>
      <c r="BK48" s="95" t="str">
        <f t="shared" si="201"/>
        <v>-</v>
      </c>
      <c r="BL48" s="95" t="str">
        <f t="shared" si="201"/>
        <v>-</v>
      </c>
      <c r="BM48" s="95" t="str">
        <f t="shared" si="201"/>
        <v>-</v>
      </c>
      <c r="BN48" s="95" t="str">
        <f t="shared" si="201"/>
        <v>-</v>
      </c>
      <c r="BP48" s="143" t="str">
        <f t="shared" si="47"/>
        <v>-</v>
      </c>
      <c r="BQ48" s="143" t="str">
        <f t="shared" si="202"/>
        <v>-</v>
      </c>
      <c r="BR48" s="143" t="str">
        <f t="shared" si="9"/>
        <v>-</v>
      </c>
      <c r="BS48" s="143" t="str">
        <f t="shared" si="10"/>
        <v>-</v>
      </c>
      <c r="BT48" s="143" t="str">
        <f t="shared" si="11"/>
        <v>-</v>
      </c>
      <c r="BU48" s="143" t="str">
        <f t="shared" si="12"/>
        <v>-</v>
      </c>
      <c r="BV48" s="143" t="str">
        <f t="shared" si="13"/>
        <v>-</v>
      </c>
      <c r="BW48" s="143" t="str">
        <f t="shared" si="14"/>
        <v>-</v>
      </c>
      <c r="BX48" s="143" t="str">
        <f t="shared" si="15"/>
        <v>-</v>
      </c>
      <c r="BY48" s="143" t="str">
        <f t="shared" si="16"/>
        <v>-</v>
      </c>
      <c r="BZ48" s="143" t="str">
        <f t="shared" si="17"/>
        <v>-</v>
      </c>
      <c r="CA48" s="143" t="str">
        <f t="shared" si="18"/>
        <v>-</v>
      </c>
      <c r="CB48" s="143" t="str">
        <f t="shared" si="19"/>
        <v>-</v>
      </c>
      <c r="CD48" s="112" t="str">
        <f t="shared" si="25"/>
        <v>-</v>
      </c>
      <c r="CE48" s="95" t="str">
        <f>IFERROR(SUMIFS('01. KE30'!$R:$R,'01. KE30'!$C:$C,'06. BC BH THEO CUSTOMER-USD'!$D48,'01. KE30'!$F:$F,'06. BC BH THEO CUSTOMER-USD'!$H48,'01. KE30'!$A:$A,'06. BC BH THEO CUSTOMER-USD'!CE$4)/CS48/'02. Tỷ giá'!B$5," -")</f>
        <v xml:space="preserve"> -</v>
      </c>
      <c r="CF48" s="95" t="str">
        <f>IFERROR(SUMIFS('01. KE30'!$R:$R,'01. KE30'!$C:$C,'06. BC BH THEO CUSTOMER-USD'!$D48,'01. KE30'!$F:$F,'06. BC BH THEO CUSTOMER-USD'!$H48,'01. KE30'!$A:$A,'06. BC BH THEO CUSTOMER-USD'!CF$4)/CT48/'02. Tỷ giá'!C$5," -")</f>
        <v xml:space="preserve"> -</v>
      </c>
      <c r="CG48" s="95" t="str">
        <f>IFERROR(SUMIFS('01. KE30'!$R:$R,'01. KE30'!$C:$C,'06. BC BH THEO CUSTOMER-USD'!$D48,'01. KE30'!$F:$F,'06. BC BH THEO CUSTOMER-USD'!$H48,'01. KE30'!$A:$A,'06. BC BH THEO CUSTOMER-USD'!CG$4)/CU48/'02. Tỷ giá'!D$5," -")</f>
        <v xml:space="preserve"> -</v>
      </c>
      <c r="CH48" s="95" t="str">
        <f>IFERROR(SUMIFS('01. KE30'!$R:$R,'01. KE30'!$C:$C,'06. BC BH THEO CUSTOMER-USD'!$D48,'01. KE30'!$F:$F,'06. BC BH THEO CUSTOMER-USD'!$H48,'01. KE30'!$A:$A,'06. BC BH THEO CUSTOMER-USD'!CH$4)/CV48/'02. Tỷ giá'!E$5," -")</f>
        <v xml:space="preserve"> -</v>
      </c>
      <c r="CI48" s="95" t="str">
        <f>IFERROR(SUMIFS('01. KE30'!$R:$R,'01. KE30'!$C:$C,'06. BC BH THEO CUSTOMER-USD'!$D48,'01. KE30'!$F:$F,'06. BC BH THEO CUSTOMER-USD'!$H48,'01. KE30'!$A:$A,'06. BC BH THEO CUSTOMER-USD'!CI$4)/CW48/'02. Tỷ giá'!F$5," -")</f>
        <v xml:space="preserve"> -</v>
      </c>
      <c r="CJ48" s="95" t="str">
        <f>IFERROR(SUMIFS('01. KE30'!$R:$R,'01. KE30'!$C:$C,'06. BC BH THEO CUSTOMER-USD'!$D48,'01. KE30'!$F:$F,'06. BC BH THEO CUSTOMER-USD'!$H48,'01. KE30'!$A:$A,'06. BC BH THEO CUSTOMER-USD'!CJ$4)/CX48/'02. Tỷ giá'!G$5," -")</f>
        <v xml:space="preserve"> -</v>
      </c>
      <c r="CK48" s="95" t="str">
        <f>IFERROR(SUMIFS('01. KE30'!$R:$R,'01. KE30'!$C:$C,'06. BC BH THEO CUSTOMER-USD'!$D48,'01. KE30'!$F:$F,'06. BC BH THEO CUSTOMER-USD'!$H48,'01. KE30'!$A:$A,'06. BC BH THEO CUSTOMER-USD'!CK$4)/CY48/'02. Tỷ giá'!H$5," -")</f>
        <v xml:space="preserve"> -</v>
      </c>
      <c r="CL48" s="95" t="str">
        <f>IFERROR(SUMIFS('01. KE30'!$R:$R,'01. KE30'!$C:$C,'06. BC BH THEO CUSTOMER-USD'!$D48,'01. KE30'!$F:$F,'06. BC BH THEO CUSTOMER-USD'!$H48,'01. KE30'!$A:$A,'06. BC BH THEO CUSTOMER-USD'!CL$4)/CZ48/'02. Tỷ giá'!I$5," -")</f>
        <v xml:space="preserve"> -</v>
      </c>
      <c r="CM48" s="95" t="str">
        <f>IFERROR(SUMIFS('01. KE30'!$R:$R,'01. KE30'!$C:$C,'06. BC BH THEO CUSTOMER-USD'!$D48,'01. KE30'!$F:$F,'06. BC BH THEO CUSTOMER-USD'!$H48,'01. KE30'!$A:$A,'06. BC BH THEO CUSTOMER-USD'!CM$4)/DA48/'02. Tỷ giá'!J$5," -")</f>
        <v xml:space="preserve"> -</v>
      </c>
      <c r="CN48" s="95" t="str">
        <f>IFERROR(SUMIFS('01. KE30'!$R:$R,'01. KE30'!$C:$C,'06. BC BH THEO CUSTOMER-USD'!$D48,'01. KE30'!$F:$F,'06. BC BH THEO CUSTOMER-USD'!$H48,'01. KE30'!$A:$A,'06. BC BH THEO CUSTOMER-USD'!CN$4)/DB48/'02. Tỷ giá'!K$5," -")</f>
        <v xml:space="preserve"> -</v>
      </c>
      <c r="CO48" s="95" t="str">
        <f>IFERROR(SUMIFS('01. KE30'!$R:$R,'01. KE30'!$C:$C,'06. BC BH THEO CUSTOMER-USD'!$D48,'01. KE30'!$F:$F,'06. BC BH THEO CUSTOMER-USD'!$H48,'01. KE30'!$A:$A,'06. BC BH THEO CUSTOMER-USD'!CO$4)/DC48/'02. Tỷ giá'!L$5," -")</f>
        <v xml:space="preserve"> -</v>
      </c>
      <c r="CP48" s="95" t="str">
        <f>IFERROR(SUMIFS('01. KE30'!$R:$R,'01. KE30'!$C:$C,'06. BC BH THEO CUSTOMER-USD'!$D48,'01. KE30'!$F:$F,'06. BC BH THEO CUSTOMER-USD'!$H48,'01. KE30'!$A:$A,'06. BC BH THEO CUSTOMER-USD'!CP$4)/DD48/'02. Tỷ giá'!M$5," -")</f>
        <v xml:space="preserve"> -</v>
      </c>
      <c r="CR48" s="112">
        <f t="shared" ref="CR48" si="269">SUM(CS48:DD48)</f>
        <v>0</v>
      </c>
      <c r="CS48" s="114">
        <f>SUMIFS('01. KE30'!$I:$I,'01. KE30'!$C:$C,'06. BC BH THEO CUSTOMER-USD'!$D48,'01. KE30'!$F:$F,'06. BC BH THEO CUSTOMER-USD'!$H48,'01. KE30'!$A:$A,'06. BC BH THEO CUSTOMER-USD'!CS$4)/1000</f>
        <v>0</v>
      </c>
      <c r="CT48" s="114">
        <f>SUMIFS('01. KE30'!$I:$I,'01. KE30'!$C:$C,'06. BC BH THEO CUSTOMER-USD'!$D48,'01. KE30'!$F:$F,'06. BC BH THEO CUSTOMER-USD'!$H48,'01. KE30'!$A:$A,'06. BC BH THEO CUSTOMER-USD'!CT$4)/1000</f>
        <v>0</v>
      </c>
      <c r="CU48" s="114">
        <f>SUMIFS('01. KE30'!$I:$I,'01. KE30'!$C:$C,'06. BC BH THEO CUSTOMER-USD'!$D48,'01. KE30'!$F:$F,'06. BC BH THEO CUSTOMER-USD'!$H48,'01. KE30'!$A:$A,'06. BC BH THEO CUSTOMER-USD'!CU$4)/1000</f>
        <v>0</v>
      </c>
      <c r="CV48" s="114">
        <f>SUMIFS('01. KE30'!$I:$I,'01. KE30'!$C:$C,'06. BC BH THEO CUSTOMER-USD'!$D48,'01. KE30'!$F:$F,'06. BC BH THEO CUSTOMER-USD'!$H48,'01. KE30'!$A:$A,'06. BC BH THEO CUSTOMER-USD'!CV$4)/1000</f>
        <v>0</v>
      </c>
      <c r="CW48" s="114">
        <f>SUMIFS('01. KE30'!$I:$I,'01. KE30'!$C:$C,'06. BC BH THEO CUSTOMER-USD'!$D48,'01. KE30'!$F:$F,'06. BC BH THEO CUSTOMER-USD'!$H48,'01. KE30'!$A:$A,'06. BC BH THEO CUSTOMER-USD'!CW$4)/1000</f>
        <v>0</v>
      </c>
      <c r="CX48" s="114">
        <f>SUMIFS('01. KE30'!$I:$I,'01. KE30'!$C:$C,'06. BC BH THEO CUSTOMER-USD'!$D48,'01. KE30'!$F:$F,'06. BC BH THEO CUSTOMER-USD'!$H48,'01. KE30'!$A:$A,'06. BC BH THEO CUSTOMER-USD'!CX$4)/1000</f>
        <v>0</v>
      </c>
      <c r="CY48" s="114">
        <f>SUMIFS('01. KE30'!$I:$I,'01. KE30'!$C:$C,'06. BC BH THEO CUSTOMER-USD'!$D48,'01. KE30'!$F:$F,'06. BC BH THEO CUSTOMER-USD'!$H48,'01. KE30'!$A:$A,'06. BC BH THEO CUSTOMER-USD'!CY$4)/1000</f>
        <v>0</v>
      </c>
      <c r="CZ48" s="114">
        <f>SUMIFS('01. KE30'!$I:$I,'01. KE30'!$C:$C,'06. BC BH THEO CUSTOMER-USD'!$D48,'01. KE30'!$F:$F,'06. BC BH THEO CUSTOMER-USD'!$H48,'01. KE30'!$A:$A,'06. BC BH THEO CUSTOMER-USD'!CZ$4)/1000</f>
        <v>0</v>
      </c>
      <c r="DA48" s="114">
        <f>SUMIFS('01. KE30'!$I:$I,'01. KE30'!$C:$C,'06. BC BH THEO CUSTOMER-USD'!$D48,'01. KE30'!$F:$F,'06. BC BH THEO CUSTOMER-USD'!$H48,'01. KE30'!$A:$A,'06. BC BH THEO CUSTOMER-USD'!DA$4)/1000</f>
        <v>0</v>
      </c>
      <c r="DB48" s="114">
        <f>SUMIFS('01. KE30'!$I:$I,'01. KE30'!$C:$C,'06. BC BH THEO CUSTOMER-USD'!$D48,'01. KE30'!$F:$F,'06. BC BH THEO CUSTOMER-USD'!$H48,'01. KE30'!$A:$A,'06. BC BH THEO CUSTOMER-USD'!DB$4)/1000</f>
        <v>0</v>
      </c>
      <c r="DC48" s="114">
        <f>SUMIFS('01. KE30'!$I:$I,'01. KE30'!$C:$C,'06. BC BH THEO CUSTOMER-USD'!$D48,'01. KE30'!$F:$F,'06. BC BH THEO CUSTOMER-USD'!$H48,'01. KE30'!$A:$A,'06. BC BH THEO CUSTOMER-USD'!DC$4)/1000</f>
        <v>0</v>
      </c>
      <c r="DD48" s="114">
        <f>SUMIFS('01. KE30'!$I:$I,'01. KE30'!$C:$C,'06. BC BH THEO CUSTOMER-USD'!$D48,'01. KE30'!$F:$F,'06. BC BH THEO CUSTOMER-USD'!$H48,'01. KE30'!$A:$A,'06. BC BH THEO CUSTOMER-USD'!DD$4)/1000</f>
        <v>0</v>
      </c>
      <c r="DF48" s="121">
        <f t="shared" si="267"/>
        <v>0</v>
      </c>
      <c r="DG48" s="54" t="str">
        <f t="shared" si="48"/>
        <v>-</v>
      </c>
      <c r="DH48" s="54" t="str">
        <f t="shared" si="49"/>
        <v>-</v>
      </c>
      <c r="DI48" s="54" t="str">
        <f t="shared" si="50"/>
        <v>-</v>
      </c>
      <c r="DJ48" s="54" t="str">
        <f t="shared" si="51"/>
        <v>-</v>
      </c>
      <c r="DK48" s="54" t="str">
        <f t="shared" si="52"/>
        <v>-</v>
      </c>
      <c r="DL48" s="54" t="str">
        <f t="shared" si="53"/>
        <v>-</v>
      </c>
      <c r="DM48" s="54" t="str">
        <f t="shared" si="54"/>
        <v>-</v>
      </c>
      <c r="DN48" s="54" t="str">
        <f t="shared" si="55"/>
        <v>-</v>
      </c>
      <c r="DO48" s="54" t="str">
        <f t="shared" si="56"/>
        <v>-</v>
      </c>
      <c r="DP48" s="54" t="str">
        <f t="shared" si="57"/>
        <v>-</v>
      </c>
      <c r="DQ48" s="54" t="str">
        <f t="shared" si="58"/>
        <v>-</v>
      </c>
      <c r="DR48" s="54" t="str">
        <f t="shared" si="59"/>
        <v>-</v>
      </c>
      <c r="DT48" s="112">
        <f t="shared" si="60"/>
        <v>0</v>
      </c>
      <c r="DU48" s="114">
        <f>IFERROR(SUMIFS('01. KE30'!$X:$X,'01. KE30'!$C:$C,'06. BC BH THEO CUSTOMER-USD'!$D48,'01. KE30'!$F:$F,'06. BC BH THEO CUSTOMER-USD'!$H48,'01. KE30'!$A:$A,'06. BC BH THEO CUSTOMER-USD'!DU$4)-SUMIFS('01. KE30'!$AA:$AA,'01. KE30'!$C:$C,'06. BC BH THEO CUSTOMER-USD'!$D48,'01. KE30'!$F:$F,'06. BC BH THEO CUSTOMER-USD'!$H48,'01. KE30'!$A:$A,'06. BC BH THEO CUSTOMER-USD'!DU$4),"-")</f>
        <v>0</v>
      </c>
      <c r="DV48" s="114">
        <f>IFERROR(SUMIFS('01. KE30'!$X:$X,'01. KE30'!$C:$C,'06. BC BH THEO CUSTOMER-USD'!$D48,'01. KE30'!$F:$F,'06. BC BH THEO CUSTOMER-USD'!$H48,'01. KE30'!$A:$A,'06. BC BH THEO CUSTOMER-USD'!DV$4)-SUMIFS('01. KE30'!$AA:$AA,'01. KE30'!$C:$C,'06. BC BH THEO CUSTOMER-USD'!$D48,'01. KE30'!$F:$F,'06. BC BH THEO CUSTOMER-USD'!$H48,'01. KE30'!$A:$A,'06. BC BH THEO CUSTOMER-USD'!DV$4),"-")</f>
        <v>0</v>
      </c>
      <c r="DW48" s="114">
        <f>IFERROR(SUMIFS('01. KE30'!$X:$X,'01. KE30'!$C:$C,'06. BC BH THEO CUSTOMER-USD'!$D48,'01. KE30'!$F:$F,'06. BC BH THEO CUSTOMER-USD'!$H48,'01. KE30'!$A:$A,'06. BC BH THEO CUSTOMER-USD'!DW$4)-SUMIFS('01. KE30'!$AA:$AA,'01. KE30'!$C:$C,'06. BC BH THEO CUSTOMER-USD'!$D48,'01. KE30'!$F:$F,'06. BC BH THEO CUSTOMER-USD'!$H48,'01. KE30'!$A:$A,'06. BC BH THEO CUSTOMER-USD'!DW$4),"-")</f>
        <v>0</v>
      </c>
      <c r="DX48" s="114">
        <f>IFERROR(SUMIFS('01. KE30'!$X:$X,'01. KE30'!$C:$C,'06. BC BH THEO CUSTOMER-USD'!$D48,'01. KE30'!$F:$F,'06. BC BH THEO CUSTOMER-USD'!$H48,'01. KE30'!$A:$A,'06. BC BH THEO CUSTOMER-USD'!DX$4)-SUMIFS('01. KE30'!$AA:$AA,'01. KE30'!$C:$C,'06. BC BH THEO CUSTOMER-USD'!$D48,'01. KE30'!$F:$F,'06. BC BH THEO CUSTOMER-USD'!$H48,'01. KE30'!$A:$A,'06. BC BH THEO CUSTOMER-USD'!DX$4),"-")</f>
        <v>0</v>
      </c>
      <c r="DY48" s="114">
        <f>IFERROR(SUMIFS('01. KE30'!$X:$X,'01. KE30'!$C:$C,'06. BC BH THEO CUSTOMER-USD'!$D48,'01. KE30'!$F:$F,'06. BC BH THEO CUSTOMER-USD'!$H48,'01. KE30'!$A:$A,'06. BC BH THEO CUSTOMER-USD'!DY$4)-SUMIFS('01. KE30'!$AA:$AA,'01. KE30'!$C:$C,'06. BC BH THEO CUSTOMER-USD'!$D48,'01. KE30'!$F:$F,'06. BC BH THEO CUSTOMER-USD'!$H48,'01. KE30'!$A:$A,'06. BC BH THEO CUSTOMER-USD'!DY$4),"-")</f>
        <v>0</v>
      </c>
      <c r="DZ48" s="114">
        <f>IFERROR(SUMIFS('01. KE30'!$X:$X,'01. KE30'!$C:$C,'06. BC BH THEO CUSTOMER-USD'!$D48,'01. KE30'!$F:$F,'06. BC BH THEO CUSTOMER-USD'!$H48,'01. KE30'!$A:$A,'06. BC BH THEO CUSTOMER-USD'!DZ$4)-SUMIFS('01. KE30'!$AA:$AA,'01. KE30'!$C:$C,'06. BC BH THEO CUSTOMER-USD'!$D48,'01. KE30'!$F:$F,'06. BC BH THEO CUSTOMER-USD'!$H48,'01. KE30'!$A:$A,'06. BC BH THEO CUSTOMER-USD'!DZ$4),"-")</f>
        <v>0</v>
      </c>
      <c r="EA48" s="114">
        <f>IFERROR(SUMIFS('01. KE30'!$X:$X,'01. KE30'!$C:$C,'06. BC BH THEO CUSTOMER-USD'!$D48,'01. KE30'!$F:$F,'06. BC BH THEO CUSTOMER-USD'!$H48,'01. KE30'!$A:$A,'06. BC BH THEO CUSTOMER-USD'!EA$4)-SUMIFS('01. KE30'!$AA:$AA,'01. KE30'!$C:$C,'06. BC BH THEO CUSTOMER-USD'!$D48,'01. KE30'!$F:$F,'06. BC BH THEO CUSTOMER-USD'!$H48,'01. KE30'!$A:$A,'06. BC BH THEO CUSTOMER-USD'!EA$4),"-")</f>
        <v>0</v>
      </c>
      <c r="EB48" s="114">
        <f>IFERROR(SUMIFS('01. KE30'!$X:$X,'01. KE30'!$C:$C,'06. BC BH THEO CUSTOMER-USD'!$D48,'01. KE30'!$F:$F,'06. BC BH THEO CUSTOMER-USD'!$H48,'01. KE30'!$A:$A,'06. BC BH THEO CUSTOMER-USD'!EB$4)-SUMIFS('01. KE30'!$AA:$AA,'01. KE30'!$C:$C,'06. BC BH THEO CUSTOMER-USD'!$D48,'01. KE30'!$F:$F,'06. BC BH THEO CUSTOMER-USD'!$H48,'01. KE30'!$A:$A,'06. BC BH THEO CUSTOMER-USD'!EB$4),"-")</f>
        <v>0</v>
      </c>
      <c r="EC48" s="114">
        <f>IFERROR(SUMIFS('01. KE30'!$X:$X,'01. KE30'!$C:$C,'06. BC BH THEO CUSTOMER-USD'!$D48,'01. KE30'!$F:$F,'06. BC BH THEO CUSTOMER-USD'!$H48,'01. KE30'!$A:$A,'06. BC BH THEO CUSTOMER-USD'!EC$4)-SUMIFS('01. KE30'!$AA:$AA,'01. KE30'!$C:$C,'06. BC BH THEO CUSTOMER-USD'!$D48,'01. KE30'!$F:$F,'06. BC BH THEO CUSTOMER-USD'!$H48,'01. KE30'!$A:$A,'06. BC BH THEO CUSTOMER-USD'!EC$4),"-")</f>
        <v>0</v>
      </c>
      <c r="ED48" s="114">
        <f>IFERROR(SUMIFS('01. KE30'!$X:$X,'01. KE30'!$C:$C,'06. BC BH THEO CUSTOMER-USD'!$D48,'01. KE30'!$F:$F,'06. BC BH THEO CUSTOMER-USD'!$H48,'01. KE30'!$A:$A,'06. BC BH THEO CUSTOMER-USD'!ED$4)-SUMIFS('01. KE30'!$AA:$AA,'01. KE30'!$C:$C,'06. BC BH THEO CUSTOMER-USD'!$D48,'01. KE30'!$F:$F,'06. BC BH THEO CUSTOMER-USD'!$H48,'01. KE30'!$A:$A,'06. BC BH THEO CUSTOMER-USD'!ED$4),"-")</f>
        <v>0</v>
      </c>
      <c r="EE48" s="114">
        <f>IFERROR(SUMIFS('01. KE30'!$X:$X,'01. KE30'!$C:$C,'06. BC BH THEO CUSTOMER-USD'!$D48,'01. KE30'!$F:$F,'06. BC BH THEO CUSTOMER-USD'!$H48,'01. KE30'!$A:$A,'06. BC BH THEO CUSTOMER-USD'!EE$4)-SUMIFS('01. KE30'!$AA:$AA,'01. KE30'!$C:$C,'06. BC BH THEO CUSTOMER-USD'!$D48,'01. KE30'!$F:$F,'06. BC BH THEO CUSTOMER-USD'!$H48,'01. KE30'!$A:$A,'06. BC BH THEO CUSTOMER-USD'!EE$4),"-")</f>
        <v>0</v>
      </c>
      <c r="EF48" s="114">
        <f>IFERROR(SUMIFS('01. KE30'!$X:$X,'01. KE30'!$C:$C,'06. BC BH THEO CUSTOMER-USD'!$D48,'01. KE30'!$F:$F,'06. BC BH THEO CUSTOMER-USD'!$H48,'01. KE30'!$A:$A,'06. BC BH THEO CUSTOMER-USD'!EF$4)-SUMIFS('01. KE30'!$AA:$AA,'01. KE30'!$C:$C,'06. BC BH THEO CUSTOMER-USD'!$D48,'01. KE30'!$F:$F,'06. BC BH THEO CUSTOMER-USD'!$H48,'01. KE30'!$A:$A,'06. BC BH THEO CUSTOMER-USD'!EF$4),"-")</f>
        <v>0</v>
      </c>
      <c r="EH48" s="571" t="str">
        <f t="shared" si="29"/>
        <v>-</v>
      </c>
      <c r="EI48" s="572" t="str">
        <f t="shared" si="30"/>
        <v>-</v>
      </c>
      <c r="EJ48" s="572" t="str">
        <f t="shared" si="31"/>
        <v>-</v>
      </c>
      <c r="EK48" s="572" t="str">
        <f t="shared" si="32"/>
        <v>-</v>
      </c>
      <c r="EL48" s="572" t="str">
        <f t="shared" si="33"/>
        <v>-</v>
      </c>
      <c r="EM48" s="572" t="str">
        <f t="shared" si="34"/>
        <v>-</v>
      </c>
      <c r="EN48" s="572" t="str">
        <f t="shared" si="35"/>
        <v>-</v>
      </c>
      <c r="EO48" s="572" t="str">
        <f t="shared" si="36"/>
        <v>-</v>
      </c>
      <c r="EP48" s="572" t="str">
        <f t="shared" si="37"/>
        <v>-</v>
      </c>
      <c r="EQ48" s="572" t="str">
        <f t="shared" si="38"/>
        <v>-</v>
      </c>
      <c r="ER48" s="572" t="str">
        <f t="shared" si="39"/>
        <v>-</v>
      </c>
      <c r="ES48" s="572" t="str">
        <f t="shared" si="40"/>
        <v>-</v>
      </c>
      <c r="ET48" s="572" t="str">
        <f t="shared" si="41"/>
        <v>-</v>
      </c>
    </row>
    <row r="49" spans="1:150" ht="15.5" hidden="1" outlineLevel="1" x14ac:dyDescent="0.35">
      <c r="A49" s="27">
        <f t="shared" si="63"/>
        <v>40</v>
      </c>
      <c r="B49" s="27" t="s">
        <v>283</v>
      </c>
      <c r="C49" s="442" t="s">
        <v>119</v>
      </c>
      <c r="D49" s="9" t="s">
        <v>120</v>
      </c>
      <c r="E49" s="12" t="s">
        <v>119</v>
      </c>
      <c r="F49" s="12" t="s">
        <v>245</v>
      </c>
      <c r="G49" s="12" t="str">
        <f>_xlfn.XLOOKUP(F49,'Quy đổi'!$G$5:$G$32,'Quy đổi'!$H$5:$H$32,0)</f>
        <v>Nội địa</v>
      </c>
      <c r="H49" s="76" t="s">
        <v>127</v>
      </c>
      <c r="I49" s="7" t="s">
        <v>114</v>
      </c>
      <c r="J49" s="13" t="s">
        <v>22</v>
      </c>
      <c r="K49" s="11"/>
      <c r="L49" s="92">
        <f t="shared" si="42"/>
        <v>1393.4678440212772</v>
      </c>
      <c r="M49" s="106">
        <f>IFERROR(SUMIFS('01. KE30'!$K:$K,'01. KE30'!$C:$C,'06. BC BH THEO CUSTOMER-USD'!$D49,'01. KE30'!$F:$F,'06. BC BH THEO CUSTOMER-USD'!$H49,'01. KE30'!$A:$A,'06. BC BH THEO CUSTOMER-USD'!M$4)/'06. BC BH THEO CUSTOMER-USD'!CS49/'02. Tỷ giá'!B$5,"-")</f>
        <v>1493.2155760738658</v>
      </c>
      <c r="N49" s="106" t="str">
        <f>IFERROR(SUMIFS('01. KE30'!$K:$K,'01. KE30'!$C:$C,'06. BC BH THEO CUSTOMER-USD'!$D49,'01. KE30'!$F:$F,'06. BC BH THEO CUSTOMER-USD'!$H49,'01. KE30'!$A:$A,'06. BC BH THEO CUSTOMER-USD'!N$4)/'06. BC BH THEO CUSTOMER-USD'!CT49/'02. Tỷ giá'!C$5,"-")</f>
        <v>-</v>
      </c>
      <c r="O49" s="106">
        <f>IFERROR(SUMIFS('01. KE30'!$K:$K,'01. KE30'!$C:$C,'06. BC BH THEO CUSTOMER-USD'!$D49,'01. KE30'!$F:$F,'06. BC BH THEO CUSTOMER-USD'!$H49,'01. KE30'!$A:$A,'06. BC BH THEO CUSTOMER-USD'!O$4)/'06. BC BH THEO CUSTOMER-USD'!CU49/'02. Tỷ giá'!D$5,"-")</f>
        <v>1369.0681496062991</v>
      </c>
      <c r="P49" s="106">
        <f>IFERROR(SUMIFS('01. KE30'!$K:$K,'01. KE30'!$C:$C,'06. BC BH THEO CUSTOMER-USD'!$D49,'01. KE30'!$F:$F,'06. BC BH THEO CUSTOMER-USD'!$H49,'01. KE30'!$A:$A,'06. BC BH THEO CUSTOMER-USD'!P$4)/'06. BC BH THEO CUSTOMER-USD'!CV49/'02. Tỷ giá'!E$5,"-")</f>
        <v>1358.0228891704501</v>
      </c>
      <c r="Q49" s="106">
        <f>IFERROR(SUMIFS('01. KE30'!$K:$K,'01. KE30'!$C:$C,'06. BC BH THEO CUSTOMER-USD'!$D49,'01. KE30'!$F:$F,'06. BC BH THEO CUSTOMER-USD'!$H49,'01. KE30'!$A:$A,'06. BC BH THEO CUSTOMER-USD'!Q$4)/'06. BC BH THEO CUSTOMER-USD'!CW49/'02. Tỷ giá'!F$5,"-")</f>
        <v>1390.3227571539057</v>
      </c>
      <c r="R49" s="106">
        <f>IFERROR(SUMIFS('01. KE30'!$K:$K,'01. KE30'!$C:$C,'06. BC BH THEO CUSTOMER-USD'!$D49,'01. KE30'!$F:$F,'06. BC BH THEO CUSTOMER-USD'!$H49,'01. KE30'!$A:$A,'06. BC BH THEO CUSTOMER-USD'!R$4)/'06. BC BH THEO CUSTOMER-USD'!CX49/'02. Tỷ giá'!G$5,"-")</f>
        <v>1400.1890432098764</v>
      </c>
      <c r="S49" s="106">
        <f>IFERROR(SUMIFS('01. KE30'!$K:$K,'01. KE30'!$C:$C,'06. BC BH THEO CUSTOMER-USD'!$D49,'01. KE30'!$F:$F,'06. BC BH THEO CUSTOMER-USD'!$H49,'01. KE30'!$A:$A,'06. BC BH THEO CUSTOMER-USD'!S$4)/'06. BC BH THEO CUSTOMER-USD'!CY49/'02. Tỷ giá'!H$5,"-")</f>
        <v>1399.9231655781791</v>
      </c>
      <c r="T49" s="106">
        <f>IFERROR(SUMIFS('01. KE30'!$K:$K,'01. KE30'!$C:$C,'06. BC BH THEO CUSTOMER-USD'!$D49,'01. KE30'!$F:$F,'06. BC BH THEO CUSTOMER-USD'!$H49,'01. KE30'!$A:$A,'06. BC BH THEO CUSTOMER-USD'!T$4)/'06. BC BH THEO CUSTOMER-USD'!CZ49/'02. Tỷ giá'!I$5,"-")</f>
        <v>1396.8678380443087</v>
      </c>
      <c r="U49" s="106">
        <f>IFERROR(SUMIFS('01. KE30'!$K:$K,'01. KE30'!$C:$C,'06. BC BH THEO CUSTOMER-USD'!$D49,'01. KE30'!$F:$F,'06. BC BH THEO CUSTOMER-USD'!$H49,'01. KE30'!$A:$A,'06. BC BH THEO CUSTOMER-USD'!U$4)/'06. BC BH THEO CUSTOMER-USD'!DA49/'02. Tỷ giá'!J$5,"-")</f>
        <v>1340.1333333333334</v>
      </c>
      <c r="V49" s="106" t="str">
        <f>IFERROR(SUMIFS('01. KE30'!$K:$K,'01. KE30'!$C:$C,'06. BC BH THEO CUSTOMER-USD'!$D49,'01. KE30'!$F:$F,'06. BC BH THEO CUSTOMER-USD'!$H49,'01. KE30'!$A:$A,'06. BC BH THEO CUSTOMER-USD'!V$4)/'06. BC BH THEO CUSTOMER-USD'!DB49/'02. Tỷ giá'!K$5,"-")</f>
        <v>-</v>
      </c>
      <c r="W49" s="106" t="str">
        <f>IFERROR(SUMIFS('01. KE30'!$K:$K,'01. KE30'!$C:$C,'06. BC BH THEO CUSTOMER-USD'!$D49,'01. KE30'!$F:$F,'06. BC BH THEO CUSTOMER-USD'!$H49,'01. KE30'!$A:$A,'06. BC BH THEO CUSTOMER-USD'!W$4)/'06. BC BH THEO CUSTOMER-USD'!DC49/'02. Tỷ giá'!L$5,"-")</f>
        <v>-</v>
      </c>
      <c r="X49" s="106" t="str">
        <f>IFERROR(SUMIFS('01. KE30'!$K:$K,'01. KE30'!$C:$C,'06. BC BH THEO CUSTOMER-USD'!$D49,'01. KE30'!$F:$F,'06. BC BH THEO CUSTOMER-USD'!$H49,'01. KE30'!$A:$A,'06. BC BH THEO CUSTOMER-USD'!X$4)/'06. BC BH THEO CUSTOMER-USD'!DD49/'02. Tỷ giá'!M$5,"-")</f>
        <v>-</v>
      </c>
      <c r="Z49" s="92">
        <f t="shared" si="43"/>
        <v>1380.3386488164188</v>
      </c>
      <c r="AA49" s="147">
        <f>IFERROR(SUMIFS('01. KE30'!$O:$O,'01. KE30'!$C:$C,'06. BC BH THEO CUSTOMER-USD'!$D49,'01. KE30'!$F:$F,'06. BC BH THEO CUSTOMER-USD'!$H49,'01. KE30'!$A:$A,'06. BC BH THEO CUSTOMER-USD'!M$4)/'06. BC BH THEO CUSTOMER-USD'!CS49/'02. Tỷ giá'!B$5,"-")</f>
        <v>1487.5953432356484</v>
      </c>
      <c r="AB49" s="147" t="str">
        <f>IFERROR(SUMIFS('01. KE30'!$O:$O,'01. KE30'!$C:$C,'06. BC BH THEO CUSTOMER-USD'!$D49,'01. KE30'!$F:$F,'06. BC BH THEO CUSTOMER-USD'!$H49,'01. KE30'!$A:$A,'06. BC BH THEO CUSTOMER-USD'!N$4)/'06. BC BH THEO CUSTOMER-USD'!CT49/'02. Tỷ giá'!C$5,"-")</f>
        <v>-</v>
      </c>
      <c r="AC49" s="147">
        <f>IFERROR(SUMIFS('01. KE30'!$O:$O,'01. KE30'!$C:$C,'06. BC BH THEO CUSTOMER-USD'!$D49,'01. KE30'!$F:$F,'06. BC BH THEO CUSTOMER-USD'!$H49,'01. KE30'!$A:$A,'06. BC BH THEO CUSTOMER-USD'!O$4)/'06. BC BH THEO CUSTOMER-USD'!CU49/'02. Tỷ giá'!D$5,"-")</f>
        <v>1363.5563385826772</v>
      </c>
      <c r="AD49" s="147">
        <f>IFERROR(SUMIFS('01. KE30'!$O:$O,'01. KE30'!$C:$C,'06. BC BH THEO CUSTOMER-USD'!$D49,'01. KE30'!$F:$F,'06. BC BH THEO CUSTOMER-USD'!$H49,'01. KE30'!$A:$A,'06. BC BH THEO CUSTOMER-USD'!P$4)/'06. BC BH THEO CUSTOMER-USD'!CV49/'02. Tỷ giá'!E$5,"-")</f>
        <v>1352.6028349699081</v>
      </c>
      <c r="AE49" s="147">
        <f>IFERROR(SUMIFS('01. KE30'!$O:$O,'01. KE30'!$C:$C,'06. BC BH THEO CUSTOMER-USD'!$D49,'01. KE30'!$F:$F,'06. BC BH THEO CUSTOMER-USD'!$H49,'01. KE30'!$A:$A,'06. BC BH THEO CUSTOMER-USD'!Q$4)/'06. BC BH THEO CUSTOMER-USD'!CW49/'02. Tỷ giá'!F$5,"-")</f>
        <v>1384.9089907192576</v>
      </c>
      <c r="AF49" s="147">
        <f>IFERROR(SUMIFS('01. KE30'!$O:$O,'01. KE30'!$C:$C,'06. BC BH THEO CUSTOMER-USD'!$D49,'01. KE30'!$F:$F,'06. BC BH THEO CUSTOMER-USD'!$H49,'01. KE30'!$A:$A,'06. BC BH THEO CUSTOMER-USD'!R$4)/'06. BC BH THEO CUSTOMER-USD'!CX49/'02. Tỷ giá'!G$5,"-")</f>
        <v>1394.7878086419753</v>
      </c>
      <c r="AG49" s="147">
        <f>IFERROR(SUMIFS('01. KE30'!$O:$O,'01. KE30'!$C:$C,'06. BC BH THEO CUSTOMER-USD'!$D49,'01. KE30'!$F:$F,'06. BC BH THEO CUSTOMER-USD'!$H49,'01. KE30'!$A:$A,'06. BC BH THEO CUSTOMER-USD'!S$4)/'06. BC BH THEO CUSTOMER-USD'!CY49/'02. Tỷ giá'!H$5,"-")</f>
        <v>1373.6912754514021</v>
      </c>
      <c r="AH49" s="147">
        <f>IFERROR(SUMIFS('01. KE30'!$O:$O,'01. KE30'!$C:$C,'06. BC BH THEO CUSTOMER-USD'!$D49,'01. KE30'!$F:$F,'06. BC BH THEO CUSTOMER-USD'!$H49,'01. KE30'!$A:$A,'06. BC BH THEO CUSTOMER-USD'!T$4)/'06. BC BH THEO CUSTOMER-USD'!CZ49/'02. Tỷ giá'!I$5,"-")</f>
        <v>1370.7174560733383</v>
      </c>
      <c r="AI49" s="147">
        <f>IFERROR(SUMIFS('01. KE30'!$O:$O,'01. KE30'!$C:$C,'06. BC BH THEO CUSTOMER-USD'!$D49,'01. KE30'!$F:$F,'06. BC BH THEO CUSTOMER-USD'!$H49,'01. KE30'!$A:$A,'06. BC BH THEO CUSTOMER-USD'!U$4)/'06. BC BH THEO CUSTOMER-USD'!DA49/'02. Tỷ giá'!J$5,"-")</f>
        <v>1314.8491428571429</v>
      </c>
      <c r="AJ49" s="147" t="str">
        <f>IFERROR(SUMIFS('01. KE30'!$O:$O,'01. KE30'!$C:$C,'06. BC BH THEO CUSTOMER-USD'!$D49,'01. KE30'!$F:$F,'06. BC BH THEO CUSTOMER-USD'!$H49,'01. KE30'!$A:$A,'06. BC BH THEO CUSTOMER-USD'!V$4)/'06. BC BH THEO CUSTOMER-USD'!DB49/'02. Tỷ giá'!K$5,"-")</f>
        <v>-</v>
      </c>
      <c r="AK49" s="147" t="str">
        <f>IFERROR(SUMIFS('01. KE30'!$O:$O,'01. KE30'!$C:$C,'06. BC BH THEO CUSTOMER-USD'!$D49,'01. KE30'!$F:$F,'06. BC BH THEO CUSTOMER-USD'!$H49,'01. KE30'!$A:$A,'06. BC BH THEO CUSTOMER-USD'!W$4)/'06. BC BH THEO CUSTOMER-USD'!DC49/'02. Tỷ giá'!L$5,"-")</f>
        <v>-</v>
      </c>
      <c r="AL49" s="147" t="str">
        <f>IFERROR(SUMIFS('01. KE30'!$O:$O,'01. KE30'!$C:$C,'06. BC BH THEO CUSTOMER-USD'!$D49,'01. KE30'!$F:$F,'06. BC BH THEO CUSTOMER-USD'!$H49,'01. KE30'!$A:$A,'06. BC BH THEO CUSTOMER-USD'!X$4)/'06. BC BH THEO CUSTOMER-USD'!DD49/'02. Tỷ giá'!M$5,"-")</f>
        <v>-</v>
      </c>
      <c r="AN49" s="92">
        <f t="shared" si="44"/>
        <v>1322.2222222222222</v>
      </c>
      <c r="AO49" s="25">
        <v>1320</v>
      </c>
      <c r="AP49" s="25">
        <f>1320-40</f>
        <v>1280</v>
      </c>
      <c r="AQ49" s="4">
        <v>1320</v>
      </c>
      <c r="AR49" s="4">
        <f>AQ49+20</f>
        <v>1340</v>
      </c>
      <c r="AS49" s="4">
        <v>1340</v>
      </c>
      <c r="AT49" s="4">
        <v>1340</v>
      </c>
      <c r="AU49" s="4">
        <v>1340</v>
      </c>
      <c r="AV49" s="4">
        <f t="shared" si="205"/>
        <v>1310</v>
      </c>
      <c r="AW49" s="25">
        <v>1310</v>
      </c>
      <c r="AX49" s="25"/>
      <c r="AY49" s="4"/>
      <c r="AZ49" s="4"/>
      <c r="BB49" s="95">
        <f t="shared" si="45"/>
        <v>58.116426594196582</v>
      </c>
      <c r="BC49" s="95">
        <f t="shared" si="206"/>
        <v>167.59534323564844</v>
      </c>
      <c r="BD49" s="95" t="str">
        <f t="shared" si="201"/>
        <v>-</v>
      </c>
      <c r="BE49" s="95">
        <f t="shared" si="201"/>
        <v>43.556338582677199</v>
      </c>
      <c r="BF49" s="95">
        <f t="shared" si="201"/>
        <v>12.602834969908145</v>
      </c>
      <c r="BG49" s="95">
        <f t="shared" si="201"/>
        <v>44.908990719257645</v>
      </c>
      <c r="BH49" s="95">
        <f t="shared" si="201"/>
        <v>54.787808641975289</v>
      </c>
      <c r="BI49" s="95">
        <f t="shared" si="201"/>
        <v>33.691275451402134</v>
      </c>
      <c r="BJ49" s="95">
        <f t="shared" si="201"/>
        <v>60.717456073338326</v>
      </c>
      <c r="BK49" s="95">
        <f t="shared" si="201"/>
        <v>4.8491428571428514</v>
      </c>
      <c r="BL49" s="95" t="str">
        <f t="shared" si="201"/>
        <v>-</v>
      </c>
      <c r="BM49" s="95" t="str">
        <f t="shared" si="201"/>
        <v>-</v>
      </c>
      <c r="BN49" s="95" t="str">
        <f t="shared" si="201"/>
        <v>-</v>
      </c>
      <c r="BP49" s="143">
        <f t="shared" si="47"/>
        <v>4.3953599945190693E-2</v>
      </c>
      <c r="BQ49" s="143">
        <f t="shared" si="202"/>
        <v>0.1269661691179155</v>
      </c>
      <c r="BR49" s="143" t="str">
        <f t="shared" si="9"/>
        <v>-</v>
      </c>
      <c r="BS49" s="143">
        <f t="shared" si="10"/>
        <v>3.2997226198997878E-2</v>
      </c>
      <c r="BT49" s="143">
        <f t="shared" si="11"/>
        <v>9.4051007238120481E-3</v>
      </c>
      <c r="BU49" s="143">
        <f t="shared" si="12"/>
        <v>3.3514172178550482E-2</v>
      </c>
      <c r="BV49" s="143">
        <f t="shared" si="13"/>
        <v>4.0886424359683052E-2</v>
      </c>
      <c r="BW49" s="143">
        <f t="shared" si="14"/>
        <v>2.5142742874180696E-2</v>
      </c>
      <c r="BX49" s="143">
        <f t="shared" si="15"/>
        <v>4.634920310941857E-2</v>
      </c>
      <c r="BY49" s="143">
        <f t="shared" si="16"/>
        <v>3.7016357688113371E-3</v>
      </c>
      <c r="BZ49" s="143" t="str">
        <f t="shared" si="17"/>
        <v>-</v>
      </c>
      <c r="CA49" s="143" t="str">
        <f t="shared" si="18"/>
        <v>-</v>
      </c>
      <c r="CB49" s="143" t="str">
        <f t="shared" si="19"/>
        <v>-</v>
      </c>
      <c r="CD49" s="112">
        <f t="shared" si="25"/>
        <v>1078.2530236690397</v>
      </c>
      <c r="CE49" s="95">
        <f>IFERROR(SUMIFS('01. KE30'!$R:$R,'01. KE30'!$C:$C,'06. BC BH THEO CUSTOMER-USD'!$D49,'01. KE30'!$F:$F,'06. BC BH THEO CUSTOMER-USD'!$H49,'01. KE30'!$A:$A,'06. BC BH THEO CUSTOMER-USD'!CE$4)/CS49/'02. Tỷ giá'!B$5," -")</f>
        <v>1064.5535400167878</v>
      </c>
      <c r="CF49" s="95" t="str">
        <f>IFERROR(SUMIFS('01. KE30'!$R:$R,'01. KE30'!$C:$C,'06. BC BH THEO CUSTOMER-USD'!$D49,'01. KE30'!$F:$F,'06. BC BH THEO CUSTOMER-USD'!$H49,'01. KE30'!$A:$A,'06. BC BH THEO CUSTOMER-USD'!CF$4)/CT49/'02. Tỷ giá'!C$5," -")</f>
        <v xml:space="preserve"> -</v>
      </c>
      <c r="CG49" s="95">
        <f>IFERROR(SUMIFS('01. KE30'!$R:$R,'01. KE30'!$C:$C,'06. BC BH THEO CUSTOMER-USD'!$D49,'01. KE30'!$F:$F,'06. BC BH THEO CUSTOMER-USD'!$H49,'01. KE30'!$A:$A,'06. BC BH THEO CUSTOMER-USD'!CG$4)/CU49/'02. Tỷ giá'!D$5," -")</f>
        <v>1038.5799481030781</v>
      </c>
      <c r="CH49" s="95">
        <f>IFERROR(SUMIFS('01. KE30'!$R:$R,'01. KE30'!$C:$C,'06. BC BH THEO CUSTOMER-USD'!$D49,'01. KE30'!$F:$F,'06. BC BH THEO CUSTOMER-USD'!$H49,'01. KE30'!$A:$A,'06. BC BH THEO CUSTOMER-USD'!CH$4)/CV49/'02. Tỷ giá'!E$5," -")</f>
        <v>1028.8379878928658</v>
      </c>
      <c r="CI49" s="95">
        <f>IFERROR(SUMIFS('01. KE30'!$R:$R,'01. KE30'!$C:$C,'06. BC BH THEO CUSTOMER-USD'!$D49,'01. KE30'!$F:$F,'06. BC BH THEO CUSTOMER-USD'!$H49,'01. KE30'!$A:$A,'06. BC BH THEO CUSTOMER-USD'!CI$4)/CW49/'02. Tỷ giá'!F$5," -")</f>
        <v>1072.9135924207269</v>
      </c>
      <c r="CJ49" s="95">
        <f>IFERROR(SUMIFS('01. KE30'!$R:$R,'01. KE30'!$C:$C,'06. BC BH THEO CUSTOMER-USD'!$D49,'01. KE30'!$F:$F,'06. BC BH THEO CUSTOMER-USD'!$H49,'01. KE30'!$A:$A,'06. BC BH THEO CUSTOMER-USD'!CJ$4)/CX49/'02. Tỷ giá'!G$5," -")</f>
        <v>1079.8145693041527</v>
      </c>
      <c r="CK49" s="95">
        <f>IFERROR(SUMIFS('01. KE30'!$R:$R,'01. KE30'!$C:$C,'06. BC BH THEO CUSTOMER-USD'!$D49,'01. KE30'!$F:$F,'06. BC BH THEO CUSTOMER-USD'!$H49,'01. KE30'!$A:$A,'06. BC BH THEO CUSTOMER-USD'!CK$4)/CY49/'02. Tỷ giá'!H$5," -")</f>
        <v>1100.0783955575735</v>
      </c>
      <c r="CL49" s="95">
        <f>IFERROR(SUMIFS('01. KE30'!$R:$R,'01. KE30'!$C:$C,'06. BC BH THEO CUSTOMER-USD'!$D49,'01. KE30'!$F:$F,'06. BC BH THEO CUSTOMER-USD'!$H49,'01. KE30'!$A:$A,'06. BC BH THEO CUSTOMER-USD'!CL$4)/CZ49/'02. Tỷ giá'!I$5," -")</f>
        <v>1119.1702097367872</v>
      </c>
      <c r="CM49" s="95">
        <f>IFERROR(SUMIFS('01. KE30'!$R:$R,'01. KE30'!$C:$C,'06. BC BH THEO CUSTOMER-USD'!$D49,'01. KE30'!$F:$F,'06. BC BH THEO CUSTOMER-USD'!$H49,'01. KE30'!$A:$A,'06. BC BH THEO CUSTOMER-USD'!CM$4)/DA49/'02. Tỷ giá'!J$5," -")</f>
        <v>1122.0759463203462</v>
      </c>
      <c r="CN49" s="95" t="str">
        <f>IFERROR(SUMIFS('01. KE30'!$R:$R,'01. KE30'!$C:$C,'06. BC BH THEO CUSTOMER-USD'!$D49,'01. KE30'!$F:$F,'06. BC BH THEO CUSTOMER-USD'!$H49,'01. KE30'!$A:$A,'06. BC BH THEO CUSTOMER-USD'!CN$4)/DB49/'02. Tỷ giá'!K$5," -")</f>
        <v xml:space="preserve"> -</v>
      </c>
      <c r="CO49" s="95" t="str">
        <f>IFERROR(SUMIFS('01. KE30'!$R:$R,'01. KE30'!$C:$C,'06. BC BH THEO CUSTOMER-USD'!$D49,'01. KE30'!$F:$F,'06. BC BH THEO CUSTOMER-USD'!$H49,'01. KE30'!$A:$A,'06. BC BH THEO CUSTOMER-USD'!CO$4)/DC49/'02. Tỷ giá'!L$5," -")</f>
        <v xml:space="preserve"> -</v>
      </c>
      <c r="CP49" s="95" t="str">
        <f>IFERROR(SUMIFS('01. KE30'!$R:$R,'01. KE30'!$C:$C,'06. BC BH THEO CUSTOMER-USD'!$D49,'01. KE30'!$F:$F,'06. BC BH THEO CUSTOMER-USD'!$H49,'01. KE30'!$A:$A,'06. BC BH THEO CUSTOMER-USD'!CP$4)/DD49/'02. Tỷ giá'!M$5," -")</f>
        <v xml:space="preserve"> -</v>
      </c>
      <c r="CR49" s="112">
        <f t="shared" si="266"/>
        <v>374</v>
      </c>
      <c r="CS49" s="114">
        <f>SUMIFS('01. KE30'!$I:$I,'01. KE30'!$C:$C,'06. BC BH THEO CUSTOMER-USD'!$D49,'01. KE30'!$F:$F,'06. BC BH THEO CUSTOMER-USD'!$H49,'01. KE30'!$A:$A,'06. BC BH THEO CUSTOMER-USD'!CS$4)/1000</f>
        <v>44</v>
      </c>
      <c r="CT49" s="114">
        <f>SUMIFS('01. KE30'!$I:$I,'01. KE30'!$C:$C,'06. BC BH THEO CUSTOMER-USD'!$D49,'01. KE30'!$F:$F,'06. BC BH THEO CUSTOMER-USD'!$H49,'01. KE30'!$A:$A,'06. BC BH THEO CUSTOMER-USD'!CT$4)/1000</f>
        <v>0</v>
      </c>
      <c r="CU49" s="114">
        <f>SUMIFS('01. KE30'!$I:$I,'01. KE30'!$C:$C,'06. BC BH THEO CUSTOMER-USD'!$D49,'01. KE30'!$F:$F,'06. BC BH THEO CUSTOMER-USD'!$H49,'01. KE30'!$A:$A,'06. BC BH THEO CUSTOMER-USD'!CU$4)/1000</f>
        <v>22</v>
      </c>
      <c r="CV49" s="725">
        <f>SUMIFS('01. KE30'!$I:$I,'01. KE30'!$C:$C,'06. BC BH THEO CUSTOMER-USD'!$D49,'01. KE30'!$F:$F,'06. BC BH THEO CUSTOMER-USD'!$H49,'01. KE30'!$A:$A,'06. BC BH THEO CUSTOMER-USD'!CV$4)/1000</f>
        <v>22</v>
      </c>
      <c r="CW49" s="114">
        <f>SUMIFS('01. KE30'!$I:$I,'01. KE30'!$C:$C,'06. BC BH THEO CUSTOMER-USD'!$D49,'01. KE30'!$F:$F,'06. BC BH THEO CUSTOMER-USD'!$H49,'01. KE30'!$A:$A,'06. BC BH THEO CUSTOMER-USD'!CW$4)/1000</f>
        <v>44</v>
      </c>
      <c r="CX49" s="114">
        <f>SUMIFS('01. KE30'!$I:$I,'01. KE30'!$C:$C,'06. BC BH THEO CUSTOMER-USD'!$D49,'01. KE30'!$F:$F,'06. BC BH THEO CUSTOMER-USD'!$H49,'01. KE30'!$A:$A,'06. BC BH THEO CUSTOMER-USD'!CX$4)/1000</f>
        <v>22</v>
      </c>
      <c r="CY49" s="114">
        <f>SUMIFS('01. KE30'!$I:$I,'01. KE30'!$C:$C,'06. BC BH THEO CUSTOMER-USD'!$D49,'01. KE30'!$F:$F,'06. BC BH THEO CUSTOMER-USD'!$H49,'01. KE30'!$A:$A,'06. BC BH THEO CUSTOMER-USD'!CY$4)/1000</f>
        <v>66</v>
      </c>
      <c r="CZ49" s="114">
        <f>SUMIFS('01. KE30'!$I:$I,'01. KE30'!$C:$C,'06. BC BH THEO CUSTOMER-USD'!$D49,'01. KE30'!$F:$F,'06. BC BH THEO CUSTOMER-USD'!$H49,'01. KE30'!$A:$A,'06. BC BH THEO CUSTOMER-USD'!CZ$4)/1000</f>
        <v>44</v>
      </c>
      <c r="DA49" s="114">
        <f>SUMIFS('01. KE30'!$I:$I,'01. KE30'!$C:$C,'06. BC BH THEO CUSTOMER-USD'!$D49,'01. KE30'!$F:$F,'06. BC BH THEO CUSTOMER-USD'!$H49,'01. KE30'!$A:$A,'06. BC BH THEO CUSTOMER-USD'!DA$4)/1000</f>
        <v>110</v>
      </c>
      <c r="DB49" s="114">
        <f>SUMIFS('01. KE30'!$I:$I,'01. KE30'!$C:$C,'06. BC BH THEO CUSTOMER-USD'!$D49,'01. KE30'!$F:$F,'06. BC BH THEO CUSTOMER-USD'!$H49,'01. KE30'!$A:$A,'06. BC BH THEO CUSTOMER-USD'!DB$4)/1000</f>
        <v>0</v>
      </c>
      <c r="DC49" s="114">
        <f>SUMIFS('01. KE30'!$I:$I,'01. KE30'!$C:$C,'06. BC BH THEO CUSTOMER-USD'!$D49,'01. KE30'!$F:$F,'06. BC BH THEO CUSTOMER-USD'!$H49,'01. KE30'!$A:$A,'06. BC BH THEO CUSTOMER-USD'!DC$4)/1000</f>
        <v>0</v>
      </c>
      <c r="DD49" s="114">
        <f>SUMIFS('01. KE30'!$I:$I,'01. KE30'!$C:$C,'06. BC BH THEO CUSTOMER-USD'!$D49,'01. KE30'!$F:$F,'06. BC BH THEO CUSTOMER-USD'!$H49,'01. KE30'!$A:$A,'06. BC BH THEO CUSTOMER-USD'!DD$4)/1000</f>
        <v>0</v>
      </c>
      <c r="DF49" s="112">
        <f t="shared" si="267"/>
        <v>518947.62893450377</v>
      </c>
      <c r="DG49" s="54">
        <f t="shared" si="48"/>
        <v>65701.485347250098</v>
      </c>
      <c r="DH49" s="54" t="str">
        <f t="shared" si="49"/>
        <v>-</v>
      </c>
      <c r="DI49" s="54">
        <f t="shared" si="50"/>
        <v>30119.499291338579</v>
      </c>
      <c r="DJ49" s="54">
        <f t="shared" si="51"/>
        <v>29876.503561749902</v>
      </c>
      <c r="DK49" s="54">
        <f t="shared" si="52"/>
        <v>61174.201314771854</v>
      </c>
      <c r="DL49" s="54">
        <f t="shared" si="53"/>
        <v>30804.158950617282</v>
      </c>
      <c r="DM49" s="54">
        <f t="shared" si="54"/>
        <v>92394.928928159818</v>
      </c>
      <c r="DN49" s="54">
        <f t="shared" si="55"/>
        <v>61462.184873949584</v>
      </c>
      <c r="DO49" s="54">
        <f t="shared" si="56"/>
        <v>147414.66666666669</v>
      </c>
      <c r="DP49" s="54" t="str">
        <f t="shared" si="57"/>
        <v>-</v>
      </c>
      <c r="DQ49" s="54" t="str">
        <f t="shared" si="58"/>
        <v>-</v>
      </c>
      <c r="DR49" s="54" t="str">
        <f t="shared" si="59"/>
        <v>-</v>
      </c>
      <c r="DT49" s="112">
        <f t="shared" si="60"/>
        <v>103874.93588929197</v>
      </c>
      <c r="DU49" s="114">
        <f>IFERROR(SUMIFS('01. KE30'!$X:$X,'01. KE30'!$C:$C,'06. BC BH THEO CUSTOMER-USD'!$D49,'01. KE30'!$F:$F,'06. BC BH THEO CUSTOMER-USD'!$H49,'01. KE30'!$A:$A,'06. BC BH THEO CUSTOMER-USD'!DU$4)-SUMIFS('01. KE30'!$AA:$AA,'01. KE30'!$C:$C,'06. BC BH THEO CUSTOMER-USD'!$D49,'01. KE30'!$F:$F,'06. BC BH THEO CUSTOMER-USD'!$H49,'01. KE30'!$A:$A,'06. BC BH THEO CUSTOMER-USD'!DU$4),"-")</f>
        <v>18613.839341629864</v>
      </c>
      <c r="DV49" s="114">
        <f>IFERROR(SUMIFS('01. KE30'!$X:$X,'01. KE30'!$C:$C,'06. BC BH THEO CUSTOMER-USD'!$D49,'01. KE30'!$F:$F,'06. BC BH THEO CUSTOMER-USD'!$H49,'01. KE30'!$A:$A,'06. BC BH THEO CUSTOMER-USD'!DV$4)-SUMIFS('01. KE30'!$AA:$AA,'01. KE30'!$C:$C,'06. BC BH THEO CUSTOMER-USD'!$D49,'01. KE30'!$F:$F,'06. BC BH THEO CUSTOMER-USD'!$H49,'01. KE30'!$A:$A,'06. BC BH THEO CUSTOMER-USD'!DV$4),"-")</f>
        <v>0</v>
      </c>
      <c r="DW49" s="114">
        <f>IFERROR(SUMIFS('01. KE30'!$X:$X,'01. KE30'!$C:$C,'06. BC BH THEO CUSTOMER-USD'!$D49,'01. KE30'!$F:$F,'06. BC BH THEO CUSTOMER-USD'!$H49,'01. KE30'!$A:$A,'06. BC BH THEO CUSTOMER-USD'!DW$4)-SUMIFS('01. KE30'!$AA:$AA,'01. KE30'!$C:$C,'06. BC BH THEO CUSTOMER-USD'!$D49,'01. KE30'!$F:$F,'06. BC BH THEO CUSTOMER-USD'!$H49,'01. KE30'!$A:$A,'06. BC BH THEO CUSTOMER-USD'!DW$4),"-")</f>
        <v>7149.4805905511821</v>
      </c>
      <c r="DX49" s="114">
        <f>IFERROR(SUMIFS('01. KE30'!$X:$X,'01. KE30'!$C:$C,'06. BC BH THEO CUSTOMER-USD'!$D49,'01. KE30'!$F:$F,'06. BC BH THEO CUSTOMER-USD'!$H49,'01. KE30'!$A:$A,'06. BC BH THEO CUSTOMER-USD'!DX$4)-SUMIFS('01. KE30'!$AA:$AA,'01. KE30'!$C:$C,'06. BC BH THEO CUSTOMER-USD'!$D49,'01. KE30'!$F:$F,'06. BC BH THEO CUSTOMER-USD'!$H49,'01. KE30'!$A:$A,'06. BC BH THEO CUSTOMER-USD'!DX$4),"-")</f>
        <v>7122.826635694928</v>
      </c>
      <c r="DY49" s="114">
        <f>IFERROR(SUMIFS('01. KE30'!$X:$X,'01. KE30'!$C:$C,'06. BC BH THEO CUSTOMER-USD'!$D49,'01. KE30'!$F:$F,'06. BC BH THEO CUSTOMER-USD'!$H49,'01. KE30'!$A:$A,'06. BC BH THEO CUSTOMER-USD'!DY$4)-SUMIFS('01. KE30'!$AA:$AA,'01. KE30'!$C:$C,'06. BC BH THEO CUSTOMER-USD'!$D49,'01. KE30'!$F:$F,'06. BC BH THEO CUSTOMER-USD'!$H49,'01. KE30'!$A:$A,'06. BC BH THEO CUSTOMER-USD'!DY$4),"-")</f>
        <v>13727.797525135349</v>
      </c>
      <c r="DZ49" s="114">
        <f>IFERROR(SUMIFS('01. KE30'!$X:$X,'01. KE30'!$C:$C,'06. BC BH THEO CUSTOMER-USD'!$D49,'01. KE30'!$F:$F,'06. BC BH THEO CUSTOMER-USD'!$H49,'01. KE30'!$A:$A,'06. BC BH THEO CUSTOMER-USD'!DZ$4)-SUMIFS('01. KE30'!$AA:$AA,'01. KE30'!$C:$C,'06. BC BH THEO CUSTOMER-USD'!$D49,'01. KE30'!$F:$F,'06. BC BH THEO CUSTOMER-USD'!$H49,'01. KE30'!$A:$A,'06. BC BH THEO CUSTOMER-USD'!DZ$4),"-")</f>
        <v>6929.4112654320961</v>
      </c>
      <c r="EA49" s="114">
        <f>IFERROR(SUMIFS('01. KE30'!$X:$X,'01. KE30'!$C:$C,'06. BC BH THEO CUSTOMER-USD'!$D49,'01. KE30'!$F:$F,'06. BC BH THEO CUSTOMER-USD'!$H49,'01. KE30'!$A:$A,'06. BC BH THEO CUSTOMER-USD'!EA$4)-SUMIFS('01. KE30'!$AA:$AA,'01. KE30'!$C:$C,'06. BC BH THEO CUSTOMER-USD'!$D49,'01. KE30'!$F:$F,'06. BC BH THEO CUSTOMER-USD'!$H49,'01. KE30'!$A:$A,'06. BC BH THEO CUSTOMER-USD'!EA$4),"-")</f>
        <v>18058.450072992695</v>
      </c>
      <c r="EB49" s="114">
        <f>IFERROR(SUMIFS('01. KE30'!$X:$X,'01. KE30'!$C:$C,'06. BC BH THEO CUSTOMER-USD'!$D49,'01. KE30'!$F:$F,'06. BC BH THEO CUSTOMER-USD'!$H49,'01. KE30'!$A:$A,'06. BC BH THEO CUSTOMER-USD'!EB$4)-SUMIFS('01. KE30'!$AA:$AA,'01. KE30'!$C:$C,'06. BC BH THEO CUSTOMER-USD'!$D49,'01. KE30'!$F:$F,'06. BC BH THEO CUSTOMER-USD'!$H49,'01. KE30'!$A:$A,'06. BC BH THEO CUSTOMER-USD'!EB$4),"-")</f>
        <v>11068.078838808251</v>
      </c>
      <c r="EC49" s="114">
        <f>IFERROR(SUMIFS('01. KE30'!$X:$X,'01. KE30'!$C:$C,'06. BC BH THEO CUSTOMER-USD'!$D49,'01. KE30'!$F:$F,'06. BC BH THEO CUSTOMER-USD'!$H49,'01. KE30'!$A:$A,'06. BC BH THEO CUSTOMER-USD'!EC$4)-SUMIFS('01. KE30'!$AA:$AA,'01. KE30'!$C:$C,'06. BC BH THEO CUSTOMER-USD'!$D49,'01. KE30'!$F:$F,'06. BC BH THEO CUSTOMER-USD'!$H49,'01. KE30'!$A:$A,'06. BC BH THEO CUSTOMER-USD'!EC$4),"-")</f>
        <v>21205.051619047605</v>
      </c>
      <c r="ED49" s="114">
        <f>IFERROR(SUMIFS('01. KE30'!$X:$X,'01. KE30'!$C:$C,'06. BC BH THEO CUSTOMER-USD'!$D49,'01. KE30'!$F:$F,'06. BC BH THEO CUSTOMER-USD'!$H49,'01. KE30'!$A:$A,'06. BC BH THEO CUSTOMER-USD'!ED$4)-SUMIFS('01. KE30'!$AA:$AA,'01. KE30'!$C:$C,'06. BC BH THEO CUSTOMER-USD'!$D49,'01. KE30'!$F:$F,'06. BC BH THEO CUSTOMER-USD'!$H49,'01. KE30'!$A:$A,'06. BC BH THEO CUSTOMER-USD'!ED$4),"-")</f>
        <v>0</v>
      </c>
      <c r="EE49" s="114">
        <f>IFERROR(SUMIFS('01. KE30'!$X:$X,'01. KE30'!$C:$C,'06. BC BH THEO CUSTOMER-USD'!$D49,'01. KE30'!$F:$F,'06. BC BH THEO CUSTOMER-USD'!$H49,'01. KE30'!$A:$A,'06. BC BH THEO CUSTOMER-USD'!EE$4)-SUMIFS('01. KE30'!$AA:$AA,'01. KE30'!$C:$C,'06. BC BH THEO CUSTOMER-USD'!$D49,'01. KE30'!$F:$F,'06. BC BH THEO CUSTOMER-USD'!$H49,'01. KE30'!$A:$A,'06. BC BH THEO CUSTOMER-USD'!EE$4),"-")</f>
        <v>0</v>
      </c>
      <c r="EF49" s="114">
        <f>IFERROR(SUMIFS('01. KE30'!$X:$X,'01. KE30'!$C:$C,'06. BC BH THEO CUSTOMER-USD'!$D49,'01. KE30'!$F:$F,'06. BC BH THEO CUSTOMER-USD'!$H49,'01. KE30'!$A:$A,'06. BC BH THEO CUSTOMER-USD'!EF$4)-SUMIFS('01. KE30'!$AA:$AA,'01. KE30'!$C:$C,'06. BC BH THEO CUSTOMER-USD'!$D49,'01. KE30'!$F:$F,'06. BC BH THEO CUSTOMER-USD'!$H49,'01. KE30'!$A:$A,'06. BC BH THEO CUSTOMER-USD'!EF$4),"-")</f>
        <v>0</v>
      </c>
      <c r="EH49" s="571">
        <f t="shared" si="29"/>
        <v>0.2001645832789844</v>
      </c>
      <c r="EI49" s="572">
        <f t="shared" si="30"/>
        <v>0.28330926223738617</v>
      </c>
      <c r="EJ49" s="572" t="str">
        <f t="shared" si="31"/>
        <v>-</v>
      </c>
      <c r="EK49" s="572">
        <f t="shared" si="32"/>
        <v>0.23737049946933042</v>
      </c>
      <c r="EL49" s="572">
        <f t="shared" si="33"/>
        <v>0.23840897650467022</v>
      </c>
      <c r="EM49" s="572">
        <f t="shared" si="34"/>
        <v>0.22440501437033836</v>
      </c>
      <c r="EN49" s="572">
        <f t="shared" si="35"/>
        <v>0.22495050997953761</v>
      </c>
      <c r="EO49" s="572">
        <f t="shared" si="36"/>
        <v>0.19544849790440069</v>
      </c>
      <c r="EP49" s="572">
        <f t="shared" si="37"/>
        <v>0.18007948890048972</v>
      </c>
      <c r="EQ49" s="572">
        <f t="shared" si="38"/>
        <v>0.1438462813676224</v>
      </c>
      <c r="ER49" s="572" t="str">
        <f t="shared" si="39"/>
        <v>-</v>
      </c>
      <c r="ES49" s="572" t="str">
        <f t="shared" si="40"/>
        <v>-</v>
      </c>
      <c r="ET49" s="572" t="str">
        <f t="shared" si="41"/>
        <v>-</v>
      </c>
    </row>
    <row r="50" spans="1:150" ht="15.5" hidden="1" outlineLevel="1" x14ac:dyDescent="0.35">
      <c r="A50" s="27">
        <f t="shared" si="63"/>
        <v>41</v>
      </c>
      <c r="B50" s="27" t="s">
        <v>283</v>
      </c>
      <c r="C50" s="442" t="s">
        <v>119</v>
      </c>
      <c r="D50" s="9" t="s">
        <v>120</v>
      </c>
      <c r="E50" s="12" t="s">
        <v>119</v>
      </c>
      <c r="F50" s="12" t="s">
        <v>245</v>
      </c>
      <c r="G50" s="12" t="str">
        <f>_xlfn.XLOOKUP(F50,'Quy đổi'!$G$5:$G$32,'Quy đổi'!$H$5:$H$32,0)</f>
        <v>Nội địa</v>
      </c>
      <c r="H50" s="76" t="s">
        <v>100</v>
      </c>
      <c r="I50" s="7" t="s">
        <v>99</v>
      </c>
      <c r="J50" s="13" t="s">
        <v>22</v>
      </c>
      <c r="K50" s="11"/>
      <c r="L50" s="92">
        <f t="shared" si="42"/>
        <v>1447.2099558410277</v>
      </c>
      <c r="M50" s="106">
        <f>IFERROR(SUMIFS('01. KE30'!$K:$K,'01. KE30'!$C:$C,'06. BC BH THEO CUSTOMER-USD'!$D50,'01. KE30'!$F:$F,'06. BC BH THEO CUSTOMER-USD'!$H50,'01. KE30'!$A:$A,'06. BC BH THEO CUSTOMER-USD'!M$4)/'06. BC BH THEO CUSTOMER-USD'!CS50/'02. Tỷ giá'!B$5,"-")</f>
        <v>1447.2099558410277</v>
      </c>
      <c r="N50" s="106" t="str">
        <f>IFERROR(SUMIFS('01. KE30'!$K:$K,'01. KE30'!$C:$C,'06. BC BH THEO CUSTOMER-USD'!$D50,'01. KE30'!$F:$F,'06. BC BH THEO CUSTOMER-USD'!$H50,'01. KE30'!$A:$A,'06. BC BH THEO CUSTOMER-USD'!N$4)/'06. BC BH THEO CUSTOMER-USD'!CT50/'02. Tỷ giá'!C$5,"-")</f>
        <v>-</v>
      </c>
      <c r="O50" s="106" t="str">
        <f>IFERROR(SUMIFS('01. KE30'!$K:$K,'01. KE30'!$C:$C,'06. BC BH THEO CUSTOMER-USD'!$D50,'01. KE30'!$F:$F,'06. BC BH THEO CUSTOMER-USD'!$H50,'01. KE30'!$A:$A,'06. BC BH THEO CUSTOMER-USD'!O$4)/'06. BC BH THEO CUSTOMER-USD'!CU50/'02. Tỷ giá'!D$5,"-")</f>
        <v>-</v>
      </c>
      <c r="P50" s="106" t="str">
        <f>IFERROR(SUMIFS('01. KE30'!$K:$K,'01. KE30'!$C:$C,'06. BC BH THEO CUSTOMER-USD'!$D50,'01. KE30'!$F:$F,'06. BC BH THEO CUSTOMER-USD'!$H50,'01. KE30'!$A:$A,'06. BC BH THEO CUSTOMER-USD'!P$4)/'06. BC BH THEO CUSTOMER-USD'!CV50/'02. Tỷ giá'!E$5,"-")</f>
        <v>-</v>
      </c>
      <c r="Q50" s="106" t="str">
        <f>IFERROR(SUMIFS('01. KE30'!$K:$K,'01. KE30'!$C:$C,'06. BC BH THEO CUSTOMER-USD'!$D50,'01. KE30'!$F:$F,'06. BC BH THEO CUSTOMER-USD'!$H50,'01. KE30'!$A:$A,'06. BC BH THEO CUSTOMER-USD'!Q$4)/'06. BC BH THEO CUSTOMER-USD'!CW50/'02. Tỷ giá'!F$5,"-")</f>
        <v>-</v>
      </c>
      <c r="R50" s="106" t="str">
        <f>IFERROR(SUMIFS('01. KE30'!$K:$K,'01. KE30'!$C:$C,'06. BC BH THEO CUSTOMER-USD'!$D50,'01. KE30'!$F:$F,'06. BC BH THEO CUSTOMER-USD'!$H50,'01. KE30'!$A:$A,'06. BC BH THEO CUSTOMER-USD'!R$4)/'06. BC BH THEO CUSTOMER-USD'!CX50/'02. Tỷ giá'!G$5,"-")</f>
        <v>-</v>
      </c>
      <c r="S50" s="106" t="str">
        <f>IFERROR(SUMIFS('01. KE30'!$K:$K,'01. KE30'!$C:$C,'06. BC BH THEO CUSTOMER-USD'!$D50,'01. KE30'!$F:$F,'06. BC BH THEO CUSTOMER-USD'!$H50,'01. KE30'!$A:$A,'06. BC BH THEO CUSTOMER-USD'!S$4)/'06. BC BH THEO CUSTOMER-USD'!CY50/'02. Tỷ giá'!H$5,"-")</f>
        <v>-</v>
      </c>
      <c r="T50" s="106" t="str">
        <f>IFERROR(SUMIFS('01. KE30'!$K:$K,'01. KE30'!$C:$C,'06. BC BH THEO CUSTOMER-USD'!$D50,'01. KE30'!$F:$F,'06. BC BH THEO CUSTOMER-USD'!$H50,'01. KE30'!$A:$A,'06. BC BH THEO CUSTOMER-USD'!T$4)/'06. BC BH THEO CUSTOMER-USD'!CZ50/'02. Tỷ giá'!I$5,"-")</f>
        <v>-</v>
      </c>
      <c r="U50" s="106" t="str">
        <f>IFERROR(SUMIFS('01. KE30'!$K:$K,'01. KE30'!$C:$C,'06. BC BH THEO CUSTOMER-USD'!$D50,'01. KE30'!$F:$F,'06. BC BH THEO CUSTOMER-USD'!$H50,'01. KE30'!$A:$A,'06. BC BH THEO CUSTOMER-USD'!U$4)/'06. BC BH THEO CUSTOMER-USD'!DA50/'02. Tỷ giá'!J$5,"-")</f>
        <v>-</v>
      </c>
      <c r="V50" s="106" t="str">
        <f>IFERROR(SUMIFS('01. KE30'!$K:$K,'01. KE30'!$C:$C,'06. BC BH THEO CUSTOMER-USD'!$D50,'01. KE30'!$F:$F,'06. BC BH THEO CUSTOMER-USD'!$H50,'01. KE30'!$A:$A,'06. BC BH THEO CUSTOMER-USD'!V$4)/'06. BC BH THEO CUSTOMER-USD'!DB50/'02. Tỷ giá'!K$5,"-")</f>
        <v>-</v>
      </c>
      <c r="W50" s="106" t="str">
        <f>IFERROR(SUMIFS('01. KE30'!$K:$K,'01. KE30'!$C:$C,'06. BC BH THEO CUSTOMER-USD'!$D50,'01. KE30'!$F:$F,'06. BC BH THEO CUSTOMER-USD'!$H50,'01. KE30'!$A:$A,'06. BC BH THEO CUSTOMER-USD'!W$4)/'06. BC BH THEO CUSTOMER-USD'!DC50/'02. Tỷ giá'!L$5,"-")</f>
        <v>-</v>
      </c>
      <c r="X50" s="106" t="str">
        <f>IFERROR(SUMIFS('01. KE30'!$K:$K,'01. KE30'!$C:$C,'06. BC BH THEO CUSTOMER-USD'!$D50,'01. KE30'!$F:$F,'06. BC BH THEO CUSTOMER-USD'!$H50,'01. KE30'!$A:$A,'06. BC BH THEO CUSTOMER-USD'!X$4)/'06. BC BH THEO CUSTOMER-USD'!DD50/'02. Tỷ giá'!M$5,"-")</f>
        <v>-</v>
      </c>
      <c r="Z50" s="92">
        <f t="shared" si="43"/>
        <v>1447.2099558410277</v>
      </c>
      <c r="AA50" s="147">
        <f>IFERROR(SUMIFS('01. KE30'!$O:$O,'01. KE30'!$C:$C,'06. BC BH THEO CUSTOMER-USD'!$D50,'01. KE30'!$F:$F,'06. BC BH THEO CUSTOMER-USD'!$H50,'01. KE30'!$A:$A,'06. BC BH THEO CUSTOMER-USD'!M$4)/'06. BC BH THEO CUSTOMER-USD'!CS50/'02. Tỷ giá'!B$5,"-")</f>
        <v>1447.2099558410277</v>
      </c>
      <c r="AB50" s="147" t="str">
        <f>IFERROR(SUMIFS('01. KE30'!$O:$O,'01. KE30'!$C:$C,'06. BC BH THEO CUSTOMER-USD'!$D50,'01. KE30'!$F:$F,'06. BC BH THEO CUSTOMER-USD'!$H50,'01. KE30'!$A:$A,'06. BC BH THEO CUSTOMER-USD'!N$4)/'06. BC BH THEO CUSTOMER-USD'!CT50/'02. Tỷ giá'!C$5,"-")</f>
        <v>-</v>
      </c>
      <c r="AC50" s="147" t="str">
        <f>IFERROR(SUMIFS('01. KE30'!$O:$O,'01. KE30'!$C:$C,'06. BC BH THEO CUSTOMER-USD'!$D50,'01. KE30'!$F:$F,'06. BC BH THEO CUSTOMER-USD'!$H50,'01. KE30'!$A:$A,'06. BC BH THEO CUSTOMER-USD'!O$4)/'06. BC BH THEO CUSTOMER-USD'!CU50/'02. Tỷ giá'!D$5,"-")</f>
        <v>-</v>
      </c>
      <c r="AD50" s="147" t="str">
        <f>IFERROR(SUMIFS('01. KE30'!$O:$O,'01. KE30'!$C:$C,'06. BC BH THEO CUSTOMER-USD'!$D50,'01. KE30'!$F:$F,'06. BC BH THEO CUSTOMER-USD'!$H50,'01. KE30'!$A:$A,'06. BC BH THEO CUSTOMER-USD'!P$4)/'06. BC BH THEO CUSTOMER-USD'!CV50/'02. Tỷ giá'!E$5,"-")</f>
        <v>-</v>
      </c>
      <c r="AE50" s="147" t="str">
        <f>IFERROR(SUMIFS('01. KE30'!$O:$O,'01. KE30'!$C:$C,'06. BC BH THEO CUSTOMER-USD'!$D50,'01. KE30'!$F:$F,'06. BC BH THEO CUSTOMER-USD'!$H50,'01. KE30'!$A:$A,'06. BC BH THEO CUSTOMER-USD'!Q$4)/'06. BC BH THEO CUSTOMER-USD'!CW50/'02. Tỷ giá'!F$5,"-")</f>
        <v>-</v>
      </c>
      <c r="AF50" s="147" t="str">
        <f>IFERROR(SUMIFS('01. KE30'!$O:$O,'01. KE30'!$C:$C,'06. BC BH THEO CUSTOMER-USD'!$D50,'01. KE30'!$F:$F,'06. BC BH THEO CUSTOMER-USD'!$H50,'01. KE30'!$A:$A,'06. BC BH THEO CUSTOMER-USD'!R$4)/'06. BC BH THEO CUSTOMER-USD'!CX50/'02. Tỷ giá'!G$5,"-")</f>
        <v>-</v>
      </c>
      <c r="AG50" s="147" t="str">
        <f>IFERROR(SUMIFS('01. KE30'!$O:$O,'01. KE30'!$C:$C,'06. BC BH THEO CUSTOMER-USD'!$D50,'01. KE30'!$F:$F,'06. BC BH THEO CUSTOMER-USD'!$H50,'01. KE30'!$A:$A,'06. BC BH THEO CUSTOMER-USD'!S$4)/'06. BC BH THEO CUSTOMER-USD'!CY50/'02. Tỷ giá'!H$5,"-")</f>
        <v>-</v>
      </c>
      <c r="AH50" s="147" t="str">
        <f>IFERROR(SUMIFS('01. KE30'!$O:$O,'01. KE30'!$C:$C,'06. BC BH THEO CUSTOMER-USD'!$D50,'01. KE30'!$F:$F,'06. BC BH THEO CUSTOMER-USD'!$H50,'01. KE30'!$A:$A,'06. BC BH THEO CUSTOMER-USD'!T$4)/'06. BC BH THEO CUSTOMER-USD'!CZ50/'02. Tỷ giá'!I$5,"-")</f>
        <v>-</v>
      </c>
      <c r="AI50" s="147" t="str">
        <f>IFERROR(SUMIFS('01. KE30'!$O:$O,'01. KE30'!$C:$C,'06. BC BH THEO CUSTOMER-USD'!$D50,'01. KE30'!$F:$F,'06. BC BH THEO CUSTOMER-USD'!$H50,'01. KE30'!$A:$A,'06. BC BH THEO CUSTOMER-USD'!U$4)/'06. BC BH THEO CUSTOMER-USD'!DA50/'02. Tỷ giá'!J$5,"-")</f>
        <v>-</v>
      </c>
      <c r="AJ50" s="147" t="str">
        <f>IFERROR(SUMIFS('01. KE30'!$O:$O,'01. KE30'!$C:$C,'06. BC BH THEO CUSTOMER-USD'!$D50,'01. KE30'!$F:$F,'06. BC BH THEO CUSTOMER-USD'!$H50,'01. KE30'!$A:$A,'06. BC BH THEO CUSTOMER-USD'!V$4)/'06. BC BH THEO CUSTOMER-USD'!DB50/'02. Tỷ giá'!K$5,"-")</f>
        <v>-</v>
      </c>
      <c r="AK50" s="147" t="str">
        <f>IFERROR(SUMIFS('01. KE30'!$O:$O,'01. KE30'!$C:$C,'06. BC BH THEO CUSTOMER-USD'!$D50,'01. KE30'!$F:$F,'06. BC BH THEO CUSTOMER-USD'!$H50,'01. KE30'!$A:$A,'06. BC BH THEO CUSTOMER-USD'!W$4)/'06. BC BH THEO CUSTOMER-USD'!DC50/'02. Tỷ giá'!L$5,"-")</f>
        <v>-</v>
      </c>
      <c r="AL50" s="147" t="str">
        <f>IFERROR(SUMIFS('01. KE30'!$O:$O,'01. KE30'!$C:$C,'06. BC BH THEO CUSTOMER-USD'!$D50,'01. KE30'!$F:$F,'06. BC BH THEO CUSTOMER-USD'!$H50,'01. KE30'!$A:$A,'06. BC BH THEO CUSTOMER-USD'!X$4)/'06. BC BH THEO CUSTOMER-USD'!DD50/'02. Tỷ giá'!M$5,"-")</f>
        <v>-</v>
      </c>
      <c r="AN50" s="92">
        <f t="shared" si="44"/>
        <v>1266.6666666666667</v>
      </c>
      <c r="AO50" s="25">
        <v>1260</v>
      </c>
      <c r="AP50" s="25">
        <v>1260</v>
      </c>
      <c r="AQ50" s="25">
        <v>1260</v>
      </c>
      <c r="AR50" s="4">
        <f t="shared" ref="AR50:AR52" si="270">AQ50+20</f>
        <v>1280</v>
      </c>
      <c r="AS50" s="4">
        <v>1280</v>
      </c>
      <c r="AT50" s="4">
        <v>1280</v>
      </c>
      <c r="AU50" s="4">
        <v>1280</v>
      </c>
      <c r="AV50" s="4">
        <f t="shared" si="205"/>
        <v>1250</v>
      </c>
      <c r="AW50" s="25">
        <v>1250</v>
      </c>
      <c r="AX50" s="25"/>
      <c r="AY50" s="4"/>
      <c r="AZ50" s="4"/>
      <c r="BB50" s="95">
        <f t="shared" si="45"/>
        <v>180.54328917436101</v>
      </c>
      <c r="BC50" s="95">
        <f t="shared" si="206"/>
        <v>187.20995584102775</v>
      </c>
      <c r="BD50" s="95" t="str">
        <f t="shared" si="201"/>
        <v>-</v>
      </c>
      <c r="BE50" s="95" t="str">
        <f t="shared" si="201"/>
        <v>-</v>
      </c>
      <c r="BF50" s="95" t="str">
        <f t="shared" si="201"/>
        <v>-</v>
      </c>
      <c r="BG50" s="95" t="str">
        <f t="shared" si="201"/>
        <v>-</v>
      </c>
      <c r="BH50" s="95" t="str">
        <f t="shared" si="201"/>
        <v>-</v>
      </c>
      <c r="BI50" s="95" t="str">
        <f t="shared" si="201"/>
        <v>-</v>
      </c>
      <c r="BJ50" s="95" t="str">
        <f t="shared" si="201"/>
        <v>-</v>
      </c>
      <c r="BK50" s="95" t="str">
        <f t="shared" si="201"/>
        <v>-</v>
      </c>
      <c r="BL50" s="95" t="str">
        <f t="shared" si="201"/>
        <v>-</v>
      </c>
      <c r="BM50" s="95" t="str">
        <f t="shared" si="201"/>
        <v>-</v>
      </c>
      <c r="BN50" s="95" t="str">
        <f t="shared" si="201"/>
        <v>-</v>
      </c>
      <c r="BP50" s="143">
        <f t="shared" si="47"/>
        <v>0.1425341756639692</v>
      </c>
      <c r="BQ50" s="143">
        <f t="shared" si="202"/>
        <v>0.14857933003256171</v>
      </c>
      <c r="BR50" s="143" t="str">
        <f t="shared" si="9"/>
        <v>-</v>
      </c>
      <c r="BS50" s="143" t="str">
        <f t="shared" si="10"/>
        <v>-</v>
      </c>
      <c r="BT50" s="143" t="str">
        <f t="shared" si="11"/>
        <v>-</v>
      </c>
      <c r="BU50" s="143" t="str">
        <f t="shared" si="12"/>
        <v>-</v>
      </c>
      <c r="BV50" s="143" t="str">
        <f t="shared" si="13"/>
        <v>-</v>
      </c>
      <c r="BW50" s="143" t="str">
        <f t="shared" si="14"/>
        <v>-</v>
      </c>
      <c r="BX50" s="143" t="str">
        <f t="shared" si="15"/>
        <v>-</v>
      </c>
      <c r="BY50" s="143" t="str">
        <f t="shared" si="16"/>
        <v>-</v>
      </c>
      <c r="BZ50" s="143" t="str">
        <f t="shared" si="17"/>
        <v>-</v>
      </c>
      <c r="CA50" s="143" t="str">
        <f t="shared" si="18"/>
        <v>-</v>
      </c>
      <c r="CB50" s="143" t="str">
        <f t="shared" si="19"/>
        <v>-</v>
      </c>
      <c r="CD50" s="112">
        <f t="shared" si="25"/>
        <v>1038.2315852219506</v>
      </c>
      <c r="CE50" s="95">
        <f>IFERROR(SUMIFS('01. KE30'!$R:$R,'01. KE30'!$C:$C,'06. BC BH THEO CUSTOMER-USD'!$D50,'01. KE30'!$F:$F,'06. BC BH THEO CUSTOMER-USD'!$H50,'01. KE30'!$A:$A,'06. BC BH THEO CUSTOMER-USD'!CE$4)/CS50/'02. Tỷ giá'!B$5," -")</f>
        <v>1038.2315852219506</v>
      </c>
      <c r="CF50" s="95" t="str">
        <f>IFERROR(SUMIFS('01. KE30'!$R:$R,'01. KE30'!$C:$C,'06. BC BH THEO CUSTOMER-USD'!$D50,'01. KE30'!$F:$F,'06. BC BH THEO CUSTOMER-USD'!$H50,'01. KE30'!$A:$A,'06. BC BH THEO CUSTOMER-USD'!CF$4)/CT50/'02. Tỷ giá'!C$5," -")</f>
        <v xml:space="preserve"> -</v>
      </c>
      <c r="CG50" s="95" t="str">
        <f>IFERROR(SUMIFS('01. KE30'!$R:$R,'01. KE30'!$C:$C,'06. BC BH THEO CUSTOMER-USD'!$D50,'01. KE30'!$F:$F,'06. BC BH THEO CUSTOMER-USD'!$H50,'01. KE30'!$A:$A,'06. BC BH THEO CUSTOMER-USD'!CG$4)/CU50/'02. Tỷ giá'!D$5," -")</f>
        <v xml:space="preserve"> -</v>
      </c>
      <c r="CH50" s="95" t="str">
        <f>IFERROR(SUMIFS('01. KE30'!$R:$R,'01. KE30'!$C:$C,'06. BC BH THEO CUSTOMER-USD'!$D50,'01. KE30'!$F:$F,'06. BC BH THEO CUSTOMER-USD'!$H50,'01. KE30'!$A:$A,'06. BC BH THEO CUSTOMER-USD'!CH$4)/CV50/'02. Tỷ giá'!E$5," -")</f>
        <v xml:space="preserve"> -</v>
      </c>
      <c r="CI50" s="95" t="str">
        <f>IFERROR(SUMIFS('01. KE30'!$R:$R,'01. KE30'!$C:$C,'06. BC BH THEO CUSTOMER-USD'!$D50,'01. KE30'!$F:$F,'06. BC BH THEO CUSTOMER-USD'!$H50,'01. KE30'!$A:$A,'06. BC BH THEO CUSTOMER-USD'!CI$4)/CW50/'02. Tỷ giá'!F$5," -")</f>
        <v xml:space="preserve"> -</v>
      </c>
      <c r="CJ50" s="95" t="str">
        <f>IFERROR(SUMIFS('01. KE30'!$R:$R,'01. KE30'!$C:$C,'06. BC BH THEO CUSTOMER-USD'!$D50,'01. KE30'!$F:$F,'06. BC BH THEO CUSTOMER-USD'!$H50,'01. KE30'!$A:$A,'06. BC BH THEO CUSTOMER-USD'!CJ$4)/CX50/'02. Tỷ giá'!G$5," -")</f>
        <v xml:space="preserve"> -</v>
      </c>
      <c r="CK50" s="95" t="str">
        <f>IFERROR(SUMIFS('01. KE30'!$R:$R,'01. KE30'!$C:$C,'06. BC BH THEO CUSTOMER-USD'!$D50,'01. KE30'!$F:$F,'06. BC BH THEO CUSTOMER-USD'!$H50,'01. KE30'!$A:$A,'06. BC BH THEO CUSTOMER-USD'!CK$4)/CY50/'02. Tỷ giá'!H$5," -")</f>
        <v xml:space="preserve"> -</v>
      </c>
      <c r="CL50" s="95" t="str">
        <f>IFERROR(SUMIFS('01. KE30'!$R:$R,'01. KE30'!$C:$C,'06. BC BH THEO CUSTOMER-USD'!$D50,'01. KE30'!$F:$F,'06. BC BH THEO CUSTOMER-USD'!$H50,'01. KE30'!$A:$A,'06. BC BH THEO CUSTOMER-USD'!CL$4)/CZ50/'02. Tỷ giá'!I$5," -")</f>
        <v xml:space="preserve"> -</v>
      </c>
      <c r="CM50" s="95" t="str">
        <f>IFERROR(SUMIFS('01. KE30'!$R:$R,'01. KE30'!$C:$C,'06. BC BH THEO CUSTOMER-USD'!$D50,'01. KE30'!$F:$F,'06. BC BH THEO CUSTOMER-USD'!$H50,'01. KE30'!$A:$A,'06. BC BH THEO CUSTOMER-USD'!CM$4)/DA50/'02. Tỷ giá'!J$5," -")</f>
        <v xml:space="preserve"> -</v>
      </c>
      <c r="CN50" s="95" t="str">
        <f>IFERROR(SUMIFS('01. KE30'!$R:$R,'01. KE30'!$C:$C,'06. BC BH THEO CUSTOMER-USD'!$D50,'01. KE30'!$F:$F,'06. BC BH THEO CUSTOMER-USD'!$H50,'01. KE30'!$A:$A,'06. BC BH THEO CUSTOMER-USD'!CN$4)/DB50/'02. Tỷ giá'!K$5," -")</f>
        <v xml:space="preserve"> -</v>
      </c>
      <c r="CO50" s="95" t="str">
        <f>IFERROR(SUMIFS('01. KE30'!$R:$R,'01. KE30'!$C:$C,'06. BC BH THEO CUSTOMER-USD'!$D50,'01. KE30'!$F:$F,'06. BC BH THEO CUSTOMER-USD'!$H50,'01. KE30'!$A:$A,'06. BC BH THEO CUSTOMER-USD'!CO$4)/DC50/'02. Tỷ giá'!L$5," -")</f>
        <v xml:space="preserve"> -</v>
      </c>
      <c r="CP50" s="95" t="str">
        <f>IFERROR(SUMIFS('01. KE30'!$R:$R,'01. KE30'!$C:$C,'06. BC BH THEO CUSTOMER-USD'!$D50,'01. KE30'!$F:$F,'06. BC BH THEO CUSTOMER-USD'!$H50,'01. KE30'!$A:$A,'06. BC BH THEO CUSTOMER-USD'!CP$4)/DD50/'02. Tỷ giá'!M$5," -")</f>
        <v xml:space="preserve"> -</v>
      </c>
      <c r="CR50" s="112">
        <f t="shared" si="266"/>
        <v>3.3</v>
      </c>
      <c r="CS50" s="455">
        <f>SUMIFS('01. KE30'!$I:$I,'01. KE30'!$C:$C,'06. BC BH THEO CUSTOMER-USD'!$D50,'01. KE30'!$F:$F,'06. BC BH THEO CUSTOMER-USD'!$H50,'01. KE30'!$A:$A,'06. BC BH THEO CUSTOMER-USD'!CS$4)/1000</f>
        <v>3.3</v>
      </c>
      <c r="CT50" s="114">
        <f>SUMIFS('01. KE30'!$I:$I,'01. KE30'!$C:$C,'06. BC BH THEO CUSTOMER-USD'!$D50,'01. KE30'!$F:$F,'06. BC BH THEO CUSTOMER-USD'!$H50,'01. KE30'!$A:$A,'06. BC BH THEO CUSTOMER-USD'!CT$4)/1000</f>
        <v>0</v>
      </c>
      <c r="CU50" s="114">
        <f>SUMIFS('01. KE30'!$I:$I,'01. KE30'!$C:$C,'06. BC BH THEO CUSTOMER-USD'!$D50,'01. KE30'!$F:$F,'06. BC BH THEO CUSTOMER-USD'!$H50,'01. KE30'!$A:$A,'06. BC BH THEO CUSTOMER-USD'!CU$4)/1000</f>
        <v>0</v>
      </c>
      <c r="CV50" s="114">
        <f>SUMIFS('01. KE30'!$I:$I,'01. KE30'!$C:$C,'06. BC BH THEO CUSTOMER-USD'!$D50,'01. KE30'!$F:$F,'06. BC BH THEO CUSTOMER-USD'!$H50,'01. KE30'!$A:$A,'06. BC BH THEO CUSTOMER-USD'!CV$4)/1000</f>
        <v>0</v>
      </c>
      <c r="CW50" s="114">
        <f>SUMIFS('01. KE30'!$I:$I,'01. KE30'!$C:$C,'06. BC BH THEO CUSTOMER-USD'!$D50,'01. KE30'!$F:$F,'06. BC BH THEO CUSTOMER-USD'!$H50,'01. KE30'!$A:$A,'06. BC BH THEO CUSTOMER-USD'!CW$4)/1000</f>
        <v>0</v>
      </c>
      <c r="CX50" s="114">
        <f>SUMIFS('01. KE30'!$I:$I,'01. KE30'!$C:$C,'06. BC BH THEO CUSTOMER-USD'!$D50,'01. KE30'!$F:$F,'06. BC BH THEO CUSTOMER-USD'!$H50,'01. KE30'!$A:$A,'06. BC BH THEO CUSTOMER-USD'!CX$4)/1000</f>
        <v>0</v>
      </c>
      <c r="CY50" s="114">
        <f>SUMIFS('01. KE30'!$I:$I,'01. KE30'!$C:$C,'06. BC BH THEO CUSTOMER-USD'!$D50,'01. KE30'!$F:$F,'06. BC BH THEO CUSTOMER-USD'!$H50,'01. KE30'!$A:$A,'06. BC BH THEO CUSTOMER-USD'!CY$4)/1000</f>
        <v>0</v>
      </c>
      <c r="CZ50" s="114">
        <f>SUMIFS('01. KE30'!$I:$I,'01. KE30'!$C:$C,'06. BC BH THEO CUSTOMER-USD'!$D50,'01. KE30'!$F:$F,'06. BC BH THEO CUSTOMER-USD'!$H50,'01. KE30'!$A:$A,'06. BC BH THEO CUSTOMER-USD'!CZ$4)/1000</f>
        <v>0</v>
      </c>
      <c r="DA50" s="114">
        <f>SUMIFS('01. KE30'!$I:$I,'01. KE30'!$C:$C,'06. BC BH THEO CUSTOMER-USD'!$D50,'01. KE30'!$F:$F,'06. BC BH THEO CUSTOMER-USD'!$H50,'01. KE30'!$A:$A,'06. BC BH THEO CUSTOMER-USD'!DA$4)/1000</f>
        <v>0</v>
      </c>
      <c r="DB50" s="114">
        <f>SUMIFS('01. KE30'!$I:$I,'01. KE30'!$C:$C,'06. BC BH THEO CUSTOMER-USD'!$D50,'01. KE30'!$F:$F,'06. BC BH THEO CUSTOMER-USD'!$H50,'01. KE30'!$A:$A,'06. BC BH THEO CUSTOMER-USD'!DB$4)/1000</f>
        <v>0</v>
      </c>
      <c r="DC50" s="114">
        <f>SUMIFS('01. KE30'!$I:$I,'01. KE30'!$C:$C,'06. BC BH THEO CUSTOMER-USD'!$D50,'01. KE30'!$F:$F,'06. BC BH THEO CUSTOMER-USD'!$H50,'01. KE30'!$A:$A,'06. BC BH THEO CUSTOMER-USD'!DC$4)/1000</f>
        <v>0</v>
      </c>
      <c r="DD50" s="114">
        <f>SUMIFS('01. KE30'!$I:$I,'01. KE30'!$C:$C,'06. BC BH THEO CUSTOMER-USD'!$D50,'01. KE30'!$F:$F,'06. BC BH THEO CUSTOMER-USD'!$H50,'01. KE30'!$A:$A,'06. BC BH THEO CUSTOMER-USD'!DD$4)/1000</f>
        <v>0</v>
      </c>
      <c r="DF50" s="112">
        <f t="shared" si="267"/>
        <v>4775.7928542753916</v>
      </c>
      <c r="DG50" s="54">
        <f t="shared" si="48"/>
        <v>4775.7928542753916</v>
      </c>
      <c r="DH50" s="54" t="str">
        <f t="shared" si="49"/>
        <v>-</v>
      </c>
      <c r="DI50" s="54" t="str">
        <f t="shared" si="50"/>
        <v>-</v>
      </c>
      <c r="DJ50" s="54" t="str">
        <f t="shared" si="51"/>
        <v>-</v>
      </c>
      <c r="DK50" s="54" t="str">
        <f t="shared" si="52"/>
        <v>-</v>
      </c>
      <c r="DL50" s="54" t="str">
        <f t="shared" si="53"/>
        <v>-</v>
      </c>
      <c r="DM50" s="54" t="str">
        <f t="shared" si="54"/>
        <v>-</v>
      </c>
      <c r="DN50" s="54" t="str">
        <f t="shared" si="55"/>
        <v>-</v>
      </c>
      <c r="DO50" s="54" t="str">
        <f t="shared" si="56"/>
        <v>-</v>
      </c>
      <c r="DP50" s="54" t="str">
        <f t="shared" si="57"/>
        <v>-</v>
      </c>
      <c r="DQ50" s="54" t="str">
        <f t="shared" si="58"/>
        <v>-</v>
      </c>
      <c r="DR50" s="54" t="str">
        <f t="shared" si="59"/>
        <v>-</v>
      </c>
      <c r="DT50" s="112">
        <f t="shared" si="60"/>
        <v>1349.628623042955</v>
      </c>
      <c r="DU50" s="114">
        <f>IFERROR(SUMIFS('01. KE30'!$X:$X,'01. KE30'!$C:$C,'06. BC BH THEO CUSTOMER-USD'!$D50,'01. KE30'!$F:$F,'06. BC BH THEO CUSTOMER-USD'!$H50,'01. KE30'!$A:$A,'06. BC BH THEO CUSTOMER-USD'!DU$4)-SUMIFS('01. KE30'!$AA:$AA,'01. KE30'!$C:$C,'06. BC BH THEO CUSTOMER-USD'!$D50,'01. KE30'!$F:$F,'06. BC BH THEO CUSTOMER-USD'!$H50,'01. KE30'!$A:$A,'06. BC BH THEO CUSTOMER-USD'!DU$4),"-")</f>
        <v>1349.628623042955</v>
      </c>
      <c r="DV50" s="114">
        <f>IFERROR(SUMIFS('01. KE30'!$X:$X,'01. KE30'!$C:$C,'06. BC BH THEO CUSTOMER-USD'!$D50,'01. KE30'!$F:$F,'06. BC BH THEO CUSTOMER-USD'!$H50,'01. KE30'!$A:$A,'06. BC BH THEO CUSTOMER-USD'!DV$4)-SUMIFS('01. KE30'!$AA:$AA,'01. KE30'!$C:$C,'06. BC BH THEO CUSTOMER-USD'!$D50,'01. KE30'!$F:$F,'06. BC BH THEO CUSTOMER-USD'!$H50,'01. KE30'!$A:$A,'06. BC BH THEO CUSTOMER-USD'!DV$4),"-")</f>
        <v>0</v>
      </c>
      <c r="DW50" s="114">
        <f>IFERROR(SUMIFS('01. KE30'!$X:$X,'01. KE30'!$C:$C,'06. BC BH THEO CUSTOMER-USD'!$D50,'01. KE30'!$F:$F,'06. BC BH THEO CUSTOMER-USD'!$H50,'01. KE30'!$A:$A,'06. BC BH THEO CUSTOMER-USD'!DW$4)-SUMIFS('01. KE30'!$AA:$AA,'01. KE30'!$C:$C,'06. BC BH THEO CUSTOMER-USD'!$D50,'01. KE30'!$F:$F,'06. BC BH THEO CUSTOMER-USD'!$H50,'01. KE30'!$A:$A,'06. BC BH THEO CUSTOMER-USD'!DW$4),"-")</f>
        <v>0</v>
      </c>
      <c r="DX50" s="114">
        <f>IFERROR(SUMIFS('01. KE30'!$X:$X,'01. KE30'!$C:$C,'06. BC BH THEO CUSTOMER-USD'!$D50,'01. KE30'!$F:$F,'06. BC BH THEO CUSTOMER-USD'!$H50,'01. KE30'!$A:$A,'06. BC BH THEO CUSTOMER-USD'!DX$4)-SUMIFS('01. KE30'!$AA:$AA,'01. KE30'!$C:$C,'06. BC BH THEO CUSTOMER-USD'!$D50,'01. KE30'!$F:$F,'06. BC BH THEO CUSTOMER-USD'!$H50,'01. KE30'!$A:$A,'06. BC BH THEO CUSTOMER-USD'!DX$4),"-")</f>
        <v>0</v>
      </c>
      <c r="DY50" s="114">
        <f>IFERROR(SUMIFS('01. KE30'!$X:$X,'01. KE30'!$C:$C,'06. BC BH THEO CUSTOMER-USD'!$D50,'01. KE30'!$F:$F,'06. BC BH THEO CUSTOMER-USD'!$H50,'01. KE30'!$A:$A,'06. BC BH THEO CUSTOMER-USD'!DY$4)-SUMIFS('01. KE30'!$AA:$AA,'01. KE30'!$C:$C,'06. BC BH THEO CUSTOMER-USD'!$D50,'01. KE30'!$F:$F,'06. BC BH THEO CUSTOMER-USD'!$H50,'01. KE30'!$A:$A,'06. BC BH THEO CUSTOMER-USD'!DY$4),"-")</f>
        <v>0</v>
      </c>
      <c r="DZ50" s="114">
        <f>IFERROR(SUMIFS('01. KE30'!$X:$X,'01. KE30'!$C:$C,'06. BC BH THEO CUSTOMER-USD'!$D50,'01. KE30'!$F:$F,'06. BC BH THEO CUSTOMER-USD'!$H50,'01. KE30'!$A:$A,'06. BC BH THEO CUSTOMER-USD'!DZ$4)-SUMIFS('01. KE30'!$AA:$AA,'01. KE30'!$C:$C,'06. BC BH THEO CUSTOMER-USD'!$D50,'01. KE30'!$F:$F,'06. BC BH THEO CUSTOMER-USD'!$H50,'01. KE30'!$A:$A,'06. BC BH THEO CUSTOMER-USD'!DZ$4),"-")</f>
        <v>0</v>
      </c>
      <c r="EA50" s="114">
        <f>IFERROR(SUMIFS('01. KE30'!$X:$X,'01. KE30'!$C:$C,'06. BC BH THEO CUSTOMER-USD'!$D50,'01. KE30'!$F:$F,'06. BC BH THEO CUSTOMER-USD'!$H50,'01. KE30'!$A:$A,'06. BC BH THEO CUSTOMER-USD'!EA$4)-SUMIFS('01. KE30'!$AA:$AA,'01. KE30'!$C:$C,'06. BC BH THEO CUSTOMER-USD'!$D50,'01. KE30'!$F:$F,'06. BC BH THEO CUSTOMER-USD'!$H50,'01. KE30'!$A:$A,'06. BC BH THEO CUSTOMER-USD'!EA$4),"-")</f>
        <v>0</v>
      </c>
      <c r="EB50" s="114">
        <f>IFERROR(SUMIFS('01. KE30'!$X:$X,'01. KE30'!$C:$C,'06. BC BH THEO CUSTOMER-USD'!$D50,'01. KE30'!$F:$F,'06. BC BH THEO CUSTOMER-USD'!$H50,'01. KE30'!$A:$A,'06. BC BH THEO CUSTOMER-USD'!EB$4)-SUMIFS('01. KE30'!$AA:$AA,'01. KE30'!$C:$C,'06. BC BH THEO CUSTOMER-USD'!$D50,'01. KE30'!$F:$F,'06. BC BH THEO CUSTOMER-USD'!$H50,'01. KE30'!$A:$A,'06. BC BH THEO CUSTOMER-USD'!EB$4),"-")</f>
        <v>0</v>
      </c>
      <c r="EC50" s="114">
        <f>IFERROR(SUMIFS('01. KE30'!$X:$X,'01. KE30'!$C:$C,'06. BC BH THEO CUSTOMER-USD'!$D50,'01. KE30'!$F:$F,'06. BC BH THEO CUSTOMER-USD'!$H50,'01. KE30'!$A:$A,'06. BC BH THEO CUSTOMER-USD'!EC$4)-SUMIFS('01. KE30'!$AA:$AA,'01. KE30'!$C:$C,'06. BC BH THEO CUSTOMER-USD'!$D50,'01. KE30'!$F:$F,'06. BC BH THEO CUSTOMER-USD'!$H50,'01. KE30'!$A:$A,'06. BC BH THEO CUSTOMER-USD'!EC$4),"-")</f>
        <v>0</v>
      </c>
      <c r="ED50" s="114">
        <f>IFERROR(SUMIFS('01. KE30'!$X:$X,'01. KE30'!$C:$C,'06. BC BH THEO CUSTOMER-USD'!$D50,'01. KE30'!$F:$F,'06. BC BH THEO CUSTOMER-USD'!$H50,'01. KE30'!$A:$A,'06. BC BH THEO CUSTOMER-USD'!ED$4)-SUMIFS('01. KE30'!$AA:$AA,'01. KE30'!$C:$C,'06. BC BH THEO CUSTOMER-USD'!$D50,'01. KE30'!$F:$F,'06. BC BH THEO CUSTOMER-USD'!$H50,'01. KE30'!$A:$A,'06. BC BH THEO CUSTOMER-USD'!ED$4),"-")</f>
        <v>0</v>
      </c>
      <c r="EE50" s="114">
        <f>IFERROR(SUMIFS('01. KE30'!$X:$X,'01. KE30'!$C:$C,'06. BC BH THEO CUSTOMER-USD'!$D50,'01. KE30'!$F:$F,'06. BC BH THEO CUSTOMER-USD'!$H50,'01. KE30'!$A:$A,'06. BC BH THEO CUSTOMER-USD'!EE$4)-SUMIFS('01. KE30'!$AA:$AA,'01. KE30'!$C:$C,'06. BC BH THEO CUSTOMER-USD'!$D50,'01. KE30'!$F:$F,'06. BC BH THEO CUSTOMER-USD'!$H50,'01. KE30'!$A:$A,'06. BC BH THEO CUSTOMER-USD'!EE$4),"-")</f>
        <v>0</v>
      </c>
      <c r="EF50" s="114">
        <f>IFERROR(SUMIFS('01. KE30'!$X:$X,'01. KE30'!$C:$C,'06. BC BH THEO CUSTOMER-USD'!$D50,'01. KE30'!$F:$F,'06. BC BH THEO CUSTOMER-USD'!$H50,'01. KE30'!$A:$A,'06. BC BH THEO CUSTOMER-USD'!EF$4)-SUMIFS('01. KE30'!$AA:$AA,'01. KE30'!$C:$C,'06. BC BH THEO CUSTOMER-USD'!$D50,'01. KE30'!$F:$F,'06. BC BH THEO CUSTOMER-USD'!$H50,'01. KE30'!$A:$A,'06. BC BH THEO CUSTOMER-USD'!EF$4),"-")</f>
        <v>0</v>
      </c>
      <c r="EH50" s="571">
        <f t="shared" si="29"/>
        <v>0.28259781448325144</v>
      </c>
      <c r="EI50" s="572">
        <f t="shared" si="30"/>
        <v>0.28259781448325144</v>
      </c>
      <c r="EJ50" s="572" t="str">
        <f t="shared" si="31"/>
        <v>-</v>
      </c>
      <c r="EK50" s="572" t="str">
        <f t="shared" si="32"/>
        <v>-</v>
      </c>
      <c r="EL50" s="572" t="str">
        <f t="shared" si="33"/>
        <v>-</v>
      </c>
      <c r="EM50" s="572" t="str">
        <f t="shared" si="34"/>
        <v>-</v>
      </c>
      <c r="EN50" s="572" t="str">
        <f t="shared" si="35"/>
        <v>-</v>
      </c>
      <c r="EO50" s="572" t="str">
        <f t="shared" si="36"/>
        <v>-</v>
      </c>
      <c r="EP50" s="572" t="str">
        <f t="shared" si="37"/>
        <v>-</v>
      </c>
      <c r="EQ50" s="572" t="str">
        <f t="shared" si="38"/>
        <v>-</v>
      </c>
      <c r="ER50" s="572" t="str">
        <f t="shared" si="39"/>
        <v>-</v>
      </c>
      <c r="ES50" s="572" t="str">
        <f t="shared" si="40"/>
        <v>-</v>
      </c>
      <c r="ET50" s="572" t="str">
        <f t="shared" si="41"/>
        <v>-</v>
      </c>
    </row>
    <row r="51" spans="1:150" ht="15.5" hidden="1" outlineLevel="1" x14ac:dyDescent="0.35">
      <c r="A51" s="27">
        <f t="shared" si="63"/>
        <v>42</v>
      </c>
      <c r="B51" s="27" t="s">
        <v>283</v>
      </c>
      <c r="C51" s="442" t="s">
        <v>119</v>
      </c>
      <c r="D51" s="9" t="s">
        <v>176</v>
      </c>
      <c r="E51" s="12" t="s">
        <v>177</v>
      </c>
      <c r="F51" s="12" t="s">
        <v>245</v>
      </c>
      <c r="G51" s="12" t="str">
        <f>_xlfn.XLOOKUP(F51,'Quy đổi'!$G$5:$G$32,'Quy đổi'!$H$5:$H$32,0)</f>
        <v>Nội địa</v>
      </c>
      <c r="H51" s="76" t="s">
        <v>100</v>
      </c>
      <c r="I51" s="7" t="s">
        <v>99</v>
      </c>
      <c r="J51" s="13" t="s">
        <v>22</v>
      </c>
      <c r="K51" s="11"/>
      <c r="L51" s="92">
        <f t="shared" si="42"/>
        <v>1458.1274157233129</v>
      </c>
      <c r="M51" s="106">
        <f>IFERROR(SUMIFS('01. KE30'!$K:$K,'01. KE30'!$C:$C,'06. BC BH THEO CUSTOMER-USD'!$D51,'01. KE30'!$F:$F,'06. BC BH THEO CUSTOMER-USD'!$H51,'01. KE30'!$A:$A,'06. BC BH THEO CUSTOMER-USD'!M$4)/'06. BC BH THEO CUSTOMER-USD'!CS51/'02. Tỷ giá'!B$5,"-")</f>
        <v>1510.1083902047371</v>
      </c>
      <c r="N51" s="106">
        <f>IFERROR(SUMIFS('01. KE30'!$K:$K,'01. KE30'!$C:$C,'06. BC BH THEO CUSTOMER-USD'!$D51,'01. KE30'!$F:$F,'06. BC BH THEO CUSTOMER-USD'!$H51,'01. KE30'!$A:$A,'06. BC BH THEO CUSTOMER-USD'!N$4)/'06. BC BH THEO CUSTOMER-USD'!CT51/'02. Tỷ giá'!C$5,"-")</f>
        <v>1421.5966916108705</v>
      </c>
      <c r="O51" s="106">
        <f>IFERROR(SUMIFS('01. KE30'!$K:$K,'01. KE30'!$C:$C,'06. BC BH THEO CUSTOMER-USD'!$D51,'01. KE30'!$F:$F,'06. BC BH THEO CUSTOMER-USD'!$H51,'01. KE30'!$A:$A,'06. BC BH THEO CUSTOMER-USD'!O$4)/'06. BC BH THEO CUSTOMER-USD'!CU51/'02. Tỷ giá'!D$5,"-")</f>
        <v>1442.6771653543308</v>
      </c>
      <c r="P51" s="106" t="str">
        <f>IFERROR(SUMIFS('01. KE30'!$K:$K,'01. KE30'!$C:$C,'06. BC BH THEO CUSTOMER-USD'!$D51,'01. KE30'!$F:$F,'06. BC BH THEO CUSTOMER-USD'!$H51,'01. KE30'!$A:$A,'06. BC BH THEO CUSTOMER-USD'!P$4)/'06. BC BH THEO CUSTOMER-USD'!CV51/'02. Tỷ giá'!E$5,"-")</f>
        <v>-</v>
      </c>
      <c r="Q51" s="106" t="str">
        <f>IFERROR(SUMIFS('01. KE30'!$K:$K,'01. KE30'!$C:$C,'06. BC BH THEO CUSTOMER-USD'!$D51,'01. KE30'!$F:$F,'06. BC BH THEO CUSTOMER-USD'!$H51,'01. KE30'!$A:$A,'06. BC BH THEO CUSTOMER-USD'!Q$4)/'06. BC BH THEO CUSTOMER-USD'!CW51/'02. Tỷ giá'!F$5,"-")</f>
        <v>-</v>
      </c>
      <c r="R51" s="106" t="str">
        <f>IFERROR(SUMIFS('01. KE30'!$K:$K,'01. KE30'!$C:$C,'06. BC BH THEO CUSTOMER-USD'!$D51,'01. KE30'!$F:$F,'06. BC BH THEO CUSTOMER-USD'!$H51,'01. KE30'!$A:$A,'06. BC BH THEO CUSTOMER-USD'!R$4)/'06. BC BH THEO CUSTOMER-USD'!CX51/'02. Tỷ giá'!G$5,"-")</f>
        <v>-</v>
      </c>
      <c r="S51" s="106" t="str">
        <f>IFERROR(SUMIFS('01. KE30'!$K:$K,'01. KE30'!$C:$C,'06. BC BH THEO CUSTOMER-USD'!$D51,'01. KE30'!$F:$F,'06. BC BH THEO CUSTOMER-USD'!$H51,'01. KE30'!$A:$A,'06. BC BH THEO CUSTOMER-USD'!S$4)/'06. BC BH THEO CUSTOMER-USD'!CY51/'02. Tỷ giá'!H$5,"-")</f>
        <v>-</v>
      </c>
      <c r="T51" s="106" t="str">
        <f>IFERROR(SUMIFS('01. KE30'!$K:$K,'01. KE30'!$C:$C,'06. BC BH THEO CUSTOMER-USD'!$D51,'01. KE30'!$F:$F,'06. BC BH THEO CUSTOMER-USD'!$H51,'01. KE30'!$A:$A,'06. BC BH THEO CUSTOMER-USD'!T$4)/'06. BC BH THEO CUSTOMER-USD'!CZ51/'02. Tỷ giá'!I$5,"-")</f>
        <v>-</v>
      </c>
      <c r="U51" s="106" t="str">
        <f>IFERROR(SUMIFS('01. KE30'!$K:$K,'01. KE30'!$C:$C,'06. BC BH THEO CUSTOMER-USD'!$D51,'01. KE30'!$F:$F,'06. BC BH THEO CUSTOMER-USD'!$H51,'01. KE30'!$A:$A,'06. BC BH THEO CUSTOMER-USD'!U$4)/'06. BC BH THEO CUSTOMER-USD'!DA51/'02. Tỷ giá'!J$5,"-")</f>
        <v>-</v>
      </c>
      <c r="V51" s="106" t="str">
        <f>IFERROR(SUMIFS('01. KE30'!$K:$K,'01. KE30'!$C:$C,'06. BC BH THEO CUSTOMER-USD'!$D51,'01. KE30'!$F:$F,'06. BC BH THEO CUSTOMER-USD'!$H51,'01. KE30'!$A:$A,'06. BC BH THEO CUSTOMER-USD'!V$4)/'06. BC BH THEO CUSTOMER-USD'!DB51/'02. Tỷ giá'!K$5,"-")</f>
        <v>-</v>
      </c>
      <c r="W51" s="106" t="str">
        <f>IFERROR(SUMIFS('01. KE30'!$K:$K,'01. KE30'!$C:$C,'06. BC BH THEO CUSTOMER-USD'!$D51,'01. KE30'!$F:$F,'06. BC BH THEO CUSTOMER-USD'!$H51,'01. KE30'!$A:$A,'06. BC BH THEO CUSTOMER-USD'!W$4)/'06. BC BH THEO CUSTOMER-USD'!DC51/'02. Tỷ giá'!L$5,"-")</f>
        <v>-</v>
      </c>
      <c r="X51" s="106" t="str">
        <f>IFERROR(SUMIFS('01. KE30'!$K:$K,'01. KE30'!$C:$C,'06. BC BH THEO CUSTOMER-USD'!$D51,'01. KE30'!$F:$F,'06. BC BH THEO CUSTOMER-USD'!$H51,'01. KE30'!$A:$A,'06. BC BH THEO CUSTOMER-USD'!X$4)/'06. BC BH THEO CUSTOMER-USD'!DD51/'02. Tỷ giá'!M$5,"-")</f>
        <v>-</v>
      </c>
      <c r="Z51" s="92">
        <f t="shared" si="43"/>
        <v>1421.6438544860459</v>
      </c>
      <c r="AA51" s="147">
        <f>IFERROR(SUMIFS('01. KE30'!$O:$O,'01. KE30'!$C:$C,'06. BC BH THEO CUSTOMER-USD'!$D51,'01. KE30'!$F:$F,'06. BC BH THEO CUSTOMER-USD'!$H51,'01. KE30'!$A:$A,'06. BC BH THEO CUSTOMER-USD'!M$4)/'06. BC BH THEO CUSTOMER-USD'!CS51/'02. Tỷ giá'!B$5,"-")</f>
        <v>1427.9945987372723</v>
      </c>
      <c r="AB51" s="147">
        <f>IFERROR(SUMIFS('01. KE30'!$O:$O,'01. KE30'!$C:$C,'06. BC BH THEO CUSTOMER-USD'!$D51,'01. KE30'!$F:$F,'06. BC BH THEO CUSTOMER-USD'!$H51,'01. KE30'!$A:$A,'06. BC BH THEO CUSTOMER-USD'!N$4)/'06. BC BH THEO CUSTOMER-USD'!CT51/'02. Tỷ giá'!C$5,"-")</f>
        <v>1394.2597993665345</v>
      </c>
      <c r="AC51" s="147">
        <f>IFERROR(SUMIFS('01. KE30'!$O:$O,'01. KE30'!$C:$C,'06. BC BH THEO CUSTOMER-USD'!$D51,'01. KE30'!$F:$F,'06. BC BH THEO CUSTOMER-USD'!$H51,'01. KE30'!$A:$A,'06. BC BH THEO CUSTOMER-USD'!O$4)/'06. BC BH THEO CUSTOMER-USD'!CU51/'02. Tỷ giá'!D$5,"-")</f>
        <v>1442.6771653543308</v>
      </c>
      <c r="AD51" s="147" t="str">
        <f>IFERROR(SUMIFS('01. KE30'!$O:$O,'01. KE30'!$C:$C,'06. BC BH THEO CUSTOMER-USD'!$D51,'01. KE30'!$F:$F,'06. BC BH THEO CUSTOMER-USD'!$H51,'01. KE30'!$A:$A,'06. BC BH THEO CUSTOMER-USD'!P$4)/'06. BC BH THEO CUSTOMER-USD'!CV51/'02. Tỷ giá'!E$5,"-")</f>
        <v>-</v>
      </c>
      <c r="AE51" s="147" t="str">
        <f>IFERROR(SUMIFS('01. KE30'!$O:$O,'01. KE30'!$C:$C,'06. BC BH THEO CUSTOMER-USD'!$D51,'01. KE30'!$F:$F,'06. BC BH THEO CUSTOMER-USD'!$H51,'01. KE30'!$A:$A,'06. BC BH THEO CUSTOMER-USD'!Q$4)/'06. BC BH THEO CUSTOMER-USD'!CW51/'02. Tỷ giá'!F$5,"-")</f>
        <v>-</v>
      </c>
      <c r="AF51" s="147" t="str">
        <f>IFERROR(SUMIFS('01. KE30'!$O:$O,'01. KE30'!$C:$C,'06. BC BH THEO CUSTOMER-USD'!$D51,'01. KE30'!$F:$F,'06. BC BH THEO CUSTOMER-USD'!$H51,'01. KE30'!$A:$A,'06. BC BH THEO CUSTOMER-USD'!R$4)/'06. BC BH THEO CUSTOMER-USD'!CX51/'02. Tỷ giá'!G$5,"-")</f>
        <v>-</v>
      </c>
      <c r="AG51" s="147" t="str">
        <f>IFERROR(SUMIFS('01. KE30'!$O:$O,'01. KE30'!$C:$C,'06. BC BH THEO CUSTOMER-USD'!$D51,'01. KE30'!$F:$F,'06. BC BH THEO CUSTOMER-USD'!$H51,'01. KE30'!$A:$A,'06. BC BH THEO CUSTOMER-USD'!S$4)/'06. BC BH THEO CUSTOMER-USD'!CY51/'02. Tỷ giá'!H$5,"-")</f>
        <v>-</v>
      </c>
      <c r="AH51" s="147" t="str">
        <f>IFERROR(SUMIFS('01. KE30'!$O:$O,'01. KE30'!$C:$C,'06. BC BH THEO CUSTOMER-USD'!$D51,'01. KE30'!$F:$F,'06. BC BH THEO CUSTOMER-USD'!$H51,'01. KE30'!$A:$A,'06. BC BH THEO CUSTOMER-USD'!T$4)/'06. BC BH THEO CUSTOMER-USD'!CZ51/'02. Tỷ giá'!I$5,"-")</f>
        <v>-</v>
      </c>
      <c r="AI51" s="147" t="str">
        <f>IFERROR(SUMIFS('01. KE30'!$O:$O,'01. KE30'!$C:$C,'06. BC BH THEO CUSTOMER-USD'!$D51,'01. KE30'!$F:$F,'06. BC BH THEO CUSTOMER-USD'!$H51,'01. KE30'!$A:$A,'06. BC BH THEO CUSTOMER-USD'!U$4)/'06. BC BH THEO CUSTOMER-USD'!DA51/'02. Tỷ giá'!J$5,"-")</f>
        <v>-</v>
      </c>
      <c r="AJ51" s="147" t="str">
        <f>IFERROR(SUMIFS('01. KE30'!$O:$O,'01. KE30'!$C:$C,'06. BC BH THEO CUSTOMER-USD'!$D51,'01. KE30'!$F:$F,'06. BC BH THEO CUSTOMER-USD'!$H51,'01. KE30'!$A:$A,'06. BC BH THEO CUSTOMER-USD'!V$4)/'06. BC BH THEO CUSTOMER-USD'!DB51/'02. Tỷ giá'!K$5,"-")</f>
        <v>-</v>
      </c>
      <c r="AK51" s="147" t="str">
        <f>IFERROR(SUMIFS('01. KE30'!$O:$O,'01. KE30'!$C:$C,'06. BC BH THEO CUSTOMER-USD'!$D51,'01. KE30'!$F:$F,'06. BC BH THEO CUSTOMER-USD'!$H51,'01. KE30'!$A:$A,'06. BC BH THEO CUSTOMER-USD'!W$4)/'06. BC BH THEO CUSTOMER-USD'!DC51/'02. Tỷ giá'!L$5,"-")</f>
        <v>-</v>
      </c>
      <c r="AL51" s="147" t="str">
        <f>IFERROR(SUMIFS('01. KE30'!$O:$O,'01. KE30'!$C:$C,'06. BC BH THEO CUSTOMER-USD'!$D51,'01. KE30'!$F:$F,'06. BC BH THEO CUSTOMER-USD'!$H51,'01. KE30'!$A:$A,'06. BC BH THEO CUSTOMER-USD'!X$4)/'06. BC BH THEO CUSTOMER-USD'!DD51/'02. Tỷ giá'!M$5,"-")</f>
        <v>-</v>
      </c>
      <c r="AN51" s="92">
        <f t="shared" si="44"/>
        <v>1266.6666666666667</v>
      </c>
      <c r="AO51" s="25">
        <v>1260</v>
      </c>
      <c r="AP51" s="25">
        <v>1260</v>
      </c>
      <c r="AQ51" s="25">
        <v>1260</v>
      </c>
      <c r="AR51" s="4">
        <f t="shared" si="270"/>
        <v>1280</v>
      </c>
      <c r="AS51" s="4">
        <v>1280</v>
      </c>
      <c r="AT51" s="4">
        <v>1280</v>
      </c>
      <c r="AU51" s="4">
        <v>1280</v>
      </c>
      <c r="AV51" s="4">
        <f t="shared" si="205"/>
        <v>1250</v>
      </c>
      <c r="AW51" s="25">
        <v>1250</v>
      </c>
      <c r="AX51" s="25"/>
      <c r="AY51" s="4"/>
      <c r="AZ51" s="4"/>
      <c r="BB51" s="95">
        <f t="shared" si="45"/>
        <v>154.9771878193792</v>
      </c>
      <c r="BC51" s="95">
        <f t="shared" si="206"/>
        <v>167.99459873727233</v>
      </c>
      <c r="BD51" s="95">
        <f t="shared" si="201"/>
        <v>134.25979936653448</v>
      </c>
      <c r="BE51" s="95">
        <f t="shared" si="201"/>
        <v>182.67716535433078</v>
      </c>
      <c r="BF51" s="95" t="str">
        <f t="shared" si="201"/>
        <v>-</v>
      </c>
      <c r="BG51" s="95" t="str">
        <f t="shared" si="201"/>
        <v>-</v>
      </c>
      <c r="BH51" s="95" t="str">
        <f t="shared" si="201"/>
        <v>-</v>
      </c>
      <c r="BI51" s="95" t="str">
        <f t="shared" si="201"/>
        <v>-</v>
      </c>
      <c r="BJ51" s="95" t="str">
        <f t="shared" si="201"/>
        <v>-</v>
      </c>
      <c r="BK51" s="95" t="str">
        <f t="shared" si="201"/>
        <v>-</v>
      </c>
      <c r="BL51" s="95" t="str">
        <f t="shared" si="201"/>
        <v>-</v>
      </c>
      <c r="BM51" s="95" t="str">
        <f t="shared" si="201"/>
        <v>-</v>
      </c>
      <c r="BN51" s="95" t="str">
        <f t="shared" si="201"/>
        <v>-</v>
      </c>
      <c r="BP51" s="143">
        <f t="shared" si="47"/>
        <v>0.12235041143635199</v>
      </c>
      <c r="BQ51" s="143">
        <f t="shared" si="202"/>
        <v>0.1333290466168828</v>
      </c>
      <c r="BR51" s="143">
        <f t="shared" si="9"/>
        <v>0.10655539632264641</v>
      </c>
      <c r="BS51" s="143">
        <f t="shared" si="10"/>
        <v>0.1449818772653419</v>
      </c>
      <c r="BT51" s="143" t="str">
        <f t="shared" si="11"/>
        <v>-</v>
      </c>
      <c r="BU51" s="143" t="str">
        <f t="shared" si="12"/>
        <v>-</v>
      </c>
      <c r="BV51" s="143" t="str">
        <f t="shared" si="13"/>
        <v>-</v>
      </c>
      <c r="BW51" s="143" t="str">
        <f t="shared" si="14"/>
        <v>-</v>
      </c>
      <c r="BX51" s="143" t="str">
        <f t="shared" si="15"/>
        <v>-</v>
      </c>
      <c r="BY51" s="143" t="str">
        <f t="shared" si="16"/>
        <v>-</v>
      </c>
      <c r="BZ51" s="143" t="str">
        <f t="shared" si="17"/>
        <v>-</v>
      </c>
      <c r="CA51" s="143" t="str">
        <f t="shared" si="18"/>
        <v>-</v>
      </c>
      <c r="CB51" s="143" t="str">
        <f t="shared" si="19"/>
        <v>-</v>
      </c>
      <c r="CD51" s="112">
        <f t="shared" si="25"/>
        <v>1008.5548327910016</v>
      </c>
      <c r="CE51" s="95">
        <f>IFERROR(SUMIFS('01. KE30'!$R:$R,'01. KE30'!$C:$C,'06. BC BH THEO CUSTOMER-USD'!$D51,'01. KE30'!$F:$F,'06. BC BH THEO CUSTOMER-USD'!$H51,'01. KE30'!$A:$A,'06. BC BH THEO CUSTOMER-USD'!CE$4)/CS51/'02. Tỷ giá'!B$5," -")</f>
        <v>1038.231588263202</v>
      </c>
      <c r="CF51" s="95">
        <f>IFERROR(SUMIFS('01. KE30'!$R:$R,'01. KE30'!$C:$C,'06. BC BH THEO CUSTOMER-USD'!$D51,'01. KE30'!$F:$F,'06. BC BH THEO CUSTOMER-USD'!$H51,'01. KE30'!$A:$A,'06. BC BH THEO CUSTOMER-USD'!CF$4)/CT51/'02. Tỷ giá'!C$5," -")</f>
        <v>989.75531526370435</v>
      </c>
      <c r="CG51" s="95">
        <f>IFERROR(SUMIFS('01. KE30'!$R:$R,'01. KE30'!$C:$C,'06. BC BH THEO CUSTOMER-USD'!$D51,'01. KE30'!$F:$F,'06. BC BH THEO CUSTOMER-USD'!$H51,'01. KE30'!$A:$A,'06. BC BH THEO CUSTOMER-USD'!CG$4)/CU51/'02. Tỷ giá'!D$5," -")</f>
        <v>997.67759484609871</v>
      </c>
      <c r="CH51" s="95" t="str">
        <f>IFERROR(SUMIFS('01. KE30'!$R:$R,'01. KE30'!$C:$C,'06. BC BH THEO CUSTOMER-USD'!$D51,'01. KE30'!$F:$F,'06. BC BH THEO CUSTOMER-USD'!$H51,'01. KE30'!$A:$A,'06. BC BH THEO CUSTOMER-USD'!CH$4)/CV51/'02. Tỷ giá'!E$5," -")</f>
        <v xml:space="preserve"> -</v>
      </c>
      <c r="CI51" s="95" t="str">
        <f>IFERROR(SUMIFS('01. KE30'!$R:$R,'01. KE30'!$C:$C,'06. BC BH THEO CUSTOMER-USD'!$D51,'01. KE30'!$F:$F,'06. BC BH THEO CUSTOMER-USD'!$H51,'01. KE30'!$A:$A,'06. BC BH THEO CUSTOMER-USD'!CI$4)/CW51/'02. Tỷ giá'!F$5," -")</f>
        <v xml:space="preserve"> -</v>
      </c>
      <c r="CJ51" s="95" t="str">
        <f>IFERROR(SUMIFS('01. KE30'!$R:$R,'01. KE30'!$C:$C,'06. BC BH THEO CUSTOMER-USD'!$D51,'01. KE30'!$F:$F,'06. BC BH THEO CUSTOMER-USD'!$H51,'01. KE30'!$A:$A,'06. BC BH THEO CUSTOMER-USD'!CJ$4)/CX51/'02. Tỷ giá'!G$5," -")</f>
        <v xml:space="preserve"> -</v>
      </c>
      <c r="CK51" s="95" t="str">
        <f>IFERROR(SUMIFS('01. KE30'!$R:$R,'01. KE30'!$C:$C,'06. BC BH THEO CUSTOMER-USD'!$D51,'01. KE30'!$F:$F,'06. BC BH THEO CUSTOMER-USD'!$H51,'01. KE30'!$A:$A,'06. BC BH THEO CUSTOMER-USD'!CK$4)/CY51/'02. Tỷ giá'!H$5," -")</f>
        <v xml:space="preserve"> -</v>
      </c>
      <c r="CL51" s="95" t="str">
        <f>IFERROR(SUMIFS('01. KE30'!$R:$R,'01. KE30'!$C:$C,'06. BC BH THEO CUSTOMER-USD'!$D51,'01. KE30'!$F:$F,'06. BC BH THEO CUSTOMER-USD'!$H51,'01. KE30'!$A:$A,'06. BC BH THEO CUSTOMER-USD'!CL$4)/CZ51/'02. Tỷ giá'!I$5," -")</f>
        <v xml:space="preserve"> -</v>
      </c>
      <c r="CM51" s="95" t="str">
        <f>IFERROR(SUMIFS('01. KE30'!$R:$R,'01. KE30'!$C:$C,'06. BC BH THEO CUSTOMER-USD'!$D51,'01. KE30'!$F:$F,'06. BC BH THEO CUSTOMER-USD'!$H51,'01. KE30'!$A:$A,'06. BC BH THEO CUSTOMER-USD'!CM$4)/DA51/'02. Tỷ giá'!J$5," -")</f>
        <v xml:space="preserve"> -</v>
      </c>
      <c r="CN51" s="95" t="str">
        <f>IFERROR(SUMIFS('01. KE30'!$R:$R,'01. KE30'!$C:$C,'06. BC BH THEO CUSTOMER-USD'!$D51,'01. KE30'!$F:$F,'06. BC BH THEO CUSTOMER-USD'!$H51,'01. KE30'!$A:$A,'06. BC BH THEO CUSTOMER-USD'!CN$4)/DB51/'02. Tỷ giá'!K$5," -")</f>
        <v xml:space="preserve"> -</v>
      </c>
      <c r="CO51" s="95" t="str">
        <f>IFERROR(SUMIFS('01. KE30'!$R:$R,'01. KE30'!$C:$C,'06. BC BH THEO CUSTOMER-USD'!$D51,'01. KE30'!$F:$F,'06. BC BH THEO CUSTOMER-USD'!$H51,'01. KE30'!$A:$A,'06. BC BH THEO CUSTOMER-USD'!CO$4)/DC51/'02. Tỷ giá'!L$5," -")</f>
        <v xml:space="preserve"> -</v>
      </c>
      <c r="CP51" s="95" t="str">
        <f>IFERROR(SUMIFS('01. KE30'!$R:$R,'01. KE30'!$C:$C,'06. BC BH THEO CUSTOMER-USD'!$D51,'01. KE30'!$F:$F,'06. BC BH THEO CUSTOMER-USD'!$H51,'01. KE30'!$A:$A,'06. BC BH THEO CUSTOMER-USD'!CP$4)/DD51/'02. Tỷ giá'!M$5," -")</f>
        <v xml:space="preserve"> -</v>
      </c>
      <c r="CR51" s="112">
        <f t="shared" si="266"/>
        <v>157.30000000000001</v>
      </c>
      <c r="CS51" s="455">
        <f>SUMIFS('01. KE30'!$I:$I,'01. KE30'!$C:$C,'06. BC BH THEO CUSTOMER-USD'!$D51,'01. KE30'!$F:$F,'06. BC BH THEO CUSTOMER-USD'!$H51,'01. KE30'!$A:$A,'06. BC BH THEO CUSTOMER-USD'!CS$4)/1000</f>
        <v>4.4000000000000004</v>
      </c>
      <c r="CT51" s="114">
        <f>SUMIFS('01. KE30'!$I:$I,'01. KE30'!$C:$C,'06. BC BH THEO CUSTOMER-USD'!$D51,'01. KE30'!$F:$F,'06. BC BH THEO CUSTOMER-USD'!$H51,'01. KE30'!$A:$A,'06. BC BH THEO CUSTOMER-USD'!CT$4)/1000</f>
        <v>154</v>
      </c>
      <c r="CU51" s="114">
        <f>SUMIFS('01. KE30'!$I:$I,'01. KE30'!$C:$C,'06. BC BH THEO CUSTOMER-USD'!$D51,'01. KE30'!$F:$F,'06. BC BH THEO CUSTOMER-USD'!$H51,'01. KE30'!$A:$A,'06. BC BH THEO CUSTOMER-USD'!CU$4)/1000</f>
        <v>-1.1000000000000001</v>
      </c>
      <c r="CV51" s="114">
        <f>SUMIFS('01. KE30'!$I:$I,'01. KE30'!$C:$C,'06. BC BH THEO CUSTOMER-USD'!$D51,'01. KE30'!$F:$F,'06. BC BH THEO CUSTOMER-USD'!$H51,'01. KE30'!$A:$A,'06. BC BH THEO CUSTOMER-USD'!CV$4)/1000</f>
        <v>0</v>
      </c>
      <c r="CW51" s="114">
        <f>SUMIFS('01. KE30'!$I:$I,'01. KE30'!$C:$C,'06. BC BH THEO CUSTOMER-USD'!$D51,'01. KE30'!$F:$F,'06. BC BH THEO CUSTOMER-USD'!$H51,'01. KE30'!$A:$A,'06. BC BH THEO CUSTOMER-USD'!CW$4)/1000</f>
        <v>0</v>
      </c>
      <c r="CX51" s="114">
        <f>SUMIFS('01. KE30'!$I:$I,'01. KE30'!$C:$C,'06. BC BH THEO CUSTOMER-USD'!$D51,'01. KE30'!$F:$F,'06. BC BH THEO CUSTOMER-USD'!$H51,'01. KE30'!$A:$A,'06. BC BH THEO CUSTOMER-USD'!CX$4)/1000</f>
        <v>0</v>
      </c>
      <c r="CY51" s="114">
        <f>SUMIFS('01. KE30'!$I:$I,'01. KE30'!$C:$C,'06. BC BH THEO CUSTOMER-USD'!$D51,'01. KE30'!$F:$F,'06. BC BH THEO CUSTOMER-USD'!$H51,'01. KE30'!$A:$A,'06. BC BH THEO CUSTOMER-USD'!CY$4)/1000</f>
        <v>0</v>
      </c>
      <c r="CZ51" s="114">
        <f>SUMIFS('01. KE30'!$I:$I,'01. KE30'!$C:$C,'06. BC BH THEO CUSTOMER-USD'!$D51,'01. KE30'!$F:$F,'06. BC BH THEO CUSTOMER-USD'!$H51,'01. KE30'!$A:$A,'06. BC BH THEO CUSTOMER-USD'!CZ$4)/1000</f>
        <v>0</v>
      </c>
      <c r="DA51" s="114">
        <f>SUMIFS('01. KE30'!$I:$I,'01. KE30'!$C:$C,'06. BC BH THEO CUSTOMER-USD'!$D51,'01. KE30'!$F:$F,'06. BC BH THEO CUSTOMER-USD'!$H51,'01. KE30'!$A:$A,'06. BC BH THEO CUSTOMER-USD'!DA$4)/1000</f>
        <v>0</v>
      </c>
      <c r="DB51" s="114">
        <f>SUMIFS('01. KE30'!$I:$I,'01. KE30'!$C:$C,'06. BC BH THEO CUSTOMER-USD'!$D51,'01. KE30'!$F:$F,'06. BC BH THEO CUSTOMER-USD'!$H51,'01. KE30'!$A:$A,'06. BC BH THEO CUSTOMER-USD'!DB$4)/1000</f>
        <v>0</v>
      </c>
      <c r="DC51" s="114">
        <f>SUMIFS('01. KE30'!$I:$I,'01. KE30'!$C:$C,'06. BC BH THEO CUSTOMER-USD'!$D51,'01. KE30'!$F:$F,'06. BC BH THEO CUSTOMER-USD'!$H51,'01. KE30'!$A:$A,'06. BC BH THEO CUSTOMER-USD'!DC$4)/1000</f>
        <v>0</v>
      </c>
      <c r="DD51" s="114">
        <f>SUMIFS('01. KE30'!$I:$I,'01. KE30'!$C:$C,'06. BC BH THEO CUSTOMER-USD'!$D51,'01. KE30'!$F:$F,'06. BC BH THEO CUSTOMER-USD'!$H51,'01. KE30'!$A:$A,'06. BC BH THEO CUSTOMER-USD'!DD$4)/1000</f>
        <v>0</v>
      </c>
      <c r="DF51" s="112">
        <f t="shared" si="267"/>
        <v>223983.42254308512</v>
      </c>
      <c r="DG51" s="54">
        <f t="shared" si="48"/>
        <v>6644.4769169008441</v>
      </c>
      <c r="DH51" s="54">
        <f t="shared" si="49"/>
        <v>218925.89050807405</v>
      </c>
      <c r="DI51" s="54">
        <f t="shared" si="50"/>
        <v>-1586.944881889764</v>
      </c>
      <c r="DJ51" s="54" t="str">
        <f t="shared" si="51"/>
        <v>-</v>
      </c>
      <c r="DK51" s="54" t="str">
        <f t="shared" si="52"/>
        <v>-</v>
      </c>
      <c r="DL51" s="54" t="str">
        <f t="shared" si="53"/>
        <v>-</v>
      </c>
      <c r="DM51" s="54" t="str">
        <f t="shared" si="54"/>
        <v>-</v>
      </c>
      <c r="DN51" s="54" t="str">
        <f t="shared" si="55"/>
        <v>-</v>
      </c>
      <c r="DO51" s="54" t="str">
        <f t="shared" si="56"/>
        <v>-</v>
      </c>
      <c r="DP51" s="54" t="str">
        <f t="shared" si="57"/>
        <v>-</v>
      </c>
      <c r="DQ51" s="54" t="str">
        <f t="shared" si="58"/>
        <v>-</v>
      </c>
      <c r="DR51" s="54" t="str">
        <f t="shared" si="59"/>
        <v>-</v>
      </c>
      <c r="DT51" s="112">
        <f t="shared" si="60"/>
        <v>63519.148270362661</v>
      </c>
      <c r="DU51" s="114">
        <f>IFERROR(SUMIFS('01. KE30'!$X:$X,'01. KE30'!$C:$C,'06. BC BH THEO CUSTOMER-USD'!$D51,'01. KE30'!$F:$F,'06. BC BH THEO CUSTOMER-USD'!$H51,'01. KE30'!$A:$A,'06. BC BH THEO CUSTOMER-USD'!DU$4)-SUMIFS('01. KE30'!$AA:$AA,'01. KE30'!$C:$C,'06. BC BH THEO CUSTOMER-USD'!$D51,'01. KE30'!$F:$F,'06. BC BH THEO CUSTOMER-USD'!$H51,'01. KE30'!$A:$A,'06. BC BH THEO CUSTOMER-USD'!DU$4),"-")</f>
        <v>1714.957246085909</v>
      </c>
      <c r="DV51" s="114">
        <f>IFERROR(SUMIFS('01. KE30'!$X:$X,'01. KE30'!$C:$C,'06. BC BH THEO CUSTOMER-USD'!$D51,'01. KE30'!$F:$F,'06. BC BH THEO CUSTOMER-USD'!$H51,'01. KE30'!$A:$A,'06. BC BH THEO CUSTOMER-USD'!DV$4)-SUMIFS('01. KE30'!$AA:$AA,'01. KE30'!$C:$C,'06. BC BH THEO CUSTOMER-USD'!$D51,'01. KE30'!$F:$F,'06. BC BH THEO CUSTOMER-USD'!$H51,'01. KE30'!$A:$A,'06. BC BH THEO CUSTOMER-USD'!DV$4),"-")</f>
        <v>62293.690551835811</v>
      </c>
      <c r="DW51" s="114">
        <f>IFERROR(SUMIFS('01. KE30'!$X:$X,'01. KE30'!$C:$C,'06. BC BH THEO CUSTOMER-USD'!$D51,'01. KE30'!$F:$F,'06. BC BH THEO CUSTOMER-USD'!$H51,'01. KE30'!$A:$A,'06. BC BH THEO CUSTOMER-USD'!DW$4)-SUMIFS('01. KE30'!$AA:$AA,'01. KE30'!$C:$C,'06. BC BH THEO CUSTOMER-USD'!$D51,'01. KE30'!$F:$F,'06. BC BH THEO CUSTOMER-USD'!$H51,'01. KE30'!$A:$A,'06. BC BH THEO CUSTOMER-USD'!DW$4),"-")</f>
        <v>-489.4995275590552</v>
      </c>
      <c r="DX51" s="114">
        <f>IFERROR(SUMIFS('01. KE30'!$X:$X,'01. KE30'!$C:$C,'06. BC BH THEO CUSTOMER-USD'!$D51,'01. KE30'!$F:$F,'06. BC BH THEO CUSTOMER-USD'!$H51,'01. KE30'!$A:$A,'06. BC BH THEO CUSTOMER-USD'!DX$4)-SUMIFS('01. KE30'!$AA:$AA,'01. KE30'!$C:$C,'06. BC BH THEO CUSTOMER-USD'!$D51,'01. KE30'!$F:$F,'06. BC BH THEO CUSTOMER-USD'!$H51,'01. KE30'!$A:$A,'06. BC BH THEO CUSTOMER-USD'!DX$4),"-")</f>
        <v>0</v>
      </c>
      <c r="DY51" s="114">
        <f>IFERROR(SUMIFS('01. KE30'!$X:$X,'01. KE30'!$C:$C,'06. BC BH THEO CUSTOMER-USD'!$D51,'01. KE30'!$F:$F,'06. BC BH THEO CUSTOMER-USD'!$H51,'01. KE30'!$A:$A,'06. BC BH THEO CUSTOMER-USD'!DY$4)-SUMIFS('01. KE30'!$AA:$AA,'01. KE30'!$C:$C,'06. BC BH THEO CUSTOMER-USD'!$D51,'01. KE30'!$F:$F,'06. BC BH THEO CUSTOMER-USD'!$H51,'01. KE30'!$A:$A,'06. BC BH THEO CUSTOMER-USD'!DY$4),"-")</f>
        <v>0</v>
      </c>
      <c r="DZ51" s="114">
        <f>IFERROR(SUMIFS('01. KE30'!$X:$X,'01. KE30'!$C:$C,'06. BC BH THEO CUSTOMER-USD'!$D51,'01. KE30'!$F:$F,'06. BC BH THEO CUSTOMER-USD'!$H51,'01. KE30'!$A:$A,'06. BC BH THEO CUSTOMER-USD'!DZ$4)-SUMIFS('01. KE30'!$AA:$AA,'01. KE30'!$C:$C,'06. BC BH THEO CUSTOMER-USD'!$D51,'01. KE30'!$F:$F,'06. BC BH THEO CUSTOMER-USD'!$H51,'01. KE30'!$A:$A,'06. BC BH THEO CUSTOMER-USD'!DZ$4),"-")</f>
        <v>0</v>
      </c>
      <c r="EA51" s="114">
        <f>IFERROR(SUMIFS('01. KE30'!$X:$X,'01. KE30'!$C:$C,'06. BC BH THEO CUSTOMER-USD'!$D51,'01. KE30'!$F:$F,'06. BC BH THEO CUSTOMER-USD'!$H51,'01. KE30'!$A:$A,'06. BC BH THEO CUSTOMER-USD'!EA$4)-SUMIFS('01. KE30'!$AA:$AA,'01. KE30'!$C:$C,'06. BC BH THEO CUSTOMER-USD'!$D51,'01. KE30'!$F:$F,'06. BC BH THEO CUSTOMER-USD'!$H51,'01. KE30'!$A:$A,'06. BC BH THEO CUSTOMER-USD'!EA$4),"-")</f>
        <v>0</v>
      </c>
      <c r="EB51" s="114">
        <f>IFERROR(SUMIFS('01. KE30'!$X:$X,'01. KE30'!$C:$C,'06. BC BH THEO CUSTOMER-USD'!$D51,'01. KE30'!$F:$F,'06. BC BH THEO CUSTOMER-USD'!$H51,'01. KE30'!$A:$A,'06. BC BH THEO CUSTOMER-USD'!EB$4)-SUMIFS('01. KE30'!$AA:$AA,'01. KE30'!$C:$C,'06. BC BH THEO CUSTOMER-USD'!$D51,'01. KE30'!$F:$F,'06. BC BH THEO CUSTOMER-USD'!$H51,'01. KE30'!$A:$A,'06. BC BH THEO CUSTOMER-USD'!EB$4),"-")</f>
        <v>0</v>
      </c>
      <c r="EC51" s="114">
        <f>IFERROR(SUMIFS('01. KE30'!$X:$X,'01. KE30'!$C:$C,'06. BC BH THEO CUSTOMER-USD'!$D51,'01. KE30'!$F:$F,'06. BC BH THEO CUSTOMER-USD'!$H51,'01. KE30'!$A:$A,'06. BC BH THEO CUSTOMER-USD'!EC$4)-SUMIFS('01. KE30'!$AA:$AA,'01. KE30'!$C:$C,'06. BC BH THEO CUSTOMER-USD'!$D51,'01. KE30'!$F:$F,'06. BC BH THEO CUSTOMER-USD'!$H51,'01. KE30'!$A:$A,'06. BC BH THEO CUSTOMER-USD'!EC$4),"-")</f>
        <v>0</v>
      </c>
      <c r="ED51" s="114">
        <f>IFERROR(SUMIFS('01. KE30'!$X:$X,'01. KE30'!$C:$C,'06. BC BH THEO CUSTOMER-USD'!$D51,'01. KE30'!$F:$F,'06. BC BH THEO CUSTOMER-USD'!$H51,'01. KE30'!$A:$A,'06. BC BH THEO CUSTOMER-USD'!ED$4)-SUMIFS('01. KE30'!$AA:$AA,'01. KE30'!$C:$C,'06. BC BH THEO CUSTOMER-USD'!$D51,'01. KE30'!$F:$F,'06. BC BH THEO CUSTOMER-USD'!$H51,'01. KE30'!$A:$A,'06. BC BH THEO CUSTOMER-USD'!ED$4),"-")</f>
        <v>0</v>
      </c>
      <c r="EE51" s="114">
        <f>IFERROR(SUMIFS('01. KE30'!$X:$X,'01. KE30'!$C:$C,'06. BC BH THEO CUSTOMER-USD'!$D51,'01. KE30'!$F:$F,'06. BC BH THEO CUSTOMER-USD'!$H51,'01. KE30'!$A:$A,'06. BC BH THEO CUSTOMER-USD'!EE$4)-SUMIFS('01. KE30'!$AA:$AA,'01. KE30'!$C:$C,'06. BC BH THEO CUSTOMER-USD'!$D51,'01. KE30'!$F:$F,'06. BC BH THEO CUSTOMER-USD'!$H51,'01. KE30'!$A:$A,'06. BC BH THEO CUSTOMER-USD'!EE$4),"-")</f>
        <v>0</v>
      </c>
      <c r="EF51" s="114">
        <f>IFERROR(SUMIFS('01. KE30'!$X:$X,'01. KE30'!$C:$C,'06. BC BH THEO CUSTOMER-USD'!$D51,'01. KE30'!$F:$F,'06. BC BH THEO CUSTOMER-USD'!$H51,'01. KE30'!$A:$A,'06. BC BH THEO CUSTOMER-USD'!EF$4)-SUMIFS('01. KE30'!$AA:$AA,'01. KE30'!$C:$C,'06. BC BH THEO CUSTOMER-USD'!$D51,'01. KE30'!$F:$F,'06. BC BH THEO CUSTOMER-USD'!$H51,'01. KE30'!$A:$A,'06. BC BH THEO CUSTOMER-USD'!EF$4),"-")</f>
        <v>0</v>
      </c>
      <c r="EH51" s="571">
        <f t="shared" si="29"/>
        <v>0.28358861360886745</v>
      </c>
      <c r="EI51" s="572">
        <f t="shared" si="30"/>
        <v>0.25810267196861741</v>
      </c>
      <c r="EJ51" s="572">
        <f t="shared" si="31"/>
        <v>0.28454236457491261</v>
      </c>
      <c r="EK51" s="572">
        <f t="shared" si="32"/>
        <v>0.30845401950958112</v>
      </c>
      <c r="EL51" s="572" t="str">
        <f t="shared" si="33"/>
        <v>-</v>
      </c>
      <c r="EM51" s="572" t="str">
        <f t="shared" si="34"/>
        <v>-</v>
      </c>
      <c r="EN51" s="572" t="str">
        <f t="shared" si="35"/>
        <v>-</v>
      </c>
      <c r="EO51" s="572" t="str">
        <f t="shared" si="36"/>
        <v>-</v>
      </c>
      <c r="EP51" s="572" t="str">
        <f t="shared" si="37"/>
        <v>-</v>
      </c>
      <c r="EQ51" s="572" t="str">
        <f t="shared" si="38"/>
        <v>-</v>
      </c>
      <c r="ER51" s="572" t="str">
        <f t="shared" si="39"/>
        <v>-</v>
      </c>
      <c r="ES51" s="572" t="str">
        <f t="shared" si="40"/>
        <v>-</v>
      </c>
      <c r="ET51" s="572" t="str">
        <f t="shared" si="41"/>
        <v>-</v>
      </c>
    </row>
    <row r="52" spans="1:150" ht="15.5" hidden="1" outlineLevel="1" x14ac:dyDescent="0.35">
      <c r="A52" s="27">
        <f t="shared" si="63"/>
        <v>43</v>
      </c>
      <c r="B52" s="27" t="s">
        <v>283</v>
      </c>
      <c r="C52" s="442" t="s">
        <v>119</v>
      </c>
      <c r="D52" s="9" t="s">
        <v>178</v>
      </c>
      <c r="E52" s="12" t="s">
        <v>1032</v>
      </c>
      <c r="F52" s="12" t="s">
        <v>245</v>
      </c>
      <c r="G52" s="12" t="str">
        <f>_xlfn.XLOOKUP(F52,'Quy đổi'!$G$5:$G$32,'Quy đổi'!$H$5:$H$32,0)</f>
        <v>Nội địa</v>
      </c>
      <c r="H52" s="76" t="s">
        <v>100</v>
      </c>
      <c r="I52" s="7" t="s">
        <v>99</v>
      </c>
      <c r="J52" s="13" t="s">
        <v>22</v>
      </c>
      <c r="K52" s="11"/>
      <c r="L52" s="92" t="str">
        <f t="shared" si="42"/>
        <v>-</v>
      </c>
      <c r="M52" s="106" t="str">
        <f>IFERROR(SUMIFS('01. KE30'!$K:$K,'01. KE30'!$C:$C,'06. BC BH THEO CUSTOMER-USD'!$D52,'01. KE30'!$F:$F,'06. BC BH THEO CUSTOMER-USD'!$H52,'01. KE30'!$A:$A,'06. BC BH THEO CUSTOMER-USD'!M$4)/'06. BC BH THEO CUSTOMER-USD'!CS52/'02. Tỷ giá'!B$5,"-")</f>
        <v>-</v>
      </c>
      <c r="N52" s="106" t="str">
        <f>IFERROR(SUMIFS('01. KE30'!$K:$K,'01. KE30'!$C:$C,'06. BC BH THEO CUSTOMER-USD'!$D52,'01. KE30'!$F:$F,'06. BC BH THEO CUSTOMER-USD'!$H52,'01. KE30'!$A:$A,'06. BC BH THEO CUSTOMER-USD'!N$4)/'06. BC BH THEO CUSTOMER-USD'!CT52/'02. Tỷ giá'!C$5,"-")</f>
        <v>-</v>
      </c>
      <c r="O52" s="106" t="str">
        <f>IFERROR(SUMIFS('01. KE30'!$K:$K,'01. KE30'!$C:$C,'06. BC BH THEO CUSTOMER-USD'!$D52,'01. KE30'!$F:$F,'06. BC BH THEO CUSTOMER-USD'!$H52,'01. KE30'!$A:$A,'06. BC BH THEO CUSTOMER-USD'!O$4)/'06. BC BH THEO CUSTOMER-USD'!CU52/'02. Tỷ giá'!D$5,"-")</f>
        <v>-</v>
      </c>
      <c r="P52" s="106" t="str">
        <f>IFERROR(SUMIFS('01. KE30'!$K:$K,'01. KE30'!$C:$C,'06. BC BH THEO CUSTOMER-USD'!$D52,'01. KE30'!$F:$F,'06. BC BH THEO CUSTOMER-USD'!$H52,'01. KE30'!$A:$A,'06. BC BH THEO CUSTOMER-USD'!P$4)/'06. BC BH THEO CUSTOMER-USD'!CV52/'02. Tỷ giá'!E$5,"-")</f>
        <v>-</v>
      </c>
      <c r="Q52" s="106" t="str">
        <f>IFERROR(SUMIFS('01. KE30'!$K:$K,'01. KE30'!$C:$C,'06. BC BH THEO CUSTOMER-USD'!$D52,'01. KE30'!$F:$F,'06. BC BH THEO CUSTOMER-USD'!$H52,'01. KE30'!$A:$A,'06. BC BH THEO CUSTOMER-USD'!Q$4)/'06. BC BH THEO CUSTOMER-USD'!CW52/'02. Tỷ giá'!F$5,"-")</f>
        <v>-</v>
      </c>
      <c r="R52" s="106" t="str">
        <f>IFERROR(SUMIFS('01. KE30'!$K:$K,'01. KE30'!$C:$C,'06. BC BH THEO CUSTOMER-USD'!$D52,'01. KE30'!$F:$F,'06. BC BH THEO CUSTOMER-USD'!$H52,'01. KE30'!$A:$A,'06. BC BH THEO CUSTOMER-USD'!R$4)/'06. BC BH THEO CUSTOMER-USD'!CX52/'02. Tỷ giá'!G$5,"-")</f>
        <v>-</v>
      </c>
      <c r="S52" s="106" t="str">
        <f>IFERROR(SUMIFS('01. KE30'!$K:$K,'01. KE30'!$C:$C,'06. BC BH THEO CUSTOMER-USD'!$D52,'01. KE30'!$F:$F,'06. BC BH THEO CUSTOMER-USD'!$H52,'01. KE30'!$A:$A,'06. BC BH THEO CUSTOMER-USD'!S$4)/'06. BC BH THEO CUSTOMER-USD'!CY52/'02. Tỷ giá'!H$5,"-")</f>
        <v>-</v>
      </c>
      <c r="T52" s="106" t="str">
        <f>IFERROR(SUMIFS('01. KE30'!$K:$K,'01. KE30'!$C:$C,'06. BC BH THEO CUSTOMER-USD'!$D52,'01. KE30'!$F:$F,'06. BC BH THEO CUSTOMER-USD'!$H52,'01. KE30'!$A:$A,'06. BC BH THEO CUSTOMER-USD'!T$4)/'06. BC BH THEO CUSTOMER-USD'!CZ52/'02. Tỷ giá'!I$5,"-")</f>
        <v>-</v>
      </c>
      <c r="U52" s="106" t="str">
        <f>IFERROR(SUMIFS('01. KE30'!$K:$K,'01. KE30'!$C:$C,'06. BC BH THEO CUSTOMER-USD'!$D52,'01. KE30'!$F:$F,'06. BC BH THEO CUSTOMER-USD'!$H52,'01. KE30'!$A:$A,'06. BC BH THEO CUSTOMER-USD'!U$4)/'06. BC BH THEO CUSTOMER-USD'!DA52/'02. Tỷ giá'!J$5,"-")</f>
        <v>-</v>
      </c>
      <c r="V52" s="106" t="str">
        <f>IFERROR(SUMIFS('01. KE30'!$K:$K,'01. KE30'!$C:$C,'06. BC BH THEO CUSTOMER-USD'!$D52,'01. KE30'!$F:$F,'06. BC BH THEO CUSTOMER-USD'!$H52,'01. KE30'!$A:$A,'06. BC BH THEO CUSTOMER-USD'!V$4)/'06. BC BH THEO CUSTOMER-USD'!DB52/'02. Tỷ giá'!K$5,"-")</f>
        <v>-</v>
      </c>
      <c r="W52" s="106" t="str">
        <f>IFERROR(SUMIFS('01. KE30'!$K:$K,'01. KE30'!$C:$C,'06. BC BH THEO CUSTOMER-USD'!$D52,'01. KE30'!$F:$F,'06. BC BH THEO CUSTOMER-USD'!$H52,'01. KE30'!$A:$A,'06. BC BH THEO CUSTOMER-USD'!W$4)/'06. BC BH THEO CUSTOMER-USD'!DC52/'02. Tỷ giá'!L$5,"-")</f>
        <v>-</v>
      </c>
      <c r="X52" s="106" t="str">
        <f>IFERROR(SUMIFS('01. KE30'!$K:$K,'01. KE30'!$C:$C,'06. BC BH THEO CUSTOMER-USD'!$D52,'01. KE30'!$F:$F,'06. BC BH THEO CUSTOMER-USD'!$H52,'01. KE30'!$A:$A,'06. BC BH THEO CUSTOMER-USD'!X$4)/'06. BC BH THEO CUSTOMER-USD'!DD52/'02. Tỷ giá'!M$5,"-")</f>
        <v>-</v>
      </c>
      <c r="Z52" s="92" t="str">
        <f t="shared" si="43"/>
        <v>-</v>
      </c>
      <c r="AA52" s="147" t="str">
        <f>IFERROR(SUMIFS('01. KE30'!$O:$O,'01. KE30'!$C:$C,'06. BC BH THEO CUSTOMER-USD'!$D52,'01. KE30'!$F:$F,'06. BC BH THEO CUSTOMER-USD'!$H52,'01. KE30'!$A:$A,'06. BC BH THEO CUSTOMER-USD'!M$4)/'06. BC BH THEO CUSTOMER-USD'!CS52/'02. Tỷ giá'!B$5,"-")</f>
        <v>-</v>
      </c>
      <c r="AB52" s="147" t="str">
        <f>IFERROR(SUMIFS('01. KE30'!$O:$O,'01. KE30'!$C:$C,'06. BC BH THEO CUSTOMER-USD'!$D52,'01. KE30'!$F:$F,'06. BC BH THEO CUSTOMER-USD'!$H52,'01. KE30'!$A:$A,'06. BC BH THEO CUSTOMER-USD'!N$4)/'06. BC BH THEO CUSTOMER-USD'!CT52/'02. Tỷ giá'!C$5,"-")</f>
        <v>-</v>
      </c>
      <c r="AC52" s="147" t="str">
        <f>IFERROR(SUMIFS('01. KE30'!$O:$O,'01. KE30'!$C:$C,'06. BC BH THEO CUSTOMER-USD'!$D52,'01. KE30'!$F:$F,'06. BC BH THEO CUSTOMER-USD'!$H52,'01. KE30'!$A:$A,'06. BC BH THEO CUSTOMER-USD'!O$4)/'06. BC BH THEO CUSTOMER-USD'!CU52/'02. Tỷ giá'!D$5,"-")</f>
        <v>-</v>
      </c>
      <c r="AD52" s="147" t="str">
        <f>IFERROR(SUMIFS('01. KE30'!$O:$O,'01. KE30'!$C:$C,'06. BC BH THEO CUSTOMER-USD'!$D52,'01. KE30'!$F:$F,'06. BC BH THEO CUSTOMER-USD'!$H52,'01. KE30'!$A:$A,'06. BC BH THEO CUSTOMER-USD'!P$4)/'06. BC BH THEO CUSTOMER-USD'!CV52/'02. Tỷ giá'!E$5,"-")</f>
        <v>-</v>
      </c>
      <c r="AE52" s="147" t="str">
        <f>IFERROR(SUMIFS('01. KE30'!$O:$O,'01. KE30'!$C:$C,'06. BC BH THEO CUSTOMER-USD'!$D52,'01. KE30'!$F:$F,'06. BC BH THEO CUSTOMER-USD'!$H52,'01. KE30'!$A:$A,'06. BC BH THEO CUSTOMER-USD'!Q$4)/'06. BC BH THEO CUSTOMER-USD'!CW52/'02. Tỷ giá'!F$5,"-")</f>
        <v>-</v>
      </c>
      <c r="AF52" s="147" t="str">
        <f>IFERROR(SUMIFS('01. KE30'!$O:$O,'01. KE30'!$C:$C,'06. BC BH THEO CUSTOMER-USD'!$D52,'01. KE30'!$F:$F,'06. BC BH THEO CUSTOMER-USD'!$H52,'01. KE30'!$A:$A,'06. BC BH THEO CUSTOMER-USD'!R$4)/'06. BC BH THEO CUSTOMER-USD'!CX52/'02. Tỷ giá'!G$5,"-")</f>
        <v>-</v>
      </c>
      <c r="AG52" s="147" t="str">
        <f>IFERROR(SUMIFS('01. KE30'!$O:$O,'01. KE30'!$C:$C,'06. BC BH THEO CUSTOMER-USD'!$D52,'01. KE30'!$F:$F,'06. BC BH THEO CUSTOMER-USD'!$H52,'01. KE30'!$A:$A,'06. BC BH THEO CUSTOMER-USD'!S$4)/'06. BC BH THEO CUSTOMER-USD'!CY52/'02. Tỷ giá'!H$5,"-")</f>
        <v>-</v>
      </c>
      <c r="AH52" s="147" t="str">
        <f>IFERROR(SUMIFS('01. KE30'!$O:$O,'01. KE30'!$C:$C,'06. BC BH THEO CUSTOMER-USD'!$D52,'01. KE30'!$F:$F,'06. BC BH THEO CUSTOMER-USD'!$H52,'01. KE30'!$A:$A,'06. BC BH THEO CUSTOMER-USD'!T$4)/'06. BC BH THEO CUSTOMER-USD'!CZ52/'02. Tỷ giá'!I$5,"-")</f>
        <v>-</v>
      </c>
      <c r="AI52" s="147" t="str">
        <f>IFERROR(SUMIFS('01. KE30'!$O:$O,'01. KE30'!$C:$C,'06. BC BH THEO CUSTOMER-USD'!$D52,'01. KE30'!$F:$F,'06. BC BH THEO CUSTOMER-USD'!$H52,'01. KE30'!$A:$A,'06. BC BH THEO CUSTOMER-USD'!U$4)/'06. BC BH THEO CUSTOMER-USD'!DA52/'02. Tỷ giá'!J$5,"-")</f>
        <v>-</v>
      </c>
      <c r="AJ52" s="147" t="str">
        <f>IFERROR(SUMIFS('01. KE30'!$O:$O,'01. KE30'!$C:$C,'06. BC BH THEO CUSTOMER-USD'!$D52,'01. KE30'!$F:$F,'06. BC BH THEO CUSTOMER-USD'!$H52,'01. KE30'!$A:$A,'06. BC BH THEO CUSTOMER-USD'!V$4)/'06. BC BH THEO CUSTOMER-USD'!DB52/'02. Tỷ giá'!K$5,"-")</f>
        <v>-</v>
      </c>
      <c r="AK52" s="147" t="str">
        <f>IFERROR(SUMIFS('01. KE30'!$O:$O,'01. KE30'!$C:$C,'06. BC BH THEO CUSTOMER-USD'!$D52,'01. KE30'!$F:$F,'06. BC BH THEO CUSTOMER-USD'!$H52,'01. KE30'!$A:$A,'06. BC BH THEO CUSTOMER-USD'!W$4)/'06. BC BH THEO CUSTOMER-USD'!DC52/'02. Tỷ giá'!L$5,"-")</f>
        <v>-</v>
      </c>
      <c r="AL52" s="147" t="str">
        <f>IFERROR(SUMIFS('01. KE30'!$O:$O,'01. KE30'!$C:$C,'06. BC BH THEO CUSTOMER-USD'!$D52,'01. KE30'!$F:$F,'06. BC BH THEO CUSTOMER-USD'!$H52,'01. KE30'!$A:$A,'06. BC BH THEO CUSTOMER-USD'!X$4)/'06. BC BH THEO CUSTOMER-USD'!DD52/'02. Tỷ giá'!M$5,"-")</f>
        <v>-</v>
      </c>
      <c r="AN52" s="92">
        <f t="shared" si="44"/>
        <v>1266.6666666666667</v>
      </c>
      <c r="AO52" s="25">
        <v>1260</v>
      </c>
      <c r="AP52" s="25">
        <v>1260</v>
      </c>
      <c r="AQ52" s="25">
        <v>1260</v>
      </c>
      <c r="AR52" s="4">
        <f t="shared" si="270"/>
        <v>1280</v>
      </c>
      <c r="AS52" s="4">
        <v>1280</v>
      </c>
      <c r="AT52" s="4">
        <v>1280</v>
      </c>
      <c r="AU52" s="4">
        <v>1280</v>
      </c>
      <c r="AV52" s="4">
        <f t="shared" si="205"/>
        <v>1250</v>
      </c>
      <c r="AW52" s="25">
        <v>1250</v>
      </c>
      <c r="AX52" s="25"/>
      <c r="AY52" s="4"/>
      <c r="AZ52" s="4"/>
      <c r="BB52" s="95" t="str">
        <f t="shared" si="45"/>
        <v>-</v>
      </c>
      <c r="BC52" s="95" t="str">
        <f t="shared" si="206"/>
        <v>-</v>
      </c>
      <c r="BD52" s="95" t="str">
        <f t="shared" si="201"/>
        <v>-</v>
      </c>
      <c r="BE52" s="95" t="str">
        <f t="shared" si="201"/>
        <v>-</v>
      </c>
      <c r="BF52" s="95" t="str">
        <f t="shared" si="201"/>
        <v>-</v>
      </c>
      <c r="BG52" s="95" t="str">
        <f t="shared" si="201"/>
        <v>-</v>
      </c>
      <c r="BH52" s="95" t="str">
        <f t="shared" si="201"/>
        <v>-</v>
      </c>
      <c r="BI52" s="95" t="str">
        <f t="shared" si="201"/>
        <v>-</v>
      </c>
      <c r="BJ52" s="95" t="str">
        <f t="shared" si="201"/>
        <v>-</v>
      </c>
      <c r="BK52" s="95" t="str">
        <f t="shared" si="201"/>
        <v>-</v>
      </c>
      <c r="BL52" s="95" t="str">
        <f t="shared" si="201"/>
        <v>-</v>
      </c>
      <c r="BM52" s="95" t="str">
        <f t="shared" si="201"/>
        <v>-</v>
      </c>
      <c r="BN52" s="95" t="str">
        <f t="shared" si="201"/>
        <v>-</v>
      </c>
      <c r="BP52" s="143" t="str">
        <f t="shared" si="47"/>
        <v>-</v>
      </c>
      <c r="BQ52" s="143" t="str">
        <f t="shared" si="202"/>
        <v>-</v>
      </c>
      <c r="BR52" s="143" t="str">
        <f t="shared" si="9"/>
        <v>-</v>
      </c>
      <c r="BS52" s="143" t="str">
        <f t="shared" si="10"/>
        <v>-</v>
      </c>
      <c r="BT52" s="143" t="str">
        <f t="shared" si="11"/>
        <v>-</v>
      </c>
      <c r="BU52" s="143" t="str">
        <f t="shared" si="12"/>
        <v>-</v>
      </c>
      <c r="BV52" s="143" t="str">
        <f t="shared" si="13"/>
        <v>-</v>
      </c>
      <c r="BW52" s="143" t="str">
        <f t="shared" si="14"/>
        <v>-</v>
      </c>
      <c r="BX52" s="143" t="str">
        <f t="shared" si="15"/>
        <v>-</v>
      </c>
      <c r="BY52" s="143" t="str">
        <f t="shared" si="16"/>
        <v>-</v>
      </c>
      <c r="BZ52" s="143" t="str">
        <f t="shared" si="17"/>
        <v>-</v>
      </c>
      <c r="CA52" s="143" t="str">
        <f t="shared" si="18"/>
        <v>-</v>
      </c>
      <c r="CB52" s="143" t="str">
        <f t="shared" si="19"/>
        <v>-</v>
      </c>
      <c r="CD52" s="112" t="str">
        <f t="shared" si="25"/>
        <v>-</v>
      </c>
      <c r="CE52" s="95" t="str">
        <f>IFERROR(SUMIFS('01. KE30'!$R:$R,'01. KE30'!$C:$C,'06. BC BH THEO CUSTOMER-USD'!$D52,'01. KE30'!$F:$F,'06. BC BH THEO CUSTOMER-USD'!$H52,'01. KE30'!$A:$A,'06. BC BH THEO CUSTOMER-USD'!CE$4)/CS52/'02. Tỷ giá'!B$5," -")</f>
        <v xml:space="preserve"> -</v>
      </c>
      <c r="CF52" s="95" t="str">
        <f>IFERROR(SUMIFS('01. KE30'!$R:$R,'01. KE30'!$C:$C,'06. BC BH THEO CUSTOMER-USD'!$D52,'01. KE30'!$F:$F,'06. BC BH THEO CUSTOMER-USD'!$H52,'01. KE30'!$A:$A,'06. BC BH THEO CUSTOMER-USD'!CF$4)/CT52/'02. Tỷ giá'!C$5," -")</f>
        <v xml:space="preserve"> -</v>
      </c>
      <c r="CG52" s="95" t="str">
        <f>IFERROR(SUMIFS('01. KE30'!$R:$R,'01. KE30'!$C:$C,'06. BC BH THEO CUSTOMER-USD'!$D52,'01. KE30'!$F:$F,'06. BC BH THEO CUSTOMER-USD'!$H52,'01. KE30'!$A:$A,'06. BC BH THEO CUSTOMER-USD'!CG$4)/CU52/'02. Tỷ giá'!D$5," -")</f>
        <v xml:space="preserve"> -</v>
      </c>
      <c r="CH52" s="95" t="str">
        <f>IFERROR(SUMIFS('01. KE30'!$R:$R,'01. KE30'!$C:$C,'06. BC BH THEO CUSTOMER-USD'!$D52,'01. KE30'!$F:$F,'06. BC BH THEO CUSTOMER-USD'!$H52,'01. KE30'!$A:$A,'06. BC BH THEO CUSTOMER-USD'!CH$4)/CV52/'02. Tỷ giá'!E$5," -")</f>
        <v xml:space="preserve"> -</v>
      </c>
      <c r="CI52" s="95" t="str">
        <f>IFERROR(SUMIFS('01. KE30'!$R:$R,'01. KE30'!$C:$C,'06. BC BH THEO CUSTOMER-USD'!$D52,'01. KE30'!$F:$F,'06. BC BH THEO CUSTOMER-USD'!$H52,'01. KE30'!$A:$A,'06. BC BH THEO CUSTOMER-USD'!CI$4)/CW52/'02. Tỷ giá'!F$5," -")</f>
        <v xml:space="preserve"> -</v>
      </c>
      <c r="CJ52" s="95" t="str">
        <f>IFERROR(SUMIFS('01. KE30'!$R:$R,'01. KE30'!$C:$C,'06. BC BH THEO CUSTOMER-USD'!$D52,'01. KE30'!$F:$F,'06. BC BH THEO CUSTOMER-USD'!$H52,'01. KE30'!$A:$A,'06. BC BH THEO CUSTOMER-USD'!CJ$4)/CX52/'02. Tỷ giá'!G$5," -")</f>
        <v xml:space="preserve"> -</v>
      </c>
      <c r="CK52" s="95" t="str">
        <f>IFERROR(SUMIFS('01. KE30'!$R:$R,'01. KE30'!$C:$C,'06. BC BH THEO CUSTOMER-USD'!$D52,'01. KE30'!$F:$F,'06. BC BH THEO CUSTOMER-USD'!$H52,'01. KE30'!$A:$A,'06. BC BH THEO CUSTOMER-USD'!CK$4)/CY52/'02. Tỷ giá'!H$5," -")</f>
        <v xml:space="preserve"> -</v>
      </c>
      <c r="CL52" s="95" t="str">
        <f>IFERROR(SUMIFS('01. KE30'!$R:$R,'01. KE30'!$C:$C,'06. BC BH THEO CUSTOMER-USD'!$D52,'01. KE30'!$F:$F,'06. BC BH THEO CUSTOMER-USD'!$H52,'01. KE30'!$A:$A,'06. BC BH THEO CUSTOMER-USD'!CL$4)/CZ52/'02. Tỷ giá'!I$5," -")</f>
        <v xml:space="preserve"> -</v>
      </c>
      <c r="CM52" s="95" t="str">
        <f>IFERROR(SUMIFS('01. KE30'!$R:$R,'01. KE30'!$C:$C,'06. BC BH THEO CUSTOMER-USD'!$D52,'01. KE30'!$F:$F,'06. BC BH THEO CUSTOMER-USD'!$H52,'01. KE30'!$A:$A,'06. BC BH THEO CUSTOMER-USD'!CM$4)/DA52/'02. Tỷ giá'!J$5," -")</f>
        <v xml:space="preserve"> -</v>
      </c>
      <c r="CN52" s="95" t="str">
        <f>IFERROR(SUMIFS('01. KE30'!$R:$R,'01. KE30'!$C:$C,'06. BC BH THEO CUSTOMER-USD'!$D52,'01. KE30'!$F:$F,'06. BC BH THEO CUSTOMER-USD'!$H52,'01. KE30'!$A:$A,'06. BC BH THEO CUSTOMER-USD'!CN$4)/DB52/'02. Tỷ giá'!K$5," -")</f>
        <v xml:space="preserve"> -</v>
      </c>
      <c r="CO52" s="95" t="str">
        <f>IFERROR(SUMIFS('01. KE30'!$R:$R,'01. KE30'!$C:$C,'06. BC BH THEO CUSTOMER-USD'!$D52,'01. KE30'!$F:$F,'06. BC BH THEO CUSTOMER-USD'!$H52,'01. KE30'!$A:$A,'06. BC BH THEO CUSTOMER-USD'!CO$4)/DC52/'02. Tỷ giá'!L$5," -")</f>
        <v xml:space="preserve"> -</v>
      </c>
      <c r="CP52" s="95" t="str">
        <f>IFERROR(SUMIFS('01. KE30'!$R:$R,'01. KE30'!$C:$C,'06. BC BH THEO CUSTOMER-USD'!$D52,'01. KE30'!$F:$F,'06. BC BH THEO CUSTOMER-USD'!$H52,'01. KE30'!$A:$A,'06. BC BH THEO CUSTOMER-USD'!CP$4)/DD52/'02. Tỷ giá'!M$5," -")</f>
        <v xml:space="preserve"> -</v>
      </c>
      <c r="CR52" s="112">
        <f t="shared" si="266"/>
        <v>0</v>
      </c>
      <c r="CS52" s="114">
        <f>SUMIFS('01. KE30'!$I:$I,'01. KE30'!$C:$C,'06. BC BH THEO CUSTOMER-USD'!$D52,'01. KE30'!$F:$F,'06. BC BH THEO CUSTOMER-USD'!$H52,'01. KE30'!$A:$A,'06. BC BH THEO CUSTOMER-USD'!CS$4)/1000</f>
        <v>0</v>
      </c>
      <c r="CT52" s="114">
        <f>SUMIFS('01. KE30'!$I:$I,'01. KE30'!$C:$C,'06. BC BH THEO CUSTOMER-USD'!$D52,'01. KE30'!$F:$F,'06. BC BH THEO CUSTOMER-USD'!$H52,'01. KE30'!$A:$A,'06. BC BH THEO CUSTOMER-USD'!CT$4)/1000</f>
        <v>0</v>
      </c>
      <c r="CU52" s="114">
        <f>SUMIFS('01. KE30'!$I:$I,'01. KE30'!$C:$C,'06. BC BH THEO CUSTOMER-USD'!$D52,'01. KE30'!$F:$F,'06. BC BH THEO CUSTOMER-USD'!$H52,'01. KE30'!$A:$A,'06. BC BH THEO CUSTOMER-USD'!CU$4)/1000</f>
        <v>0</v>
      </c>
      <c r="CV52" s="114">
        <f>SUMIFS('01. KE30'!$I:$I,'01. KE30'!$C:$C,'06. BC BH THEO CUSTOMER-USD'!$D52,'01. KE30'!$F:$F,'06. BC BH THEO CUSTOMER-USD'!$H52,'01. KE30'!$A:$A,'06. BC BH THEO CUSTOMER-USD'!CV$4)/1000</f>
        <v>0</v>
      </c>
      <c r="CW52" s="114">
        <f>SUMIFS('01. KE30'!$I:$I,'01. KE30'!$C:$C,'06. BC BH THEO CUSTOMER-USD'!$D52,'01. KE30'!$F:$F,'06. BC BH THEO CUSTOMER-USD'!$H52,'01. KE30'!$A:$A,'06. BC BH THEO CUSTOMER-USD'!CW$4)/1000</f>
        <v>0</v>
      </c>
      <c r="CX52" s="114">
        <f>SUMIFS('01. KE30'!$I:$I,'01. KE30'!$C:$C,'06. BC BH THEO CUSTOMER-USD'!$D52,'01. KE30'!$F:$F,'06. BC BH THEO CUSTOMER-USD'!$H52,'01. KE30'!$A:$A,'06. BC BH THEO CUSTOMER-USD'!CX$4)/1000</f>
        <v>0</v>
      </c>
      <c r="CY52" s="114">
        <f>SUMIFS('01. KE30'!$I:$I,'01. KE30'!$C:$C,'06. BC BH THEO CUSTOMER-USD'!$D52,'01. KE30'!$F:$F,'06. BC BH THEO CUSTOMER-USD'!$H52,'01. KE30'!$A:$A,'06. BC BH THEO CUSTOMER-USD'!CY$4)/1000</f>
        <v>0</v>
      </c>
      <c r="CZ52" s="114">
        <f>SUMIFS('01. KE30'!$I:$I,'01. KE30'!$C:$C,'06. BC BH THEO CUSTOMER-USD'!$D52,'01. KE30'!$F:$F,'06. BC BH THEO CUSTOMER-USD'!$H52,'01. KE30'!$A:$A,'06. BC BH THEO CUSTOMER-USD'!CZ$4)/1000</f>
        <v>0</v>
      </c>
      <c r="DA52" s="114">
        <f>SUMIFS('01. KE30'!$I:$I,'01. KE30'!$C:$C,'06. BC BH THEO CUSTOMER-USD'!$D52,'01. KE30'!$F:$F,'06. BC BH THEO CUSTOMER-USD'!$H52,'01. KE30'!$A:$A,'06. BC BH THEO CUSTOMER-USD'!DA$4)/1000</f>
        <v>0</v>
      </c>
      <c r="DB52" s="114">
        <f>SUMIFS('01. KE30'!$I:$I,'01. KE30'!$C:$C,'06. BC BH THEO CUSTOMER-USD'!$D52,'01. KE30'!$F:$F,'06. BC BH THEO CUSTOMER-USD'!$H52,'01. KE30'!$A:$A,'06. BC BH THEO CUSTOMER-USD'!DB$4)/1000</f>
        <v>0</v>
      </c>
      <c r="DC52" s="114">
        <f>SUMIFS('01. KE30'!$I:$I,'01. KE30'!$C:$C,'06. BC BH THEO CUSTOMER-USD'!$D52,'01. KE30'!$F:$F,'06. BC BH THEO CUSTOMER-USD'!$H52,'01. KE30'!$A:$A,'06. BC BH THEO CUSTOMER-USD'!DC$4)/1000</f>
        <v>0</v>
      </c>
      <c r="DD52" s="114">
        <f>SUMIFS('01. KE30'!$I:$I,'01. KE30'!$C:$C,'06. BC BH THEO CUSTOMER-USD'!$D52,'01. KE30'!$F:$F,'06. BC BH THEO CUSTOMER-USD'!$H52,'01. KE30'!$A:$A,'06. BC BH THEO CUSTOMER-USD'!DD$4)/1000</f>
        <v>0</v>
      </c>
      <c r="DF52" s="112">
        <f t="shared" si="267"/>
        <v>0</v>
      </c>
      <c r="DG52" s="54" t="str">
        <f t="shared" si="48"/>
        <v>-</v>
      </c>
      <c r="DH52" s="54" t="str">
        <f t="shared" si="49"/>
        <v>-</v>
      </c>
      <c r="DI52" s="54" t="str">
        <f t="shared" si="50"/>
        <v>-</v>
      </c>
      <c r="DJ52" s="54" t="str">
        <f t="shared" si="51"/>
        <v>-</v>
      </c>
      <c r="DK52" s="54" t="str">
        <f t="shared" si="52"/>
        <v>-</v>
      </c>
      <c r="DL52" s="54" t="str">
        <f t="shared" si="53"/>
        <v>-</v>
      </c>
      <c r="DM52" s="54" t="str">
        <f t="shared" si="54"/>
        <v>-</v>
      </c>
      <c r="DN52" s="54" t="str">
        <f t="shared" si="55"/>
        <v>-</v>
      </c>
      <c r="DO52" s="54" t="str">
        <f t="shared" si="56"/>
        <v>-</v>
      </c>
      <c r="DP52" s="54" t="str">
        <f t="shared" si="57"/>
        <v>-</v>
      </c>
      <c r="DQ52" s="54" t="str">
        <f t="shared" si="58"/>
        <v>-</v>
      </c>
      <c r="DR52" s="54" t="str">
        <f t="shared" si="59"/>
        <v>-</v>
      </c>
      <c r="DT52" s="112">
        <f t="shared" si="60"/>
        <v>0</v>
      </c>
      <c r="DU52" s="114">
        <f>IFERROR(SUMIFS('01. KE30'!$X:$X,'01. KE30'!$C:$C,'06. BC BH THEO CUSTOMER-USD'!$D52,'01. KE30'!$F:$F,'06. BC BH THEO CUSTOMER-USD'!$H52,'01. KE30'!$A:$A,'06. BC BH THEO CUSTOMER-USD'!DU$4)-SUMIFS('01. KE30'!$AA:$AA,'01. KE30'!$C:$C,'06. BC BH THEO CUSTOMER-USD'!$D52,'01. KE30'!$F:$F,'06. BC BH THEO CUSTOMER-USD'!$H52,'01. KE30'!$A:$A,'06. BC BH THEO CUSTOMER-USD'!DU$4),"-")</f>
        <v>0</v>
      </c>
      <c r="DV52" s="114">
        <f>IFERROR(SUMIFS('01. KE30'!$X:$X,'01. KE30'!$C:$C,'06. BC BH THEO CUSTOMER-USD'!$D52,'01. KE30'!$F:$F,'06. BC BH THEO CUSTOMER-USD'!$H52,'01. KE30'!$A:$A,'06. BC BH THEO CUSTOMER-USD'!DV$4)-SUMIFS('01. KE30'!$AA:$AA,'01. KE30'!$C:$C,'06. BC BH THEO CUSTOMER-USD'!$D52,'01. KE30'!$F:$F,'06. BC BH THEO CUSTOMER-USD'!$H52,'01. KE30'!$A:$A,'06. BC BH THEO CUSTOMER-USD'!DV$4),"-")</f>
        <v>0</v>
      </c>
      <c r="DW52" s="114">
        <f>IFERROR(SUMIFS('01. KE30'!$X:$X,'01. KE30'!$C:$C,'06. BC BH THEO CUSTOMER-USD'!$D52,'01. KE30'!$F:$F,'06. BC BH THEO CUSTOMER-USD'!$H52,'01. KE30'!$A:$A,'06. BC BH THEO CUSTOMER-USD'!DW$4)-SUMIFS('01. KE30'!$AA:$AA,'01. KE30'!$C:$C,'06. BC BH THEO CUSTOMER-USD'!$D52,'01. KE30'!$F:$F,'06. BC BH THEO CUSTOMER-USD'!$H52,'01. KE30'!$A:$A,'06. BC BH THEO CUSTOMER-USD'!DW$4),"-")</f>
        <v>0</v>
      </c>
      <c r="DX52" s="114">
        <f>IFERROR(SUMIFS('01. KE30'!$X:$X,'01. KE30'!$C:$C,'06. BC BH THEO CUSTOMER-USD'!$D52,'01. KE30'!$F:$F,'06. BC BH THEO CUSTOMER-USD'!$H52,'01. KE30'!$A:$A,'06. BC BH THEO CUSTOMER-USD'!DX$4)-SUMIFS('01. KE30'!$AA:$AA,'01. KE30'!$C:$C,'06. BC BH THEO CUSTOMER-USD'!$D52,'01. KE30'!$F:$F,'06. BC BH THEO CUSTOMER-USD'!$H52,'01. KE30'!$A:$A,'06. BC BH THEO CUSTOMER-USD'!DX$4),"-")</f>
        <v>0</v>
      </c>
      <c r="DY52" s="114">
        <f>IFERROR(SUMIFS('01. KE30'!$X:$X,'01. KE30'!$C:$C,'06. BC BH THEO CUSTOMER-USD'!$D52,'01. KE30'!$F:$F,'06. BC BH THEO CUSTOMER-USD'!$H52,'01. KE30'!$A:$A,'06. BC BH THEO CUSTOMER-USD'!DY$4)-SUMIFS('01. KE30'!$AA:$AA,'01. KE30'!$C:$C,'06. BC BH THEO CUSTOMER-USD'!$D52,'01. KE30'!$F:$F,'06. BC BH THEO CUSTOMER-USD'!$H52,'01. KE30'!$A:$A,'06. BC BH THEO CUSTOMER-USD'!DY$4),"-")</f>
        <v>0</v>
      </c>
      <c r="DZ52" s="114">
        <f>IFERROR(SUMIFS('01. KE30'!$X:$X,'01. KE30'!$C:$C,'06. BC BH THEO CUSTOMER-USD'!$D52,'01. KE30'!$F:$F,'06. BC BH THEO CUSTOMER-USD'!$H52,'01. KE30'!$A:$A,'06. BC BH THEO CUSTOMER-USD'!DZ$4)-SUMIFS('01. KE30'!$AA:$AA,'01. KE30'!$C:$C,'06. BC BH THEO CUSTOMER-USD'!$D52,'01. KE30'!$F:$F,'06. BC BH THEO CUSTOMER-USD'!$H52,'01. KE30'!$A:$A,'06. BC BH THEO CUSTOMER-USD'!DZ$4),"-")</f>
        <v>0</v>
      </c>
      <c r="EA52" s="114">
        <f>IFERROR(SUMIFS('01. KE30'!$X:$X,'01. KE30'!$C:$C,'06. BC BH THEO CUSTOMER-USD'!$D52,'01. KE30'!$F:$F,'06. BC BH THEO CUSTOMER-USD'!$H52,'01. KE30'!$A:$A,'06. BC BH THEO CUSTOMER-USD'!EA$4)-SUMIFS('01. KE30'!$AA:$AA,'01. KE30'!$C:$C,'06. BC BH THEO CUSTOMER-USD'!$D52,'01. KE30'!$F:$F,'06. BC BH THEO CUSTOMER-USD'!$H52,'01. KE30'!$A:$A,'06. BC BH THEO CUSTOMER-USD'!EA$4),"-")</f>
        <v>0</v>
      </c>
      <c r="EB52" s="114">
        <f>IFERROR(SUMIFS('01. KE30'!$X:$X,'01. KE30'!$C:$C,'06. BC BH THEO CUSTOMER-USD'!$D52,'01. KE30'!$F:$F,'06. BC BH THEO CUSTOMER-USD'!$H52,'01. KE30'!$A:$A,'06. BC BH THEO CUSTOMER-USD'!EB$4)-SUMIFS('01. KE30'!$AA:$AA,'01. KE30'!$C:$C,'06. BC BH THEO CUSTOMER-USD'!$D52,'01. KE30'!$F:$F,'06. BC BH THEO CUSTOMER-USD'!$H52,'01. KE30'!$A:$A,'06. BC BH THEO CUSTOMER-USD'!EB$4),"-")</f>
        <v>0</v>
      </c>
      <c r="EC52" s="114">
        <f>IFERROR(SUMIFS('01. KE30'!$X:$X,'01. KE30'!$C:$C,'06. BC BH THEO CUSTOMER-USD'!$D52,'01. KE30'!$F:$F,'06. BC BH THEO CUSTOMER-USD'!$H52,'01. KE30'!$A:$A,'06. BC BH THEO CUSTOMER-USD'!EC$4)-SUMIFS('01. KE30'!$AA:$AA,'01. KE30'!$C:$C,'06. BC BH THEO CUSTOMER-USD'!$D52,'01. KE30'!$F:$F,'06. BC BH THEO CUSTOMER-USD'!$H52,'01. KE30'!$A:$A,'06. BC BH THEO CUSTOMER-USD'!EC$4),"-")</f>
        <v>0</v>
      </c>
      <c r="ED52" s="114">
        <f>IFERROR(SUMIFS('01. KE30'!$X:$X,'01. KE30'!$C:$C,'06. BC BH THEO CUSTOMER-USD'!$D52,'01. KE30'!$F:$F,'06. BC BH THEO CUSTOMER-USD'!$H52,'01. KE30'!$A:$A,'06. BC BH THEO CUSTOMER-USD'!ED$4)-SUMIFS('01. KE30'!$AA:$AA,'01. KE30'!$C:$C,'06. BC BH THEO CUSTOMER-USD'!$D52,'01. KE30'!$F:$F,'06. BC BH THEO CUSTOMER-USD'!$H52,'01. KE30'!$A:$A,'06. BC BH THEO CUSTOMER-USD'!ED$4),"-")</f>
        <v>0</v>
      </c>
      <c r="EE52" s="114">
        <f>IFERROR(SUMIFS('01. KE30'!$X:$X,'01. KE30'!$C:$C,'06. BC BH THEO CUSTOMER-USD'!$D52,'01. KE30'!$F:$F,'06. BC BH THEO CUSTOMER-USD'!$H52,'01. KE30'!$A:$A,'06. BC BH THEO CUSTOMER-USD'!EE$4)-SUMIFS('01. KE30'!$AA:$AA,'01. KE30'!$C:$C,'06. BC BH THEO CUSTOMER-USD'!$D52,'01. KE30'!$F:$F,'06. BC BH THEO CUSTOMER-USD'!$H52,'01. KE30'!$A:$A,'06. BC BH THEO CUSTOMER-USD'!EE$4),"-")</f>
        <v>0</v>
      </c>
      <c r="EF52" s="114">
        <f>IFERROR(SUMIFS('01. KE30'!$X:$X,'01. KE30'!$C:$C,'06. BC BH THEO CUSTOMER-USD'!$D52,'01. KE30'!$F:$F,'06. BC BH THEO CUSTOMER-USD'!$H52,'01. KE30'!$A:$A,'06. BC BH THEO CUSTOMER-USD'!EF$4)-SUMIFS('01. KE30'!$AA:$AA,'01. KE30'!$C:$C,'06. BC BH THEO CUSTOMER-USD'!$D52,'01. KE30'!$F:$F,'06. BC BH THEO CUSTOMER-USD'!$H52,'01. KE30'!$A:$A,'06. BC BH THEO CUSTOMER-USD'!EF$4),"-")</f>
        <v>0</v>
      </c>
      <c r="EH52" s="571" t="str">
        <f t="shared" si="29"/>
        <v>-</v>
      </c>
      <c r="EI52" s="572" t="str">
        <f t="shared" si="30"/>
        <v>-</v>
      </c>
      <c r="EJ52" s="572" t="str">
        <f t="shared" si="31"/>
        <v>-</v>
      </c>
      <c r="EK52" s="572" t="str">
        <f t="shared" si="32"/>
        <v>-</v>
      </c>
      <c r="EL52" s="572" t="str">
        <f t="shared" si="33"/>
        <v>-</v>
      </c>
      <c r="EM52" s="572" t="str">
        <f t="shared" si="34"/>
        <v>-</v>
      </c>
      <c r="EN52" s="572" t="str">
        <f t="shared" si="35"/>
        <v>-</v>
      </c>
      <c r="EO52" s="572" t="str">
        <f t="shared" si="36"/>
        <v>-</v>
      </c>
      <c r="EP52" s="572" t="str">
        <f t="shared" si="37"/>
        <v>-</v>
      </c>
      <c r="EQ52" s="572" t="str">
        <f t="shared" si="38"/>
        <v>-</v>
      </c>
      <c r="ER52" s="572" t="str">
        <f t="shared" si="39"/>
        <v>-</v>
      </c>
      <c r="ES52" s="572" t="str">
        <f t="shared" si="40"/>
        <v>-</v>
      </c>
      <c r="ET52" s="572" t="str">
        <f t="shared" si="41"/>
        <v>-</v>
      </c>
    </row>
    <row r="53" spans="1:150" ht="15.5" hidden="1" outlineLevel="1" x14ac:dyDescent="0.35">
      <c r="A53" s="27">
        <f t="shared" si="63"/>
        <v>44</v>
      </c>
      <c r="B53" s="27" t="s">
        <v>283</v>
      </c>
      <c r="C53" s="442" t="s">
        <v>119</v>
      </c>
      <c r="D53" s="9" t="s">
        <v>176</v>
      </c>
      <c r="E53" s="12" t="s">
        <v>177</v>
      </c>
      <c r="F53" s="12" t="s">
        <v>245</v>
      </c>
      <c r="G53" s="12" t="str">
        <f>_xlfn.XLOOKUP(F53,'Quy đổi'!$G$5:$G$32,'Quy đổi'!$H$5:$H$32,0)</f>
        <v>Nội địa</v>
      </c>
      <c r="H53" s="76" t="s">
        <v>127</v>
      </c>
      <c r="I53" s="7" t="s">
        <v>114</v>
      </c>
      <c r="J53" s="13" t="s">
        <v>22</v>
      </c>
      <c r="K53" s="11"/>
      <c r="L53" s="92">
        <f t="shared" si="42"/>
        <v>1400.2886344730655</v>
      </c>
      <c r="M53" s="106">
        <f>IFERROR(SUMIFS('01. KE30'!$K:$K,'01. KE30'!$C:$C,'06. BC BH THEO CUSTOMER-USD'!$D53,'01. KE30'!$F:$F,'06. BC BH THEO CUSTOMER-USD'!$H53,'01. KE30'!$A:$A,'06. BC BH THEO CUSTOMER-USD'!M$4)/'06. BC BH THEO CUSTOMER-USD'!CS53/'02. Tỷ giá'!B$5,"-")</f>
        <v>1501.9269369731032</v>
      </c>
      <c r="N53" s="106">
        <f>IFERROR(SUMIFS('01. KE30'!$K:$K,'01. KE30'!$C:$C,'06. BC BH THEO CUSTOMER-USD'!$D53,'01. KE30'!$F:$F,'06. BC BH THEO CUSTOMER-USD'!$H53,'01. KE30'!$A:$A,'06. BC BH THEO CUSTOMER-USD'!N$4)/'06. BC BH THEO CUSTOMER-USD'!CT53/'02. Tỷ giá'!C$5,"-")</f>
        <v>1421.5966916108705</v>
      </c>
      <c r="O53" s="106">
        <f>IFERROR(SUMIFS('01. KE30'!$K:$K,'01. KE30'!$C:$C,'06. BC BH THEO CUSTOMER-USD'!$D53,'01. KE30'!$F:$F,'06. BC BH THEO CUSTOMER-USD'!$H53,'01. KE30'!$A:$A,'06. BC BH THEO CUSTOMER-USD'!O$4)/'06. BC BH THEO CUSTOMER-USD'!CU53/'02. Tỷ giá'!D$5,"-")</f>
        <v>1390.790085387054</v>
      </c>
      <c r="P53" s="106">
        <f>IFERROR(SUMIFS('01. KE30'!$K:$K,'01. KE30'!$C:$C,'06. BC BH THEO CUSTOMER-USD'!$D53,'01. KE30'!$F:$F,'06. BC BH THEO CUSTOMER-USD'!$H53,'01. KE30'!$A:$A,'06. BC BH THEO CUSTOMER-USD'!P$4)/'06. BC BH THEO CUSTOMER-USD'!CV53/'02. Tỷ giá'!E$5,"-")</f>
        <v>1362.6144405729772</v>
      </c>
      <c r="Q53" s="106">
        <f>IFERROR(SUMIFS('01. KE30'!$K:$K,'01. KE30'!$C:$C,'06. BC BH THEO CUSTOMER-USD'!$D53,'01. KE30'!$F:$F,'06. BC BH THEO CUSTOMER-USD'!$H53,'01. KE30'!$A:$A,'06. BC BH THEO CUSTOMER-USD'!Q$4)/'06. BC BH THEO CUSTOMER-USD'!CW53/'02. Tỷ giá'!F$5,"-")</f>
        <v>1394.9495436968291</v>
      </c>
      <c r="R53" s="106">
        <f>IFERROR(SUMIFS('01. KE30'!$K:$K,'01. KE30'!$C:$C,'06. BC BH THEO CUSTOMER-USD'!$D53,'01. KE30'!$F:$F,'06. BC BH THEO CUSTOMER-USD'!$H53,'01. KE30'!$A:$A,'06. BC BH THEO CUSTOMER-USD'!R$4)/'06. BC BH THEO CUSTOMER-USD'!CX53/'02. Tỷ giá'!G$5,"-")</f>
        <v>1419.5076972745469</v>
      </c>
      <c r="S53" s="106">
        <f>IFERROR(SUMIFS('01. KE30'!$K:$K,'01. KE30'!$C:$C,'06. BC BH THEO CUSTOMER-USD'!$D53,'01. KE30'!$F:$F,'06. BC BH THEO CUSTOMER-USD'!$H53,'01. KE30'!$A:$A,'06. BC BH THEO CUSTOMER-USD'!S$4)/'06. BC BH THEO CUSTOMER-USD'!CY53/'02. Tỷ giá'!H$5,"-")</f>
        <v>1416.9419900115251</v>
      </c>
      <c r="T53" s="106">
        <f>IFERROR(SUMIFS('01. KE30'!$K:$K,'01. KE30'!$C:$C,'06. BC BH THEO CUSTOMER-USD'!$D53,'01. KE30'!$F:$F,'06. BC BH THEO CUSTOMER-USD'!$H53,'01. KE30'!$A:$A,'06. BC BH THEO CUSTOMER-USD'!T$4)/'06. BC BH THEO CUSTOMER-USD'!CZ53/'02. Tỷ giá'!I$5,"-")</f>
        <v>1413.4835752482811</v>
      </c>
      <c r="U53" s="106">
        <f>IFERROR(SUMIFS('01. KE30'!$K:$K,'01. KE30'!$C:$C,'06. BC BH THEO CUSTOMER-USD'!$D53,'01. KE30'!$F:$F,'06. BC BH THEO CUSTOMER-USD'!$H53,'01. KE30'!$A:$A,'06. BC BH THEO CUSTOMER-USD'!U$4)/'06. BC BH THEO CUSTOMER-USD'!DA53/'02. Tỷ giá'!J$5,"-")</f>
        <v>1280.7867494824018</v>
      </c>
      <c r="V53" s="106" t="str">
        <f>IFERROR(SUMIFS('01. KE30'!$K:$K,'01. KE30'!$C:$C,'06. BC BH THEO CUSTOMER-USD'!$D53,'01. KE30'!$F:$F,'06. BC BH THEO CUSTOMER-USD'!$H53,'01. KE30'!$A:$A,'06. BC BH THEO CUSTOMER-USD'!V$4)/'06. BC BH THEO CUSTOMER-USD'!DB53/'02. Tỷ giá'!K$5,"-")</f>
        <v>-</v>
      </c>
      <c r="W53" s="106" t="str">
        <f>IFERROR(SUMIFS('01. KE30'!$K:$K,'01. KE30'!$C:$C,'06. BC BH THEO CUSTOMER-USD'!$D53,'01. KE30'!$F:$F,'06. BC BH THEO CUSTOMER-USD'!$H53,'01. KE30'!$A:$A,'06. BC BH THEO CUSTOMER-USD'!W$4)/'06. BC BH THEO CUSTOMER-USD'!DC53/'02. Tỷ giá'!L$5,"-")</f>
        <v>-</v>
      </c>
      <c r="X53" s="106" t="str">
        <f>IFERROR(SUMIFS('01. KE30'!$K:$K,'01. KE30'!$C:$C,'06. BC BH THEO CUSTOMER-USD'!$D53,'01. KE30'!$F:$F,'06. BC BH THEO CUSTOMER-USD'!$H53,'01. KE30'!$A:$A,'06. BC BH THEO CUSTOMER-USD'!X$4)/'06. BC BH THEO CUSTOMER-USD'!DD53/'02. Tỷ giá'!M$5,"-")</f>
        <v>-</v>
      </c>
      <c r="Z53" s="92">
        <f t="shared" si="43"/>
        <v>1348.2292943433304</v>
      </c>
      <c r="AA53" s="147">
        <f>IFERROR(SUMIFS('01. KE30'!$O:$O,'01. KE30'!$C:$C,'06. BC BH THEO CUSTOMER-USD'!$D53,'01. KE30'!$F:$F,'06. BC BH THEO CUSTOMER-USD'!$H53,'01. KE30'!$A:$A,'06. BC BH THEO CUSTOMER-USD'!M$4)/'06. BC BH THEO CUSTOMER-USD'!CS53/'02. Tỷ giá'!B$5,"-")</f>
        <v>1477.4279661326227</v>
      </c>
      <c r="AB53" s="147">
        <f>IFERROR(SUMIFS('01. KE30'!$O:$O,'01. KE30'!$C:$C,'06. BC BH THEO CUSTOMER-USD'!$D53,'01. KE30'!$F:$F,'06. BC BH THEO CUSTOMER-USD'!$H53,'01. KE30'!$A:$A,'06. BC BH THEO CUSTOMER-USD'!N$4)/'06. BC BH THEO CUSTOMER-USD'!CT53/'02. Tỷ giá'!C$5,"-")</f>
        <v>1395.6410245652971</v>
      </c>
      <c r="AC53" s="147">
        <f>IFERROR(SUMIFS('01. KE30'!$O:$O,'01. KE30'!$C:$C,'06. BC BH THEO CUSTOMER-USD'!$D53,'01. KE30'!$F:$F,'06. BC BH THEO CUSTOMER-USD'!$H53,'01. KE30'!$A:$A,'06. BC BH THEO CUSTOMER-USD'!O$4)/'06. BC BH THEO CUSTOMER-USD'!CU53/'02. Tỷ giá'!D$5,"-")</f>
        <v>1365.6038397283673</v>
      </c>
      <c r="AD53" s="147">
        <f>IFERROR(SUMIFS('01. KE30'!$O:$O,'01. KE30'!$C:$C,'06. BC BH THEO CUSTOMER-USD'!$D53,'01. KE30'!$F:$F,'06. BC BH THEO CUSTOMER-USD'!$H53,'01. KE30'!$A:$A,'06. BC BH THEO CUSTOMER-USD'!P$4)/'06. BC BH THEO CUSTOMER-USD'!CV53/'02. Tỷ giá'!E$5,"-")</f>
        <v>1338.1733592213268</v>
      </c>
      <c r="AE53" s="147">
        <f>IFERROR(SUMIFS('01. KE30'!$O:$O,'01. KE30'!$C:$C,'06. BC BH THEO CUSTOMER-USD'!$D53,'01. KE30'!$F:$F,'06. BC BH THEO CUSTOMER-USD'!$H53,'01. KE30'!$A:$A,'06. BC BH THEO CUSTOMER-USD'!Q$4)/'06. BC BH THEO CUSTOMER-USD'!CW53/'02. Tỷ giá'!F$5,"-")</f>
        <v>1371.0250708164399</v>
      </c>
      <c r="AF53" s="147">
        <f>IFERROR(SUMIFS('01. KE30'!$O:$O,'01. KE30'!$C:$C,'06. BC BH THEO CUSTOMER-USD'!$D53,'01. KE30'!$F:$F,'06. BC BH THEO CUSTOMER-USD'!$H53,'01. KE30'!$A:$A,'06. BC BH THEO CUSTOMER-USD'!R$4)/'06. BC BH THEO CUSTOMER-USD'!CX53/'02. Tỷ giá'!G$5,"-")</f>
        <v>1362.4749844606401</v>
      </c>
      <c r="AG53" s="147">
        <f>IFERROR(SUMIFS('01. KE30'!$O:$O,'01. KE30'!$C:$C,'06. BC BH THEO CUSTOMER-USD'!$D53,'01. KE30'!$F:$F,'06. BC BH THEO CUSTOMER-USD'!$H53,'01. KE30'!$A:$A,'06. BC BH THEO CUSTOMER-USD'!S$4)/'06. BC BH THEO CUSTOMER-USD'!CY53/'02. Tỷ giá'!H$5,"-")</f>
        <v>1372.9670398827564</v>
      </c>
      <c r="AH53" s="147">
        <f>IFERROR(SUMIFS('01. KE30'!$O:$O,'01. KE30'!$C:$C,'06. BC BH THEO CUSTOMER-USD'!$D53,'01. KE30'!$F:$F,'06. BC BH THEO CUSTOMER-USD'!$H53,'01. KE30'!$A:$A,'06. BC BH THEO CUSTOMER-USD'!T$4)/'06. BC BH THEO CUSTOMER-USD'!CZ53/'02. Tỷ giá'!I$5,"-")</f>
        <v>1343.9422831942693</v>
      </c>
      <c r="AI53" s="147">
        <f>IFERROR(SUMIFS('01. KE30'!$O:$O,'01. KE30'!$C:$C,'06. BC BH THEO CUSTOMER-USD'!$D53,'01. KE30'!$F:$F,'06. BC BH THEO CUSTOMER-USD'!$H53,'01. KE30'!$A:$A,'06. BC BH THEO CUSTOMER-USD'!U$4)/'06. BC BH THEO CUSTOMER-USD'!DA53/'02. Tỷ giá'!J$5,"-")</f>
        <v>1106.8080810882559</v>
      </c>
      <c r="AJ53" s="147" t="str">
        <f>IFERROR(SUMIFS('01. KE30'!$O:$O,'01. KE30'!$C:$C,'06. BC BH THEO CUSTOMER-USD'!$D53,'01. KE30'!$F:$F,'06. BC BH THEO CUSTOMER-USD'!$H53,'01. KE30'!$A:$A,'06. BC BH THEO CUSTOMER-USD'!V$4)/'06. BC BH THEO CUSTOMER-USD'!DB53/'02. Tỷ giá'!K$5,"-")</f>
        <v>-</v>
      </c>
      <c r="AK53" s="147" t="str">
        <f>IFERROR(SUMIFS('01. KE30'!$O:$O,'01. KE30'!$C:$C,'06. BC BH THEO CUSTOMER-USD'!$D53,'01. KE30'!$F:$F,'06. BC BH THEO CUSTOMER-USD'!$H53,'01. KE30'!$A:$A,'06. BC BH THEO CUSTOMER-USD'!W$4)/'06. BC BH THEO CUSTOMER-USD'!DC53/'02. Tỷ giá'!L$5,"-")</f>
        <v>-</v>
      </c>
      <c r="AL53" s="147" t="str">
        <f>IFERROR(SUMIFS('01. KE30'!$O:$O,'01. KE30'!$C:$C,'06. BC BH THEO CUSTOMER-USD'!$D53,'01. KE30'!$F:$F,'06. BC BH THEO CUSTOMER-USD'!$H53,'01. KE30'!$A:$A,'06. BC BH THEO CUSTOMER-USD'!X$4)/'06. BC BH THEO CUSTOMER-USD'!DD53/'02. Tỷ giá'!M$5,"-")</f>
        <v>-</v>
      </c>
      <c r="AN53" s="92">
        <f t="shared" si="44"/>
        <v>1322.2222222222222</v>
      </c>
      <c r="AO53" s="25">
        <v>1320</v>
      </c>
      <c r="AP53" s="25">
        <f>1320-40</f>
        <v>1280</v>
      </c>
      <c r="AQ53" s="4">
        <v>1320</v>
      </c>
      <c r="AR53" s="4">
        <f t="shared" ref="AR53:AR56" si="271">AQ53+20</f>
        <v>1340</v>
      </c>
      <c r="AS53" s="4">
        <v>1340</v>
      </c>
      <c r="AT53" s="4">
        <v>1340</v>
      </c>
      <c r="AU53" s="4">
        <v>1340</v>
      </c>
      <c r="AV53" s="4">
        <f t="shared" si="205"/>
        <v>1310</v>
      </c>
      <c r="AW53" s="25">
        <v>1310</v>
      </c>
      <c r="AX53" s="25"/>
      <c r="AY53" s="4"/>
      <c r="AZ53" s="4"/>
      <c r="BB53" s="95">
        <f t="shared" si="45"/>
        <v>26.007072121108195</v>
      </c>
      <c r="BC53" s="95">
        <f t="shared" si="206"/>
        <v>157.42796613262271</v>
      </c>
      <c r="BD53" s="95">
        <f t="shared" si="201"/>
        <v>115.64102456529713</v>
      </c>
      <c r="BE53" s="95">
        <f t="shared" si="201"/>
        <v>45.603839728367348</v>
      </c>
      <c r="BF53" s="95">
        <f t="shared" si="201"/>
        <v>-1.8266407786732088</v>
      </c>
      <c r="BG53" s="95">
        <f t="shared" si="201"/>
        <v>31.025070816439893</v>
      </c>
      <c r="BH53" s="95">
        <f t="shared" si="201"/>
        <v>22.474984460640144</v>
      </c>
      <c r="BI53" s="95">
        <f t="shared" si="201"/>
        <v>32.967039882756353</v>
      </c>
      <c r="BJ53" s="95">
        <f t="shared" si="201"/>
        <v>33.942283194269294</v>
      </c>
      <c r="BK53" s="95">
        <f t="shared" si="201"/>
        <v>-203.1919189117441</v>
      </c>
      <c r="BL53" s="95" t="str">
        <f t="shared" si="201"/>
        <v>-</v>
      </c>
      <c r="BM53" s="95" t="str">
        <f t="shared" si="201"/>
        <v>-</v>
      </c>
      <c r="BN53" s="95" t="str">
        <f t="shared" si="201"/>
        <v>-</v>
      </c>
      <c r="BP53" s="143">
        <f t="shared" si="47"/>
        <v>1.9669214209241493E-2</v>
      </c>
      <c r="BQ53" s="143">
        <f t="shared" si="202"/>
        <v>0.11926361070653235</v>
      </c>
      <c r="BR53" s="143">
        <f t="shared" si="9"/>
        <v>9.0344550441638388E-2</v>
      </c>
      <c r="BS53" s="143">
        <f t="shared" si="10"/>
        <v>3.4548363430581326E-2</v>
      </c>
      <c r="BT53" s="143">
        <f t="shared" si="11"/>
        <v>-1.3631647602038873E-3</v>
      </c>
      <c r="BU53" s="143">
        <f t="shared" si="12"/>
        <v>2.3153037922716339E-2</v>
      </c>
      <c r="BV53" s="143">
        <f t="shared" si="13"/>
        <v>1.6772376463164287E-2</v>
      </c>
      <c r="BW53" s="143">
        <f t="shared" si="14"/>
        <v>2.460226856922116E-2</v>
      </c>
      <c r="BX53" s="143">
        <f t="shared" si="15"/>
        <v>2.591013984295366E-2</v>
      </c>
      <c r="BY53" s="143">
        <f t="shared" si="16"/>
        <v>-0.15510833504713289</v>
      </c>
      <c r="BZ53" s="143" t="str">
        <f t="shared" si="17"/>
        <v>-</v>
      </c>
      <c r="CA53" s="143" t="str">
        <f t="shared" si="18"/>
        <v>-</v>
      </c>
      <c r="CB53" s="143" t="str">
        <f t="shared" si="19"/>
        <v>-</v>
      </c>
      <c r="CD53" s="112">
        <f t="shared" si="25"/>
        <v>1074.0075637363502</v>
      </c>
      <c r="CE53" s="95">
        <f>IFERROR(SUMIFS('01. KE30'!$R:$R,'01. KE30'!$C:$C,'06. BC BH THEO CUSTOMER-USD'!$D53,'01. KE30'!$F:$F,'06. BC BH THEO CUSTOMER-USD'!$H53,'01. KE30'!$A:$A,'06. BC BH THEO CUSTOMER-USD'!CE$4)/CS53/'02. Tỷ giá'!B$5," -")</f>
        <v>1064.5535400167878</v>
      </c>
      <c r="CF53" s="95">
        <f>IFERROR(SUMIFS('01. KE30'!$R:$R,'01. KE30'!$C:$C,'06. BC BH THEO CUSTOMER-USD'!$D53,'01. KE30'!$F:$F,'06. BC BH THEO CUSTOMER-USD'!$H53,'01. KE30'!$A:$A,'06. BC BH THEO CUSTOMER-USD'!CF$4)/CT53/'02. Tỷ giá'!C$5," -")</f>
        <v>1040.043884492821</v>
      </c>
      <c r="CG53" s="95">
        <f>IFERROR(SUMIFS('01. KE30'!$R:$R,'01. KE30'!$C:$C,'06. BC BH THEO CUSTOMER-USD'!$D53,'01. KE30'!$F:$F,'06. BC BH THEO CUSTOMER-USD'!$H53,'01. KE30'!$A:$A,'06. BC BH THEO CUSTOMER-USD'!CG$4)/CU53/'02. Tỷ giá'!D$5," -")</f>
        <v>1038.5799481030781</v>
      </c>
      <c r="CH53" s="95">
        <f>IFERROR(SUMIFS('01. KE30'!$R:$R,'01. KE30'!$C:$C,'06. BC BH THEO CUSTOMER-USD'!$D53,'01. KE30'!$F:$F,'06. BC BH THEO CUSTOMER-USD'!$H53,'01. KE30'!$A:$A,'06. BC BH THEO CUSTOMER-USD'!CH$4)/CV53/'02. Tỷ giá'!E$5," -")</f>
        <v>1028.8379878928658</v>
      </c>
      <c r="CI53" s="95">
        <f>IFERROR(SUMIFS('01. KE30'!$R:$R,'01. KE30'!$C:$C,'06. BC BH THEO CUSTOMER-USD'!$D53,'01. KE30'!$F:$F,'06. BC BH THEO CUSTOMER-USD'!$H53,'01. KE30'!$A:$A,'06. BC BH THEO CUSTOMER-USD'!CI$4)/CW53/'02. Tỷ giá'!F$5," -")</f>
        <v>1072.9135924207269</v>
      </c>
      <c r="CJ53" s="95">
        <f>IFERROR(SUMIFS('01. KE30'!$R:$R,'01. KE30'!$C:$C,'06. BC BH THEO CUSTOMER-USD'!$D53,'01. KE30'!$F:$F,'06. BC BH THEO CUSTOMER-USD'!$H53,'01. KE30'!$A:$A,'06. BC BH THEO CUSTOMER-USD'!CJ$4)/CX53/'02. Tỷ giá'!G$5," -")</f>
        <v>1079.8145692234607</v>
      </c>
      <c r="CK53" s="95">
        <f>IFERROR(SUMIFS('01. KE30'!$R:$R,'01. KE30'!$C:$C,'06. BC BH THEO CUSTOMER-USD'!$D53,'01. KE30'!$F:$F,'06. BC BH THEO CUSTOMER-USD'!$H53,'01. KE30'!$A:$A,'06. BC BH THEO CUSTOMER-USD'!CK$4)/CY53/'02. Tỷ giá'!H$5," -")</f>
        <v>1100.0783955575735</v>
      </c>
      <c r="CL53" s="95">
        <f>IFERROR(SUMIFS('01. KE30'!$R:$R,'01. KE30'!$C:$C,'06. BC BH THEO CUSTOMER-USD'!$D53,'01. KE30'!$F:$F,'06. BC BH THEO CUSTOMER-USD'!$H53,'01. KE30'!$A:$A,'06. BC BH THEO CUSTOMER-USD'!CL$4)/CZ53/'02. Tỷ giá'!I$5," -")</f>
        <v>1119.170209674779</v>
      </c>
      <c r="CM53" s="95">
        <f>IFERROR(SUMIFS('01. KE30'!$R:$R,'01. KE30'!$C:$C,'06. BC BH THEO CUSTOMER-USD'!$D53,'01. KE30'!$F:$F,'06. BC BH THEO CUSTOMER-USD'!$H53,'01. KE30'!$A:$A,'06. BC BH THEO CUSTOMER-USD'!CM$4)/DA53/'02. Tỷ giá'!J$5," -")</f>
        <v>1122.0759462450592</v>
      </c>
      <c r="CN53" s="95" t="str">
        <f>IFERROR(SUMIFS('01. KE30'!$R:$R,'01. KE30'!$C:$C,'06. BC BH THEO CUSTOMER-USD'!$D53,'01. KE30'!$F:$F,'06. BC BH THEO CUSTOMER-USD'!$H53,'01. KE30'!$A:$A,'06. BC BH THEO CUSTOMER-USD'!CN$4)/DB53/'02. Tỷ giá'!K$5," -")</f>
        <v xml:space="preserve"> -</v>
      </c>
      <c r="CO53" s="95" t="str">
        <f>IFERROR(SUMIFS('01. KE30'!$R:$R,'01. KE30'!$C:$C,'06. BC BH THEO CUSTOMER-USD'!$D53,'01. KE30'!$F:$F,'06. BC BH THEO CUSTOMER-USD'!$H53,'01. KE30'!$A:$A,'06. BC BH THEO CUSTOMER-USD'!CO$4)/DC53/'02. Tỷ giá'!L$5," -")</f>
        <v xml:space="preserve"> -</v>
      </c>
      <c r="CP53" s="95" t="str">
        <f>IFERROR(SUMIFS('01. KE30'!$R:$R,'01. KE30'!$C:$C,'06. BC BH THEO CUSTOMER-USD'!$D53,'01. KE30'!$F:$F,'06. BC BH THEO CUSTOMER-USD'!$H53,'01. KE30'!$A:$A,'06. BC BH THEO CUSTOMER-USD'!CP$4)/DD53/'02. Tỷ giá'!M$5," -")</f>
        <v xml:space="preserve"> -</v>
      </c>
      <c r="CR53" s="112">
        <f t="shared" si="266"/>
        <v>2722.1329999999998</v>
      </c>
      <c r="CS53" s="114">
        <f>SUMIFS('01. KE30'!$I:$I,'01. KE30'!$C:$C,'06. BC BH THEO CUSTOMER-USD'!$D53,'01. KE30'!$F:$F,'06. BC BH THEO CUSTOMER-USD'!$H53,'01. KE30'!$A:$A,'06. BC BH THEO CUSTOMER-USD'!CS$4)/1000</f>
        <v>154</v>
      </c>
      <c r="CT53" s="114">
        <f>SUMIFS('01. KE30'!$I:$I,'01. KE30'!$C:$C,'06. BC BH THEO CUSTOMER-USD'!$D53,'01. KE30'!$F:$F,'06. BC BH THEO CUSTOMER-USD'!$H53,'01. KE30'!$A:$A,'06. BC BH THEO CUSTOMER-USD'!CT$4)/1000</f>
        <v>484</v>
      </c>
      <c r="CU53" s="114">
        <f>SUMIFS('01. KE30'!$I:$I,'01. KE30'!$C:$C,'06. BC BH THEO CUSTOMER-USD'!$D53,'01. KE30'!$F:$F,'06. BC BH THEO CUSTOMER-USD'!$H53,'01. KE30'!$A:$A,'06. BC BH THEO CUSTOMER-USD'!CU$4)/1000</f>
        <v>154</v>
      </c>
      <c r="CV53" s="725">
        <f>SUMIFS('01. KE30'!$I:$I,'01. KE30'!$C:$C,'06. BC BH THEO CUSTOMER-USD'!$D53,'01. KE30'!$F:$F,'06. BC BH THEO CUSTOMER-USD'!$H53,'01. KE30'!$A:$A,'06. BC BH THEO CUSTOMER-USD'!CV$4)/1000</f>
        <v>374</v>
      </c>
      <c r="CW53" s="114">
        <f>SUMIFS('01. KE30'!$I:$I,'01. KE30'!$C:$C,'06. BC BH THEO CUSTOMER-USD'!$D53,'01. KE30'!$F:$F,'06. BC BH THEO CUSTOMER-USD'!$H53,'01. KE30'!$A:$A,'06. BC BH THEO CUSTOMER-USD'!CW$4)/1000</f>
        <v>330</v>
      </c>
      <c r="CX53" s="114">
        <f>SUMIFS('01. KE30'!$I:$I,'01. KE30'!$C:$C,'06. BC BH THEO CUSTOMER-USD'!$D53,'01. KE30'!$F:$F,'06. BC BH THEO CUSTOMER-USD'!$H53,'01. KE30'!$A:$A,'06. BC BH THEO CUSTOMER-USD'!CX$4)/1000</f>
        <v>351.63299999999998</v>
      </c>
      <c r="CY53" s="114">
        <f>SUMIFS('01. KE30'!$I:$I,'01. KE30'!$C:$C,'06. BC BH THEO CUSTOMER-USD'!$D53,'01. KE30'!$F:$F,'06. BC BH THEO CUSTOMER-USD'!$H53,'01. KE30'!$A:$A,'06. BC BH THEO CUSTOMER-USD'!CY$4)/1000</f>
        <v>132</v>
      </c>
      <c r="CZ53" s="114">
        <f>SUMIFS('01. KE30'!$I:$I,'01. KE30'!$C:$C,'06. BC BH THEO CUSTOMER-USD'!$D53,'01. KE30'!$F:$F,'06. BC BH THEO CUSTOMER-USD'!$H53,'01. KE30'!$A:$A,'06. BC BH THEO CUSTOMER-USD'!CZ$4)/1000</f>
        <v>616</v>
      </c>
      <c r="DA53" s="114">
        <f>SUMIFS('01. KE30'!$I:$I,'01. KE30'!$C:$C,'06. BC BH THEO CUSTOMER-USD'!$D53,'01. KE30'!$F:$F,'06. BC BH THEO CUSTOMER-USD'!$H53,'01. KE30'!$A:$A,'06. BC BH THEO CUSTOMER-USD'!DA$4)/1000</f>
        <v>126.5</v>
      </c>
      <c r="DB53" s="114">
        <f>SUMIFS('01. KE30'!$I:$I,'01. KE30'!$C:$C,'06. BC BH THEO CUSTOMER-USD'!$D53,'01. KE30'!$F:$F,'06. BC BH THEO CUSTOMER-USD'!$H53,'01. KE30'!$A:$A,'06. BC BH THEO CUSTOMER-USD'!DB$4)/1000</f>
        <v>0</v>
      </c>
      <c r="DC53" s="114">
        <f>SUMIFS('01. KE30'!$I:$I,'01. KE30'!$C:$C,'06. BC BH THEO CUSTOMER-USD'!$D53,'01. KE30'!$F:$F,'06. BC BH THEO CUSTOMER-USD'!$H53,'01. KE30'!$A:$A,'06. BC BH THEO CUSTOMER-USD'!DC$4)/1000</f>
        <v>0</v>
      </c>
      <c r="DD53" s="114">
        <f>SUMIFS('01. KE30'!$I:$I,'01. KE30'!$C:$C,'06. BC BH THEO CUSTOMER-USD'!$D53,'01. KE30'!$F:$F,'06. BC BH THEO CUSTOMER-USD'!$H53,'01. KE30'!$A:$A,'06. BC BH THEO CUSTOMER-USD'!DD$4)/1000</f>
        <v>0</v>
      </c>
      <c r="DF53" s="112">
        <f t="shared" si="267"/>
        <v>3822389.8693370996</v>
      </c>
      <c r="DG53" s="54">
        <f t="shared" si="48"/>
        <v>231296.74829385791</v>
      </c>
      <c r="DH53" s="54">
        <f t="shared" si="49"/>
        <v>688052.79873966135</v>
      </c>
      <c r="DI53" s="54">
        <f t="shared" si="50"/>
        <v>214181.6731496063</v>
      </c>
      <c r="DJ53" s="54">
        <f t="shared" si="51"/>
        <v>509617.80077429349</v>
      </c>
      <c r="DK53" s="54">
        <f t="shared" si="52"/>
        <v>460333.34941995359</v>
      </c>
      <c r="DL53" s="54">
        <f t="shared" si="53"/>
        <v>499145.7501157407</v>
      </c>
      <c r="DM53" s="54">
        <f t="shared" si="54"/>
        <v>187036.34268152132</v>
      </c>
      <c r="DN53" s="54">
        <f t="shared" si="55"/>
        <v>870705.8823529412</v>
      </c>
      <c r="DO53" s="54">
        <f t="shared" si="56"/>
        <v>162019.52380952382</v>
      </c>
      <c r="DP53" s="54" t="str">
        <f t="shared" si="57"/>
        <v>-</v>
      </c>
      <c r="DQ53" s="54" t="str">
        <f t="shared" si="58"/>
        <v>-</v>
      </c>
      <c r="DR53" s="54" t="str">
        <f t="shared" si="59"/>
        <v>-</v>
      </c>
      <c r="DT53" s="112">
        <f t="shared" si="60"/>
        <v>772063.81666233076</v>
      </c>
      <c r="DU53" s="114">
        <f>IFERROR(SUMIFS('01. KE30'!$X:$X,'01. KE30'!$C:$C,'06. BC BH THEO CUSTOMER-USD'!$D53,'01. KE30'!$F:$F,'06. BC BH THEO CUSTOMER-USD'!$H53,'01. KE30'!$A:$A,'06. BC BH THEO CUSTOMER-USD'!DU$4)-SUMIFS('01. KE30'!$AA:$AA,'01. KE30'!$C:$C,'06. BC BH THEO CUSTOMER-USD'!$D53,'01. KE30'!$F:$F,'06. BC BH THEO CUSTOMER-USD'!$H53,'01. KE30'!$A:$A,'06. BC BH THEO CUSTOMER-USD'!DU$4),"-")</f>
        <v>63582.661621838604</v>
      </c>
      <c r="DV53" s="114">
        <f>IFERROR(SUMIFS('01. KE30'!$X:$X,'01. KE30'!$C:$C,'06. BC BH THEO CUSTOMER-USD'!$D53,'01. KE30'!$F:$F,'06. BC BH THEO CUSTOMER-USD'!$H53,'01. KE30'!$A:$A,'06. BC BH THEO CUSTOMER-USD'!DV$4)-SUMIFS('01. KE30'!$AA:$AA,'01. KE30'!$C:$C,'06. BC BH THEO CUSTOMER-USD'!$D53,'01. KE30'!$F:$F,'06. BC BH THEO CUSTOMER-USD'!$H53,'01. KE30'!$A:$A,'06. BC BH THEO CUSTOMER-USD'!DV$4),"-")</f>
        <v>172109.01579507836</v>
      </c>
      <c r="DW53" s="114">
        <f>IFERROR(SUMIFS('01. KE30'!$X:$X,'01. KE30'!$C:$C,'06. BC BH THEO CUSTOMER-USD'!$D53,'01. KE30'!$F:$F,'06. BC BH THEO CUSTOMER-USD'!$H53,'01. KE30'!$A:$A,'06. BC BH THEO CUSTOMER-USD'!DW$4)-SUMIFS('01. KE30'!$AA:$AA,'01. KE30'!$C:$C,'06. BC BH THEO CUSTOMER-USD'!$D53,'01. KE30'!$F:$F,'06. BC BH THEO CUSTOMER-USD'!$H53,'01. KE30'!$A:$A,'06. BC BH THEO CUSTOMER-USD'!DW$4),"-")</f>
        <v>50361.679310294538</v>
      </c>
      <c r="DX53" s="114">
        <f>IFERROR(SUMIFS('01. KE30'!$X:$X,'01. KE30'!$C:$C,'06. BC BH THEO CUSTOMER-USD'!$D53,'01. KE30'!$F:$F,'06. BC BH THEO CUSTOMER-USD'!$H53,'01. KE30'!$A:$A,'06. BC BH THEO CUSTOMER-USD'!DX$4)-SUMIFS('01. KE30'!$AA:$AA,'01. KE30'!$C:$C,'06. BC BH THEO CUSTOMER-USD'!$D53,'01. KE30'!$F:$F,'06. BC BH THEO CUSTOMER-USD'!$H53,'01. KE30'!$A:$A,'06. BC BH THEO CUSTOMER-USD'!DX$4),"-")</f>
        <v>115691.42887684429</v>
      </c>
      <c r="DY53" s="114">
        <f>IFERROR(SUMIFS('01. KE30'!$X:$X,'01. KE30'!$C:$C,'06. BC BH THEO CUSTOMER-USD'!$D53,'01. KE30'!$F:$F,'06. BC BH THEO CUSTOMER-USD'!$H53,'01. KE30'!$A:$A,'06. BC BH THEO CUSTOMER-USD'!DY$4)-SUMIFS('01. KE30'!$AA:$AA,'01. KE30'!$C:$C,'06. BC BH THEO CUSTOMER-USD'!$D53,'01. KE30'!$F:$F,'06. BC BH THEO CUSTOMER-USD'!$H53,'01. KE30'!$A:$A,'06. BC BH THEO CUSTOMER-USD'!DY$4),"-")</f>
        <v>98376.78787058522</v>
      </c>
      <c r="DZ53" s="114">
        <f>IFERROR(SUMIFS('01. KE30'!$X:$X,'01. KE30'!$C:$C,'06. BC BH THEO CUSTOMER-USD'!$D53,'01. KE30'!$F:$F,'06. BC BH THEO CUSTOMER-USD'!$H53,'01. KE30'!$A:$A,'06. BC BH THEO CUSTOMER-USD'!DZ$4)-SUMIFS('01. KE30'!$AA:$AA,'01. KE30'!$C:$C,'06. BC BH THEO CUSTOMER-USD'!$D53,'01. KE30'!$F:$F,'06. BC BH THEO CUSTOMER-USD'!$H53,'01. KE30'!$A:$A,'06. BC BH THEO CUSTOMER-USD'!DZ$4),"-")</f>
        <v>99392.729791095131</v>
      </c>
      <c r="EA53" s="114">
        <f>IFERROR(SUMIFS('01. KE30'!$X:$X,'01. KE30'!$C:$C,'06. BC BH THEO CUSTOMER-USD'!$D53,'01. KE30'!$F:$F,'06. BC BH THEO CUSTOMER-USD'!$H53,'01. KE30'!$A:$A,'06. BC BH THEO CUSTOMER-USD'!EA$4)-SUMIFS('01. KE30'!$AA:$AA,'01. KE30'!$C:$C,'06. BC BH THEO CUSTOMER-USD'!$D53,'01. KE30'!$F:$F,'06. BC BH THEO CUSTOMER-USD'!$H53,'01. KE30'!$A:$A,'06. BC BH THEO CUSTOMER-USD'!EA$4),"-")</f>
        <v>36021.301050924143</v>
      </c>
      <c r="EB53" s="114">
        <f>IFERROR(SUMIFS('01. KE30'!$X:$X,'01. KE30'!$C:$C,'06. BC BH THEO CUSTOMER-USD'!$D53,'01. KE30'!$F:$F,'06. BC BH THEO CUSTOMER-USD'!$H53,'01. KE30'!$A:$A,'06. BC BH THEO CUSTOMER-USD'!EB$4)-SUMIFS('01. KE30'!$AA:$AA,'01. KE30'!$C:$C,'06. BC BH THEO CUSTOMER-USD'!$D53,'01. KE30'!$F:$F,'06. BC BH THEO CUSTOMER-USD'!$H53,'01. KE30'!$A:$A,'06. BC BH THEO CUSTOMER-USD'!EB$4),"-")</f>
        <v>138459.5972880061</v>
      </c>
      <c r="EC53" s="114">
        <f>IFERROR(SUMIFS('01. KE30'!$X:$X,'01. KE30'!$C:$C,'06. BC BH THEO CUSTOMER-USD'!$D53,'01. KE30'!$F:$F,'06. BC BH THEO CUSTOMER-USD'!$H53,'01. KE30'!$A:$A,'06. BC BH THEO CUSTOMER-USD'!EC$4)-SUMIFS('01. KE30'!$AA:$AA,'01. KE30'!$C:$C,'06. BC BH THEO CUSTOMER-USD'!$D53,'01. KE30'!$F:$F,'06. BC BH THEO CUSTOMER-USD'!$H53,'01. KE30'!$A:$A,'06. BC BH THEO CUSTOMER-USD'!EC$4),"-")</f>
        <v>-1931.3849423356296</v>
      </c>
      <c r="ED53" s="114">
        <f>IFERROR(SUMIFS('01. KE30'!$X:$X,'01. KE30'!$C:$C,'06. BC BH THEO CUSTOMER-USD'!$D53,'01. KE30'!$F:$F,'06. BC BH THEO CUSTOMER-USD'!$H53,'01. KE30'!$A:$A,'06. BC BH THEO CUSTOMER-USD'!ED$4)-SUMIFS('01. KE30'!$AA:$AA,'01. KE30'!$C:$C,'06. BC BH THEO CUSTOMER-USD'!$D53,'01. KE30'!$F:$F,'06. BC BH THEO CUSTOMER-USD'!$H53,'01. KE30'!$A:$A,'06. BC BH THEO CUSTOMER-USD'!ED$4),"-")</f>
        <v>0</v>
      </c>
      <c r="EE53" s="114">
        <f>IFERROR(SUMIFS('01. KE30'!$X:$X,'01. KE30'!$C:$C,'06. BC BH THEO CUSTOMER-USD'!$D53,'01. KE30'!$F:$F,'06. BC BH THEO CUSTOMER-USD'!$H53,'01. KE30'!$A:$A,'06. BC BH THEO CUSTOMER-USD'!EE$4)-SUMIFS('01. KE30'!$AA:$AA,'01. KE30'!$C:$C,'06. BC BH THEO CUSTOMER-USD'!$D53,'01. KE30'!$F:$F,'06. BC BH THEO CUSTOMER-USD'!$H53,'01. KE30'!$A:$A,'06. BC BH THEO CUSTOMER-USD'!EE$4),"-")</f>
        <v>0</v>
      </c>
      <c r="EF53" s="114">
        <f>IFERROR(SUMIFS('01. KE30'!$X:$X,'01. KE30'!$C:$C,'06. BC BH THEO CUSTOMER-USD'!$D53,'01. KE30'!$F:$F,'06. BC BH THEO CUSTOMER-USD'!$H53,'01. KE30'!$A:$A,'06. BC BH THEO CUSTOMER-USD'!EF$4)-SUMIFS('01. KE30'!$AA:$AA,'01. KE30'!$C:$C,'06. BC BH THEO CUSTOMER-USD'!$D53,'01. KE30'!$F:$F,'06. BC BH THEO CUSTOMER-USD'!$H53,'01. KE30'!$A:$A,'06. BC BH THEO CUSTOMER-USD'!EF$4),"-")</f>
        <v>0</v>
      </c>
      <c r="EH53" s="571">
        <f t="shared" si="29"/>
        <v>0.20198458112704931</v>
      </c>
      <c r="EI53" s="572">
        <f t="shared" si="30"/>
        <v>0.2748964786182731</v>
      </c>
      <c r="EJ53" s="572">
        <f t="shared" si="31"/>
        <v>0.25013925691507766</v>
      </c>
      <c r="EK53" s="572">
        <f t="shared" si="32"/>
        <v>0.23513533426885133</v>
      </c>
      <c r="EL53" s="572">
        <f t="shared" si="33"/>
        <v>0.22701606714103634</v>
      </c>
      <c r="EM53" s="572">
        <f t="shared" si="34"/>
        <v>0.21370771419134765</v>
      </c>
      <c r="EN53" s="572">
        <f t="shared" si="35"/>
        <v>0.19912566573600635</v>
      </c>
      <c r="EO53" s="572">
        <f t="shared" si="36"/>
        <v>0.19258984930142642</v>
      </c>
      <c r="EP53" s="572">
        <f t="shared" si="37"/>
        <v>0.15901994013620482</v>
      </c>
      <c r="EQ53" s="572">
        <f t="shared" si="38"/>
        <v>-1.1920692623478129E-2</v>
      </c>
      <c r="ER53" s="572" t="str">
        <f t="shared" si="39"/>
        <v>-</v>
      </c>
      <c r="ES53" s="572" t="str">
        <f t="shared" si="40"/>
        <v>-</v>
      </c>
      <c r="ET53" s="572" t="str">
        <f t="shared" si="41"/>
        <v>-</v>
      </c>
    </row>
    <row r="54" spans="1:150" ht="15.5" hidden="1" outlineLevel="1" x14ac:dyDescent="0.35">
      <c r="A54" s="27">
        <f t="shared" si="63"/>
        <v>45</v>
      </c>
      <c r="B54" s="27" t="s">
        <v>283</v>
      </c>
      <c r="C54" s="442" t="s">
        <v>119</v>
      </c>
      <c r="D54" s="9" t="s">
        <v>724</v>
      </c>
      <c r="E54" s="12" t="s">
        <v>731</v>
      </c>
      <c r="F54" s="12" t="s">
        <v>245</v>
      </c>
      <c r="G54" s="12" t="str">
        <f>_xlfn.XLOOKUP(F54,'Quy đổi'!$G$5:$G$32,'Quy đổi'!$H$5:$H$32,0)</f>
        <v>Nội địa</v>
      </c>
      <c r="H54" s="76" t="s">
        <v>127</v>
      </c>
      <c r="I54" s="7" t="s">
        <v>114</v>
      </c>
      <c r="J54" s="13" t="s">
        <v>22</v>
      </c>
      <c r="K54" s="11"/>
      <c r="L54" s="92">
        <f t="shared" ref="L54" si="272">IFERROR(AVERAGE(M54:X54),"-")</f>
        <v>1665.0191344337686</v>
      </c>
      <c r="M54" s="106" t="str">
        <f>IFERROR(SUMIFS('01. KE30'!$K:$K,'01. KE30'!$C:$C,'06. BC BH THEO CUSTOMER-USD'!$D54,'01. KE30'!$F:$F,'06. BC BH THEO CUSTOMER-USD'!$H54,'01. KE30'!$A:$A,'06. BC BH THEO CUSTOMER-USD'!M$4)/'06. BC BH THEO CUSTOMER-USD'!CS54/'02. Tỷ giá'!B$5,"-")</f>
        <v>-</v>
      </c>
      <c r="N54" s="106" t="str">
        <f>IFERROR(SUMIFS('01. KE30'!$K:$K,'01. KE30'!$C:$C,'06. BC BH THEO CUSTOMER-USD'!$D54,'01. KE30'!$F:$F,'06. BC BH THEO CUSTOMER-USD'!$H54,'01. KE30'!$A:$A,'06. BC BH THEO CUSTOMER-USD'!N$4)/'06. BC BH THEO CUSTOMER-USD'!CT54/'02. Tỷ giá'!C$5,"-")</f>
        <v>-</v>
      </c>
      <c r="O54" s="106" t="str">
        <f>IFERROR(SUMIFS('01. KE30'!$K:$K,'01. KE30'!$C:$C,'06. BC BH THEO CUSTOMER-USD'!$D54,'01. KE30'!$F:$F,'06. BC BH THEO CUSTOMER-USD'!$H54,'01. KE30'!$A:$A,'06. BC BH THEO CUSTOMER-USD'!O$4)/'06. BC BH THEO CUSTOMER-USD'!CU54/'02. Tỷ giá'!D$5,"-")</f>
        <v>-</v>
      </c>
      <c r="P54" s="106">
        <f>IFERROR(SUMIFS('01. KE30'!$K:$K,'01. KE30'!$C:$C,'06. BC BH THEO CUSTOMER-USD'!$D54,'01. KE30'!$F:$F,'06. BC BH THEO CUSTOMER-USD'!$H54,'01. KE30'!$A:$A,'06. BC BH THEO CUSTOMER-USD'!P$4)/'06. BC BH THEO CUSTOMER-USD'!CV54/'02. Tỷ giá'!E$5,"-")</f>
        <v>1665.0191344337686</v>
      </c>
      <c r="Q54" s="106" t="str">
        <f>IFERROR(SUMIFS('01. KE30'!$K:$K,'01. KE30'!$C:$C,'06. BC BH THEO CUSTOMER-USD'!$D54,'01. KE30'!$F:$F,'06. BC BH THEO CUSTOMER-USD'!$H54,'01. KE30'!$A:$A,'06. BC BH THEO CUSTOMER-USD'!Q$4)/'06. BC BH THEO CUSTOMER-USD'!CW54/'02. Tỷ giá'!F$5,"-")</f>
        <v>-</v>
      </c>
      <c r="R54" s="106" t="str">
        <f>IFERROR(SUMIFS('01. KE30'!$K:$K,'01. KE30'!$C:$C,'06. BC BH THEO CUSTOMER-USD'!$D54,'01. KE30'!$F:$F,'06. BC BH THEO CUSTOMER-USD'!$H54,'01. KE30'!$A:$A,'06. BC BH THEO CUSTOMER-USD'!R$4)/'06. BC BH THEO CUSTOMER-USD'!CX54/'02. Tỷ giá'!G$5,"-")</f>
        <v>-</v>
      </c>
      <c r="S54" s="106" t="str">
        <f>IFERROR(SUMIFS('01. KE30'!$K:$K,'01. KE30'!$C:$C,'06. BC BH THEO CUSTOMER-USD'!$D54,'01. KE30'!$F:$F,'06. BC BH THEO CUSTOMER-USD'!$H54,'01. KE30'!$A:$A,'06. BC BH THEO CUSTOMER-USD'!S$4)/'06. BC BH THEO CUSTOMER-USD'!CY54/'02. Tỷ giá'!H$5,"-")</f>
        <v>-</v>
      </c>
      <c r="T54" s="106" t="str">
        <f>IFERROR(SUMIFS('01. KE30'!$K:$K,'01. KE30'!$C:$C,'06. BC BH THEO CUSTOMER-USD'!$D54,'01. KE30'!$F:$F,'06. BC BH THEO CUSTOMER-USD'!$H54,'01. KE30'!$A:$A,'06. BC BH THEO CUSTOMER-USD'!T$4)/'06. BC BH THEO CUSTOMER-USD'!CZ54/'02. Tỷ giá'!I$5,"-")</f>
        <v>-</v>
      </c>
      <c r="U54" s="106" t="str">
        <f>IFERROR(SUMIFS('01. KE30'!$K:$K,'01. KE30'!$C:$C,'06. BC BH THEO CUSTOMER-USD'!$D54,'01. KE30'!$F:$F,'06. BC BH THEO CUSTOMER-USD'!$H54,'01. KE30'!$A:$A,'06. BC BH THEO CUSTOMER-USD'!U$4)/'06. BC BH THEO CUSTOMER-USD'!DA54/'02. Tỷ giá'!J$5,"-")</f>
        <v>-</v>
      </c>
      <c r="V54" s="106" t="str">
        <f>IFERROR(SUMIFS('01. KE30'!$K:$K,'01. KE30'!$C:$C,'06. BC BH THEO CUSTOMER-USD'!$D54,'01. KE30'!$F:$F,'06. BC BH THEO CUSTOMER-USD'!$H54,'01. KE30'!$A:$A,'06. BC BH THEO CUSTOMER-USD'!V$4)/'06. BC BH THEO CUSTOMER-USD'!DB54/'02. Tỷ giá'!K$5,"-")</f>
        <v>-</v>
      </c>
      <c r="W54" s="106" t="str">
        <f>IFERROR(SUMIFS('01. KE30'!$K:$K,'01. KE30'!$C:$C,'06. BC BH THEO CUSTOMER-USD'!$D54,'01. KE30'!$F:$F,'06. BC BH THEO CUSTOMER-USD'!$H54,'01. KE30'!$A:$A,'06. BC BH THEO CUSTOMER-USD'!W$4)/'06. BC BH THEO CUSTOMER-USD'!DC54/'02. Tỷ giá'!L$5,"-")</f>
        <v>-</v>
      </c>
      <c r="X54" s="106" t="str">
        <f>IFERROR(SUMIFS('01. KE30'!$K:$K,'01. KE30'!$C:$C,'06. BC BH THEO CUSTOMER-USD'!$D54,'01. KE30'!$F:$F,'06. BC BH THEO CUSTOMER-USD'!$H54,'01. KE30'!$A:$A,'06. BC BH THEO CUSTOMER-USD'!X$4)/'06. BC BH THEO CUSTOMER-USD'!DD54/'02. Tỷ giá'!M$5,"-")</f>
        <v>-</v>
      </c>
      <c r="Z54" s="92">
        <f t="shared" ref="Z54" si="273">IFERROR(AVERAGE(AA54:AL54),"-")</f>
        <v>1577.031241567827</v>
      </c>
      <c r="AA54" s="147" t="str">
        <f>IFERROR(SUMIFS('01. KE30'!$O:$O,'01. KE30'!$C:$C,'06. BC BH THEO CUSTOMER-USD'!$D54,'01. KE30'!$F:$F,'06. BC BH THEO CUSTOMER-USD'!$H54,'01. KE30'!$A:$A,'06. BC BH THEO CUSTOMER-USD'!M$4)/'06. BC BH THEO CUSTOMER-USD'!CS54/'02. Tỷ giá'!B$5,"-")</f>
        <v>-</v>
      </c>
      <c r="AB54" s="147" t="str">
        <f>IFERROR(SUMIFS('01. KE30'!$O:$O,'01. KE30'!$C:$C,'06. BC BH THEO CUSTOMER-USD'!$D54,'01. KE30'!$F:$F,'06. BC BH THEO CUSTOMER-USD'!$H54,'01. KE30'!$A:$A,'06. BC BH THEO CUSTOMER-USD'!N$4)/'06. BC BH THEO CUSTOMER-USD'!CT54/'02. Tỷ giá'!C$5,"-")</f>
        <v>-</v>
      </c>
      <c r="AC54" s="147" t="str">
        <f>IFERROR(SUMIFS('01. KE30'!$O:$O,'01. KE30'!$C:$C,'06. BC BH THEO CUSTOMER-USD'!$D54,'01. KE30'!$F:$F,'06. BC BH THEO CUSTOMER-USD'!$H54,'01. KE30'!$A:$A,'06. BC BH THEO CUSTOMER-USD'!O$4)/'06. BC BH THEO CUSTOMER-USD'!CU54/'02. Tỷ giá'!D$5,"-")</f>
        <v>-</v>
      </c>
      <c r="AD54" s="147">
        <f>IFERROR(SUMIFS('01. KE30'!$O:$O,'01. KE30'!$C:$C,'06. BC BH THEO CUSTOMER-USD'!$D54,'01. KE30'!$F:$F,'06. BC BH THEO CUSTOMER-USD'!$H54,'01. KE30'!$A:$A,'06. BC BH THEO CUSTOMER-USD'!P$4)/'06. BC BH THEO CUSTOMER-USD'!CV54/'02. Tỷ giá'!E$5,"-")</f>
        <v>1577.031241567827</v>
      </c>
      <c r="AE54" s="147" t="str">
        <f>IFERROR(SUMIFS('01. KE30'!$O:$O,'01. KE30'!$C:$C,'06. BC BH THEO CUSTOMER-USD'!$D54,'01. KE30'!$F:$F,'06. BC BH THEO CUSTOMER-USD'!$H54,'01. KE30'!$A:$A,'06. BC BH THEO CUSTOMER-USD'!Q$4)/'06. BC BH THEO CUSTOMER-USD'!CW54/'02. Tỷ giá'!F$5,"-")</f>
        <v>-</v>
      </c>
      <c r="AF54" s="147" t="str">
        <f>IFERROR(SUMIFS('01. KE30'!$O:$O,'01. KE30'!$C:$C,'06. BC BH THEO CUSTOMER-USD'!$D54,'01. KE30'!$F:$F,'06. BC BH THEO CUSTOMER-USD'!$H54,'01. KE30'!$A:$A,'06. BC BH THEO CUSTOMER-USD'!R$4)/'06. BC BH THEO CUSTOMER-USD'!CX54/'02. Tỷ giá'!G$5,"-")</f>
        <v>-</v>
      </c>
      <c r="AG54" s="147" t="str">
        <f>IFERROR(SUMIFS('01. KE30'!$O:$O,'01. KE30'!$C:$C,'06. BC BH THEO CUSTOMER-USD'!$D54,'01. KE30'!$F:$F,'06. BC BH THEO CUSTOMER-USD'!$H54,'01. KE30'!$A:$A,'06. BC BH THEO CUSTOMER-USD'!S$4)/'06. BC BH THEO CUSTOMER-USD'!CY54/'02. Tỷ giá'!H$5,"-")</f>
        <v>-</v>
      </c>
      <c r="AH54" s="147" t="str">
        <f>IFERROR(SUMIFS('01. KE30'!$O:$O,'01. KE30'!$C:$C,'06. BC BH THEO CUSTOMER-USD'!$D54,'01. KE30'!$F:$F,'06. BC BH THEO CUSTOMER-USD'!$H54,'01. KE30'!$A:$A,'06. BC BH THEO CUSTOMER-USD'!T$4)/'06. BC BH THEO CUSTOMER-USD'!CZ54/'02. Tỷ giá'!I$5,"-")</f>
        <v>-</v>
      </c>
      <c r="AI54" s="147" t="str">
        <f>IFERROR(SUMIFS('01. KE30'!$O:$O,'01. KE30'!$C:$C,'06. BC BH THEO CUSTOMER-USD'!$D54,'01. KE30'!$F:$F,'06. BC BH THEO CUSTOMER-USD'!$H54,'01. KE30'!$A:$A,'06. BC BH THEO CUSTOMER-USD'!U$4)/'06. BC BH THEO CUSTOMER-USD'!DA54/'02. Tỷ giá'!J$5,"-")</f>
        <v>-</v>
      </c>
      <c r="AJ54" s="147" t="str">
        <f>IFERROR(SUMIFS('01. KE30'!$O:$O,'01. KE30'!$C:$C,'06. BC BH THEO CUSTOMER-USD'!$D54,'01. KE30'!$F:$F,'06. BC BH THEO CUSTOMER-USD'!$H54,'01. KE30'!$A:$A,'06. BC BH THEO CUSTOMER-USD'!V$4)/'06. BC BH THEO CUSTOMER-USD'!DB54/'02. Tỷ giá'!K$5,"-")</f>
        <v>-</v>
      </c>
      <c r="AK54" s="147" t="str">
        <f>IFERROR(SUMIFS('01. KE30'!$O:$O,'01. KE30'!$C:$C,'06. BC BH THEO CUSTOMER-USD'!$D54,'01. KE30'!$F:$F,'06. BC BH THEO CUSTOMER-USD'!$H54,'01. KE30'!$A:$A,'06. BC BH THEO CUSTOMER-USD'!W$4)/'06. BC BH THEO CUSTOMER-USD'!DC54/'02. Tỷ giá'!L$5,"-")</f>
        <v>-</v>
      </c>
      <c r="AL54" s="147" t="str">
        <f>IFERROR(SUMIFS('01. KE30'!$O:$O,'01. KE30'!$C:$C,'06. BC BH THEO CUSTOMER-USD'!$D54,'01. KE30'!$F:$F,'06. BC BH THEO CUSTOMER-USD'!$H54,'01. KE30'!$A:$A,'06. BC BH THEO CUSTOMER-USD'!X$4)/'06. BC BH THEO CUSTOMER-USD'!DD54/'02. Tỷ giá'!M$5,"-")</f>
        <v>-</v>
      </c>
      <c r="AN54" s="92">
        <f t="shared" ref="AN54" si="274">IFERROR(AVERAGE(AO54:AZ54),"-")</f>
        <v>1322.2222222222222</v>
      </c>
      <c r="AO54" s="25">
        <v>1320</v>
      </c>
      <c r="AP54" s="25">
        <f>1320-40</f>
        <v>1280</v>
      </c>
      <c r="AQ54" s="4">
        <v>1320</v>
      </c>
      <c r="AR54" s="4">
        <f t="shared" si="271"/>
        <v>1340</v>
      </c>
      <c r="AS54" s="4">
        <v>1340</v>
      </c>
      <c r="AT54" s="4">
        <v>1340</v>
      </c>
      <c r="AU54" s="4">
        <v>1340</v>
      </c>
      <c r="AV54" s="4">
        <f t="shared" si="205"/>
        <v>1310</v>
      </c>
      <c r="AW54" s="25">
        <v>1310</v>
      </c>
      <c r="AX54" s="25"/>
      <c r="AY54" s="4"/>
      <c r="AZ54" s="4"/>
      <c r="BB54" s="95">
        <f t="shared" ref="BB54" si="275">IF(L54&lt;&gt;"-",Z54-AN54,"-")</f>
        <v>254.80901934560484</v>
      </c>
      <c r="BC54" s="95" t="str">
        <f t="shared" ref="BC54" si="276">IF(M54&lt;&gt;"-",AA54-AO54,"-")</f>
        <v>-</v>
      </c>
      <c r="BD54" s="95" t="str">
        <f t="shared" ref="BD54" si="277">IF(N54&lt;&gt;"-",AB54-AP54,"-")</f>
        <v>-</v>
      </c>
      <c r="BE54" s="95" t="str">
        <f t="shared" ref="BE54" si="278">IF(O54&lt;&gt;"-",AC54-AQ54,"-")</f>
        <v>-</v>
      </c>
      <c r="BF54" s="95">
        <f t="shared" ref="BF54" si="279">IF(P54&lt;&gt;"-",AD54-AR54,"-")</f>
        <v>237.03124156782701</v>
      </c>
      <c r="BG54" s="95" t="str">
        <f t="shared" ref="BG54" si="280">IF(Q54&lt;&gt;"-",AE54-AS54,"-")</f>
        <v>-</v>
      </c>
      <c r="BH54" s="95" t="str">
        <f t="shared" ref="BH54" si="281">IF(R54&lt;&gt;"-",AF54-AT54,"-")</f>
        <v>-</v>
      </c>
      <c r="BI54" s="95" t="str">
        <f t="shared" ref="BI54" si="282">IF(S54&lt;&gt;"-",AG54-AU54,"-")</f>
        <v>-</v>
      </c>
      <c r="BJ54" s="95" t="str">
        <f t="shared" ref="BJ54" si="283">IF(T54&lt;&gt;"-",AH54-AV54,"-")</f>
        <v>-</v>
      </c>
      <c r="BK54" s="95" t="str">
        <f t="shared" ref="BK54" si="284">IF(U54&lt;&gt;"-",AI54-AW54,"-")</f>
        <v>-</v>
      </c>
      <c r="BL54" s="95" t="str">
        <f t="shared" ref="BL54" si="285">IF(V54&lt;&gt;"-",AJ54-AX54,"-")</f>
        <v>-</v>
      </c>
      <c r="BM54" s="95" t="str">
        <f t="shared" ref="BM54" si="286">IF(W54&lt;&gt;"-",AK54-AY54,"-")</f>
        <v>-</v>
      </c>
      <c r="BN54" s="95" t="str">
        <f t="shared" ref="BN54" si="287">IF(X54&lt;&gt;"-",AL54-AZ54,"-")</f>
        <v>-</v>
      </c>
      <c r="BP54" s="143">
        <f t="shared" ref="BP54" si="288">IFERROR(IF(BB54&lt;&gt;"-",BB54/AN54,"-"),"-")</f>
        <v>0.19271270370675997</v>
      </c>
      <c r="BQ54" s="143" t="str">
        <f t="shared" ref="BQ54" si="289">IFERROR(IF(BC54&lt;&gt;"-",BC54/AO54,"-"),"-")</f>
        <v>-</v>
      </c>
      <c r="BR54" s="143" t="str">
        <f t="shared" ref="BR54" si="290">IFERROR(IF(BD54&lt;&gt;"-",BD54/AP54,"-"),"-")</f>
        <v>-</v>
      </c>
      <c r="BS54" s="143" t="str">
        <f t="shared" ref="BS54" si="291">IFERROR(IF(BE54&lt;&gt;"-",BE54/AQ54,"-"),"-")</f>
        <v>-</v>
      </c>
      <c r="BT54" s="143">
        <f t="shared" ref="BT54" si="292">IFERROR(IF(BF54&lt;&gt;"-",BF54/AR54,"-"),"-")</f>
        <v>0.17688898624464702</v>
      </c>
      <c r="BU54" s="143" t="str">
        <f t="shared" ref="BU54" si="293">IFERROR(IF(BG54&lt;&gt;"-",BG54/AS54,"-"),"-")</f>
        <v>-</v>
      </c>
      <c r="BV54" s="143" t="str">
        <f t="shared" ref="BV54" si="294">IFERROR(IF(BH54&lt;&gt;"-",BH54/AT54,"-"),"-")</f>
        <v>-</v>
      </c>
      <c r="BW54" s="143" t="str">
        <f t="shared" ref="BW54" si="295">IFERROR(IF(BI54&lt;&gt;"-",BI54/AU54,"-"),"-")</f>
        <v>-</v>
      </c>
      <c r="BX54" s="143" t="str">
        <f t="shared" ref="BX54" si="296">IFERROR(IF(BJ54&lt;&gt;"-",BJ54/AV54,"-"),"-")</f>
        <v>-</v>
      </c>
      <c r="BY54" s="143" t="str">
        <f t="shared" ref="BY54" si="297">IFERROR(IF(BK54&lt;&gt;"-",BK54/AW54,"-"),"-")</f>
        <v>-</v>
      </c>
      <c r="BZ54" s="143" t="str">
        <f t="shared" ref="BZ54" si="298">IFERROR(IF(BL54&lt;&gt;"-",BL54/AX54,"-"),"-")</f>
        <v>-</v>
      </c>
      <c r="CA54" s="143" t="str">
        <f t="shared" ref="CA54" si="299">IFERROR(IF(BM54&lt;&gt;"-",BM54/AY54,"-"),"-")</f>
        <v>-</v>
      </c>
      <c r="CB54" s="143" t="str">
        <f t="shared" ref="CB54" si="300">IFERROR(IF(BN54&lt;&gt;"-",BN54/AZ54,"-"),"-")</f>
        <v>-</v>
      </c>
      <c r="CD54" s="112">
        <f t="shared" ref="CD54" si="301">IFERROR(AVERAGE(CE54:CP54),"-")</f>
        <v>1028.8379849599362</v>
      </c>
      <c r="CE54" s="95" t="str">
        <f>IFERROR(SUMIFS('01. KE30'!$R:$R,'01. KE30'!$C:$C,'06. BC BH THEO CUSTOMER-USD'!$D54,'01. KE30'!$F:$F,'06. BC BH THEO CUSTOMER-USD'!$H54,'01. KE30'!$A:$A,'06. BC BH THEO CUSTOMER-USD'!CE$4)/CS54/'02. Tỷ giá'!B$5," -")</f>
        <v xml:space="preserve"> -</v>
      </c>
      <c r="CF54" s="95" t="str">
        <f>IFERROR(SUMIFS('01. KE30'!$R:$R,'01. KE30'!$C:$C,'06. BC BH THEO CUSTOMER-USD'!$D54,'01. KE30'!$F:$F,'06. BC BH THEO CUSTOMER-USD'!$H54,'01. KE30'!$A:$A,'06. BC BH THEO CUSTOMER-USD'!CF$4)/CT54/'02. Tỷ giá'!C$5," -")</f>
        <v xml:space="preserve"> -</v>
      </c>
      <c r="CG54" s="95" t="str">
        <f>IFERROR(SUMIFS('01. KE30'!$R:$R,'01. KE30'!$C:$C,'06. BC BH THEO CUSTOMER-USD'!$D54,'01. KE30'!$F:$F,'06. BC BH THEO CUSTOMER-USD'!$H54,'01. KE30'!$A:$A,'06. BC BH THEO CUSTOMER-USD'!CG$4)/CU54/'02. Tỷ giá'!D$5," -")</f>
        <v xml:space="preserve"> -</v>
      </c>
      <c r="CH54" s="95">
        <f>IFERROR(SUMIFS('01. KE30'!$R:$R,'01. KE30'!$C:$C,'06. BC BH THEO CUSTOMER-USD'!$D54,'01. KE30'!$F:$F,'06. BC BH THEO CUSTOMER-USD'!$H54,'01. KE30'!$A:$A,'06. BC BH THEO CUSTOMER-USD'!CH$4)/CV54/'02. Tỷ giá'!E$5," -")</f>
        <v>1028.8379849599362</v>
      </c>
      <c r="CI54" s="95" t="str">
        <f>IFERROR(SUMIFS('01. KE30'!$R:$R,'01. KE30'!$C:$C,'06. BC BH THEO CUSTOMER-USD'!$D54,'01. KE30'!$F:$F,'06. BC BH THEO CUSTOMER-USD'!$H54,'01. KE30'!$A:$A,'06. BC BH THEO CUSTOMER-USD'!CI$4)/CW54/'02. Tỷ giá'!F$5," -")</f>
        <v xml:space="preserve"> -</v>
      </c>
      <c r="CJ54" s="95" t="str">
        <f>IFERROR(SUMIFS('01. KE30'!$R:$R,'01. KE30'!$C:$C,'06. BC BH THEO CUSTOMER-USD'!$D54,'01. KE30'!$F:$F,'06. BC BH THEO CUSTOMER-USD'!$H54,'01. KE30'!$A:$A,'06. BC BH THEO CUSTOMER-USD'!CJ$4)/CX54/'02. Tỷ giá'!G$5," -")</f>
        <v xml:space="preserve"> -</v>
      </c>
      <c r="CK54" s="95" t="str">
        <f>IFERROR(SUMIFS('01. KE30'!$R:$R,'01. KE30'!$C:$C,'06. BC BH THEO CUSTOMER-USD'!$D54,'01. KE30'!$F:$F,'06. BC BH THEO CUSTOMER-USD'!$H54,'01. KE30'!$A:$A,'06. BC BH THEO CUSTOMER-USD'!CK$4)/CY54/'02. Tỷ giá'!H$5," -")</f>
        <v xml:space="preserve"> -</v>
      </c>
      <c r="CL54" s="95" t="str">
        <f>IFERROR(SUMIFS('01. KE30'!$R:$R,'01. KE30'!$C:$C,'06. BC BH THEO CUSTOMER-USD'!$D54,'01. KE30'!$F:$F,'06. BC BH THEO CUSTOMER-USD'!$H54,'01. KE30'!$A:$A,'06. BC BH THEO CUSTOMER-USD'!CL$4)/CZ54/'02. Tỷ giá'!I$5," -")</f>
        <v xml:space="preserve"> -</v>
      </c>
      <c r="CM54" s="95" t="str">
        <f>IFERROR(SUMIFS('01. KE30'!$R:$R,'01. KE30'!$C:$C,'06. BC BH THEO CUSTOMER-USD'!$D54,'01. KE30'!$F:$F,'06. BC BH THEO CUSTOMER-USD'!$H54,'01. KE30'!$A:$A,'06. BC BH THEO CUSTOMER-USD'!CM$4)/DA54/'02. Tỷ giá'!J$5," -")</f>
        <v xml:space="preserve"> -</v>
      </c>
      <c r="CN54" s="95" t="str">
        <f>IFERROR(SUMIFS('01. KE30'!$R:$R,'01. KE30'!$C:$C,'06. BC BH THEO CUSTOMER-USD'!$D54,'01. KE30'!$F:$F,'06. BC BH THEO CUSTOMER-USD'!$H54,'01. KE30'!$A:$A,'06. BC BH THEO CUSTOMER-USD'!CN$4)/DB54/'02. Tỷ giá'!K$5," -")</f>
        <v xml:space="preserve"> -</v>
      </c>
      <c r="CO54" s="95" t="str">
        <f>IFERROR(SUMIFS('01. KE30'!$R:$R,'01. KE30'!$C:$C,'06. BC BH THEO CUSTOMER-USD'!$D54,'01. KE30'!$F:$F,'06. BC BH THEO CUSTOMER-USD'!$H54,'01. KE30'!$A:$A,'06. BC BH THEO CUSTOMER-USD'!CO$4)/DC54/'02. Tỷ giá'!L$5," -")</f>
        <v xml:space="preserve"> -</v>
      </c>
      <c r="CP54" s="95" t="str">
        <f>IFERROR(SUMIFS('01. KE30'!$R:$R,'01. KE30'!$C:$C,'06. BC BH THEO CUSTOMER-USD'!$D54,'01. KE30'!$F:$F,'06. BC BH THEO CUSTOMER-USD'!$H54,'01. KE30'!$A:$A,'06. BC BH THEO CUSTOMER-USD'!CP$4)/DD54/'02. Tỷ giá'!M$5," -")</f>
        <v xml:space="preserve"> -</v>
      </c>
      <c r="CR54" s="112">
        <f t="shared" ref="CR54" si="302">SUM(CS54:DD54)</f>
        <v>3.3</v>
      </c>
      <c r="CS54" s="114">
        <f>SUMIFS('01. KE30'!$I:$I,'01. KE30'!$C:$C,'06. BC BH THEO CUSTOMER-USD'!$D54,'01. KE30'!$F:$F,'06. BC BH THEO CUSTOMER-USD'!$H54,'01. KE30'!$A:$A,'06. BC BH THEO CUSTOMER-USD'!CS$4)/1000</f>
        <v>0</v>
      </c>
      <c r="CT54" s="114">
        <f>SUMIFS('01. KE30'!$I:$I,'01. KE30'!$C:$C,'06. BC BH THEO CUSTOMER-USD'!$D54,'01. KE30'!$F:$F,'06. BC BH THEO CUSTOMER-USD'!$H54,'01. KE30'!$A:$A,'06. BC BH THEO CUSTOMER-USD'!CT$4)/1000</f>
        <v>0</v>
      </c>
      <c r="CU54" s="114">
        <f>SUMIFS('01. KE30'!$I:$I,'01. KE30'!$C:$C,'06. BC BH THEO CUSTOMER-USD'!$D54,'01. KE30'!$F:$F,'06. BC BH THEO CUSTOMER-USD'!$H54,'01. KE30'!$A:$A,'06. BC BH THEO CUSTOMER-USD'!CU$4)/1000</f>
        <v>0</v>
      </c>
      <c r="CV54" s="725">
        <f>SUMIFS('01. KE30'!$I:$I,'01. KE30'!$C:$C,'06. BC BH THEO CUSTOMER-USD'!$D54,'01. KE30'!$F:$F,'06. BC BH THEO CUSTOMER-USD'!$H54,'01. KE30'!$A:$A,'06. BC BH THEO CUSTOMER-USD'!CV$4)/1000</f>
        <v>3.3</v>
      </c>
      <c r="CW54" s="114">
        <f>SUMIFS('01. KE30'!$I:$I,'01. KE30'!$C:$C,'06. BC BH THEO CUSTOMER-USD'!$D54,'01. KE30'!$F:$F,'06. BC BH THEO CUSTOMER-USD'!$H54,'01. KE30'!$A:$A,'06. BC BH THEO CUSTOMER-USD'!CW$4)/1000</f>
        <v>0</v>
      </c>
      <c r="CX54" s="114">
        <f>SUMIFS('01. KE30'!$I:$I,'01. KE30'!$C:$C,'06. BC BH THEO CUSTOMER-USD'!$D54,'01. KE30'!$F:$F,'06. BC BH THEO CUSTOMER-USD'!$H54,'01. KE30'!$A:$A,'06. BC BH THEO CUSTOMER-USD'!CX$4)/1000</f>
        <v>0</v>
      </c>
      <c r="CY54" s="114">
        <f>SUMIFS('01. KE30'!$I:$I,'01. KE30'!$C:$C,'06. BC BH THEO CUSTOMER-USD'!$D54,'01. KE30'!$F:$F,'06. BC BH THEO CUSTOMER-USD'!$H54,'01. KE30'!$A:$A,'06. BC BH THEO CUSTOMER-USD'!CY$4)/1000</f>
        <v>0</v>
      </c>
      <c r="CZ54" s="114">
        <f>SUMIFS('01. KE30'!$I:$I,'01. KE30'!$C:$C,'06. BC BH THEO CUSTOMER-USD'!$D54,'01. KE30'!$F:$F,'06. BC BH THEO CUSTOMER-USD'!$H54,'01. KE30'!$A:$A,'06. BC BH THEO CUSTOMER-USD'!CZ$4)/1000</f>
        <v>0</v>
      </c>
      <c r="DA54" s="114">
        <f>SUMIFS('01. KE30'!$I:$I,'01. KE30'!$C:$C,'06. BC BH THEO CUSTOMER-USD'!$D54,'01. KE30'!$F:$F,'06. BC BH THEO CUSTOMER-USD'!$H54,'01. KE30'!$A:$A,'06. BC BH THEO CUSTOMER-USD'!DA$4)/1000</f>
        <v>0</v>
      </c>
      <c r="DB54" s="114">
        <f>SUMIFS('01. KE30'!$I:$I,'01. KE30'!$C:$C,'06. BC BH THEO CUSTOMER-USD'!$D54,'01. KE30'!$F:$F,'06. BC BH THEO CUSTOMER-USD'!$H54,'01. KE30'!$A:$A,'06. BC BH THEO CUSTOMER-USD'!DB$4)/1000</f>
        <v>0</v>
      </c>
      <c r="DC54" s="114">
        <f>SUMIFS('01. KE30'!$I:$I,'01. KE30'!$C:$C,'06. BC BH THEO CUSTOMER-USD'!$D54,'01. KE30'!$F:$F,'06. BC BH THEO CUSTOMER-USD'!$H54,'01. KE30'!$A:$A,'06. BC BH THEO CUSTOMER-USD'!DC$4)/1000</f>
        <v>0</v>
      </c>
      <c r="DD54" s="114">
        <f>SUMIFS('01. KE30'!$I:$I,'01. KE30'!$C:$C,'06. BC BH THEO CUSTOMER-USD'!$D54,'01. KE30'!$F:$F,'06. BC BH THEO CUSTOMER-USD'!$H54,'01. KE30'!$A:$A,'06. BC BH THEO CUSTOMER-USD'!DD$4)/1000</f>
        <v>0</v>
      </c>
      <c r="DF54" s="112">
        <f t="shared" ref="DF54" si="303">SUM(DG54:DR54)</f>
        <v>5494.5631436314361</v>
      </c>
      <c r="DG54" s="54" t="str">
        <f t="shared" ref="DG54" si="304">IFERROR(M54*CS54,"-")</f>
        <v>-</v>
      </c>
      <c r="DH54" s="54" t="str">
        <f t="shared" ref="DH54" si="305">IFERROR(N54*CT54,"-")</f>
        <v>-</v>
      </c>
      <c r="DI54" s="54" t="str">
        <f t="shared" ref="DI54" si="306">IFERROR(O54*CU54,"-")</f>
        <v>-</v>
      </c>
      <c r="DJ54" s="54">
        <f t="shared" ref="DJ54" si="307">IFERROR(P54*CV54,"-")</f>
        <v>5494.5631436314361</v>
      </c>
      <c r="DK54" s="54" t="str">
        <f t="shared" ref="DK54" si="308">IFERROR(Q54*CW54,"-")</f>
        <v>-</v>
      </c>
      <c r="DL54" s="54" t="str">
        <f t="shared" ref="DL54" si="309">IFERROR(R54*CX54,"-")</f>
        <v>-</v>
      </c>
      <c r="DM54" s="54" t="str">
        <f t="shared" ref="DM54" si="310">IFERROR(S54*CY54,"-")</f>
        <v>-</v>
      </c>
      <c r="DN54" s="54" t="str">
        <f t="shared" ref="DN54" si="311">IFERROR(T54*CZ54,"-")</f>
        <v>-</v>
      </c>
      <c r="DO54" s="54" t="str">
        <f t="shared" ref="DO54" si="312">IFERROR(U54*DA54,"-")</f>
        <v>-</v>
      </c>
      <c r="DP54" s="54" t="str">
        <f t="shared" ref="DP54" si="313">IFERROR(V54*DB54,"-")</f>
        <v>-</v>
      </c>
      <c r="DQ54" s="54" t="str">
        <f t="shared" ref="DQ54" si="314">IFERROR(W54*DC54,"-")</f>
        <v>-</v>
      </c>
      <c r="DR54" s="54" t="str">
        <f t="shared" ref="DR54" si="315">IFERROR(X54*DD54,"-")</f>
        <v>-</v>
      </c>
      <c r="DT54" s="112">
        <f t="shared" ref="DT54" si="316">SUM(DU54:EF54)</f>
        <v>1809.0377468060392</v>
      </c>
      <c r="DU54" s="114">
        <f>IFERROR(SUMIFS('01. KE30'!$X:$X,'01. KE30'!$C:$C,'06. BC BH THEO CUSTOMER-USD'!$D54,'01. KE30'!$F:$F,'06. BC BH THEO CUSTOMER-USD'!$H54,'01. KE30'!$A:$A,'06. BC BH THEO CUSTOMER-USD'!DU$4)-SUMIFS('01. KE30'!$AA:$AA,'01. KE30'!$C:$C,'06. BC BH THEO CUSTOMER-USD'!$D54,'01. KE30'!$F:$F,'06. BC BH THEO CUSTOMER-USD'!$H54,'01. KE30'!$A:$A,'06. BC BH THEO CUSTOMER-USD'!DU$4),"-")</f>
        <v>0</v>
      </c>
      <c r="DV54" s="114">
        <f>IFERROR(SUMIFS('01. KE30'!$X:$X,'01. KE30'!$C:$C,'06. BC BH THEO CUSTOMER-USD'!$D54,'01. KE30'!$F:$F,'06. BC BH THEO CUSTOMER-USD'!$H54,'01. KE30'!$A:$A,'06. BC BH THEO CUSTOMER-USD'!DV$4)-SUMIFS('01. KE30'!$AA:$AA,'01. KE30'!$C:$C,'06. BC BH THEO CUSTOMER-USD'!$D54,'01. KE30'!$F:$F,'06. BC BH THEO CUSTOMER-USD'!$H54,'01. KE30'!$A:$A,'06. BC BH THEO CUSTOMER-USD'!DV$4),"-")</f>
        <v>0</v>
      </c>
      <c r="DW54" s="114">
        <f>IFERROR(SUMIFS('01. KE30'!$X:$X,'01. KE30'!$C:$C,'06. BC BH THEO CUSTOMER-USD'!$D54,'01. KE30'!$F:$F,'06. BC BH THEO CUSTOMER-USD'!$H54,'01. KE30'!$A:$A,'06. BC BH THEO CUSTOMER-USD'!DW$4)-SUMIFS('01. KE30'!$AA:$AA,'01. KE30'!$C:$C,'06. BC BH THEO CUSTOMER-USD'!$D54,'01. KE30'!$F:$F,'06. BC BH THEO CUSTOMER-USD'!$H54,'01. KE30'!$A:$A,'06. BC BH THEO CUSTOMER-USD'!DW$4),"-")</f>
        <v>0</v>
      </c>
      <c r="DX54" s="114">
        <f>IFERROR(SUMIFS('01. KE30'!$X:$X,'01. KE30'!$C:$C,'06. BC BH THEO CUSTOMER-USD'!$D54,'01. KE30'!$F:$F,'06. BC BH THEO CUSTOMER-USD'!$H54,'01. KE30'!$A:$A,'06. BC BH THEO CUSTOMER-USD'!DX$4)-SUMIFS('01. KE30'!$AA:$AA,'01. KE30'!$C:$C,'06. BC BH THEO CUSTOMER-USD'!$D54,'01. KE30'!$F:$F,'06. BC BH THEO CUSTOMER-USD'!$H54,'01. KE30'!$A:$A,'06. BC BH THEO CUSTOMER-USD'!DX$4),"-")</f>
        <v>1809.0377468060392</v>
      </c>
      <c r="DY54" s="114">
        <f>IFERROR(SUMIFS('01. KE30'!$X:$X,'01. KE30'!$C:$C,'06. BC BH THEO CUSTOMER-USD'!$D54,'01. KE30'!$F:$F,'06. BC BH THEO CUSTOMER-USD'!$H54,'01. KE30'!$A:$A,'06. BC BH THEO CUSTOMER-USD'!DY$4)-SUMIFS('01. KE30'!$AA:$AA,'01. KE30'!$C:$C,'06. BC BH THEO CUSTOMER-USD'!$D54,'01. KE30'!$F:$F,'06. BC BH THEO CUSTOMER-USD'!$H54,'01. KE30'!$A:$A,'06. BC BH THEO CUSTOMER-USD'!DY$4),"-")</f>
        <v>0</v>
      </c>
      <c r="DZ54" s="114">
        <f>IFERROR(SUMIFS('01. KE30'!$X:$X,'01. KE30'!$C:$C,'06. BC BH THEO CUSTOMER-USD'!$D54,'01. KE30'!$F:$F,'06. BC BH THEO CUSTOMER-USD'!$H54,'01. KE30'!$A:$A,'06. BC BH THEO CUSTOMER-USD'!DZ$4)-SUMIFS('01. KE30'!$AA:$AA,'01. KE30'!$C:$C,'06. BC BH THEO CUSTOMER-USD'!$D54,'01. KE30'!$F:$F,'06. BC BH THEO CUSTOMER-USD'!$H54,'01. KE30'!$A:$A,'06. BC BH THEO CUSTOMER-USD'!DZ$4),"-")</f>
        <v>0</v>
      </c>
      <c r="EA54" s="114">
        <f>IFERROR(SUMIFS('01. KE30'!$X:$X,'01. KE30'!$C:$C,'06. BC BH THEO CUSTOMER-USD'!$D54,'01. KE30'!$F:$F,'06. BC BH THEO CUSTOMER-USD'!$H54,'01. KE30'!$A:$A,'06. BC BH THEO CUSTOMER-USD'!EA$4)-SUMIFS('01. KE30'!$AA:$AA,'01. KE30'!$C:$C,'06. BC BH THEO CUSTOMER-USD'!$D54,'01. KE30'!$F:$F,'06. BC BH THEO CUSTOMER-USD'!$H54,'01. KE30'!$A:$A,'06. BC BH THEO CUSTOMER-USD'!EA$4),"-")</f>
        <v>0</v>
      </c>
      <c r="EB54" s="114">
        <f>IFERROR(SUMIFS('01. KE30'!$X:$X,'01. KE30'!$C:$C,'06. BC BH THEO CUSTOMER-USD'!$D54,'01. KE30'!$F:$F,'06. BC BH THEO CUSTOMER-USD'!$H54,'01. KE30'!$A:$A,'06. BC BH THEO CUSTOMER-USD'!EB$4)-SUMIFS('01. KE30'!$AA:$AA,'01. KE30'!$C:$C,'06. BC BH THEO CUSTOMER-USD'!$D54,'01. KE30'!$F:$F,'06. BC BH THEO CUSTOMER-USD'!$H54,'01. KE30'!$A:$A,'06. BC BH THEO CUSTOMER-USD'!EB$4),"-")</f>
        <v>0</v>
      </c>
      <c r="EC54" s="114">
        <f>IFERROR(SUMIFS('01. KE30'!$X:$X,'01. KE30'!$C:$C,'06. BC BH THEO CUSTOMER-USD'!$D54,'01. KE30'!$F:$F,'06. BC BH THEO CUSTOMER-USD'!$H54,'01. KE30'!$A:$A,'06. BC BH THEO CUSTOMER-USD'!EC$4)-SUMIFS('01. KE30'!$AA:$AA,'01. KE30'!$C:$C,'06. BC BH THEO CUSTOMER-USD'!$D54,'01. KE30'!$F:$F,'06. BC BH THEO CUSTOMER-USD'!$H54,'01. KE30'!$A:$A,'06. BC BH THEO CUSTOMER-USD'!EC$4),"-")</f>
        <v>0</v>
      </c>
      <c r="ED54" s="114">
        <f>IFERROR(SUMIFS('01. KE30'!$X:$X,'01. KE30'!$C:$C,'06. BC BH THEO CUSTOMER-USD'!$D54,'01. KE30'!$F:$F,'06. BC BH THEO CUSTOMER-USD'!$H54,'01. KE30'!$A:$A,'06. BC BH THEO CUSTOMER-USD'!ED$4)-SUMIFS('01. KE30'!$AA:$AA,'01. KE30'!$C:$C,'06. BC BH THEO CUSTOMER-USD'!$D54,'01. KE30'!$F:$F,'06. BC BH THEO CUSTOMER-USD'!$H54,'01. KE30'!$A:$A,'06. BC BH THEO CUSTOMER-USD'!ED$4),"-")</f>
        <v>0</v>
      </c>
      <c r="EE54" s="114">
        <f>IFERROR(SUMIFS('01. KE30'!$X:$X,'01. KE30'!$C:$C,'06. BC BH THEO CUSTOMER-USD'!$D54,'01. KE30'!$F:$F,'06. BC BH THEO CUSTOMER-USD'!$H54,'01. KE30'!$A:$A,'06. BC BH THEO CUSTOMER-USD'!EE$4)-SUMIFS('01. KE30'!$AA:$AA,'01. KE30'!$C:$C,'06. BC BH THEO CUSTOMER-USD'!$D54,'01. KE30'!$F:$F,'06. BC BH THEO CUSTOMER-USD'!$H54,'01. KE30'!$A:$A,'06. BC BH THEO CUSTOMER-USD'!EE$4),"-")</f>
        <v>0</v>
      </c>
      <c r="EF54" s="114">
        <f>IFERROR(SUMIFS('01. KE30'!$X:$X,'01. KE30'!$C:$C,'06. BC BH THEO CUSTOMER-USD'!$D54,'01. KE30'!$F:$F,'06. BC BH THEO CUSTOMER-USD'!$H54,'01. KE30'!$A:$A,'06. BC BH THEO CUSTOMER-USD'!EF$4)-SUMIFS('01. KE30'!$AA:$AA,'01. KE30'!$C:$C,'06. BC BH THEO CUSTOMER-USD'!$D54,'01. KE30'!$F:$F,'06. BC BH THEO CUSTOMER-USD'!$H54,'01. KE30'!$A:$A,'06. BC BH THEO CUSTOMER-USD'!EF$4),"-")</f>
        <v>0</v>
      </c>
      <c r="EH54" s="571">
        <f t="shared" ref="EH54" si="317">IFERROR(DT54/DF54,"-")</f>
        <v>0.32924141547137087</v>
      </c>
      <c r="EI54" s="572" t="str">
        <f t="shared" ref="EI54" si="318">IFERROR(DU54/DG54,"-")</f>
        <v>-</v>
      </c>
      <c r="EJ54" s="572" t="str">
        <f t="shared" ref="EJ54" si="319">IFERROR(DV54/DH54,"-")</f>
        <v>-</v>
      </c>
      <c r="EK54" s="572" t="str">
        <f t="shared" ref="EK54" si="320">IFERROR(DW54/DI54,"-")</f>
        <v>-</v>
      </c>
      <c r="EL54" s="572">
        <f t="shared" ref="EL54" si="321">IFERROR(DX54/DJ54,"-")</f>
        <v>0.32924141547137087</v>
      </c>
      <c r="EM54" s="572" t="str">
        <f t="shared" ref="EM54" si="322">IFERROR(DY54/DK54,"-")</f>
        <v>-</v>
      </c>
      <c r="EN54" s="572" t="str">
        <f t="shared" ref="EN54" si="323">IFERROR(DZ54/DL54,"-")</f>
        <v>-</v>
      </c>
      <c r="EO54" s="572" t="str">
        <f t="shared" ref="EO54" si="324">IFERROR(EA54/DM54,"-")</f>
        <v>-</v>
      </c>
      <c r="EP54" s="572" t="str">
        <f t="shared" ref="EP54" si="325">IFERROR(EB54/DN54,"-")</f>
        <v>-</v>
      </c>
      <c r="EQ54" s="572" t="str">
        <f t="shared" ref="EQ54" si="326">IFERROR(EC54/DO54,"-")</f>
        <v>-</v>
      </c>
      <c r="ER54" s="572" t="str">
        <f t="shared" ref="ER54" si="327">IFERROR(ED54/DP54,"-")</f>
        <v>-</v>
      </c>
      <c r="ES54" s="572" t="str">
        <f t="shared" ref="ES54" si="328">IFERROR(EE54/DQ54,"-")</f>
        <v>-</v>
      </c>
      <c r="ET54" s="572" t="str">
        <f t="shared" ref="ET54" si="329">IFERROR(EF54/DR54,"-")</f>
        <v>-</v>
      </c>
    </row>
    <row r="55" spans="1:150" ht="15.5" hidden="1" outlineLevel="1" x14ac:dyDescent="0.35">
      <c r="A55" s="27">
        <f>A53+1</f>
        <v>45</v>
      </c>
      <c r="B55" s="27" t="s">
        <v>283</v>
      </c>
      <c r="C55" s="442" t="s">
        <v>489</v>
      </c>
      <c r="D55" s="9" t="s">
        <v>28</v>
      </c>
      <c r="E55" s="12" t="s">
        <v>27</v>
      </c>
      <c r="F55" s="12" t="s">
        <v>252</v>
      </c>
      <c r="G55" s="12" t="str">
        <f>_xlfn.XLOOKUP(F55,'Quy đổi'!$G$5:$G$32,'Quy đổi'!$H$5:$H$32,0)</f>
        <v>Châu Âu</v>
      </c>
      <c r="H55" s="76" t="s">
        <v>100</v>
      </c>
      <c r="I55" s="28" t="s">
        <v>99</v>
      </c>
      <c r="J55" s="13" t="s">
        <v>26</v>
      </c>
      <c r="K55" s="11" t="s">
        <v>113</v>
      </c>
      <c r="L55" s="92" t="str">
        <f t="shared" si="42"/>
        <v>-</v>
      </c>
      <c r="M55" s="106" t="str">
        <f>IFERROR(SUMIFS('01. KE30'!$K:$K,'01. KE30'!$C:$C,'06. BC BH THEO CUSTOMER-USD'!$D55,'01. KE30'!$F:$F,'06. BC BH THEO CUSTOMER-USD'!$H55,'01. KE30'!$A:$A,'06. BC BH THEO CUSTOMER-USD'!M$4)/'06. BC BH THEO CUSTOMER-USD'!CS55/'02. Tỷ giá'!B$5,"-")</f>
        <v>-</v>
      </c>
      <c r="N55" s="106" t="str">
        <f>IFERROR(SUMIFS('01. KE30'!$K:$K,'01. KE30'!$C:$C,'06. BC BH THEO CUSTOMER-USD'!$D55,'01. KE30'!$F:$F,'06. BC BH THEO CUSTOMER-USD'!$H55,'01. KE30'!$A:$A,'06. BC BH THEO CUSTOMER-USD'!N$4)/'06. BC BH THEO CUSTOMER-USD'!CT55/'02. Tỷ giá'!C$5,"-")</f>
        <v>-</v>
      </c>
      <c r="O55" s="106" t="str">
        <f>IFERROR(SUMIFS('01. KE30'!$K:$K,'01. KE30'!$C:$C,'06. BC BH THEO CUSTOMER-USD'!$D55,'01. KE30'!$F:$F,'06. BC BH THEO CUSTOMER-USD'!$H55,'01. KE30'!$A:$A,'06. BC BH THEO CUSTOMER-USD'!O$4)/'06. BC BH THEO CUSTOMER-USD'!CU55/'02. Tỷ giá'!D$5,"-")</f>
        <v>-</v>
      </c>
      <c r="P55" s="106" t="str">
        <f>IFERROR(SUMIFS('01. KE30'!$K:$K,'01. KE30'!$C:$C,'06. BC BH THEO CUSTOMER-USD'!$D55,'01. KE30'!$F:$F,'06. BC BH THEO CUSTOMER-USD'!$H55,'01. KE30'!$A:$A,'06. BC BH THEO CUSTOMER-USD'!P$4)/'06. BC BH THEO CUSTOMER-USD'!CV55/'02. Tỷ giá'!E$5,"-")</f>
        <v>-</v>
      </c>
      <c r="Q55" s="106" t="str">
        <f>IFERROR(SUMIFS('01. KE30'!$K:$K,'01. KE30'!$C:$C,'06. BC BH THEO CUSTOMER-USD'!$D55,'01. KE30'!$F:$F,'06. BC BH THEO CUSTOMER-USD'!$H55,'01. KE30'!$A:$A,'06. BC BH THEO CUSTOMER-USD'!Q$4)/'06. BC BH THEO CUSTOMER-USD'!CW55/'02. Tỷ giá'!F$5,"-")</f>
        <v>-</v>
      </c>
      <c r="R55" s="106" t="str">
        <f>IFERROR(SUMIFS('01. KE30'!$K:$K,'01. KE30'!$C:$C,'06. BC BH THEO CUSTOMER-USD'!$D55,'01. KE30'!$F:$F,'06. BC BH THEO CUSTOMER-USD'!$H55,'01. KE30'!$A:$A,'06. BC BH THEO CUSTOMER-USD'!R$4)/'06. BC BH THEO CUSTOMER-USD'!CX55/'02. Tỷ giá'!G$5,"-")</f>
        <v>-</v>
      </c>
      <c r="S55" s="106" t="str">
        <f>IFERROR(SUMIFS('01. KE30'!$K:$K,'01. KE30'!$C:$C,'06. BC BH THEO CUSTOMER-USD'!$D55,'01. KE30'!$F:$F,'06. BC BH THEO CUSTOMER-USD'!$H55,'01. KE30'!$A:$A,'06. BC BH THEO CUSTOMER-USD'!S$4)/'06. BC BH THEO CUSTOMER-USD'!CY55/'02. Tỷ giá'!H$5,"-")</f>
        <v>-</v>
      </c>
      <c r="T55" s="106" t="str">
        <f>IFERROR(SUMIFS('01. KE30'!$K:$K,'01. KE30'!$C:$C,'06. BC BH THEO CUSTOMER-USD'!$D55,'01. KE30'!$F:$F,'06. BC BH THEO CUSTOMER-USD'!$H55,'01. KE30'!$A:$A,'06. BC BH THEO CUSTOMER-USD'!T$4)/'06. BC BH THEO CUSTOMER-USD'!CZ55/'02. Tỷ giá'!I$5,"-")</f>
        <v>-</v>
      </c>
      <c r="U55" s="106" t="str">
        <f>IFERROR(SUMIFS('01. KE30'!$K:$K,'01. KE30'!$C:$C,'06. BC BH THEO CUSTOMER-USD'!$D55,'01. KE30'!$F:$F,'06. BC BH THEO CUSTOMER-USD'!$H55,'01. KE30'!$A:$A,'06. BC BH THEO CUSTOMER-USD'!U$4)/'06. BC BH THEO CUSTOMER-USD'!DA55/'02. Tỷ giá'!J$5,"-")</f>
        <v>-</v>
      </c>
      <c r="V55" s="106" t="str">
        <f>IFERROR(SUMIFS('01. KE30'!$K:$K,'01. KE30'!$C:$C,'06. BC BH THEO CUSTOMER-USD'!$D55,'01. KE30'!$F:$F,'06. BC BH THEO CUSTOMER-USD'!$H55,'01. KE30'!$A:$A,'06. BC BH THEO CUSTOMER-USD'!V$4)/'06. BC BH THEO CUSTOMER-USD'!DB55/'02. Tỷ giá'!K$5,"-")</f>
        <v>-</v>
      </c>
      <c r="W55" s="106" t="str">
        <f>IFERROR(SUMIFS('01. KE30'!$K:$K,'01. KE30'!$C:$C,'06. BC BH THEO CUSTOMER-USD'!$D55,'01. KE30'!$F:$F,'06. BC BH THEO CUSTOMER-USD'!$H55,'01. KE30'!$A:$A,'06. BC BH THEO CUSTOMER-USD'!W$4)/'06. BC BH THEO CUSTOMER-USD'!DC55/'02. Tỷ giá'!L$5,"-")</f>
        <v>-</v>
      </c>
      <c r="X55" s="106" t="str">
        <f>IFERROR(SUMIFS('01. KE30'!$K:$K,'01. KE30'!$C:$C,'06. BC BH THEO CUSTOMER-USD'!$D55,'01. KE30'!$F:$F,'06. BC BH THEO CUSTOMER-USD'!$H55,'01. KE30'!$A:$A,'06. BC BH THEO CUSTOMER-USD'!X$4)/'06. BC BH THEO CUSTOMER-USD'!DD55/'02. Tỷ giá'!M$5,"-")</f>
        <v>-</v>
      </c>
      <c r="Z55" s="92" t="str">
        <f t="shared" si="43"/>
        <v>-</v>
      </c>
      <c r="AA55" s="147" t="str">
        <f>IFERROR(SUMIFS('01. KE30'!$O:$O,'01. KE30'!$C:$C,'06. BC BH THEO CUSTOMER-USD'!$D55,'01. KE30'!$F:$F,'06. BC BH THEO CUSTOMER-USD'!$H55,'01. KE30'!$A:$A,'06. BC BH THEO CUSTOMER-USD'!M$4)/'06. BC BH THEO CUSTOMER-USD'!CS55/'02. Tỷ giá'!B$5,"-")</f>
        <v>-</v>
      </c>
      <c r="AB55" s="147" t="str">
        <f>IFERROR(SUMIFS('01. KE30'!$O:$O,'01. KE30'!$C:$C,'06. BC BH THEO CUSTOMER-USD'!$D55,'01. KE30'!$F:$F,'06. BC BH THEO CUSTOMER-USD'!$H55,'01. KE30'!$A:$A,'06. BC BH THEO CUSTOMER-USD'!N$4)/'06. BC BH THEO CUSTOMER-USD'!CT55/'02. Tỷ giá'!C$5,"-")</f>
        <v>-</v>
      </c>
      <c r="AC55" s="147" t="str">
        <f>IFERROR(SUMIFS('01. KE30'!$O:$O,'01. KE30'!$C:$C,'06. BC BH THEO CUSTOMER-USD'!$D55,'01. KE30'!$F:$F,'06. BC BH THEO CUSTOMER-USD'!$H55,'01. KE30'!$A:$A,'06. BC BH THEO CUSTOMER-USD'!O$4)/'06. BC BH THEO CUSTOMER-USD'!CU55/'02. Tỷ giá'!D$5,"-")</f>
        <v>-</v>
      </c>
      <c r="AD55" s="147" t="str">
        <f>IFERROR(SUMIFS('01. KE30'!$O:$O,'01. KE30'!$C:$C,'06. BC BH THEO CUSTOMER-USD'!$D55,'01. KE30'!$F:$F,'06. BC BH THEO CUSTOMER-USD'!$H55,'01. KE30'!$A:$A,'06. BC BH THEO CUSTOMER-USD'!P$4)/'06. BC BH THEO CUSTOMER-USD'!CV55/'02. Tỷ giá'!E$5,"-")</f>
        <v>-</v>
      </c>
      <c r="AE55" s="147" t="str">
        <f>IFERROR(SUMIFS('01. KE30'!$O:$O,'01. KE30'!$C:$C,'06. BC BH THEO CUSTOMER-USD'!$D55,'01. KE30'!$F:$F,'06. BC BH THEO CUSTOMER-USD'!$H55,'01. KE30'!$A:$A,'06. BC BH THEO CUSTOMER-USD'!Q$4)/'06. BC BH THEO CUSTOMER-USD'!CW55/'02. Tỷ giá'!F$5,"-")</f>
        <v>-</v>
      </c>
      <c r="AF55" s="147" t="str">
        <f>IFERROR(SUMIFS('01. KE30'!$O:$O,'01. KE30'!$C:$C,'06. BC BH THEO CUSTOMER-USD'!$D55,'01. KE30'!$F:$F,'06. BC BH THEO CUSTOMER-USD'!$H55,'01. KE30'!$A:$A,'06. BC BH THEO CUSTOMER-USD'!R$4)/'06. BC BH THEO CUSTOMER-USD'!CX55/'02. Tỷ giá'!G$5,"-")</f>
        <v>-</v>
      </c>
      <c r="AG55" s="147" t="str">
        <f>IFERROR(SUMIFS('01. KE30'!$O:$O,'01. KE30'!$C:$C,'06. BC BH THEO CUSTOMER-USD'!$D55,'01. KE30'!$F:$F,'06. BC BH THEO CUSTOMER-USD'!$H55,'01. KE30'!$A:$A,'06. BC BH THEO CUSTOMER-USD'!S$4)/'06. BC BH THEO CUSTOMER-USD'!CY55/'02. Tỷ giá'!H$5,"-")</f>
        <v>-</v>
      </c>
      <c r="AH55" s="147" t="str">
        <f>IFERROR(SUMIFS('01. KE30'!$O:$O,'01. KE30'!$C:$C,'06. BC BH THEO CUSTOMER-USD'!$D55,'01. KE30'!$F:$F,'06. BC BH THEO CUSTOMER-USD'!$H55,'01. KE30'!$A:$A,'06. BC BH THEO CUSTOMER-USD'!T$4)/'06. BC BH THEO CUSTOMER-USD'!CZ55/'02. Tỷ giá'!I$5,"-")</f>
        <v>-</v>
      </c>
      <c r="AI55" s="147" t="str">
        <f>IFERROR(SUMIFS('01. KE30'!$O:$O,'01. KE30'!$C:$C,'06. BC BH THEO CUSTOMER-USD'!$D55,'01. KE30'!$F:$F,'06. BC BH THEO CUSTOMER-USD'!$H55,'01. KE30'!$A:$A,'06. BC BH THEO CUSTOMER-USD'!U$4)/'06. BC BH THEO CUSTOMER-USD'!DA55/'02. Tỷ giá'!J$5,"-")</f>
        <v>-</v>
      </c>
      <c r="AJ55" s="147" t="str">
        <f>IFERROR(SUMIFS('01. KE30'!$O:$O,'01. KE30'!$C:$C,'06. BC BH THEO CUSTOMER-USD'!$D55,'01. KE30'!$F:$F,'06. BC BH THEO CUSTOMER-USD'!$H55,'01. KE30'!$A:$A,'06. BC BH THEO CUSTOMER-USD'!V$4)/'06. BC BH THEO CUSTOMER-USD'!DB55/'02. Tỷ giá'!K$5,"-")</f>
        <v>-</v>
      </c>
      <c r="AK55" s="147" t="str">
        <f>IFERROR(SUMIFS('01. KE30'!$O:$O,'01. KE30'!$C:$C,'06. BC BH THEO CUSTOMER-USD'!$D55,'01. KE30'!$F:$F,'06. BC BH THEO CUSTOMER-USD'!$H55,'01. KE30'!$A:$A,'06. BC BH THEO CUSTOMER-USD'!W$4)/'06. BC BH THEO CUSTOMER-USD'!DC55/'02. Tỷ giá'!L$5,"-")</f>
        <v>-</v>
      </c>
      <c r="AL55" s="147" t="str">
        <f>IFERROR(SUMIFS('01. KE30'!$O:$O,'01. KE30'!$C:$C,'06. BC BH THEO CUSTOMER-USD'!$D55,'01. KE30'!$F:$F,'06. BC BH THEO CUSTOMER-USD'!$H55,'01. KE30'!$A:$A,'06. BC BH THEO CUSTOMER-USD'!X$4)/'06. BC BH THEO CUSTOMER-USD'!DD55/'02. Tỷ giá'!M$5,"-")</f>
        <v>-</v>
      </c>
      <c r="AN55" s="92">
        <f t="shared" si="44"/>
        <v>1266.6666666666667</v>
      </c>
      <c r="AO55" s="25">
        <v>1260</v>
      </c>
      <c r="AP55" s="25">
        <v>1260</v>
      </c>
      <c r="AQ55" s="25">
        <v>1260</v>
      </c>
      <c r="AR55" s="4">
        <f t="shared" si="271"/>
        <v>1280</v>
      </c>
      <c r="AS55" s="4">
        <v>1280</v>
      </c>
      <c r="AT55" s="4">
        <v>1280</v>
      </c>
      <c r="AU55" s="4">
        <v>1280</v>
      </c>
      <c r="AV55" s="4">
        <f t="shared" si="205"/>
        <v>1250</v>
      </c>
      <c r="AW55" s="25">
        <v>1250</v>
      </c>
      <c r="AX55" s="25"/>
      <c r="AY55" s="4"/>
      <c r="AZ55" s="4"/>
      <c r="BB55" s="95" t="str">
        <f t="shared" si="45"/>
        <v>-</v>
      </c>
      <c r="BC55" s="95" t="str">
        <f t="shared" si="206"/>
        <v>-</v>
      </c>
      <c r="BD55" s="95" t="str">
        <f t="shared" si="201"/>
        <v>-</v>
      </c>
      <c r="BE55" s="95" t="str">
        <f t="shared" si="201"/>
        <v>-</v>
      </c>
      <c r="BF55" s="95" t="str">
        <f t="shared" si="201"/>
        <v>-</v>
      </c>
      <c r="BG55" s="95" t="str">
        <f t="shared" si="201"/>
        <v>-</v>
      </c>
      <c r="BH55" s="95" t="str">
        <f t="shared" si="201"/>
        <v>-</v>
      </c>
      <c r="BI55" s="95" t="str">
        <f t="shared" si="201"/>
        <v>-</v>
      </c>
      <c r="BJ55" s="95" t="str">
        <f t="shared" si="201"/>
        <v>-</v>
      </c>
      <c r="BK55" s="95" t="str">
        <f t="shared" si="201"/>
        <v>-</v>
      </c>
      <c r="BL55" s="95" t="str">
        <f t="shared" si="201"/>
        <v>-</v>
      </c>
      <c r="BM55" s="95" t="str">
        <f t="shared" si="201"/>
        <v>-</v>
      </c>
      <c r="BN55" s="95" t="str">
        <f t="shared" si="201"/>
        <v>-</v>
      </c>
      <c r="BP55" s="143" t="str">
        <f t="shared" si="47"/>
        <v>-</v>
      </c>
      <c r="BQ55" s="143" t="str">
        <f t="shared" si="202"/>
        <v>-</v>
      </c>
      <c r="BR55" s="143" t="str">
        <f t="shared" si="9"/>
        <v>-</v>
      </c>
      <c r="BS55" s="143" t="str">
        <f t="shared" si="10"/>
        <v>-</v>
      </c>
      <c r="BT55" s="143" t="str">
        <f t="shared" si="11"/>
        <v>-</v>
      </c>
      <c r="BU55" s="143" t="str">
        <f t="shared" si="12"/>
        <v>-</v>
      </c>
      <c r="BV55" s="143" t="str">
        <f t="shared" si="13"/>
        <v>-</v>
      </c>
      <c r="BW55" s="143" t="str">
        <f t="shared" si="14"/>
        <v>-</v>
      </c>
      <c r="BX55" s="143" t="str">
        <f t="shared" si="15"/>
        <v>-</v>
      </c>
      <c r="BY55" s="143" t="str">
        <f t="shared" si="16"/>
        <v>-</v>
      </c>
      <c r="BZ55" s="143" t="str">
        <f t="shared" si="17"/>
        <v>-</v>
      </c>
      <c r="CA55" s="143" t="str">
        <f t="shared" si="18"/>
        <v>-</v>
      </c>
      <c r="CB55" s="143" t="str">
        <f t="shared" si="19"/>
        <v>-</v>
      </c>
      <c r="CD55" s="112" t="str">
        <f t="shared" si="25"/>
        <v>-</v>
      </c>
      <c r="CE55" s="95" t="str">
        <f>IFERROR(SUMIFS('01. KE30'!$R:$R,'01. KE30'!$C:$C,'06. BC BH THEO CUSTOMER-USD'!$D55,'01. KE30'!$F:$F,'06. BC BH THEO CUSTOMER-USD'!$H55,'01. KE30'!$A:$A,'06. BC BH THEO CUSTOMER-USD'!CE$4)/CS55/'02. Tỷ giá'!B$5," -")</f>
        <v xml:space="preserve"> -</v>
      </c>
      <c r="CF55" s="95" t="str">
        <f>IFERROR(SUMIFS('01. KE30'!$R:$R,'01. KE30'!$C:$C,'06. BC BH THEO CUSTOMER-USD'!$D55,'01. KE30'!$F:$F,'06. BC BH THEO CUSTOMER-USD'!$H55,'01. KE30'!$A:$A,'06. BC BH THEO CUSTOMER-USD'!CF$4)/CT55/'02. Tỷ giá'!C$5," -")</f>
        <v xml:space="preserve"> -</v>
      </c>
      <c r="CG55" s="95" t="str">
        <f>IFERROR(SUMIFS('01. KE30'!$R:$R,'01. KE30'!$C:$C,'06. BC BH THEO CUSTOMER-USD'!$D55,'01. KE30'!$F:$F,'06. BC BH THEO CUSTOMER-USD'!$H55,'01. KE30'!$A:$A,'06. BC BH THEO CUSTOMER-USD'!CG$4)/CU55/'02. Tỷ giá'!D$5," -")</f>
        <v xml:space="preserve"> -</v>
      </c>
      <c r="CH55" s="95" t="str">
        <f>IFERROR(SUMIFS('01. KE30'!$R:$R,'01. KE30'!$C:$C,'06. BC BH THEO CUSTOMER-USD'!$D55,'01. KE30'!$F:$F,'06. BC BH THEO CUSTOMER-USD'!$H55,'01. KE30'!$A:$A,'06. BC BH THEO CUSTOMER-USD'!CH$4)/CV55/'02. Tỷ giá'!E$5," -")</f>
        <v xml:space="preserve"> -</v>
      </c>
      <c r="CI55" s="95" t="str">
        <f>IFERROR(SUMIFS('01. KE30'!$R:$R,'01. KE30'!$C:$C,'06. BC BH THEO CUSTOMER-USD'!$D55,'01. KE30'!$F:$F,'06. BC BH THEO CUSTOMER-USD'!$H55,'01. KE30'!$A:$A,'06. BC BH THEO CUSTOMER-USD'!CI$4)/CW55/'02. Tỷ giá'!F$5," -")</f>
        <v xml:space="preserve"> -</v>
      </c>
      <c r="CJ55" s="95" t="str">
        <f>IFERROR(SUMIFS('01. KE30'!$R:$R,'01. KE30'!$C:$C,'06. BC BH THEO CUSTOMER-USD'!$D55,'01. KE30'!$F:$F,'06. BC BH THEO CUSTOMER-USD'!$H55,'01. KE30'!$A:$A,'06. BC BH THEO CUSTOMER-USD'!CJ$4)/CX55/'02. Tỷ giá'!G$5," -")</f>
        <v xml:space="preserve"> -</v>
      </c>
      <c r="CK55" s="95" t="str">
        <f>IFERROR(SUMIFS('01. KE30'!$R:$R,'01. KE30'!$C:$C,'06. BC BH THEO CUSTOMER-USD'!$D55,'01. KE30'!$F:$F,'06. BC BH THEO CUSTOMER-USD'!$H55,'01. KE30'!$A:$A,'06. BC BH THEO CUSTOMER-USD'!CK$4)/CY55/'02. Tỷ giá'!H$5," -")</f>
        <v xml:space="preserve"> -</v>
      </c>
      <c r="CL55" s="95" t="str">
        <f>IFERROR(SUMIFS('01. KE30'!$R:$R,'01. KE30'!$C:$C,'06. BC BH THEO CUSTOMER-USD'!$D55,'01. KE30'!$F:$F,'06. BC BH THEO CUSTOMER-USD'!$H55,'01. KE30'!$A:$A,'06. BC BH THEO CUSTOMER-USD'!CL$4)/CZ55/'02. Tỷ giá'!I$5," -")</f>
        <v xml:space="preserve"> -</v>
      </c>
      <c r="CM55" s="95" t="str">
        <f>IFERROR(SUMIFS('01. KE30'!$R:$R,'01. KE30'!$C:$C,'06. BC BH THEO CUSTOMER-USD'!$D55,'01. KE30'!$F:$F,'06. BC BH THEO CUSTOMER-USD'!$H55,'01. KE30'!$A:$A,'06. BC BH THEO CUSTOMER-USD'!CM$4)/DA55/'02. Tỷ giá'!J$5," -")</f>
        <v xml:space="preserve"> -</v>
      </c>
      <c r="CN55" s="95" t="str">
        <f>IFERROR(SUMIFS('01. KE30'!$R:$R,'01. KE30'!$C:$C,'06. BC BH THEO CUSTOMER-USD'!$D55,'01. KE30'!$F:$F,'06. BC BH THEO CUSTOMER-USD'!$H55,'01. KE30'!$A:$A,'06. BC BH THEO CUSTOMER-USD'!CN$4)/DB55/'02. Tỷ giá'!K$5," -")</f>
        <v xml:space="preserve"> -</v>
      </c>
      <c r="CO55" s="95" t="str">
        <f>IFERROR(SUMIFS('01. KE30'!$R:$R,'01. KE30'!$C:$C,'06. BC BH THEO CUSTOMER-USD'!$D55,'01. KE30'!$F:$F,'06. BC BH THEO CUSTOMER-USD'!$H55,'01. KE30'!$A:$A,'06. BC BH THEO CUSTOMER-USD'!CO$4)/DC55/'02. Tỷ giá'!L$5," -")</f>
        <v xml:space="preserve"> -</v>
      </c>
      <c r="CP55" s="95" t="str">
        <f>IFERROR(SUMIFS('01. KE30'!$R:$R,'01. KE30'!$C:$C,'06. BC BH THEO CUSTOMER-USD'!$D55,'01. KE30'!$F:$F,'06. BC BH THEO CUSTOMER-USD'!$H55,'01. KE30'!$A:$A,'06. BC BH THEO CUSTOMER-USD'!CP$4)/DD55/'02. Tỷ giá'!M$5," -")</f>
        <v xml:space="preserve"> -</v>
      </c>
      <c r="CR55" s="112">
        <f t="shared" si="266"/>
        <v>0</v>
      </c>
      <c r="CS55" s="114">
        <f>SUMIFS('01. KE30'!$I:$I,'01. KE30'!$C:$C,'06. BC BH THEO CUSTOMER-USD'!$D55,'01. KE30'!$F:$F,'06. BC BH THEO CUSTOMER-USD'!$H55,'01. KE30'!$A:$A,'06. BC BH THEO CUSTOMER-USD'!CS$4)/1000</f>
        <v>0</v>
      </c>
      <c r="CT55" s="114">
        <f>SUMIFS('01. KE30'!$I:$I,'01. KE30'!$C:$C,'06. BC BH THEO CUSTOMER-USD'!$D55,'01. KE30'!$F:$F,'06. BC BH THEO CUSTOMER-USD'!$H55,'01. KE30'!$A:$A,'06. BC BH THEO CUSTOMER-USD'!CT$4)/1000</f>
        <v>0</v>
      </c>
      <c r="CU55" s="114">
        <f>SUMIFS('01. KE30'!$I:$I,'01. KE30'!$C:$C,'06. BC BH THEO CUSTOMER-USD'!$D55,'01. KE30'!$F:$F,'06. BC BH THEO CUSTOMER-USD'!$H55,'01. KE30'!$A:$A,'06. BC BH THEO CUSTOMER-USD'!CU$4)/1000</f>
        <v>0</v>
      </c>
      <c r="CV55" s="114">
        <f>SUMIFS('01. KE30'!$I:$I,'01. KE30'!$C:$C,'06. BC BH THEO CUSTOMER-USD'!$D55,'01. KE30'!$F:$F,'06. BC BH THEO CUSTOMER-USD'!$H55,'01. KE30'!$A:$A,'06. BC BH THEO CUSTOMER-USD'!CV$4)/1000</f>
        <v>0</v>
      </c>
      <c r="CW55" s="114">
        <f>SUMIFS('01. KE30'!$I:$I,'01. KE30'!$C:$C,'06. BC BH THEO CUSTOMER-USD'!$D55,'01. KE30'!$F:$F,'06. BC BH THEO CUSTOMER-USD'!$H55,'01. KE30'!$A:$A,'06. BC BH THEO CUSTOMER-USD'!CW$4)/1000</f>
        <v>0</v>
      </c>
      <c r="CX55" s="114">
        <f>SUMIFS('01. KE30'!$I:$I,'01. KE30'!$C:$C,'06. BC BH THEO CUSTOMER-USD'!$D55,'01. KE30'!$F:$F,'06. BC BH THEO CUSTOMER-USD'!$H55,'01. KE30'!$A:$A,'06. BC BH THEO CUSTOMER-USD'!CX$4)/1000</f>
        <v>0</v>
      </c>
      <c r="CY55" s="114">
        <f>SUMIFS('01. KE30'!$I:$I,'01. KE30'!$C:$C,'06. BC BH THEO CUSTOMER-USD'!$D55,'01. KE30'!$F:$F,'06. BC BH THEO CUSTOMER-USD'!$H55,'01. KE30'!$A:$A,'06. BC BH THEO CUSTOMER-USD'!CY$4)/1000</f>
        <v>0</v>
      </c>
      <c r="CZ55" s="114">
        <f>SUMIFS('01. KE30'!$I:$I,'01. KE30'!$C:$C,'06. BC BH THEO CUSTOMER-USD'!$D55,'01. KE30'!$F:$F,'06. BC BH THEO CUSTOMER-USD'!$H55,'01. KE30'!$A:$A,'06. BC BH THEO CUSTOMER-USD'!CZ$4)/1000</f>
        <v>0</v>
      </c>
      <c r="DA55" s="114">
        <f>SUMIFS('01. KE30'!$I:$I,'01. KE30'!$C:$C,'06. BC BH THEO CUSTOMER-USD'!$D55,'01. KE30'!$F:$F,'06. BC BH THEO CUSTOMER-USD'!$H55,'01. KE30'!$A:$A,'06. BC BH THEO CUSTOMER-USD'!DA$4)/1000</f>
        <v>0</v>
      </c>
      <c r="DB55" s="114">
        <f>SUMIFS('01. KE30'!$I:$I,'01. KE30'!$C:$C,'06. BC BH THEO CUSTOMER-USD'!$D55,'01. KE30'!$F:$F,'06. BC BH THEO CUSTOMER-USD'!$H55,'01. KE30'!$A:$A,'06. BC BH THEO CUSTOMER-USD'!DB$4)/1000</f>
        <v>0</v>
      </c>
      <c r="DC55" s="114">
        <f>SUMIFS('01. KE30'!$I:$I,'01. KE30'!$C:$C,'06. BC BH THEO CUSTOMER-USD'!$D55,'01. KE30'!$F:$F,'06. BC BH THEO CUSTOMER-USD'!$H55,'01. KE30'!$A:$A,'06. BC BH THEO CUSTOMER-USD'!DC$4)/1000</f>
        <v>0</v>
      </c>
      <c r="DD55" s="114">
        <f>SUMIFS('01. KE30'!$I:$I,'01. KE30'!$C:$C,'06. BC BH THEO CUSTOMER-USD'!$D55,'01. KE30'!$F:$F,'06. BC BH THEO CUSTOMER-USD'!$H55,'01. KE30'!$A:$A,'06. BC BH THEO CUSTOMER-USD'!DD$4)/1000</f>
        <v>0</v>
      </c>
      <c r="DF55" s="112">
        <f t="shared" si="267"/>
        <v>0</v>
      </c>
      <c r="DG55" s="54" t="str">
        <f t="shared" si="48"/>
        <v>-</v>
      </c>
      <c r="DH55" s="54" t="str">
        <f t="shared" si="49"/>
        <v>-</v>
      </c>
      <c r="DI55" s="54" t="str">
        <f t="shared" si="50"/>
        <v>-</v>
      </c>
      <c r="DJ55" s="54" t="str">
        <f t="shared" si="51"/>
        <v>-</v>
      </c>
      <c r="DK55" s="54" t="str">
        <f t="shared" si="52"/>
        <v>-</v>
      </c>
      <c r="DL55" s="54" t="str">
        <f t="shared" si="53"/>
        <v>-</v>
      </c>
      <c r="DM55" s="54" t="str">
        <f t="shared" si="54"/>
        <v>-</v>
      </c>
      <c r="DN55" s="54" t="str">
        <f t="shared" si="55"/>
        <v>-</v>
      </c>
      <c r="DO55" s="54" t="str">
        <f t="shared" si="56"/>
        <v>-</v>
      </c>
      <c r="DP55" s="54" t="str">
        <f t="shared" si="57"/>
        <v>-</v>
      </c>
      <c r="DQ55" s="54" t="str">
        <f t="shared" si="58"/>
        <v>-</v>
      </c>
      <c r="DR55" s="54" t="str">
        <f t="shared" si="59"/>
        <v>-</v>
      </c>
      <c r="DT55" s="112">
        <f t="shared" si="60"/>
        <v>0</v>
      </c>
      <c r="DU55" s="114">
        <f>IFERROR(SUMIFS('01. KE30'!$X:$X,'01. KE30'!$C:$C,'06. BC BH THEO CUSTOMER-USD'!$D55,'01. KE30'!$F:$F,'06. BC BH THEO CUSTOMER-USD'!$H55,'01. KE30'!$A:$A,'06. BC BH THEO CUSTOMER-USD'!DU$4)-SUMIFS('01. KE30'!$AA:$AA,'01. KE30'!$C:$C,'06. BC BH THEO CUSTOMER-USD'!$D55,'01. KE30'!$F:$F,'06. BC BH THEO CUSTOMER-USD'!$H55,'01. KE30'!$A:$A,'06. BC BH THEO CUSTOMER-USD'!DU$4),"-")</f>
        <v>0</v>
      </c>
      <c r="DV55" s="114">
        <f>IFERROR(SUMIFS('01. KE30'!$X:$X,'01. KE30'!$C:$C,'06. BC BH THEO CUSTOMER-USD'!$D55,'01. KE30'!$F:$F,'06. BC BH THEO CUSTOMER-USD'!$H55,'01. KE30'!$A:$A,'06. BC BH THEO CUSTOMER-USD'!DV$4)-SUMIFS('01. KE30'!$AA:$AA,'01. KE30'!$C:$C,'06. BC BH THEO CUSTOMER-USD'!$D55,'01. KE30'!$F:$F,'06. BC BH THEO CUSTOMER-USD'!$H55,'01. KE30'!$A:$A,'06. BC BH THEO CUSTOMER-USD'!DV$4),"-")</f>
        <v>0</v>
      </c>
      <c r="DW55" s="114">
        <f>IFERROR(SUMIFS('01. KE30'!$X:$X,'01. KE30'!$C:$C,'06. BC BH THEO CUSTOMER-USD'!$D55,'01. KE30'!$F:$F,'06. BC BH THEO CUSTOMER-USD'!$H55,'01. KE30'!$A:$A,'06. BC BH THEO CUSTOMER-USD'!DW$4)-SUMIFS('01. KE30'!$AA:$AA,'01. KE30'!$C:$C,'06. BC BH THEO CUSTOMER-USD'!$D55,'01. KE30'!$F:$F,'06. BC BH THEO CUSTOMER-USD'!$H55,'01. KE30'!$A:$A,'06. BC BH THEO CUSTOMER-USD'!DW$4),"-")</f>
        <v>0</v>
      </c>
      <c r="DX55" s="114">
        <f>IFERROR(SUMIFS('01. KE30'!$X:$X,'01. KE30'!$C:$C,'06. BC BH THEO CUSTOMER-USD'!$D55,'01. KE30'!$F:$F,'06. BC BH THEO CUSTOMER-USD'!$H55,'01. KE30'!$A:$A,'06. BC BH THEO CUSTOMER-USD'!DX$4)-SUMIFS('01. KE30'!$AA:$AA,'01. KE30'!$C:$C,'06. BC BH THEO CUSTOMER-USD'!$D55,'01. KE30'!$F:$F,'06. BC BH THEO CUSTOMER-USD'!$H55,'01. KE30'!$A:$A,'06. BC BH THEO CUSTOMER-USD'!DX$4),"-")</f>
        <v>0</v>
      </c>
      <c r="DY55" s="114">
        <f>IFERROR(SUMIFS('01. KE30'!$X:$X,'01. KE30'!$C:$C,'06. BC BH THEO CUSTOMER-USD'!$D55,'01. KE30'!$F:$F,'06. BC BH THEO CUSTOMER-USD'!$H55,'01. KE30'!$A:$A,'06. BC BH THEO CUSTOMER-USD'!DY$4)-SUMIFS('01. KE30'!$AA:$AA,'01. KE30'!$C:$C,'06. BC BH THEO CUSTOMER-USD'!$D55,'01. KE30'!$F:$F,'06. BC BH THEO CUSTOMER-USD'!$H55,'01. KE30'!$A:$A,'06. BC BH THEO CUSTOMER-USD'!DY$4),"-")</f>
        <v>0</v>
      </c>
      <c r="DZ55" s="114">
        <f>IFERROR(SUMIFS('01. KE30'!$X:$X,'01. KE30'!$C:$C,'06. BC BH THEO CUSTOMER-USD'!$D55,'01. KE30'!$F:$F,'06. BC BH THEO CUSTOMER-USD'!$H55,'01. KE30'!$A:$A,'06. BC BH THEO CUSTOMER-USD'!DZ$4)-SUMIFS('01. KE30'!$AA:$AA,'01. KE30'!$C:$C,'06. BC BH THEO CUSTOMER-USD'!$D55,'01. KE30'!$F:$F,'06. BC BH THEO CUSTOMER-USD'!$H55,'01. KE30'!$A:$A,'06. BC BH THEO CUSTOMER-USD'!DZ$4),"-")</f>
        <v>0</v>
      </c>
      <c r="EA55" s="114">
        <f>IFERROR(SUMIFS('01. KE30'!$X:$X,'01. KE30'!$C:$C,'06. BC BH THEO CUSTOMER-USD'!$D55,'01. KE30'!$F:$F,'06. BC BH THEO CUSTOMER-USD'!$H55,'01. KE30'!$A:$A,'06. BC BH THEO CUSTOMER-USD'!EA$4)-SUMIFS('01. KE30'!$AA:$AA,'01. KE30'!$C:$C,'06. BC BH THEO CUSTOMER-USD'!$D55,'01. KE30'!$F:$F,'06. BC BH THEO CUSTOMER-USD'!$H55,'01. KE30'!$A:$A,'06. BC BH THEO CUSTOMER-USD'!EA$4),"-")</f>
        <v>0</v>
      </c>
      <c r="EB55" s="114">
        <f>IFERROR(SUMIFS('01. KE30'!$X:$X,'01. KE30'!$C:$C,'06. BC BH THEO CUSTOMER-USD'!$D55,'01. KE30'!$F:$F,'06. BC BH THEO CUSTOMER-USD'!$H55,'01. KE30'!$A:$A,'06. BC BH THEO CUSTOMER-USD'!EB$4)-SUMIFS('01. KE30'!$AA:$AA,'01. KE30'!$C:$C,'06. BC BH THEO CUSTOMER-USD'!$D55,'01. KE30'!$F:$F,'06. BC BH THEO CUSTOMER-USD'!$H55,'01. KE30'!$A:$A,'06. BC BH THEO CUSTOMER-USD'!EB$4),"-")</f>
        <v>0</v>
      </c>
      <c r="EC55" s="114">
        <f>IFERROR(SUMIFS('01. KE30'!$X:$X,'01. KE30'!$C:$C,'06. BC BH THEO CUSTOMER-USD'!$D55,'01. KE30'!$F:$F,'06. BC BH THEO CUSTOMER-USD'!$H55,'01. KE30'!$A:$A,'06. BC BH THEO CUSTOMER-USD'!EC$4)-SUMIFS('01. KE30'!$AA:$AA,'01. KE30'!$C:$C,'06. BC BH THEO CUSTOMER-USD'!$D55,'01. KE30'!$F:$F,'06. BC BH THEO CUSTOMER-USD'!$H55,'01. KE30'!$A:$A,'06. BC BH THEO CUSTOMER-USD'!EC$4),"-")</f>
        <v>0</v>
      </c>
      <c r="ED55" s="114">
        <f>IFERROR(SUMIFS('01. KE30'!$X:$X,'01. KE30'!$C:$C,'06. BC BH THEO CUSTOMER-USD'!$D55,'01. KE30'!$F:$F,'06. BC BH THEO CUSTOMER-USD'!$H55,'01. KE30'!$A:$A,'06. BC BH THEO CUSTOMER-USD'!ED$4)-SUMIFS('01. KE30'!$AA:$AA,'01. KE30'!$C:$C,'06. BC BH THEO CUSTOMER-USD'!$D55,'01. KE30'!$F:$F,'06. BC BH THEO CUSTOMER-USD'!$H55,'01. KE30'!$A:$A,'06. BC BH THEO CUSTOMER-USD'!ED$4),"-")</f>
        <v>0</v>
      </c>
      <c r="EE55" s="114">
        <f>IFERROR(SUMIFS('01. KE30'!$X:$X,'01. KE30'!$C:$C,'06. BC BH THEO CUSTOMER-USD'!$D55,'01. KE30'!$F:$F,'06. BC BH THEO CUSTOMER-USD'!$H55,'01. KE30'!$A:$A,'06. BC BH THEO CUSTOMER-USD'!EE$4)-SUMIFS('01. KE30'!$AA:$AA,'01. KE30'!$C:$C,'06. BC BH THEO CUSTOMER-USD'!$D55,'01. KE30'!$F:$F,'06. BC BH THEO CUSTOMER-USD'!$H55,'01. KE30'!$A:$A,'06. BC BH THEO CUSTOMER-USD'!EE$4),"-")</f>
        <v>0</v>
      </c>
      <c r="EF55" s="114">
        <f>IFERROR(SUMIFS('01. KE30'!$X:$X,'01. KE30'!$C:$C,'06. BC BH THEO CUSTOMER-USD'!$D55,'01. KE30'!$F:$F,'06. BC BH THEO CUSTOMER-USD'!$H55,'01. KE30'!$A:$A,'06. BC BH THEO CUSTOMER-USD'!EF$4)-SUMIFS('01. KE30'!$AA:$AA,'01. KE30'!$C:$C,'06. BC BH THEO CUSTOMER-USD'!$D55,'01. KE30'!$F:$F,'06. BC BH THEO CUSTOMER-USD'!$H55,'01. KE30'!$A:$A,'06. BC BH THEO CUSTOMER-USD'!EF$4),"-")</f>
        <v>0</v>
      </c>
      <c r="EH55" s="571" t="str">
        <f t="shared" si="29"/>
        <v>-</v>
      </c>
      <c r="EI55" s="572" t="str">
        <f t="shared" si="30"/>
        <v>-</v>
      </c>
      <c r="EJ55" s="572" t="str">
        <f t="shared" si="31"/>
        <v>-</v>
      </c>
      <c r="EK55" s="572" t="str">
        <f t="shared" si="32"/>
        <v>-</v>
      </c>
      <c r="EL55" s="572" t="str">
        <f t="shared" si="33"/>
        <v>-</v>
      </c>
      <c r="EM55" s="572" t="str">
        <f t="shared" si="34"/>
        <v>-</v>
      </c>
      <c r="EN55" s="572" t="str">
        <f t="shared" si="35"/>
        <v>-</v>
      </c>
      <c r="EO55" s="572" t="str">
        <f t="shared" si="36"/>
        <v>-</v>
      </c>
      <c r="EP55" s="572" t="str">
        <f t="shared" si="37"/>
        <v>-</v>
      </c>
      <c r="EQ55" s="572" t="str">
        <f t="shared" si="38"/>
        <v>-</v>
      </c>
      <c r="ER55" s="572" t="str">
        <f t="shared" si="39"/>
        <v>-</v>
      </c>
      <c r="ES55" s="572" t="str">
        <f t="shared" si="40"/>
        <v>-</v>
      </c>
      <c r="ET55" s="572" t="str">
        <f t="shared" si="41"/>
        <v>-</v>
      </c>
    </row>
    <row r="56" spans="1:150" ht="15.5" hidden="1" outlineLevel="1" x14ac:dyDescent="0.35">
      <c r="A56" s="27">
        <f t="shared" si="63"/>
        <v>46</v>
      </c>
      <c r="B56" s="27" t="s">
        <v>283</v>
      </c>
      <c r="C56" s="442" t="s">
        <v>489</v>
      </c>
      <c r="D56" s="9" t="s">
        <v>118</v>
      </c>
      <c r="E56" s="12" t="s">
        <v>117</v>
      </c>
      <c r="F56" s="12" t="s">
        <v>253</v>
      </c>
      <c r="G56" s="12" t="str">
        <f>_xlfn.XLOOKUP(F56,'Quy đổi'!$G$5:$G$32,'Quy đổi'!$H$5:$H$32,0)</f>
        <v>Châu á</v>
      </c>
      <c r="H56" s="76" t="s">
        <v>100</v>
      </c>
      <c r="I56" s="28" t="s">
        <v>99</v>
      </c>
      <c r="J56" s="13" t="s">
        <v>26</v>
      </c>
      <c r="K56" s="11" t="s">
        <v>90</v>
      </c>
      <c r="L56" s="92" t="str">
        <f t="shared" si="42"/>
        <v>-</v>
      </c>
      <c r="M56" s="106" t="str">
        <f>IFERROR(SUMIFS('01. KE30'!$K:$K,'01. KE30'!$C:$C,'06. BC BH THEO CUSTOMER-USD'!$D56,'01. KE30'!$F:$F,'06. BC BH THEO CUSTOMER-USD'!$H56,'01. KE30'!$A:$A,'06. BC BH THEO CUSTOMER-USD'!M$4)/'06. BC BH THEO CUSTOMER-USD'!CS56/'02. Tỷ giá'!B$5,"-")</f>
        <v>-</v>
      </c>
      <c r="N56" s="106" t="str">
        <f>IFERROR(SUMIFS('01. KE30'!$K:$K,'01. KE30'!$C:$C,'06. BC BH THEO CUSTOMER-USD'!$D56,'01. KE30'!$F:$F,'06. BC BH THEO CUSTOMER-USD'!$H56,'01. KE30'!$A:$A,'06. BC BH THEO CUSTOMER-USD'!N$4)/'06. BC BH THEO CUSTOMER-USD'!CT56/'02. Tỷ giá'!C$5,"-")</f>
        <v>-</v>
      </c>
      <c r="O56" s="106" t="str">
        <f>IFERROR(SUMIFS('01. KE30'!$K:$K,'01. KE30'!$C:$C,'06. BC BH THEO CUSTOMER-USD'!$D56,'01. KE30'!$F:$F,'06. BC BH THEO CUSTOMER-USD'!$H56,'01. KE30'!$A:$A,'06. BC BH THEO CUSTOMER-USD'!O$4)/'06. BC BH THEO CUSTOMER-USD'!CU56/'02. Tỷ giá'!D$5,"-")</f>
        <v>-</v>
      </c>
      <c r="P56" s="106" t="str">
        <f>IFERROR(SUMIFS('01. KE30'!$K:$K,'01. KE30'!$C:$C,'06. BC BH THEO CUSTOMER-USD'!$D56,'01. KE30'!$F:$F,'06. BC BH THEO CUSTOMER-USD'!$H56,'01. KE30'!$A:$A,'06. BC BH THEO CUSTOMER-USD'!P$4)/'06. BC BH THEO CUSTOMER-USD'!CV56/'02. Tỷ giá'!E$5,"-")</f>
        <v>-</v>
      </c>
      <c r="Q56" s="106" t="str">
        <f>IFERROR(SUMIFS('01. KE30'!$K:$K,'01. KE30'!$C:$C,'06. BC BH THEO CUSTOMER-USD'!$D56,'01. KE30'!$F:$F,'06. BC BH THEO CUSTOMER-USD'!$H56,'01. KE30'!$A:$A,'06. BC BH THEO CUSTOMER-USD'!Q$4)/'06. BC BH THEO CUSTOMER-USD'!CW56/'02. Tỷ giá'!F$5,"-")</f>
        <v>-</v>
      </c>
      <c r="R56" s="106" t="str">
        <f>IFERROR(SUMIFS('01. KE30'!$K:$K,'01. KE30'!$C:$C,'06. BC BH THEO CUSTOMER-USD'!$D56,'01. KE30'!$F:$F,'06. BC BH THEO CUSTOMER-USD'!$H56,'01. KE30'!$A:$A,'06. BC BH THEO CUSTOMER-USD'!R$4)/'06. BC BH THEO CUSTOMER-USD'!CX56/'02. Tỷ giá'!G$5,"-")</f>
        <v>-</v>
      </c>
      <c r="S56" s="106" t="str">
        <f>IFERROR(SUMIFS('01. KE30'!$K:$K,'01. KE30'!$C:$C,'06. BC BH THEO CUSTOMER-USD'!$D56,'01. KE30'!$F:$F,'06. BC BH THEO CUSTOMER-USD'!$H56,'01. KE30'!$A:$A,'06. BC BH THEO CUSTOMER-USD'!S$4)/'06. BC BH THEO CUSTOMER-USD'!CY56/'02. Tỷ giá'!H$5,"-")</f>
        <v>-</v>
      </c>
      <c r="T56" s="106" t="str">
        <f>IFERROR(SUMIFS('01. KE30'!$K:$K,'01. KE30'!$C:$C,'06. BC BH THEO CUSTOMER-USD'!$D56,'01. KE30'!$F:$F,'06. BC BH THEO CUSTOMER-USD'!$H56,'01. KE30'!$A:$A,'06. BC BH THEO CUSTOMER-USD'!T$4)/'06. BC BH THEO CUSTOMER-USD'!CZ56/'02. Tỷ giá'!I$5,"-")</f>
        <v>-</v>
      </c>
      <c r="U56" s="106" t="str">
        <f>IFERROR(SUMIFS('01. KE30'!$K:$K,'01. KE30'!$C:$C,'06. BC BH THEO CUSTOMER-USD'!$D56,'01. KE30'!$F:$F,'06. BC BH THEO CUSTOMER-USD'!$H56,'01. KE30'!$A:$A,'06. BC BH THEO CUSTOMER-USD'!U$4)/'06. BC BH THEO CUSTOMER-USD'!DA56/'02. Tỷ giá'!J$5,"-")</f>
        <v>-</v>
      </c>
      <c r="V56" s="106" t="str">
        <f>IFERROR(SUMIFS('01. KE30'!$K:$K,'01. KE30'!$C:$C,'06. BC BH THEO CUSTOMER-USD'!$D56,'01. KE30'!$F:$F,'06. BC BH THEO CUSTOMER-USD'!$H56,'01. KE30'!$A:$A,'06. BC BH THEO CUSTOMER-USD'!V$4)/'06. BC BH THEO CUSTOMER-USD'!DB56/'02. Tỷ giá'!K$5,"-")</f>
        <v>-</v>
      </c>
      <c r="W56" s="106" t="str">
        <f>IFERROR(SUMIFS('01. KE30'!$K:$K,'01. KE30'!$C:$C,'06. BC BH THEO CUSTOMER-USD'!$D56,'01. KE30'!$F:$F,'06. BC BH THEO CUSTOMER-USD'!$H56,'01. KE30'!$A:$A,'06. BC BH THEO CUSTOMER-USD'!W$4)/'06. BC BH THEO CUSTOMER-USD'!DC56/'02. Tỷ giá'!L$5,"-")</f>
        <v>-</v>
      </c>
      <c r="X56" s="106" t="str">
        <f>IFERROR(SUMIFS('01. KE30'!$K:$K,'01. KE30'!$C:$C,'06. BC BH THEO CUSTOMER-USD'!$D56,'01. KE30'!$F:$F,'06. BC BH THEO CUSTOMER-USD'!$H56,'01. KE30'!$A:$A,'06. BC BH THEO CUSTOMER-USD'!X$4)/'06. BC BH THEO CUSTOMER-USD'!DD56/'02. Tỷ giá'!M$5,"-")</f>
        <v>-</v>
      </c>
      <c r="Z56" s="92" t="str">
        <f t="shared" si="43"/>
        <v>-</v>
      </c>
      <c r="AA56" s="147" t="str">
        <f>IFERROR(SUMIFS('01. KE30'!$O:$O,'01. KE30'!$C:$C,'06. BC BH THEO CUSTOMER-USD'!$D56,'01. KE30'!$F:$F,'06. BC BH THEO CUSTOMER-USD'!$H56,'01. KE30'!$A:$A,'06. BC BH THEO CUSTOMER-USD'!M$4)/'06. BC BH THEO CUSTOMER-USD'!CS56/'02. Tỷ giá'!B$5,"-")</f>
        <v>-</v>
      </c>
      <c r="AB56" s="147" t="str">
        <f>IFERROR(SUMIFS('01. KE30'!$O:$O,'01. KE30'!$C:$C,'06. BC BH THEO CUSTOMER-USD'!$D56,'01. KE30'!$F:$F,'06. BC BH THEO CUSTOMER-USD'!$H56,'01. KE30'!$A:$A,'06. BC BH THEO CUSTOMER-USD'!N$4)/'06. BC BH THEO CUSTOMER-USD'!CT56/'02. Tỷ giá'!C$5,"-")</f>
        <v>-</v>
      </c>
      <c r="AC56" s="147" t="str">
        <f>IFERROR(SUMIFS('01. KE30'!$O:$O,'01. KE30'!$C:$C,'06. BC BH THEO CUSTOMER-USD'!$D56,'01. KE30'!$F:$F,'06. BC BH THEO CUSTOMER-USD'!$H56,'01. KE30'!$A:$A,'06. BC BH THEO CUSTOMER-USD'!O$4)/'06. BC BH THEO CUSTOMER-USD'!CU56/'02. Tỷ giá'!D$5,"-")</f>
        <v>-</v>
      </c>
      <c r="AD56" s="147" t="str">
        <f>IFERROR(SUMIFS('01. KE30'!$O:$O,'01. KE30'!$C:$C,'06. BC BH THEO CUSTOMER-USD'!$D56,'01. KE30'!$F:$F,'06. BC BH THEO CUSTOMER-USD'!$H56,'01. KE30'!$A:$A,'06. BC BH THEO CUSTOMER-USD'!P$4)/'06. BC BH THEO CUSTOMER-USD'!CV56/'02. Tỷ giá'!E$5,"-")</f>
        <v>-</v>
      </c>
      <c r="AE56" s="147" t="str">
        <f>IFERROR(SUMIFS('01. KE30'!$O:$O,'01. KE30'!$C:$C,'06. BC BH THEO CUSTOMER-USD'!$D56,'01. KE30'!$F:$F,'06. BC BH THEO CUSTOMER-USD'!$H56,'01. KE30'!$A:$A,'06. BC BH THEO CUSTOMER-USD'!Q$4)/'06. BC BH THEO CUSTOMER-USD'!CW56/'02. Tỷ giá'!F$5,"-")</f>
        <v>-</v>
      </c>
      <c r="AF56" s="147" t="str">
        <f>IFERROR(SUMIFS('01. KE30'!$O:$O,'01. KE30'!$C:$C,'06. BC BH THEO CUSTOMER-USD'!$D56,'01. KE30'!$F:$F,'06. BC BH THEO CUSTOMER-USD'!$H56,'01. KE30'!$A:$A,'06. BC BH THEO CUSTOMER-USD'!R$4)/'06. BC BH THEO CUSTOMER-USD'!CX56/'02. Tỷ giá'!G$5,"-")</f>
        <v>-</v>
      </c>
      <c r="AG56" s="147" t="str">
        <f>IFERROR(SUMIFS('01. KE30'!$O:$O,'01. KE30'!$C:$C,'06. BC BH THEO CUSTOMER-USD'!$D56,'01. KE30'!$F:$F,'06. BC BH THEO CUSTOMER-USD'!$H56,'01. KE30'!$A:$A,'06. BC BH THEO CUSTOMER-USD'!S$4)/'06. BC BH THEO CUSTOMER-USD'!CY56/'02. Tỷ giá'!H$5,"-")</f>
        <v>-</v>
      </c>
      <c r="AH56" s="147" t="str">
        <f>IFERROR(SUMIFS('01. KE30'!$O:$O,'01. KE30'!$C:$C,'06. BC BH THEO CUSTOMER-USD'!$D56,'01. KE30'!$F:$F,'06. BC BH THEO CUSTOMER-USD'!$H56,'01. KE30'!$A:$A,'06. BC BH THEO CUSTOMER-USD'!T$4)/'06. BC BH THEO CUSTOMER-USD'!CZ56/'02. Tỷ giá'!I$5,"-")</f>
        <v>-</v>
      </c>
      <c r="AI56" s="147" t="str">
        <f>IFERROR(SUMIFS('01. KE30'!$O:$O,'01. KE30'!$C:$C,'06. BC BH THEO CUSTOMER-USD'!$D56,'01. KE30'!$F:$F,'06. BC BH THEO CUSTOMER-USD'!$H56,'01. KE30'!$A:$A,'06. BC BH THEO CUSTOMER-USD'!U$4)/'06. BC BH THEO CUSTOMER-USD'!DA56/'02. Tỷ giá'!J$5,"-")</f>
        <v>-</v>
      </c>
      <c r="AJ56" s="147" t="str">
        <f>IFERROR(SUMIFS('01. KE30'!$O:$O,'01. KE30'!$C:$C,'06. BC BH THEO CUSTOMER-USD'!$D56,'01. KE30'!$F:$F,'06. BC BH THEO CUSTOMER-USD'!$H56,'01. KE30'!$A:$A,'06. BC BH THEO CUSTOMER-USD'!V$4)/'06. BC BH THEO CUSTOMER-USD'!DB56/'02. Tỷ giá'!K$5,"-")</f>
        <v>-</v>
      </c>
      <c r="AK56" s="147" t="str">
        <f>IFERROR(SUMIFS('01. KE30'!$O:$O,'01. KE30'!$C:$C,'06. BC BH THEO CUSTOMER-USD'!$D56,'01. KE30'!$F:$F,'06. BC BH THEO CUSTOMER-USD'!$H56,'01. KE30'!$A:$A,'06. BC BH THEO CUSTOMER-USD'!W$4)/'06. BC BH THEO CUSTOMER-USD'!DC56/'02. Tỷ giá'!L$5,"-")</f>
        <v>-</v>
      </c>
      <c r="AL56" s="147" t="str">
        <f>IFERROR(SUMIFS('01. KE30'!$O:$O,'01. KE30'!$C:$C,'06. BC BH THEO CUSTOMER-USD'!$D56,'01. KE30'!$F:$F,'06. BC BH THEO CUSTOMER-USD'!$H56,'01. KE30'!$A:$A,'06. BC BH THEO CUSTOMER-USD'!X$4)/'06. BC BH THEO CUSTOMER-USD'!DD56/'02. Tỷ giá'!M$5,"-")</f>
        <v>-</v>
      </c>
      <c r="AN56" s="92">
        <f t="shared" si="44"/>
        <v>1266.6666666666667</v>
      </c>
      <c r="AO56" s="25">
        <v>1260</v>
      </c>
      <c r="AP56" s="25">
        <v>1260</v>
      </c>
      <c r="AQ56" s="25">
        <v>1260</v>
      </c>
      <c r="AR56" s="4">
        <f t="shared" si="271"/>
        <v>1280</v>
      </c>
      <c r="AS56" s="4">
        <v>1280</v>
      </c>
      <c r="AT56" s="4">
        <v>1280</v>
      </c>
      <c r="AU56" s="4">
        <v>1280</v>
      </c>
      <c r="AV56" s="4">
        <f t="shared" si="205"/>
        <v>1250</v>
      </c>
      <c r="AW56" s="25">
        <v>1250</v>
      </c>
      <c r="AX56" s="25"/>
      <c r="AY56" s="4"/>
      <c r="AZ56" s="4"/>
      <c r="BB56" s="95" t="str">
        <f t="shared" si="45"/>
        <v>-</v>
      </c>
      <c r="BC56" s="95" t="str">
        <f t="shared" si="206"/>
        <v>-</v>
      </c>
      <c r="BD56" s="95" t="str">
        <f t="shared" si="201"/>
        <v>-</v>
      </c>
      <c r="BE56" s="95" t="str">
        <f t="shared" si="201"/>
        <v>-</v>
      </c>
      <c r="BF56" s="95" t="str">
        <f t="shared" si="201"/>
        <v>-</v>
      </c>
      <c r="BG56" s="95" t="str">
        <f t="shared" si="201"/>
        <v>-</v>
      </c>
      <c r="BH56" s="95" t="str">
        <f t="shared" si="201"/>
        <v>-</v>
      </c>
      <c r="BI56" s="95" t="str">
        <f t="shared" si="201"/>
        <v>-</v>
      </c>
      <c r="BJ56" s="95" t="str">
        <f t="shared" si="201"/>
        <v>-</v>
      </c>
      <c r="BK56" s="95" t="str">
        <f t="shared" si="201"/>
        <v>-</v>
      </c>
      <c r="BL56" s="95" t="str">
        <f t="shared" si="201"/>
        <v>-</v>
      </c>
      <c r="BM56" s="95" t="str">
        <f t="shared" si="201"/>
        <v>-</v>
      </c>
      <c r="BN56" s="95" t="str">
        <f t="shared" si="201"/>
        <v>-</v>
      </c>
      <c r="BP56" s="143" t="str">
        <f t="shared" si="47"/>
        <v>-</v>
      </c>
      <c r="BQ56" s="143" t="str">
        <f t="shared" si="202"/>
        <v>-</v>
      </c>
      <c r="BR56" s="143" t="str">
        <f t="shared" si="9"/>
        <v>-</v>
      </c>
      <c r="BS56" s="143" t="str">
        <f t="shared" si="10"/>
        <v>-</v>
      </c>
      <c r="BT56" s="143" t="str">
        <f t="shared" si="11"/>
        <v>-</v>
      </c>
      <c r="BU56" s="143" t="str">
        <f t="shared" si="12"/>
        <v>-</v>
      </c>
      <c r="BV56" s="143" t="str">
        <f t="shared" si="13"/>
        <v>-</v>
      </c>
      <c r="BW56" s="143" t="str">
        <f t="shared" si="14"/>
        <v>-</v>
      </c>
      <c r="BX56" s="143" t="str">
        <f t="shared" si="15"/>
        <v>-</v>
      </c>
      <c r="BY56" s="143" t="str">
        <f t="shared" si="16"/>
        <v>-</v>
      </c>
      <c r="BZ56" s="143" t="str">
        <f t="shared" si="17"/>
        <v>-</v>
      </c>
      <c r="CA56" s="143" t="str">
        <f t="shared" si="18"/>
        <v>-</v>
      </c>
      <c r="CB56" s="143" t="str">
        <f t="shared" si="19"/>
        <v>-</v>
      </c>
      <c r="CD56" s="112" t="str">
        <f t="shared" si="25"/>
        <v>-</v>
      </c>
      <c r="CE56" s="95" t="str">
        <f>IFERROR(SUMIFS('01. KE30'!$R:$R,'01. KE30'!$C:$C,'06. BC BH THEO CUSTOMER-USD'!$D56,'01. KE30'!$F:$F,'06. BC BH THEO CUSTOMER-USD'!$H56,'01. KE30'!$A:$A,'06. BC BH THEO CUSTOMER-USD'!CE$4)/CS56/'02. Tỷ giá'!B$5," -")</f>
        <v xml:space="preserve"> -</v>
      </c>
      <c r="CF56" s="95" t="str">
        <f>IFERROR(SUMIFS('01. KE30'!$R:$R,'01. KE30'!$C:$C,'06. BC BH THEO CUSTOMER-USD'!$D56,'01. KE30'!$F:$F,'06. BC BH THEO CUSTOMER-USD'!$H56,'01. KE30'!$A:$A,'06. BC BH THEO CUSTOMER-USD'!CF$4)/CT56/'02. Tỷ giá'!C$5," -")</f>
        <v xml:space="preserve"> -</v>
      </c>
      <c r="CG56" s="95" t="str">
        <f>IFERROR(SUMIFS('01. KE30'!$R:$R,'01. KE30'!$C:$C,'06. BC BH THEO CUSTOMER-USD'!$D56,'01. KE30'!$F:$F,'06. BC BH THEO CUSTOMER-USD'!$H56,'01. KE30'!$A:$A,'06. BC BH THEO CUSTOMER-USD'!CG$4)/CU56/'02. Tỷ giá'!D$5," -")</f>
        <v xml:space="preserve"> -</v>
      </c>
      <c r="CH56" s="95" t="str">
        <f>IFERROR(SUMIFS('01. KE30'!$R:$R,'01. KE30'!$C:$C,'06. BC BH THEO CUSTOMER-USD'!$D56,'01. KE30'!$F:$F,'06. BC BH THEO CUSTOMER-USD'!$H56,'01. KE30'!$A:$A,'06. BC BH THEO CUSTOMER-USD'!CH$4)/CV56/'02. Tỷ giá'!E$5," -")</f>
        <v xml:space="preserve"> -</v>
      </c>
      <c r="CI56" s="95" t="str">
        <f>IFERROR(SUMIFS('01. KE30'!$R:$R,'01. KE30'!$C:$C,'06. BC BH THEO CUSTOMER-USD'!$D56,'01. KE30'!$F:$F,'06. BC BH THEO CUSTOMER-USD'!$H56,'01. KE30'!$A:$A,'06. BC BH THEO CUSTOMER-USD'!CI$4)/CW56/'02. Tỷ giá'!F$5," -")</f>
        <v xml:space="preserve"> -</v>
      </c>
      <c r="CJ56" s="95" t="str">
        <f>IFERROR(SUMIFS('01. KE30'!$R:$R,'01. KE30'!$C:$C,'06. BC BH THEO CUSTOMER-USD'!$D56,'01. KE30'!$F:$F,'06. BC BH THEO CUSTOMER-USD'!$H56,'01. KE30'!$A:$A,'06. BC BH THEO CUSTOMER-USD'!CJ$4)/CX56/'02. Tỷ giá'!G$5," -")</f>
        <v xml:space="preserve"> -</v>
      </c>
      <c r="CK56" s="95" t="str">
        <f>IFERROR(SUMIFS('01. KE30'!$R:$R,'01. KE30'!$C:$C,'06. BC BH THEO CUSTOMER-USD'!$D56,'01. KE30'!$F:$F,'06. BC BH THEO CUSTOMER-USD'!$H56,'01. KE30'!$A:$A,'06. BC BH THEO CUSTOMER-USD'!CK$4)/CY56/'02. Tỷ giá'!H$5," -")</f>
        <v xml:space="preserve"> -</v>
      </c>
      <c r="CL56" s="95" t="str">
        <f>IFERROR(SUMIFS('01. KE30'!$R:$R,'01. KE30'!$C:$C,'06. BC BH THEO CUSTOMER-USD'!$D56,'01. KE30'!$F:$F,'06. BC BH THEO CUSTOMER-USD'!$H56,'01. KE30'!$A:$A,'06. BC BH THEO CUSTOMER-USD'!CL$4)/CZ56/'02. Tỷ giá'!I$5," -")</f>
        <v xml:space="preserve"> -</v>
      </c>
      <c r="CM56" s="95" t="str">
        <f>IFERROR(SUMIFS('01. KE30'!$R:$R,'01. KE30'!$C:$C,'06. BC BH THEO CUSTOMER-USD'!$D56,'01. KE30'!$F:$F,'06. BC BH THEO CUSTOMER-USD'!$H56,'01. KE30'!$A:$A,'06. BC BH THEO CUSTOMER-USD'!CM$4)/DA56/'02. Tỷ giá'!J$5," -")</f>
        <v xml:space="preserve"> -</v>
      </c>
      <c r="CN56" s="95" t="str">
        <f>IFERROR(SUMIFS('01. KE30'!$R:$R,'01. KE30'!$C:$C,'06. BC BH THEO CUSTOMER-USD'!$D56,'01. KE30'!$F:$F,'06. BC BH THEO CUSTOMER-USD'!$H56,'01. KE30'!$A:$A,'06. BC BH THEO CUSTOMER-USD'!CN$4)/DB56/'02. Tỷ giá'!K$5," -")</f>
        <v xml:space="preserve"> -</v>
      </c>
      <c r="CO56" s="95" t="str">
        <f>IFERROR(SUMIFS('01. KE30'!$R:$R,'01. KE30'!$C:$C,'06. BC BH THEO CUSTOMER-USD'!$D56,'01. KE30'!$F:$F,'06. BC BH THEO CUSTOMER-USD'!$H56,'01. KE30'!$A:$A,'06. BC BH THEO CUSTOMER-USD'!CO$4)/DC56/'02. Tỷ giá'!L$5," -")</f>
        <v xml:space="preserve"> -</v>
      </c>
      <c r="CP56" s="95" t="str">
        <f>IFERROR(SUMIFS('01. KE30'!$R:$R,'01. KE30'!$C:$C,'06. BC BH THEO CUSTOMER-USD'!$D56,'01. KE30'!$F:$F,'06. BC BH THEO CUSTOMER-USD'!$H56,'01. KE30'!$A:$A,'06. BC BH THEO CUSTOMER-USD'!CP$4)/DD56/'02. Tỷ giá'!M$5," -")</f>
        <v xml:space="preserve"> -</v>
      </c>
      <c r="CR56" s="112">
        <f t="shared" si="266"/>
        <v>0</v>
      </c>
      <c r="CS56" s="114">
        <f>SUMIFS('01. KE30'!$I:$I,'01. KE30'!$C:$C,'06. BC BH THEO CUSTOMER-USD'!$D56,'01. KE30'!$F:$F,'06. BC BH THEO CUSTOMER-USD'!$H56,'01. KE30'!$A:$A,'06. BC BH THEO CUSTOMER-USD'!CS$4)/1000</f>
        <v>0</v>
      </c>
      <c r="CT56" s="114">
        <f>SUMIFS('01. KE30'!$I:$I,'01. KE30'!$C:$C,'06. BC BH THEO CUSTOMER-USD'!$D56,'01. KE30'!$F:$F,'06. BC BH THEO CUSTOMER-USD'!$H56,'01. KE30'!$A:$A,'06. BC BH THEO CUSTOMER-USD'!CT$4)/1000</f>
        <v>0</v>
      </c>
      <c r="CU56" s="114">
        <f>SUMIFS('01. KE30'!$I:$I,'01. KE30'!$C:$C,'06. BC BH THEO CUSTOMER-USD'!$D56,'01. KE30'!$F:$F,'06. BC BH THEO CUSTOMER-USD'!$H56,'01. KE30'!$A:$A,'06. BC BH THEO CUSTOMER-USD'!CU$4)/1000</f>
        <v>0</v>
      </c>
      <c r="CV56" s="114">
        <f>SUMIFS('01. KE30'!$I:$I,'01. KE30'!$C:$C,'06. BC BH THEO CUSTOMER-USD'!$D56,'01. KE30'!$F:$F,'06. BC BH THEO CUSTOMER-USD'!$H56,'01. KE30'!$A:$A,'06. BC BH THEO CUSTOMER-USD'!CV$4)/1000</f>
        <v>0</v>
      </c>
      <c r="CW56" s="114">
        <f>SUMIFS('01. KE30'!$I:$I,'01. KE30'!$C:$C,'06. BC BH THEO CUSTOMER-USD'!$D56,'01. KE30'!$F:$F,'06. BC BH THEO CUSTOMER-USD'!$H56,'01. KE30'!$A:$A,'06. BC BH THEO CUSTOMER-USD'!CW$4)/1000</f>
        <v>0</v>
      </c>
      <c r="CX56" s="114">
        <f>SUMIFS('01. KE30'!$I:$I,'01. KE30'!$C:$C,'06. BC BH THEO CUSTOMER-USD'!$D56,'01. KE30'!$F:$F,'06. BC BH THEO CUSTOMER-USD'!$H56,'01. KE30'!$A:$A,'06. BC BH THEO CUSTOMER-USD'!CX$4)/1000</f>
        <v>0</v>
      </c>
      <c r="CY56" s="114">
        <f>SUMIFS('01. KE30'!$I:$I,'01. KE30'!$C:$C,'06. BC BH THEO CUSTOMER-USD'!$D56,'01. KE30'!$F:$F,'06. BC BH THEO CUSTOMER-USD'!$H56,'01. KE30'!$A:$A,'06. BC BH THEO CUSTOMER-USD'!CY$4)/1000</f>
        <v>0</v>
      </c>
      <c r="CZ56" s="114">
        <f>SUMIFS('01. KE30'!$I:$I,'01. KE30'!$C:$C,'06. BC BH THEO CUSTOMER-USD'!$D56,'01. KE30'!$F:$F,'06. BC BH THEO CUSTOMER-USD'!$H56,'01. KE30'!$A:$A,'06. BC BH THEO CUSTOMER-USD'!CZ$4)/1000</f>
        <v>0</v>
      </c>
      <c r="DA56" s="114">
        <f>SUMIFS('01. KE30'!$I:$I,'01. KE30'!$C:$C,'06. BC BH THEO CUSTOMER-USD'!$D56,'01. KE30'!$F:$F,'06. BC BH THEO CUSTOMER-USD'!$H56,'01. KE30'!$A:$A,'06. BC BH THEO CUSTOMER-USD'!DA$4)/1000</f>
        <v>0</v>
      </c>
      <c r="DB56" s="114">
        <f>SUMIFS('01. KE30'!$I:$I,'01. KE30'!$C:$C,'06. BC BH THEO CUSTOMER-USD'!$D56,'01. KE30'!$F:$F,'06. BC BH THEO CUSTOMER-USD'!$H56,'01. KE30'!$A:$A,'06. BC BH THEO CUSTOMER-USD'!DB$4)/1000</f>
        <v>0</v>
      </c>
      <c r="DC56" s="114">
        <f>SUMIFS('01. KE30'!$I:$I,'01. KE30'!$C:$C,'06. BC BH THEO CUSTOMER-USD'!$D56,'01. KE30'!$F:$F,'06. BC BH THEO CUSTOMER-USD'!$H56,'01. KE30'!$A:$A,'06. BC BH THEO CUSTOMER-USD'!DC$4)/1000</f>
        <v>0</v>
      </c>
      <c r="DD56" s="114">
        <f>SUMIFS('01. KE30'!$I:$I,'01. KE30'!$C:$C,'06. BC BH THEO CUSTOMER-USD'!$D56,'01. KE30'!$F:$F,'06. BC BH THEO CUSTOMER-USD'!$H56,'01. KE30'!$A:$A,'06. BC BH THEO CUSTOMER-USD'!DD$4)/1000</f>
        <v>0</v>
      </c>
      <c r="DF56" s="112">
        <f t="shared" si="267"/>
        <v>0</v>
      </c>
      <c r="DG56" s="54" t="str">
        <f t="shared" si="48"/>
        <v>-</v>
      </c>
      <c r="DH56" s="54" t="str">
        <f t="shared" si="49"/>
        <v>-</v>
      </c>
      <c r="DI56" s="54" t="str">
        <f t="shared" si="50"/>
        <v>-</v>
      </c>
      <c r="DJ56" s="54" t="str">
        <f t="shared" si="51"/>
        <v>-</v>
      </c>
      <c r="DK56" s="54" t="str">
        <f t="shared" si="52"/>
        <v>-</v>
      </c>
      <c r="DL56" s="54" t="str">
        <f t="shared" si="53"/>
        <v>-</v>
      </c>
      <c r="DM56" s="54" t="str">
        <f t="shared" si="54"/>
        <v>-</v>
      </c>
      <c r="DN56" s="54" t="str">
        <f t="shared" si="55"/>
        <v>-</v>
      </c>
      <c r="DO56" s="54" t="str">
        <f t="shared" si="56"/>
        <v>-</v>
      </c>
      <c r="DP56" s="54" t="str">
        <f t="shared" si="57"/>
        <v>-</v>
      </c>
      <c r="DQ56" s="54" t="str">
        <f t="shared" si="58"/>
        <v>-</v>
      </c>
      <c r="DR56" s="54" t="str">
        <f t="shared" si="59"/>
        <v>-</v>
      </c>
      <c r="DT56" s="112">
        <f t="shared" si="60"/>
        <v>0</v>
      </c>
      <c r="DU56" s="114">
        <f>IFERROR(SUMIFS('01. KE30'!$X:$X,'01. KE30'!$C:$C,'06. BC BH THEO CUSTOMER-USD'!$D56,'01. KE30'!$F:$F,'06. BC BH THEO CUSTOMER-USD'!$H56,'01. KE30'!$A:$A,'06. BC BH THEO CUSTOMER-USD'!DU$4)-SUMIFS('01. KE30'!$AA:$AA,'01. KE30'!$C:$C,'06. BC BH THEO CUSTOMER-USD'!$D56,'01. KE30'!$F:$F,'06. BC BH THEO CUSTOMER-USD'!$H56,'01. KE30'!$A:$A,'06. BC BH THEO CUSTOMER-USD'!DU$4),"-")</f>
        <v>0</v>
      </c>
      <c r="DV56" s="114">
        <f>IFERROR(SUMIFS('01. KE30'!$X:$X,'01. KE30'!$C:$C,'06. BC BH THEO CUSTOMER-USD'!$D56,'01. KE30'!$F:$F,'06. BC BH THEO CUSTOMER-USD'!$H56,'01. KE30'!$A:$A,'06. BC BH THEO CUSTOMER-USD'!DV$4)-SUMIFS('01. KE30'!$AA:$AA,'01. KE30'!$C:$C,'06. BC BH THEO CUSTOMER-USD'!$D56,'01. KE30'!$F:$F,'06. BC BH THEO CUSTOMER-USD'!$H56,'01. KE30'!$A:$A,'06. BC BH THEO CUSTOMER-USD'!DV$4),"-")</f>
        <v>0</v>
      </c>
      <c r="DW56" s="114">
        <f>IFERROR(SUMIFS('01. KE30'!$X:$X,'01. KE30'!$C:$C,'06. BC BH THEO CUSTOMER-USD'!$D56,'01. KE30'!$F:$F,'06. BC BH THEO CUSTOMER-USD'!$H56,'01. KE30'!$A:$A,'06. BC BH THEO CUSTOMER-USD'!DW$4)-SUMIFS('01. KE30'!$AA:$AA,'01. KE30'!$C:$C,'06. BC BH THEO CUSTOMER-USD'!$D56,'01. KE30'!$F:$F,'06. BC BH THEO CUSTOMER-USD'!$H56,'01. KE30'!$A:$A,'06. BC BH THEO CUSTOMER-USD'!DW$4),"-")</f>
        <v>0</v>
      </c>
      <c r="DX56" s="114">
        <f>IFERROR(SUMIFS('01. KE30'!$X:$X,'01. KE30'!$C:$C,'06. BC BH THEO CUSTOMER-USD'!$D56,'01. KE30'!$F:$F,'06. BC BH THEO CUSTOMER-USD'!$H56,'01. KE30'!$A:$A,'06. BC BH THEO CUSTOMER-USD'!DX$4)-SUMIFS('01. KE30'!$AA:$AA,'01. KE30'!$C:$C,'06. BC BH THEO CUSTOMER-USD'!$D56,'01. KE30'!$F:$F,'06. BC BH THEO CUSTOMER-USD'!$H56,'01. KE30'!$A:$A,'06. BC BH THEO CUSTOMER-USD'!DX$4),"-")</f>
        <v>0</v>
      </c>
      <c r="DY56" s="114">
        <f>IFERROR(SUMIFS('01. KE30'!$X:$X,'01. KE30'!$C:$C,'06. BC BH THEO CUSTOMER-USD'!$D56,'01. KE30'!$F:$F,'06. BC BH THEO CUSTOMER-USD'!$H56,'01. KE30'!$A:$A,'06. BC BH THEO CUSTOMER-USD'!DY$4)-SUMIFS('01. KE30'!$AA:$AA,'01. KE30'!$C:$C,'06. BC BH THEO CUSTOMER-USD'!$D56,'01. KE30'!$F:$F,'06. BC BH THEO CUSTOMER-USD'!$H56,'01. KE30'!$A:$A,'06. BC BH THEO CUSTOMER-USD'!DY$4),"-")</f>
        <v>0</v>
      </c>
      <c r="DZ56" s="114">
        <f>IFERROR(SUMIFS('01. KE30'!$X:$X,'01. KE30'!$C:$C,'06. BC BH THEO CUSTOMER-USD'!$D56,'01. KE30'!$F:$F,'06. BC BH THEO CUSTOMER-USD'!$H56,'01. KE30'!$A:$A,'06. BC BH THEO CUSTOMER-USD'!DZ$4)-SUMIFS('01. KE30'!$AA:$AA,'01. KE30'!$C:$C,'06. BC BH THEO CUSTOMER-USD'!$D56,'01. KE30'!$F:$F,'06. BC BH THEO CUSTOMER-USD'!$H56,'01. KE30'!$A:$A,'06. BC BH THEO CUSTOMER-USD'!DZ$4),"-")</f>
        <v>0</v>
      </c>
      <c r="EA56" s="114">
        <f>IFERROR(SUMIFS('01. KE30'!$X:$X,'01. KE30'!$C:$C,'06. BC BH THEO CUSTOMER-USD'!$D56,'01. KE30'!$F:$F,'06. BC BH THEO CUSTOMER-USD'!$H56,'01. KE30'!$A:$A,'06. BC BH THEO CUSTOMER-USD'!EA$4)-SUMIFS('01. KE30'!$AA:$AA,'01. KE30'!$C:$C,'06. BC BH THEO CUSTOMER-USD'!$D56,'01. KE30'!$F:$F,'06. BC BH THEO CUSTOMER-USD'!$H56,'01. KE30'!$A:$A,'06. BC BH THEO CUSTOMER-USD'!EA$4),"-")</f>
        <v>0</v>
      </c>
      <c r="EB56" s="114">
        <f>IFERROR(SUMIFS('01. KE30'!$X:$X,'01. KE30'!$C:$C,'06. BC BH THEO CUSTOMER-USD'!$D56,'01. KE30'!$F:$F,'06. BC BH THEO CUSTOMER-USD'!$H56,'01. KE30'!$A:$A,'06. BC BH THEO CUSTOMER-USD'!EB$4)-SUMIFS('01. KE30'!$AA:$AA,'01. KE30'!$C:$C,'06. BC BH THEO CUSTOMER-USD'!$D56,'01. KE30'!$F:$F,'06. BC BH THEO CUSTOMER-USD'!$H56,'01. KE30'!$A:$A,'06. BC BH THEO CUSTOMER-USD'!EB$4),"-")</f>
        <v>0</v>
      </c>
      <c r="EC56" s="114">
        <f>IFERROR(SUMIFS('01. KE30'!$X:$X,'01. KE30'!$C:$C,'06. BC BH THEO CUSTOMER-USD'!$D56,'01. KE30'!$F:$F,'06. BC BH THEO CUSTOMER-USD'!$H56,'01. KE30'!$A:$A,'06. BC BH THEO CUSTOMER-USD'!EC$4)-SUMIFS('01. KE30'!$AA:$AA,'01. KE30'!$C:$C,'06. BC BH THEO CUSTOMER-USD'!$D56,'01. KE30'!$F:$F,'06. BC BH THEO CUSTOMER-USD'!$H56,'01. KE30'!$A:$A,'06. BC BH THEO CUSTOMER-USD'!EC$4),"-")</f>
        <v>0</v>
      </c>
      <c r="ED56" s="114">
        <f>IFERROR(SUMIFS('01. KE30'!$X:$X,'01. KE30'!$C:$C,'06. BC BH THEO CUSTOMER-USD'!$D56,'01. KE30'!$F:$F,'06. BC BH THEO CUSTOMER-USD'!$H56,'01. KE30'!$A:$A,'06. BC BH THEO CUSTOMER-USD'!ED$4)-SUMIFS('01. KE30'!$AA:$AA,'01. KE30'!$C:$C,'06. BC BH THEO CUSTOMER-USD'!$D56,'01. KE30'!$F:$F,'06. BC BH THEO CUSTOMER-USD'!$H56,'01. KE30'!$A:$A,'06. BC BH THEO CUSTOMER-USD'!ED$4),"-")</f>
        <v>0</v>
      </c>
      <c r="EE56" s="114">
        <f>IFERROR(SUMIFS('01. KE30'!$X:$X,'01. KE30'!$C:$C,'06. BC BH THEO CUSTOMER-USD'!$D56,'01. KE30'!$F:$F,'06. BC BH THEO CUSTOMER-USD'!$H56,'01. KE30'!$A:$A,'06. BC BH THEO CUSTOMER-USD'!EE$4)-SUMIFS('01. KE30'!$AA:$AA,'01. KE30'!$C:$C,'06. BC BH THEO CUSTOMER-USD'!$D56,'01. KE30'!$F:$F,'06. BC BH THEO CUSTOMER-USD'!$H56,'01. KE30'!$A:$A,'06. BC BH THEO CUSTOMER-USD'!EE$4),"-")</f>
        <v>0</v>
      </c>
      <c r="EF56" s="114">
        <f>IFERROR(SUMIFS('01. KE30'!$X:$X,'01. KE30'!$C:$C,'06. BC BH THEO CUSTOMER-USD'!$D56,'01. KE30'!$F:$F,'06. BC BH THEO CUSTOMER-USD'!$H56,'01. KE30'!$A:$A,'06. BC BH THEO CUSTOMER-USD'!EF$4)-SUMIFS('01. KE30'!$AA:$AA,'01. KE30'!$C:$C,'06. BC BH THEO CUSTOMER-USD'!$D56,'01. KE30'!$F:$F,'06. BC BH THEO CUSTOMER-USD'!$H56,'01. KE30'!$A:$A,'06. BC BH THEO CUSTOMER-USD'!EF$4),"-")</f>
        <v>0</v>
      </c>
      <c r="EH56" s="571" t="str">
        <f t="shared" si="29"/>
        <v>-</v>
      </c>
      <c r="EI56" s="572" t="str">
        <f t="shared" si="30"/>
        <v>-</v>
      </c>
      <c r="EJ56" s="572" t="str">
        <f t="shared" si="31"/>
        <v>-</v>
      </c>
      <c r="EK56" s="572" t="str">
        <f t="shared" si="32"/>
        <v>-</v>
      </c>
      <c r="EL56" s="572" t="str">
        <f t="shared" si="33"/>
        <v>-</v>
      </c>
      <c r="EM56" s="572" t="str">
        <f t="shared" si="34"/>
        <v>-</v>
      </c>
      <c r="EN56" s="572" t="str">
        <f t="shared" si="35"/>
        <v>-</v>
      </c>
      <c r="EO56" s="572" t="str">
        <f t="shared" si="36"/>
        <v>-</v>
      </c>
      <c r="EP56" s="572" t="str">
        <f t="shared" si="37"/>
        <v>-</v>
      </c>
      <c r="EQ56" s="572" t="str">
        <f t="shared" si="38"/>
        <v>-</v>
      </c>
      <c r="ER56" s="572" t="str">
        <f t="shared" si="39"/>
        <v>-</v>
      </c>
      <c r="ES56" s="572" t="str">
        <f t="shared" si="40"/>
        <v>-</v>
      </c>
      <c r="ET56" s="572" t="str">
        <f t="shared" si="41"/>
        <v>-</v>
      </c>
    </row>
    <row r="57" spans="1:150" ht="15.5" hidden="1" outlineLevel="1" x14ac:dyDescent="0.35">
      <c r="A57" s="27">
        <f t="shared" si="63"/>
        <v>47</v>
      </c>
      <c r="B57" s="27" t="s">
        <v>283</v>
      </c>
      <c r="C57" s="442" t="s">
        <v>489</v>
      </c>
      <c r="D57" s="9" t="s">
        <v>13</v>
      </c>
      <c r="E57" s="12" t="s">
        <v>12</v>
      </c>
      <c r="F57" s="12" t="s">
        <v>245</v>
      </c>
      <c r="G57" s="12" t="str">
        <f>_xlfn.XLOOKUP(F57,'Quy đổi'!$G$5:$G$32,'Quy đổi'!$H$5:$H$32,0)</f>
        <v>Nội địa</v>
      </c>
      <c r="H57" s="76" t="s">
        <v>110</v>
      </c>
      <c r="I57" s="28" t="s">
        <v>109</v>
      </c>
      <c r="J57" s="13" t="s">
        <v>22</v>
      </c>
      <c r="K57" s="11"/>
      <c r="L57" s="92">
        <f t="shared" si="42"/>
        <v>1276.7808762227903</v>
      </c>
      <c r="M57" s="106">
        <f>IFERROR(SUMIFS('01. KE30'!$K:$K,'01. KE30'!$C:$C,'06. BC BH THEO CUSTOMER-USD'!$D57,'01. KE30'!$F:$F,'06. BC BH THEO CUSTOMER-USD'!$H57,'01. KE30'!$A:$A,'06. BC BH THEO CUSTOMER-USD'!M$4)/'06. BC BH THEO CUSTOMER-USD'!CS57/'02. Tỷ giá'!B$5,"-")</f>
        <v>1314.3537583786481</v>
      </c>
      <c r="N57" s="106">
        <f>IFERROR(SUMIFS('01. KE30'!$K:$K,'01. KE30'!$C:$C,'06. BC BH THEO CUSTOMER-USD'!$D57,'01. KE30'!$F:$F,'06. BC BH THEO CUSTOMER-USD'!$H57,'01. KE30'!$A:$A,'06. BC BH THEO CUSTOMER-USD'!N$4)/'06. BC BH THEO CUSTOMER-USD'!CT57/'02. Tỷ giá'!C$5,"-")</f>
        <v>1240.4749901536038</v>
      </c>
      <c r="O57" s="106" t="str">
        <f>IFERROR(SUMIFS('01. KE30'!$K:$K,'01. KE30'!$C:$C,'06. BC BH THEO CUSTOMER-USD'!$D57,'01. KE30'!$F:$F,'06. BC BH THEO CUSTOMER-USD'!$H57,'01. KE30'!$A:$A,'06. BC BH THEO CUSTOMER-USD'!O$4)/'06. BC BH THEO CUSTOMER-USD'!CU57/'02. Tỷ giá'!D$5,"-")</f>
        <v>-</v>
      </c>
      <c r="P57" s="106">
        <f>IFERROR(SUMIFS('01. KE30'!$K:$K,'01. KE30'!$C:$C,'06. BC BH THEO CUSTOMER-USD'!$D57,'01. KE30'!$F:$F,'06. BC BH THEO CUSTOMER-USD'!$H57,'01. KE30'!$A:$A,'06. BC BH THEO CUSTOMER-USD'!P$4)/'06. BC BH THEO CUSTOMER-USD'!CV57/'02. Tỷ giá'!E$5,"-")</f>
        <v>1256.5139196846512</v>
      </c>
      <c r="Q57" s="106">
        <f>IFERROR(SUMIFS('01. KE30'!$K:$K,'01. KE30'!$C:$C,'06. BC BH THEO CUSTOMER-USD'!$D57,'01. KE30'!$F:$F,'06. BC BH THEO CUSTOMER-USD'!$H57,'01. KE30'!$A:$A,'06. BC BH THEO CUSTOMER-USD'!Q$4)/'06. BC BH THEO CUSTOMER-USD'!CW57/'02. Tỷ giá'!F$5,"-")</f>
        <v>1287.7713351613584</v>
      </c>
      <c r="R57" s="106">
        <f>IFERROR(SUMIFS('01. KE30'!$K:$K,'01. KE30'!$C:$C,'06. BC BH THEO CUSTOMER-USD'!$D57,'01. KE30'!$F:$F,'06. BC BH THEO CUSTOMER-USD'!$H57,'01. KE30'!$A:$A,'06. BC BH THEO CUSTOMER-USD'!R$4)/'06. BC BH THEO CUSTOMER-USD'!CX57/'02. Tỷ giá'!G$5,"-")</f>
        <v>1284.7903777356903</v>
      </c>
      <c r="S57" s="106" t="str">
        <f>IFERROR(SUMIFS('01. KE30'!$K:$K,'01. KE30'!$C:$C,'06. BC BH THEO CUSTOMER-USD'!$D57,'01. KE30'!$F:$F,'06. BC BH THEO CUSTOMER-USD'!$H57,'01. KE30'!$A:$A,'06. BC BH THEO CUSTOMER-USD'!S$4)/'06. BC BH THEO CUSTOMER-USD'!CY57/'02. Tỷ giá'!H$5,"-")</f>
        <v>-</v>
      </c>
      <c r="T57" s="106" t="str">
        <f>IFERROR(SUMIFS('01. KE30'!$K:$K,'01. KE30'!$C:$C,'06. BC BH THEO CUSTOMER-USD'!$D57,'01. KE30'!$F:$F,'06. BC BH THEO CUSTOMER-USD'!$H57,'01. KE30'!$A:$A,'06. BC BH THEO CUSTOMER-USD'!T$4)/'06. BC BH THEO CUSTOMER-USD'!CZ57/'02. Tỷ giá'!I$5,"-")</f>
        <v>-</v>
      </c>
      <c r="U57" s="106" t="str">
        <f>IFERROR(SUMIFS('01. KE30'!$K:$K,'01. KE30'!$C:$C,'06. BC BH THEO CUSTOMER-USD'!$D57,'01. KE30'!$F:$F,'06. BC BH THEO CUSTOMER-USD'!$H57,'01. KE30'!$A:$A,'06. BC BH THEO CUSTOMER-USD'!U$4)/'06. BC BH THEO CUSTOMER-USD'!DA57/'02. Tỷ giá'!J$5,"-")</f>
        <v>-</v>
      </c>
      <c r="V57" s="106" t="str">
        <f>IFERROR(SUMIFS('01. KE30'!$K:$K,'01. KE30'!$C:$C,'06. BC BH THEO CUSTOMER-USD'!$D57,'01. KE30'!$F:$F,'06. BC BH THEO CUSTOMER-USD'!$H57,'01. KE30'!$A:$A,'06. BC BH THEO CUSTOMER-USD'!V$4)/'06. BC BH THEO CUSTOMER-USD'!DB57/'02. Tỷ giá'!K$5,"-")</f>
        <v>-</v>
      </c>
      <c r="W57" s="106" t="str">
        <f>IFERROR(SUMIFS('01. KE30'!$K:$K,'01. KE30'!$C:$C,'06. BC BH THEO CUSTOMER-USD'!$D57,'01. KE30'!$F:$F,'06. BC BH THEO CUSTOMER-USD'!$H57,'01. KE30'!$A:$A,'06. BC BH THEO CUSTOMER-USD'!W$4)/'06. BC BH THEO CUSTOMER-USD'!DC57/'02. Tỷ giá'!L$5,"-")</f>
        <v>-</v>
      </c>
      <c r="X57" s="106" t="str">
        <f>IFERROR(SUMIFS('01. KE30'!$K:$K,'01. KE30'!$C:$C,'06. BC BH THEO CUSTOMER-USD'!$D57,'01. KE30'!$F:$F,'06. BC BH THEO CUSTOMER-USD'!$H57,'01. KE30'!$A:$A,'06. BC BH THEO CUSTOMER-USD'!X$4)/'06. BC BH THEO CUSTOMER-USD'!DD57/'02. Tỷ giá'!M$5,"-")</f>
        <v>-</v>
      </c>
      <c r="Z57" s="92">
        <f t="shared" si="43"/>
        <v>1276.7808762227903</v>
      </c>
      <c r="AA57" s="147">
        <f>IFERROR(SUMIFS('01. KE30'!$O:$O,'01. KE30'!$C:$C,'06. BC BH THEO CUSTOMER-USD'!$D57,'01. KE30'!$F:$F,'06. BC BH THEO CUSTOMER-USD'!$H57,'01. KE30'!$A:$A,'06. BC BH THEO CUSTOMER-USD'!M$4)/'06. BC BH THEO CUSTOMER-USD'!CS57/'02. Tỷ giá'!B$5,"-")</f>
        <v>1314.3537583786481</v>
      </c>
      <c r="AB57" s="147">
        <f>IFERROR(SUMIFS('01. KE30'!$O:$O,'01. KE30'!$C:$C,'06. BC BH THEO CUSTOMER-USD'!$D57,'01. KE30'!$F:$F,'06. BC BH THEO CUSTOMER-USD'!$H57,'01. KE30'!$A:$A,'06. BC BH THEO CUSTOMER-USD'!N$4)/'06. BC BH THEO CUSTOMER-USD'!CT57/'02. Tỷ giá'!C$5,"-")</f>
        <v>1240.4749901536038</v>
      </c>
      <c r="AC57" s="147" t="str">
        <f>IFERROR(SUMIFS('01. KE30'!$O:$O,'01. KE30'!$C:$C,'06. BC BH THEO CUSTOMER-USD'!$D57,'01. KE30'!$F:$F,'06. BC BH THEO CUSTOMER-USD'!$H57,'01. KE30'!$A:$A,'06. BC BH THEO CUSTOMER-USD'!O$4)/'06. BC BH THEO CUSTOMER-USD'!CU57/'02. Tỷ giá'!D$5,"-")</f>
        <v>-</v>
      </c>
      <c r="AD57" s="147">
        <f>IFERROR(SUMIFS('01. KE30'!$O:$O,'01. KE30'!$C:$C,'06. BC BH THEO CUSTOMER-USD'!$D57,'01. KE30'!$F:$F,'06. BC BH THEO CUSTOMER-USD'!$H57,'01. KE30'!$A:$A,'06. BC BH THEO CUSTOMER-USD'!P$4)/'06. BC BH THEO CUSTOMER-USD'!CV57/'02. Tỷ giá'!E$5,"-")</f>
        <v>1256.5139196846512</v>
      </c>
      <c r="AE57" s="147">
        <f>IFERROR(SUMIFS('01. KE30'!$O:$O,'01. KE30'!$C:$C,'06. BC BH THEO CUSTOMER-USD'!$D57,'01. KE30'!$F:$F,'06. BC BH THEO CUSTOMER-USD'!$H57,'01. KE30'!$A:$A,'06. BC BH THEO CUSTOMER-USD'!Q$4)/'06. BC BH THEO CUSTOMER-USD'!CW57/'02. Tỷ giá'!F$5,"-")</f>
        <v>1287.7713351613584</v>
      </c>
      <c r="AF57" s="147">
        <f>IFERROR(SUMIFS('01. KE30'!$O:$O,'01. KE30'!$C:$C,'06. BC BH THEO CUSTOMER-USD'!$D57,'01. KE30'!$F:$F,'06. BC BH THEO CUSTOMER-USD'!$H57,'01. KE30'!$A:$A,'06. BC BH THEO CUSTOMER-USD'!R$4)/'06. BC BH THEO CUSTOMER-USD'!CX57/'02. Tỷ giá'!G$5,"-")</f>
        <v>1284.7903777356903</v>
      </c>
      <c r="AG57" s="147" t="str">
        <f>IFERROR(SUMIFS('01. KE30'!$O:$O,'01. KE30'!$C:$C,'06. BC BH THEO CUSTOMER-USD'!$D57,'01. KE30'!$F:$F,'06. BC BH THEO CUSTOMER-USD'!$H57,'01. KE30'!$A:$A,'06. BC BH THEO CUSTOMER-USD'!S$4)/'06. BC BH THEO CUSTOMER-USD'!CY57/'02. Tỷ giá'!H$5,"-")</f>
        <v>-</v>
      </c>
      <c r="AH57" s="147" t="str">
        <f>IFERROR(SUMIFS('01. KE30'!$O:$O,'01. KE30'!$C:$C,'06. BC BH THEO CUSTOMER-USD'!$D57,'01. KE30'!$F:$F,'06. BC BH THEO CUSTOMER-USD'!$H57,'01. KE30'!$A:$A,'06. BC BH THEO CUSTOMER-USD'!T$4)/'06. BC BH THEO CUSTOMER-USD'!CZ57/'02. Tỷ giá'!I$5,"-")</f>
        <v>-</v>
      </c>
      <c r="AI57" s="147" t="str">
        <f>IFERROR(SUMIFS('01. KE30'!$O:$O,'01. KE30'!$C:$C,'06. BC BH THEO CUSTOMER-USD'!$D57,'01. KE30'!$F:$F,'06. BC BH THEO CUSTOMER-USD'!$H57,'01. KE30'!$A:$A,'06. BC BH THEO CUSTOMER-USD'!U$4)/'06. BC BH THEO CUSTOMER-USD'!DA57/'02. Tỷ giá'!J$5,"-")</f>
        <v>-</v>
      </c>
      <c r="AJ57" s="147" t="str">
        <f>IFERROR(SUMIFS('01. KE30'!$O:$O,'01. KE30'!$C:$C,'06. BC BH THEO CUSTOMER-USD'!$D57,'01. KE30'!$F:$F,'06. BC BH THEO CUSTOMER-USD'!$H57,'01. KE30'!$A:$A,'06. BC BH THEO CUSTOMER-USD'!V$4)/'06. BC BH THEO CUSTOMER-USD'!DB57/'02. Tỷ giá'!K$5,"-")</f>
        <v>-</v>
      </c>
      <c r="AK57" s="147" t="str">
        <f>IFERROR(SUMIFS('01. KE30'!$O:$O,'01. KE30'!$C:$C,'06. BC BH THEO CUSTOMER-USD'!$D57,'01. KE30'!$F:$F,'06. BC BH THEO CUSTOMER-USD'!$H57,'01. KE30'!$A:$A,'06. BC BH THEO CUSTOMER-USD'!W$4)/'06. BC BH THEO CUSTOMER-USD'!DC57/'02. Tỷ giá'!L$5,"-")</f>
        <v>-</v>
      </c>
      <c r="AL57" s="147" t="str">
        <f>IFERROR(SUMIFS('01. KE30'!$O:$O,'01. KE30'!$C:$C,'06. BC BH THEO CUSTOMER-USD'!$D57,'01. KE30'!$F:$F,'06. BC BH THEO CUSTOMER-USD'!$H57,'01. KE30'!$A:$A,'06. BC BH THEO CUSTOMER-USD'!X$4)/'06. BC BH THEO CUSTOMER-USD'!DD57/'02. Tỷ giá'!M$5,"-")</f>
        <v>-</v>
      </c>
      <c r="AN57" s="92">
        <f t="shared" si="44"/>
        <v>1236.6666666666667</v>
      </c>
      <c r="AO57" s="25">
        <v>1230</v>
      </c>
      <c r="AP57" s="25">
        <v>1230</v>
      </c>
      <c r="AQ57" s="25">
        <v>1230</v>
      </c>
      <c r="AR57" s="25">
        <f t="shared" ref="AR57:AR60" si="330">AQ57+20</f>
        <v>1250</v>
      </c>
      <c r="AS57" s="25">
        <v>1250</v>
      </c>
      <c r="AT57" s="25">
        <v>1250</v>
      </c>
      <c r="AU57" s="25">
        <v>1250</v>
      </c>
      <c r="AV57" s="4">
        <f t="shared" si="205"/>
        <v>1220</v>
      </c>
      <c r="AW57" s="25">
        <v>1220</v>
      </c>
      <c r="AX57" s="25"/>
      <c r="AY57" s="4"/>
      <c r="AZ57" s="4"/>
      <c r="BB57" s="95">
        <f t="shared" si="45"/>
        <v>40.114209556123569</v>
      </c>
      <c r="BC57" s="95">
        <f t="shared" si="206"/>
        <v>84.353758378648081</v>
      </c>
      <c r="BD57" s="95">
        <f t="shared" si="201"/>
        <v>10.474990153603812</v>
      </c>
      <c r="BE57" s="95" t="str">
        <f t="shared" si="201"/>
        <v>-</v>
      </c>
      <c r="BF57" s="95">
        <f t="shared" si="201"/>
        <v>6.5139196846512277</v>
      </c>
      <c r="BG57" s="95">
        <f t="shared" si="201"/>
        <v>37.771335161358365</v>
      </c>
      <c r="BH57" s="95">
        <f t="shared" si="201"/>
        <v>34.790377735690299</v>
      </c>
      <c r="BI57" s="95" t="str">
        <f t="shared" si="201"/>
        <v>-</v>
      </c>
      <c r="BJ57" s="95" t="str">
        <f t="shared" si="201"/>
        <v>-</v>
      </c>
      <c r="BK57" s="95" t="str">
        <f t="shared" si="201"/>
        <v>-</v>
      </c>
      <c r="BL57" s="95" t="str">
        <f t="shared" si="201"/>
        <v>-</v>
      </c>
      <c r="BM57" s="95" t="str">
        <f t="shared" si="201"/>
        <v>-</v>
      </c>
      <c r="BN57" s="95" t="str">
        <f t="shared" si="201"/>
        <v>-</v>
      </c>
      <c r="BP57" s="143">
        <f t="shared" si="47"/>
        <v>3.2437366217889674E-2</v>
      </c>
      <c r="BQ57" s="143">
        <f t="shared" si="202"/>
        <v>6.8580291364754534E-2</v>
      </c>
      <c r="BR57" s="143">
        <f t="shared" si="9"/>
        <v>8.516252157401474E-3</v>
      </c>
      <c r="BS57" s="143" t="str">
        <f t="shared" si="10"/>
        <v>-</v>
      </c>
      <c r="BT57" s="143">
        <f t="shared" si="11"/>
        <v>5.2111357477209819E-3</v>
      </c>
      <c r="BU57" s="143">
        <f t="shared" si="12"/>
        <v>3.0217068129086692E-2</v>
      </c>
      <c r="BV57" s="143">
        <f t="shared" si="13"/>
        <v>2.783230218855224E-2</v>
      </c>
      <c r="BW57" s="143" t="str">
        <f t="shared" si="14"/>
        <v>-</v>
      </c>
      <c r="BX57" s="143" t="str">
        <f t="shared" si="15"/>
        <v>-</v>
      </c>
      <c r="BY57" s="143" t="str">
        <f t="shared" si="16"/>
        <v>-</v>
      </c>
      <c r="BZ57" s="143" t="str">
        <f t="shared" si="17"/>
        <v>-</v>
      </c>
      <c r="CA57" s="143" t="str">
        <f t="shared" si="18"/>
        <v>-</v>
      </c>
      <c r="CB57" s="143" t="str">
        <f t="shared" si="19"/>
        <v>-</v>
      </c>
      <c r="CD57" s="112">
        <f t="shared" si="25"/>
        <v>1036.5455786080604</v>
      </c>
      <c r="CE57" s="95">
        <f>IFERROR(SUMIFS('01. KE30'!$R:$R,'01. KE30'!$C:$C,'06. BC BH THEO CUSTOMER-USD'!$D57,'01. KE30'!$F:$F,'06. BC BH THEO CUSTOMER-USD'!$H57,'01. KE30'!$A:$A,'06. BC BH THEO CUSTOMER-USD'!CE$4)/CS57/'02. Tỷ giá'!B$5," -")</f>
        <v>1026.949831514665</v>
      </c>
      <c r="CF57" s="95">
        <f>IFERROR(SUMIFS('01. KE30'!$R:$R,'01. KE30'!$C:$C,'06. BC BH THEO CUSTOMER-USD'!$D57,'01. KE30'!$F:$F,'06. BC BH THEO CUSTOMER-USD'!$H57,'01. KE30'!$A:$A,'06. BC BH THEO CUSTOMER-USD'!CF$4)/CT57/'02. Tỷ giá'!C$5," -")</f>
        <v>987.02003890818389</v>
      </c>
      <c r="CG57" s="95" t="str">
        <f>IFERROR(SUMIFS('01. KE30'!$R:$R,'01. KE30'!$C:$C,'06. BC BH THEO CUSTOMER-USD'!$D57,'01. KE30'!$F:$F,'06. BC BH THEO CUSTOMER-USD'!$H57,'01. KE30'!$A:$A,'06. BC BH THEO CUSTOMER-USD'!CG$4)/CU57/'02. Tỷ giá'!D$5," -")</f>
        <v xml:space="preserve"> -</v>
      </c>
      <c r="CH57" s="95">
        <f>IFERROR(SUMIFS('01. KE30'!$R:$R,'01. KE30'!$C:$C,'06. BC BH THEO CUSTOMER-USD'!$D57,'01. KE30'!$F:$F,'06. BC BH THEO CUSTOMER-USD'!$H57,'01. KE30'!$A:$A,'06. BC BH THEO CUSTOMER-USD'!CH$4)/CV57/'02. Tỷ giá'!E$5," -")</f>
        <v>1040.2917062612185</v>
      </c>
      <c r="CI57" s="95">
        <f>IFERROR(SUMIFS('01. KE30'!$R:$R,'01. KE30'!$C:$C,'06. BC BH THEO CUSTOMER-USD'!$D57,'01. KE30'!$F:$F,'06. BC BH THEO CUSTOMER-USD'!$H57,'01. KE30'!$A:$A,'06. BC BH THEO CUSTOMER-USD'!CI$4)/CW57/'02. Tỷ giá'!F$5," -")</f>
        <v>1049.5963931659987</v>
      </c>
      <c r="CJ57" s="95">
        <f>IFERROR(SUMIFS('01. KE30'!$R:$R,'01. KE30'!$C:$C,'06. BC BH THEO CUSTOMER-USD'!$D57,'01. KE30'!$F:$F,'06. BC BH THEO CUSTOMER-USD'!$H57,'01. KE30'!$A:$A,'06. BC BH THEO CUSTOMER-USD'!CJ$4)/CX57/'02. Tỷ giá'!G$5," -")</f>
        <v>1078.8699231902356</v>
      </c>
      <c r="CK57" s="95" t="str">
        <f>IFERROR(SUMIFS('01. KE30'!$R:$R,'01. KE30'!$C:$C,'06. BC BH THEO CUSTOMER-USD'!$D57,'01. KE30'!$F:$F,'06. BC BH THEO CUSTOMER-USD'!$H57,'01. KE30'!$A:$A,'06. BC BH THEO CUSTOMER-USD'!CK$4)/CY57/'02. Tỷ giá'!H$5," -")</f>
        <v xml:space="preserve"> -</v>
      </c>
      <c r="CL57" s="95" t="str">
        <f>IFERROR(SUMIFS('01. KE30'!$R:$R,'01. KE30'!$C:$C,'06. BC BH THEO CUSTOMER-USD'!$D57,'01. KE30'!$F:$F,'06. BC BH THEO CUSTOMER-USD'!$H57,'01. KE30'!$A:$A,'06. BC BH THEO CUSTOMER-USD'!CL$4)/CZ57/'02. Tỷ giá'!I$5," -")</f>
        <v xml:space="preserve"> -</v>
      </c>
      <c r="CM57" s="95" t="str">
        <f>IFERROR(SUMIFS('01. KE30'!$R:$R,'01. KE30'!$C:$C,'06. BC BH THEO CUSTOMER-USD'!$D57,'01. KE30'!$F:$F,'06. BC BH THEO CUSTOMER-USD'!$H57,'01. KE30'!$A:$A,'06. BC BH THEO CUSTOMER-USD'!CM$4)/DA57/'02. Tỷ giá'!J$5," -")</f>
        <v xml:space="preserve"> -</v>
      </c>
      <c r="CN57" s="95" t="str">
        <f>IFERROR(SUMIFS('01. KE30'!$R:$R,'01. KE30'!$C:$C,'06. BC BH THEO CUSTOMER-USD'!$D57,'01. KE30'!$F:$F,'06. BC BH THEO CUSTOMER-USD'!$H57,'01. KE30'!$A:$A,'06. BC BH THEO CUSTOMER-USD'!CN$4)/DB57/'02. Tỷ giá'!K$5," -")</f>
        <v xml:space="preserve"> -</v>
      </c>
      <c r="CO57" s="95" t="str">
        <f>IFERROR(SUMIFS('01. KE30'!$R:$R,'01. KE30'!$C:$C,'06. BC BH THEO CUSTOMER-USD'!$D57,'01. KE30'!$F:$F,'06. BC BH THEO CUSTOMER-USD'!$H57,'01. KE30'!$A:$A,'06. BC BH THEO CUSTOMER-USD'!CO$4)/DC57/'02. Tỷ giá'!L$5," -")</f>
        <v xml:space="preserve"> -</v>
      </c>
      <c r="CP57" s="95" t="str">
        <f>IFERROR(SUMIFS('01. KE30'!$R:$R,'01. KE30'!$C:$C,'06. BC BH THEO CUSTOMER-USD'!$D57,'01. KE30'!$F:$F,'06. BC BH THEO CUSTOMER-USD'!$H57,'01. KE30'!$A:$A,'06. BC BH THEO CUSTOMER-USD'!CP$4)/DD57/'02. Tỷ giá'!M$5," -")</f>
        <v xml:space="preserve"> -</v>
      </c>
      <c r="CR57" s="112">
        <f t="shared" si="266"/>
        <v>20.9</v>
      </c>
      <c r="CS57" s="114">
        <f>SUMIFS('01. KE30'!$I:$I,'01. KE30'!$C:$C,'06. BC BH THEO CUSTOMER-USD'!$D57,'01. KE30'!$F:$F,'06. BC BH THEO CUSTOMER-USD'!$H57,'01. KE30'!$A:$A,'06. BC BH THEO CUSTOMER-USD'!CS$4)/1000</f>
        <v>3.3</v>
      </c>
      <c r="CT57" s="114">
        <f>SUMIFS('01. KE30'!$I:$I,'01. KE30'!$C:$C,'06. BC BH THEO CUSTOMER-USD'!$D57,'01. KE30'!$F:$F,'06. BC BH THEO CUSTOMER-USD'!$H57,'01. KE30'!$A:$A,'06. BC BH THEO CUSTOMER-USD'!CT$4)/1000</f>
        <v>3.3</v>
      </c>
      <c r="CU57" s="114">
        <f>SUMIFS('01. KE30'!$I:$I,'01. KE30'!$C:$C,'06. BC BH THEO CUSTOMER-USD'!$D57,'01. KE30'!$F:$F,'06. BC BH THEO CUSTOMER-USD'!$H57,'01. KE30'!$A:$A,'06. BC BH THEO CUSTOMER-USD'!CU$4)/1000</f>
        <v>0</v>
      </c>
      <c r="CV57" s="725">
        <f>SUMIFS('01. KE30'!$I:$I,'01. KE30'!$C:$C,'06. BC BH THEO CUSTOMER-USD'!$D57,'01. KE30'!$F:$F,'06. BC BH THEO CUSTOMER-USD'!$H57,'01. KE30'!$A:$A,'06. BC BH THEO CUSTOMER-USD'!CV$4)/1000</f>
        <v>4.4000000000000004</v>
      </c>
      <c r="CW57" s="114">
        <f>SUMIFS('01. KE30'!$I:$I,'01. KE30'!$C:$C,'06. BC BH THEO CUSTOMER-USD'!$D57,'01. KE30'!$F:$F,'06. BC BH THEO CUSTOMER-USD'!$H57,'01. KE30'!$A:$A,'06. BC BH THEO CUSTOMER-USD'!CW$4)/1000</f>
        <v>5.5</v>
      </c>
      <c r="CX57" s="114">
        <f>SUMIFS('01. KE30'!$I:$I,'01. KE30'!$C:$C,'06. BC BH THEO CUSTOMER-USD'!$D57,'01. KE30'!$F:$F,'06. BC BH THEO CUSTOMER-USD'!$H57,'01. KE30'!$A:$A,'06. BC BH THEO CUSTOMER-USD'!CX$4)/1000</f>
        <v>4.4000000000000004</v>
      </c>
      <c r="CY57" s="114">
        <f>SUMIFS('01. KE30'!$I:$I,'01. KE30'!$C:$C,'06. BC BH THEO CUSTOMER-USD'!$D57,'01. KE30'!$F:$F,'06. BC BH THEO CUSTOMER-USD'!$H57,'01. KE30'!$A:$A,'06. BC BH THEO CUSTOMER-USD'!CY$4)/1000</f>
        <v>0</v>
      </c>
      <c r="CZ57" s="114">
        <f>SUMIFS('01. KE30'!$I:$I,'01. KE30'!$C:$C,'06. BC BH THEO CUSTOMER-USD'!$D57,'01. KE30'!$F:$F,'06. BC BH THEO CUSTOMER-USD'!$H57,'01. KE30'!$A:$A,'06. BC BH THEO CUSTOMER-USD'!CZ$4)/1000</f>
        <v>0</v>
      </c>
      <c r="DA57" s="114">
        <f>SUMIFS('01. KE30'!$I:$I,'01. KE30'!$C:$C,'06. BC BH THEO CUSTOMER-USD'!$D57,'01. KE30'!$F:$F,'06. BC BH THEO CUSTOMER-USD'!$H57,'01. KE30'!$A:$A,'06. BC BH THEO CUSTOMER-USD'!DA$4)/1000</f>
        <v>0</v>
      </c>
      <c r="DB57" s="114">
        <f>SUMIFS('01. KE30'!$I:$I,'01. KE30'!$C:$C,'06. BC BH THEO CUSTOMER-USD'!$D57,'01. KE30'!$F:$F,'06. BC BH THEO CUSTOMER-USD'!$H57,'01. KE30'!$A:$A,'06. BC BH THEO CUSTOMER-USD'!DB$4)/1000</f>
        <v>0</v>
      </c>
      <c r="DC57" s="114">
        <f>SUMIFS('01. KE30'!$I:$I,'01. KE30'!$C:$C,'06. BC BH THEO CUSTOMER-USD'!$D57,'01. KE30'!$F:$F,'06. BC BH THEO CUSTOMER-USD'!$H57,'01. KE30'!$A:$A,'06. BC BH THEO CUSTOMER-USD'!DC$4)/1000</f>
        <v>0</v>
      </c>
      <c r="DD57" s="114">
        <f>SUMIFS('01. KE30'!$I:$I,'01. KE30'!$C:$C,'06. BC BH THEO CUSTOMER-USD'!$D57,'01. KE30'!$F:$F,'06. BC BH THEO CUSTOMER-USD'!$H57,'01. KE30'!$A:$A,'06. BC BH THEO CUSTOMER-USD'!DD$4)/1000</f>
        <v>0</v>
      </c>
      <c r="DF57" s="112">
        <f t="shared" si="267"/>
        <v>26695.416122193405</v>
      </c>
      <c r="DG57" s="54">
        <f t="shared" si="48"/>
        <v>4337.3674026495382</v>
      </c>
      <c r="DH57" s="54">
        <f t="shared" si="49"/>
        <v>4093.5674675068922</v>
      </c>
      <c r="DI57" s="54" t="str">
        <f t="shared" si="50"/>
        <v>-</v>
      </c>
      <c r="DJ57" s="54">
        <f t="shared" si="51"/>
        <v>5528.6612466124661</v>
      </c>
      <c r="DK57" s="54">
        <f t="shared" si="52"/>
        <v>7082.742343387471</v>
      </c>
      <c r="DL57" s="54">
        <f t="shared" si="53"/>
        <v>5653.077662037038</v>
      </c>
      <c r="DM57" s="54" t="str">
        <f t="shared" si="54"/>
        <v>-</v>
      </c>
      <c r="DN57" s="54" t="str">
        <f t="shared" si="55"/>
        <v>-</v>
      </c>
      <c r="DO57" s="54" t="str">
        <f t="shared" si="56"/>
        <v>-</v>
      </c>
      <c r="DP57" s="54" t="str">
        <f t="shared" si="57"/>
        <v>-</v>
      </c>
      <c r="DQ57" s="54" t="str">
        <f t="shared" si="58"/>
        <v>-</v>
      </c>
      <c r="DR57" s="54" t="str">
        <f t="shared" si="59"/>
        <v>-</v>
      </c>
      <c r="DT57" s="112">
        <f t="shared" si="60"/>
        <v>4952.2242177986127</v>
      </c>
      <c r="DU57" s="114">
        <f>IFERROR(SUMIFS('01. KE30'!$X:$X,'01. KE30'!$C:$C,'06. BC BH THEO CUSTOMER-USD'!$D57,'01. KE30'!$F:$F,'06. BC BH THEO CUSTOMER-USD'!$H57,'01. KE30'!$A:$A,'06. BC BH THEO CUSTOMER-USD'!DU$4)-SUMIFS('01. KE30'!$AA:$AA,'01. KE30'!$C:$C,'06. BC BH THEO CUSTOMER-USD'!$D57,'01. KE30'!$F:$F,'06. BC BH THEO CUSTOMER-USD'!$H57,'01. KE30'!$A:$A,'06. BC BH THEO CUSTOMER-USD'!DU$4),"-")</f>
        <v>948.43295865114396</v>
      </c>
      <c r="DV57" s="114">
        <f>IFERROR(SUMIFS('01. KE30'!$X:$X,'01. KE30'!$C:$C,'06. BC BH THEO CUSTOMER-USD'!$D57,'01. KE30'!$F:$F,'06. BC BH THEO CUSTOMER-USD'!$H57,'01. KE30'!$A:$A,'06. BC BH THEO CUSTOMER-USD'!DV$4)-SUMIFS('01. KE30'!$AA:$AA,'01. KE30'!$C:$C,'06. BC BH THEO CUSTOMER-USD'!$D57,'01. KE30'!$F:$F,'06. BC BH THEO CUSTOMER-USD'!$H57,'01. KE30'!$A:$A,'06. BC BH THEO CUSTOMER-USD'!DV$4),"-")</f>
        <v>836.40133910988607</v>
      </c>
      <c r="DW57" s="114">
        <f>IFERROR(SUMIFS('01. KE30'!$X:$X,'01. KE30'!$C:$C,'06. BC BH THEO CUSTOMER-USD'!$D57,'01. KE30'!$F:$F,'06. BC BH THEO CUSTOMER-USD'!$H57,'01. KE30'!$A:$A,'06. BC BH THEO CUSTOMER-USD'!DW$4)-SUMIFS('01. KE30'!$AA:$AA,'01. KE30'!$C:$C,'06. BC BH THEO CUSTOMER-USD'!$D57,'01. KE30'!$F:$F,'06. BC BH THEO CUSTOMER-USD'!$H57,'01. KE30'!$A:$A,'06. BC BH THEO CUSTOMER-USD'!DW$4),"-")</f>
        <v>0</v>
      </c>
      <c r="DX57" s="114">
        <f>IFERROR(SUMIFS('01. KE30'!$X:$X,'01. KE30'!$C:$C,'06. BC BH THEO CUSTOMER-USD'!$D57,'01. KE30'!$F:$F,'06. BC BH THEO CUSTOMER-USD'!$H57,'01. KE30'!$A:$A,'06. BC BH THEO CUSTOMER-USD'!DX$4)-SUMIFS('01. KE30'!$AA:$AA,'01. KE30'!$C:$C,'06. BC BH THEO CUSTOMER-USD'!$D57,'01. KE30'!$F:$F,'06. BC BH THEO CUSTOMER-USD'!$H57,'01. KE30'!$A:$A,'06. BC BH THEO CUSTOMER-USD'!DX$4),"-")</f>
        <v>951.37773906310485</v>
      </c>
      <c r="DY57" s="114">
        <f>IFERROR(SUMIFS('01. KE30'!$X:$X,'01. KE30'!$C:$C,'06. BC BH THEO CUSTOMER-USD'!$D57,'01. KE30'!$F:$F,'06. BC BH THEO CUSTOMER-USD'!$H57,'01. KE30'!$A:$A,'06. BC BH THEO CUSTOMER-USD'!DY$4)-SUMIFS('01. KE30'!$AA:$AA,'01. KE30'!$C:$C,'06. BC BH THEO CUSTOMER-USD'!$D57,'01. KE30'!$F:$F,'06. BC BH THEO CUSTOMER-USD'!$H57,'01. KE30'!$A:$A,'06. BC BH THEO CUSTOMER-USD'!DY$4),"-")</f>
        <v>1309.9621809744776</v>
      </c>
      <c r="DZ57" s="114">
        <f>IFERROR(SUMIFS('01. KE30'!$X:$X,'01. KE30'!$C:$C,'06. BC BH THEO CUSTOMER-USD'!$D57,'01. KE30'!$F:$F,'06. BC BH THEO CUSTOMER-USD'!$H57,'01. KE30'!$A:$A,'06. BC BH THEO CUSTOMER-USD'!DZ$4)-SUMIFS('01. KE30'!$AA:$AA,'01. KE30'!$C:$C,'06. BC BH THEO CUSTOMER-USD'!$D57,'01. KE30'!$F:$F,'06. BC BH THEO CUSTOMER-USD'!$H57,'01. KE30'!$A:$A,'06. BC BH THEO CUSTOMER-USD'!DZ$4),"-")</f>
        <v>906.05000000000018</v>
      </c>
      <c r="EA57" s="114">
        <f>IFERROR(SUMIFS('01. KE30'!$X:$X,'01. KE30'!$C:$C,'06. BC BH THEO CUSTOMER-USD'!$D57,'01. KE30'!$F:$F,'06. BC BH THEO CUSTOMER-USD'!$H57,'01. KE30'!$A:$A,'06. BC BH THEO CUSTOMER-USD'!EA$4)-SUMIFS('01. KE30'!$AA:$AA,'01. KE30'!$C:$C,'06. BC BH THEO CUSTOMER-USD'!$D57,'01. KE30'!$F:$F,'06. BC BH THEO CUSTOMER-USD'!$H57,'01. KE30'!$A:$A,'06. BC BH THEO CUSTOMER-USD'!EA$4),"-")</f>
        <v>0</v>
      </c>
      <c r="EB57" s="114">
        <f>IFERROR(SUMIFS('01. KE30'!$X:$X,'01. KE30'!$C:$C,'06. BC BH THEO CUSTOMER-USD'!$D57,'01. KE30'!$F:$F,'06. BC BH THEO CUSTOMER-USD'!$H57,'01. KE30'!$A:$A,'06. BC BH THEO CUSTOMER-USD'!EB$4)-SUMIFS('01. KE30'!$AA:$AA,'01. KE30'!$C:$C,'06. BC BH THEO CUSTOMER-USD'!$D57,'01. KE30'!$F:$F,'06. BC BH THEO CUSTOMER-USD'!$H57,'01. KE30'!$A:$A,'06. BC BH THEO CUSTOMER-USD'!EB$4),"-")</f>
        <v>0</v>
      </c>
      <c r="EC57" s="114">
        <f>IFERROR(SUMIFS('01. KE30'!$X:$X,'01. KE30'!$C:$C,'06. BC BH THEO CUSTOMER-USD'!$D57,'01. KE30'!$F:$F,'06. BC BH THEO CUSTOMER-USD'!$H57,'01. KE30'!$A:$A,'06. BC BH THEO CUSTOMER-USD'!EC$4)-SUMIFS('01. KE30'!$AA:$AA,'01. KE30'!$C:$C,'06. BC BH THEO CUSTOMER-USD'!$D57,'01. KE30'!$F:$F,'06. BC BH THEO CUSTOMER-USD'!$H57,'01. KE30'!$A:$A,'06. BC BH THEO CUSTOMER-USD'!EC$4),"-")</f>
        <v>0</v>
      </c>
      <c r="ED57" s="114">
        <f>IFERROR(SUMIFS('01. KE30'!$X:$X,'01. KE30'!$C:$C,'06. BC BH THEO CUSTOMER-USD'!$D57,'01. KE30'!$F:$F,'06. BC BH THEO CUSTOMER-USD'!$H57,'01. KE30'!$A:$A,'06. BC BH THEO CUSTOMER-USD'!ED$4)-SUMIFS('01. KE30'!$AA:$AA,'01. KE30'!$C:$C,'06. BC BH THEO CUSTOMER-USD'!$D57,'01. KE30'!$F:$F,'06. BC BH THEO CUSTOMER-USD'!$H57,'01. KE30'!$A:$A,'06. BC BH THEO CUSTOMER-USD'!ED$4),"-")</f>
        <v>0</v>
      </c>
      <c r="EE57" s="114">
        <f>IFERROR(SUMIFS('01. KE30'!$X:$X,'01. KE30'!$C:$C,'06. BC BH THEO CUSTOMER-USD'!$D57,'01. KE30'!$F:$F,'06. BC BH THEO CUSTOMER-USD'!$H57,'01. KE30'!$A:$A,'06. BC BH THEO CUSTOMER-USD'!EE$4)-SUMIFS('01. KE30'!$AA:$AA,'01. KE30'!$C:$C,'06. BC BH THEO CUSTOMER-USD'!$D57,'01. KE30'!$F:$F,'06. BC BH THEO CUSTOMER-USD'!$H57,'01. KE30'!$A:$A,'06. BC BH THEO CUSTOMER-USD'!EE$4),"-")</f>
        <v>0</v>
      </c>
      <c r="EF57" s="114">
        <f>IFERROR(SUMIFS('01. KE30'!$X:$X,'01. KE30'!$C:$C,'06. BC BH THEO CUSTOMER-USD'!$D57,'01. KE30'!$F:$F,'06. BC BH THEO CUSTOMER-USD'!$H57,'01. KE30'!$A:$A,'06. BC BH THEO CUSTOMER-USD'!EF$4)-SUMIFS('01. KE30'!$AA:$AA,'01. KE30'!$C:$C,'06. BC BH THEO CUSTOMER-USD'!$D57,'01. KE30'!$F:$F,'06. BC BH THEO CUSTOMER-USD'!$H57,'01. KE30'!$A:$A,'06. BC BH THEO CUSTOMER-USD'!EF$4),"-")</f>
        <v>0</v>
      </c>
      <c r="EH57" s="571">
        <f t="shared" si="29"/>
        <v>0.18550841069982607</v>
      </c>
      <c r="EI57" s="572">
        <f t="shared" si="30"/>
        <v>0.21866557997180067</v>
      </c>
      <c r="EJ57" s="572">
        <f t="shared" si="31"/>
        <v>0.20432088777060758</v>
      </c>
      <c r="EK57" s="572" t="str">
        <f t="shared" si="32"/>
        <v>-</v>
      </c>
      <c r="EL57" s="572">
        <f t="shared" si="33"/>
        <v>0.17208103311557299</v>
      </c>
      <c r="EM57" s="572">
        <f t="shared" si="34"/>
        <v>0.18495126851500862</v>
      </c>
      <c r="EN57" s="572">
        <f t="shared" si="35"/>
        <v>0.16027552674263329</v>
      </c>
      <c r="EO57" s="572" t="str">
        <f t="shared" si="36"/>
        <v>-</v>
      </c>
      <c r="EP57" s="572" t="str">
        <f t="shared" si="37"/>
        <v>-</v>
      </c>
      <c r="EQ57" s="572" t="str">
        <f t="shared" si="38"/>
        <v>-</v>
      </c>
      <c r="ER57" s="572" t="str">
        <f t="shared" si="39"/>
        <v>-</v>
      </c>
      <c r="ES57" s="572" t="str">
        <f t="shared" si="40"/>
        <v>-</v>
      </c>
      <c r="ET57" s="572" t="str">
        <f t="shared" si="41"/>
        <v>-</v>
      </c>
    </row>
    <row r="58" spans="1:150" ht="15.5" hidden="1" outlineLevel="1" x14ac:dyDescent="0.35">
      <c r="A58" s="27">
        <f t="shared" si="63"/>
        <v>48</v>
      </c>
      <c r="B58" s="27" t="s">
        <v>283</v>
      </c>
      <c r="C58" s="442" t="s">
        <v>489</v>
      </c>
      <c r="D58" s="9" t="s">
        <v>13</v>
      </c>
      <c r="E58" s="12" t="s">
        <v>12</v>
      </c>
      <c r="F58" s="12" t="s">
        <v>245</v>
      </c>
      <c r="G58" s="12" t="str">
        <f>_xlfn.XLOOKUP(F58,'Quy đổi'!$G$5:$G$32,'Quy đổi'!$H$5:$H$32,0)</f>
        <v>Nội địa</v>
      </c>
      <c r="H58" s="76" t="s">
        <v>98</v>
      </c>
      <c r="I58" s="28" t="s">
        <v>97</v>
      </c>
      <c r="J58" s="13" t="s">
        <v>22</v>
      </c>
      <c r="K58" s="11"/>
      <c r="L58" s="92">
        <f t="shared" ref="L58" si="331">IFERROR(AVERAGE(M58:X58),"-")</f>
        <v>1168.7497142857144</v>
      </c>
      <c r="M58" s="106" t="str">
        <f>IFERROR(SUMIFS('01. KE30'!$K:$K,'01. KE30'!$C:$C,'06. BC BH THEO CUSTOMER-USD'!$D58,'01. KE30'!$F:$F,'06. BC BH THEO CUSTOMER-USD'!$H58,'01. KE30'!$A:$A,'06. BC BH THEO CUSTOMER-USD'!M$4)/'06. BC BH THEO CUSTOMER-USD'!CS58/'02. Tỷ giá'!B$5,"-")</f>
        <v>-</v>
      </c>
      <c r="N58" s="106" t="str">
        <f>IFERROR(SUMIFS('01. KE30'!$K:$K,'01. KE30'!$C:$C,'06. BC BH THEO CUSTOMER-USD'!$D58,'01. KE30'!$F:$F,'06. BC BH THEO CUSTOMER-USD'!$H58,'01. KE30'!$A:$A,'06. BC BH THEO CUSTOMER-USD'!N$4)/'06. BC BH THEO CUSTOMER-USD'!CT58/'02. Tỷ giá'!C$5,"-")</f>
        <v>-</v>
      </c>
      <c r="O58" s="106" t="str">
        <f>IFERROR(SUMIFS('01. KE30'!$K:$K,'01. KE30'!$C:$C,'06. BC BH THEO CUSTOMER-USD'!$D58,'01. KE30'!$F:$F,'06. BC BH THEO CUSTOMER-USD'!$H58,'01. KE30'!$A:$A,'06. BC BH THEO CUSTOMER-USD'!O$4)/'06. BC BH THEO CUSTOMER-USD'!CU58/'02. Tỷ giá'!D$5,"-")</f>
        <v>-</v>
      </c>
      <c r="P58" s="106" t="str">
        <f>IFERROR(SUMIFS('01. KE30'!$K:$K,'01. KE30'!$C:$C,'06. BC BH THEO CUSTOMER-USD'!$D58,'01. KE30'!$F:$F,'06. BC BH THEO CUSTOMER-USD'!$H58,'01. KE30'!$A:$A,'06. BC BH THEO CUSTOMER-USD'!P$4)/'06. BC BH THEO CUSTOMER-USD'!CV58/'02. Tỷ giá'!E$5,"-")</f>
        <v>-</v>
      </c>
      <c r="Q58" s="106" t="str">
        <f>IFERROR(SUMIFS('01. KE30'!$K:$K,'01. KE30'!$C:$C,'06. BC BH THEO CUSTOMER-USD'!$D58,'01. KE30'!$F:$F,'06. BC BH THEO CUSTOMER-USD'!$H58,'01. KE30'!$A:$A,'06. BC BH THEO CUSTOMER-USD'!Q$4)/'06. BC BH THEO CUSTOMER-USD'!CW58/'02. Tỷ giá'!F$5,"-")</f>
        <v>-</v>
      </c>
      <c r="R58" s="106" t="str">
        <f>IFERROR(SUMIFS('01. KE30'!$K:$K,'01. KE30'!$C:$C,'06. BC BH THEO CUSTOMER-USD'!$D58,'01. KE30'!$F:$F,'06. BC BH THEO CUSTOMER-USD'!$H58,'01. KE30'!$A:$A,'06. BC BH THEO CUSTOMER-USD'!R$4)/'06. BC BH THEO CUSTOMER-USD'!CX58/'02. Tỷ giá'!G$5,"-")</f>
        <v>-</v>
      </c>
      <c r="S58" s="106" t="str">
        <f>IFERROR(SUMIFS('01. KE30'!$K:$K,'01. KE30'!$C:$C,'06. BC BH THEO CUSTOMER-USD'!$D58,'01. KE30'!$F:$F,'06. BC BH THEO CUSTOMER-USD'!$H58,'01. KE30'!$A:$A,'06. BC BH THEO CUSTOMER-USD'!S$4)/'06. BC BH THEO CUSTOMER-USD'!CY58/'02. Tỷ giá'!H$5,"-")</f>
        <v>-</v>
      </c>
      <c r="T58" s="106" t="str">
        <f>IFERROR(SUMIFS('01. KE30'!$K:$K,'01. KE30'!$C:$C,'06. BC BH THEO CUSTOMER-USD'!$D58,'01. KE30'!$F:$F,'06. BC BH THEO CUSTOMER-USD'!$H58,'01. KE30'!$A:$A,'06. BC BH THEO CUSTOMER-USD'!T$4)/'06. BC BH THEO CUSTOMER-USD'!CZ58/'02. Tỷ giá'!I$5,"-")</f>
        <v>-</v>
      </c>
      <c r="U58" s="106">
        <f>IFERROR(SUMIFS('01. KE30'!$K:$K,'01. KE30'!$C:$C,'06. BC BH THEO CUSTOMER-USD'!$D58,'01. KE30'!$F:$F,'06. BC BH THEO CUSTOMER-USD'!$H58,'01. KE30'!$A:$A,'06. BC BH THEO CUSTOMER-USD'!U$4)/'06. BC BH THEO CUSTOMER-USD'!DA58/'02. Tỷ giá'!J$5,"-")</f>
        <v>1168.7497142857144</v>
      </c>
      <c r="V58" s="106" t="str">
        <f>IFERROR(SUMIFS('01. KE30'!$K:$K,'01. KE30'!$C:$C,'06. BC BH THEO CUSTOMER-USD'!$D58,'01. KE30'!$F:$F,'06. BC BH THEO CUSTOMER-USD'!$H58,'01. KE30'!$A:$A,'06. BC BH THEO CUSTOMER-USD'!V$4)/'06. BC BH THEO CUSTOMER-USD'!DB58/'02. Tỷ giá'!K$5,"-")</f>
        <v>-</v>
      </c>
      <c r="W58" s="106" t="str">
        <f>IFERROR(SUMIFS('01. KE30'!$K:$K,'01. KE30'!$C:$C,'06. BC BH THEO CUSTOMER-USD'!$D58,'01. KE30'!$F:$F,'06. BC BH THEO CUSTOMER-USD'!$H58,'01. KE30'!$A:$A,'06. BC BH THEO CUSTOMER-USD'!W$4)/'06. BC BH THEO CUSTOMER-USD'!DC58/'02. Tỷ giá'!L$5,"-")</f>
        <v>-</v>
      </c>
      <c r="X58" s="106" t="str">
        <f>IFERROR(SUMIFS('01. KE30'!$K:$K,'01. KE30'!$C:$C,'06. BC BH THEO CUSTOMER-USD'!$D58,'01. KE30'!$F:$F,'06. BC BH THEO CUSTOMER-USD'!$H58,'01. KE30'!$A:$A,'06. BC BH THEO CUSTOMER-USD'!X$4)/'06. BC BH THEO CUSTOMER-USD'!DD58/'02. Tỷ giá'!M$5,"-")</f>
        <v>-</v>
      </c>
      <c r="Z58" s="92">
        <f t="shared" ref="Z58" si="332">IFERROR(AVERAGE(AA58:AL58),"-")</f>
        <v>1168.7497142857144</v>
      </c>
      <c r="AA58" s="147" t="str">
        <f>IFERROR(SUMIFS('01. KE30'!$O:$O,'01. KE30'!$C:$C,'06. BC BH THEO CUSTOMER-USD'!$D58,'01. KE30'!$F:$F,'06. BC BH THEO CUSTOMER-USD'!$H58,'01. KE30'!$A:$A,'06. BC BH THEO CUSTOMER-USD'!M$4)/'06. BC BH THEO CUSTOMER-USD'!CS58/'02. Tỷ giá'!B$5,"-")</f>
        <v>-</v>
      </c>
      <c r="AB58" s="147" t="str">
        <f>IFERROR(SUMIFS('01. KE30'!$O:$O,'01. KE30'!$C:$C,'06. BC BH THEO CUSTOMER-USD'!$D58,'01. KE30'!$F:$F,'06. BC BH THEO CUSTOMER-USD'!$H58,'01. KE30'!$A:$A,'06. BC BH THEO CUSTOMER-USD'!N$4)/'06. BC BH THEO CUSTOMER-USD'!CT58/'02. Tỷ giá'!C$5,"-")</f>
        <v>-</v>
      </c>
      <c r="AC58" s="147" t="str">
        <f>IFERROR(SUMIFS('01. KE30'!$O:$O,'01. KE30'!$C:$C,'06. BC BH THEO CUSTOMER-USD'!$D58,'01. KE30'!$F:$F,'06. BC BH THEO CUSTOMER-USD'!$H58,'01. KE30'!$A:$A,'06. BC BH THEO CUSTOMER-USD'!O$4)/'06. BC BH THEO CUSTOMER-USD'!CU58/'02. Tỷ giá'!D$5,"-")</f>
        <v>-</v>
      </c>
      <c r="AD58" s="147" t="str">
        <f>IFERROR(SUMIFS('01. KE30'!$O:$O,'01. KE30'!$C:$C,'06. BC BH THEO CUSTOMER-USD'!$D58,'01. KE30'!$F:$F,'06. BC BH THEO CUSTOMER-USD'!$H58,'01. KE30'!$A:$A,'06. BC BH THEO CUSTOMER-USD'!P$4)/'06. BC BH THEO CUSTOMER-USD'!CV58/'02. Tỷ giá'!E$5,"-")</f>
        <v>-</v>
      </c>
      <c r="AE58" s="147" t="str">
        <f>IFERROR(SUMIFS('01. KE30'!$O:$O,'01. KE30'!$C:$C,'06. BC BH THEO CUSTOMER-USD'!$D58,'01. KE30'!$F:$F,'06. BC BH THEO CUSTOMER-USD'!$H58,'01. KE30'!$A:$A,'06. BC BH THEO CUSTOMER-USD'!Q$4)/'06. BC BH THEO CUSTOMER-USD'!CW58/'02. Tỷ giá'!F$5,"-")</f>
        <v>-</v>
      </c>
      <c r="AF58" s="147" t="str">
        <f>IFERROR(SUMIFS('01. KE30'!$O:$O,'01. KE30'!$C:$C,'06. BC BH THEO CUSTOMER-USD'!$D58,'01. KE30'!$F:$F,'06. BC BH THEO CUSTOMER-USD'!$H58,'01. KE30'!$A:$A,'06. BC BH THEO CUSTOMER-USD'!R$4)/'06. BC BH THEO CUSTOMER-USD'!CX58/'02. Tỷ giá'!G$5,"-")</f>
        <v>-</v>
      </c>
      <c r="AG58" s="147" t="str">
        <f>IFERROR(SUMIFS('01. KE30'!$O:$O,'01. KE30'!$C:$C,'06. BC BH THEO CUSTOMER-USD'!$D58,'01. KE30'!$F:$F,'06. BC BH THEO CUSTOMER-USD'!$H58,'01. KE30'!$A:$A,'06. BC BH THEO CUSTOMER-USD'!S$4)/'06. BC BH THEO CUSTOMER-USD'!CY58/'02. Tỷ giá'!H$5,"-")</f>
        <v>-</v>
      </c>
      <c r="AH58" s="147" t="str">
        <f>IFERROR(SUMIFS('01. KE30'!$O:$O,'01. KE30'!$C:$C,'06. BC BH THEO CUSTOMER-USD'!$D58,'01. KE30'!$F:$F,'06. BC BH THEO CUSTOMER-USD'!$H58,'01. KE30'!$A:$A,'06. BC BH THEO CUSTOMER-USD'!T$4)/'06. BC BH THEO CUSTOMER-USD'!CZ58/'02. Tỷ giá'!I$5,"-")</f>
        <v>-</v>
      </c>
      <c r="AI58" s="147">
        <f>IFERROR(SUMIFS('01. KE30'!$O:$O,'01. KE30'!$C:$C,'06. BC BH THEO CUSTOMER-USD'!$D58,'01. KE30'!$F:$F,'06. BC BH THEO CUSTOMER-USD'!$H58,'01. KE30'!$A:$A,'06. BC BH THEO CUSTOMER-USD'!U$4)/'06. BC BH THEO CUSTOMER-USD'!DA58/'02. Tỷ giá'!J$5,"-")</f>
        <v>1168.7497142857144</v>
      </c>
      <c r="AJ58" s="147" t="str">
        <f>IFERROR(SUMIFS('01. KE30'!$O:$O,'01. KE30'!$C:$C,'06. BC BH THEO CUSTOMER-USD'!$D58,'01. KE30'!$F:$F,'06. BC BH THEO CUSTOMER-USD'!$H58,'01. KE30'!$A:$A,'06. BC BH THEO CUSTOMER-USD'!V$4)/'06. BC BH THEO CUSTOMER-USD'!DB58/'02. Tỷ giá'!K$5,"-")</f>
        <v>-</v>
      </c>
      <c r="AK58" s="147" t="str">
        <f>IFERROR(SUMIFS('01. KE30'!$O:$O,'01. KE30'!$C:$C,'06. BC BH THEO CUSTOMER-USD'!$D58,'01. KE30'!$F:$F,'06. BC BH THEO CUSTOMER-USD'!$H58,'01. KE30'!$A:$A,'06. BC BH THEO CUSTOMER-USD'!W$4)/'06. BC BH THEO CUSTOMER-USD'!DC58/'02. Tỷ giá'!L$5,"-")</f>
        <v>-</v>
      </c>
      <c r="AL58" s="147" t="str">
        <f>IFERROR(SUMIFS('01. KE30'!$O:$O,'01. KE30'!$C:$C,'06. BC BH THEO CUSTOMER-USD'!$D58,'01. KE30'!$F:$F,'06. BC BH THEO CUSTOMER-USD'!$H58,'01. KE30'!$A:$A,'06. BC BH THEO CUSTOMER-USD'!X$4)/'06. BC BH THEO CUSTOMER-USD'!DD58/'02. Tỷ giá'!M$5,"-")</f>
        <v>-</v>
      </c>
      <c r="AN58" s="92">
        <f t="shared" ref="AN58" si="333">IFERROR(AVERAGE(AO58:AZ58),"-")</f>
        <v>1190</v>
      </c>
      <c r="AO58" s="25"/>
      <c r="AP58" s="25"/>
      <c r="AQ58" s="25"/>
      <c r="AR58" s="25"/>
      <c r="AS58" s="25"/>
      <c r="AT58" s="25"/>
      <c r="AU58" s="25"/>
      <c r="AV58" s="4"/>
      <c r="AW58" s="25">
        <v>1190</v>
      </c>
      <c r="AX58" s="25"/>
      <c r="AY58" s="4"/>
      <c r="AZ58" s="4"/>
      <c r="BB58" s="95">
        <f t="shared" ref="BB58" si="334">IF(L58&lt;&gt;"-",Z58-AN58,"-")</f>
        <v>-21.25028571428561</v>
      </c>
      <c r="BC58" s="95" t="str">
        <f t="shared" ref="BC58" si="335">IF(M58&lt;&gt;"-",AA58-AO58,"-")</f>
        <v>-</v>
      </c>
      <c r="BD58" s="95" t="str">
        <f t="shared" ref="BD58" si="336">IF(N58&lt;&gt;"-",AB58-AP58,"-")</f>
        <v>-</v>
      </c>
      <c r="BE58" s="95" t="str">
        <f t="shared" ref="BE58" si="337">IF(O58&lt;&gt;"-",AC58-AQ58,"-")</f>
        <v>-</v>
      </c>
      <c r="BF58" s="95" t="str">
        <f t="shared" ref="BF58" si="338">IF(P58&lt;&gt;"-",AD58-AR58,"-")</f>
        <v>-</v>
      </c>
      <c r="BG58" s="95" t="str">
        <f t="shared" ref="BG58" si="339">IF(Q58&lt;&gt;"-",AE58-AS58,"-")</f>
        <v>-</v>
      </c>
      <c r="BH58" s="95" t="str">
        <f t="shared" ref="BH58" si="340">IF(R58&lt;&gt;"-",AF58-AT58,"-")</f>
        <v>-</v>
      </c>
      <c r="BI58" s="95" t="str">
        <f t="shared" ref="BI58" si="341">IF(S58&lt;&gt;"-",AG58-AU58,"-")</f>
        <v>-</v>
      </c>
      <c r="BJ58" s="95" t="str">
        <f t="shared" ref="BJ58" si="342">IF(T58&lt;&gt;"-",AH58-AV58,"-")</f>
        <v>-</v>
      </c>
      <c r="BK58" s="95">
        <f t="shared" ref="BK58" si="343">IF(U58&lt;&gt;"-",AI58-AW58,"-")</f>
        <v>-21.25028571428561</v>
      </c>
      <c r="BL58" s="95" t="str">
        <f t="shared" ref="BL58" si="344">IF(V58&lt;&gt;"-",AJ58-AX58,"-")</f>
        <v>-</v>
      </c>
      <c r="BM58" s="95" t="str">
        <f t="shared" ref="BM58" si="345">IF(W58&lt;&gt;"-",AK58-AY58,"-")</f>
        <v>-</v>
      </c>
      <c r="BN58" s="95" t="str">
        <f t="shared" ref="BN58" si="346">IF(X58&lt;&gt;"-",AL58-AZ58,"-")</f>
        <v>-</v>
      </c>
      <c r="BP58" s="143">
        <f t="shared" ref="BP58" si="347">IFERROR(IF(BB58&lt;&gt;"-",BB58/AN58,"-"),"-")</f>
        <v>-1.7857382953181185E-2</v>
      </c>
      <c r="BQ58" s="143" t="str">
        <f t="shared" ref="BQ58" si="348">IFERROR(IF(BC58&lt;&gt;"-",BC58/AO58,"-"),"-")</f>
        <v>-</v>
      </c>
      <c r="BR58" s="143" t="str">
        <f t="shared" ref="BR58" si="349">IFERROR(IF(BD58&lt;&gt;"-",BD58/AP58,"-"),"-")</f>
        <v>-</v>
      </c>
      <c r="BS58" s="143" t="str">
        <f t="shared" ref="BS58" si="350">IFERROR(IF(BE58&lt;&gt;"-",BE58/AQ58,"-"),"-")</f>
        <v>-</v>
      </c>
      <c r="BT58" s="143" t="str">
        <f t="shared" ref="BT58" si="351">IFERROR(IF(BF58&lt;&gt;"-",BF58/AR58,"-"),"-")</f>
        <v>-</v>
      </c>
      <c r="BU58" s="143" t="str">
        <f t="shared" ref="BU58" si="352">IFERROR(IF(BG58&lt;&gt;"-",BG58/AS58,"-"),"-")</f>
        <v>-</v>
      </c>
      <c r="BV58" s="143" t="str">
        <f t="shared" ref="BV58" si="353">IFERROR(IF(BH58&lt;&gt;"-",BH58/AT58,"-"),"-")</f>
        <v>-</v>
      </c>
      <c r="BW58" s="143" t="str">
        <f t="shared" ref="BW58" si="354">IFERROR(IF(BI58&lt;&gt;"-",BI58/AU58,"-"),"-")</f>
        <v>-</v>
      </c>
      <c r="BX58" s="143" t="str">
        <f t="shared" ref="BX58" si="355">IFERROR(IF(BJ58&lt;&gt;"-",BJ58/AV58,"-"),"-")</f>
        <v>-</v>
      </c>
      <c r="BY58" s="143">
        <f t="shared" ref="BY58" si="356">IFERROR(IF(BK58&lt;&gt;"-",BK58/AW58,"-"),"-")</f>
        <v>-1.7857382953181185E-2</v>
      </c>
      <c r="BZ58" s="143" t="str">
        <f t="shared" ref="BZ58" si="357">IFERROR(IF(BL58&lt;&gt;"-",BL58/AX58,"-"),"-")</f>
        <v>-</v>
      </c>
      <c r="CA58" s="143" t="str">
        <f t="shared" ref="CA58" si="358">IFERROR(IF(BM58&lt;&gt;"-",BM58/AY58,"-"),"-")</f>
        <v>-</v>
      </c>
      <c r="CB58" s="143" t="str">
        <f t="shared" ref="CB58" si="359">IFERROR(IF(BN58&lt;&gt;"-",BN58/AZ58,"-"),"-")</f>
        <v>-</v>
      </c>
      <c r="CD58" s="112">
        <f t="shared" ref="CD58" si="360">IFERROR(AVERAGE(CE58:CP58),"-")</f>
        <v>1027.5714862914863</v>
      </c>
      <c r="CE58" s="95" t="str">
        <f>IFERROR(SUMIFS('01. KE30'!$R:$R,'01. KE30'!$C:$C,'06. BC BH THEO CUSTOMER-USD'!$D58,'01. KE30'!$F:$F,'06. BC BH THEO CUSTOMER-USD'!$H58,'01. KE30'!$A:$A,'06. BC BH THEO CUSTOMER-USD'!CE$4)/CS58/'02. Tỷ giá'!B$5," -")</f>
        <v xml:space="preserve"> -</v>
      </c>
      <c r="CF58" s="95" t="str">
        <f>IFERROR(SUMIFS('01. KE30'!$R:$R,'01. KE30'!$C:$C,'06. BC BH THEO CUSTOMER-USD'!$D58,'01. KE30'!$F:$F,'06. BC BH THEO CUSTOMER-USD'!$H58,'01. KE30'!$A:$A,'06. BC BH THEO CUSTOMER-USD'!CF$4)/CT58/'02. Tỷ giá'!C$5," -")</f>
        <v xml:space="preserve"> -</v>
      </c>
      <c r="CG58" s="95" t="str">
        <f>IFERROR(SUMIFS('01. KE30'!$R:$R,'01. KE30'!$C:$C,'06. BC BH THEO CUSTOMER-USD'!$D58,'01. KE30'!$F:$F,'06. BC BH THEO CUSTOMER-USD'!$H58,'01. KE30'!$A:$A,'06. BC BH THEO CUSTOMER-USD'!CG$4)/CU58/'02. Tỷ giá'!D$5," -")</f>
        <v xml:space="preserve"> -</v>
      </c>
      <c r="CH58" s="95" t="str">
        <f>IFERROR(SUMIFS('01. KE30'!$R:$R,'01. KE30'!$C:$C,'06. BC BH THEO CUSTOMER-USD'!$D58,'01. KE30'!$F:$F,'06. BC BH THEO CUSTOMER-USD'!$H58,'01. KE30'!$A:$A,'06. BC BH THEO CUSTOMER-USD'!CH$4)/CV58/'02. Tỷ giá'!E$5," -")</f>
        <v xml:space="preserve"> -</v>
      </c>
      <c r="CI58" s="95" t="str">
        <f>IFERROR(SUMIFS('01. KE30'!$R:$R,'01. KE30'!$C:$C,'06. BC BH THEO CUSTOMER-USD'!$D58,'01. KE30'!$F:$F,'06. BC BH THEO CUSTOMER-USD'!$H58,'01. KE30'!$A:$A,'06. BC BH THEO CUSTOMER-USD'!CI$4)/CW58/'02. Tỷ giá'!F$5," -")</f>
        <v xml:space="preserve"> -</v>
      </c>
      <c r="CJ58" s="95" t="str">
        <f>IFERROR(SUMIFS('01. KE30'!$R:$R,'01. KE30'!$C:$C,'06. BC BH THEO CUSTOMER-USD'!$D58,'01. KE30'!$F:$F,'06. BC BH THEO CUSTOMER-USD'!$H58,'01. KE30'!$A:$A,'06. BC BH THEO CUSTOMER-USD'!CJ$4)/CX58/'02. Tỷ giá'!G$5," -")</f>
        <v xml:space="preserve"> -</v>
      </c>
      <c r="CK58" s="95" t="str">
        <f>IFERROR(SUMIFS('01. KE30'!$R:$R,'01. KE30'!$C:$C,'06. BC BH THEO CUSTOMER-USD'!$D58,'01. KE30'!$F:$F,'06. BC BH THEO CUSTOMER-USD'!$H58,'01. KE30'!$A:$A,'06. BC BH THEO CUSTOMER-USD'!CK$4)/CY58/'02. Tỷ giá'!H$5," -")</f>
        <v xml:space="preserve"> -</v>
      </c>
      <c r="CL58" s="95" t="str">
        <f>IFERROR(SUMIFS('01. KE30'!$R:$R,'01. KE30'!$C:$C,'06. BC BH THEO CUSTOMER-USD'!$D58,'01. KE30'!$F:$F,'06. BC BH THEO CUSTOMER-USD'!$H58,'01. KE30'!$A:$A,'06. BC BH THEO CUSTOMER-USD'!CL$4)/CZ58/'02. Tỷ giá'!I$5," -")</f>
        <v xml:space="preserve"> -</v>
      </c>
      <c r="CM58" s="95">
        <f>IFERROR(SUMIFS('01. KE30'!$R:$R,'01. KE30'!$C:$C,'06. BC BH THEO CUSTOMER-USD'!$D58,'01. KE30'!$F:$F,'06. BC BH THEO CUSTOMER-USD'!$H58,'01. KE30'!$A:$A,'06. BC BH THEO CUSTOMER-USD'!CM$4)/DA58/'02. Tỷ giá'!J$5," -")</f>
        <v>1027.5714862914863</v>
      </c>
      <c r="CN58" s="95" t="str">
        <f>IFERROR(SUMIFS('01. KE30'!$R:$R,'01. KE30'!$C:$C,'06. BC BH THEO CUSTOMER-USD'!$D58,'01. KE30'!$F:$F,'06. BC BH THEO CUSTOMER-USD'!$H58,'01. KE30'!$A:$A,'06. BC BH THEO CUSTOMER-USD'!CN$4)/DB58/'02. Tỷ giá'!K$5," -")</f>
        <v xml:space="preserve"> -</v>
      </c>
      <c r="CO58" s="95" t="str">
        <f>IFERROR(SUMIFS('01. KE30'!$R:$R,'01. KE30'!$C:$C,'06. BC BH THEO CUSTOMER-USD'!$D58,'01. KE30'!$F:$F,'06. BC BH THEO CUSTOMER-USD'!$H58,'01. KE30'!$A:$A,'06. BC BH THEO CUSTOMER-USD'!CO$4)/DC58/'02. Tỷ giá'!L$5," -")</f>
        <v xml:space="preserve"> -</v>
      </c>
      <c r="CP58" s="95" t="str">
        <f>IFERROR(SUMIFS('01. KE30'!$R:$R,'01. KE30'!$C:$C,'06. BC BH THEO CUSTOMER-USD'!$D58,'01. KE30'!$F:$F,'06. BC BH THEO CUSTOMER-USD'!$H58,'01. KE30'!$A:$A,'06. BC BH THEO CUSTOMER-USD'!CP$4)/DD58/'02. Tỷ giá'!M$5," -")</f>
        <v xml:space="preserve"> -</v>
      </c>
      <c r="CR58" s="112">
        <f t="shared" ref="CR58" si="361">SUM(CS58:DD58)</f>
        <v>3.3</v>
      </c>
      <c r="CS58" s="114">
        <f>SUMIFS('01. KE30'!$I:$I,'01. KE30'!$C:$C,'06. BC BH THEO CUSTOMER-USD'!$D58,'01. KE30'!$F:$F,'06. BC BH THEO CUSTOMER-USD'!$H58,'01. KE30'!$A:$A,'06. BC BH THEO CUSTOMER-USD'!CS$4)/1000</f>
        <v>0</v>
      </c>
      <c r="CT58" s="114">
        <f>SUMIFS('01. KE30'!$I:$I,'01. KE30'!$C:$C,'06. BC BH THEO CUSTOMER-USD'!$D58,'01. KE30'!$F:$F,'06. BC BH THEO CUSTOMER-USD'!$H58,'01. KE30'!$A:$A,'06. BC BH THEO CUSTOMER-USD'!CT$4)/1000</f>
        <v>0</v>
      </c>
      <c r="CU58" s="114">
        <f>SUMIFS('01. KE30'!$I:$I,'01. KE30'!$C:$C,'06. BC BH THEO CUSTOMER-USD'!$D58,'01. KE30'!$F:$F,'06. BC BH THEO CUSTOMER-USD'!$H58,'01. KE30'!$A:$A,'06. BC BH THEO CUSTOMER-USD'!CU$4)/1000</f>
        <v>0</v>
      </c>
      <c r="CV58" s="725">
        <f>SUMIFS('01. KE30'!$I:$I,'01. KE30'!$C:$C,'06. BC BH THEO CUSTOMER-USD'!$D58,'01. KE30'!$F:$F,'06. BC BH THEO CUSTOMER-USD'!$H58,'01. KE30'!$A:$A,'06. BC BH THEO CUSTOMER-USD'!CV$4)/1000</f>
        <v>0</v>
      </c>
      <c r="CW58" s="114">
        <f>SUMIFS('01. KE30'!$I:$I,'01. KE30'!$C:$C,'06. BC BH THEO CUSTOMER-USD'!$D58,'01. KE30'!$F:$F,'06. BC BH THEO CUSTOMER-USD'!$H58,'01. KE30'!$A:$A,'06. BC BH THEO CUSTOMER-USD'!CW$4)/1000</f>
        <v>0</v>
      </c>
      <c r="CX58" s="114">
        <f>SUMIFS('01. KE30'!$I:$I,'01. KE30'!$C:$C,'06. BC BH THEO CUSTOMER-USD'!$D58,'01. KE30'!$F:$F,'06. BC BH THEO CUSTOMER-USD'!$H58,'01. KE30'!$A:$A,'06. BC BH THEO CUSTOMER-USD'!CX$4)/1000</f>
        <v>0</v>
      </c>
      <c r="CY58" s="114">
        <f>SUMIFS('01. KE30'!$I:$I,'01. KE30'!$C:$C,'06. BC BH THEO CUSTOMER-USD'!$D58,'01. KE30'!$F:$F,'06. BC BH THEO CUSTOMER-USD'!$H58,'01. KE30'!$A:$A,'06. BC BH THEO CUSTOMER-USD'!CY$4)/1000</f>
        <v>0</v>
      </c>
      <c r="CZ58" s="114">
        <f>SUMIFS('01. KE30'!$I:$I,'01. KE30'!$C:$C,'06. BC BH THEO CUSTOMER-USD'!$D58,'01. KE30'!$F:$F,'06. BC BH THEO CUSTOMER-USD'!$H58,'01. KE30'!$A:$A,'06. BC BH THEO CUSTOMER-USD'!CZ$4)/1000</f>
        <v>0</v>
      </c>
      <c r="DA58" s="114">
        <f>SUMIFS('01. KE30'!$I:$I,'01. KE30'!$C:$C,'06. BC BH THEO CUSTOMER-USD'!$D58,'01. KE30'!$F:$F,'06. BC BH THEO CUSTOMER-USD'!$H58,'01. KE30'!$A:$A,'06. BC BH THEO CUSTOMER-USD'!DA$4)/1000</f>
        <v>3.3</v>
      </c>
      <c r="DB58" s="114">
        <f>SUMIFS('01. KE30'!$I:$I,'01. KE30'!$C:$C,'06. BC BH THEO CUSTOMER-USD'!$D58,'01. KE30'!$F:$F,'06. BC BH THEO CUSTOMER-USD'!$H58,'01. KE30'!$A:$A,'06. BC BH THEO CUSTOMER-USD'!DB$4)/1000</f>
        <v>0</v>
      </c>
      <c r="DC58" s="114">
        <f>SUMIFS('01. KE30'!$I:$I,'01. KE30'!$C:$C,'06. BC BH THEO CUSTOMER-USD'!$D58,'01. KE30'!$F:$F,'06. BC BH THEO CUSTOMER-USD'!$H58,'01. KE30'!$A:$A,'06. BC BH THEO CUSTOMER-USD'!DC$4)/1000</f>
        <v>0</v>
      </c>
      <c r="DD58" s="114">
        <f>SUMIFS('01. KE30'!$I:$I,'01. KE30'!$C:$C,'06. BC BH THEO CUSTOMER-USD'!$D58,'01. KE30'!$F:$F,'06. BC BH THEO CUSTOMER-USD'!$H58,'01. KE30'!$A:$A,'06. BC BH THEO CUSTOMER-USD'!DD$4)/1000</f>
        <v>0</v>
      </c>
      <c r="DF58" s="112">
        <f t="shared" ref="DF58" si="362">SUM(DG58:DR58)</f>
        <v>3856.8740571428571</v>
      </c>
      <c r="DG58" s="54" t="str">
        <f t="shared" ref="DG58" si="363">IFERROR(M58*CS58,"-")</f>
        <v>-</v>
      </c>
      <c r="DH58" s="54" t="str">
        <f t="shared" ref="DH58" si="364">IFERROR(N58*CT58,"-")</f>
        <v>-</v>
      </c>
      <c r="DI58" s="54" t="str">
        <f t="shared" ref="DI58" si="365">IFERROR(O58*CU58,"-")</f>
        <v>-</v>
      </c>
      <c r="DJ58" s="54" t="str">
        <f t="shared" ref="DJ58" si="366">IFERROR(P58*CV58,"-")</f>
        <v>-</v>
      </c>
      <c r="DK58" s="54" t="str">
        <f t="shared" ref="DK58" si="367">IFERROR(Q58*CW58,"-")</f>
        <v>-</v>
      </c>
      <c r="DL58" s="54" t="str">
        <f t="shared" ref="DL58" si="368">IFERROR(R58*CX58,"-")</f>
        <v>-</v>
      </c>
      <c r="DM58" s="54" t="str">
        <f t="shared" ref="DM58" si="369">IFERROR(S58*CY58,"-")</f>
        <v>-</v>
      </c>
      <c r="DN58" s="54" t="str">
        <f t="shared" ref="DN58" si="370">IFERROR(T58*CZ58,"-")</f>
        <v>-</v>
      </c>
      <c r="DO58" s="54">
        <f t="shared" ref="DO58" si="371">IFERROR(U58*DA58,"-")</f>
        <v>3856.8740571428571</v>
      </c>
      <c r="DP58" s="54" t="str">
        <f t="shared" ref="DP58" si="372">IFERROR(V58*DB58,"-")</f>
        <v>-</v>
      </c>
      <c r="DQ58" s="54" t="str">
        <f t="shared" ref="DQ58" si="373">IFERROR(W58*DC58,"-")</f>
        <v>-</v>
      </c>
      <c r="DR58" s="54" t="str">
        <f t="shared" ref="DR58" si="374">IFERROR(X58*DD58,"-")</f>
        <v>-</v>
      </c>
      <c r="DT58" s="112">
        <f t="shared" ref="DT58" si="375">SUM(DU58:EF58)</f>
        <v>465.88815238095231</v>
      </c>
      <c r="DU58" s="114">
        <f>IFERROR(SUMIFS('01. KE30'!$X:$X,'01. KE30'!$C:$C,'06. BC BH THEO CUSTOMER-USD'!$D58,'01. KE30'!$F:$F,'06. BC BH THEO CUSTOMER-USD'!$H58,'01. KE30'!$A:$A,'06. BC BH THEO CUSTOMER-USD'!DU$4)-SUMIFS('01. KE30'!$AA:$AA,'01. KE30'!$C:$C,'06. BC BH THEO CUSTOMER-USD'!$D58,'01. KE30'!$F:$F,'06. BC BH THEO CUSTOMER-USD'!$H58,'01. KE30'!$A:$A,'06. BC BH THEO CUSTOMER-USD'!DU$4),"-")</f>
        <v>0</v>
      </c>
      <c r="DV58" s="114">
        <f>IFERROR(SUMIFS('01. KE30'!$X:$X,'01. KE30'!$C:$C,'06. BC BH THEO CUSTOMER-USD'!$D58,'01. KE30'!$F:$F,'06. BC BH THEO CUSTOMER-USD'!$H58,'01. KE30'!$A:$A,'06. BC BH THEO CUSTOMER-USD'!DV$4)-SUMIFS('01. KE30'!$AA:$AA,'01. KE30'!$C:$C,'06. BC BH THEO CUSTOMER-USD'!$D58,'01. KE30'!$F:$F,'06. BC BH THEO CUSTOMER-USD'!$H58,'01. KE30'!$A:$A,'06. BC BH THEO CUSTOMER-USD'!DV$4),"-")</f>
        <v>0</v>
      </c>
      <c r="DW58" s="114">
        <f>IFERROR(SUMIFS('01. KE30'!$X:$X,'01. KE30'!$C:$C,'06. BC BH THEO CUSTOMER-USD'!$D58,'01. KE30'!$F:$F,'06. BC BH THEO CUSTOMER-USD'!$H58,'01. KE30'!$A:$A,'06. BC BH THEO CUSTOMER-USD'!DW$4)-SUMIFS('01. KE30'!$AA:$AA,'01. KE30'!$C:$C,'06. BC BH THEO CUSTOMER-USD'!$D58,'01. KE30'!$F:$F,'06. BC BH THEO CUSTOMER-USD'!$H58,'01. KE30'!$A:$A,'06. BC BH THEO CUSTOMER-USD'!DW$4),"-")</f>
        <v>0</v>
      </c>
      <c r="DX58" s="114">
        <f>IFERROR(SUMIFS('01. KE30'!$X:$X,'01. KE30'!$C:$C,'06. BC BH THEO CUSTOMER-USD'!$D58,'01. KE30'!$F:$F,'06. BC BH THEO CUSTOMER-USD'!$H58,'01. KE30'!$A:$A,'06. BC BH THEO CUSTOMER-USD'!DX$4)-SUMIFS('01. KE30'!$AA:$AA,'01. KE30'!$C:$C,'06. BC BH THEO CUSTOMER-USD'!$D58,'01. KE30'!$F:$F,'06. BC BH THEO CUSTOMER-USD'!$H58,'01. KE30'!$A:$A,'06. BC BH THEO CUSTOMER-USD'!DX$4),"-")</f>
        <v>0</v>
      </c>
      <c r="DY58" s="114">
        <f>IFERROR(SUMIFS('01. KE30'!$X:$X,'01. KE30'!$C:$C,'06. BC BH THEO CUSTOMER-USD'!$D58,'01. KE30'!$F:$F,'06. BC BH THEO CUSTOMER-USD'!$H58,'01. KE30'!$A:$A,'06. BC BH THEO CUSTOMER-USD'!DY$4)-SUMIFS('01. KE30'!$AA:$AA,'01. KE30'!$C:$C,'06. BC BH THEO CUSTOMER-USD'!$D58,'01. KE30'!$F:$F,'06. BC BH THEO CUSTOMER-USD'!$H58,'01. KE30'!$A:$A,'06. BC BH THEO CUSTOMER-USD'!DY$4),"-")</f>
        <v>0</v>
      </c>
      <c r="DZ58" s="114">
        <f>IFERROR(SUMIFS('01. KE30'!$X:$X,'01. KE30'!$C:$C,'06. BC BH THEO CUSTOMER-USD'!$D58,'01. KE30'!$F:$F,'06. BC BH THEO CUSTOMER-USD'!$H58,'01. KE30'!$A:$A,'06. BC BH THEO CUSTOMER-USD'!DZ$4)-SUMIFS('01. KE30'!$AA:$AA,'01. KE30'!$C:$C,'06. BC BH THEO CUSTOMER-USD'!$D58,'01. KE30'!$F:$F,'06. BC BH THEO CUSTOMER-USD'!$H58,'01. KE30'!$A:$A,'06. BC BH THEO CUSTOMER-USD'!DZ$4),"-")</f>
        <v>0</v>
      </c>
      <c r="EA58" s="114">
        <f>IFERROR(SUMIFS('01. KE30'!$X:$X,'01. KE30'!$C:$C,'06. BC BH THEO CUSTOMER-USD'!$D58,'01. KE30'!$F:$F,'06. BC BH THEO CUSTOMER-USD'!$H58,'01. KE30'!$A:$A,'06. BC BH THEO CUSTOMER-USD'!EA$4)-SUMIFS('01. KE30'!$AA:$AA,'01. KE30'!$C:$C,'06. BC BH THEO CUSTOMER-USD'!$D58,'01. KE30'!$F:$F,'06. BC BH THEO CUSTOMER-USD'!$H58,'01. KE30'!$A:$A,'06. BC BH THEO CUSTOMER-USD'!EA$4),"-")</f>
        <v>0</v>
      </c>
      <c r="EB58" s="114">
        <f>IFERROR(SUMIFS('01. KE30'!$X:$X,'01. KE30'!$C:$C,'06. BC BH THEO CUSTOMER-USD'!$D58,'01. KE30'!$F:$F,'06. BC BH THEO CUSTOMER-USD'!$H58,'01. KE30'!$A:$A,'06. BC BH THEO CUSTOMER-USD'!EB$4)-SUMIFS('01. KE30'!$AA:$AA,'01. KE30'!$C:$C,'06. BC BH THEO CUSTOMER-USD'!$D58,'01. KE30'!$F:$F,'06. BC BH THEO CUSTOMER-USD'!$H58,'01. KE30'!$A:$A,'06. BC BH THEO CUSTOMER-USD'!EB$4),"-")</f>
        <v>0</v>
      </c>
      <c r="EC58" s="114">
        <f>IFERROR(SUMIFS('01. KE30'!$X:$X,'01. KE30'!$C:$C,'06. BC BH THEO CUSTOMER-USD'!$D58,'01. KE30'!$F:$F,'06. BC BH THEO CUSTOMER-USD'!$H58,'01. KE30'!$A:$A,'06. BC BH THEO CUSTOMER-USD'!EC$4)-SUMIFS('01. KE30'!$AA:$AA,'01. KE30'!$C:$C,'06. BC BH THEO CUSTOMER-USD'!$D58,'01. KE30'!$F:$F,'06. BC BH THEO CUSTOMER-USD'!$H58,'01. KE30'!$A:$A,'06. BC BH THEO CUSTOMER-USD'!EC$4),"-")</f>
        <v>465.88815238095231</v>
      </c>
      <c r="ED58" s="114">
        <f>IFERROR(SUMIFS('01. KE30'!$X:$X,'01. KE30'!$C:$C,'06. BC BH THEO CUSTOMER-USD'!$D58,'01. KE30'!$F:$F,'06. BC BH THEO CUSTOMER-USD'!$H58,'01. KE30'!$A:$A,'06. BC BH THEO CUSTOMER-USD'!ED$4)-SUMIFS('01. KE30'!$AA:$AA,'01. KE30'!$C:$C,'06. BC BH THEO CUSTOMER-USD'!$D58,'01. KE30'!$F:$F,'06. BC BH THEO CUSTOMER-USD'!$H58,'01. KE30'!$A:$A,'06. BC BH THEO CUSTOMER-USD'!ED$4),"-")</f>
        <v>0</v>
      </c>
      <c r="EE58" s="114">
        <f>IFERROR(SUMIFS('01. KE30'!$X:$X,'01. KE30'!$C:$C,'06. BC BH THEO CUSTOMER-USD'!$D58,'01. KE30'!$F:$F,'06. BC BH THEO CUSTOMER-USD'!$H58,'01. KE30'!$A:$A,'06. BC BH THEO CUSTOMER-USD'!EE$4)-SUMIFS('01. KE30'!$AA:$AA,'01. KE30'!$C:$C,'06. BC BH THEO CUSTOMER-USD'!$D58,'01. KE30'!$F:$F,'06. BC BH THEO CUSTOMER-USD'!$H58,'01. KE30'!$A:$A,'06. BC BH THEO CUSTOMER-USD'!EE$4),"-")</f>
        <v>0</v>
      </c>
      <c r="EF58" s="114">
        <f>IFERROR(SUMIFS('01. KE30'!$X:$X,'01. KE30'!$C:$C,'06. BC BH THEO CUSTOMER-USD'!$D58,'01. KE30'!$F:$F,'06. BC BH THEO CUSTOMER-USD'!$H58,'01. KE30'!$A:$A,'06. BC BH THEO CUSTOMER-USD'!EF$4)-SUMIFS('01. KE30'!$AA:$AA,'01. KE30'!$C:$C,'06. BC BH THEO CUSTOMER-USD'!$D58,'01. KE30'!$F:$F,'06. BC BH THEO CUSTOMER-USD'!$H58,'01. KE30'!$A:$A,'06. BC BH THEO CUSTOMER-USD'!EF$4),"-")</f>
        <v>0</v>
      </c>
      <c r="EH58" s="571">
        <f t="shared" ref="EH58" si="376">IFERROR(DT58/DF58,"-")</f>
        <v>0.12079423529999284</v>
      </c>
      <c r="EI58" s="572" t="str">
        <f t="shared" ref="EI58" si="377">IFERROR(DU58/DG58,"-")</f>
        <v>-</v>
      </c>
      <c r="EJ58" s="572" t="str">
        <f t="shared" ref="EJ58" si="378">IFERROR(DV58/DH58,"-")</f>
        <v>-</v>
      </c>
      <c r="EK58" s="572" t="str">
        <f t="shared" ref="EK58" si="379">IFERROR(DW58/DI58,"-")</f>
        <v>-</v>
      </c>
      <c r="EL58" s="572" t="str">
        <f t="shared" ref="EL58" si="380">IFERROR(DX58/DJ58,"-")</f>
        <v>-</v>
      </c>
      <c r="EM58" s="572" t="str">
        <f t="shared" ref="EM58" si="381">IFERROR(DY58/DK58,"-")</f>
        <v>-</v>
      </c>
      <c r="EN58" s="572" t="str">
        <f t="shared" ref="EN58" si="382">IFERROR(DZ58/DL58,"-")</f>
        <v>-</v>
      </c>
      <c r="EO58" s="572" t="str">
        <f t="shared" ref="EO58" si="383">IFERROR(EA58/DM58,"-")</f>
        <v>-</v>
      </c>
      <c r="EP58" s="572" t="str">
        <f t="shared" ref="EP58" si="384">IFERROR(EB58/DN58,"-")</f>
        <v>-</v>
      </c>
      <c r="EQ58" s="572">
        <f t="shared" ref="EQ58" si="385">IFERROR(EC58/DO58,"-")</f>
        <v>0.12079423529999284</v>
      </c>
      <c r="ER58" s="572" t="str">
        <f t="shared" ref="ER58" si="386">IFERROR(ED58/DP58,"-")</f>
        <v>-</v>
      </c>
      <c r="ES58" s="572" t="str">
        <f t="shared" ref="ES58" si="387">IFERROR(EE58/DQ58,"-")</f>
        <v>-</v>
      </c>
      <c r="ET58" s="572" t="str">
        <f t="shared" ref="ET58" si="388">IFERROR(EF58/DR58,"-")</f>
        <v>-</v>
      </c>
    </row>
    <row r="59" spans="1:150" ht="15.5" hidden="1" outlineLevel="1" x14ac:dyDescent="0.35">
      <c r="A59" s="27">
        <f>A57+1</f>
        <v>48</v>
      </c>
      <c r="B59" s="27" t="s">
        <v>283</v>
      </c>
      <c r="C59" s="442" t="s">
        <v>489</v>
      </c>
      <c r="D59" s="9" t="s">
        <v>142</v>
      </c>
      <c r="E59" s="12" t="s">
        <v>141</v>
      </c>
      <c r="F59" s="12" t="s">
        <v>175</v>
      </c>
      <c r="G59" s="12" t="str">
        <f>_xlfn.XLOOKUP(F59,'Quy đổi'!$G$5:$G$32,'Quy đổi'!$H$5:$H$32,0)</f>
        <v>Bắc Mỹ</v>
      </c>
      <c r="H59" s="76" t="s">
        <v>100</v>
      </c>
      <c r="I59" s="28" t="s">
        <v>99</v>
      </c>
      <c r="J59" s="13" t="s">
        <v>26</v>
      </c>
      <c r="K59" s="11" t="s">
        <v>90</v>
      </c>
      <c r="L59" s="92">
        <f t="shared" si="42"/>
        <v>1360.0292947805574</v>
      </c>
      <c r="M59" s="106" t="str">
        <f>IFERROR(SUMIFS('01. KE30'!$K:$K,'01. KE30'!$C:$C,'06. BC BH THEO CUSTOMER-USD'!$D59,'01. KE30'!$F:$F,'06. BC BH THEO CUSTOMER-USD'!$H59,'01. KE30'!$A:$A,'06. BC BH THEO CUSTOMER-USD'!M$4)/'06. BC BH THEO CUSTOMER-USD'!CS59/'02. Tỷ giá'!B$5,"-")</f>
        <v>-</v>
      </c>
      <c r="N59" s="106" t="str">
        <f>IFERROR(SUMIFS('01. KE30'!$K:$K,'01. KE30'!$C:$C,'06. BC BH THEO CUSTOMER-USD'!$D59,'01. KE30'!$F:$F,'06. BC BH THEO CUSTOMER-USD'!$H59,'01. KE30'!$A:$A,'06. BC BH THEO CUSTOMER-USD'!N$4)/'06. BC BH THEO CUSTOMER-USD'!CT59/'02. Tỷ giá'!C$5,"-")</f>
        <v>-</v>
      </c>
      <c r="O59" s="106" t="str">
        <f>IFERROR(SUMIFS('01. KE30'!$K:$K,'01. KE30'!$C:$C,'06. BC BH THEO CUSTOMER-USD'!$D59,'01. KE30'!$F:$F,'06. BC BH THEO CUSTOMER-USD'!$H59,'01. KE30'!$A:$A,'06. BC BH THEO CUSTOMER-USD'!O$4)/'06. BC BH THEO CUSTOMER-USD'!CU59/'02. Tỷ giá'!D$5,"-")</f>
        <v>-</v>
      </c>
      <c r="P59" s="106" t="str">
        <f>IFERROR(SUMIFS('01. KE30'!$K:$K,'01. KE30'!$C:$C,'06. BC BH THEO CUSTOMER-USD'!$D59,'01. KE30'!$F:$F,'06. BC BH THEO CUSTOMER-USD'!$H59,'01. KE30'!$A:$A,'06. BC BH THEO CUSTOMER-USD'!P$4)/'06. BC BH THEO CUSTOMER-USD'!CV59/'02. Tỷ giá'!E$5,"-")</f>
        <v>-</v>
      </c>
      <c r="Q59" s="106">
        <f>IFERROR(SUMIFS('01. KE30'!$K:$K,'01. KE30'!$C:$C,'06. BC BH THEO CUSTOMER-USD'!$D59,'01. KE30'!$F:$F,'06. BC BH THEO CUSTOMER-USD'!$H59,'01. KE30'!$A:$A,'06. BC BH THEO CUSTOMER-USD'!Q$4)/'06. BC BH THEO CUSTOMER-USD'!CW59/'02. Tỷ giá'!F$5,"-")</f>
        <v>1375.7308584686775</v>
      </c>
      <c r="R59" s="106" t="str">
        <f>IFERROR(SUMIFS('01. KE30'!$K:$K,'01. KE30'!$C:$C,'06. BC BH THEO CUSTOMER-USD'!$D59,'01. KE30'!$F:$F,'06. BC BH THEO CUSTOMER-USD'!$H59,'01. KE30'!$A:$A,'06. BC BH THEO CUSTOMER-USD'!R$4)/'06. BC BH THEO CUSTOMER-USD'!CX59/'02. Tỷ giá'!G$5,"-")</f>
        <v>-</v>
      </c>
      <c r="S59" s="106" t="str">
        <f>IFERROR(SUMIFS('01. KE30'!$K:$K,'01. KE30'!$C:$C,'06. BC BH THEO CUSTOMER-USD'!$D59,'01. KE30'!$F:$F,'06. BC BH THEO CUSTOMER-USD'!$H59,'01. KE30'!$A:$A,'06. BC BH THEO CUSTOMER-USD'!S$4)/'06. BC BH THEO CUSTOMER-USD'!CY59/'02. Tỷ giá'!H$5,"-")</f>
        <v>-</v>
      </c>
      <c r="T59" s="106">
        <f>IFERROR(SUMIFS('01. KE30'!$K:$K,'01. KE30'!$C:$C,'06. BC BH THEO CUSTOMER-USD'!$D59,'01. KE30'!$F:$F,'06. BC BH THEO CUSTOMER-USD'!$H59,'01. KE30'!$A:$A,'06. BC BH THEO CUSTOMER-USD'!T$4)/'06. BC BH THEO CUSTOMER-USD'!CZ59/'02. Tỷ giá'!I$5,"-")</f>
        <v>1344.327731092437</v>
      </c>
      <c r="U59" s="106" t="str">
        <f>IFERROR(SUMIFS('01. KE30'!$K:$K,'01. KE30'!$C:$C,'06. BC BH THEO CUSTOMER-USD'!$D59,'01. KE30'!$F:$F,'06. BC BH THEO CUSTOMER-USD'!$H59,'01. KE30'!$A:$A,'06. BC BH THEO CUSTOMER-USD'!U$4)/'06. BC BH THEO CUSTOMER-USD'!DA59/'02. Tỷ giá'!J$5,"-")</f>
        <v>-</v>
      </c>
      <c r="V59" s="106" t="str">
        <f>IFERROR(SUMIFS('01. KE30'!$K:$K,'01. KE30'!$C:$C,'06. BC BH THEO CUSTOMER-USD'!$D59,'01. KE30'!$F:$F,'06. BC BH THEO CUSTOMER-USD'!$H59,'01. KE30'!$A:$A,'06. BC BH THEO CUSTOMER-USD'!V$4)/'06. BC BH THEO CUSTOMER-USD'!DB59/'02. Tỷ giá'!K$5,"-")</f>
        <v>-</v>
      </c>
      <c r="W59" s="106" t="str">
        <f>IFERROR(SUMIFS('01. KE30'!$K:$K,'01. KE30'!$C:$C,'06. BC BH THEO CUSTOMER-USD'!$D59,'01. KE30'!$F:$F,'06. BC BH THEO CUSTOMER-USD'!$H59,'01. KE30'!$A:$A,'06. BC BH THEO CUSTOMER-USD'!W$4)/'06. BC BH THEO CUSTOMER-USD'!DC59/'02. Tỷ giá'!L$5,"-")</f>
        <v>-</v>
      </c>
      <c r="X59" s="106" t="str">
        <f>IFERROR(SUMIFS('01. KE30'!$K:$K,'01. KE30'!$C:$C,'06. BC BH THEO CUSTOMER-USD'!$D59,'01. KE30'!$F:$F,'06. BC BH THEO CUSTOMER-USD'!$H59,'01. KE30'!$A:$A,'06. BC BH THEO CUSTOMER-USD'!X$4)/'06. BC BH THEO CUSTOMER-USD'!DD59/'02. Tỷ giá'!M$5,"-")</f>
        <v>-</v>
      </c>
      <c r="Z59" s="92">
        <f t="shared" si="43"/>
        <v>1264.8826062926946</v>
      </c>
      <c r="AA59" s="147" t="str">
        <f>IFERROR(SUMIFS('01. KE30'!$O:$O,'01. KE30'!$C:$C,'06. BC BH THEO CUSTOMER-USD'!$D59,'01. KE30'!$F:$F,'06. BC BH THEO CUSTOMER-USD'!$H59,'01. KE30'!$A:$A,'06. BC BH THEO CUSTOMER-USD'!M$4)/'06. BC BH THEO CUSTOMER-USD'!CS59/'02. Tỷ giá'!B$5,"-")</f>
        <v>-</v>
      </c>
      <c r="AB59" s="147" t="str">
        <f>IFERROR(SUMIFS('01. KE30'!$O:$O,'01. KE30'!$C:$C,'06. BC BH THEO CUSTOMER-USD'!$D59,'01. KE30'!$F:$F,'06. BC BH THEO CUSTOMER-USD'!$H59,'01. KE30'!$A:$A,'06. BC BH THEO CUSTOMER-USD'!N$4)/'06. BC BH THEO CUSTOMER-USD'!CT59/'02. Tỷ giá'!C$5,"-")</f>
        <v>-</v>
      </c>
      <c r="AC59" s="147" t="str">
        <f>IFERROR(SUMIFS('01. KE30'!$O:$O,'01. KE30'!$C:$C,'06. BC BH THEO CUSTOMER-USD'!$D59,'01. KE30'!$F:$F,'06. BC BH THEO CUSTOMER-USD'!$H59,'01. KE30'!$A:$A,'06. BC BH THEO CUSTOMER-USD'!O$4)/'06. BC BH THEO CUSTOMER-USD'!CU59/'02. Tỷ giá'!D$5,"-")</f>
        <v>-</v>
      </c>
      <c r="AD59" s="147" t="str">
        <f>IFERROR(SUMIFS('01. KE30'!$O:$O,'01. KE30'!$C:$C,'06. BC BH THEO CUSTOMER-USD'!$D59,'01. KE30'!$F:$F,'06. BC BH THEO CUSTOMER-USD'!$H59,'01. KE30'!$A:$A,'06. BC BH THEO CUSTOMER-USD'!P$4)/'06. BC BH THEO CUSTOMER-USD'!CV59/'02. Tỷ giá'!E$5,"-")</f>
        <v>-</v>
      </c>
      <c r="AE59" s="147">
        <f>IFERROR(SUMIFS('01. KE30'!$O:$O,'01. KE30'!$C:$C,'06. BC BH THEO CUSTOMER-USD'!$D59,'01. KE30'!$F:$F,'06. BC BH THEO CUSTOMER-USD'!$H59,'01. KE30'!$A:$A,'06. BC BH THEO CUSTOMER-USD'!Q$4)/'06. BC BH THEO CUSTOMER-USD'!CW59/'02. Tỷ giá'!F$5,"-")</f>
        <v>1290.9502098074183</v>
      </c>
      <c r="AF59" s="147" t="str">
        <f>IFERROR(SUMIFS('01. KE30'!$O:$O,'01. KE30'!$C:$C,'06. BC BH THEO CUSTOMER-USD'!$D59,'01. KE30'!$F:$F,'06. BC BH THEO CUSTOMER-USD'!$H59,'01. KE30'!$A:$A,'06. BC BH THEO CUSTOMER-USD'!R$4)/'06. BC BH THEO CUSTOMER-USD'!CX59/'02. Tỷ giá'!G$5,"-")</f>
        <v>-</v>
      </c>
      <c r="AG59" s="147" t="str">
        <f>IFERROR(SUMIFS('01. KE30'!$O:$O,'01. KE30'!$C:$C,'06. BC BH THEO CUSTOMER-USD'!$D59,'01. KE30'!$F:$F,'06. BC BH THEO CUSTOMER-USD'!$H59,'01. KE30'!$A:$A,'06. BC BH THEO CUSTOMER-USD'!S$4)/'06. BC BH THEO CUSTOMER-USD'!CY59/'02. Tỷ giá'!H$5,"-")</f>
        <v>-</v>
      </c>
      <c r="AH59" s="147">
        <f>IFERROR(SUMIFS('01. KE30'!$O:$O,'01. KE30'!$C:$C,'06. BC BH THEO CUSTOMER-USD'!$D59,'01. KE30'!$F:$F,'06. BC BH THEO CUSTOMER-USD'!$H59,'01. KE30'!$A:$A,'06. BC BH THEO CUSTOMER-USD'!T$4)/'06. BC BH THEO CUSTOMER-USD'!CZ59/'02. Tỷ giá'!I$5,"-")</f>
        <v>1238.8150027779707</v>
      </c>
      <c r="AI59" s="147" t="str">
        <f>IFERROR(SUMIFS('01. KE30'!$O:$O,'01. KE30'!$C:$C,'06. BC BH THEO CUSTOMER-USD'!$D59,'01. KE30'!$F:$F,'06. BC BH THEO CUSTOMER-USD'!$H59,'01. KE30'!$A:$A,'06. BC BH THEO CUSTOMER-USD'!U$4)/'06. BC BH THEO CUSTOMER-USD'!DA59/'02. Tỷ giá'!J$5,"-")</f>
        <v>-</v>
      </c>
      <c r="AJ59" s="147" t="str">
        <f>IFERROR(SUMIFS('01. KE30'!$O:$O,'01. KE30'!$C:$C,'06. BC BH THEO CUSTOMER-USD'!$D59,'01. KE30'!$F:$F,'06. BC BH THEO CUSTOMER-USD'!$H59,'01. KE30'!$A:$A,'06. BC BH THEO CUSTOMER-USD'!V$4)/'06. BC BH THEO CUSTOMER-USD'!DB59/'02. Tỷ giá'!K$5,"-")</f>
        <v>-</v>
      </c>
      <c r="AK59" s="147" t="str">
        <f>IFERROR(SUMIFS('01. KE30'!$O:$O,'01. KE30'!$C:$C,'06. BC BH THEO CUSTOMER-USD'!$D59,'01. KE30'!$F:$F,'06. BC BH THEO CUSTOMER-USD'!$H59,'01. KE30'!$A:$A,'06. BC BH THEO CUSTOMER-USD'!W$4)/'06. BC BH THEO CUSTOMER-USD'!DC59/'02. Tỷ giá'!L$5,"-")</f>
        <v>-</v>
      </c>
      <c r="AL59" s="147" t="str">
        <f>IFERROR(SUMIFS('01. KE30'!$O:$O,'01. KE30'!$C:$C,'06. BC BH THEO CUSTOMER-USD'!$D59,'01. KE30'!$F:$F,'06. BC BH THEO CUSTOMER-USD'!$H59,'01. KE30'!$A:$A,'06. BC BH THEO CUSTOMER-USD'!X$4)/'06. BC BH THEO CUSTOMER-USD'!DD59/'02. Tỷ giá'!M$5,"-")</f>
        <v>-</v>
      </c>
      <c r="AN59" s="92">
        <f t="shared" si="44"/>
        <v>1266.6666666666667</v>
      </c>
      <c r="AO59" s="25">
        <v>1260</v>
      </c>
      <c r="AP59" s="25">
        <v>1260</v>
      </c>
      <c r="AQ59" s="25">
        <v>1260</v>
      </c>
      <c r="AR59" s="4">
        <f t="shared" si="330"/>
        <v>1280</v>
      </c>
      <c r="AS59" s="4">
        <v>1280</v>
      </c>
      <c r="AT59" s="4">
        <v>1280</v>
      </c>
      <c r="AU59" s="4">
        <v>1280</v>
      </c>
      <c r="AV59" s="4">
        <f t="shared" si="205"/>
        <v>1250</v>
      </c>
      <c r="AW59" s="25">
        <v>1250</v>
      </c>
      <c r="AX59" s="25"/>
      <c r="AY59" s="4"/>
      <c r="AZ59" s="4"/>
      <c r="BB59" s="95">
        <f t="shared" si="45"/>
        <v>-1.7840603739721246</v>
      </c>
      <c r="BC59" s="95" t="str">
        <f t="shared" si="206"/>
        <v>-</v>
      </c>
      <c r="BD59" s="95" t="str">
        <f t="shared" ref="BD59:BN77" si="389">IF(N59&lt;&gt;"-",AB59-AP59,"-")</f>
        <v>-</v>
      </c>
      <c r="BE59" s="95" t="str">
        <f t="shared" si="389"/>
        <v>-</v>
      </c>
      <c r="BF59" s="95" t="str">
        <f t="shared" si="389"/>
        <v>-</v>
      </c>
      <c r="BG59" s="95">
        <f t="shared" si="389"/>
        <v>10.950209807418332</v>
      </c>
      <c r="BH59" s="95" t="str">
        <f t="shared" si="389"/>
        <v>-</v>
      </c>
      <c r="BI59" s="95" t="str">
        <f t="shared" si="389"/>
        <v>-</v>
      </c>
      <c r="BJ59" s="95">
        <f t="shared" si="389"/>
        <v>-11.184997222029324</v>
      </c>
      <c r="BK59" s="95" t="str">
        <f t="shared" si="389"/>
        <v>-</v>
      </c>
      <c r="BL59" s="95" t="str">
        <f t="shared" si="389"/>
        <v>-</v>
      </c>
      <c r="BM59" s="95" t="str">
        <f t="shared" si="389"/>
        <v>-</v>
      </c>
      <c r="BN59" s="95" t="str">
        <f t="shared" si="389"/>
        <v>-</v>
      </c>
      <c r="BP59" s="143">
        <f t="shared" si="47"/>
        <v>-1.4084687162937825E-3</v>
      </c>
      <c r="BQ59" s="143" t="str">
        <f t="shared" si="202"/>
        <v>-</v>
      </c>
      <c r="BR59" s="143" t="str">
        <f t="shared" si="9"/>
        <v>-</v>
      </c>
      <c r="BS59" s="143" t="str">
        <f t="shared" si="10"/>
        <v>-</v>
      </c>
      <c r="BT59" s="143" t="str">
        <f t="shared" si="11"/>
        <v>-</v>
      </c>
      <c r="BU59" s="143">
        <f t="shared" si="12"/>
        <v>8.5548514120455717E-3</v>
      </c>
      <c r="BV59" s="143" t="str">
        <f t="shared" si="13"/>
        <v>-</v>
      </c>
      <c r="BW59" s="143" t="str">
        <f t="shared" si="14"/>
        <v>-</v>
      </c>
      <c r="BX59" s="143">
        <f t="shared" si="15"/>
        <v>-8.9479977776234596E-3</v>
      </c>
      <c r="BY59" s="143" t="str">
        <f t="shared" si="16"/>
        <v>-</v>
      </c>
      <c r="BZ59" s="143" t="str">
        <f t="shared" si="17"/>
        <v>-</v>
      </c>
      <c r="CA59" s="143" t="str">
        <f t="shared" si="18"/>
        <v>-</v>
      </c>
      <c r="CB59" s="143" t="str">
        <f t="shared" si="19"/>
        <v>-</v>
      </c>
      <c r="CD59" s="112">
        <f t="shared" si="25"/>
        <v>1001.697925350175</v>
      </c>
      <c r="CE59" s="95" t="str">
        <f>IFERROR(SUMIFS('01. KE30'!$R:$R,'01. KE30'!$C:$C,'06. BC BH THEO CUSTOMER-USD'!$D59,'01. KE30'!$F:$F,'06. BC BH THEO CUSTOMER-USD'!$H59,'01. KE30'!$A:$A,'06. BC BH THEO CUSTOMER-USD'!CE$4)/CS59/'02. Tỷ giá'!B$5," -")</f>
        <v xml:space="preserve"> -</v>
      </c>
      <c r="CF59" s="95" t="str">
        <f>IFERROR(SUMIFS('01. KE30'!$R:$R,'01. KE30'!$C:$C,'06. BC BH THEO CUSTOMER-USD'!$D59,'01. KE30'!$F:$F,'06. BC BH THEO CUSTOMER-USD'!$H59,'01. KE30'!$A:$A,'06. BC BH THEO CUSTOMER-USD'!CF$4)/CT59/'02. Tỷ giá'!C$5," -")</f>
        <v xml:space="preserve"> -</v>
      </c>
      <c r="CG59" s="95" t="str">
        <f>IFERROR(SUMIFS('01. KE30'!$R:$R,'01. KE30'!$C:$C,'06. BC BH THEO CUSTOMER-USD'!$D59,'01. KE30'!$F:$F,'06. BC BH THEO CUSTOMER-USD'!$H59,'01. KE30'!$A:$A,'06. BC BH THEO CUSTOMER-USD'!CG$4)/CU59/'02. Tỷ giá'!D$5," -")</f>
        <v xml:space="preserve"> -</v>
      </c>
      <c r="CH59" s="95" t="str">
        <f>IFERROR(SUMIFS('01. KE30'!$R:$R,'01. KE30'!$C:$C,'06. BC BH THEO CUSTOMER-USD'!$D59,'01. KE30'!$F:$F,'06. BC BH THEO CUSTOMER-USD'!$H59,'01. KE30'!$A:$A,'06. BC BH THEO CUSTOMER-USD'!CH$4)/CV59/'02. Tỷ giá'!E$5," -")</f>
        <v xml:space="preserve"> -</v>
      </c>
      <c r="CI59" s="95">
        <f>IFERROR(SUMIFS('01. KE30'!$R:$R,'01. KE30'!$C:$C,'06. BC BH THEO CUSTOMER-USD'!$D59,'01. KE30'!$F:$F,'06. BC BH THEO CUSTOMER-USD'!$H59,'01. KE30'!$A:$A,'06. BC BH THEO CUSTOMER-USD'!CI$4)/CW59/'02. Tỷ giá'!F$5," -")</f>
        <v>996.76039337692475</v>
      </c>
      <c r="CJ59" s="95" t="str">
        <f>IFERROR(SUMIFS('01. KE30'!$R:$R,'01. KE30'!$C:$C,'06. BC BH THEO CUSTOMER-USD'!$D59,'01. KE30'!$F:$F,'06. BC BH THEO CUSTOMER-USD'!$H59,'01. KE30'!$A:$A,'06. BC BH THEO CUSTOMER-USD'!CJ$4)/CX59/'02. Tỷ giá'!G$5," -")</f>
        <v xml:space="preserve"> -</v>
      </c>
      <c r="CK59" s="95" t="str">
        <f>IFERROR(SUMIFS('01. KE30'!$R:$R,'01. KE30'!$C:$C,'06. BC BH THEO CUSTOMER-USD'!$D59,'01. KE30'!$F:$F,'06. BC BH THEO CUSTOMER-USD'!$H59,'01. KE30'!$A:$A,'06. BC BH THEO CUSTOMER-USD'!CK$4)/CY59/'02. Tỷ giá'!H$5," -")</f>
        <v xml:space="preserve"> -</v>
      </c>
      <c r="CL59" s="95">
        <f>IFERROR(SUMIFS('01. KE30'!$R:$R,'01. KE30'!$C:$C,'06. BC BH THEO CUSTOMER-USD'!$D59,'01. KE30'!$F:$F,'06. BC BH THEO CUSTOMER-USD'!$H59,'01. KE30'!$A:$A,'06. BC BH THEO CUSTOMER-USD'!CL$4)/CZ59/'02. Tỷ giá'!I$5," -")</f>
        <v>1006.6354573234253</v>
      </c>
      <c r="CM59" s="95" t="str">
        <f>IFERROR(SUMIFS('01. KE30'!$R:$R,'01. KE30'!$C:$C,'06. BC BH THEO CUSTOMER-USD'!$D59,'01. KE30'!$F:$F,'06. BC BH THEO CUSTOMER-USD'!$H59,'01. KE30'!$A:$A,'06. BC BH THEO CUSTOMER-USD'!CM$4)/DA59/'02. Tỷ giá'!J$5," -")</f>
        <v xml:space="preserve"> -</v>
      </c>
      <c r="CN59" s="95" t="str">
        <f>IFERROR(SUMIFS('01. KE30'!$R:$R,'01. KE30'!$C:$C,'06. BC BH THEO CUSTOMER-USD'!$D59,'01. KE30'!$F:$F,'06. BC BH THEO CUSTOMER-USD'!$H59,'01. KE30'!$A:$A,'06. BC BH THEO CUSTOMER-USD'!CN$4)/DB59/'02. Tỷ giá'!K$5," -")</f>
        <v xml:space="preserve"> -</v>
      </c>
      <c r="CO59" s="95" t="str">
        <f>IFERROR(SUMIFS('01. KE30'!$R:$R,'01. KE30'!$C:$C,'06. BC BH THEO CUSTOMER-USD'!$D59,'01. KE30'!$F:$F,'06. BC BH THEO CUSTOMER-USD'!$H59,'01. KE30'!$A:$A,'06. BC BH THEO CUSTOMER-USD'!CO$4)/DC59/'02. Tỷ giá'!L$5," -")</f>
        <v xml:space="preserve"> -</v>
      </c>
      <c r="CP59" s="95" t="str">
        <f>IFERROR(SUMIFS('01. KE30'!$R:$R,'01. KE30'!$C:$C,'06. BC BH THEO CUSTOMER-USD'!$D59,'01. KE30'!$F:$F,'06. BC BH THEO CUSTOMER-USD'!$H59,'01. KE30'!$A:$A,'06. BC BH THEO CUSTOMER-USD'!CP$4)/DD59/'02. Tỷ giá'!M$5," -")</f>
        <v xml:space="preserve"> -</v>
      </c>
      <c r="CR59" s="112">
        <f t="shared" si="266"/>
        <v>66</v>
      </c>
      <c r="CS59" s="114">
        <f>SUMIFS('01. KE30'!$I:$I,'01. KE30'!$C:$C,'06. BC BH THEO CUSTOMER-USD'!$D59,'01. KE30'!$F:$F,'06. BC BH THEO CUSTOMER-USD'!$H59,'01. KE30'!$A:$A,'06. BC BH THEO CUSTOMER-USD'!CS$4)/1000</f>
        <v>0</v>
      </c>
      <c r="CT59" s="114">
        <f>SUMIFS('01. KE30'!$I:$I,'01. KE30'!$C:$C,'06. BC BH THEO CUSTOMER-USD'!$D59,'01. KE30'!$F:$F,'06. BC BH THEO CUSTOMER-USD'!$H59,'01. KE30'!$A:$A,'06. BC BH THEO CUSTOMER-USD'!CT$4)/1000</f>
        <v>0</v>
      </c>
      <c r="CU59" s="114">
        <f>SUMIFS('01. KE30'!$I:$I,'01. KE30'!$C:$C,'06. BC BH THEO CUSTOMER-USD'!$D59,'01. KE30'!$F:$F,'06. BC BH THEO CUSTOMER-USD'!$H59,'01. KE30'!$A:$A,'06. BC BH THEO CUSTOMER-USD'!CU$4)/1000</f>
        <v>0</v>
      </c>
      <c r="CV59" s="114">
        <f>SUMIFS('01. KE30'!$I:$I,'01. KE30'!$C:$C,'06. BC BH THEO CUSTOMER-USD'!$D59,'01. KE30'!$F:$F,'06. BC BH THEO CUSTOMER-USD'!$H59,'01. KE30'!$A:$A,'06. BC BH THEO CUSTOMER-USD'!CV$4)/1000</f>
        <v>0</v>
      </c>
      <c r="CW59" s="114">
        <f>SUMIFS('01. KE30'!$I:$I,'01. KE30'!$C:$C,'06. BC BH THEO CUSTOMER-USD'!$D59,'01. KE30'!$F:$F,'06. BC BH THEO CUSTOMER-USD'!$H59,'01. KE30'!$A:$A,'06. BC BH THEO CUSTOMER-USD'!CW$4)/1000</f>
        <v>22</v>
      </c>
      <c r="CX59" s="114">
        <f>SUMIFS('01. KE30'!$I:$I,'01. KE30'!$C:$C,'06. BC BH THEO CUSTOMER-USD'!$D59,'01. KE30'!$F:$F,'06. BC BH THEO CUSTOMER-USD'!$H59,'01. KE30'!$A:$A,'06. BC BH THEO CUSTOMER-USD'!CX$4)/1000</f>
        <v>0</v>
      </c>
      <c r="CY59" s="114">
        <f>SUMIFS('01. KE30'!$I:$I,'01. KE30'!$C:$C,'06. BC BH THEO CUSTOMER-USD'!$D59,'01. KE30'!$F:$F,'06. BC BH THEO CUSTOMER-USD'!$H59,'01. KE30'!$A:$A,'06. BC BH THEO CUSTOMER-USD'!CY$4)/1000</f>
        <v>0</v>
      </c>
      <c r="CZ59" s="114">
        <f>SUMIFS('01. KE30'!$I:$I,'01. KE30'!$C:$C,'06. BC BH THEO CUSTOMER-USD'!$D59,'01. KE30'!$F:$F,'06. BC BH THEO CUSTOMER-USD'!$H59,'01. KE30'!$A:$A,'06. BC BH THEO CUSTOMER-USD'!CZ$4)/1000</f>
        <v>44</v>
      </c>
      <c r="DA59" s="114">
        <f>SUMIFS('01. KE30'!$I:$I,'01. KE30'!$C:$C,'06. BC BH THEO CUSTOMER-USD'!$D59,'01. KE30'!$F:$F,'06. BC BH THEO CUSTOMER-USD'!$H59,'01. KE30'!$A:$A,'06. BC BH THEO CUSTOMER-USD'!DA$4)/1000</f>
        <v>0</v>
      </c>
      <c r="DB59" s="114">
        <f>SUMIFS('01. KE30'!$I:$I,'01. KE30'!$C:$C,'06. BC BH THEO CUSTOMER-USD'!$D59,'01. KE30'!$F:$F,'06. BC BH THEO CUSTOMER-USD'!$H59,'01. KE30'!$A:$A,'06. BC BH THEO CUSTOMER-USD'!DB$4)/1000</f>
        <v>0</v>
      </c>
      <c r="DC59" s="114">
        <f>SUMIFS('01. KE30'!$I:$I,'01. KE30'!$C:$C,'06. BC BH THEO CUSTOMER-USD'!$D59,'01. KE30'!$F:$F,'06. BC BH THEO CUSTOMER-USD'!$H59,'01. KE30'!$A:$A,'06. BC BH THEO CUSTOMER-USD'!DC$4)/1000</f>
        <v>0</v>
      </c>
      <c r="DD59" s="114">
        <f>SUMIFS('01. KE30'!$I:$I,'01. KE30'!$C:$C,'06. BC BH THEO CUSTOMER-USD'!$D59,'01. KE30'!$F:$F,'06. BC BH THEO CUSTOMER-USD'!$H59,'01. KE30'!$A:$A,'06. BC BH THEO CUSTOMER-USD'!DD$4)/1000</f>
        <v>0</v>
      </c>
      <c r="DF59" s="112">
        <f t="shared" si="267"/>
        <v>89416.499054378131</v>
      </c>
      <c r="DG59" s="54" t="str">
        <f t="shared" si="48"/>
        <v>-</v>
      </c>
      <c r="DH59" s="54" t="str">
        <f t="shared" si="49"/>
        <v>-</v>
      </c>
      <c r="DI59" s="54" t="str">
        <f t="shared" si="50"/>
        <v>-</v>
      </c>
      <c r="DJ59" s="54" t="str">
        <f t="shared" si="51"/>
        <v>-</v>
      </c>
      <c r="DK59" s="54">
        <f t="shared" si="52"/>
        <v>30266.078886310905</v>
      </c>
      <c r="DL59" s="54" t="str">
        <f t="shared" si="53"/>
        <v>-</v>
      </c>
      <c r="DM59" s="54" t="str">
        <f t="shared" si="54"/>
        <v>-</v>
      </c>
      <c r="DN59" s="54">
        <f t="shared" si="55"/>
        <v>59150.420168067227</v>
      </c>
      <c r="DO59" s="54" t="str">
        <f t="shared" si="56"/>
        <v>-</v>
      </c>
      <c r="DP59" s="54" t="str">
        <f t="shared" si="57"/>
        <v>-</v>
      </c>
      <c r="DQ59" s="54" t="str">
        <f t="shared" si="58"/>
        <v>-</v>
      </c>
      <c r="DR59" s="54" t="str">
        <f t="shared" si="59"/>
        <v>-</v>
      </c>
      <c r="DT59" s="112">
        <f t="shared" si="60"/>
        <v>16688.075961470859</v>
      </c>
      <c r="DU59" s="114">
        <f>IFERROR(SUMIFS('01. KE30'!$X:$X,'01. KE30'!$C:$C,'06. BC BH THEO CUSTOMER-USD'!$D59,'01. KE30'!$F:$F,'06. BC BH THEO CUSTOMER-USD'!$H59,'01. KE30'!$A:$A,'06. BC BH THEO CUSTOMER-USD'!DU$4)-SUMIFS('01. KE30'!$AA:$AA,'01. KE30'!$C:$C,'06. BC BH THEO CUSTOMER-USD'!$D59,'01. KE30'!$F:$F,'06. BC BH THEO CUSTOMER-USD'!$H59,'01. KE30'!$A:$A,'06. BC BH THEO CUSTOMER-USD'!DU$4),"-")</f>
        <v>0</v>
      </c>
      <c r="DV59" s="114">
        <f>IFERROR(SUMIFS('01. KE30'!$X:$X,'01. KE30'!$C:$C,'06. BC BH THEO CUSTOMER-USD'!$D59,'01. KE30'!$F:$F,'06. BC BH THEO CUSTOMER-USD'!$H59,'01. KE30'!$A:$A,'06. BC BH THEO CUSTOMER-USD'!DV$4)-SUMIFS('01. KE30'!$AA:$AA,'01. KE30'!$C:$C,'06. BC BH THEO CUSTOMER-USD'!$D59,'01. KE30'!$F:$F,'06. BC BH THEO CUSTOMER-USD'!$H59,'01. KE30'!$A:$A,'06. BC BH THEO CUSTOMER-USD'!DV$4),"-")</f>
        <v>0</v>
      </c>
      <c r="DW59" s="114">
        <f>IFERROR(SUMIFS('01. KE30'!$X:$X,'01. KE30'!$C:$C,'06. BC BH THEO CUSTOMER-USD'!$D59,'01. KE30'!$F:$F,'06. BC BH THEO CUSTOMER-USD'!$H59,'01. KE30'!$A:$A,'06. BC BH THEO CUSTOMER-USD'!DW$4)-SUMIFS('01. KE30'!$AA:$AA,'01. KE30'!$C:$C,'06. BC BH THEO CUSTOMER-USD'!$D59,'01. KE30'!$F:$F,'06. BC BH THEO CUSTOMER-USD'!$H59,'01. KE30'!$A:$A,'06. BC BH THEO CUSTOMER-USD'!DW$4),"-")</f>
        <v>0</v>
      </c>
      <c r="DX59" s="114">
        <f>IFERROR(SUMIFS('01. KE30'!$X:$X,'01. KE30'!$C:$C,'06. BC BH THEO CUSTOMER-USD'!$D59,'01. KE30'!$F:$F,'06. BC BH THEO CUSTOMER-USD'!$H59,'01. KE30'!$A:$A,'06. BC BH THEO CUSTOMER-USD'!DX$4)-SUMIFS('01. KE30'!$AA:$AA,'01. KE30'!$C:$C,'06. BC BH THEO CUSTOMER-USD'!$D59,'01. KE30'!$F:$F,'06. BC BH THEO CUSTOMER-USD'!$H59,'01. KE30'!$A:$A,'06. BC BH THEO CUSTOMER-USD'!DX$4),"-")</f>
        <v>0</v>
      </c>
      <c r="DY59" s="114">
        <f>IFERROR(SUMIFS('01. KE30'!$X:$X,'01. KE30'!$C:$C,'06. BC BH THEO CUSTOMER-USD'!$D59,'01. KE30'!$F:$F,'06. BC BH THEO CUSTOMER-USD'!$H59,'01. KE30'!$A:$A,'06. BC BH THEO CUSTOMER-USD'!DY$4)-SUMIFS('01. KE30'!$AA:$AA,'01. KE30'!$C:$C,'06. BC BH THEO CUSTOMER-USD'!$D59,'01. KE30'!$F:$F,'06. BC BH THEO CUSTOMER-USD'!$H59,'01. KE30'!$A:$A,'06. BC BH THEO CUSTOMER-USD'!DY$4),"-")</f>
        <v>6472.1759614708571</v>
      </c>
      <c r="DZ59" s="114">
        <f>IFERROR(SUMIFS('01. KE30'!$X:$X,'01. KE30'!$C:$C,'06. BC BH THEO CUSTOMER-USD'!$D59,'01. KE30'!$F:$F,'06. BC BH THEO CUSTOMER-USD'!$H59,'01. KE30'!$A:$A,'06. BC BH THEO CUSTOMER-USD'!DZ$4)-SUMIFS('01. KE30'!$AA:$AA,'01. KE30'!$C:$C,'06. BC BH THEO CUSTOMER-USD'!$D59,'01. KE30'!$F:$F,'06. BC BH THEO CUSTOMER-USD'!$H59,'01. KE30'!$A:$A,'06. BC BH THEO CUSTOMER-USD'!DZ$4),"-")</f>
        <v>0</v>
      </c>
      <c r="EA59" s="114">
        <f>IFERROR(SUMIFS('01. KE30'!$X:$X,'01. KE30'!$C:$C,'06. BC BH THEO CUSTOMER-USD'!$D59,'01. KE30'!$F:$F,'06. BC BH THEO CUSTOMER-USD'!$H59,'01. KE30'!$A:$A,'06. BC BH THEO CUSTOMER-USD'!EA$4)-SUMIFS('01. KE30'!$AA:$AA,'01. KE30'!$C:$C,'06. BC BH THEO CUSTOMER-USD'!$D59,'01. KE30'!$F:$F,'06. BC BH THEO CUSTOMER-USD'!$H59,'01. KE30'!$A:$A,'06. BC BH THEO CUSTOMER-USD'!EA$4),"-")</f>
        <v>0</v>
      </c>
      <c r="EB59" s="114">
        <f>IFERROR(SUMIFS('01. KE30'!$X:$X,'01. KE30'!$C:$C,'06. BC BH THEO CUSTOMER-USD'!$D59,'01. KE30'!$F:$F,'06. BC BH THEO CUSTOMER-USD'!$H59,'01. KE30'!$A:$A,'06. BC BH THEO CUSTOMER-USD'!EB$4)-SUMIFS('01. KE30'!$AA:$AA,'01. KE30'!$C:$C,'06. BC BH THEO CUSTOMER-USD'!$D59,'01. KE30'!$F:$F,'06. BC BH THEO CUSTOMER-USD'!$H59,'01. KE30'!$A:$A,'06. BC BH THEO CUSTOMER-USD'!EB$4),"-")</f>
        <v>10215.900000000001</v>
      </c>
      <c r="EC59" s="114">
        <f>IFERROR(SUMIFS('01. KE30'!$X:$X,'01. KE30'!$C:$C,'06. BC BH THEO CUSTOMER-USD'!$D59,'01. KE30'!$F:$F,'06. BC BH THEO CUSTOMER-USD'!$H59,'01. KE30'!$A:$A,'06. BC BH THEO CUSTOMER-USD'!EC$4)-SUMIFS('01. KE30'!$AA:$AA,'01. KE30'!$C:$C,'06. BC BH THEO CUSTOMER-USD'!$D59,'01. KE30'!$F:$F,'06. BC BH THEO CUSTOMER-USD'!$H59,'01. KE30'!$A:$A,'06. BC BH THEO CUSTOMER-USD'!EC$4),"-")</f>
        <v>0</v>
      </c>
      <c r="ED59" s="114">
        <f>IFERROR(SUMIFS('01. KE30'!$X:$X,'01. KE30'!$C:$C,'06. BC BH THEO CUSTOMER-USD'!$D59,'01. KE30'!$F:$F,'06. BC BH THEO CUSTOMER-USD'!$H59,'01. KE30'!$A:$A,'06. BC BH THEO CUSTOMER-USD'!ED$4)-SUMIFS('01. KE30'!$AA:$AA,'01. KE30'!$C:$C,'06. BC BH THEO CUSTOMER-USD'!$D59,'01. KE30'!$F:$F,'06. BC BH THEO CUSTOMER-USD'!$H59,'01. KE30'!$A:$A,'06. BC BH THEO CUSTOMER-USD'!ED$4),"-")</f>
        <v>0</v>
      </c>
      <c r="EE59" s="114">
        <f>IFERROR(SUMIFS('01. KE30'!$X:$X,'01. KE30'!$C:$C,'06. BC BH THEO CUSTOMER-USD'!$D59,'01. KE30'!$F:$F,'06. BC BH THEO CUSTOMER-USD'!$H59,'01. KE30'!$A:$A,'06. BC BH THEO CUSTOMER-USD'!EE$4)-SUMIFS('01. KE30'!$AA:$AA,'01. KE30'!$C:$C,'06. BC BH THEO CUSTOMER-USD'!$D59,'01. KE30'!$F:$F,'06. BC BH THEO CUSTOMER-USD'!$H59,'01. KE30'!$A:$A,'06. BC BH THEO CUSTOMER-USD'!EE$4),"-")</f>
        <v>0</v>
      </c>
      <c r="EF59" s="114">
        <f>IFERROR(SUMIFS('01. KE30'!$X:$X,'01. KE30'!$C:$C,'06. BC BH THEO CUSTOMER-USD'!$D59,'01. KE30'!$F:$F,'06. BC BH THEO CUSTOMER-USD'!$H59,'01. KE30'!$A:$A,'06. BC BH THEO CUSTOMER-USD'!EF$4)-SUMIFS('01. KE30'!$AA:$AA,'01. KE30'!$C:$C,'06. BC BH THEO CUSTOMER-USD'!$D59,'01. KE30'!$F:$F,'06. BC BH THEO CUSTOMER-USD'!$H59,'01. KE30'!$A:$A,'06. BC BH THEO CUSTOMER-USD'!EF$4),"-")</f>
        <v>0</v>
      </c>
      <c r="EH59" s="571">
        <f t="shared" si="29"/>
        <v>0.18663307262032369</v>
      </c>
      <c r="EI59" s="572" t="str">
        <f t="shared" si="30"/>
        <v>-</v>
      </c>
      <c r="EJ59" s="572" t="str">
        <f t="shared" si="31"/>
        <v>-</v>
      </c>
      <c r="EK59" s="572" t="str">
        <f t="shared" si="32"/>
        <v>-</v>
      </c>
      <c r="EL59" s="572" t="str">
        <f t="shared" si="33"/>
        <v>-</v>
      </c>
      <c r="EM59" s="572">
        <f t="shared" si="34"/>
        <v>0.21384256565848603</v>
      </c>
      <c r="EN59" s="572" t="str">
        <f t="shared" si="35"/>
        <v>-</v>
      </c>
      <c r="EO59" s="572" t="str">
        <f t="shared" si="36"/>
        <v>-</v>
      </c>
      <c r="EP59" s="572">
        <f t="shared" si="37"/>
        <v>0.17271052295102932</v>
      </c>
      <c r="EQ59" s="572" t="str">
        <f t="shared" si="38"/>
        <v>-</v>
      </c>
      <c r="ER59" s="572" t="str">
        <f t="shared" si="39"/>
        <v>-</v>
      </c>
      <c r="ES59" s="572" t="str">
        <f t="shared" si="40"/>
        <v>-</v>
      </c>
      <c r="ET59" s="572" t="str">
        <f t="shared" si="41"/>
        <v>-</v>
      </c>
    </row>
    <row r="60" spans="1:150" ht="15.5" hidden="1" outlineLevel="1" x14ac:dyDescent="0.35">
      <c r="A60" s="27">
        <f t="shared" si="63"/>
        <v>49</v>
      </c>
      <c r="B60" s="27" t="s">
        <v>283</v>
      </c>
      <c r="C60" s="442" t="s">
        <v>489</v>
      </c>
      <c r="D60" s="9" t="s">
        <v>517</v>
      </c>
      <c r="E60" s="12" t="s">
        <v>518</v>
      </c>
      <c r="F60" s="12" t="s">
        <v>245</v>
      </c>
      <c r="G60" s="12" t="str">
        <f>_xlfn.XLOOKUP(F60,'Quy đổi'!$G$5:$G$32,'Quy đổi'!$H$5:$H$32,0)</f>
        <v>Nội địa</v>
      </c>
      <c r="H60" s="76" t="s">
        <v>102</v>
      </c>
      <c r="I60" s="28" t="s">
        <v>101</v>
      </c>
      <c r="J60" s="13" t="s">
        <v>22</v>
      </c>
      <c r="K60" s="11"/>
      <c r="L60" s="92">
        <f t="shared" si="42"/>
        <v>1134.3048444269396</v>
      </c>
      <c r="M60" s="106" t="str">
        <f>IFERROR(SUMIFS('01. KE30'!$K:$K,'01. KE30'!$C:$C,'06. BC BH THEO CUSTOMER-USD'!$D60,'01. KE30'!$F:$F,'06. BC BH THEO CUSTOMER-USD'!$H60,'01. KE30'!$A:$A,'06. BC BH THEO CUSTOMER-USD'!M$4)/'06. BC BH THEO CUSTOMER-USD'!CS60/'02. Tỷ giá'!B$5,"-")</f>
        <v>-</v>
      </c>
      <c r="N60" s="106">
        <f>IFERROR(SUMIFS('01. KE30'!$K:$K,'01. KE30'!$C:$C,'06. BC BH THEO CUSTOMER-USD'!$D60,'01. KE30'!$F:$F,'06. BC BH THEO CUSTOMER-USD'!$H60,'01. KE30'!$A:$A,'06. BC BH THEO CUSTOMER-USD'!N$4)/'06. BC BH THEO CUSTOMER-USD'!CT60/'02. Tỷ giá'!C$5,"-")</f>
        <v>1134.3048444269396</v>
      </c>
      <c r="O60" s="106" t="str">
        <f>IFERROR(SUMIFS('01. KE30'!$K:$K,'01. KE30'!$C:$C,'06. BC BH THEO CUSTOMER-USD'!$D60,'01. KE30'!$F:$F,'06. BC BH THEO CUSTOMER-USD'!$H60,'01. KE30'!$A:$A,'06. BC BH THEO CUSTOMER-USD'!O$4)/'06. BC BH THEO CUSTOMER-USD'!CU60/'02. Tỷ giá'!D$5,"-")</f>
        <v>-</v>
      </c>
      <c r="P60" s="106" t="str">
        <f>IFERROR(SUMIFS('01. KE30'!$K:$K,'01. KE30'!$C:$C,'06. BC BH THEO CUSTOMER-USD'!$D60,'01. KE30'!$F:$F,'06. BC BH THEO CUSTOMER-USD'!$H60,'01. KE30'!$A:$A,'06. BC BH THEO CUSTOMER-USD'!P$4)/'06. BC BH THEO CUSTOMER-USD'!CV60/'02. Tỷ giá'!E$5,"-")</f>
        <v>-</v>
      </c>
      <c r="Q60" s="106" t="str">
        <f>IFERROR(SUMIFS('01. KE30'!$K:$K,'01. KE30'!$C:$C,'06. BC BH THEO CUSTOMER-USD'!$D60,'01. KE30'!$F:$F,'06. BC BH THEO CUSTOMER-USD'!$H60,'01. KE30'!$A:$A,'06. BC BH THEO CUSTOMER-USD'!Q$4)/'06. BC BH THEO CUSTOMER-USD'!CW60/'02. Tỷ giá'!F$5,"-")</f>
        <v>-</v>
      </c>
      <c r="R60" s="106" t="str">
        <f>IFERROR(SUMIFS('01. KE30'!$K:$K,'01. KE30'!$C:$C,'06. BC BH THEO CUSTOMER-USD'!$D60,'01. KE30'!$F:$F,'06. BC BH THEO CUSTOMER-USD'!$H60,'01. KE30'!$A:$A,'06. BC BH THEO CUSTOMER-USD'!R$4)/'06. BC BH THEO CUSTOMER-USD'!CX60/'02. Tỷ giá'!G$5,"-")</f>
        <v>-</v>
      </c>
      <c r="S60" s="106" t="str">
        <f>IFERROR(SUMIFS('01. KE30'!$K:$K,'01. KE30'!$C:$C,'06. BC BH THEO CUSTOMER-USD'!$D60,'01. KE30'!$F:$F,'06. BC BH THEO CUSTOMER-USD'!$H60,'01. KE30'!$A:$A,'06. BC BH THEO CUSTOMER-USD'!S$4)/'06. BC BH THEO CUSTOMER-USD'!CY60/'02. Tỷ giá'!H$5,"-")</f>
        <v>-</v>
      </c>
      <c r="T60" s="106" t="str">
        <f>IFERROR(SUMIFS('01. KE30'!$K:$K,'01. KE30'!$C:$C,'06. BC BH THEO CUSTOMER-USD'!$D60,'01. KE30'!$F:$F,'06. BC BH THEO CUSTOMER-USD'!$H60,'01. KE30'!$A:$A,'06. BC BH THEO CUSTOMER-USD'!T$4)/'06. BC BH THEO CUSTOMER-USD'!CZ60/'02. Tỷ giá'!I$5,"-")</f>
        <v>-</v>
      </c>
      <c r="U60" s="106" t="str">
        <f>IFERROR(SUMIFS('01. KE30'!$K:$K,'01. KE30'!$C:$C,'06. BC BH THEO CUSTOMER-USD'!$D60,'01. KE30'!$F:$F,'06. BC BH THEO CUSTOMER-USD'!$H60,'01. KE30'!$A:$A,'06. BC BH THEO CUSTOMER-USD'!U$4)/'06. BC BH THEO CUSTOMER-USD'!DA60/'02. Tỷ giá'!J$5,"-")</f>
        <v>-</v>
      </c>
      <c r="V60" s="106" t="str">
        <f>IFERROR(SUMIFS('01. KE30'!$K:$K,'01. KE30'!$C:$C,'06. BC BH THEO CUSTOMER-USD'!$D60,'01. KE30'!$F:$F,'06. BC BH THEO CUSTOMER-USD'!$H60,'01. KE30'!$A:$A,'06. BC BH THEO CUSTOMER-USD'!V$4)/'06. BC BH THEO CUSTOMER-USD'!DB60/'02. Tỷ giá'!K$5,"-")</f>
        <v>-</v>
      </c>
      <c r="W60" s="106" t="str">
        <f>IFERROR(SUMIFS('01. KE30'!$K:$K,'01. KE30'!$C:$C,'06. BC BH THEO CUSTOMER-USD'!$D60,'01. KE30'!$F:$F,'06. BC BH THEO CUSTOMER-USD'!$H60,'01. KE30'!$A:$A,'06. BC BH THEO CUSTOMER-USD'!W$4)/'06. BC BH THEO CUSTOMER-USD'!DC60/'02. Tỷ giá'!L$5,"-")</f>
        <v>-</v>
      </c>
      <c r="X60" s="106" t="str">
        <f>IFERROR(SUMIFS('01. KE30'!$K:$K,'01. KE30'!$C:$C,'06. BC BH THEO CUSTOMER-USD'!$D60,'01. KE30'!$F:$F,'06. BC BH THEO CUSTOMER-USD'!$H60,'01. KE30'!$A:$A,'06. BC BH THEO CUSTOMER-USD'!X$4)/'06. BC BH THEO CUSTOMER-USD'!DD60/'02. Tỷ giá'!M$5,"-")</f>
        <v>-</v>
      </c>
      <c r="Z60" s="92">
        <f t="shared" si="43"/>
        <v>1134.3048444269396</v>
      </c>
      <c r="AA60" s="147" t="str">
        <f>IFERROR(SUMIFS('01. KE30'!$O:$O,'01. KE30'!$C:$C,'06. BC BH THEO CUSTOMER-USD'!$D60,'01. KE30'!$F:$F,'06. BC BH THEO CUSTOMER-USD'!$H60,'01. KE30'!$A:$A,'06. BC BH THEO CUSTOMER-USD'!M$4)/'06. BC BH THEO CUSTOMER-USD'!CS60/'02. Tỷ giá'!B$5,"-")</f>
        <v>-</v>
      </c>
      <c r="AB60" s="147">
        <f>IFERROR(SUMIFS('01. KE30'!$O:$O,'01. KE30'!$C:$C,'06. BC BH THEO CUSTOMER-USD'!$D60,'01. KE30'!$F:$F,'06. BC BH THEO CUSTOMER-USD'!$H60,'01. KE30'!$A:$A,'06. BC BH THEO CUSTOMER-USD'!N$4)/'06. BC BH THEO CUSTOMER-USD'!CT60/'02. Tỷ giá'!C$5,"-")</f>
        <v>1134.3048444269396</v>
      </c>
      <c r="AC60" s="147" t="str">
        <f>IFERROR(SUMIFS('01. KE30'!$O:$O,'01. KE30'!$C:$C,'06. BC BH THEO CUSTOMER-USD'!$D60,'01. KE30'!$F:$F,'06. BC BH THEO CUSTOMER-USD'!$H60,'01. KE30'!$A:$A,'06. BC BH THEO CUSTOMER-USD'!O$4)/'06. BC BH THEO CUSTOMER-USD'!CU60/'02. Tỷ giá'!D$5,"-")</f>
        <v>-</v>
      </c>
      <c r="AD60" s="147" t="str">
        <f>IFERROR(SUMIFS('01. KE30'!$O:$O,'01. KE30'!$C:$C,'06. BC BH THEO CUSTOMER-USD'!$D60,'01. KE30'!$F:$F,'06. BC BH THEO CUSTOMER-USD'!$H60,'01. KE30'!$A:$A,'06. BC BH THEO CUSTOMER-USD'!P$4)/'06. BC BH THEO CUSTOMER-USD'!CV60/'02. Tỷ giá'!E$5,"-")</f>
        <v>-</v>
      </c>
      <c r="AE60" s="147" t="str">
        <f>IFERROR(SUMIFS('01. KE30'!$O:$O,'01. KE30'!$C:$C,'06. BC BH THEO CUSTOMER-USD'!$D60,'01. KE30'!$F:$F,'06. BC BH THEO CUSTOMER-USD'!$H60,'01. KE30'!$A:$A,'06. BC BH THEO CUSTOMER-USD'!Q$4)/'06. BC BH THEO CUSTOMER-USD'!CW60/'02. Tỷ giá'!F$5,"-")</f>
        <v>-</v>
      </c>
      <c r="AF60" s="147" t="str">
        <f>IFERROR(SUMIFS('01. KE30'!$O:$O,'01. KE30'!$C:$C,'06. BC BH THEO CUSTOMER-USD'!$D60,'01. KE30'!$F:$F,'06. BC BH THEO CUSTOMER-USD'!$H60,'01. KE30'!$A:$A,'06. BC BH THEO CUSTOMER-USD'!R$4)/'06. BC BH THEO CUSTOMER-USD'!CX60/'02. Tỷ giá'!G$5,"-")</f>
        <v>-</v>
      </c>
      <c r="AG60" s="147" t="str">
        <f>IFERROR(SUMIFS('01. KE30'!$O:$O,'01. KE30'!$C:$C,'06. BC BH THEO CUSTOMER-USD'!$D60,'01. KE30'!$F:$F,'06. BC BH THEO CUSTOMER-USD'!$H60,'01. KE30'!$A:$A,'06. BC BH THEO CUSTOMER-USD'!S$4)/'06. BC BH THEO CUSTOMER-USD'!CY60/'02. Tỷ giá'!H$5,"-")</f>
        <v>-</v>
      </c>
      <c r="AH60" s="147" t="str">
        <f>IFERROR(SUMIFS('01. KE30'!$O:$O,'01. KE30'!$C:$C,'06. BC BH THEO CUSTOMER-USD'!$D60,'01. KE30'!$F:$F,'06. BC BH THEO CUSTOMER-USD'!$H60,'01. KE30'!$A:$A,'06. BC BH THEO CUSTOMER-USD'!T$4)/'06. BC BH THEO CUSTOMER-USD'!CZ60/'02. Tỷ giá'!I$5,"-")</f>
        <v>-</v>
      </c>
      <c r="AI60" s="147" t="str">
        <f>IFERROR(SUMIFS('01. KE30'!$O:$O,'01. KE30'!$C:$C,'06. BC BH THEO CUSTOMER-USD'!$D60,'01. KE30'!$F:$F,'06. BC BH THEO CUSTOMER-USD'!$H60,'01. KE30'!$A:$A,'06. BC BH THEO CUSTOMER-USD'!U$4)/'06. BC BH THEO CUSTOMER-USD'!DA60/'02. Tỷ giá'!J$5,"-")</f>
        <v>-</v>
      </c>
      <c r="AJ60" s="147" t="str">
        <f>IFERROR(SUMIFS('01. KE30'!$O:$O,'01. KE30'!$C:$C,'06. BC BH THEO CUSTOMER-USD'!$D60,'01. KE30'!$F:$F,'06. BC BH THEO CUSTOMER-USD'!$H60,'01. KE30'!$A:$A,'06. BC BH THEO CUSTOMER-USD'!V$4)/'06. BC BH THEO CUSTOMER-USD'!DB60/'02. Tỷ giá'!K$5,"-")</f>
        <v>-</v>
      </c>
      <c r="AK60" s="147" t="str">
        <f>IFERROR(SUMIFS('01. KE30'!$O:$O,'01. KE30'!$C:$C,'06. BC BH THEO CUSTOMER-USD'!$D60,'01. KE30'!$F:$F,'06. BC BH THEO CUSTOMER-USD'!$H60,'01. KE30'!$A:$A,'06. BC BH THEO CUSTOMER-USD'!W$4)/'06. BC BH THEO CUSTOMER-USD'!DC60/'02. Tỷ giá'!L$5,"-")</f>
        <v>-</v>
      </c>
      <c r="AL60" s="147" t="str">
        <f>IFERROR(SUMIFS('01. KE30'!$O:$O,'01. KE30'!$C:$C,'06. BC BH THEO CUSTOMER-USD'!$D60,'01. KE30'!$F:$F,'06. BC BH THEO CUSTOMER-USD'!$H60,'01. KE30'!$A:$A,'06. BC BH THEO CUSTOMER-USD'!X$4)/'06. BC BH THEO CUSTOMER-USD'!DD60/'02. Tỷ giá'!M$5,"-")</f>
        <v>-</v>
      </c>
      <c r="AN60" s="92">
        <f t="shared" si="44"/>
        <v>1166.6666666666667</v>
      </c>
      <c r="AO60" s="25">
        <v>1160</v>
      </c>
      <c r="AP60" s="25">
        <v>1160</v>
      </c>
      <c r="AQ60" s="25">
        <v>1160</v>
      </c>
      <c r="AR60" s="4">
        <f t="shared" si="330"/>
        <v>1180</v>
      </c>
      <c r="AS60" s="4">
        <v>1180</v>
      </c>
      <c r="AT60" s="4">
        <v>1180</v>
      </c>
      <c r="AU60" s="4">
        <v>1180</v>
      </c>
      <c r="AV60" s="4">
        <f t="shared" si="205"/>
        <v>1150</v>
      </c>
      <c r="AW60" s="25">
        <v>1150</v>
      </c>
      <c r="AX60" s="25"/>
      <c r="AY60" s="4"/>
      <c r="AZ60" s="4"/>
      <c r="BB60" s="95">
        <f t="shared" si="45"/>
        <v>-32.361822239727189</v>
      </c>
      <c r="BC60" s="95" t="str">
        <f t="shared" si="206"/>
        <v>-</v>
      </c>
      <c r="BD60" s="95">
        <f t="shared" si="389"/>
        <v>-25.695155573060447</v>
      </c>
      <c r="BE60" s="95" t="str">
        <f t="shared" si="389"/>
        <v>-</v>
      </c>
      <c r="BF60" s="95" t="str">
        <f t="shared" si="389"/>
        <v>-</v>
      </c>
      <c r="BG60" s="95" t="str">
        <f t="shared" si="389"/>
        <v>-</v>
      </c>
      <c r="BH60" s="95" t="str">
        <f t="shared" si="389"/>
        <v>-</v>
      </c>
      <c r="BI60" s="95" t="str">
        <f t="shared" si="389"/>
        <v>-</v>
      </c>
      <c r="BJ60" s="95" t="str">
        <f t="shared" si="389"/>
        <v>-</v>
      </c>
      <c r="BK60" s="95" t="str">
        <f t="shared" si="389"/>
        <v>-</v>
      </c>
      <c r="BL60" s="95" t="str">
        <f t="shared" si="389"/>
        <v>-</v>
      </c>
      <c r="BM60" s="95" t="str">
        <f t="shared" si="389"/>
        <v>-</v>
      </c>
      <c r="BN60" s="95" t="str">
        <f t="shared" si="389"/>
        <v>-</v>
      </c>
      <c r="BP60" s="143">
        <f t="shared" si="47"/>
        <v>-2.7738704776909019E-2</v>
      </c>
      <c r="BQ60" s="143" t="str">
        <f t="shared" si="202"/>
        <v>-</v>
      </c>
      <c r="BR60" s="143">
        <f t="shared" si="9"/>
        <v>-2.2150996183672798E-2</v>
      </c>
      <c r="BS60" s="143" t="str">
        <f t="shared" si="10"/>
        <v>-</v>
      </c>
      <c r="BT60" s="143" t="str">
        <f t="shared" si="11"/>
        <v>-</v>
      </c>
      <c r="BU60" s="143" t="str">
        <f t="shared" si="12"/>
        <v>-</v>
      </c>
      <c r="BV60" s="143" t="str">
        <f t="shared" si="13"/>
        <v>-</v>
      </c>
      <c r="BW60" s="143" t="str">
        <f t="shared" si="14"/>
        <v>-</v>
      </c>
      <c r="BX60" s="143" t="str">
        <f t="shared" si="15"/>
        <v>-</v>
      </c>
      <c r="BY60" s="143" t="str">
        <f t="shared" si="16"/>
        <v>-</v>
      </c>
      <c r="BZ60" s="143" t="str">
        <f t="shared" si="17"/>
        <v>-</v>
      </c>
      <c r="CA60" s="143" t="str">
        <f t="shared" si="18"/>
        <v>-</v>
      </c>
      <c r="CB60" s="143" t="str">
        <f t="shared" si="19"/>
        <v>-</v>
      </c>
      <c r="CD60" s="112">
        <f t="shared" si="25"/>
        <v>1035.1137885352143</v>
      </c>
      <c r="CE60" s="95" t="str">
        <f>IFERROR(SUMIFS('01. KE30'!$R:$R,'01. KE30'!$C:$C,'06. BC BH THEO CUSTOMER-USD'!$D60,'01. KE30'!$F:$F,'06. BC BH THEO CUSTOMER-USD'!$H60,'01. KE30'!$A:$A,'06. BC BH THEO CUSTOMER-USD'!CE$4)/CS60/'02. Tỷ giá'!B$5," -")</f>
        <v xml:space="preserve"> -</v>
      </c>
      <c r="CF60" s="95">
        <f>IFERROR(SUMIFS('01. KE30'!$R:$R,'01. KE30'!$C:$C,'06. BC BH THEO CUSTOMER-USD'!$D60,'01. KE30'!$F:$F,'06. BC BH THEO CUSTOMER-USD'!$H60,'01. KE30'!$A:$A,'06. BC BH THEO CUSTOMER-USD'!CF$4)/CT60/'02. Tỷ giá'!C$5," -")</f>
        <v>1035.1137885352143</v>
      </c>
      <c r="CG60" s="95" t="str">
        <f>IFERROR(SUMIFS('01. KE30'!$R:$R,'01. KE30'!$C:$C,'06. BC BH THEO CUSTOMER-USD'!$D60,'01. KE30'!$F:$F,'06. BC BH THEO CUSTOMER-USD'!$H60,'01. KE30'!$A:$A,'06. BC BH THEO CUSTOMER-USD'!CG$4)/CU60/'02. Tỷ giá'!D$5," -")</f>
        <v xml:space="preserve"> -</v>
      </c>
      <c r="CH60" s="95" t="str">
        <f>IFERROR(SUMIFS('01. KE30'!$R:$R,'01. KE30'!$C:$C,'06. BC BH THEO CUSTOMER-USD'!$D60,'01. KE30'!$F:$F,'06. BC BH THEO CUSTOMER-USD'!$H60,'01. KE30'!$A:$A,'06. BC BH THEO CUSTOMER-USD'!CH$4)/CV60/'02. Tỷ giá'!E$5," -")</f>
        <v xml:space="preserve"> -</v>
      </c>
      <c r="CI60" s="95" t="str">
        <f>IFERROR(SUMIFS('01. KE30'!$R:$R,'01. KE30'!$C:$C,'06. BC BH THEO CUSTOMER-USD'!$D60,'01. KE30'!$F:$F,'06. BC BH THEO CUSTOMER-USD'!$H60,'01. KE30'!$A:$A,'06. BC BH THEO CUSTOMER-USD'!CI$4)/CW60/'02. Tỷ giá'!F$5," -")</f>
        <v xml:space="preserve"> -</v>
      </c>
      <c r="CJ60" s="95" t="str">
        <f>IFERROR(SUMIFS('01. KE30'!$R:$R,'01. KE30'!$C:$C,'06. BC BH THEO CUSTOMER-USD'!$D60,'01. KE30'!$F:$F,'06. BC BH THEO CUSTOMER-USD'!$H60,'01. KE30'!$A:$A,'06. BC BH THEO CUSTOMER-USD'!CJ$4)/CX60/'02. Tỷ giá'!G$5," -")</f>
        <v xml:space="preserve"> -</v>
      </c>
      <c r="CK60" s="95" t="str">
        <f>IFERROR(SUMIFS('01. KE30'!$R:$R,'01. KE30'!$C:$C,'06. BC BH THEO CUSTOMER-USD'!$D60,'01. KE30'!$F:$F,'06. BC BH THEO CUSTOMER-USD'!$H60,'01. KE30'!$A:$A,'06. BC BH THEO CUSTOMER-USD'!CK$4)/CY60/'02. Tỷ giá'!H$5," -")</f>
        <v xml:space="preserve"> -</v>
      </c>
      <c r="CL60" s="95" t="str">
        <f>IFERROR(SUMIFS('01. KE30'!$R:$R,'01. KE30'!$C:$C,'06. BC BH THEO CUSTOMER-USD'!$D60,'01. KE30'!$F:$F,'06. BC BH THEO CUSTOMER-USD'!$H60,'01. KE30'!$A:$A,'06. BC BH THEO CUSTOMER-USD'!CL$4)/CZ60/'02. Tỷ giá'!I$5," -")</f>
        <v xml:space="preserve"> -</v>
      </c>
      <c r="CM60" s="95" t="str">
        <f>IFERROR(SUMIFS('01. KE30'!$R:$R,'01. KE30'!$C:$C,'06. BC BH THEO CUSTOMER-USD'!$D60,'01. KE30'!$F:$F,'06. BC BH THEO CUSTOMER-USD'!$H60,'01. KE30'!$A:$A,'06. BC BH THEO CUSTOMER-USD'!CM$4)/DA60/'02. Tỷ giá'!J$5," -")</f>
        <v xml:space="preserve"> -</v>
      </c>
      <c r="CN60" s="95" t="str">
        <f>IFERROR(SUMIFS('01. KE30'!$R:$R,'01. KE30'!$C:$C,'06. BC BH THEO CUSTOMER-USD'!$D60,'01. KE30'!$F:$F,'06. BC BH THEO CUSTOMER-USD'!$H60,'01. KE30'!$A:$A,'06. BC BH THEO CUSTOMER-USD'!CN$4)/DB60/'02. Tỷ giá'!K$5," -")</f>
        <v xml:space="preserve"> -</v>
      </c>
      <c r="CO60" s="95" t="str">
        <f>IFERROR(SUMIFS('01. KE30'!$R:$R,'01. KE30'!$C:$C,'06. BC BH THEO CUSTOMER-USD'!$D60,'01. KE30'!$F:$F,'06. BC BH THEO CUSTOMER-USD'!$H60,'01. KE30'!$A:$A,'06. BC BH THEO CUSTOMER-USD'!CO$4)/DC60/'02. Tỷ giá'!L$5," -")</f>
        <v xml:space="preserve"> -</v>
      </c>
      <c r="CP60" s="95" t="str">
        <f>IFERROR(SUMIFS('01. KE30'!$R:$R,'01. KE30'!$C:$C,'06. BC BH THEO CUSTOMER-USD'!$D60,'01. KE30'!$F:$F,'06. BC BH THEO CUSTOMER-USD'!$H60,'01. KE30'!$A:$A,'06. BC BH THEO CUSTOMER-USD'!CP$4)/DD60/'02. Tỷ giá'!M$5," -")</f>
        <v xml:space="preserve"> -</v>
      </c>
      <c r="CR60" s="112">
        <f t="shared" si="266"/>
        <v>1.1000000000000001</v>
      </c>
      <c r="CS60" s="114">
        <f>SUMIFS('01. KE30'!$I:$I,'01. KE30'!$C:$C,'06. BC BH THEO CUSTOMER-USD'!$D60,'01. KE30'!$F:$F,'06. BC BH THEO CUSTOMER-USD'!$H60,'01. KE30'!$A:$A,'06. BC BH THEO CUSTOMER-USD'!CS$4)/1000</f>
        <v>0</v>
      </c>
      <c r="CT60" s="114">
        <f>SUMIFS('01. KE30'!$I:$I,'01. KE30'!$C:$C,'06. BC BH THEO CUSTOMER-USD'!$D60,'01. KE30'!$F:$F,'06. BC BH THEO CUSTOMER-USD'!$H60,'01. KE30'!$A:$A,'06. BC BH THEO CUSTOMER-USD'!CT$4)/1000</f>
        <v>1.1000000000000001</v>
      </c>
      <c r="CU60" s="114">
        <f>SUMIFS('01. KE30'!$I:$I,'01. KE30'!$C:$C,'06. BC BH THEO CUSTOMER-USD'!$D60,'01. KE30'!$F:$F,'06. BC BH THEO CUSTOMER-USD'!$H60,'01. KE30'!$A:$A,'06. BC BH THEO CUSTOMER-USD'!CU$4)/1000</f>
        <v>0</v>
      </c>
      <c r="CV60" s="114">
        <f>SUMIFS('01. KE30'!$I:$I,'01. KE30'!$C:$C,'06. BC BH THEO CUSTOMER-USD'!$D60,'01. KE30'!$F:$F,'06. BC BH THEO CUSTOMER-USD'!$H60,'01. KE30'!$A:$A,'06. BC BH THEO CUSTOMER-USD'!CV$4)/1000</f>
        <v>0</v>
      </c>
      <c r="CW60" s="114">
        <f>SUMIFS('01. KE30'!$I:$I,'01. KE30'!$C:$C,'06. BC BH THEO CUSTOMER-USD'!$D60,'01. KE30'!$F:$F,'06. BC BH THEO CUSTOMER-USD'!$H60,'01. KE30'!$A:$A,'06. BC BH THEO CUSTOMER-USD'!CW$4)/1000</f>
        <v>0</v>
      </c>
      <c r="CX60" s="114">
        <f>SUMIFS('01. KE30'!$I:$I,'01. KE30'!$C:$C,'06. BC BH THEO CUSTOMER-USD'!$D60,'01. KE30'!$F:$F,'06. BC BH THEO CUSTOMER-USD'!$H60,'01. KE30'!$A:$A,'06. BC BH THEO CUSTOMER-USD'!CX$4)/1000</f>
        <v>0</v>
      </c>
      <c r="CY60" s="114">
        <f>SUMIFS('01. KE30'!$I:$I,'01. KE30'!$C:$C,'06. BC BH THEO CUSTOMER-USD'!$D60,'01. KE30'!$F:$F,'06. BC BH THEO CUSTOMER-USD'!$H60,'01. KE30'!$A:$A,'06. BC BH THEO CUSTOMER-USD'!CY$4)/1000</f>
        <v>0</v>
      </c>
      <c r="CZ60" s="114">
        <f>SUMIFS('01. KE30'!$I:$I,'01. KE30'!$C:$C,'06. BC BH THEO CUSTOMER-USD'!$D60,'01. KE30'!$F:$F,'06. BC BH THEO CUSTOMER-USD'!$H60,'01. KE30'!$A:$A,'06. BC BH THEO CUSTOMER-USD'!CZ$4)/1000</f>
        <v>0</v>
      </c>
      <c r="DA60" s="114">
        <f>SUMIFS('01. KE30'!$I:$I,'01. KE30'!$C:$C,'06. BC BH THEO CUSTOMER-USD'!$D60,'01. KE30'!$F:$F,'06. BC BH THEO CUSTOMER-USD'!$H60,'01. KE30'!$A:$A,'06. BC BH THEO CUSTOMER-USD'!DA$4)/1000</f>
        <v>0</v>
      </c>
      <c r="DB60" s="114">
        <f>SUMIFS('01. KE30'!$I:$I,'01. KE30'!$C:$C,'06. BC BH THEO CUSTOMER-USD'!$D60,'01. KE30'!$F:$F,'06. BC BH THEO CUSTOMER-USD'!$H60,'01. KE30'!$A:$A,'06. BC BH THEO CUSTOMER-USD'!DB$4)/1000</f>
        <v>0</v>
      </c>
      <c r="DC60" s="114">
        <f>SUMIFS('01. KE30'!$I:$I,'01. KE30'!$C:$C,'06. BC BH THEO CUSTOMER-USD'!$D60,'01. KE30'!$F:$F,'06. BC BH THEO CUSTOMER-USD'!$H60,'01. KE30'!$A:$A,'06. BC BH THEO CUSTOMER-USD'!DC$4)/1000</f>
        <v>0</v>
      </c>
      <c r="DD60" s="114">
        <f>SUMIFS('01. KE30'!$I:$I,'01. KE30'!$C:$C,'06. BC BH THEO CUSTOMER-USD'!$D60,'01. KE30'!$F:$F,'06. BC BH THEO CUSTOMER-USD'!$H60,'01. KE30'!$A:$A,'06. BC BH THEO CUSTOMER-USD'!DD$4)/1000</f>
        <v>0</v>
      </c>
      <c r="DF60" s="112">
        <f t="shared" si="267"/>
        <v>1247.7353288696336</v>
      </c>
      <c r="DG60" s="54" t="str">
        <f t="shared" si="48"/>
        <v>-</v>
      </c>
      <c r="DH60" s="54">
        <f t="shared" si="49"/>
        <v>1247.7353288696336</v>
      </c>
      <c r="DI60" s="54" t="str">
        <f t="shared" si="50"/>
        <v>-</v>
      </c>
      <c r="DJ60" s="54" t="str">
        <f t="shared" si="51"/>
        <v>-</v>
      </c>
      <c r="DK60" s="54" t="str">
        <f t="shared" si="52"/>
        <v>-</v>
      </c>
      <c r="DL60" s="54" t="str">
        <f t="shared" si="53"/>
        <v>-</v>
      </c>
      <c r="DM60" s="54" t="str">
        <f t="shared" si="54"/>
        <v>-</v>
      </c>
      <c r="DN60" s="54" t="str">
        <f t="shared" si="55"/>
        <v>-</v>
      </c>
      <c r="DO60" s="54" t="str">
        <f t="shared" si="56"/>
        <v>-</v>
      </c>
      <c r="DP60" s="54" t="str">
        <f t="shared" si="57"/>
        <v>-</v>
      </c>
      <c r="DQ60" s="54" t="str">
        <f t="shared" si="58"/>
        <v>-</v>
      </c>
      <c r="DR60" s="54" t="str">
        <f t="shared" si="59"/>
        <v>-</v>
      </c>
      <c r="DT60" s="112">
        <f t="shared" si="60"/>
        <v>109.11016148089811</v>
      </c>
      <c r="DU60" s="114">
        <f>IFERROR(SUMIFS('01. KE30'!$X:$X,'01. KE30'!$C:$C,'06. BC BH THEO CUSTOMER-USD'!$D60,'01. KE30'!$F:$F,'06. BC BH THEO CUSTOMER-USD'!$H60,'01. KE30'!$A:$A,'06. BC BH THEO CUSTOMER-USD'!DU$4)-SUMIFS('01. KE30'!$AA:$AA,'01. KE30'!$C:$C,'06. BC BH THEO CUSTOMER-USD'!$D60,'01. KE30'!$F:$F,'06. BC BH THEO CUSTOMER-USD'!$H60,'01. KE30'!$A:$A,'06. BC BH THEO CUSTOMER-USD'!DU$4),"-")</f>
        <v>0</v>
      </c>
      <c r="DV60" s="114">
        <f>IFERROR(SUMIFS('01. KE30'!$X:$X,'01. KE30'!$C:$C,'06. BC BH THEO CUSTOMER-USD'!$D60,'01. KE30'!$F:$F,'06. BC BH THEO CUSTOMER-USD'!$H60,'01. KE30'!$A:$A,'06. BC BH THEO CUSTOMER-USD'!DV$4)-SUMIFS('01. KE30'!$AA:$AA,'01. KE30'!$C:$C,'06. BC BH THEO CUSTOMER-USD'!$D60,'01. KE30'!$F:$F,'06. BC BH THEO CUSTOMER-USD'!$H60,'01. KE30'!$A:$A,'06. BC BH THEO CUSTOMER-USD'!DV$4),"-")</f>
        <v>109.11016148089811</v>
      </c>
      <c r="DW60" s="114">
        <f>IFERROR(SUMIFS('01. KE30'!$X:$X,'01. KE30'!$C:$C,'06. BC BH THEO CUSTOMER-USD'!$D60,'01. KE30'!$F:$F,'06. BC BH THEO CUSTOMER-USD'!$H60,'01. KE30'!$A:$A,'06. BC BH THEO CUSTOMER-USD'!DW$4)-SUMIFS('01. KE30'!$AA:$AA,'01. KE30'!$C:$C,'06. BC BH THEO CUSTOMER-USD'!$D60,'01. KE30'!$F:$F,'06. BC BH THEO CUSTOMER-USD'!$H60,'01. KE30'!$A:$A,'06. BC BH THEO CUSTOMER-USD'!DW$4),"-")</f>
        <v>0</v>
      </c>
      <c r="DX60" s="114">
        <f>IFERROR(SUMIFS('01. KE30'!$X:$X,'01. KE30'!$C:$C,'06. BC BH THEO CUSTOMER-USD'!$D60,'01. KE30'!$F:$F,'06. BC BH THEO CUSTOMER-USD'!$H60,'01. KE30'!$A:$A,'06. BC BH THEO CUSTOMER-USD'!DX$4)-SUMIFS('01. KE30'!$AA:$AA,'01. KE30'!$C:$C,'06. BC BH THEO CUSTOMER-USD'!$D60,'01. KE30'!$F:$F,'06. BC BH THEO CUSTOMER-USD'!$H60,'01. KE30'!$A:$A,'06. BC BH THEO CUSTOMER-USD'!DX$4),"-")</f>
        <v>0</v>
      </c>
      <c r="DY60" s="114">
        <f>IFERROR(SUMIFS('01. KE30'!$X:$X,'01. KE30'!$C:$C,'06. BC BH THEO CUSTOMER-USD'!$D60,'01. KE30'!$F:$F,'06. BC BH THEO CUSTOMER-USD'!$H60,'01. KE30'!$A:$A,'06. BC BH THEO CUSTOMER-USD'!DY$4)-SUMIFS('01. KE30'!$AA:$AA,'01. KE30'!$C:$C,'06. BC BH THEO CUSTOMER-USD'!$D60,'01. KE30'!$F:$F,'06. BC BH THEO CUSTOMER-USD'!$H60,'01. KE30'!$A:$A,'06. BC BH THEO CUSTOMER-USD'!DY$4),"-")</f>
        <v>0</v>
      </c>
      <c r="DZ60" s="114">
        <f>IFERROR(SUMIFS('01. KE30'!$X:$X,'01. KE30'!$C:$C,'06. BC BH THEO CUSTOMER-USD'!$D60,'01. KE30'!$F:$F,'06. BC BH THEO CUSTOMER-USD'!$H60,'01. KE30'!$A:$A,'06. BC BH THEO CUSTOMER-USD'!DZ$4)-SUMIFS('01. KE30'!$AA:$AA,'01. KE30'!$C:$C,'06. BC BH THEO CUSTOMER-USD'!$D60,'01. KE30'!$F:$F,'06. BC BH THEO CUSTOMER-USD'!$H60,'01. KE30'!$A:$A,'06. BC BH THEO CUSTOMER-USD'!DZ$4),"-")</f>
        <v>0</v>
      </c>
      <c r="EA60" s="114">
        <f>IFERROR(SUMIFS('01. KE30'!$X:$X,'01. KE30'!$C:$C,'06. BC BH THEO CUSTOMER-USD'!$D60,'01. KE30'!$F:$F,'06. BC BH THEO CUSTOMER-USD'!$H60,'01. KE30'!$A:$A,'06. BC BH THEO CUSTOMER-USD'!EA$4)-SUMIFS('01. KE30'!$AA:$AA,'01. KE30'!$C:$C,'06. BC BH THEO CUSTOMER-USD'!$D60,'01. KE30'!$F:$F,'06. BC BH THEO CUSTOMER-USD'!$H60,'01. KE30'!$A:$A,'06. BC BH THEO CUSTOMER-USD'!EA$4),"-")</f>
        <v>0</v>
      </c>
      <c r="EB60" s="114">
        <f>IFERROR(SUMIFS('01. KE30'!$X:$X,'01. KE30'!$C:$C,'06. BC BH THEO CUSTOMER-USD'!$D60,'01. KE30'!$F:$F,'06. BC BH THEO CUSTOMER-USD'!$H60,'01. KE30'!$A:$A,'06. BC BH THEO CUSTOMER-USD'!EB$4)-SUMIFS('01. KE30'!$AA:$AA,'01. KE30'!$C:$C,'06. BC BH THEO CUSTOMER-USD'!$D60,'01. KE30'!$F:$F,'06. BC BH THEO CUSTOMER-USD'!$H60,'01. KE30'!$A:$A,'06. BC BH THEO CUSTOMER-USD'!EB$4),"-")</f>
        <v>0</v>
      </c>
      <c r="EC60" s="114">
        <f>IFERROR(SUMIFS('01. KE30'!$X:$X,'01. KE30'!$C:$C,'06. BC BH THEO CUSTOMER-USD'!$D60,'01. KE30'!$F:$F,'06. BC BH THEO CUSTOMER-USD'!$H60,'01. KE30'!$A:$A,'06. BC BH THEO CUSTOMER-USD'!EC$4)-SUMIFS('01. KE30'!$AA:$AA,'01. KE30'!$C:$C,'06. BC BH THEO CUSTOMER-USD'!$D60,'01. KE30'!$F:$F,'06. BC BH THEO CUSTOMER-USD'!$H60,'01. KE30'!$A:$A,'06. BC BH THEO CUSTOMER-USD'!EC$4),"-")</f>
        <v>0</v>
      </c>
      <c r="ED60" s="114">
        <f>IFERROR(SUMIFS('01. KE30'!$X:$X,'01. KE30'!$C:$C,'06. BC BH THEO CUSTOMER-USD'!$D60,'01. KE30'!$F:$F,'06. BC BH THEO CUSTOMER-USD'!$H60,'01. KE30'!$A:$A,'06. BC BH THEO CUSTOMER-USD'!ED$4)-SUMIFS('01. KE30'!$AA:$AA,'01. KE30'!$C:$C,'06. BC BH THEO CUSTOMER-USD'!$D60,'01. KE30'!$F:$F,'06. BC BH THEO CUSTOMER-USD'!$H60,'01. KE30'!$A:$A,'06. BC BH THEO CUSTOMER-USD'!ED$4),"-")</f>
        <v>0</v>
      </c>
      <c r="EE60" s="114">
        <f>IFERROR(SUMIFS('01. KE30'!$X:$X,'01. KE30'!$C:$C,'06. BC BH THEO CUSTOMER-USD'!$D60,'01. KE30'!$F:$F,'06. BC BH THEO CUSTOMER-USD'!$H60,'01. KE30'!$A:$A,'06. BC BH THEO CUSTOMER-USD'!EE$4)-SUMIFS('01. KE30'!$AA:$AA,'01. KE30'!$C:$C,'06. BC BH THEO CUSTOMER-USD'!$D60,'01. KE30'!$F:$F,'06. BC BH THEO CUSTOMER-USD'!$H60,'01. KE30'!$A:$A,'06. BC BH THEO CUSTOMER-USD'!EE$4),"-")</f>
        <v>0</v>
      </c>
      <c r="EF60" s="114">
        <f>IFERROR(SUMIFS('01. KE30'!$X:$X,'01. KE30'!$C:$C,'06. BC BH THEO CUSTOMER-USD'!$D60,'01. KE30'!$F:$F,'06. BC BH THEO CUSTOMER-USD'!$H60,'01. KE30'!$A:$A,'06. BC BH THEO CUSTOMER-USD'!EF$4)-SUMIFS('01. KE30'!$AA:$AA,'01. KE30'!$C:$C,'06. BC BH THEO CUSTOMER-USD'!$D60,'01. KE30'!$F:$F,'06. BC BH THEO CUSTOMER-USD'!$H60,'01. KE30'!$A:$A,'06. BC BH THEO CUSTOMER-USD'!EF$4),"-")</f>
        <v>0</v>
      </c>
      <c r="EH60" s="571">
        <f t="shared" si="29"/>
        <v>8.7446559343434455E-2</v>
      </c>
      <c r="EI60" s="572" t="str">
        <f t="shared" si="30"/>
        <v>-</v>
      </c>
      <c r="EJ60" s="572">
        <f t="shared" si="31"/>
        <v>8.7446559343434455E-2</v>
      </c>
      <c r="EK60" s="572" t="str">
        <f t="shared" si="32"/>
        <v>-</v>
      </c>
      <c r="EL60" s="572" t="str">
        <f t="shared" si="33"/>
        <v>-</v>
      </c>
      <c r="EM60" s="572" t="str">
        <f t="shared" si="34"/>
        <v>-</v>
      </c>
      <c r="EN60" s="572" t="str">
        <f t="shared" si="35"/>
        <v>-</v>
      </c>
      <c r="EO60" s="572" t="str">
        <f t="shared" si="36"/>
        <v>-</v>
      </c>
      <c r="EP60" s="572" t="str">
        <f t="shared" si="37"/>
        <v>-</v>
      </c>
      <c r="EQ60" s="572" t="str">
        <f t="shared" si="38"/>
        <v>-</v>
      </c>
      <c r="ER60" s="572" t="str">
        <f t="shared" si="39"/>
        <v>-</v>
      </c>
      <c r="ES60" s="572" t="str">
        <f t="shared" si="40"/>
        <v>-</v>
      </c>
      <c r="ET60" s="572" t="str">
        <f t="shared" si="41"/>
        <v>-</v>
      </c>
    </row>
    <row r="61" spans="1:150" ht="15.5" hidden="1" outlineLevel="1" x14ac:dyDescent="0.35">
      <c r="A61" s="27">
        <f t="shared" si="63"/>
        <v>50</v>
      </c>
      <c r="B61" s="27" t="s">
        <v>283</v>
      </c>
      <c r="C61" s="442" t="s">
        <v>489</v>
      </c>
      <c r="D61" s="9" t="s">
        <v>517</v>
      </c>
      <c r="E61" s="31" t="s">
        <v>518</v>
      </c>
      <c r="F61" s="12" t="s">
        <v>245</v>
      </c>
      <c r="G61" s="12" t="str">
        <f>_xlfn.XLOOKUP(F61,'Quy đổi'!$G$5:$G$32,'Quy đổi'!$H$5:$H$32,0)</f>
        <v>Nội địa</v>
      </c>
      <c r="H61" s="76" t="s">
        <v>100</v>
      </c>
      <c r="I61" s="31" t="s">
        <v>99</v>
      </c>
      <c r="J61" s="13" t="s">
        <v>22</v>
      </c>
      <c r="K61" s="30"/>
      <c r="L61" s="92">
        <f>IFERROR(AVERAGE(M61:X61),"-")</f>
        <v>1298.075590551181</v>
      </c>
      <c r="M61" s="106" t="str">
        <f>IFERROR(SUMIFS('01. KE30'!$K:$K,'01. KE30'!$C:$C,'06. BC BH THEO CUSTOMER-USD'!$D61,'01. KE30'!$F:$F,'06. BC BH THEO CUSTOMER-USD'!$H61,'01. KE30'!$A:$A,'06. BC BH THEO CUSTOMER-USD'!M$4)/'06. BC BH THEO CUSTOMER-USD'!CS61/'02. Tỷ giá'!B$5,"-")</f>
        <v>-</v>
      </c>
      <c r="N61" s="106" t="str">
        <f>IFERROR(SUMIFS('01. KE30'!$K:$K,'01. KE30'!$C:$C,'06. BC BH THEO CUSTOMER-USD'!$D61,'01. KE30'!$F:$F,'06. BC BH THEO CUSTOMER-USD'!$H61,'01. KE30'!$A:$A,'06. BC BH THEO CUSTOMER-USD'!N$4)/'06. BC BH THEO CUSTOMER-USD'!CT61/'02. Tỷ giá'!C$5,"-")</f>
        <v>-</v>
      </c>
      <c r="O61" s="106">
        <f>IFERROR(SUMIFS('01. KE30'!$K:$K,'01. KE30'!$C:$C,'06. BC BH THEO CUSTOMER-USD'!$D61,'01. KE30'!$F:$F,'06. BC BH THEO CUSTOMER-USD'!$H61,'01. KE30'!$A:$A,'06. BC BH THEO CUSTOMER-USD'!O$4)/'06. BC BH THEO CUSTOMER-USD'!CU61/'02. Tỷ giá'!D$5,"-")</f>
        <v>1298.075590551181</v>
      </c>
      <c r="P61" s="106" t="str">
        <f>IFERROR(SUMIFS('01. KE30'!$K:$K,'01. KE30'!$C:$C,'06. BC BH THEO CUSTOMER-USD'!$D61,'01. KE30'!$F:$F,'06. BC BH THEO CUSTOMER-USD'!$H61,'01. KE30'!$A:$A,'06. BC BH THEO CUSTOMER-USD'!P$4)/'06. BC BH THEO CUSTOMER-USD'!CV61/'02. Tỷ giá'!E$5,"-")</f>
        <v>-</v>
      </c>
      <c r="Q61" s="106" t="str">
        <f>IFERROR(SUMIFS('01. KE30'!$K:$K,'01. KE30'!$C:$C,'06. BC BH THEO CUSTOMER-USD'!$D61,'01. KE30'!$F:$F,'06. BC BH THEO CUSTOMER-USD'!$H61,'01. KE30'!$A:$A,'06. BC BH THEO CUSTOMER-USD'!Q$4)/'06. BC BH THEO CUSTOMER-USD'!CW61/'02. Tỷ giá'!F$5,"-")</f>
        <v>-</v>
      </c>
      <c r="R61" s="106" t="str">
        <f>IFERROR(SUMIFS('01. KE30'!$K:$K,'01. KE30'!$C:$C,'06. BC BH THEO CUSTOMER-USD'!$D61,'01. KE30'!$F:$F,'06. BC BH THEO CUSTOMER-USD'!$H61,'01. KE30'!$A:$A,'06. BC BH THEO CUSTOMER-USD'!R$4)/'06. BC BH THEO CUSTOMER-USD'!CX61/'02. Tỷ giá'!G$5,"-")</f>
        <v>-</v>
      </c>
      <c r="S61" s="106" t="str">
        <f>IFERROR(SUMIFS('01. KE30'!$K:$K,'01. KE30'!$C:$C,'06. BC BH THEO CUSTOMER-USD'!$D61,'01. KE30'!$F:$F,'06. BC BH THEO CUSTOMER-USD'!$H61,'01. KE30'!$A:$A,'06. BC BH THEO CUSTOMER-USD'!S$4)/'06. BC BH THEO CUSTOMER-USD'!CY61/'02. Tỷ giá'!H$5,"-")</f>
        <v>-</v>
      </c>
      <c r="T61" s="106" t="str">
        <f>IFERROR(SUMIFS('01. KE30'!$K:$K,'01. KE30'!$C:$C,'06. BC BH THEO CUSTOMER-USD'!$D61,'01. KE30'!$F:$F,'06. BC BH THEO CUSTOMER-USD'!$H61,'01. KE30'!$A:$A,'06. BC BH THEO CUSTOMER-USD'!T$4)/'06. BC BH THEO CUSTOMER-USD'!CZ61/'02. Tỷ giá'!I$5,"-")</f>
        <v>-</v>
      </c>
      <c r="U61" s="106" t="str">
        <f>IFERROR(SUMIFS('01. KE30'!$K:$K,'01. KE30'!$C:$C,'06. BC BH THEO CUSTOMER-USD'!$D61,'01. KE30'!$F:$F,'06. BC BH THEO CUSTOMER-USD'!$H61,'01. KE30'!$A:$A,'06. BC BH THEO CUSTOMER-USD'!U$4)/'06. BC BH THEO CUSTOMER-USD'!DA61/'02. Tỷ giá'!J$5,"-")</f>
        <v>-</v>
      </c>
      <c r="V61" s="106" t="str">
        <f>IFERROR(SUMIFS('01. KE30'!$K:$K,'01. KE30'!$C:$C,'06. BC BH THEO CUSTOMER-USD'!$D61,'01. KE30'!$F:$F,'06. BC BH THEO CUSTOMER-USD'!$H61,'01. KE30'!$A:$A,'06. BC BH THEO CUSTOMER-USD'!V$4)/'06. BC BH THEO CUSTOMER-USD'!DB61/'02. Tỷ giá'!K$5,"-")</f>
        <v>-</v>
      </c>
      <c r="W61" s="106" t="str">
        <f>IFERROR(SUMIFS('01. KE30'!$K:$K,'01. KE30'!$C:$C,'06. BC BH THEO CUSTOMER-USD'!$D61,'01. KE30'!$F:$F,'06. BC BH THEO CUSTOMER-USD'!$H61,'01. KE30'!$A:$A,'06. BC BH THEO CUSTOMER-USD'!W$4)/'06. BC BH THEO CUSTOMER-USD'!DC61/'02. Tỷ giá'!L$5,"-")</f>
        <v>-</v>
      </c>
      <c r="X61" s="106" t="str">
        <f>IFERROR(SUMIFS('01. KE30'!$K:$K,'01. KE30'!$C:$C,'06. BC BH THEO CUSTOMER-USD'!$D61,'01. KE30'!$F:$F,'06. BC BH THEO CUSTOMER-USD'!$H61,'01. KE30'!$A:$A,'06. BC BH THEO CUSTOMER-USD'!X$4)/'06. BC BH THEO CUSTOMER-USD'!DD61/'02. Tỷ giá'!M$5,"-")</f>
        <v>-</v>
      </c>
      <c r="Z61" s="92">
        <f>IFERROR(AVERAGE(AA61:AL61),"-")</f>
        <v>1293.5301360057265</v>
      </c>
      <c r="AA61" s="147" t="str">
        <f>IFERROR(SUMIFS('01. KE30'!$O:$O,'01. KE30'!$C:$C,'06. BC BH THEO CUSTOMER-USD'!$D61,'01. KE30'!$F:$F,'06. BC BH THEO CUSTOMER-USD'!$H61,'01. KE30'!$A:$A,'06. BC BH THEO CUSTOMER-USD'!M$4)/'06. BC BH THEO CUSTOMER-USD'!CS61/'02. Tỷ giá'!B$5,"-")</f>
        <v>-</v>
      </c>
      <c r="AB61" s="147" t="str">
        <f>IFERROR(SUMIFS('01. KE30'!$O:$O,'01. KE30'!$C:$C,'06. BC BH THEO CUSTOMER-USD'!$D61,'01. KE30'!$F:$F,'06. BC BH THEO CUSTOMER-USD'!$H61,'01. KE30'!$A:$A,'06. BC BH THEO CUSTOMER-USD'!N$4)/'06. BC BH THEO CUSTOMER-USD'!CT61/'02. Tỷ giá'!C$5,"-")</f>
        <v>-</v>
      </c>
      <c r="AC61" s="147">
        <f>IFERROR(SUMIFS('01. KE30'!$O:$O,'01. KE30'!$C:$C,'06. BC BH THEO CUSTOMER-USD'!$D61,'01. KE30'!$F:$F,'06. BC BH THEO CUSTOMER-USD'!$H61,'01. KE30'!$A:$A,'06. BC BH THEO CUSTOMER-USD'!O$4)/'06. BC BH THEO CUSTOMER-USD'!CU61/'02. Tỷ giá'!D$5,"-")</f>
        <v>1293.5301360057265</v>
      </c>
      <c r="AD61" s="147" t="str">
        <f>IFERROR(SUMIFS('01. KE30'!$O:$O,'01. KE30'!$C:$C,'06. BC BH THEO CUSTOMER-USD'!$D61,'01. KE30'!$F:$F,'06. BC BH THEO CUSTOMER-USD'!$H61,'01. KE30'!$A:$A,'06. BC BH THEO CUSTOMER-USD'!P$4)/'06. BC BH THEO CUSTOMER-USD'!CV61/'02. Tỷ giá'!E$5,"-")</f>
        <v>-</v>
      </c>
      <c r="AE61" s="147" t="str">
        <f>IFERROR(SUMIFS('01. KE30'!$O:$O,'01. KE30'!$C:$C,'06. BC BH THEO CUSTOMER-USD'!$D61,'01. KE30'!$F:$F,'06. BC BH THEO CUSTOMER-USD'!$H61,'01. KE30'!$A:$A,'06. BC BH THEO CUSTOMER-USD'!Q$4)/'06. BC BH THEO CUSTOMER-USD'!CW61/'02. Tỷ giá'!F$5,"-")</f>
        <v>-</v>
      </c>
      <c r="AF61" s="147" t="str">
        <f>IFERROR(SUMIFS('01. KE30'!$O:$O,'01. KE30'!$C:$C,'06. BC BH THEO CUSTOMER-USD'!$D61,'01. KE30'!$F:$F,'06. BC BH THEO CUSTOMER-USD'!$H61,'01. KE30'!$A:$A,'06. BC BH THEO CUSTOMER-USD'!R$4)/'06. BC BH THEO CUSTOMER-USD'!CX61/'02. Tỷ giá'!G$5,"-")</f>
        <v>-</v>
      </c>
      <c r="AG61" s="147" t="str">
        <f>IFERROR(SUMIFS('01. KE30'!$O:$O,'01. KE30'!$C:$C,'06. BC BH THEO CUSTOMER-USD'!$D61,'01. KE30'!$F:$F,'06. BC BH THEO CUSTOMER-USD'!$H61,'01. KE30'!$A:$A,'06. BC BH THEO CUSTOMER-USD'!S$4)/'06. BC BH THEO CUSTOMER-USD'!CY61/'02. Tỷ giá'!H$5,"-")</f>
        <v>-</v>
      </c>
      <c r="AH61" s="147" t="str">
        <f>IFERROR(SUMIFS('01. KE30'!$O:$O,'01. KE30'!$C:$C,'06. BC BH THEO CUSTOMER-USD'!$D61,'01. KE30'!$F:$F,'06. BC BH THEO CUSTOMER-USD'!$H61,'01. KE30'!$A:$A,'06. BC BH THEO CUSTOMER-USD'!T$4)/'06. BC BH THEO CUSTOMER-USD'!CZ61/'02. Tỷ giá'!I$5,"-")</f>
        <v>-</v>
      </c>
      <c r="AI61" s="147" t="str">
        <f>IFERROR(SUMIFS('01. KE30'!$O:$O,'01. KE30'!$C:$C,'06. BC BH THEO CUSTOMER-USD'!$D61,'01. KE30'!$F:$F,'06. BC BH THEO CUSTOMER-USD'!$H61,'01. KE30'!$A:$A,'06. BC BH THEO CUSTOMER-USD'!U$4)/'06. BC BH THEO CUSTOMER-USD'!DA61/'02. Tỷ giá'!J$5,"-")</f>
        <v>-</v>
      </c>
      <c r="AJ61" s="147" t="str">
        <f>IFERROR(SUMIFS('01. KE30'!$O:$O,'01. KE30'!$C:$C,'06. BC BH THEO CUSTOMER-USD'!$D61,'01. KE30'!$F:$F,'06. BC BH THEO CUSTOMER-USD'!$H61,'01. KE30'!$A:$A,'06. BC BH THEO CUSTOMER-USD'!V$4)/'06. BC BH THEO CUSTOMER-USD'!DB61/'02. Tỷ giá'!K$5,"-")</f>
        <v>-</v>
      </c>
      <c r="AK61" s="147" t="str">
        <f>IFERROR(SUMIFS('01. KE30'!$O:$O,'01. KE30'!$C:$C,'06. BC BH THEO CUSTOMER-USD'!$D61,'01. KE30'!$F:$F,'06. BC BH THEO CUSTOMER-USD'!$H61,'01. KE30'!$A:$A,'06. BC BH THEO CUSTOMER-USD'!W$4)/'06. BC BH THEO CUSTOMER-USD'!DC61/'02. Tỷ giá'!L$5,"-")</f>
        <v>-</v>
      </c>
      <c r="AL61" s="147" t="str">
        <f>IFERROR(SUMIFS('01. KE30'!$O:$O,'01. KE30'!$C:$C,'06. BC BH THEO CUSTOMER-USD'!$D61,'01. KE30'!$F:$F,'06. BC BH THEO CUSTOMER-USD'!$H61,'01. KE30'!$A:$A,'06. BC BH THEO CUSTOMER-USD'!X$4)/'06. BC BH THEO CUSTOMER-USD'!DD61/'02. Tỷ giá'!M$5,"-")</f>
        <v>-</v>
      </c>
      <c r="AN61" s="92">
        <f>IFERROR(AVERAGE(AO61:AZ61),"-")</f>
        <v>1266.6666666666667</v>
      </c>
      <c r="AO61" s="25">
        <v>1260</v>
      </c>
      <c r="AP61" s="25">
        <v>1260</v>
      </c>
      <c r="AQ61" s="25">
        <v>1260</v>
      </c>
      <c r="AR61" s="4">
        <f t="shared" ref="AR61:AR62" si="390">AQ61+20</f>
        <v>1280</v>
      </c>
      <c r="AS61" s="4">
        <v>1280</v>
      </c>
      <c r="AT61" s="4">
        <v>1280</v>
      </c>
      <c r="AU61" s="4">
        <v>1280</v>
      </c>
      <c r="AV61" s="4">
        <f t="shared" si="205"/>
        <v>1250</v>
      </c>
      <c r="AW61" s="25">
        <v>1250</v>
      </c>
      <c r="AX61" s="25"/>
      <c r="AY61" s="4"/>
      <c r="AZ61" s="4"/>
      <c r="BB61" s="95">
        <f t="shared" ref="BB61:BN61" si="391">IF(L61&lt;&gt;"-",Z61-AN61,"-")</f>
        <v>26.863469339059748</v>
      </c>
      <c r="BC61" s="95" t="str">
        <f t="shared" si="391"/>
        <v>-</v>
      </c>
      <c r="BD61" s="95" t="str">
        <f t="shared" si="391"/>
        <v>-</v>
      </c>
      <c r="BE61" s="95">
        <f t="shared" si="391"/>
        <v>33.53013600572649</v>
      </c>
      <c r="BF61" s="95" t="str">
        <f t="shared" si="391"/>
        <v>-</v>
      </c>
      <c r="BG61" s="95" t="str">
        <f t="shared" si="391"/>
        <v>-</v>
      </c>
      <c r="BH61" s="95" t="str">
        <f t="shared" si="391"/>
        <v>-</v>
      </c>
      <c r="BI61" s="95" t="str">
        <f t="shared" si="391"/>
        <v>-</v>
      </c>
      <c r="BJ61" s="95" t="str">
        <f t="shared" si="391"/>
        <v>-</v>
      </c>
      <c r="BK61" s="95" t="str">
        <f t="shared" si="391"/>
        <v>-</v>
      </c>
      <c r="BL61" s="95" t="str">
        <f t="shared" si="391"/>
        <v>-</v>
      </c>
      <c r="BM61" s="95" t="str">
        <f t="shared" si="391"/>
        <v>-</v>
      </c>
      <c r="BN61" s="95" t="str">
        <f t="shared" si="391"/>
        <v>-</v>
      </c>
      <c r="BP61" s="143">
        <f t="shared" ref="BP61:CB61" si="392">IFERROR(IF(BB61&lt;&gt;"-",BB61/AN61,"-"),"-")</f>
        <v>2.1208002109784008E-2</v>
      </c>
      <c r="BQ61" s="143" t="str">
        <f t="shared" si="392"/>
        <v>-</v>
      </c>
      <c r="BR61" s="143" t="str">
        <f t="shared" si="392"/>
        <v>-</v>
      </c>
      <c r="BS61" s="143">
        <f t="shared" si="392"/>
        <v>2.6611219052163879E-2</v>
      </c>
      <c r="BT61" s="143" t="str">
        <f t="shared" si="392"/>
        <v>-</v>
      </c>
      <c r="BU61" s="143" t="str">
        <f t="shared" si="392"/>
        <v>-</v>
      </c>
      <c r="BV61" s="143" t="str">
        <f t="shared" si="392"/>
        <v>-</v>
      </c>
      <c r="BW61" s="143" t="str">
        <f t="shared" si="392"/>
        <v>-</v>
      </c>
      <c r="BX61" s="143" t="str">
        <f t="shared" si="392"/>
        <v>-</v>
      </c>
      <c r="BY61" s="143" t="str">
        <f t="shared" si="392"/>
        <v>-</v>
      </c>
      <c r="BZ61" s="143" t="str">
        <f t="shared" si="392"/>
        <v>-</v>
      </c>
      <c r="CA61" s="143" t="str">
        <f t="shared" si="392"/>
        <v>-</v>
      </c>
      <c r="CB61" s="143" t="str">
        <f t="shared" si="392"/>
        <v>-</v>
      </c>
      <c r="CD61" s="112">
        <f>IFERROR(AVERAGE(CE61:CP61),"-")</f>
        <v>997.67758768790259</v>
      </c>
      <c r="CE61" s="95" t="str">
        <f>IFERROR(SUMIFS('01. KE30'!$R:$R,'01. KE30'!$C:$C,'06. BC BH THEO CUSTOMER-USD'!$D61,'01. KE30'!$F:$F,'06. BC BH THEO CUSTOMER-USD'!$H61,'01. KE30'!$A:$A,'06. BC BH THEO CUSTOMER-USD'!CE$4)/CS61/'02. Tỷ giá'!B$5," -")</f>
        <v xml:space="preserve"> -</v>
      </c>
      <c r="CF61" s="95" t="str">
        <f>IFERROR(SUMIFS('01. KE30'!$R:$R,'01. KE30'!$C:$C,'06. BC BH THEO CUSTOMER-USD'!$D61,'01. KE30'!$F:$F,'06. BC BH THEO CUSTOMER-USD'!$H61,'01. KE30'!$A:$A,'06. BC BH THEO CUSTOMER-USD'!CF$4)/CT61/'02. Tỷ giá'!C$5," -")</f>
        <v xml:space="preserve"> -</v>
      </c>
      <c r="CG61" s="95">
        <f>IFERROR(SUMIFS('01. KE30'!$R:$R,'01. KE30'!$C:$C,'06. BC BH THEO CUSTOMER-USD'!$D61,'01. KE30'!$F:$F,'06. BC BH THEO CUSTOMER-USD'!$H61,'01. KE30'!$A:$A,'06. BC BH THEO CUSTOMER-USD'!CG$4)/CU61/'02. Tỷ giá'!D$5," -")</f>
        <v>997.67758768790259</v>
      </c>
      <c r="CH61" s="95" t="str">
        <f>IFERROR(SUMIFS('01. KE30'!$R:$R,'01. KE30'!$C:$C,'06. BC BH THEO CUSTOMER-USD'!$D61,'01. KE30'!$F:$F,'06. BC BH THEO CUSTOMER-USD'!$H61,'01. KE30'!$A:$A,'06. BC BH THEO CUSTOMER-USD'!CH$4)/CV61/'02. Tỷ giá'!E$5," -")</f>
        <v xml:space="preserve"> -</v>
      </c>
      <c r="CI61" s="95" t="str">
        <f>IFERROR(SUMIFS('01. KE30'!$R:$R,'01. KE30'!$C:$C,'06. BC BH THEO CUSTOMER-USD'!$D61,'01. KE30'!$F:$F,'06. BC BH THEO CUSTOMER-USD'!$H61,'01. KE30'!$A:$A,'06. BC BH THEO CUSTOMER-USD'!CI$4)/CW61/'02. Tỷ giá'!F$5," -")</f>
        <v xml:space="preserve"> -</v>
      </c>
      <c r="CJ61" s="95" t="str">
        <f>IFERROR(SUMIFS('01. KE30'!$R:$R,'01. KE30'!$C:$C,'06. BC BH THEO CUSTOMER-USD'!$D61,'01. KE30'!$F:$F,'06. BC BH THEO CUSTOMER-USD'!$H61,'01. KE30'!$A:$A,'06. BC BH THEO CUSTOMER-USD'!CJ$4)/CX61/'02. Tỷ giá'!G$5," -")</f>
        <v xml:space="preserve"> -</v>
      </c>
      <c r="CK61" s="95" t="str">
        <f>IFERROR(SUMIFS('01. KE30'!$R:$R,'01. KE30'!$C:$C,'06. BC BH THEO CUSTOMER-USD'!$D61,'01. KE30'!$F:$F,'06. BC BH THEO CUSTOMER-USD'!$H61,'01. KE30'!$A:$A,'06. BC BH THEO CUSTOMER-USD'!CK$4)/CY61/'02. Tỷ giá'!H$5," -")</f>
        <v xml:space="preserve"> -</v>
      </c>
      <c r="CL61" s="95" t="str">
        <f>IFERROR(SUMIFS('01. KE30'!$R:$R,'01. KE30'!$C:$C,'06. BC BH THEO CUSTOMER-USD'!$D61,'01. KE30'!$F:$F,'06. BC BH THEO CUSTOMER-USD'!$H61,'01. KE30'!$A:$A,'06. BC BH THEO CUSTOMER-USD'!CL$4)/CZ61/'02. Tỷ giá'!I$5," -")</f>
        <v xml:space="preserve"> -</v>
      </c>
      <c r="CM61" s="95" t="str">
        <f>IFERROR(SUMIFS('01. KE30'!$R:$R,'01. KE30'!$C:$C,'06. BC BH THEO CUSTOMER-USD'!$D61,'01. KE30'!$F:$F,'06. BC BH THEO CUSTOMER-USD'!$H61,'01. KE30'!$A:$A,'06. BC BH THEO CUSTOMER-USD'!CM$4)/DA61/'02. Tỷ giá'!J$5," -")</f>
        <v xml:space="preserve"> -</v>
      </c>
      <c r="CN61" s="95" t="str">
        <f>IFERROR(SUMIFS('01. KE30'!$R:$R,'01. KE30'!$C:$C,'06. BC BH THEO CUSTOMER-USD'!$D61,'01. KE30'!$F:$F,'06. BC BH THEO CUSTOMER-USD'!$H61,'01. KE30'!$A:$A,'06. BC BH THEO CUSTOMER-USD'!CN$4)/DB61/'02. Tỷ giá'!K$5," -")</f>
        <v xml:space="preserve"> -</v>
      </c>
      <c r="CO61" s="95" t="str">
        <f>IFERROR(SUMIFS('01. KE30'!$R:$R,'01. KE30'!$C:$C,'06. BC BH THEO CUSTOMER-USD'!$D61,'01. KE30'!$F:$F,'06. BC BH THEO CUSTOMER-USD'!$H61,'01. KE30'!$A:$A,'06. BC BH THEO CUSTOMER-USD'!CO$4)/DC61/'02. Tỷ giá'!L$5," -")</f>
        <v xml:space="preserve"> -</v>
      </c>
      <c r="CP61" s="95" t="str">
        <f>IFERROR(SUMIFS('01. KE30'!$R:$R,'01. KE30'!$C:$C,'06. BC BH THEO CUSTOMER-USD'!$D61,'01. KE30'!$F:$F,'06. BC BH THEO CUSTOMER-USD'!$H61,'01. KE30'!$A:$A,'06. BC BH THEO CUSTOMER-USD'!CP$4)/DD61/'02. Tỷ giá'!M$5," -")</f>
        <v xml:space="preserve"> -</v>
      </c>
      <c r="CR61" s="112">
        <f>SUM(CS61:DD61)</f>
        <v>5.5</v>
      </c>
      <c r="CS61" s="114">
        <f>SUMIFS('01. KE30'!$I:$I,'01. KE30'!$C:$C,'06. BC BH THEO CUSTOMER-USD'!$D61,'01. KE30'!$F:$F,'06. BC BH THEO CUSTOMER-USD'!$H61,'01. KE30'!$A:$A,'06. BC BH THEO CUSTOMER-USD'!CS$4)/1000</f>
        <v>0</v>
      </c>
      <c r="CT61" s="114">
        <f>SUMIFS('01. KE30'!$I:$I,'01. KE30'!$C:$C,'06. BC BH THEO CUSTOMER-USD'!$D61,'01. KE30'!$F:$F,'06. BC BH THEO CUSTOMER-USD'!$H61,'01. KE30'!$A:$A,'06. BC BH THEO CUSTOMER-USD'!CT$4)/1000</f>
        <v>0</v>
      </c>
      <c r="CU61" s="114">
        <f>SUMIFS('01. KE30'!$I:$I,'01. KE30'!$C:$C,'06. BC BH THEO CUSTOMER-USD'!$D61,'01. KE30'!$F:$F,'06. BC BH THEO CUSTOMER-USD'!$H61,'01. KE30'!$A:$A,'06. BC BH THEO CUSTOMER-USD'!CU$4)/1000</f>
        <v>5.5</v>
      </c>
      <c r="CV61" s="114">
        <f>SUMIFS('01. KE30'!$I:$I,'01. KE30'!$C:$C,'06. BC BH THEO CUSTOMER-USD'!$D61,'01. KE30'!$F:$F,'06. BC BH THEO CUSTOMER-USD'!$H61,'01. KE30'!$A:$A,'06. BC BH THEO CUSTOMER-USD'!CV$4)/1000</f>
        <v>0</v>
      </c>
      <c r="CW61" s="114">
        <f>SUMIFS('01. KE30'!$I:$I,'01. KE30'!$C:$C,'06. BC BH THEO CUSTOMER-USD'!$D61,'01. KE30'!$F:$F,'06. BC BH THEO CUSTOMER-USD'!$H61,'01. KE30'!$A:$A,'06. BC BH THEO CUSTOMER-USD'!CW$4)/1000</f>
        <v>0</v>
      </c>
      <c r="CX61" s="114">
        <f>SUMIFS('01. KE30'!$I:$I,'01. KE30'!$C:$C,'06. BC BH THEO CUSTOMER-USD'!$D61,'01. KE30'!$F:$F,'06. BC BH THEO CUSTOMER-USD'!$H61,'01. KE30'!$A:$A,'06. BC BH THEO CUSTOMER-USD'!CX$4)/1000</f>
        <v>0</v>
      </c>
      <c r="CY61" s="114">
        <f>SUMIFS('01. KE30'!$I:$I,'01. KE30'!$C:$C,'06. BC BH THEO CUSTOMER-USD'!$D61,'01. KE30'!$F:$F,'06. BC BH THEO CUSTOMER-USD'!$H61,'01. KE30'!$A:$A,'06. BC BH THEO CUSTOMER-USD'!CY$4)/1000</f>
        <v>0</v>
      </c>
      <c r="CZ61" s="114">
        <f>SUMIFS('01. KE30'!$I:$I,'01. KE30'!$C:$C,'06. BC BH THEO CUSTOMER-USD'!$D61,'01. KE30'!$F:$F,'06. BC BH THEO CUSTOMER-USD'!$H61,'01. KE30'!$A:$A,'06. BC BH THEO CUSTOMER-USD'!CZ$4)/1000</f>
        <v>0</v>
      </c>
      <c r="DA61" s="114">
        <f>SUMIFS('01. KE30'!$I:$I,'01. KE30'!$C:$C,'06. BC BH THEO CUSTOMER-USD'!$D61,'01. KE30'!$F:$F,'06. BC BH THEO CUSTOMER-USD'!$H61,'01. KE30'!$A:$A,'06. BC BH THEO CUSTOMER-USD'!DA$4)/1000</f>
        <v>0</v>
      </c>
      <c r="DB61" s="114">
        <f>SUMIFS('01. KE30'!$I:$I,'01. KE30'!$C:$C,'06. BC BH THEO CUSTOMER-USD'!$D61,'01. KE30'!$F:$F,'06. BC BH THEO CUSTOMER-USD'!$H61,'01. KE30'!$A:$A,'06. BC BH THEO CUSTOMER-USD'!DB$4)/1000</f>
        <v>0</v>
      </c>
      <c r="DC61" s="114">
        <f>SUMIFS('01. KE30'!$I:$I,'01. KE30'!$C:$C,'06. BC BH THEO CUSTOMER-USD'!$D61,'01. KE30'!$F:$F,'06. BC BH THEO CUSTOMER-USD'!$H61,'01. KE30'!$A:$A,'06. BC BH THEO CUSTOMER-USD'!DC$4)/1000</f>
        <v>0</v>
      </c>
      <c r="DD61" s="114">
        <f>SUMIFS('01. KE30'!$I:$I,'01. KE30'!$C:$C,'06. BC BH THEO CUSTOMER-USD'!$D61,'01. KE30'!$F:$F,'06. BC BH THEO CUSTOMER-USD'!$H61,'01. KE30'!$A:$A,'06. BC BH THEO CUSTOMER-USD'!DD$4)/1000</f>
        <v>0</v>
      </c>
      <c r="DF61" s="112">
        <f>SUM(DG61:DR61)</f>
        <v>7139.4157480314952</v>
      </c>
      <c r="DG61" s="54" t="str">
        <f t="shared" ref="DG61:DR61" si="393">IFERROR(M61*CS61,"-")</f>
        <v>-</v>
      </c>
      <c r="DH61" s="54" t="str">
        <f t="shared" si="393"/>
        <v>-</v>
      </c>
      <c r="DI61" s="54">
        <f t="shared" si="393"/>
        <v>7139.4157480314952</v>
      </c>
      <c r="DJ61" s="54" t="str">
        <f t="shared" si="393"/>
        <v>-</v>
      </c>
      <c r="DK61" s="54" t="str">
        <f t="shared" si="393"/>
        <v>-</v>
      </c>
      <c r="DL61" s="54" t="str">
        <f t="shared" si="393"/>
        <v>-</v>
      </c>
      <c r="DM61" s="54" t="str">
        <f t="shared" si="393"/>
        <v>-</v>
      </c>
      <c r="DN61" s="54" t="str">
        <f t="shared" si="393"/>
        <v>-</v>
      </c>
      <c r="DO61" s="54" t="str">
        <f t="shared" si="393"/>
        <v>-</v>
      </c>
      <c r="DP61" s="54" t="str">
        <f t="shared" si="393"/>
        <v>-</v>
      </c>
      <c r="DQ61" s="54" t="str">
        <f t="shared" si="393"/>
        <v>-</v>
      </c>
      <c r="DR61" s="54" t="str">
        <f t="shared" si="393"/>
        <v>-</v>
      </c>
      <c r="DT61" s="112">
        <f>SUM(DU61:EF61)</f>
        <v>1627.189015748032</v>
      </c>
      <c r="DU61" s="114">
        <f>IFERROR(SUMIFS('01. KE30'!$X:$X,'01. KE30'!$C:$C,'06. BC BH THEO CUSTOMER-USD'!$D61,'01. KE30'!$F:$F,'06. BC BH THEO CUSTOMER-USD'!$H61,'01. KE30'!$A:$A,'06. BC BH THEO CUSTOMER-USD'!DU$4)-SUMIFS('01. KE30'!$AA:$AA,'01. KE30'!$C:$C,'06. BC BH THEO CUSTOMER-USD'!$D61,'01. KE30'!$F:$F,'06. BC BH THEO CUSTOMER-USD'!$H61,'01. KE30'!$A:$A,'06. BC BH THEO CUSTOMER-USD'!DU$4),"-")</f>
        <v>0</v>
      </c>
      <c r="DV61" s="114">
        <f>IFERROR(SUMIFS('01. KE30'!$X:$X,'01. KE30'!$C:$C,'06. BC BH THEO CUSTOMER-USD'!$D61,'01. KE30'!$F:$F,'06. BC BH THEO CUSTOMER-USD'!$H61,'01. KE30'!$A:$A,'06. BC BH THEO CUSTOMER-USD'!DV$4)-SUMIFS('01. KE30'!$AA:$AA,'01. KE30'!$C:$C,'06. BC BH THEO CUSTOMER-USD'!$D61,'01. KE30'!$F:$F,'06. BC BH THEO CUSTOMER-USD'!$H61,'01. KE30'!$A:$A,'06. BC BH THEO CUSTOMER-USD'!DV$4),"-")</f>
        <v>0</v>
      </c>
      <c r="DW61" s="114">
        <f>IFERROR(SUMIFS('01. KE30'!$X:$X,'01. KE30'!$C:$C,'06. BC BH THEO CUSTOMER-USD'!$D61,'01. KE30'!$F:$F,'06. BC BH THEO CUSTOMER-USD'!$H61,'01. KE30'!$A:$A,'06. BC BH THEO CUSTOMER-USD'!DW$4)-SUMIFS('01. KE30'!$AA:$AA,'01. KE30'!$C:$C,'06. BC BH THEO CUSTOMER-USD'!$D61,'01. KE30'!$F:$F,'06. BC BH THEO CUSTOMER-USD'!$H61,'01. KE30'!$A:$A,'06. BC BH THEO CUSTOMER-USD'!DW$4),"-")</f>
        <v>1627.189015748032</v>
      </c>
      <c r="DX61" s="114">
        <f>IFERROR(SUMIFS('01. KE30'!$X:$X,'01. KE30'!$C:$C,'06. BC BH THEO CUSTOMER-USD'!$D61,'01. KE30'!$F:$F,'06. BC BH THEO CUSTOMER-USD'!$H61,'01. KE30'!$A:$A,'06. BC BH THEO CUSTOMER-USD'!DX$4)-SUMIFS('01. KE30'!$AA:$AA,'01. KE30'!$C:$C,'06. BC BH THEO CUSTOMER-USD'!$D61,'01. KE30'!$F:$F,'06. BC BH THEO CUSTOMER-USD'!$H61,'01. KE30'!$A:$A,'06. BC BH THEO CUSTOMER-USD'!DX$4),"-")</f>
        <v>0</v>
      </c>
      <c r="DY61" s="114">
        <f>IFERROR(SUMIFS('01. KE30'!$X:$X,'01. KE30'!$C:$C,'06. BC BH THEO CUSTOMER-USD'!$D61,'01. KE30'!$F:$F,'06. BC BH THEO CUSTOMER-USD'!$H61,'01. KE30'!$A:$A,'06. BC BH THEO CUSTOMER-USD'!DY$4)-SUMIFS('01. KE30'!$AA:$AA,'01. KE30'!$C:$C,'06. BC BH THEO CUSTOMER-USD'!$D61,'01. KE30'!$F:$F,'06. BC BH THEO CUSTOMER-USD'!$H61,'01. KE30'!$A:$A,'06. BC BH THEO CUSTOMER-USD'!DY$4),"-")</f>
        <v>0</v>
      </c>
      <c r="DZ61" s="114">
        <f>IFERROR(SUMIFS('01. KE30'!$X:$X,'01. KE30'!$C:$C,'06. BC BH THEO CUSTOMER-USD'!$D61,'01. KE30'!$F:$F,'06. BC BH THEO CUSTOMER-USD'!$H61,'01. KE30'!$A:$A,'06. BC BH THEO CUSTOMER-USD'!DZ$4)-SUMIFS('01. KE30'!$AA:$AA,'01. KE30'!$C:$C,'06. BC BH THEO CUSTOMER-USD'!$D61,'01. KE30'!$F:$F,'06. BC BH THEO CUSTOMER-USD'!$H61,'01. KE30'!$A:$A,'06. BC BH THEO CUSTOMER-USD'!DZ$4),"-")</f>
        <v>0</v>
      </c>
      <c r="EA61" s="114">
        <f>IFERROR(SUMIFS('01. KE30'!$X:$X,'01. KE30'!$C:$C,'06. BC BH THEO CUSTOMER-USD'!$D61,'01. KE30'!$F:$F,'06. BC BH THEO CUSTOMER-USD'!$H61,'01. KE30'!$A:$A,'06. BC BH THEO CUSTOMER-USD'!EA$4)-SUMIFS('01. KE30'!$AA:$AA,'01. KE30'!$C:$C,'06. BC BH THEO CUSTOMER-USD'!$D61,'01. KE30'!$F:$F,'06. BC BH THEO CUSTOMER-USD'!$H61,'01. KE30'!$A:$A,'06. BC BH THEO CUSTOMER-USD'!EA$4),"-")</f>
        <v>0</v>
      </c>
      <c r="EB61" s="114">
        <f>IFERROR(SUMIFS('01. KE30'!$X:$X,'01. KE30'!$C:$C,'06. BC BH THEO CUSTOMER-USD'!$D61,'01. KE30'!$F:$F,'06. BC BH THEO CUSTOMER-USD'!$H61,'01. KE30'!$A:$A,'06. BC BH THEO CUSTOMER-USD'!EB$4)-SUMIFS('01. KE30'!$AA:$AA,'01. KE30'!$C:$C,'06. BC BH THEO CUSTOMER-USD'!$D61,'01. KE30'!$F:$F,'06. BC BH THEO CUSTOMER-USD'!$H61,'01. KE30'!$A:$A,'06. BC BH THEO CUSTOMER-USD'!EB$4),"-")</f>
        <v>0</v>
      </c>
      <c r="EC61" s="114">
        <f>IFERROR(SUMIFS('01. KE30'!$X:$X,'01. KE30'!$C:$C,'06. BC BH THEO CUSTOMER-USD'!$D61,'01. KE30'!$F:$F,'06. BC BH THEO CUSTOMER-USD'!$H61,'01. KE30'!$A:$A,'06. BC BH THEO CUSTOMER-USD'!EC$4)-SUMIFS('01. KE30'!$AA:$AA,'01. KE30'!$C:$C,'06. BC BH THEO CUSTOMER-USD'!$D61,'01. KE30'!$F:$F,'06. BC BH THEO CUSTOMER-USD'!$H61,'01. KE30'!$A:$A,'06. BC BH THEO CUSTOMER-USD'!EC$4),"-")</f>
        <v>0</v>
      </c>
      <c r="ED61" s="114">
        <f>IFERROR(SUMIFS('01. KE30'!$X:$X,'01. KE30'!$C:$C,'06. BC BH THEO CUSTOMER-USD'!$D61,'01. KE30'!$F:$F,'06. BC BH THEO CUSTOMER-USD'!$H61,'01. KE30'!$A:$A,'06. BC BH THEO CUSTOMER-USD'!ED$4)-SUMIFS('01. KE30'!$AA:$AA,'01. KE30'!$C:$C,'06. BC BH THEO CUSTOMER-USD'!$D61,'01. KE30'!$F:$F,'06. BC BH THEO CUSTOMER-USD'!$H61,'01. KE30'!$A:$A,'06. BC BH THEO CUSTOMER-USD'!ED$4),"-")</f>
        <v>0</v>
      </c>
      <c r="EE61" s="114">
        <f>IFERROR(SUMIFS('01. KE30'!$X:$X,'01. KE30'!$C:$C,'06. BC BH THEO CUSTOMER-USD'!$D61,'01. KE30'!$F:$F,'06. BC BH THEO CUSTOMER-USD'!$H61,'01. KE30'!$A:$A,'06. BC BH THEO CUSTOMER-USD'!EE$4)-SUMIFS('01. KE30'!$AA:$AA,'01. KE30'!$C:$C,'06. BC BH THEO CUSTOMER-USD'!$D61,'01. KE30'!$F:$F,'06. BC BH THEO CUSTOMER-USD'!$H61,'01. KE30'!$A:$A,'06. BC BH THEO CUSTOMER-USD'!EE$4),"-")</f>
        <v>0</v>
      </c>
      <c r="EF61" s="114">
        <f>IFERROR(SUMIFS('01. KE30'!$X:$X,'01. KE30'!$C:$C,'06. BC BH THEO CUSTOMER-USD'!$D61,'01. KE30'!$F:$F,'06. BC BH THEO CUSTOMER-USD'!$H61,'01. KE30'!$A:$A,'06. BC BH THEO CUSTOMER-USD'!EF$4)-SUMIFS('01. KE30'!$AA:$AA,'01. KE30'!$C:$C,'06. BC BH THEO CUSTOMER-USD'!$D61,'01. KE30'!$F:$F,'06. BC BH THEO CUSTOMER-USD'!$H61,'01. KE30'!$A:$A,'06. BC BH THEO CUSTOMER-USD'!EF$4),"-")</f>
        <v>0</v>
      </c>
      <c r="EH61" s="571">
        <f t="shared" ref="EH61:ET61" si="394">IFERROR(DT61/DF61,"-")</f>
        <v>0.22791627118741281</v>
      </c>
      <c r="EI61" s="572" t="str">
        <f t="shared" si="394"/>
        <v>-</v>
      </c>
      <c r="EJ61" s="572" t="str">
        <f t="shared" si="394"/>
        <v>-</v>
      </c>
      <c r="EK61" s="572">
        <f t="shared" si="394"/>
        <v>0.22791627118741281</v>
      </c>
      <c r="EL61" s="572" t="str">
        <f t="shared" si="394"/>
        <v>-</v>
      </c>
      <c r="EM61" s="572" t="str">
        <f t="shared" si="394"/>
        <v>-</v>
      </c>
      <c r="EN61" s="572" t="str">
        <f t="shared" si="394"/>
        <v>-</v>
      </c>
      <c r="EO61" s="572" t="str">
        <f t="shared" si="394"/>
        <v>-</v>
      </c>
      <c r="EP61" s="572" t="str">
        <f t="shared" si="394"/>
        <v>-</v>
      </c>
      <c r="EQ61" s="572" t="str">
        <f t="shared" si="394"/>
        <v>-</v>
      </c>
      <c r="ER61" s="572" t="str">
        <f t="shared" si="394"/>
        <v>-</v>
      </c>
      <c r="ES61" s="572" t="str">
        <f t="shared" si="394"/>
        <v>-</v>
      </c>
      <c r="ET61" s="572" t="str">
        <f t="shared" si="394"/>
        <v>-</v>
      </c>
    </row>
    <row r="62" spans="1:150" ht="15.5" hidden="1" outlineLevel="1" x14ac:dyDescent="0.35">
      <c r="A62" s="27">
        <f t="shared" si="63"/>
        <v>51</v>
      </c>
      <c r="B62" s="27" t="s">
        <v>283</v>
      </c>
      <c r="C62" s="442" t="s">
        <v>489</v>
      </c>
      <c r="D62" s="9" t="s">
        <v>243</v>
      </c>
      <c r="E62" s="12" t="s">
        <v>244</v>
      </c>
      <c r="F62" s="12" t="s">
        <v>254</v>
      </c>
      <c r="G62" s="12" t="str">
        <f>_xlfn.XLOOKUP(F62,'Quy đổi'!$G$5:$G$32,'Quy đổi'!$H$5:$H$32,0)</f>
        <v>Châu Âu</v>
      </c>
      <c r="H62" s="76" t="s">
        <v>100</v>
      </c>
      <c r="I62" s="28" t="s">
        <v>99</v>
      </c>
      <c r="J62" s="13" t="s">
        <v>26</v>
      </c>
      <c r="K62" s="11" t="s">
        <v>113</v>
      </c>
      <c r="L62" s="92">
        <f t="shared" si="42"/>
        <v>1267.9992122883025</v>
      </c>
      <c r="M62" s="106" t="str">
        <f>IFERROR(SUMIFS('01. KE30'!$K:$K,'01. KE30'!$C:$C,'06. BC BH THEO CUSTOMER-USD'!$D62,'01. KE30'!$F:$F,'06. BC BH THEO CUSTOMER-USD'!$H62,'01. KE30'!$A:$A,'06. BC BH THEO CUSTOMER-USD'!M$4)/'06. BC BH THEO CUSTOMER-USD'!CS62/'02. Tỷ giá'!B$5,"-")</f>
        <v>-</v>
      </c>
      <c r="N62" s="106">
        <f>IFERROR(SUMIFS('01. KE30'!$K:$K,'01. KE30'!$C:$C,'06. BC BH THEO CUSTOMER-USD'!$D62,'01. KE30'!$F:$F,'06. BC BH THEO CUSTOMER-USD'!$H62,'01. KE30'!$A:$A,'06. BC BH THEO CUSTOMER-USD'!N$4)/'06. BC BH THEO CUSTOMER-USD'!CT62/'02. Tỷ giá'!C$5,"-")</f>
        <v>1267.9992122883025</v>
      </c>
      <c r="O62" s="106" t="str">
        <f>IFERROR(SUMIFS('01. KE30'!$K:$K,'01. KE30'!$C:$C,'06. BC BH THEO CUSTOMER-USD'!$D62,'01. KE30'!$F:$F,'06. BC BH THEO CUSTOMER-USD'!$H62,'01. KE30'!$A:$A,'06. BC BH THEO CUSTOMER-USD'!O$4)/'06. BC BH THEO CUSTOMER-USD'!CU62/'02. Tỷ giá'!D$5,"-")</f>
        <v>-</v>
      </c>
      <c r="P62" s="106" t="str">
        <f>IFERROR(SUMIFS('01. KE30'!$K:$K,'01. KE30'!$C:$C,'06. BC BH THEO CUSTOMER-USD'!$D62,'01. KE30'!$F:$F,'06. BC BH THEO CUSTOMER-USD'!$H62,'01. KE30'!$A:$A,'06. BC BH THEO CUSTOMER-USD'!P$4)/'06. BC BH THEO CUSTOMER-USD'!CV62/'02. Tỷ giá'!E$5,"-")</f>
        <v>-</v>
      </c>
      <c r="Q62" s="106" t="str">
        <f>IFERROR(SUMIFS('01. KE30'!$K:$K,'01. KE30'!$C:$C,'06. BC BH THEO CUSTOMER-USD'!$D62,'01. KE30'!$F:$F,'06. BC BH THEO CUSTOMER-USD'!$H62,'01. KE30'!$A:$A,'06. BC BH THEO CUSTOMER-USD'!Q$4)/'06. BC BH THEO CUSTOMER-USD'!CW62/'02. Tỷ giá'!F$5,"-")</f>
        <v>-</v>
      </c>
      <c r="R62" s="106" t="str">
        <f>IFERROR(SUMIFS('01. KE30'!$K:$K,'01. KE30'!$C:$C,'06. BC BH THEO CUSTOMER-USD'!$D62,'01. KE30'!$F:$F,'06. BC BH THEO CUSTOMER-USD'!$H62,'01. KE30'!$A:$A,'06. BC BH THEO CUSTOMER-USD'!R$4)/'06. BC BH THEO CUSTOMER-USD'!CX62/'02. Tỷ giá'!G$5,"-")</f>
        <v>-</v>
      </c>
      <c r="S62" s="106" t="str">
        <f>IFERROR(SUMIFS('01. KE30'!$K:$K,'01. KE30'!$C:$C,'06. BC BH THEO CUSTOMER-USD'!$D62,'01. KE30'!$F:$F,'06. BC BH THEO CUSTOMER-USD'!$H62,'01. KE30'!$A:$A,'06. BC BH THEO CUSTOMER-USD'!S$4)/'06. BC BH THEO CUSTOMER-USD'!CY62/'02. Tỷ giá'!H$5,"-")</f>
        <v>-</v>
      </c>
      <c r="T62" s="106" t="str">
        <f>IFERROR(SUMIFS('01. KE30'!$K:$K,'01. KE30'!$C:$C,'06. BC BH THEO CUSTOMER-USD'!$D62,'01. KE30'!$F:$F,'06. BC BH THEO CUSTOMER-USD'!$H62,'01. KE30'!$A:$A,'06. BC BH THEO CUSTOMER-USD'!T$4)/'06. BC BH THEO CUSTOMER-USD'!CZ62/'02. Tỷ giá'!I$5,"-")</f>
        <v>-</v>
      </c>
      <c r="U62" s="106" t="str">
        <f>IFERROR(SUMIFS('01. KE30'!$K:$K,'01. KE30'!$C:$C,'06. BC BH THEO CUSTOMER-USD'!$D62,'01. KE30'!$F:$F,'06. BC BH THEO CUSTOMER-USD'!$H62,'01. KE30'!$A:$A,'06. BC BH THEO CUSTOMER-USD'!U$4)/'06. BC BH THEO CUSTOMER-USD'!DA62/'02. Tỷ giá'!J$5,"-")</f>
        <v>-</v>
      </c>
      <c r="V62" s="106" t="str">
        <f>IFERROR(SUMIFS('01. KE30'!$K:$K,'01. KE30'!$C:$C,'06. BC BH THEO CUSTOMER-USD'!$D62,'01. KE30'!$F:$F,'06. BC BH THEO CUSTOMER-USD'!$H62,'01. KE30'!$A:$A,'06. BC BH THEO CUSTOMER-USD'!V$4)/'06. BC BH THEO CUSTOMER-USD'!DB62/'02. Tỷ giá'!K$5,"-")</f>
        <v>-</v>
      </c>
      <c r="W62" s="106" t="str">
        <f>IFERROR(SUMIFS('01. KE30'!$K:$K,'01. KE30'!$C:$C,'06. BC BH THEO CUSTOMER-USD'!$D62,'01. KE30'!$F:$F,'06. BC BH THEO CUSTOMER-USD'!$H62,'01. KE30'!$A:$A,'06. BC BH THEO CUSTOMER-USD'!W$4)/'06. BC BH THEO CUSTOMER-USD'!DC62/'02. Tỷ giá'!L$5,"-")</f>
        <v>-</v>
      </c>
      <c r="X62" s="106" t="str">
        <f>IFERROR(SUMIFS('01. KE30'!$K:$K,'01. KE30'!$C:$C,'06. BC BH THEO CUSTOMER-USD'!$D62,'01. KE30'!$F:$F,'06. BC BH THEO CUSTOMER-USD'!$H62,'01. KE30'!$A:$A,'06. BC BH THEO CUSTOMER-USD'!X$4)/'06. BC BH THEO CUSTOMER-USD'!DD62/'02. Tỷ giá'!M$5,"-")</f>
        <v>-</v>
      </c>
      <c r="Z62" s="92">
        <f t="shared" si="43"/>
        <v>1240.4329961688568</v>
      </c>
      <c r="AA62" s="147" t="str">
        <f>IFERROR(SUMIFS('01. KE30'!$O:$O,'01. KE30'!$C:$C,'06. BC BH THEO CUSTOMER-USD'!$D62,'01. KE30'!$F:$F,'06. BC BH THEO CUSTOMER-USD'!$H62,'01. KE30'!$A:$A,'06. BC BH THEO CUSTOMER-USD'!M$4)/'06. BC BH THEO CUSTOMER-USD'!CS62/'02. Tỷ giá'!B$5,"-")</f>
        <v>-</v>
      </c>
      <c r="AB62" s="147">
        <f>IFERROR(SUMIFS('01. KE30'!$O:$O,'01. KE30'!$C:$C,'06. BC BH THEO CUSTOMER-USD'!$D62,'01. KE30'!$F:$F,'06. BC BH THEO CUSTOMER-USD'!$H62,'01. KE30'!$A:$A,'06. BC BH THEO CUSTOMER-USD'!N$4)/'06. BC BH THEO CUSTOMER-USD'!CT62/'02. Tỷ giá'!C$5,"-")</f>
        <v>1240.4329961688568</v>
      </c>
      <c r="AC62" s="147" t="str">
        <f>IFERROR(SUMIFS('01. KE30'!$O:$O,'01. KE30'!$C:$C,'06. BC BH THEO CUSTOMER-USD'!$D62,'01. KE30'!$F:$F,'06. BC BH THEO CUSTOMER-USD'!$H62,'01. KE30'!$A:$A,'06. BC BH THEO CUSTOMER-USD'!O$4)/'06. BC BH THEO CUSTOMER-USD'!CU62/'02. Tỷ giá'!D$5,"-")</f>
        <v>-</v>
      </c>
      <c r="AD62" s="147" t="str">
        <f>IFERROR(SUMIFS('01. KE30'!$O:$O,'01. KE30'!$C:$C,'06. BC BH THEO CUSTOMER-USD'!$D62,'01. KE30'!$F:$F,'06. BC BH THEO CUSTOMER-USD'!$H62,'01. KE30'!$A:$A,'06. BC BH THEO CUSTOMER-USD'!P$4)/'06. BC BH THEO CUSTOMER-USD'!CV62/'02. Tỷ giá'!E$5,"-")</f>
        <v>-</v>
      </c>
      <c r="AE62" s="147" t="str">
        <f>IFERROR(SUMIFS('01. KE30'!$O:$O,'01. KE30'!$C:$C,'06. BC BH THEO CUSTOMER-USD'!$D62,'01. KE30'!$F:$F,'06. BC BH THEO CUSTOMER-USD'!$H62,'01. KE30'!$A:$A,'06. BC BH THEO CUSTOMER-USD'!Q$4)/'06. BC BH THEO CUSTOMER-USD'!CW62/'02. Tỷ giá'!F$5,"-")</f>
        <v>-</v>
      </c>
      <c r="AF62" s="147" t="str">
        <f>IFERROR(SUMIFS('01. KE30'!$O:$O,'01. KE30'!$C:$C,'06. BC BH THEO CUSTOMER-USD'!$D62,'01. KE30'!$F:$F,'06. BC BH THEO CUSTOMER-USD'!$H62,'01. KE30'!$A:$A,'06. BC BH THEO CUSTOMER-USD'!R$4)/'06. BC BH THEO CUSTOMER-USD'!CX62/'02. Tỷ giá'!G$5,"-")</f>
        <v>-</v>
      </c>
      <c r="AG62" s="147" t="str">
        <f>IFERROR(SUMIFS('01. KE30'!$O:$O,'01. KE30'!$C:$C,'06. BC BH THEO CUSTOMER-USD'!$D62,'01. KE30'!$F:$F,'06. BC BH THEO CUSTOMER-USD'!$H62,'01. KE30'!$A:$A,'06. BC BH THEO CUSTOMER-USD'!S$4)/'06. BC BH THEO CUSTOMER-USD'!CY62/'02. Tỷ giá'!H$5,"-")</f>
        <v>-</v>
      </c>
      <c r="AH62" s="147" t="str">
        <f>IFERROR(SUMIFS('01. KE30'!$O:$O,'01. KE30'!$C:$C,'06. BC BH THEO CUSTOMER-USD'!$D62,'01. KE30'!$F:$F,'06. BC BH THEO CUSTOMER-USD'!$H62,'01. KE30'!$A:$A,'06. BC BH THEO CUSTOMER-USD'!T$4)/'06. BC BH THEO CUSTOMER-USD'!CZ62/'02. Tỷ giá'!I$5,"-")</f>
        <v>-</v>
      </c>
      <c r="AI62" s="147" t="str">
        <f>IFERROR(SUMIFS('01. KE30'!$O:$O,'01. KE30'!$C:$C,'06. BC BH THEO CUSTOMER-USD'!$D62,'01. KE30'!$F:$F,'06. BC BH THEO CUSTOMER-USD'!$H62,'01. KE30'!$A:$A,'06. BC BH THEO CUSTOMER-USD'!U$4)/'06. BC BH THEO CUSTOMER-USD'!DA62/'02. Tỷ giá'!J$5,"-")</f>
        <v>-</v>
      </c>
      <c r="AJ62" s="147" t="str">
        <f>IFERROR(SUMIFS('01. KE30'!$O:$O,'01. KE30'!$C:$C,'06. BC BH THEO CUSTOMER-USD'!$D62,'01. KE30'!$F:$F,'06. BC BH THEO CUSTOMER-USD'!$H62,'01. KE30'!$A:$A,'06. BC BH THEO CUSTOMER-USD'!V$4)/'06. BC BH THEO CUSTOMER-USD'!DB62/'02. Tỷ giá'!K$5,"-")</f>
        <v>-</v>
      </c>
      <c r="AK62" s="147" t="str">
        <f>IFERROR(SUMIFS('01. KE30'!$O:$O,'01. KE30'!$C:$C,'06. BC BH THEO CUSTOMER-USD'!$D62,'01. KE30'!$F:$F,'06. BC BH THEO CUSTOMER-USD'!$H62,'01. KE30'!$A:$A,'06. BC BH THEO CUSTOMER-USD'!W$4)/'06. BC BH THEO CUSTOMER-USD'!DC62/'02. Tỷ giá'!L$5,"-")</f>
        <v>-</v>
      </c>
      <c r="AL62" s="147" t="str">
        <f>IFERROR(SUMIFS('01. KE30'!$O:$O,'01. KE30'!$C:$C,'06. BC BH THEO CUSTOMER-USD'!$D62,'01. KE30'!$F:$F,'06. BC BH THEO CUSTOMER-USD'!$H62,'01. KE30'!$A:$A,'06. BC BH THEO CUSTOMER-USD'!X$4)/'06. BC BH THEO CUSTOMER-USD'!DD62/'02. Tỷ giá'!M$5,"-")</f>
        <v>-</v>
      </c>
      <c r="AN62" s="92">
        <f t="shared" si="44"/>
        <v>1266.6666666666667</v>
      </c>
      <c r="AO62" s="25">
        <v>1260</v>
      </c>
      <c r="AP62" s="25">
        <v>1260</v>
      </c>
      <c r="AQ62" s="25">
        <v>1260</v>
      </c>
      <c r="AR62" s="4">
        <f t="shared" si="390"/>
        <v>1280</v>
      </c>
      <c r="AS62" s="4">
        <v>1280</v>
      </c>
      <c r="AT62" s="4">
        <v>1280</v>
      </c>
      <c r="AU62" s="4">
        <v>1280</v>
      </c>
      <c r="AV62" s="4">
        <f t="shared" si="205"/>
        <v>1250</v>
      </c>
      <c r="AW62" s="25">
        <v>1250</v>
      </c>
      <c r="AX62" s="25"/>
      <c r="AY62" s="4"/>
      <c r="AZ62" s="4"/>
      <c r="BB62" s="95">
        <f t="shared" si="45"/>
        <v>-26.233670497809953</v>
      </c>
      <c r="BC62" s="95" t="str">
        <f t="shared" si="206"/>
        <v>-</v>
      </c>
      <c r="BD62" s="95">
        <f t="shared" si="389"/>
        <v>-19.567003831143211</v>
      </c>
      <c r="BE62" s="95" t="str">
        <f t="shared" si="389"/>
        <v>-</v>
      </c>
      <c r="BF62" s="95" t="str">
        <f t="shared" si="389"/>
        <v>-</v>
      </c>
      <c r="BG62" s="95" t="str">
        <f t="shared" si="389"/>
        <v>-</v>
      </c>
      <c r="BH62" s="95" t="str">
        <f t="shared" si="389"/>
        <v>-</v>
      </c>
      <c r="BI62" s="95" t="str">
        <f t="shared" si="389"/>
        <v>-</v>
      </c>
      <c r="BJ62" s="95" t="str">
        <f t="shared" si="389"/>
        <v>-</v>
      </c>
      <c r="BK62" s="95" t="str">
        <f t="shared" si="389"/>
        <v>-</v>
      </c>
      <c r="BL62" s="95" t="str">
        <f t="shared" si="389"/>
        <v>-</v>
      </c>
      <c r="BM62" s="95" t="str">
        <f t="shared" si="389"/>
        <v>-</v>
      </c>
      <c r="BN62" s="95" t="str">
        <f t="shared" si="389"/>
        <v>-</v>
      </c>
      <c r="BP62" s="143">
        <f t="shared" si="47"/>
        <v>-2.0710792498271013E-2</v>
      </c>
      <c r="BQ62" s="143" t="str">
        <f t="shared" si="202"/>
        <v>-</v>
      </c>
      <c r="BR62" s="143">
        <f t="shared" si="9"/>
        <v>-1.552936811995493E-2</v>
      </c>
      <c r="BS62" s="143" t="str">
        <f t="shared" si="10"/>
        <v>-</v>
      </c>
      <c r="BT62" s="143" t="str">
        <f t="shared" si="11"/>
        <v>-</v>
      </c>
      <c r="BU62" s="143" t="str">
        <f t="shared" si="12"/>
        <v>-</v>
      </c>
      <c r="BV62" s="143" t="str">
        <f t="shared" si="13"/>
        <v>-</v>
      </c>
      <c r="BW62" s="143" t="str">
        <f t="shared" si="14"/>
        <v>-</v>
      </c>
      <c r="BX62" s="143" t="str">
        <f t="shared" si="15"/>
        <v>-</v>
      </c>
      <c r="BY62" s="143" t="str">
        <f t="shared" si="16"/>
        <v>-</v>
      </c>
      <c r="BZ62" s="143" t="str">
        <f t="shared" si="17"/>
        <v>-</v>
      </c>
      <c r="CA62" s="143" t="str">
        <f t="shared" si="18"/>
        <v>-</v>
      </c>
      <c r="CB62" s="143" t="str">
        <f t="shared" si="19"/>
        <v>-</v>
      </c>
      <c r="CD62" s="112">
        <f t="shared" si="25"/>
        <v>989.75531526370435</v>
      </c>
      <c r="CE62" s="95" t="str">
        <f>IFERROR(SUMIFS('01. KE30'!$R:$R,'01. KE30'!$C:$C,'06. BC BH THEO CUSTOMER-USD'!$D62,'01. KE30'!$F:$F,'06. BC BH THEO CUSTOMER-USD'!$H62,'01. KE30'!$A:$A,'06. BC BH THEO CUSTOMER-USD'!CE$4)/CS62/'02. Tỷ giá'!B$5," -")</f>
        <v xml:space="preserve"> -</v>
      </c>
      <c r="CF62" s="95">
        <f>IFERROR(SUMIFS('01. KE30'!$R:$R,'01. KE30'!$C:$C,'06. BC BH THEO CUSTOMER-USD'!$D62,'01. KE30'!$F:$F,'06. BC BH THEO CUSTOMER-USD'!$H62,'01. KE30'!$A:$A,'06. BC BH THEO CUSTOMER-USD'!CF$4)/CT62/'02. Tỷ giá'!C$5," -")</f>
        <v>989.75531526370435</v>
      </c>
      <c r="CG62" s="95" t="str">
        <f>IFERROR(SUMIFS('01. KE30'!$R:$R,'01. KE30'!$C:$C,'06. BC BH THEO CUSTOMER-USD'!$D62,'01. KE30'!$F:$F,'06. BC BH THEO CUSTOMER-USD'!$H62,'01. KE30'!$A:$A,'06. BC BH THEO CUSTOMER-USD'!CG$4)/CU62/'02. Tỷ giá'!D$5," -")</f>
        <v xml:space="preserve"> -</v>
      </c>
      <c r="CH62" s="95" t="str">
        <f>IFERROR(SUMIFS('01. KE30'!$R:$R,'01. KE30'!$C:$C,'06. BC BH THEO CUSTOMER-USD'!$D62,'01. KE30'!$F:$F,'06. BC BH THEO CUSTOMER-USD'!$H62,'01. KE30'!$A:$A,'06. BC BH THEO CUSTOMER-USD'!CH$4)/CV62/'02. Tỷ giá'!E$5," -")</f>
        <v xml:space="preserve"> -</v>
      </c>
      <c r="CI62" s="95" t="str">
        <f>IFERROR(SUMIFS('01. KE30'!$R:$R,'01. KE30'!$C:$C,'06. BC BH THEO CUSTOMER-USD'!$D62,'01. KE30'!$F:$F,'06. BC BH THEO CUSTOMER-USD'!$H62,'01. KE30'!$A:$A,'06. BC BH THEO CUSTOMER-USD'!CI$4)/CW62/'02. Tỷ giá'!F$5," -")</f>
        <v xml:space="preserve"> -</v>
      </c>
      <c r="CJ62" s="95" t="str">
        <f>IFERROR(SUMIFS('01. KE30'!$R:$R,'01. KE30'!$C:$C,'06. BC BH THEO CUSTOMER-USD'!$D62,'01. KE30'!$F:$F,'06. BC BH THEO CUSTOMER-USD'!$H62,'01. KE30'!$A:$A,'06. BC BH THEO CUSTOMER-USD'!CJ$4)/CX62/'02. Tỷ giá'!G$5," -")</f>
        <v xml:space="preserve"> -</v>
      </c>
      <c r="CK62" s="95" t="str">
        <f>IFERROR(SUMIFS('01. KE30'!$R:$R,'01. KE30'!$C:$C,'06. BC BH THEO CUSTOMER-USD'!$D62,'01. KE30'!$F:$F,'06. BC BH THEO CUSTOMER-USD'!$H62,'01. KE30'!$A:$A,'06. BC BH THEO CUSTOMER-USD'!CK$4)/CY62/'02. Tỷ giá'!H$5," -")</f>
        <v xml:space="preserve"> -</v>
      </c>
      <c r="CL62" s="95" t="str">
        <f>IFERROR(SUMIFS('01. KE30'!$R:$R,'01. KE30'!$C:$C,'06. BC BH THEO CUSTOMER-USD'!$D62,'01. KE30'!$F:$F,'06. BC BH THEO CUSTOMER-USD'!$H62,'01. KE30'!$A:$A,'06. BC BH THEO CUSTOMER-USD'!CL$4)/CZ62/'02. Tỷ giá'!I$5," -")</f>
        <v xml:space="preserve"> -</v>
      </c>
      <c r="CM62" s="95" t="str">
        <f>IFERROR(SUMIFS('01. KE30'!$R:$R,'01. KE30'!$C:$C,'06. BC BH THEO CUSTOMER-USD'!$D62,'01. KE30'!$F:$F,'06. BC BH THEO CUSTOMER-USD'!$H62,'01. KE30'!$A:$A,'06. BC BH THEO CUSTOMER-USD'!CM$4)/DA62/'02. Tỷ giá'!J$5," -")</f>
        <v xml:space="preserve"> -</v>
      </c>
      <c r="CN62" s="95" t="str">
        <f>IFERROR(SUMIFS('01. KE30'!$R:$R,'01. KE30'!$C:$C,'06. BC BH THEO CUSTOMER-USD'!$D62,'01. KE30'!$F:$F,'06. BC BH THEO CUSTOMER-USD'!$H62,'01. KE30'!$A:$A,'06. BC BH THEO CUSTOMER-USD'!CN$4)/DB62/'02. Tỷ giá'!K$5," -")</f>
        <v xml:space="preserve"> -</v>
      </c>
      <c r="CO62" s="95" t="str">
        <f>IFERROR(SUMIFS('01. KE30'!$R:$R,'01. KE30'!$C:$C,'06. BC BH THEO CUSTOMER-USD'!$D62,'01. KE30'!$F:$F,'06. BC BH THEO CUSTOMER-USD'!$H62,'01. KE30'!$A:$A,'06. BC BH THEO CUSTOMER-USD'!CO$4)/DC62/'02. Tỷ giá'!L$5," -")</f>
        <v xml:space="preserve"> -</v>
      </c>
      <c r="CP62" s="95" t="str">
        <f>IFERROR(SUMIFS('01. KE30'!$R:$R,'01. KE30'!$C:$C,'06. BC BH THEO CUSTOMER-USD'!$D62,'01. KE30'!$F:$F,'06. BC BH THEO CUSTOMER-USD'!$H62,'01. KE30'!$A:$A,'06. BC BH THEO CUSTOMER-USD'!CP$4)/DD62/'02. Tỷ giá'!M$5," -")</f>
        <v xml:space="preserve"> -</v>
      </c>
      <c r="CR62" s="112">
        <f t="shared" ref="CR62:CR63" si="395">SUM(CS62:DD62)</f>
        <v>22</v>
      </c>
      <c r="CS62" s="114">
        <f>SUMIFS('01. KE30'!$I:$I,'01. KE30'!$C:$C,'06. BC BH THEO CUSTOMER-USD'!$D62,'01. KE30'!$F:$F,'06. BC BH THEO CUSTOMER-USD'!$H62,'01. KE30'!$A:$A,'06. BC BH THEO CUSTOMER-USD'!CS$4)/1000</f>
        <v>0</v>
      </c>
      <c r="CT62" s="114">
        <f>SUMIFS('01. KE30'!$I:$I,'01. KE30'!$C:$C,'06. BC BH THEO CUSTOMER-USD'!$D62,'01. KE30'!$F:$F,'06. BC BH THEO CUSTOMER-USD'!$H62,'01. KE30'!$A:$A,'06. BC BH THEO CUSTOMER-USD'!CT$4)/1000</f>
        <v>22</v>
      </c>
      <c r="CU62" s="114">
        <f>SUMIFS('01. KE30'!$I:$I,'01. KE30'!$C:$C,'06. BC BH THEO CUSTOMER-USD'!$D62,'01. KE30'!$F:$F,'06. BC BH THEO CUSTOMER-USD'!$H62,'01. KE30'!$A:$A,'06. BC BH THEO CUSTOMER-USD'!CU$4)/1000</f>
        <v>0</v>
      </c>
      <c r="CV62" s="114">
        <f>SUMIFS('01. KE30'!$I:$I,'01. KE30'!$C:$C,'06. BC BH THEO CUSTOMER-USD'!$D62,'01. KE30'!$F:$F,'06. BC BH THEO CUSTOMER-USD'!$H62,'01. KE30'!$A:$A,'06. BC BH THEO CUSTOMER-USD'!CV$4)/1000</f>
        <v>0</v>
      </c>
      <c r="CW62" s="114">
        <f>SUMIFS('01. KE30'!$I:$I,'01. KE30'!$C:$C,'06. BC BH THEO CUSTOMER-USD'!$D62,'01. KE30'!$F:$F,'06. BC BH THEO CUSTOMER-USD'!$H62,'01. KE30'!$A:$A,'06. BC BH THEO CUSTOMER-USD'!CW$4)/1000</f>
        <v>0</v>
      </c>
      <c r="CX62" s="114">
        <f>SUMIFS('01. KE30'!$I:$I,'01. KE30'!$C:$C,'06. BC BH THEO CUSTOMER-USD'!$D62,'01. KE30'!$F:$F,'06. BC BH THEO CUSTOMER-USD'!$H62,'01. KE30'!$A:$A,'06. BC BH THEO CUSTOMER-USD'!CX$4)/1000</f>
        <v>0</v>
      </c>
      <c r="CY62" s="114">
        <f>SUMIFS('01. KE30'!$I:$I,'01. KE30'!$C:$C,'06. BC BH THEO CUSTOMER-USD'!$D62,'01. KE30'!$F:$F,'06. BC BH THEO CUSTOMER-USD'!$H62,'01. KE30'!$A:$A,'06. BC BH THEO CUSTOMER-USD'!CY$4)/1000</f>
        <v>0</v>
      </c>
      <c r="CZ62" s="114">
        <f>SUMIFS('01. KE30'!$I:$I,'01. KE30'!$C:$C,'06. BC BH THEO CUSTOMER-USD'!$D62,'01. KE30'!$F:$F,'06. BC BH THEO CUSTOMER-USD'!$H62,'01. KE30'!$A:$A,'06. BC BH THEO CUSTOMER-USD'!CZ$4)/1000</f>
        <v>0</v>
      </c>
      <c r="DA62" s="114">
        <f>SUMIFS('01. KE30'!$I:$I,'01. KE30'!$C:$C,'06. BC BH THEO CUSTOMER-USD'!$D62,'01. KE30'!$F:$F,'06. BC BH THEO CUSTOMER-USD'!$H62,'01. KE30'!$A:$A,'06. BC BH THEO CUSTOMER-USD'!DA$4)/1000</f>
        <v>0</v>
      </c>
      <c r="DB62" s="114">
        <f>SUMIFS('01. KE30'!$I:$I,'01. KE30'!$C:$C,'06. BC BH THEO CUSTOMER-USD'!$D62,'01. KE30'!$F:$F,'06. BC BH THEO CUSTOMER-USD'!$H62,'01. KE30'!$A:$A,'06. BC BH THEO CUSTOMER-USD'!DB$4)/1000</f>
        <v>0</v>
      </c>
      <c r="DC62" s="114">
        <f>SUMIFS('01. KE30'!$I:$I,'01. KE30'!$C:$C,'06. BC BH THEO CUSTOMER-USD'!$D62,'01. KE30'!$F:$F,'06. BC BH THEO CUSTOMER-USD'!$H62,'01. KE30'!$A:$A,'06. BC BH THEO CUSTOMER-USD'!DC$4)/1000</f>
        <v>0</v>
      </c>
      <c r="DD62" s="114">
        <f>SUMIFS('01. KE30'!$I:$I,'01. KE30'!$C:$C,'06. BC BH THEO CUSTOMER-USD'!$D62,'01. KE30'!$F:$F,'06. BC BH THEO CUSTOMER-USD'!$H62,'01. KE30'!$A:$A,'06. BC BH THEO CUSTOMER-USD'!DD$4)/1000</f>
        <v>0</v>
      </c>
      <c r="DF62" s="112">
        <f t="shared" si="267"/>
        <v>27895.982670342655</v>
      </c>
      <c r="DG62" s="54" t="str">
        <f t="shared" si="48"/>
        <v>-</v>
      </c>
      <c r="DH62" s="54">
        <f t="shared" si="49"/>
        <v>27895.982670342655</v>
      </c>
      <c r="DI62" s="54" t="str">
        <f t="shared" si="50"/>
        <v>-</v>
      </c>
      <c r="DJ62" s="54" t="str">
        <f t="shared" si="51"/>
        <v>-</v>
      </c>
      <c r="DK62" s="54" t="str">
        <f t="shared" si="52"/>
        <v>-</v>
      </c>
      <c r="DL62" s="54" t="str">
        <f t="shared" si="53"/>
        <v>-</v>
      </c>
      <c r="DM62" s="54" t="str">
        <f t="shared" si="54"/>
        <v>-</v>
      </c>
      <c r="DN62" s="54" t="str">
        <f t="shared" si="55"/>
        <v>-</v>
      </c>
      <c r="DO62" s="54" t="str">
        <f t="shared" si="56"/>
        <v>-</v>
      </c>
      <c r="DP62" s="54" t="str">
        <f t="shared" si="57"/>
        <v>-</v>
      </c>
      <c r="DQ62" s="54" t="str">
        <f t="shared" si="58"/>
        <v>-</v>
      </c>
      <c r="DR62" s="54" t="str">
        <f t="shared" si="59"/>
        <v>-</v>
      </c>
      <c r="DT62" s="112">
        <f t="shared" si="60"/>
        <v>5514.9089799133508</v>
      </c>
      <c r="DU62" s="114">
        <f>IFERROR(SUMIFS('01. KE30'!$X:$X,'01. KE30'!$C:$C,'06. BC BH THEO CUSTOMER-USD'!$D62,'01. KE30'!$F:$F,'06. BC BH THEO CUSTOMER-USD'!$H62,'01. KE30'!$A:$A,'06. BC BH THEO CUSTOMER-USD'!DU$4)-SUMIFS('01. KE30'!$AA:$AA,'01. KE30'!$C:$C,'06. BC BH THEO CUSTOMER-USD'!$D62,'01. KE30'!$F:$F,'06. BC BH THEO CUSTOMER-USD'!$H62,'01. KE30'!$A:$A,'06. BC BH THEO CUSTOMER-USD'!DU$4),"-")</f>
        <v>0</v>
      </c>
      <c r="DV62" s="114">
        <f>IFERROR(SUMIFS('01. KE30'!$X:$X,'01. KE30'!$C:$C,'06. BC BH THEO CUSTOMER-USD'!$D62,'01. KE30'!$F:$F,'06. BC BH THEO CUSTOMER-USD'!$H62,'01. KE30'!$A:$A,'06. BC BH THEO CUSTOMER-USD'!DV$4)-SUMIFS('01. KE30'!$AA:$AA,'01. KE30'!$C:$C,'06. BC BH THEO CUSTOMER-USD'!$D62,'01. KE30'!$F:$F,'06. BC BH THEO CUSTOMER-USD'!$H62,'01. KE30'!$A:$A,'06. BC BH THEO CUSTOMER-USD'!DV$4),"-")</f>
        <v>5514.9089799133508</v>
      </c>
      <c r="DW62" s="114">
        <f>IFERROR(SUMIFS('01. KE30'!$X:$X,'01. KE30'!$C:$C,'06. BC BH THEO CUSTOMER-USD'!$D62,'01. KE30'!$F:$F,'06. BC BH THEO CUSTOMER-USD'!$H62,'01. KE30'!$A:$A,'06. BC BH THEO CUSTOMER-USD'!DW$4)-SUMIFS('01. KE30'!$AA:$AA,'01. KE30'!$C:$C,'06. BC BH THEO CUSTOMER-USD'!$D62,'01. KE30'!$F:$F,'06. BC BH THEO CUSTOMER-USD'!$H62,'01. KE30'!$A:$A,'06. BC BH THEO CUSTOMER-USD'!DW$4),"-")</f>
        <v>0</v>
      </c>
      <c r="DX62" s="114">
        <f>IFERROR(SUMIFS('01. KE30'!$X:$X,'01. KE30'!$C:$C,'06. BC BH THEO CUSTOMER-USD'!$D62,'01. KE30'!$F:$F,'06. BC BH THEO CUSTOMER-USD'!$H62,'01. KE30'!$A:$A,'06. BC BH THEO CUSTOMER-USD'!DX$4)-SUMIFS('01. KE30'!$AA:$AA,'01. KE30'!$C:$C,'06. BC BH THEO CUSTOMER-USD'!$D62,'01. KE30'!$F:$F,'06. BC BH THEO CUSTOMER-USD'!$H62,'01. KE30'!$A:$A,'06. BC BH THEO CUSTOMER-USD'!DX$4),"-")</f>
        <v>0</v>
      </c>
      <c r="DY62" s="114">
        <f>IFERROR(SUMIFS('01. KE30'!$X:$X,'01. KE30'!$C:$C,'06. BC BH THEO CUSTOMER-USD'!$D62,'01. KE30'!$F:$F,'06. BC BH THEO CUSTOMER-USD'!$H62,'01. KE30'!$A:$A,'06. BC BH THEO CUSTOMER-USD'!DY$4)-SUMIFS('01. KE30'!$AA:$AA,'01. KE30'!$C:$C,'06. BC BH THEO CUSTOMER-USD'!$D62,'01. KE30'!$F:$F,'06. BC BH THEO CUSTOMER-USD'!$H62,'01. KE30'!$A:$A,'06. BC BH THEO CUSTOMER-USD'!DY$4),"-")</f>
        <v>0</v>
      </c>
      <c r="DZ62" s="114">
        <f>IFERROR(SUMIFS('01. KE30'!$X:$X,'01. KE30'!$C:$C,'06. BC BH THEO CUSTOMER-USD'!$D62,'01. KE30'!$F:$F,'06. BC BH THEO CUSTOMER-USD'!$H62,'01. KE30'!$A:$A,'06. BC BH THEO CUSTOMER-USD'!DZ$4)-SUMIFS('01. KE30'!$AA:$AA,'01. KE30'!$C:$C,'06. BC BH THEO CUSTOMER-USD'!$D62,'01. KE30'!$F:$F,'06. BC BH THEO CUSTOMER-USD'!$H62,'01. KE30'!$A:$A,'06. BC BH THEO CUSTOMER-USD'!DZ$4),"-")</f>
        <v>0</v>
      </c>
      <c r="EA62" s="114">
        <f>IFERROR(SUMIFS('01. KE30'!$X:$X,'01. KE30'!$C:$C,'06. BC BH THEO CUSTOMER-USD'!$D62,'01. KE30'!$F:$F,'06. BC BH THEO CUSTOMER-USD'!$H62,'01. KE30'!$A:$A,'06. BC BH THEO CUSTOMER-USD'!EA$4)-SUMIFS('01. KE30'!$AA:$AA,'01. KE30'!$C:$C,'06. BC BH THEO CUSTOMER-USD'!$D62,'01. KE30'!$F:$F,'06. BC BH THEO CUSTOMER-USD'!$H62,'01. KE30'!$A:$A,'06. BC BH THEO CUSTOMER-USD'!EA$4),"-")</f>
        <v>0</v>
      </c>
      <c r="EB62" s="114">
        <f>IFERROR(SUMIFS('01. KE30'!$X:$X,'01. KE30'!$C:$C,'06. BC BH THEO CUSTOMER-USD'!$D62,'01. KE30'!$F:$F,'06. BC BH THEO CUSTOMER-USD'!$H62,'01. KE30'!$A:$A,'06. BC BH THEO CUSTOMER-USD'!EB$4)-SUMIFS('01. KE30'!$AA:$AA,'01. KE30'!$C:$C,'06. BC BH THEO CUSTOMER-USD'!$D62,'01. KE30'!$F:$F,'06. BC BH THEO CUSTOMER-USD'!$H62,'01. KE30'!$A:$A,'06. BC BH THEO CUSTOMER-USD'!EB$4),"-")</f>
        <v>0</v>
      </c>
      <c r="EC62" s="114">
        <f>IFERROR(SUMIFS('01. KE30'!$X:$X,'01. KE30'!$C:$C,'06. BC BH THEO CUSTOMER-USD'!$D62,'01. KE30'!$F:$F,'06. BC BH THEO CUSTOMER-USD'!$H62,'01. KE30'!$A:$A,'06. BC BH THEO CUSTOMER-USD'!EC$4)-SUMIFS('01. KE30'!$AA:$AA,'01. KE30'!$C:$C,'06. BC BH THEO CUSTOMER-USD'!$D62,'01. KE30'!$F:$F,'06. BC BH THEO CUSTOMER-USD'!$H62,'01. KE30'!$A:$A,'06. BC BH THEO CUSTOMER-USD'!EC$4),"-")</f>
        <v>0</v>
      </c>
      <c r="ED62" s="114">
        <f>IFERROR(SUMIFS('01. KE30'!$X:$X,'01. KE30'!$C:$C,'06. BC BH THEO CUSTOMER-USD'!$D62,'01. KE30'!$F:$F,'06. BC BH THEO CUSTOMER-USD'!$H62,'01. KE30'!$A:$A,'06. BC BH THEO CUSTOMER-USD'!ED$4)-SUMIFS('01. KE30'!$AA:$AA,'01. KE30'!$C:$C,'06. BC BH THEO CUSTOMER-USD'!$D62,'01. KE30'!$F:$F,'06. BC BH THEO CUSTOMER-USD'!$H62,'01. KE30'!$A:$A,'06. BC BH THEO CUSTOMER-USD'!ED$4),"-")</f>
        <v>0</v>
      </c>
      <c r="EE62" s="114">
        <f>IFERROR(SUMIFS('01. KE30'!$X:$X,'01. KE30'!$C:$C,'06. BC BH THEO CUSTOMER-USD'!$D62,'01. KE30'!$F:$F,'06. BC BH THEO CUSTOMER-USD'!$H62,'01. KE30'!$A:$A,'06. BC BH THEO CUSTOMER-USD'!EE$4)-SUMIFS('01. KE30'!$AA:$AA,'01. KE30'!$C:$C,'06. BC BH THEO CUSTOMER-USD'!$D62,'01. KE30'!$F:$F,'06. BC BH THEO CUSTOMER-USD'!$H62,'01. KE30'!$A:$A,'06. BC BH THEO CUSTOMER-USD'!EE$4),"-")</f>
        <v>0</v>
      </c>
      <c r="EF62" s="114">
        <f>IFERROR(SUMIFS('01. KE30'!$X:$X,'01. KE30'!$C:$C,'06. BC BH THEO CUSTOMER-USD'!$D62,'01. KE30'!$F:$F,'06. BC BH THEO CUSTOMER-USD'!$H62,'01. KE30'!$A:$A,'06. BC BH THEO CUSTOMER-USD'!EF$4)-SUMIFS('01. KE30'!$AA:$AA,'01. KE30'!$C:$C,'06. BC BH THEO CUSTOMER-USD'!$D62,'01. KE30'!$F:$F,'06. BC BH THEO CUSTOMER-USD'!$H62,'01. KE30'!$A:$A,'06. BC BH THEO CUSTOMER-USD'!EF$4),"-")</f>
        <v>0</v>
      </c>
      <c r="EH62" s="571">
        <f t="shared" si="29"/>
        <v>0.19769545475723546</v>
      </c>
      <c r="EI62" s="572" t="str">
        <f t="shared" si="30"/>
        <v>-</v>
      </c>
      <c r="EJ62" s="572">
        <f t="shared" si="31"/>
        <v>0.19769545475723546</v>
      </c>
      <c r="EK62" s="572" t="str">
        <f t="shared" si="32"/>
        <v>-</v>
      </c>
      <c r="EL62" s="572" t="str">
        <f t="shared" si="33"/>
        <v>-</v>
      </c>
      <c r="EM62" s="572" t="str">
        <f t="shared" si="34"/>
        <v>-</v>
      </c>
      <c r="EN62" s="572" t="str">
        <f t="shared" si="35"/>
        <v>-</v>
      </c>
      <c r="EO62" s="572" t="str">
        <f t="shared" si="36"/>
        <v>-</v>
      </c>
      <c r="EP62" s="572" t="str">
        <f t="shared" si="37"/>
        <v>-</v>
      </c>
      <c r="EQ62" s="572" t="str">
        <f t="shared" si="38"/>
        <v>-</v>
      </c>
      <c r="ER62" s="572" t="str">
        <f t="shared" si="39"/>
        <v>-</v>
      </c>
      <c r="ES62" s="572" t="str">
        <f t="shared" si="40"/>
        <v>-</v>
      </c>
      <c r="ET62" s="572" t="str">
        <f t="shared" si="41"/>
        <v>-</v>
      </c>
    </row>
    <row r="63" spans="1:150" ht="15.5" hidden="1" outlineLevel="1" x14ac:dyDescent="0.35">
      <c r="A63" s="27">
        <f t="shared" si="63"/>
        <v>52</v>
      </c>
      <c r="B63" s="27" t="s">
        <v>283</v>
      </c>
      <c r="C63" s="442" t="s">
        <v>489</v>
      </c>
      <c r="D63" s="9" t="s">
        <v>243</v>
      </c>
      <c r="E63" s="12" t="s">
        <v>244</v>
      </c>
      <c r="F63" s="12" t="s">
        <v>254</v>
      </c>
      <c r="G63" s="12" t="str">
        <f>_xlfn.XLOOKUP(F63,'Quy đổi'!$G$5:$G$32,'Quy đổi'!$H$5:$H$32,0)</f>
        <v>Châu Âu</v>
      </c>
      <c r="H63" s="76" t="s">
        <v>102</v>
      </c>
      <c r="I63" s="28" t="s">
        <v>101</v>
      </c>
      <c r="J63" s="13" t="s">
        <v>26</v>
      </c>
      <c r="K63" s="11" t="s">
        <v>113</v>
      </c>
      <c r="L63" s="92">
        <f t="shared" si="42"/>
        <v>1128.3024601105392</v>
      </c>
      <c r="M63" s="106" t="str">
        <f>IFERROR(SUMIFS('01. KE30'!$K:$K,'01. KE30'!$C:$C,'06. BC BH THEO CUSTOMER-USD'!$D63,'01. KE30'!$F:$F,'06. BC BH THEO CUSTOMER-USD'!$H63,'01. KE30'!$A:$A,'06. BC BH THEO CUSTOMER-USD'!M$4)/'06. BC BH THEO CUSTOMER-USD'!CS63/'02. Tỷ giá'!B$5,"-")</f>
        <v>-</v>
      </c>
      <c r="N63" s="106">
        <f>IFERROR(SUMIFS('01. KE30'!$K:$K,'01. KE30'!$C:$C,'06. BC BH THEO CUSTOMER-USD'!$D63,'01. KE30'!$F:$F,'06. BC BH THEO CUSTOMER-USD'!$H63,'01. KE30'!$A:$A,'06. BC BH THEO CUSTOMER-USD'!N$4)/'06. BC BH THEO CUSTOMER-USD'!CT63/'02. Tỷ giá'!C$5,"-")</f>
        <v>1098.2670342654587</v>
      </c>
      <c r="O63" s="106" t="str">
        <f>IFERROR(SUMIFS('01. KE30'!$K:$K,'01. KE30'!$C:$C,'06. BC BH THEO CUSTOMER-USD'!$D63,'01. KE30'!$F:$F,'06. BC BH THEO CUSTOMER-USD'!$H63,'01. KE30'!$A:$A,'06. BC BH THEO CUSTOMER-USD'!O$4)/'06. BC BH THEO CUSTOMER-USD'!CU63/'02. Tỷ giá'!D$5,"-")</f>
        <v>-</v>
      </c>
      <c r="P63" s="106">
        <f>IFERROR(SUMIFS('01. KE30'!$K:$K,'01. KE30'!$C:$C,'06. BC BH THEO CUSTOMER-USD'!$D63,'01. KE30'!$F:$F,'06. BC BH THEO CUSTOMER-USD'!$H63,'01. KE30'!$A:$A,'06. BC BH THEO CUSTOMER-USD'!P$4)/'06. BC BH THEO CUSTOMER-USD'!CV63/'02. Tỷ giá'!E$5,"-")</f>
        <v>1135.7530003871468</v>
      </c>
      <c r="Q63" s="106" t="str">
        <f>IFERROR(SUMIFS('01. KE30'!$K:$K,'01. KE30'!$C:$C,'06. BC BH THEO CUSTOMER-USD'!$D63,'01. KE30'!$F:$F,'06. BC BH THEO CUSTOMER-USD'!$H63,'01. KE30'!$A:$A,'06. BC BH THEO CUSTOMER-USD'!Q$4)/'06. BC BH THEO CUSTOMER-USD'!CW63/'02. Tỷ giá'!F$5,"-")</f>
        <v>-</v>
      </c>
      <c r="R63" s="106">
        <f>IFERROR(SUMIFS('01. KE30'!$K:$K,'01. KE30'!$C:$C,'06. BC BH THEO CUSTOMER-USD'!$D63,'01. KE30'!$F:$F,'06. BC BH THEO CUSTOMER-USD'!$H63,'01. KE30'!$A:$A,'06. BC BH THEO CUSTOMER-USD'!R$4)/'06. BC BH THEO CUSTOMER-USD'!CX63/'02. Tỷ giá'!G$5,"-")</f>
        <v>1150.8873456790122</v>
      </c>
      <c r="S63" s="106" t="str">
        <f>IFERROR(SUMIFS('01. KE30'!$K:$K,'01. KE30'!$C:$C,'06. BC BH THEO CUSTOMER-USD'!$D63,'01. KE30'!$F:$F,'06. BC BH THEO CUSTOMER-USD'!$H63,'01. KE30'!$A:$A,'06. BC BH THEO CUSTOMER-USD'!S$4)/'06. BC BH THEO CUSTOMER-USD'!CY63/'02. Tỷ giá'!H$5,"-")</f>
        <v>-</v>
      </c>
      <c r="T63" s="106" t="str">
        <f>IFERROR(SUMIFS('01. KE30'!$K:$K,'01. KE30'!$C:$C,'06. BC BH THEO CUSTOMER-USD'!$D63,'01. KE30'!$F:$F,'06. BC BH THEO CUSTOMER-USD'!$H63,'01. KE30'!$A:$A,'06. BC BH THEO CUSTOMER-USD'!T$4)/'06. BC BH THEO CUSTOMER-USD'!CZ63/'02. Tỷ giá'!I$5,"-")</f>
        <v>-</v>
      </c>
      <c r="U63" s="106" t="str">
        <f>IFERROR(SUMIFS('01. KE30'!$K:$K,'01. KE30'!$C:$C,'06. BC BH THEO CUSTOMER-USD'!$D63,'01. KE30'!$F:$F,'06. BC BH THEO CUSTOMER-USD'!$H63,'01. KE30'!$A:$A,'06. BC BH THEO CUSTOMER-USD'!U$4)/'06. BC BH THEO CUSTOMER-USD'!DA63/'02. Tỷ giá'!J$5,"-")</f>
        <v>-</v>
      </c>
      <c r="V63" s="106" t="str">
        <f>IFERROR(SUMIFS('01. KE30'!$K:$K,'01. KE30'!$C:$C,'06. BC BH THEO CUSTOMER-USD'!$D63,'01. KE30'!$F:$F,'06. BC BH THEO CUSTOMER-USD'!$H63,'01. KE30'!$A:$A,'06. BC BH THEO CUSTOMER-USD'!V$4)/'06. BC BH THEO CUSTOMER-USD'!DB63/'02. Tỷ giá'!K$5,"-")</f>
        <v>-</v>
      </c>
      <c r="W63" s="106" t="str">
        <f>IFERROR(SUMIFS('01. KE30'!$K:$K,'01. KE30'!$C:$C,'06. BC BH THEO CUSTOMER-USD'!$D63,'01. KE30'!$F:$F,'06. BC BH THEO CUSTOMER-USD'!$H63,'01. KE30'!$A:$A,'06. BC BH THEO CUSTOMER-USD'!W$4)/'06. BC BH THEO CUSTOMER-USD'!DC63/'02. Tỷ giá'!L$5,"-")</f>
        <v>-</v>
      </c>
      <c r="X63" s="106" t="str">
        <f>IFERROR(SUMIFS('01. KE30'!$K:$K,'01. KE30'!$C:$C,'06. BC BH THEO CUSTOMER-USD'!$D63,'01. KE30'!$F:$F,'06. BC BH THEO CUSTOMER-USD'!$H63,'01. KE30'!$A:$A,'06. BC BH THEO CUSTOMER-USD'!X$4)/'06. BC BH THEO CUSTOMER-USD'!DD63/'02. Tỷ giá'!M$5,"-")</f>
        <v>-</v>
      </c>
      <c r="Z63" s="92">
        <f t="shared" si="43"/>
        <v>1106.6776111035754</v>
      </c>
      <c r="AA63" s="147" t="str">
        <f>IFERROR(SUMIFS('01. KE30'!$O:$O,'01. KE30'!$C:$C,'06. BC BH THEO CUSTOMER-USD'!$D63,'01. KE30'!$F:$F,'06. BC BH THEO CUSTOMER-USD'!$H63,'01. KE30'!$A:$A,'06. BC BH THEO CUSTOMER-USD'!M$4)/'06. BC BH THEO CUSTOMER-USD'!CS63/'02. Tỷ giá'!B$5,"-")</f>
        <v>-</v>
      </c>
      <c r="AB63" s="147">
        <f>IFERROR(SUMIFS('01. KE30'!$O:$O,'01. KE30'!$C:$C,'06. BC BH THEO CUSTOMER-USD'!$D63,'01. KE30'!$F:$F,'06. BC BH THEO CUSTOMER-USD'!$H63,'01. KE30'!$A:$A,'06. BC BH THEO CUSTOMER-USD'!N$4)/'06. BC BH THEO CUSTOMER-USD'!CT63/'02. Tỷ giá'!C$5,"-")</f>
        <v>1070.700818146013</v>
      </c>
      <c r="AC63" s="147" t="str">
        <f>IFERROR(SUMIFS('01. KE30'!$O:$O,'01. KE30'!$C:$C,'06. BC BH THEO CUSTOMER-USD'!$D63,'01. KE30'!$F:$F,'06. BC BH THEO CUSTOMER-USD'!$H63,'01. KE30'!$A:$A,'06. BC BH THEO CUSTOMER-USD'!O$4)/'06. BC BH THEO CUSTOMER-USD'!CU63/'02. Tỷ giá'!D$5,"-")</f>
        <v>-</v>
      </c>
      <c r="AD63" s="147">
        <f>IFERROR(SUMIFS('01. KE30'!$O:$O,'01. KE30'!$C:$C,'06. BC BH THEO CUSTOMER-USD'!$D63,'01. KE30'!$F:$F,'06. BC BH THEO CUSTOMER-USD'!$H63,'01. KE30'!$A:$A,'06. BC BH THEO CUSTOMER-USD'!P$4)/'06. BC BH THEO CUSTOMER-USD'!CV63/'02. Tỷ giá'!E$5,"-")</f>
        <v>1117.2289532960265</v>
      </c>
      <c r="AE63" s="147" t="str">
        <f>IFERROR(SUMIFS('01. KE30'!$O:$O,'01. KE30'!$C:$C,'06. BC BH THEO CUSTOMER-USD'!$D63,'01. KE30'!$F:$F,'06. BC BH THEO CUSTOMER-USD'!$H63,'01. KE30'!$A:$A,'06. BC BH THEO CUSTOMER-USD'!Q$4)/'06. BC BH THEO CUSTOMER-USD'!CW63/'02. Tỷ giá'!F$5,"-")</f>
        <v>-</v>
      </c>
      <c r="AF63" s="147">
        <f>IFERROR(SUMIFS('01. KE30'!$O:$O,'01. KE30'!$C:$C,'06. BC BH THEO CUSTOMER-USD'!$D63,'01. KE30'!$F:$F,'06. BC BH THEO CUSTOMER-USD'!$H63,'01. KE30'!$A:$A,'06. BC BH THEO CUSTOMER-USD'!R$4)/'06. BC BH THEO CUSTOMER-USD'!CX63/'02. Tỷ giá'!G$5,"-")</f>
        <v>1132.1030618686868</v>
      </c>
      <c r="AG63" s="147" t="str">
        <f>IFERROR(SUMIFS('01. KE30'!$O:$O,'01. KE30'!$C:$C,'06. BC BH THEO CUSTOMER-USD'!$D63,'01. KE30'!$F:$F,'06. BC BH THEO CUSTOMER-USD'!$H63,'01. KE30'!$A:$A,'06. BC BH THEO CUSTOMER-USD'!S$4)/'06. BC BH THEO CUSTOMER-USD'!CY63/'02. Tỷ giá'!H$5,"-")</f>
        <v>-</v>
      </c>
      <c r="AH63" s="147" t="str">
        <f>IFERROR(SUMIFS('01. KE30'!$O:$O,'01. KE30'!$C:$C,'06. BC BH THEO CUSTOMER-USD'!$D63,'01. KE30'!$F:$F,'06. BC BH THEO CUSTOMER-USD'!$H63,'01. KE30'!$A:$A,'06. BC BH THEO CUSTOMER-USD'!T$4)/'06. BC BH THEO CUSTOMER-USD'!CZ63/'02. Tỷ giá'!I$5,"-")</f>
        <v>-</v>
      </c>
      <c r="AI63" s="147" t="str">
        <f>IFERROR(SUMIFS('01. KE30'!$O:$O,'01. KE30'!$C:$C,'06. BC BH THEO CUSTOMER-USD'!$D63,'01. KE30'!$F:$F,'06. BC BH THEO CUSTOMER-USD'!$H63,'01. KE30'!$A:$A,'06. BC BH THEO CUSTOMER-USD'!U$4)/'06. BC BH THEO CUSTOMER-USD'!DA63/'02. Tỷ giá'!J$5,"-")</f>
        <v>-</v>
      </c>
      <c r="AJ63" s="147" t="str">
        <f>IFERROR(SUMIFS('01. KE30'!$O:$O,'01. KE30'!$C:$C,'06. BC BH THEO CUSTOMER-USD'!$D63,'01. KE30'!$F:$F,'06. BC BH THEO CUSTOMER-USD'!$H63,'01. KE30'!$A:$A,'06. BC BH THEO CUSTOMER-USD'!V$4)/'06. BC BH THEO CUSTOMER-USD'!DB63/'02. Tỷ giá'!K$5,"-")</f>
        <v>-</v>
      </c>
      <c r="AK63" s="147" t="str">
        <f>IFERROR(SUMIFS('01. KE30'!$O:$O,'01. KE30'!$C:$C,'06. BC BH THEO CUSTOMER-USD'!$D63,'01. KE30'!$F:$F,'06. BC BH THEO CUSTOMER-USD'!$H63,'01. KE30'!$A:$A,'06. BC BH THEO CUSTOMER-USD'!W$4)/'06. BC BH THEO CUSTOMER-USD'!DC63/'02. Tỷ giá'!L$5,"-")</f>
        <v>-</v>
      </c>
      <c r="AL63" s="147" t="str">
        <f>IFERROR(SUMIFS('01. KE30'!$O:$O,'01. KE30'!$C:$C,'06. BC BH THEO CUSTOMER-USD'!$D63,'01. KE30'!$F:$F,'06. BC BH THEO CUSTOMER-USD'!$H63,'01. KE30'!$A:$A,'06. BC BH THEO CUSTOMER-USD'!X$4)/'06. BC BH THEO CUSTOMER-USD'!DD63/'02. Tỷ giá'!M$5,"-")</f>
        <v>-</v>
      </c>
      <c r="AN63" s="92">
        <f t="shared" si="44"/>
        <v>1166.6666666666667</v>
      </c>
      <c r="AO63" s="25">
        <v>1160</v>
      </c>
      <c r="AP63" s="25">
        <v>1160</v>
      </c>
      <c r="AQ63" s="25">
        <v>1160</v>
      </c>
      <c r="AR63" s="4">
        <f>AQ63+20</f>
        <v>1180</v>
      </c>
      <c r="AS63" s="4">
        <v>1180</v>
      </c>
      <c r="AT63" s="4">
        <v>1180</v>
      </c>
      <c r="AU63" s="4">
        <v>1180</v>
      </c>
      <c r="AV63" s="4">
        <f t="shared" si="205"/>
        <v>1150</v>
      </c>
      <c r="AW63" s="25">
        <v>1150</v>
      </c>
      <c r="AX63" s="25"/>
      <c r="AY63" s="4"/>
      <c r="AZ63" s="4"/>
      <c r="BB63" s="95">
        <f t="shared" si="45"/>
        <v>-59.98905556309137</v>
      </c>
      <c r="BC63" s="95" t="str">
        <f t="shared" si="206"/>
        <v>-</v>
      </c>
      <c r="BD63" s="95">
        <f t="shared" si="389"/>
        <v>-89.299181853986966</v>
      </c>
      <c r="BE63" s="95" t="str">
        <f t="shared" si="389"/>
        <v>-</v>
      </c>
      <c r="BF63" s="95">
        <f t="shared" si="389"/>
        <v>-62.771046703973525</v>
      </c>
      <c r="BG63" s="95" t="str">
        <f t="shared" si="389"/>
        <v>-</v>
      </c>
      <c r="BH63" s="95">
        <f t="shared" si="389"/>
        <v>-47.896938131313163</v>
      </c>
      <c r="BI63" s="95" t="str">
        <f t="shared" si="389"/>
        <v>-</v>
      </c>
      <c r="BJ63" s="95" t="str">
        <f t="shared" si="389"/>
        <v>-</v>
      </c>
      <c r="BK63" s="95" t="str">
        <f t="shared" si="389"/>
        <v>-</v>
      </c>
      <c r="BL63" s="95" t="str">
        <f t="shared" si="389"/>
        <v>-</v>
      </c>
      <c r="BM63" s="95" t="str">
        <f t="shared" si="389"/>
        <v>-</v>
      </c>
      <c r="BN63" s="95" t="str">
        <f t="shared" si="389"/>
        <v>-</v>
      </c>
      <c r="BP63" s="143">
        <f t="shared" si="47"/>
        <v>-5.1419190482649743E-2</v>
      </c>
      <c r="BQ63" s="143" t="str">
        <f t="shared" si="202"/>
        <v>-</v>
      </c>
      <c r="BR63" s="143">
        <f t="shared" si="9"/>
        <v>-7.6982053322402558E-2</v>
      </c>
      <c r="BS63" s="143" t="str">
        <f t="shared" si="10"/>
        <v>-</v>
      </c>
      <c r="BT63" s="143">
        <f t="shared" si="11"/>
        <v>-5.3195802291502989E-2</v>
      </c>
      <c r="BU63" s="143" t="str">
        <f t="shared" si="12"/>
        <v>-</v>
      </c>
      <c r="BV63" s="143">
        <f t="shared" si="13"/>
        <v>-4.0590625535011159E-2</v>
      </c>
      <c r="BW63" s="143" t="str">
        <f t="shared" si="14"/>
        <v>-</v>
      </c>
      <c r="BX63" s="143" t="str">
        <f t="shared" si="15"/>
        <v>-</v>
      </c>
      <c r="BY63" s="143" t="str">
        <f t="shared" si="16"/>
        <v>-</v>
      </c>
      <c r="BZ63" s="143" t="str">
        <f t="shared" si="17"/>
        <v>-</v>
      </c>
      <c r="CA63" s="143" t="str">
        <f t="shared" si="18"/>
        <v>-</v>
      </c>
      <c r="CB63" s="143" t="str">
        <f t="shared" si="19"/>
        <v>-</v>
      </c>
      <c r="CD63" s="112">
        <f t="shared" si="25"/>
        <v>1003.9786417663063</v>
      </c>
      <c r="CE63" s="95" t="str">
        <f>IFERROR(SUMIFS('01. KE30'!$R:$R,'01. KE30'!$C:$C,'06. BC BH THEO CUSTOMER-USD'!$D63,'01. KE30'!$F:$F,'06. BC BH THEO CUSTOMER-USD'!$H63,'01. KE30'!$A:$A,'06. BC BH THEO CUSTOMER-USD'!CE$4)/CS63/'02. Tỷ giá'!B$5," -")</f>
        <v xml:space="preserve"> -</v>
      </c>
      <c r="CF63" s="95">
        <f>IFERROR(SUMIFS('01. KE30'!$R:$R,'01. KE30'!$C:$C,'06. BC BH THEO CUSTOMER-USD'!$D63,'01. KE30'!$F:$F,'06. BC BH THEO CUSTOMER-USD'!$H63,'01. KE30'!$A:$A,'06. BC BH THEO CUSTOMER-USD'!CF$4)/CT63/'02. Tỷ giá'!C$5," -")</f>
        <v>1035.1137974864835</v>
      </c>
      <c r="CG63" s="95" t="str">
        <f>IFERROR(SUMIFS('01. KE30'!$R:$R,'01. KE30'!$C:$C,'06. BC BH THEO CUSTOMER-USD'!$D63,'01. KE30'!$F:$F,'06. BC BH THEO CUSTOMER-USD'!$H63,'01. KE30'!$A:$A,'06. BC BH THEO CUSTOMER-USD'!CG$4)/CU63/'02. Tỷ giá'!D$5," -")</f>
        <v xml:space="preserve"> -</v>
      </c>
      <c r="CH63" s="95">
        <f>IFERROR(SUMIFS('01. KE30'!$R:$R,'01. KE30'!$C:$C,'06. BC BH THEO CUSTOMER-USD'!$D63,'01. KE30'!$F:$F,'06. BC BH THEO CUSTOMER-USD'!$H63,'01. KE30'!$A:$A,'06. BC BH THEO CUSTOMER-USD'!CH$4)/CV63/'02. Tỷ giá'!E$5," -")</f>
        <v>1016.4632140217506</v>
      </c>
      <c r="CI63" s="95" t="str">
        <f>IFERROR(SUMIFS('01. KE30'!$R:$R,'01. KE30'!$C:$C,'06. BC BH THEO CUSTOMER-USD'!$D63,'01. KE30'!$F:$F,'06. BC BH THEO CUSTOMER-USD'!$H63,'01. KE30'!$A:$A,'06. BC BH THEO CUSTOMER-USD'!CI$4)/CW63/'02. Tỷ giá'!F$5," -")</f>
        <v xml:space="preserve"> -</v>
      </c>
      <c r="CJ63" s="95">
        <f>IFERROR(SUMIFS('01. KE30'!$R:$R,'01. KE30'!$C:$C,'06. BC BH THEO CUSTOMER-USD'!$D63,'01. KE30'!$F:$F,'06. BC BH THEO CUSTOMER-USD'!$H63,'01. KE30'!$A:$A,'06. BC BH THEO CUSTOMER-USD'!CJ$4)/CX63/'02. Tỷ giá'!G$5," -")</f>
        <v>960.35891379068471</v>
      </c>
      <c r="CK63" s="95" t="str">
        <f>IFERROR(SUMIFS('01. KE30'!$R:$R,'01. KE30'!$C:$C,'06. BC BH THEO CUSTOMER-USD'!$D63,'01. KE30'!$F:$F,'06. BC BH THEO CUSTOMER-USD'!$H63,'01. KE30'!$A:$A,'06. BC BH THEO CUSTOMER-USD'!CK$4)/CY63/'02. Tỷ giá'!H$5," -")</f>
        <v xml:space="preserve"> -</v>
      </c>
      <c r="CL63" s="95" t="str">
        <f>IFERROR(SUMIFS('01. KE30'!$R:$R,'01. KE30'!$C:$C,'06. BC BH THEO CUSTOMER-USD'!$D63,'01. KE30'!$F:$F,'06. BC BH THEO CUSTOMER-USD'!$H63,'01. KE30'!$A:$A,'06. BC BH THEO CUSTOMER-USD'!CL$4)/CZ63/'02. Tỷ giá'!I$5," -")</f>
        <v xml:space="preserve"> -</v>
      </c>
      <c r="CM63" s="95" t="str">
        <f>IFERROR(SUMIFS('01. KE30'!$R:$R,'01. KE30'!$C:$C,'06. BC BH THEO CUSTOMER-USD'!$D63,'01. KE30'!$F:$F,'06. BC BH THEO CUSTOMER-USD'!$H63,'01. KE30'!$A:$A,'06. BC BH THEO CUSTOMER-USD'!CM$4)/DA63/'02. Tỷ giá'!J$5," -")</f>
        <v xml:space="preserve"> -</v>
      </c>
      <c r="CN63" s="95" t="str">
        <f>IFERROR(SUMIFS('01. KE30'!$R:$R,'01. KE30'!$C:$C,'06. BC BH THEO CUSTOMER-USD'!$D63,'01. KE30'!$F:$F,'06. BC BH THEO CUSTOMER-USD'!$H63,'01. KE30'!$A:$A,'06. BC BH THEO CUSTOMER-USD'!CN$4)/DB63/'02. Tỷ giá'!K$5," -")</f>
        <v xml:space="preserve"> -</v>
      </c>
      <c r="CO63" s="95" t="str">
        <f>IFERROR(SUMIFS('01. KE30'!$R:$R,'01. KE30'!$C:$C,'06. BC BH THEO CUSTOMER-USD'!$D63,'01. KE30'!$F:$F,'06. BC BH THEO CUSTOMER-USD'!$H63,'01. KE30'!$A:$A,'06. BC BH THEO CUSTOMER-USD'!CO$4)/DC63/'02. Tỷ giá'!L$5," -")</f>
        <v xml:space="preserve"> -</v>
      </c>
      <c r="CP63" s="95" t="str">
        <f>IFERROR(SUMIFS('01. KE30'!$R:$R,'01. KE30'!$C:$C,'06. BC BH THEO CUSTOMER-USD'!$D63,'01. KE30'!$F:$F,'06. BC BH THEO CUSTOMER-USD'!$H63,'01. KE30'!$A:$A,'06. BC BH THEO CUSTOMER-USD'!CP$4)/DD63/'02. Tỷ giá'!M$5," -")</f>
        <v xml:space="preserve"> -</v>
      </c>
      <c r="CR63" s="112">
        <f t="shared" si="395"/>
        <v>88</v>
      </c>
      <c r="CS63" s="114">
        <f>SUMIFS('01. KE30'!$I:$I,'01. KE30'!$C:$C,'06. BC BH THEO CUSTOMER-USD'!$D63,'01. KE30'!$F:$F,'06. BC BH THEO CUSTOMER-USD'!$H63,'01. KE30'!$A:$A,'06. BC BH THEO CUSTOMER-USD'!CS$4)/1000</f>
        <v>0</v>
      </c>
      <c r="CT63" s="114">
        <f>SUMIFS('01. KE30'!$I:$I,'01. KE30'!$C:$C,'06. BC BH THEO CUSTOMER-USD'!$D63,'01. KE30'!$F:$F,'06. BC BH THEO CUSTOMER-USD'!$H63,'01. KE30'!$A:$A,'06. BC BH THEO CUSTOMER-USD'!CT$4)/1000</f>
        <v>22</v>
      </c>
      <c r="CU63" s="114">
        <f>SUMIFS('01. KE30'!$I:$I,'01. KE30'!$C:$C,'06. BC BH THEO CUSTOMER-USD'!$D63,'01. KE30'!$F:$F,'06. BC BH THEO CUSTOMER-USD'!$H63,'01. KE30'!$A:$A,'06. BC BH THEO CUSTOMER-USD'!CU$4)/1000</f>
        <v>0</v>
      </c>
      <c r="CV63" s="725">
        <f>SUMIFS('01. KE30'!$I:$I,'01. KE30'!$C:$C,'06. BC BH THEO CUSTOMER-USD'!$D63,'01. KE30'!$F:$F,'06. BC BH THEO CUSTOMER-USD'!$H63,'01. KE30'!$A:$A,'06. BC BH THEO CUSTOMER-USD'!CV$4)/1000</f>
        <v>44</v>
      </c>
      <c r="CW63" s="114">
        <f>SUMIFS('01. KE30'!$I:$I,'01. KE30'!$C:$C,'06. BC BH THEO CUSTOMER-USD'!$D63,'01. KE30'!$F:$F,'06. BC BH THEO CUSTOMER-USD'!$H63,'01. KE30'!$A:$A,'06. BC BH THEO CUSTOMER-USD'!CW$4)/1000</f>
        <v>0</v>
      </c>
      <c r="CX63" s="114">
        <f>SUMIFS('01. KE30'!$I:$I,'01. KE30'!$C:$C,'06. BC BH THEO CUSTOMER-USD'!$D63,'01. KE30'!$F:$F,'06. BC BH THEO CUSTOMER-USD'!$H63,'01. KE30'!$A:$A,'06. BC BH THEO CUSTOMER-USD'!CX$4)/1000</f>
        <v>22</v>
      </c>
      <c r="CY63" s="114">
        <f>SUMIFS('01. KE30'!$I:$I,'01. KE30'!$C:$C,'06. BC BH THEO CUSTOMER-USD'!$D63,'01. KE30'!$F:$F,'06. BC BH THEO CUSTOMER-USD'!$H63,'01. KE30'!$A:$A,'06. BC BH THEO CUSTOMER-USD'!CY$4)/1000</f>
        <v>0</v>
      </c>
      <c r="CZ63" s="114">
        <f>SUMIFS('01. KE30'!$I:$I,'01. KE30'!$C:$C,'06. BC BH THEO CUSTOMER-USD'!$D63,'01. KE30'!$F:$F,'06. BC BH THEO CUSTOMER-USD'!$H63,'01. KE30'!$A:$A,'06. BC BH THEO CUSTOMER-USD'!CZ$4)/1000</f>
        <v>0</v>
      </c>
      <c r="DA63" s="114">
        <f>SUMIFS('01. KE30'!$I:$I,'01. KE30'!$C:$C,'06. BC BH THEO CUSTOMER-USD'!$D63,'01. KE30'!$F:$F,'06. BC BH THEO CUSTOMER-USD'!$H63,'01. KE30'!$A:$A,'06. BC BH THEO CUSTOMER-USD'!DA$4)/1000</f>
        <v>0</v>
      </c>
      <c r="DB63" s="114">
        <f>SUMIFS('01. KE30'!$I:$I,'01. KE30'!$C:$C,'06. BC BH THEO CUSTOMER-USD'!$D63,'01. KE30'!$F:$F,'06. BC BH THEO CUSTOMER-USD'!$H63,'01. KE30'!$A:$A,'06. BC BH THEO CUSTOMER-USD'!DB$4)/1000</f>
        <v>0</v>
      </c>
      <c r="DC63" s="114">
        <f>SUMIFS('01. KE30'!$I:$I,'01. KE30'!$C:$C,'06. BC BH THEO CUSTOMER-USD'!$D63,'01. KE30'!$F:$F,'06. BC BH THEO CUSTOMER-USD'!$H63,'01. KE30'!$A:$A,'06. BC BH THEO CUSTOMER-USD'!DC$4)/1000</f>
        <v>0</v>
      </c>
      <c r="DD63" s="114">
        <f>SUMIFS('01. KE30'!$I:$I,'01. KE30'!$C:$C,'06. BC BH THEO CUSTOMER-USD'!$D63,'01. KE30'!$F:$F,'06. BC BH THEO CUSTOMER-USD'!$H63,'01. KE30'!$A:$A,'06. BC BH THEO CUSTOMER-USD'!DD$4)/1000</f>
        <v>0</v>
      </c>
      <c r="DF63" s="112">
        <f t="shared" si="267"/>
        <v>99454.528375812821</v>
      </c>
      <c r="DG63" s="54" t="str">
        <f t="shared" si="48"/>
        <v>-</v>
      </c>
      <c r="DH63" s="54">
        <f t="shared" si="49"/>
        <v>24161.874753840093</v>
      </c>
      <c r="DI63" s="54" t="str">
        <f t="shared" si="50"/>
        <v>-</v>
      </c>
      <c r="DJ63" s="54">
        <f t="shared" si="51"/>
        <v>49973.132017034462</v>
      </c>
      <c r="DK63" s="54" t="str">
        <f t="shared" si="52"/>
        <v>-</v>
      </c>
      <c r="DL63" s="54">
        <f t="shared" si="53"/>
        <v>25319.521604938269</v>
      </c>
      <c r="DM63" s="54" t="str">
        <f t="shared" si="54"/>
        <v>-</v>
      </c>
      <c r="DN63" s="54" t="str">
        <f t="shared" si="55"/>
        <v>-</v>
      </c>
      <c r="DO63" s="54" t="str">
        <f t="shared" si="56"/>
        <v>-</v>
      </c>
      <c r="DP63" s="54" t="str">
        <f t="shared" si="57"/>
        <v>-</v>
      </c>
      <c r="DQ63" s="54" t="str">
        <f t="shared" si="58"/>
        <v>-</v>
      </c>
      <c r="DR63" s="54" t="str">
        <f t="shared" si="59"/>
        <v>-</v>
      </c>
      <c r="DT63" s="112">
        <f t="shared" si="60"/>
        <v>8994.9782402938363</v>
      </c>
      <c r="DU63" s="114">
        <f>IFERROR(SUMIFS('01. KE30'!$X:$X,'01. KE30'!$C:$C,'06. BC BH THEO CUSTOMER-USD'!$D63,'01. KE30'!$F:$F,'06. BC BH THEO CUSTOMER-USD'!$H63,'01. KE30'!$A:$A,'06. BC BH THEO CUSTOMER-USD'!DU$4)-SUMIFS('01. KE30'!$AA:$AA,'01. KE30'!$C:$C,'06. BC BH THEO CUSTOMER-USD'!$D63,'01. KE30'!$F:$F,'06. BC BH THEO CUSTOMER-USD'!$H63,'01. KE30'!$A:$A,'06. BC BH THEO CUSTOMER-USD'!DU$4),"-")</f>
        <v>0</v>
      </c>
      <c r="DV63" s="114">
        <f>IFERROR(SUMIFS('01. KE30'!$X:$X,'01. KE30'!$C:$C,'06. BC BH THEO CUSTOMER-USD'!$D63,'01. KE30'!$F:$F,'06. BC BH THEO CUSTOMER-USD'!$H63,'01. KE30'!$A:$A,'06. BC BH THEO CUSTOMER-USD'!DV$4)-SUMIFS('01. KE30'!$AA:$AA,'01. KE30'!$C:$C,'06. BC BH THEO CUSTOMER-USD'!$D63,'01. KE30'!$F:$F,'06. BC BH THEO CUSTOMER-USD'!$H63,'01. KE30'!$A:$A,'06. BC BH THEO CUSTOMER-USD'!DV$4),"-")</f>
        <v>782.91445450964966</v>
      </c>
      <c r="DW63" s="114">
        <f>IFERROR(SUMIFS('01. KE30'!$X:$X,'01. KE30'!$C:$C,'06. BC BH THEO CUSTOMER-USD'!$D63,'01. KE30'!$F:$F,'06. BC BH THEO CUSTOMER-USD'!$H63,'01. KE30'!$A:$A,'06. BC BH THEO CUSTOMER-USD'!DW$4)-SUMIFS('01. KE30'!$AA:$AA,'01. KE30'!$C:$C,'06. BC BH THEO CUSTOMER-USD'!$D63,'01. KE30'!$F:$F,'06. BC BH THEO CUSTOMER-USD'!$H63,'01. KE30'!$A:$A,'06. BC BH THEO CUSTOMER-USD'!DW$4),"-")</f>
        <v>0</v>
      </c>
      <c r="DX63" s="114">
        <f>IFERROR(SUMIFS('01. KE30'!$X:$X,'01. KE30'!$C:$C,'06. BC BH THEO CUSTOMER-USD'!$D63,'01. KE30'!$F:$F,'06. BC BH THEO CUSTOMER-USD'!$H63,'01. KE30'!$A:$A,'06. BC BH THEO CUSTOMER-USD'!DX$4)-SUMIFS('01. KE30'!$AA:$AA,'01. KE30'!$C:$C,'06. BC BH THEO CUSTOMER-USD'!$D63,'01. KE30'!$F:$F,'06. BC BH THEO CUSTOMER-USD'!$H63,'01. KE30'!$A:$A,'06. BC BH THEO CUSTOMER-USD'!DX$4),"-")</f>
        <v>4433.6925280681389</v>
      </c>
      <c r="DY63" s="114">
        <f>IFERROR(SUMIFS('01. KE30'!$X:$X,'01. KE30'!$C:$C,'06. BC BH THEO CUSTOMER-USD'!$D63,'01. KE30'!$F:$F,'06. BC BH THEO CUSTOMER-USD'!$H63,'01. KE30'!$A:$A,'06. BC BH THEO CUSTOMER-USD'!DY$4)-SUMIFS('01. KE30'!$AA:$AA,'01. KE30'!$C:$C,'06. BC BH THEO CUSTOMER-USD'!$D63,'01. KE30'!$F:$F,'06. BC BH THEO CUSTOMER-USD'!$H63,'01. KE30'!$A:$A,'06. BC BH THEO CUSTOMER-USD'!DY$4),"-")</f>
        <v>0</v>
      </c>
      <c r="DZ63" s="114">
        <f>IFERROR(SUMIFS('01. KE30'!$X:$X,'01. KE30'!$C:$C,'06. BC BH THEO CUSTOMER-USD'!$D63,'01. KE30'!$F:$F,'06. BC BH THEO CUSTOMER-USD'!$H63,'01. KE30'!$A:$A,'06. BC BH THEO CUSTOMER-USD'!DZ$4)-SUMIFS('01. KE30'!$AA:$AA,'01. KE30'!$C:$C,'06. BC BH THEO CUSTOMER-USD'!$D63,'01. KE30'!$F:$F,'06. BC BH THEO CUSTOMER-USD'!$H63,'01. KE30'!$A:$A,'06. BC BH THEO CUSTOMER-USD'!DZ$4),"-")</f>
        <v>3778.3712577160477</v>
      </c>
      <c r="EA63" s="114">
        <f>IFERROR(SUMIFS('01. KE30'!$X:$X,'01. KE30'!$C:$C,'06. BC BH THEO CUSTOMER-USD'!$D63,'01. KE30'!$F:$F,'06. BC BH THEO CUSTOMER-USD'!$H63,'01. KE30'!$A:$A,'06. BC BH THEO CUSTOMER-USD'!EA$4)-SUMIFS('01. KE30'!$AA:$AA,'01. KE30'!$C:$C,'06. BC BH THEO CUSTOMER-USD'!$D63,'01. KE30'!$F:$F,'06. BC BH THEO CUSTOMER-USD'!$H63,'01. KE30'!$A:$A,'06. BC BH THEO CUSTOMER-USD'!EA$4),"-")</f>
        <v>0</v>
      </c>
      <c r="EB63" s="114">
        <f>IFERROR(SUMIFS('01. KE30'!$X:$X,'01. KE30'!$C:$C,'06. BC BH THEO CUSTOMER-USD'!$D63,'01. KE30'!$F:$F,'06. BC BH THEO CUSTOMER-USD'!$H63,'01. KE30'!$A:$A,'06. BC BH THEO CUSTOMER-USD'!EB$4)-SUMIFS('01. KE30'!$AA:$AA,'01. KE30'!$C:$C,'06. BC BH THEO CUSTOMER-USD'!$D63,'01. KE30'!$F:$F,'06. BC BH THEO CUSTOMER-USD'!$H63,'01. KE30'!$A:$A,'06. BC BH THEO CUSTOMER-USD'!EB$4),"-")</f>
        <v>0</v>
      </c>
      <c r="EC63" s="114">
        <f>IFERROR(SUMIFS('01. KE30'!$X:$X,'01. KE30'!$C:$C,'06. BC BH THEO CUSTOMER-USD'!$D63,'01. KE30'!$F:$F,'06. BC BH THEO CUSTOMER-USD'!$H63,'01. KE30'!$A:$A,'06. BC BH THEO CUSTOMER-USD'!EC$4)-SUMIFS('01. KE30'!$AA:$AA,'01. KE30'!$C:$C,'06. BC BH THEO CUSTOMER-USD'!$D63,'01. KE30'!$F:$F,'06. BC BH THEO CUSTOMER-USD'!$H63,'01. KE30'!$A:$A,'06. BC BH THEO CUSTOMER-USD'!EC$4),"-")</f>
        <v>0</v>
      </c>
      <c r="ED63" s="114">
        <f>IFERROR(SUMIFS('01. KE30'!$X:$X,'01. KE30'!$C:$C,'06. BC BH THEO CUSTOMER-USD'!$D63,'01. KE30'!$F:$F,'06. BC BH THEO CUSTOMER-USD'!$H63,'01. KE30'!$A:$A,'06. BC BH THEO CUSTOMER-USD'!ED$4)-SUMIFS('01. KE30'!$AA:$AA,'01. KE30'!$C:$C,'06. BC BH THEO CUSTOMER-USD'!$D63,'01. KE30'!$F:$F,'06. BC BH THEO CUSTOMER-USD'!$H63,'01. KE30'!$A:$A,'06. BC BH THEO CUSTOMER-USD'!ED$4),"-")</f>
        <v>0</v>
      </c>
      <c r="EE63" s="114">
        <f>IFERROR(SUMIFS('01. KE30'!$X:$X,'01. KE30'!$C:$C,'06. BC BH THEO CUSTOMER-USD'!$D63,'01. KE30'!$F:$F,'06. BC BH THEO CUSTOMER-USD'!$H63,'01. KE30'!$A:$A,'06. BC BH THEO CUSTOMER-USD'!EE$4)-SUMIFS('01. KE30'!$AA:$AA,'01. KE30'!$C:$C,'06. BC BH THEO CUSTOMER-USD'!$D63,'01. KE30'!$F:$F,'06. BC BH THEO CUSTOMER-USD'!$H63,'01. KE30'!$A:$A,'06. BC BH THEO CUSTOMER-USD'!EE$4),"-")</f>
        <v>0</v>
      </c>
      <c r="EF63" s="114">
        <f>IFERROR(SUMIFS('01. KE30'!$X:$X,'01. KE30'!$C:$C,'06. BC BH THEO CUSTOMER-USD'!$D63,'01. KE30'!$F:$F,'06. BC BH THEO CUSTOMER-USD'!$H63,'01. KE30'!$A:$A,'06. BC BH THEO CUSTOMER-USD'!EF$4)-SUMIFS('01. KE30'!$AA:$AA,'01. KE30'!$C:$C,'06. BC BH THEO CUSTOMER-USD'!$D63,'01. KE30'!$F:$F,'06. BC BH THEO CUSTOMER-USD'!$H63,'01. KE30'!$A:$A,'06. BC BH THEO CUSTOMER-USD'!EF$4),"-")</f>
        <v>0</v>
      </c>
      <c r="EH63" s="571">
        <f t="shared" si="29"/>
        <v>9.0443123980279219E-2</v>
      </c>
      <c r="EI63" s="572" t="str">
        <f t="shared" si="30"/>
        <v>-</v>
      </c>
      <c r="EJ63" s="572">
        <f t="shared" si="31"/>
        <v>3.240288522666146E-2</v>
      </c>
      <c r="EK63" s="572" t="str">
        <f t="shared" si="32"/>
        <v>-</v>
      </c>
      <c r="EL63" s="572">
        <f t="shared" si="33"/>
        <v>8.8721525930310213E-2</v>
      </c>
      <c r="EM63" s="572" t="str">
        <f t="shared" si="34"/>
        <v>-</v>
      </c>
      <c r="EN63" s="572">
        <f t="shared" si="35"/>
        <v>0.14922759271166963</v>
      </c>
      <c r="EO63" s="572" t="str">
        <f t="shared" si="36"/>
        <v>-</v>
      </c>
      <c r="EP63" s="572" t="str">
        <f t="shared" si="37"/>
        <v>-</v>
      </c>
      <c r="EQ63" s="572" t="str">
        <f t="shared" si="38"/>
        <v>-</v>
      </c>
      <c r="ER63" s="572" t="str">
        <f t="shared" si="39"/>
        <v>-</v>
      </c>
      <c r="ES63" s="572" t="str">
        <f t="shared" si="40"/>
        <v>-</v>
      </c>
      <c r="ET63" s="572" t="str">
        <f t="shared" si="41"/>
        <v>-</v>
      </c>
    </row>
    <row r="64" spans="1:150" ht="15.5" hidden="1" outlineLevel="1" x14ac:dyDescent="0.35">
      <c r="A64" s="27">
        <f t="shared" si="63"/>
        <v>53</v>
      </c>
      <c r="B64" s="27" t="s">
        <v>283</v>
      </c>
      <c r="C64" s="442" t="s">
        <v>489</v>
      </c>
      <c r="D64" s="9" t="s">
        <v>116</v>
      </c>
      <c r="E64" s="12" t="s">
        <v>115</v>
      </c>
      <c r="F64" s="12" t="s">
        <v>245</v>
      </c>
      <c r="G64" s="12" t="str">
        <f>_xlfn.XLOOKUP(F64,'Quy đổi'!$G$5:$G$32,'Quy đổi'!$H$5:$H$32,0)</f>
        <v>Nội địa</v>
      </c>
      <c r="H64" s="76" t="s">
        <v>110</v>
      </c>
      <c r="I64" s="28" t="s">
        <v>109</v>
      </c>
      <c r="J64" s="13" t="s">
        <v>22</v>
      </c>
      <c r="K64" s="11"/>
      <c r="L64" s="92" t="str">
        <f t="shared" si="42"/>
        <v>-</v>
      </c>
      <c r="M64" s="106" t="str">
        <f>IFERROR(SUMIFS('01. KE30'!$K:$K,'01. KE30'!$C:$C,'06. BC BH THEO CUSTOMER-USD'!$D64,'01. KE30'!$F:$F,'06. BC BH THEO CUSTOMER-USD'!$H64,'01. KE30'!$A:$A,'06. BC BH THEO CUSTOMER-USD'!M$4)/'06. BC BH THEO CUSTOMER-USD'!CS64/'02. Tỷ giá'!B$5,"-")</f>
        <v>-</v>
      </c>
      <c r="N64" s="106" t="str">
        <f>IFERROR(SUMIFS('01. KE30'!$K:$K,'01. KE30'!$C:$C,'06. BC BH THEO CUSTOMER-USD'!$D64,'01. KE30'!$F:$F,'06. BC BH THEO CUSTOMER-USD'!$H64,'01. KE30'!$A:$A,'06. BC BH THEO CUSTOMER-USD'!N$4)/'06. BC BH THEO CUSTOMER-USD'!CT64/'02. Tỷ giá'!C$5,"-")</f>
        <v>-</v>
      </c>
      <c r="O64" s="106" t="str">
        <f>IFERROR(SUMIFS('01. KE30'!$K:$K,'01. KE30'!$C:$C,'06. BC BH THEO CUSTOMER-USD'!$D64,'01. KE30'!$F:$F,'06. BC BH THEO CUSTOMER-USD'!$H64,'01. KE30'!$A:$A,'06. BC BH THEO CUSTOMER-USD'!O$4)/'06. BC BH THEO CUSTOMER-USD'!CU64/'02. Tỷ giá'!D$5,"-")</f>
        <v>-</v>
      </c>
      <c r="P64" s="106" t="str">
        <f>IFERROR(SUMIFS('01. KE30'!$K:$K,'01. KE30'!$C:$C,'06. BC BH THEO CUSTOMER-USD'!$D64,'01. KE30'!$F:$F,'06. BC BH THEO CUSTOMER-USD'!$H64,'01. KE30'!$A:$A,'06. BC BH THEO CUSTOMER-USD'!P$4)/'06. BC BH THEO CUSTOMER-USD'!CV64/'02. Tỷ giá'!E$5,"-")</f>
        <v>-</v>
      </c>
      <c r="Q64" s="106" t="str">
        <f>IFERROR(SUMIFS('01. KE30'!$K:$K,'01. KE30'!$C:$C,'06. BC BH THEO CUSTOMER-USD'!$D64,'01. KE30'!$F:$F,'06. BC BH THEO CUSTOMER-USD'!$H64,'01. KE30'!$A:$A,'06. BC BH THEO CUSTOMER-USD'!Q$4)/'06. BC BH THEO CUSTOMER-USD'!CW64/'02. Tỷ giá'!F$5,"-")</f>
        <v>-</v>
      </c>
      <c r="R64" s="106" t="str">
        <f>IFERROR(SUMIFS('01. KE30'!$K:$K,'01. KE30'!$C:$C,'06. BC BH THEO CUSTOMER-USD'!$D64,'01. KE30'!$F:$F,'06. BC BH THEO CUSTOMER-USD'!$H64,'01. KE30'!$A:$A,'06. BC BH THEO CUSTOMER-USD'!R$4)/'06. BC BH THEO CUSTOMER-USD'!CX64/'02. Tỷ giá'!G$5,"-")</f>
        <v>-</v>
      </c>
      <c r="S64" s="106" t="str">
        <f>IFERROR(SUMIFS('01. KE30'!$K:$K,'01. KE30'!$C:$C,'06. BC BH THEO CUSTOMER-USD'!$D64,'01. KE30'!$F:$F,'06. BC BH THEO CUSTOMER-USD'!$H64,'01. KE30'!$A:$A,'06. BC BH THEO CUSTOMER-USD'!S$4)/'06. BC BH THEO CUSTOMER-USD'!CY64/'02. Tỷ giá'!H$5,"-")</f>
        <v>-</v>
      </c>
      <c r="T64" s="106" t="str">
        <f>IFERROR(SUMIFS('01. KE30'!$K:$K,'01. KE30'!$C:$C,'06. BC BH THEO CUSTOMER-USD'!$D64,'01. KE30'!$F:$F,'06. BC BH THEO CUSTOMER-USD'!$H64,'01. KE30'!$A:$A,'06. BC BH THEO CUSTOMER-USD'!T$4)/'06. BC BH THEO CUSTOMER-USD'!CZ64/'02. Tỷ giá'!I$5,"-")</f>
        <v>-</v>
      </c>
      <c r="U64" s="106" t="str">
        <f>IFERROR(SUMIFS('01. KE30'!$K:$K,'01. KE30'!$C:$C,'06. BC BH THEO CUSTOMER-USD'!$D64,'01. KE30'!$F:$F,'06. BC BH THEO CUSTOMER-USD'!$H64,'01. KE30'!$A:$A,'06. BC BH THEO CUSTOMER-USD'!U$4)/'06. BC BH THEO CUSTOMER-USD'!DA64/'02. Tỷ giá'!J$5,"-")</f>
        <v>-</v>
      </c>
      <c r="V64" s="106" t="str">
        <f>IFERROR(SUMIFS('01. KE30'!$K:$K,'01. KE30'!$C:$C,'06. BC BH THEO CUSTOMER-USD'!$D64,'01. KE30'!$F:$F,'06. BC BH THEO CUSTOMER-USD'!$H64,'01. KE30'!$A:$A,'06. BC BH THEO CUSTOMER-USD'!V$4)/'06. BC BH THEO CUSTOMER-USD'!DB64/'02. Tỷ giá'!K$5,"-")</f>
        <v>-</v>
      </c>
      <c r="W64" s="106" t="str">
        <f>IFERROR(SUMIFS('01. KE30'!$K:$K,'01. KE30'!$C:$C,'06. BC BH THEO CUSTOMER-USD'!$D64,'01. KE30'!$F:$F,'06. BC BH THEO CUSTOMER-USD'!$H64,'01. KE30'!$A:$A,'06. BC BH THEO CUSTOMER-USD'!W$4)/'06. BC BH THEO CUSTOMER-USD'!DC64/'02. Tỷ giá'!L$5,"-")</f>
        <v>-</v>
      </c>
      <c r="X64" s="106" t="str">
        <f>IFERROR(SUMIFS('01. KE30'!$K:$K,'01. KE30'!$C:$C,'06. BC BH THEO CUSTOMER-USD'!$D64,'01. KE30'!$F:$F,'06. BC BH THEO CUSTOMER-USD'!$H64,'01. KE30'!$A:$A,'06. BC BH THEO CUSTOMER-USD'!X$4)/'06. BC BH THEO CUSTOMER-USD'!DD64/'02. Tỷ giá'!M$5,"-")</f>
        <v>-</v>
      </c>
      <c r="Z64" s="92" t="str">
        <f t="shared" si="43"/>
        <v>-</v>
      </c>
      <c r="AA64" s="147" t="str">
        <f>IFERROR(SUMIFS('01. KE30'!$O:$O,'01. KE30'!$C:$C,'06. BC BH THEO CUSTOMER-USD'!$D64,'01. KE30'!$F:$F,'06. BC BH THEO CUSTOMER-USD'!$H64,'01. KE30'!$A:$A,'06. BC BH THEO CUSTOMER-USD'!M$4)/'06. BC BH THEO CUSTOMER-USD'!CS64/'02. Tỷ giá'!B$5,"-")</f>
        <v>-</v>
      </c>
      <c r="AB64" s="147" t="str">
        <f>IFERROR(SUMIFS('01. KE30'!$O:$O,'01. KE30'!$C:$C,'06. BC BH THEO CUSTOMER-USD'!$D64,'01. KE30'!$F:$F,'06. BC BH THEO CUSTOMER-USD'!$H64,'01. KE30'!$A:$A,'06. BC BH THEO CUSTOMER-USD'!N$4)/'06. BC BH THEO CUSTOMER-USD'!CT64/'02. Tỷ giá'!C$5,"-")</f>
        <v>-</v>
      </c>
      <c r="AC64" s="147" t="str">
        <f>IFERROR(SUMIFS('01. KE30'!$O:$O,'01. KE30'!$C:$C,'06. BC BH THEO CUSTOMER-USD'!$D64,'01. KE30'!$F:$F,'06. BC BH THEO CUSTOMER-USD'!$H64,'01. KE30'!$A:$A,'06. BC BH THEO CUSTOMER-USD'!O$4)/'06. BC BH THEO CUSTOMER-USD'!CU64/'02. Tỷ giá'!D$5,"-")</f>
        <v>-</v>
      </c>
      <c r="AD64" s="147" t="str">
        <f>IFERROR(SUMIFS('01. KE30'!$O:$O,'01. KE30'!$C:$C,'06. BC BH THEO CUSTOMER-USD'!$D64,'01. KE30'!$F:$F,'06. BC BH THEO CUSTOMER-USD'!$H64,'01. KE30'!$A:$A,'06. BC BH THEO CUSTOMER-USD'!P$4)/'06. BC BH THEO CUSTOMER-USD'!CV64/'02. Tỷ giá'!E$5,"-")</f>
        <v>-</v>
      </c>
      <c r="AE64" s="147" t="str">
        <f>IFERROR(SUMIFS('01. KE30'!$O:$O,'01. KE30'!$C:$C,'06. BC BH THEO CUSTOMER-USD'!$D64,'01. KE30'!$F:$F,'06. BC BH THEO CUSTOMER-USD'!$H64,'01. KE30'!$A:$A,'06. BC BH THEO CUSTOMER-USD'!Q$4)/'06. BC BH THEO CUSTOMER-USD'!CW64/'02. Tỷ giá'!F$5,"-")</f>
        <v>-</v>
      </c>
      <c r="AF64" s="147" t="str">
        <f>IFERROR(SUMIFS('01. KE30'!$O:$O,'01. KE30'!$C:$C,'06. BC BH THEO CUSTOMER-USD'!$D64,'01. KE30'!$F:$F,'06. BC BH THEO CUSTOMER-USD'!$H64,'01. KE30'!$A:$A,'06. BC BH THEO CUSTOMER-USD'!R$4)/'06. BC BH THEO CUSTOMER-USD'!CX64/'02. Tỷ giá'!G$5,"-")</f>
        <v>-</v>
      </c>
      <c r="AG64" s="147" t="str">
        <f>IFERROR(SUMIFS('01. KE30'!$O:$O,'01. KE30'!$C:$C,'06. BC BH THEO CUSTOMER-USD'!$D64,'01. KE30'!$F:$F,'06. BC BH THEO CUSTOMER-USD'!$H64,'01. KE30'!$A:$A,'06. BC BH THEO CUSTOMER-USD'!S$4)/'06. BC BH THEO CUSTOMER-USD'!CY64/'02. Tỷ giá'!H$5,"-")</f>
        <v>-</v>
      </c>
      <c r="AH64" s="147" t="str">
        <f>IFERROR(SUMIFS('01. KE30'!$O:$O,'01. KE30'!$C:$C,'06. BC BH THEO CUSTOMER-USD'!$D64,'01. KE30'!$F:$F,'06. BC BH THEO CUSTOMER-USD'!$H64,'01. KE30'!$A:$A,'06. BC BH THEO CUSTOMER-USD'!T$4)/'06. BC BH THEO CUSTOMER-USD'!CZ64/'02. Tỷ giá'!I$5,"-")</f>
        <v>-</v>
      </c>
      <c r="AI64" s="147" t="str">
        <f>IFERROR(SUMIFS('01. KE30'!$O:$O,'01. KE30'!$C:$C,'06. BC BH THEO CUSTOMER-USD'!$D64,'01. KE30'!$F:$F,'06. BC BH THEO CUSTOMER-USD'!$H64,'01. KE30'!$A:$A,'06. BC BH THEO CUSTOMER-USD'!U$4)/'06. BC BH THEO CUSTOMER-USD'!DA64/'02. Tỷ giá'!J$5,"-")</f>
        <v>-</v>
      </c>
      <c r="AJ64" s="147" t="str">
        <f>IFERROR(SUMIFS('01. KE30'!$O:$O,'01. KE30'!$C:$C,'06. BC BH THEO CUSTOMER-USD'!$D64,'01. KE30'!$F:$F,'06. BC BH THEO CUSTOMER-USD'!$H64,'01. KE30'!$A:$A,'06. BC BH THEO CUSTOMER-USD'!V$4)/'06. BC BH THEO CUSTOMER-USD'!DB64/'02. Tỷ giá'!K$5,"-")</f>
        <v>-</v>
      </c>
      <c r="AK64" s="147" t="str">
        <f>IFERROR(SUMIFS('01. KE30'!$O:$O,'01. KE30'!$C:$C,'06. BC BH THEO CUSTOMER-USD'!$D64,'01. KE30'!$F:$F,'06. BC BH THEO CUSTOMER-USD'!$H64,'01. KE30'!$A:$A,'06. BC BH THEO CUSTOMER-USD'!W$4)/'06. BC BH THEO CUSTOMER-USD'!DC64/'02. Tỷ giá'!L$5,"-")</f>
        <v>-</v>
      </c>
      <c r="AL64" s="147" t="str">
        <f>IFERROR(SUMIFS('01. KE30'!$O:$O,'01. KE30'!$C:$C,'06. BC BH THEO CUSTOMER-USD'!$D64,'01. KE30'!$F:$F,'06. BC BH THEO CUSTOMER-USD'!$H64,'01. KE30'!$A:$A,'06. BC BH THEO CUSTOMER-USD'!X$4)/'06. BC BH THEO CUSTOMER-USD'!DD64/'02. Tỷ giá'!M$5,"-")</f>
        <v>-</v>
      </c>
      <c r="AN64" s="92">
        <f t="shared" si="44"/>
        <v>1236.6666666666667</v>
      </c>
      <c r="AO64" s="25">
        <v>1230</v>
      </c>
      <c r="AP64" s="25">
        <v>1230</v>
      </c>
      <c r="AQ64" s="25">
        <v>1230</v>
      </c>
      <c r="AR64" s="25">
        <f>AQ64+20</f>
        <v>1250</v>
      </c>
      <c r="AS64" s="25">
        <v>1250</v>
      </c>
      <c r="AT64" s="25">
        <v>1250</v>
      </c>
      <c r="AU64" s="25">
        <v>1250</v>
      </c>
      <c r="AV64" s="4">
        <f t="shared" si="205"/>
        <v>1220</v>
      </c>
      <c r="AW64" s="25">
        <v>1220</v>
      </c>
      <c r="AX64" s="25"/>
      <c r="AY64" s="4"/>
      <c r="AZ64" s="4"/>
      <c r="BB64" s="95" t="str">
        <f t="shared" si="45"/>
        <v>-</v>
      </c>
      <c r="BC64" s="95" t="str">
        <f t="shared" si="206"/>
        <v>-</v>
      </c>
      <c r="BD64" s="95" t="str">
        <f t="shared" si="389"/>
        <v>-</v>
      </c>
      <c r="BE64" s="95" t="str">
        <f t="shared" si="389"/>
        <v>-</v>
      </c>
      <c r="BF64" s="95" t="str">
        <f t="shared" si="389"/>
        <v>-</v>
      </c>
      <c r="BG64" s="95" t="str">
        <f>IF(Q64&lt;&gt;"-",AE64-AS64,"-")</f>
        <v>-</v>
      </c>
      <c r="BH64" s="95" t="str">
        <f t="shared" si="389"/>
        <v>-</v>
      </c>
      <c r="BI64" s="95" t="str">
        <f t="shared" si="389"/>
        <v>-</v>
      </c>
      <c r="BJ64" s="95" t="str">
        <f t="shared" si="389"/>
        <v>-</v>
      </c>
      <c r="BK64" s="95" t="str">
        <f t="shared" si="389"/>
        <v>-</v>
      </c>
      <c r="BL64" s="95" t="str">
        <f t="shared" si="389"/>
        <v>-</v>
      </c>
      <c r="BM64" s="95" t="str">
        <f t="shared" si="389"/>
        <v>-</v>
      </c>
      <c r="BN64" s="95" t="str">
        <f t="shared" si="389"/>
        <v>-</v>
      </c>
      <c r="BP64" s="143" t="str">
        <f t="shared" si="47"/>
        <v>-</v>
      </c>
      <c r="BQ64" s="143" t="str">
        <f t="shared" si="202"/>
        <v>-</v>
      </c>
      <c r="BR64" s="143" t="str">
        <f t="shared" si="9"/>
        <v>-</v>
      </c>
      <c r="BS64" s="143" t="str">
        <f t="shared" si="10"/>
        <v>-</v>
      </c>
      <c r="BT64" s="143" t="str">
        <f t="shared" si="11"/>
        <v>-</v>
      </c>
      <c r="BU64" s="143" t="str">
        <f t="shared" si="12"/>
        <v>-</v>
      </c>
      <c r="BV64" s="143" t="str">
        <f t="shared" si="13"/>
        <v>-</v>
      </c>
      <c r="BW64" s="143" t="str">
        <f t="shared" si="14"/>
        <v>-</v>
      </c>
      <c r="BX64" s="143" t="str">
        <f t="shared" si="15"/>
        <v>-</v>
      </c>
      <c r="BY64" s="143" t="str">
        <f t="shared" si="16"/>
        <v>-</v>
      </c>
      <c r="BZ64" s="143" t="str">
        <f t="shared" si="17"/>
        <v>-</v>
      </c>
      <c r="CA64" s="143" t="str">
        <f t="shared" si="18"/>
        <v>-</v>
      </c>
      <c r="CB64" s="143" t="str">
        <f t="shared" si="19"/>
        <v>-</v>
      </c>
      <c r="CD64" s="112" t="str">
        <f t="shared" si="25"/>
        <v>-</v>
      </c>
      <c r="CE64" s="95" t="str">
        <f>IFERROR(SUMIFS('01. KE30'!$R:$R,'01. KE30'!$C:$C,'06. BC BH THEO CUSTOMER-USD'!$D64,'01. KE30'!$F:$F,'06. BC BH THEO CUSTOMER-USD'!$H64,'01. KE30'!$A:$A,'06. BC BH THEO CUSTOMER-USD'!CE$4)/CS64/'02. Tỷ giá'!B$5," -")</f>
        <v xml:space="preserve"> -</v>
      </c>
      <c r="CF64" s="95" t="str">
        <f>IFERROR(SUMIFS('01. KE30'!$R:$R,'01. KE30'!$C:$C,'06. BC BH THEO CUSTOMER-USD'!$D64,'01. KE30'!$F:$F,'06. BC BH THEO CUSTOMER-USD'!$H64,'01. KE30'!$A:$A,'06. BC BH THEO CUSTOMER-USD'!CF$4)/CT64/'02. Tỷ giá'!C$5," -")</f>
        <v xml:space="preserve"> -</v>
      </c>
      <c r="CG64" s="95" t="str">
        <f>IFERROR(SUMIFS('01. KE30'!$R:$R,'01. KE30'!$C:$C,'06. BC BH THEO CUSTOMER-USD'!$D64,'01. KE30'!$F:$F,'06. BC BH THEO CUSTOMER-USD'!$H64,'01. KE30'!$A:$A,'06. BC BH THEO CUSTOMER-USD'!CG$4)/CU64/'02. Tỷ giá'!D$5," -")</f>
        <v xml:space="preserve"> -</v>
      </c>
      <c r="CH64" s="95" t="str">
        <f>IFERROR(SUMIFS('01. KE30'!$R:$R,'01. KE30'!$C:$C,'06. BC BH THEO CUSTOMER-USD'!$D64,'01. KE30'!$F:$F,'06. BC BH THEO CUSTOMER-USD'!$H64,'01. KE30'!$A:$A,'06. BC BH THEO CUSTOMER-USD'!CH$4)/CV64/'02. Tỷ giá'!E$5," -")</f>
        <v xml:space="preserve"> -</v>
      </c>
      <c r="CI64" s="95" t="str">
        <f>IFERROR(SUMIFS('01. KE30'!$R:$R,'01. KE30'!$C:$C,'06. BC BH THEO CUSTOMER-USD'!$D64,'01. KE30'!$F:$F,'06. BC BH THEO CUSTOMER-USD'!$H64,'01. KE30'!$A:$A,'06. BC BH THEO CUSTOMER-USD'!CI$4)/CW64/'02. Tỷ giá'!F$5," -")</f>
        <v xml:space="preserve"> -</v>
      </c>
      <c r="CJ64" s="95" t="str">
        <f>IFERROR(SUMIFS('01. KE30'!$R:$R,'01. KE30'!$C:$C,'06. BC BH THEO CUSTOMER-USD'!$D64,'01. KE30'!$F:$F,'06. BC BH THEO CUSTOMER-USD'!$H64,'01. KE30'!$A:$A,'06. BC BH THEO CUSTOMER-USD'!CJ$4)/CX64/'02. Tỷ giá'!G$5," -")</f>
        <v xml:space="preserve"> -</v>
      </c>
      <c r="CK64" s="95" t="str">
        <f>IFERROR(SUMIFS('01. KE30'!$R:$R,'01. KE30'!$C:$C,'06. BC BH THEO CUSTOMER-USD'!$D64,'01. KE30'!$F:$F,'06. BC BH THEO CUSTOMER-USD'!$H64,'01. KE30'!$A:$A,'06. BC BH THEO CUSTOMER-USD'!CK$4)/CY64/'02. Tỷ giá'!H$5," -")</f>
        <v xml:space="preserve"> -</v>
      </c>
      <c r="CL64" s="95" t="str">
        <f>IFERROR(SUMIFS('01. KE30'!$R:$R,'01. KE30'!$C:$C,'06. BC BH THEO CUSTOMER-USD'!$D64,'01. KE30'!$F:$F,'06. BC BH THEO CUSTOMER-USD'!$H64,'01. KE30'!$A:$A,'06. BC BH THEO CUSTOMER-USD'!CL$4)/CZ64/'02. Tỷ giá'!I$5," -")</f>
        <v xml:space="preserve"> -</v>
      </c>
      <c r="CM64" s="95" t="str">
        <f>IFERROR(SUMIFS('01. KE30'!$R:$R,'01. KE30'!$C:$C,'06. BC BH THEO CUSTOMER-USD'!$D64,'01. KE30'!$F:$F,'06. BC BH THEO CUSTOMER-USD'!$H64,'01. KE30'!$A:$A,'06. BC BH THEO CUSTOMER-USD'!CM$4)/DA64/'02. Tỷ giá'!J$5," -")</f>
        <v xml:space="preserve"> -</v>
      </c>
      <c r="CN64" s="95" t="str">
        <f>IFERROR(SUMIFS('01. KE30'!$R:$R,'01. KE30'!$C:$C,'06. BC BH THEO CUSTOMER-USD'!$D64,'01. KE30'!$F:$F,'06. BC BH THEO CUSTOMER-USD'!$H64,'01. KE30'!$A:$A,'06. BC BH THEO CUSTOMER-USD'!CN$4)/DB64/'02. Tỷ giá'!K$5," -")</f>
        <v xml:space="preserve"> -</v>
      </c>
      <c r="CO64" s="95" t="str">
        <f>IFERROR(SUMIFS('01. KE30'!$R:$R,'01. KE30'!$C:$C,'06. BC BH THEO CUSTOMER-USD'!$D64,'01. KE30'!$F:$F,'06. BC BH THEO CUSTOMER-USD'!$H64,'01. KE30'!$A:$A,'06. BC BH THEO CUSTOMER-USD'!CO$4)/DC64/'02. Tỷ giá'!L$5," -")</f>
        <v xml:space="preserve"> -</v>
      </c>
      <c r="CP64" s="95" t="str">
        <f>IFERROR(SUMIFS('01. KE30'!$R:$R,'01. KE30'!$C:$C,'06. BC BH THEO CUSTOMER-USD'!$D64,'01. KE30'!$F:$F,'06. BC BH THEO CUSTOMER-USD'!$H64,'01. KE30'!$A:$A,'06. BC BH THEO CUSTOMER-USD'!CP$4)/DD64/'02. Tỷ giá'!M$5," -")</f>
        <v xml:space="preserve"> -</v>
      </c>
      <c r="CR64" s="112">
        <f t="shared" si="266"/>
        <v>0</v>
      </c>
      <c r="CS64" s="114">
        <f>SUMIFS('01. KE30'!$I:$I,'01. KE30'!$C:$C,'06. BC BH THEO CUSTOMER-USD'!$D64,'01. KE30'!$F:$F,'06. BC BH THEO CUSTOMER-USD'!$H64,'01. KE30'!$A:$A,'06. BC BH THEO CUSTOMER-USD'!CS$4)/1000</f>
        <v>0</v>
      </c>
      <c r="CT64" s="114">
        <f>SUMIFS('01. KE30'!$I:$I,'01. KE30'!$C:$C,'06. BC BH THEO CUSTOMER-USD'!$D64,'01. KE30'!$F:$F,'06. BC BH THEO CUSTOMER-USD'!$H64,'01. KE30'!$A:$A,'06. BC BH THEO CUSTOMER-USD'!CT$4)/1000</f>
        <v>0</v>
      </c>
      <c r="CU64" s="114">
        <f>SUMIFS('01. KE30'!$I:$I,'01. KE30'!$C:$C,'06. BC BH THEO CUSTOMER-USD'!$D64,'01. KE30'!$F:$F,'06. BC BH THEO CUSTOMER-USD'!$H64,'01. KE30'!$A:$A,'06. BC BH THEO CUSTOMER-USD'!CU$4)/1000</f>
        <v>0</v>
      </c>
      <c r="CV64" s="114">
        <f>SUMIFS('01. KE30'!$I:$I,'01. KE30'!$C:$C,'06. BC BH THEO CUSTOMER-USD'!$D64,'01. KE30'!$F:$F,'06. BC BH THEO CUSTOMER-USD'!$H64,'01. KE30'!$A:$A,'06. BC BH THEO CUSTOMER-USD'!CV$4)/1000</f>
        <v>0</v>
      </c>
      <c r="CW64" s="114">
        <f>SUMIFS('01. KE30'!$I:$I,'01. KE30'!$C:$C,'06. BC BH THEO CUSTOMER-USD'!$D64,'01. KE30'!$F:$F,'06. BC BH THEO CUSTOMER-USD'!$H64,'01. KE30'!$A:$A,'06. BC BH THEO CUSTOMER-USD'!CW$4)/1000</f>
        <v>0</v>
      </c>
      <c r="CX64" s="114">
        <f>SUMIFS('01. KE30'!$I:$I,'01. KE30'!$C:$C,'06. BC BH THEO CUSTOMER-USD'!$D64,'01. KE30'!$F:$F,'06. BC BH THEO CUSTOMER-USD'!$H64,'01. KE30'!$A:$A,'06. BC BH THEO CUSTOMER-USD'!CX$4)/1000</f>
        <v>0</v>
      </c>
      <c r="CY64" s="114">
        <f>SUMIFS('01. KE30'!$I:$I,'01. KE30'!$C:$C,'06. BC BH THEO CUSTOMER-USD'!$D64,'01. KE30'!$F:$F,'06. BC BH THEO CUSTOMER-USD'!$H64,'01. KE30'!$A:$A,'06. BC BH THEO CUSTOMER-USD'!CY$4)/1000</f>
        <v>0</v>
      </c>
      <c r="CZ64" s="114">
        <f>SUMIFS('01. KE30'!$I:$I,'01. KE30'!$C:$C,'06. BC BH THEO CUSTOMER-USD'!$D64,'01. KE30'!$F:$F,'06. BC BH THEO CUSTOMER-USD'!$H64,'01. KE30'!$A:$A,'06. BC BH THEO CUSTOMER-USD'!CZ$4)/1000</f>
        <v>0</v>
      </c>
      <c r="DA64" s="114">
        <f>SUMIFS('01. KE30'!$I:$I,'01. KE30'!$C:$C,'06. BC BH THEO CUSTOMER-USD'!$D64,'01. KE30'!$F:$F,'06. BC BH THEO CUSTOMER-USD'!$H64,'01. KE30'!$A:$A,'06. BC BH THEO CUSTOMER-USD'!DA$4)/1000</f>
        <v>0</v>
      </c>
      <c r="DB64" s="114">
        <f>SUMIFS('01. KE30'!$I:$I,'01. KE30'!$C:$C,'06. BC BH THEO CUSTOMER-USD'!$D64,'01. KE30'!$F:$F,'06. BC BH THEO CUSTOMER-USD'!$H64,'01. KE30'!$A:$A,'06. BC BH THEO CUSTOMER-USD'!DB$4)/1000</f>
        <v>0</v>
      </c>
      <c r="DC64" s="114">
        <f>SUMIFS('01. KE30'!$I:$I,'01. KE30'!$C:$C,'06. BC BH THEO CUSTOMER-USD'!$D64,'01. KE30'!$F:$F,'06. BC BH THEO CUSTOMER-USD'!$H64,'01. KE30'!$A:$A,'06. BC BH THEO CUSTOMER-USD'!DC$4)/1000</f>
        <v>0</v>
      </c>
      <c r="DD64" s="114">
        <f>SUMIFS('01. KE30'!$I:$I,'01. KE30'!$C:$C,'06. BC BH THEO CUSTOMER-USD'!$D64,'01. KE30'!$F:$F,'06. BC BH THEO CUSTOMER-USD'!$H64,'01. KE30'!$A:$A,'06. BC BH THEO CUSTOMER-USD'!DD$4)/1000</f>
        <v>0</v>
      </c>
      <c r="DF64" s="112">
        <f t="shared" si="267"/>
        <v>0</v>
      </c>
      <c r="DG64" s="54" t="str">
        <f t="shared" si="48"/>
        <v>-</v>
      </c>
      <c r="DH64" s="54" t="str">
        <f t="shared" si="49"/>
        <v>-</v>
      </c>
      <c r="DI64" s="54" t="str">
        <f t="shared" si="50"/>
        <v>-</v>
      </c>
      <c r="DJ64" s="54" t="str">
        <f t="shared" si="51"/>
        <v>-</v>
      </c>
      <c r="DK64" s="54" t="str">
        <f t="shared" si="52"/>
        <v>-</v>
      </c>
      <c r="DL64" s="54" t="str">
        <f t="shared" si="53"/>
        <v>-</v>
      </c>
      <c r="DM64" s="54" t="str">
        <f t="shared" si="54"/>
        <v>-</v>
      </c>
      <c r="DN64" s="54" t="str">
        <f t="shared" si="55"/>
        <v>-</v>
      </c>
      <c r="DO64" s="54" t="str">
        <f t="shared" si="56"/>
        <v>-</v>
      </c>
      <c r="DP64" s="54" t="str">
        <f t="shared" si="57"/>
        <v>-</v>
      </c>
      <c r="DQ64" s="54" t="str">
        <f t="shared" si="58"/>
        <v>-</v>
      </c>
      <c r="DR64" s="54" t="str">
        <f t="shared" si="59"/>
        <v>-</v>
      </c>
      <c r="DT64" s="112">
        <f t="shared" si="60"/>
        <v>0</v>
      </c>
      <c r="DU64" s="114">
        <f>IFERROR(SUMIFS('01. KE30'!$X:$X,'01. KE30'!$C:$C,'06. BC BH THEO CUSTOMER-USD'!$D64,'01. KE30'!$F:$F,'06. BC BH THEO CUSTOMER-USD'!$H64,'01. KE30'!$A:$A,'06. BC BH THEO CUSTOMER-USD'!DU$4)-SUMIFS('01. KE30'!$AA:$AA,'01. KE30'!$C:$C,'06. BC BH THEO CUSTOMER-USD'!$D64,'01. KE30'!$F:$F,'06. BC BH THEO CUSTOMER-USD'!$H64,'01. KE30'!$A:$A,'06. BC BH THEO CUSTOMER-USD'!DU$4),"-")</f>
        <v>0</v>
      </c>
      <c r="DV64" s="114">
        <f>IFERROR(SUMIFS('01. KE30'!$X:$X,'01. KE30'!$C:$C,'06. BC BH THEO CUSTOMER-USD'!$D64,'01. KE30'!$F:$F,'06. BC BH THEO CUSTOMER-USD'!$H64,'01. KE30'!$A:$A,'06. BC BH THEO CUSTOMER-USD'!DV$4)-SUMIFS('01. KE30'!$AA:$AA,'01. KE30'!$C:$C,'06. BC BH THEO CUSTOMER-USD'!$D64,'01. KE30'!$F:$F,'06. BC BH THEO CUSTOMER-USD'!$H64,'01. KE30'!$A:$A,'06. BC BH THEO CUSTOMER-USD'!DV$4),"-")</f>
        <v>0</v>
      </c>
      <c r="DW64" s="114">
        <f>IFERROR(SUMIFS('01. KE30'!$X:$X,'01. KE30'!$C:$C,'06. BC BH THEO CUSTOMER-USD'!$D64,'01. KE30'!$F:$F,'06. BC BH THEO CUSTOMER-USD'!$H64,'01. KE30'!$A:$A,'06. BC BH THEO CUSTOMER-USD'!DW$4)-SUMIFS('01. KE30'!$AA:$AA,'01. KE30'!$C:$C,'06. BC BH THEO CUSTOMER-USD'!$D64,'01. KE30'!$F:$F,'06. BC BH THEO CUSTOMER-USD'!$H64,'01. KE30'!$A:$A,'06. BC BH THEO CUSTOMER-USD'!DW$4),"-")</f>
        <v>0</v>
      </c>
      <c r="DX64" s="114">
        <f>IFERROR(SUMIFS('01. KE30'!$X:$X,'01. KE30'!$C:$C,'06. BC BH THEO CUSTOMER-USD'!$D64,'01. KE30'!$F:$F,'06. BC BH THEO CUSTOMER-USD'!$H64,'01. KE30'!$A:$A,'06. BC BH THEO CUSTOMER-USD'!DX$4)-SUMIFS('01. KE30'!$AA:$AA,'01. KE30'!$C:$C,'06. BC BH THEO CUSTOMER-USD'!$D64,'01. KE30'!$F:$F,'06. BC BH THEO CUSTOMER-USD'!$H64,'01. KE30'!$A:$A,'06. BC BH THEO CUSTOMER-USD'!DX$4),"-")</f>
        <v>0</v>
      </c>
      <c r="DY64" s="114">
        <f>IFERROR(SUMIFS('01. KE30'!$X:$X,'01. KE30'!$C:$C,'06. BC BH THEO CUSTOMER-USD'!$D64,'01. KE30'!$F:$F,'06. BC BH THEO CUSTOMER-USD'!$H64,'01. KE30'!$A:$A,'06. BC BH THEO CUSTOMER-USD'!DY$4)-SUMIFS('01. KE30'!$AA:$AA,'01. KE30'!$C:$C,'06. BC BH THEO CUSTOMER-USD'!$D64,'01. KE30'!$F:$F,'06. BC BH THEO CUSTOMER-USD'!$H64,'01. KE30'!$A:$A,'06. BC BH THEO CUSTOMER-USD'!DY$4),"-")</f>
        <v>0</v>
      </c>
      <c r="DZ64" s="114">
        <f>IFERROR(SUMIFS('01. KE30'!$X:$X,'01. KE30'!$C:$C,'06. BC BH THEO CUSTOMER-USD'!$D64,'01. KE30'!$F:$F,'06. BC BH THEO CUSTOMER-USD'!$H64,'01. KE30'!$A:$A,'06. BC BH THEO CUSTOMER-USD'!DZ$4)-SUMIFS('01. KE30'!$AA:$AA,'01. KE30'!$C:$C,'06. BC BH THEO CUSTOMER-USD'!$D64,'01. KE30'!$F:$F,'06. BC BH THEO CUSTOMER-USD'!$H64,'01. KE30'!$A:$A,'06. BC BH THEO CUSTOMER-USD'!DZ$4),"-")</f>
        <v>0</v>
      </c>
      <c r="EA64" s="114">
        <f>IFERROR(SUMIFS('01. KE30'!$X:$X,'01. KE30'!$C:$C,'06. BC BH THEO CUSTOMER-USD'!$D64,'01. KE30'!$F:$F,'06. BC BH THEO CUSTOMER-USD'!$H64,'01. KE30'!$A:$A,'06. BC BH THEO CUSTOMER-USD'!EA$4)-SUMIFS('01. KE30'!$AA:$AA,'01. KE30'!$C:$C,'06. BC BH THEO CUSTOMER-USD'!$D64,'01. KE30'!$F:$F,'06. BC BH THEO CUSTOMER-USD'!$H64,'01. KE30'!$A:$A,'06. BC BH THEO CUSTOMER-USD'!EA$4),"-")</f>
        <v>0</v>
      </c>
      <c r="EB64" s="114">
        <f>IFERROR(SUMIFS('01. KE30'!$X:$X,'01. KE30'!$C:$C,'06. BC BH THEO CUSTOMER-USD'!$D64,'01. KE30'!$F:$F,'06. BC BH THEO CUSTOMER-USD'!$H64,'01. KE30'!$A:$A,'06. BC BH THEO CUSTOMER-USD'!EB$4)-SUMIFS('01. KE30'!$AA:$AA,'01. KE30'!$C:$C,'06. BC BH THEO CUSTOMER-USD'!$D64,'01. KE30'!$F:$F,'06. BC BH THEO CUSTOMER-USD'!$H64,'01. KE30'!$A:$A,'06. BC BH THEO CUSTOMER-USD'!EB$4),"-")</f>
        <v>0</v>
      </c>
      <c r="EC64" s="114">
        <f>IFERROR(SUMIFS('01. KE30'!$X:$X,'01. KE30'!$C:$C,'06. BC BH THEO CUSTOMER-USD'!$D64,'01. KE30'!$F:$F,'06. BC BH THEO CUSTOMER-USD'!$H64,'01. KE30'!$A:$A,'06. BC BH THEO CUSTOMER-USD'!EC$4)-SUMIFS('01. KE30'!$AA:$AA,'01. KE30'!$C:$C,'06. BC BH THEO CUSTOMER-USD'!$D64,'01. KE30'!$F:$F,'06. BC BH THEO CUSTOMER-USD'!$H64,'01. KE30'!$A:$A,'06. BC BH THEO CUSTOMER-USD'!EC$4),"-")</f>
        <v>0</v>
      </c>
      <c r="ED64" s="114">
        <f>IFERROR(SUMIFS('01. KE30'!$X:$X,'01. KE30'!$C:$C,'06. BC BH THEO CUSTOMER-USD'!$D64,'01. KE30'!$F:$F,'06. BC BH THEO CUSTOMER-USD'!$H64,'01. KE30'!$A:$A,'06. BC BH THEO CUSTOMER-USD'!ED$4)-SUMIFS('01. KE30'!$AA:$AA,'01. KE30'!$C:$C,'06. BC BH THEO CUSTOMER-USD'!$D64,'01. KE30'!$F:$F,'06. BC BH THEO CUSTOMER-USD'!$H64,'01. KE30'!$A:$A,'06. BC BH THEO CUSTOMER-USD'!ED$4),"-")</f>
        <v>0</v>
      </c>
      <c r="EE64" s="114">
        <f>IFERROR(SUMIFS('01. KE30'!$X:$X,'01. KE30'!$C:$C,'06. BC BH THEO CUSTOMER-USD'!$D64,'01. KE30'!$F:$F,'06. BC BH THEO CUSTOMER-USD'!$H64,'01. KE30'!$A:$A,'06. BC BH THEO CUSTOMER-USD'!EE$4)-SUMIFS('01. KE30'!$AA:$AA,'01. KE30'!$C:$C,'06. BC BH THEO CUSTOMER-USD'!$D64,'01. KE30'!$F:$F,'06. BC BH THEO CUSTOMER-USD'!$H64,'01. KE30'!$A:$A,'06. BC BH THEO CUSTOMER-USD'!EE$4),"-")</f>
        <v>0</v>
      </c>
      <c r="EF64" s="114">
        <f>IFERROR(SUMIFS('01. KE30'!$X:$X,'01. KE30'!$C:$C,'06. BC BH THEO CUSTOMER-USD'!$D64,'01. KE30'!$F:$F,'06. BC BH THEO CUSTOMER-USD'!$H64,'01. KE30'!$A:$A,'06. BC BH THEO CUSTOMER-USD'!EF$4)-SUMIFS('01. KE30'!$AA:$AA,'01. KE30'!$C:$C,'06. BC BH THEO CUSTOMER-USD'!$D64,'01. KE30'!$F:$F,'06. BC BH THEO CUSTOMER-USD'!$H64,'01. KE30'!$A:$A,'06. BC BH THEO CUSTOMER-USD'!EF$4),"-")</f>
        <v>0</v>
      </c>
      <c r="EH64" s="571" t="str">
        <f t="shared" si="29"/>
        <v>-</v>
      </c>
      <c r="EI64" s="572" t="str">
        <f t="shared" si="30"/>
        <v>-</v>
      </c>
      <c r="EJ64" s="572" t="str">
        <f t="shared" si="31"/>
        <v>-</v>
      </c>
      <c r="EK64" s="572" t="str">
        <f t="shared" si="32"/>
        <v>-</v>
      </c>
      <c r="EL64" s="572" t="str">
        <f t="shared" si="33"/>
        <v>-</v>
      </c>
      <c r="EM64" s="572" t="str">
        <f t="shared" si="34"/>
        <v>-</v>
      </c>
      <c r="EN64" s="572" t="str">
        <f t="shared" si="35"/>
        <v>-</v>
      </c>
      <c r="EO64" s="572" t="str">
        <f t="shared" si="36"/>
        <v>-</v>
      </c>
      <c r="EP64" s="572" t="str">
        <f t="shared" si="37"/>
        <v>-</v>
      </c>
      <c r="EQ64" s="572" t="str">
        <f t="shared" si="38"/>
        <v>-</v>
      </c>
      <c r="ER64" s="572" t="str">
        <f t="shared" si="39"/>
        <v>-</v>
      </c>
      <c r="ES64" s="572" t="str">
        <f t="shared" si="40"/>
        <v>-</v>
      </c>
      <c r="ET64" s="572" t="str">
        <f t="shared" si="41"/>
        <v>-</v>
      </c>
    </row>
    <row r="65" spans="1:150" ht="15.5" hidden="1" outlineLevel="1" x14ac:dyDescent="0.35">
      <c r="A65" s="27">
        <f t="shared" si="63"/>
        <v>54</v>
      </c>
      <c r="B65" s="27" t="s">
        <v>283</v>
      </c>
      <c r="C65" s="442" t="s">
        <v>489</v>
      </c>
      <c r="D65" s="9" t="s">
        <v>526</v>
      </c>
      <c r="E65" s="12" t="s">
        <v>527</v>
      </c>
      <c r="F65" s="12" t="s">
        <v>252</v>
      </c>
      <c r="G65" s="12" t="str">
        <f>_xlfn.XLOOKUP(F65,'Quy đổi'!$G$5:$G$32,'Quy đổi'!$H$5:$H$32,0)</f>
        <v>Châu Âu</v>
      </c>
      <c r="H65" s="76" t="s">
        <v>100</v>
      </c>
      <c r="I65" s="28" t="s">
        <v>99</v>
      </c>
      <c r="J65" s="13" t="s">
        <v>26</v>
      </c>
      <c r="K65" s="11" t="s">
        <v>90</v>
      </c>
      <c r="L65" s="92">
        <f t="shared" si="42"/>
        <v>1400</v>
      </c>
      <c r="M65" s="106" t="str">
        <f>IFERROR(SUMIFS('01. KE30'!$K:$K,'01. KE30'!$C:$C,'06. BC BH THEO CUSTOMER-USD'!$D65,'01. KE30'!$F:$F,'06. BC BH THEO CUSTOMER-USD'!$H65,'01. KE30'!$A:$A,'06. BC BH THEO CUSTOMER-USD'!M$4)/'06. BC BH THEO CUSTOMER-USD'!CS65/'02. Tỷ giá'!B$5,"-")</f>
        <v>-</v>
      </c>
      <c r="N65" s="106">
        <f>IFERROR(SUMIFS('01. KE30'!$K:$K,'01. KE30'!$C:$C,'06. BC BH THEO CUSTOMER-USD'!$D65,'01. KE30'!$F:$F,'06. BC BH THEO CUSTOMER-USD'!$H65,'01. KE30'!$A:$A,'06. BC BH THEO CUSTOMER-USD'!N$4)/'06. BC BH THEO CUSTOMER-USD'!CT65/'02. Tỷ giá'!C$5,"-")</f>
        <v>1400</v>
      </c>
      <c r="O65" s="106" t="str">
        <f>IFERROR(SUMIFS('01. KE30'!$K:$K,'01. KE30'!$C:$C,'06. BC BH THEO CUSTOMER-USD'!$D65,'01. KE30'!$F:$F,'06. BC BH THEO CUSTOMER-USD'!$H65,'01. KE30'!$A:$A,'06. BC BH THEO CUSTOMER-USD'!O$4)/'06. BC BH THEO CUSTOMER-USD'!CU65/'02. Tỷ giá'!D$5,"-")</f>
        <v>-</v>
      </c>
      <c r="P65" s="106" t="str">
        <f>IFERROR(SUMIFS('01. KE30'!$K:$K,'01. KE30'!$C:$C,'06. BC BH THEO CUSTOMER-USD'!$D65,'01. KE30'!$F:$F,'06. BC BH THEO CUSTOMER-USD'!$H65,'01. KE30'!$A:$A,'06. BC BH THEO CUSTOMER-USD'!P$4)/'06. BC BH THEO CUSTOMER-USD'!CV65/'02. Tỷ giá'!E$5,"-")</f>
        <v>-</v>
      </c>
      <c r="Q65" s="106" t="str">
        <f>IFERROR(SUMIFS('01. KE30'!$K:$K,'01. KE30'!$C:$C,'06. BC BH THEO CUSTOMER-USD'!$D65,'01. KE30'!$F:$F,'06. BC BH THEO CUSTOMER-USD'!$H65,'01. KE30'!$A:$A,'06. BC BH THEO CUSTOMER-USD'!Q$4)/'06. BC BH THEO CUSTOMER-USD'!CW65/'02. Tỷ giá'!F$5,"-")</f>
        <v>-</v>
      </c>
      <c r="R65" s="106" t="str">
        <f>IFERROR(SUMIFS('01. KE30'!$K:$K,'01. KE30'!$C:$C,'06. BC BH THEO CUSTOMER-USD'!$D65,'01. KE30'!$F:$F,'06. BC BH THEO CUSTOMER-USD'!$H65,'01. KE30'!$A:$A,'06. BC BH THEO CUSTOMER-USD'!R$4)/'06. BC BH THEO CUSTOMER-USD'!CX65/'02. Tỷ giá'!G$5,"-")</f>
        <v>-</v>
      </c>
      <c r="S65" s="106" t="str">
        <f>IFERROR(SUMIFS('01. KE30'!$K:$K,'01. KE30'!$C:$C,'06. BC BH THEO CUSTOMER-USD'!$D65,'01. KE30'!$F:$F,'06. BC BH THEO CUSTOMER-USD'!$H65,'01. KE30'!$A:$A,'06. BC BH THEO CUSTOMER-USD'!S$4)/'06. BC BH THEO CUSTOMER-USD'!CY65/'02. Tỷ giá'!H$5,"-")</f>
        <v>-</v>
      </c>
      <c r="T65" s="106" t="str">
        <f>IFERROR(SUMIFS('01. KE30'!$K:$K,'01. KE30'!$C:$C,'06. BC BH THEO CUSTOMER-USD'!$D65,'01. KE30'!$F:$F,'06. BC BH THEO CUSTOMER-USD'!$H65,'01. KE30'!$A:$A,'06. BC BH THEO CUSTOMER-USD'!T$4)/'06. BC BH THEO CUSTOMER-USD'!CZ65/'02. Tỷ giá'!I$5,"-")</f>
        <v>-</v>
      </c>
      <c r="U65" s="106" t="str">
        <f>IFERROR(SUMIFS('01. KE30'!$K:$K,'01. KE30'!$C:$C,'06. BC BH THEO CUSTOMER-USD'!$D65,'01. KE30'!$F:$F,'06. BC BH THEO CUSTOMER-USD'!$H65,'01. KE30'!$A:$A,'06. BC BH THEO CUSTOMER-USD'!U$4)/'06. BC BH THEO CUSTOMER-USD'!DA65/'02. Tỷ giá'!J$5,"-")</f>
        <v>-</v>
      </c>
      <c r="V65" s="106" t="str">
        <f>IFERROR(SUMIFS('01. KE30'!$K:$K,'01. KE30'!$C:$C,'06. BC BH THEO CUSTOMER-USD'!$D65,'01. KE30'!$F:$F,'06. BC BH THEO CUSTOMER-USD'!$H65,'01. KE30'!$A:$A,'06. BC BH THEO CUSTOMER-USD'!V$4)/'06. BC BH THEO CUSTOMER-USD'!DB65/'02. Tỷ giá'!K$5,"-")</f>
        <v>-</v>
      </c>
      <c r="W65" s="106" t="str">
        <f>IFERROR(SUMIFS('01. KE30'!$K:$K,'01. KE30'!$C:$C,'06. BC BH THEO CUSTOMER-USD'!$D65,'01. KE30'!$F:$F,'06. BC BH THEO CUSTOMER-USD'!$H65,'01. KE30'!$A:$A,'06. BC BH THEO CUSTOMER-USD'!W$4)/'06. BC BH THEO CUSTOMER-USD'!DC65/'02. Tỷ giá'!L$5,"-")</f>
        <v>-</v>
      </c>
      <c r="X65" s="106" t="str">
        <f>IFERROR(SUMIFS('01. KE30'!$K:$K,'01. KE30'!$C:$C,'06. BC BH THEO CUSTOMER-USD'!$D65,'01. KE30'!$F:$F,'06. BC BH THEO CUSTOMER-USD'!$H65,'01. KE30'!$A:$A,'06. BC BH THEO CUSTOMER-USD'!X$4)/'06. BC BH THEO CUSTOMER-USD'!DD65/'02. Tỷ giá'!M$5,"-")</f>
        <v>-</v>
      </c>
      <c r="Z65" s="92">
        <f t="shared" si="43"/>
        <v>1250.726348956282</v>
      </c>
      <c r="AA65" s="147" t="str">
        <f>IFERROR(SUMIFS('01. KE30'!$O:$O,'01. KE30'!$C:$C,'06. BC BH THEO CUSTOMER-USD'!$D65,'01. KE30'!$F:$F,'06. BC BH THEO CUSTOMER-USD'!$H65,'01. KE30'!$A:$A,'06. BC BH THEO CUSTOMER-USD'!M$4)/'06. BC BH THEO CUSTOMER-USD'!CS65/'02. Tỷ giá'!B$5,"-")</f>
        <v>-</v>
      </c>
      <c r="AB65" s="147">
        <f>IFERROR(SUMIFS('01. KE30'!$O:$O,'01. KE30'!$C:$C,'06. BC BH THEO CUSTOMER-USD'!$D65,'01. KE30'!$F:$F,'06. BC BH THEO CUSTOMER-USD'!$H65,'01. KE30'!$A:$A,'06. BC BH THEO CUSTOMER-USD'!N$4)/'06. BC BH THEO CUSTOMER-USD'!CT65/'02. Tỷ giá'!C$5,"-")</f>
        <v>1250.726348956282</v>
      </c>
      <c r="AC65" s="147" t="str">
        <f>IFERROR(SUMIFS('01. KE30'!$O:$O,'01. KE30'!$C:$C,'06. BC BH THEO CUSTOMER-USD'!$D65,'01. KE30'!$F:$F,'06. BC BH THEO CUSTOMER-USD'!$H65,'01. KE30'!$A:$A,'06. BC BH THEO CUSTOMER-USD'!O$4)/'06. BC BH THEO CUSTOMER-USD'!CU65/'02. Tỷ giá'!D$5,"-")</f>
        <v>-</v>
      </c>
      <c r="AD65" s="147" t="str">
        <f>IFERROR(SUMIFS('01. KE30'!$O:$O,'01. KE30'!$C:$C,'06. BC BH THEO CUSTOMER-USD'!$D65,'01. KE30'!$F:$F,'06. BC BH THEO CUSTOMER-USD'!$H65,'01. KE30'!$A:$A,'06. BC BH THEO CUSTOMER-USD'!P$4)/'06. BC BH THEO CUSTOMER-USD'!CV65/'02. Tỷ giá'!E$5,"-")</f>
        <v>-</v>
      </c>
      <c r="AE65" s="147" t="str">
        <f>IFERROR(SUMIFS('01. KE30'!$O:$O,'01. KE30'!$C:$C,'06. BC BH THEO CUSTOMER-USD'!$D65,'01. KE30'!$F:$F,'06. BC BH THEO CUSTOMER-USD'!$H65,'01. KE30'!$A:$A,'06. BC BH THEO CUSTOMER-USD'!Q$4)/'06. BC BH THEO CUSTOMER-USD'!CW65/'02. Tỷ giá'!F$5,"-")</f>
        <v>-</v>
      </c>
      <c r="AF65" s="147" t="str">
        <f>IFERROR(SUMIFS('01. KE30'!$O:$O,'01. KE30'!$C:$C,'06. BC BH THEO CUSTOMER-USD'!$D65,'01. KE30'!$F:$F,'06. BC BH THEO CUSTOMER-USD'!$H65,'01. KE30'!$A:$A,'06. BC BH THEO CUSTOMER-USD'!R$4)/'06. BC BH THEO CUSTOMER-USD'!CX65/'02. Tỷ giá'!G$5,"-")</f>
        <v>-</v>
      </c>
      <c r="AG65" s="147" t="str">
        <f>IFERROR(SUMIFS('01. KE30'!$O:$O,'01. KE30'!$C:$C,'06. BC BH THEO CUSTOMER-USD'!$D65,'01. KE30'!$F:$F,'06. BC BH THEO CUSTOMER-USD'!$H65,'01. KE30'!$A:$A,'06. BC BH THEO CUSTOMER-USD'!S$4)/'06. BC BH THEO CUSTOMER-USD'!CY65/'02. Tỷ giá'!H$5,"-")</f>
        <v>-</v>
      </c>
      <c r="AH65" s="147" t="str">
        <f>IFERROR(SUMIFS('01. KE30'!$O:$O,'01. KE30'!$C:$C,'06. BC BH THEO CUSTOMER-USD'!$D65,'01. KE30'!$F:$F,'06. BC BH THEO CUSTOMER-USD'!$H65,'01. KE30'!$A:$A,'06. BC BH THEO CUSTOMER-USD'!T$4)/'06. BC BH THEO CUSTOMER-USD'!CZ65/'02. Tỷ giá'!I$5,"-")</f>
        <v>-</v>
      </c>
      <c r="AI65" s="147" t="str">
        <f>IFERROR(SUMIFS('01. KE30'!$O:$O,'01. KE30'!$C:$C,'06. BC BH THEO CUSTOMER-USD'!$D65,'01. KE30'!$F:$F,'06. BC BH THEO CUSTOMER-USD'!$H65,'01. KE30'!$A:$A,'06. BC BH THEO CUSTOMER-USD'!U$4)/'06. BC BH THEO CUSTOMER-USD'!DA65/'02. Tỷ giá'!J$5,"-")</f>
        <v>-</v>
      </c>
      <c r="AJ65" s="147" t="str">
        <f>IFERROR(SUMIFS('01. KE30'!$O:$O,'01. KE30'!$C:$C,'06. BC BH THEO CUSTOMER-USD'!$D65,'01. KE30'!$F:$F,'06. BC BH THEO CUSTOMER-USD'!$H65,'01. KE30'!$A:$A,'06. BC BH THEO CUSTOMER-USD'!V$4)/'06. BC BH THEO CUSTOMER-USD'!DB65/'02. Tỷ giá'!K$5,"-")</f>
        <v>-</v>
      </c>
      <c r="AK65" s="147" t="str">
        <f>IFERROR(SUMIFS('01. KE30'!$O:$O,'01. KE30'!$C:$C,'06. BC BH THEO CUSTOMER-USD'!$D65,'01. KE30'!$F:$F,'06. BC BH THEO CUSTOMER-USD'!$H65,'01. KE30'!$A:$A,'06. BC BH THEO CUSTOMER-USD'!W$4)/'06. BC BH THEO CUSTOMER-USD'!DC65/'02. Tỷ giá'!L$5,"-")</f>
        <v>-</v>
      </c>
      <c r="AL65" s="147" t="str">
        <f>IFERROR(SUMIFS('01. KE30'!$O:$O,'01. KE30'!$C:$C,'06. BC BH THEO CUSTOMER-USD'!$D65,'01. KE30'!$F:$F,'06. BC BH THEO CUSTOMER-USD'!$H65,'01. KE30'!$A:$A,'06. BC BH THEO CUSTOMER-USD'!X$4)/'06. BC BH THEO CUSTOMER-USD'!DD65/'02. Tỷ giá'!M$5,"-")</f>
        <v>-</v>
      </c>
      <c r="AN65" s="92">
        <f t="shared" si="44"/>
        <v>1266.6666666666667</v>
      </c>
      <c r="AO65" s="25">
        <v>1260</v>
      </c>
      <c r="AP65" s="25">
        <v>1260</v>
      </c>
      <c r="AQ65" s="25">
        <v>1260</v>
      </c>
      <c r="AR65" s="4">
        <f t="shared" ref="AR65:AR70" si="396">AQ65+20</f>
        <v>1280</v>
      </c>
      <c r="AS65" s="4">
        <v>1280</v>
      </c>
      <c r="AT65" s="4">
        <v>1280</v>
      </c>
      <c r="AU65" s="4">
        <v>1280</v>
      </c>
      <c r="AV65" s="4">
        <f t="shared" si="205"/>
        <v>1250</v>
      </c>
      <c r="AW65" s="25">
        <v>1250</v>
      </c>
      <c r="AX65" s="25"/>
      <c r="AY65" s="4"/>
      <c r="AZ65" s="4"/>
      <c r="BB65" s="95">
        <f t="shared" si="45"/>
        <v>-15.940317710384761</v>
      </c>
      <c r="BC65" s="95" t="str">
        <f t="shared" si="206"/>
        <v>-</v>
      </c>
      <c r="BD65" s="95">
        <f t="shared" si="389"/>
        <v>-9.2736510437180186</v>
      </c>
      <c r="BE65" s="95" t="str">
        <f t="shared" si="389"/>
        <v>-</v>
      </c>
      <c r="BF65" s="95" t="str">
        <f t="shared" si="389"/>
        <v>-</v>
      </c>
      <c r="BG65" s="95" t="str">
        <f t="shared" si="389"/>
        <v>-</v>
      </c>
      <c r="BH65" s="95" t="str">
        <f t="shared" si="389"/>
        <v>-</v>
      </c>
      <c r="BI65" s="95" t="str">
        <f t="shared" si="389"/>
        <v>-</v>
      </c>
      <c r="BJ65" s="95" t="str">
        <f t="shared" si="389"/>
        <v>-</v>
      </c>
      <c r="BK65" s="95" t="str">
        <f t="shared" si="389"/>
        <v>-</v>
      </c>
      <c r="BL65" s="95" t="str">
        <f t="shared" si="389"/>
        <v>-</v>
      </c>
      <c r="BM65" s="95" t="str">
        <f t="shared" si="389"/>
        <v>-</v>
      </c>
      <c r="BN65" s="95" t="str">
        <f t="shared" si="389"/>
        <v>-</v>
      </c>
      <c r="BP65" s="143">
        <f t="shared" si="47"/>
        <v>-1.2584461350303758E-2</v>
      </c>
      <c r="BQ65" s="143" t="str">
        <f t="shared" si="202"/>
        <v>-</v>
      </c>
      <c r="BR65" s="143">
        <f t="shared" si="9"/>
        <v>-7.3600405108873159E-3</v>
      </c>
      <c r="BS65" s="143" t="str">
        <f t="shared" si="10"/>
        <v>-</v>
      </c>
      <c r="BT65" s="143" t="str">
        <f t="shared" si="11"/>
        <v>-</v>
      </c>
      <c r="BU65" s="143" t="str">
        <f t="shared" si="12"/>
        <v>-</v>
      </c>
      <c r="BV65" s="143" t="str">
        <f t="shared" si="13"/>
        <v>-</v>
      </c>
      <c r="BW65" s="143" t="str">
        <f t="shared" si="14"/>
        <v>-</v>
      </c>
      <c r="BX65" s="143" t="str">
        <f t="shared" si="15"/>
        <v>-</v>
      </c>
      <c r="BY65" s="143" t="str">
        <f t="shared" si="16"/>
        <v>-</v>
      </c>
      <c r="BZ65" s="143" t="str">
        <f t="shared" si="17"/>
        <v>-</v>
      </c>
      <c r="CA65" s="143" t="str">
        <f t="shared" si="18"/>
        <v>-</v>
      </c>
      <c r="CB65" s="143" t="str">
        <f t="shared" si="19"/>
        <v>-</v>
      </c>
      <c r="CD65" s="112">
        <f t="shared" si="25"/>
        <v>989.75531526370435</v>
      </c>
      <c r="CE65" s="95" t="str">
        <f>IFERROR(SUMIFS('01. KE30'!$R:$R,'01. KE30'!$C:$C,'06. BC BH THEO CUSTOMER-USD'!$D65,'01. KE30'!$F:$F,'06. BC BH THEO CUSTOMER-USD'!$H65,'01. KE30'!$A:$A,'06. BC BH THEO CUSTOMER-USD'!CE$4)/CS65/'02. Tỷ giá'!B$5," -")</f>
        <v xml:space="preserve"> -</v>
      </c>
      <c r="CF65" s="95">
        <f>IFERROR(SUMIFS('01. KE30'!$R:$R,'01. KE30'!$C:$C,'06. BC BH THEO CUSTOMER-USD'!$D65,'01. KE30'!$F:$F,'06. BC BH THEO CUSTOMER-USD'!$H65,'01. KE30'!$A:$A,'06. BC BH THEO CUSTOMER-USD'!CF$4)/CT65/'02. Tỷ giá'!C$5," -")</f>
        <v>989.75531526370435</v>
      </c>
      <c r="CG65" s="95" t="str">
        <f>IFERROR(SUMIFS('01. KE30'!$R:$R,'01. KE30'!$C:$C,'06. BC BH THEO CUSTOMER-USD'!$D65,'01. KE30'!$F:$F,'06. BC BH THEO CUSTOMER-USD'!$H65,'01. KE30'!$A:$A,'06. BC BH THEO CUSTOMER-USD'!CG$4)/CU65/'02. Tỷ giá'!D$5," -")</f>
        <v xml:space="preserve"> -</v>
      </c>
      <c r="CH65" s="95" t="str">
        <f>IFERROR(SUMIFS('01. KE30'!$R:$R,'01. KE30'!$C:$C,'06. BC BH THEO CUSTOMER-USD'!$D65,'01. KE30'!$F:$F,'06. BC BH THEO CUSTOMER-USD'!$H65,'01. KE30'!$A:$A,'06. BC BH THEO CUSTOMER-USD'!CH$4)/CV65/'02. Tỷ giá'!E$5," -")</f>
        <v xml:space="preserve"> -</v>
      </c>
      <c r="CI65" s="95" t="str">
        <f>IFERROR(SUMIFS('01. KE30'!$R:$R,'01. KE30'!$C:$C,'06. BC BH THEO CUSTOMER-USD'!$D65,'01. KE30'!$F:$F,'06. BC BH THEO CUSTOMER-USD'!$H65,'01. KE30'!$A:$A,'06. BC BH THEO CUSTOMER-USD'!CI$4)/CW65/'02. Tỷ giá'!F$5," -")</f>
        <v xml:space="preserve"> -</v>
      </c>
      <c r="CJ65" s="95" t="str">
        <f>IFERROR(SUMIFS('01. KE30'!$R:$R,'01. KE30'!$C:$C,'06. BC BH THEO CUSTOMER-USD'!$D65,'01. KE30'!$F:$F,'06. BC BH THEO CUSTOMER-USD'!$H65,'01. KE30'!$A:$A,'06. BC BH THEO CUSTOMER-USD'!CJ$4)/CX65/'02. Tỷ giá'!G$5," -")</f>
        <v xml:space="preserve"> -</v>
      </c>
      <c r="CK65" s="95" t="str">
        <f>IFERROR(SUMIFS('01. KE30'!$R:$R,'01. KE30'!$C:$C,'06. BC BH THEO CUSTOMER-USD'!$D65,'01. KE30'!$F:$F,'06. BC BH THEO CUSTOMER-USD'!$H65,'01. KE30'!$A:$A,'06. BC BH THEO CUSTOMER-USD'!CK$4)/CY65/'02. Tỷ giá'!H$5," -")</f>
        <v xml:space="preserve"> -</v>
      </c>
      <c r="CL65" s="95" t="str">
        <f>IFERROR(SUMIFS('01. KE30'!$R:$R,'01. KE30'!$C:$C,'06. BC BH THEO CUSTOMER-USD'!$D65,'01. KE30'!$F:$F,'06. BC BH THEO CUSTOMER-USD'!$H65,'01. KE30'!$A:$A,'06. BC BH THEO CUSTOMER-USD'!CL$4)/CZ65/'02. Tỷ giá'!I$5," -")</f>
        <v xml:space="preserve"> -</v>
      </c>
      <c r="CM65" s="95" t="str">
        <f>IFERROR(SUMIFS('01. KE30'!$R:$R,'01. KE30'!$C:$C,'06. BC BH THEO CUSTOMER-USD'!$D65,'01. KE30'!$F:$F,'06. BC BH THEO CUSTOMER-USD'!$H65,'01. KE30'!$A:$A,'06. BC BH THEO CUSTOMER-USD'!CM$4)/DA65/'02. Tỷ giá'!J$5," -")</f>
        <v xml:space="preserve"> -</v>
      </c>
      <c r="CN65" s="95" t="str">
        <f>IFERROR(SUMIFS('01. KE30'!$R:$R,'01. KE30'!$C:$C,'06. BC BH THEO CUSTOMER-USD'!$D65,'01. KE30'!$F:$F,'06. BC BH THEO CUSTOMER-USD'!$H65,'01. KE30'!$A:$A,'06. BC BH THEO CUSTOMER-USD'!CN$4)/DB65/'02. Tỷ giá'!K$5," -")</f>
        <v xml:space="preserve"> -</v>
      </c>
      <c r="CO65" s="95" t="str">
        <f>IFERROR(SUMIFS('01. KE30'!$R:$R,'01. KE30'!$C:$C,'06. BC BH THEO CUSTOMER-USD'!$D65,'01. KE30'!$F:$F,'06. BC BH THEO CUSTOMER-USD'!$H65,'01. KE30'!$A:$A,'06. BC BH THEO CUSTOMER-USD'!CO$4)/DC65/'02. Tỷ giá'!L$5," -")</f>
        <v xml:space="preserve"> -</v>
      </c>
      <c r="CP65" s="95" t="str">
        <f>IFERROR(SUMIFS('01. KE30'!$R:$R,'01. KE30'!$C:$C,'06. BC BH THEO CUSTOMER-USD'!$D65,'01. KE30'!$F:$F,'06. BC BH THEO CUSTOMER-USD'!$H65,'01. KE30'!$A:$A,'06. BC BH THEO CUSTOMER-USD'!CP$4)/DD65/'02. Tỷ giá'!M$5," -")</f>
        <v xml:space="preserve"> -</v>
      </c>
      <c r="CR65" s="112">
        <f t="shared" si="266"/>
        <v>22</v>
      </c>
      <c r="CS65" s="114">
        <f>SUMIFS('01. KE30'!$I:$I,'01. KE30'!$C:$C,'06. BC BH THEO CUSTOMER-USD'!$D65,'01. KE30'!$F:$F,'06. BC BH THEO CUSTOMER-USD'!$H65,'01. KE30'!$A:$A,'06. BC BH THEO CUSTOMER-USD'!CS$4)/1000</f>
        <v>0</v>
      </c>
      <c r="CT65" s="114">
        <f>SUMIFS('01. KE30'!$I:$I,'01. KE30'!$C:$C,'06. BC BH THEO CUSTOMER-USD'!$D65,'01. KE30'!$F:$F,'06. BC BH THEO CUSTOMER-USD'!$H65,'01. KE30'!$A:$A,'06. BC BH THEO CUSTOMER-USD'!CT$4)/1000</f>
        <v>22</v>
      </c>
      <c r="CU65" s="114">
        <f>SUMIFS('01. KE30'!$I:$I,'01. KE30'!$C:$C,'06. BC BH THEO CUSTOMER-USD'!$D65,'01. KE30'!$F:$F,'06. BC BH THEO CUSTOMER-USD'!$H65,'01. KE30'!$A:$A,'06. BC BH THEO CUSTOMER-USD'!CU$4)/1000</f>
        <v>0</v>
      </c>
      <c r="CV65" s="114">
        <f>SUMIFS('01. KE30'!$I:$I,'01. KE30'!$C:$C,'06. BC BH THEO CUSTOMER-USD'!$D65,'01. KE30'!$F:$F,'06. BC BH THEO CUSTOMER-USD'!$H65,'01. KE30'!$A:$A,'06. BC BH THEO CUSTOMER-USD'!CV$4)/1000</f>
        <v>0</v>
      </c>
      <c r="CW65" s="114">
        <f>SUMIFS('01. KE30'!$I:$I,'01. KE30'!$C:$C,'06. BC BH THEO CUSTOMER-USD'!$D65,'01. KE30'!$F:$F,'06. BC BH THEO CUSTOMER-USD'!$H65,'01. KE30'!$A:$A,'06. BC BH THEO CUSTOMER-USD'!CW$4)/1000</f>
        <v>0</v>
      </c>
      <c r="CX65" s="114">
        <f>SUMIFS('01. KE30'!$I:$I,'01. KE30'!$C:$C,'06. BC BH THEO CUSTOMER-USD'!$D65,'01. KE30'!$F:$F,'06. BC BH THEO CUSTOMER-USD'!$H65,'01. KE30'!$A:$A,'06. BC BH THEO CUSTOMER-USD'!CX$4)/1000</f>
        <v>0</v>
      </c>
      <c r="CY65" s="114">
        <f>SUMIFS('01. KE30'!$I:$I,'01. KE30'!$C:$C,'06. BC BH THEO CUSTOMER-USD'!$D65,'01. KE30'!$F:$F,'06. BC BH THEO CUSTOMER-USD'!$H65,'01. KE30'!$A:$A,'06. BC BH THEO CUSTOMER-USD'!CY$4)/1000</f>
        <v>0</v>
      </c>
      <c r="CZ65" s="114">
        <f>SUMIFS('01. KE30'!$I:$I,'01. KE30'!$C:$C,'06. BC BH THEO CUSTOMER-USD'!$D65,'01. KE30'!$F:$F,'06. BC BH THEO CUSTOMER-USD'!$H65,'01. KE30'!$A:$A,'06. BC BH THEO CUSTOMER-USD'!CZ$4)/1000</f>
        <v>0</v>
      </c>
      <c r="DA65" s="114">
        <f>SUMIFS('01. KE30'!$I:$I,'01. KE30'!$C:$C,'06. BC BH THEO CUSTOMER-USD'!$D65,'01. KE30'!$F:$F,'06. BC BH THEO CUSTOMER-USD'!$H65,'01. KE30'!$A:$A,'06. BC BH THEO CUSTOMER-USD'!DA$4)/1000</f>
        <v>0</v>
      </c>
      <c r="DB65" s="114">
        <f>SUMIFS('01. KE30'!$I:$I,'01. KE30'!$C:$C,'06. BC BH THEO CUSTOMER-USD'!$D65,'01. KE30'!$F:$F,'06. BC BH THEO CUSTOMER-USD'!$H65,'01. KE30'!$A:$A,'06. BC BH THEO CUSTOMER-USD'!DB$4)/1000</f>
        <v>0</v>
      </c>
      <c r="DC65" s="114">
        <f>SUMIFS('01. KE30'!$I:$I,'01. KE30'!$C:$C,'06. BC BH THEO CUSTOMER-USD'!$D65,'01. KE30'!$F:$F,'06. BC BH THEO CUSTOMER-USD'!$H65,'01. KE30'!$A:$A,'06. BC BH THEO CUSTOMER-USD'!DC$4)/1000</f>
        <v>0</v>
      </c>
      <c r="DD65" s="114">
        <f>SUMIFS('01. KE30'!$I:$I,'01. KE30'!$C:$C,'06. BC BH THEO CUSTOMER-USD'!$D65,'01. KE30'!$F:$F,'06. BC BH THEO CUSTOMER-USD'!$H65,'01. KE30'!$A:$A,'06. BC BH THEO CUSTOMER-USD'!DD$4)/1000</f>
        <v>0</v>
      </c>
      <c r="DF65" s="112">
        <f t="shared" si="267"/>
        <v>30800</v>
      </c>
      <c r="DG65" s="54" t="str">
        <f t="shared" si="48"/>
        <v>-</v>
      </c>
      <c r="DH65" s="54">
        <f t="shared" si="49"/>
        <v>30800</v>
      </c>
      <c r="DI65" s="54" t="str">
        <f t="shared" si="50"/>
        <v>-</v>
      </c>
      <c r="DJ65" s="54" t="str">
        <f t="shared" si="51"/>
        <v>-</v>
      </c>
      <c r="DK65" s="54" t="str">
        <f t="shared" si="52"/>
        <v>-</v>
      </c>
      <c r="DL65" s="54" t="str">
        <f t="shared" si="53"/>
        <v>-</v>
      </c>
      <c r="DM65" s="54" t="str">
        <f t="shared" si="54"/>
        <v>-</v>
      </c>
      <c r="DN65" s="54" t="str">
        <f t="shared" si="55"/>
        <v>-</v>
      </c>
      <c r="DO65" s="54" t="str">
        <f t="shared" si="56"/>
        <v>-</v>
      </c>
      <c r="DP65" s="54" t="str">
        <f t="shared" si="57"/>
        <v>-</v>
      </c>
      <c r="DQ65" s="54" t="str">
        <f t="shared" si="58"/>
        <v>-</v>
      </c>
      <c r="DR65" s="54" t="str">
        <f t="shared" si="59"/>
        <v>-</v>
      </c>
      <c r="DT65" s="112">
        <f t="shared" si="60"/>
        <v>5741.3627412367096</v>
      </c>
      <c r="DU65" s="114">
        <f>IFERROR(SUMIFS('01. KE30'!$X:$X,'01. KE30'!$C:$C,'06. BC BH THEO CUSTOMER-USD'!$D65,'01. KE30'!$F:$F,'06. BC BH THEO CUSTOMER-USD'!$H65,'01. KE30'!$A:$A,'06. BC BH THEO CUSTOMER-USD'!DU$4)-SUMIFS('01. KE30'!$AA:$AA,'01. KE30'!$C:$C,'06. BC BH THEO CUSTOMER-USD'!$D65,'01. KE30'!$F:$F,'06. BC BH THEO CUSTOMER-USD'!$H65,'01. KE30'!$A:$A,'06. BC BH THEO CUSTOMER-USD'!DU$4),"-")</f>
        <v>0</v>
      </c>
      <c r="DV65" s="114">
        <f>IFERROR(SUMIFS('01. KE30'!$X:$X,'01. KE30'!$C:$C,'06. BC BH THEO CUSTOMER-USD'!$D65,'01. KE30'!$F:$F,'06. BC BH THEO CUSTOMER-USD'!$H65,'01. KE30'!$A:$A,'06. BC BH THEO CUSTOMER-USD'!DV$4)-SUMIFS('01. KE30'!$AA:$AA,'01. KE30'!$C:$C,'06. BC BH THEO CUSTOMER-USD'!$D65,'01. KE30'!$F:$F,'06. BC BH THEO CUSTOMER-USD'!$H65,'01. KE30'!$A:$A,'06. BC BH THEO CUSTOMER-USD'!DV$4),"-")</f>
        <v>5741.3627412367096</v>
      </c>
      <c r="DW65" s="114">
        <f>IFERROR(SUMIFS('01. KE30'!$X:$X,'01. KE30'!$C:$C,'06. BC BH THEO CUSTOMER-USD'!$D65,'01. KE30'!$F:$F,'06. BC BH THEO CUSTOMER-USD'!$H65,'01. KE30'!$A:$A,'06. BC BH THEO CUSTOMER-USD'!DW$4)-SUMIFS('01. KE30'!$AA:$AA,'01. KE30'!$C:$C,'06. BC BH THEO CUSTOMER-USD'!$D65,'01. KE30'!$F:$F,'06. BC BH THEO CUSTOMER-USD'!$H65,'01. KE30'!$A:$A,'06. BC BH THEO CUSTOMER-USD'!DW$4),"-")</f>
        <v>0</v>
      </c>
      <c r="DX65" s="114">
        <f>IFERROR(SUMIFS('01. KE30'!$X:$X,'01. KE30'!$C:$C,'06. BC BH THEO CUSTOMER-USD'!$D65,'01. KE30'!$F:$F,'06. BC BH THEO CUSTOMER-USD'!$H65,'01. KE30'!$A:$A,'06. BC BH THEO CUSTOMER-USD'!DX$4)-SUMIFS('01. KE30'!$AA:$AA,'01. KE30'!$C:$C,'06. BC BH THEO CUSTOMER-USD'!$D65,'01. KE30'!$F:$F,'06. BC BH THEO CUSTOMER-USD'!$H65,'01. KE30'!$A:$A,'06. BC BH THEO CUSTOMER-USD'!DX$4),"-")</f>
        <v>0</v>
      </c>
      <c r="DY65" s="114">
        <f>IFERROR(SUMIFS('01. KE30'!$X:$X,'01. KE30'!$C:$C,'06. BC BH THEO CUSTOMER-USD'!$D65,'01. KE30'!$F:$F,'06. BC BH THEO CUSTOMER-USD'!$H65,'01. KE30'!$A:$A,'06. BC BH THEO CUSTOMER-USD'!DY$4)-SUMIFS('01. KE30'!$AA:$AA,'01. KE30'!$C:$C,'06. BC BH THEO CUSTOMER-USD'!$D65,'01. KE30'!$F:$F,'06. BC BH THEO CUSTOMER-USD'!$H65,'01. KE30'!$A:$A,'06. BC BH THEO CUSTOMER-USD'!DY$4),"-")</f>
        <v>0</v>
      </c>
      <c r="DZ65" s="114">
        <f>IFERROR(SUMIFS('01. KE30'!$X:$X,'01. KE30'!$C:$C,'06. BC BH THEO CUSTOMER-USD'!$D65,'01. KE30'!$F:$F,'06. BC BH THEO CUSTOMER-USD'!$H65,'01. KE30'!$A:$A,'06. BC BH THEO CUSTOMER-USD'!DZ$4)-SUMIFS('01. KE30'!$AA:$AA,'01. KE30'!$C:$C,'06. BC BH THEO CUSTOMER-USD'!$D65,'01. KE30'!$F:$F,'06. BC BH THEO CUSTOMER-USD'!$H65,'01. KE30'!$A:$A,'06. BC BH THEO CUSTOMER-USD'!DZ$4),"-")</f>
        <v>0</v>
      </c>
      <c r="EA65" s="114">
        <f>IFERROR(SUMIFS('01. KE30'!$X:$X,'01. KE30'!$C:$C,'06. BC BH THEO CUSTOMER-USD'!$D65,'01. KE30'!$F:$F,'06. BC BH THEO CUSTOMER-USD'!$H65,'01. KE30'!$A:$A,'06. BC BH THEO CUSTOMER-USD'!EA$4)-SUMIFS('01. KE30'!$AA:$AA,'01. KE30'!$C:$C,'06. BC BH THEO CUSTOMER-USD'!$D65,'01. KE30'!$F:$F,'06. BC BH THEO CUSTOMER-USD'!$H65,'01. KE30'!$A:$A,'06. BC BH THEO CUSTOMER-USD'!EA$4),"-")</f>
        <v>0</v>
      </c>
      <c r="EB65" s="114">
        <f>IFERROR(SUMIFS('01. KE30'!$X:$X,'01. KE30'!$C:$C,'06. BC BH THEO CUSTOMER-USD'!$D65,'01. KE30'!$F:$F,'06. BC BH THEO CUSTOMER-USD'!$H65,'01. KE30'!$A:$A,'06. BC BH THEO CUSTOMER-USD'!EB$4)-SUMIFS('01. KE30'!$AA:$AA,'01. KE30'!$C:$C,'06. BC BH THEO CUSTOMER-USD'!$D65,'01. KE30'!$F:$F,'06. BC BH THEO CUSTOMER-USD'!$H65,'01. KE30'!$A:$A,'06. BC BH THEO CUSTOMER-USD'!EB$4),"-")</f>
        <v>0</v>
      </c>
      <c r="EC65" s="114">
        <f>IFERROR(SUMIFS('01. KE30'!$X:$X,'01. KE30'!$C:$C,'06. BC BH THEO CUSTOMER-USD'!$D65,'01. KE30'!$F:$F,'06. BC BH THEO CUSTOMER-USD'!$H65,'01. KE30'!$A:$A,'06. BC BH THEO CUSTOMER-USD'!EC$4)-SUMIFS('01. KE30'!$AA:$AA,'01. KE30'!$C:$C,'06. BC BH THEO CUSTOMER-USD'!$D65,'01. KE30'!$F:$F,'06. BC BH THEO CUSTOMER-USD'!$H65,'01. KE30'!$A:$A,'06. BC BH THEO CUSTOMER-USD'!EC$4),"-")</f>
        <v>0</v>
      </c>
      <c r="ED65" s="114">
        <f>IFERROR(SUMIFS('01. KE30'!$X:$X,'01. KE30'!$C:$C,'06. BC BH THEO CUSTOMER-USD'!$D65,'01. KE30'!$F:$F,'06. BC BH THEO CUSTOMER-USD'!$H65,'01. KE30'!$A:$A,'06. BC BH THEO CUSTOMER-USD'!ED$4)-SUMIFS('01. KE30'!$AA:$AA,'01. KE30'!$C:$C,'06. BC BH THEO CUSTOMER-USD'!$D65,'01. KE30'!$F:$F,'06. BC BH THEO CUSTOMER-USD'!$H65,'01. KE30'!$A:$A,'06. BC BH THEO CUSTOMER-USD'!ED$4),"-")</f>
        <v>0</v>
      </c>
      <c r="EE65" s="114">
        <f>IFERROR(SUMIFS('01. KE30'!$X:$X,'01. KE30'!$C:$C,'06. BC BH THEO CUSTOMER-USD'!$D65,'01. KE30'!$F:$F,'06. BC BH THEO CUSTOMER-USD'!$H65,'01. KE30'!$A:$A,'06. BC BH THEO CUSTOMER-USD'!EE$4)-SUMIFS('01. KE30'!$AA:$AA,'01. KE30'!$C:$C,'06. BC BH THEO CUSTOMER-USD'!$D65,'01. KE30'!$F:$F,'06. BC BH THEO CUSTOMER-USD'!$H65,'01. KE30'!$A:$A,'06. BC BH THEO CUSTOMER-USD'!EE$4),"-")</f>
        <v>0</v>
      </c>
      <c r="EF65" s="114">
        <f>IFERROR(SUMIFS('01. KE30'!$X:$X,'01. KE30'!$C:$C,'06. BC BH THEO CUSTOMER-USD'!$D65,'01. KE30'!$F:$F,'06. BC BH THEO CUSTOMER-USD'!$H65,'01. KE30'!$A:$A,'06. BC BH THEO CUSTOMER-USD'!EF$4)-SUMIFS('01. KE30'!$AA:$AA,'01. KE30'!$C:$C,'06. BC BH THEO CUSTOMER-USD'!$D65,'01. KE30'!$F:$F,'06. BC BH THEO CUSTOMER-USD'!$H65,'01. KE30'!$A:$A,'06. BC BH THEO CUSTOMER-USD'!EF$4),"-")</f>
        <v>0</v>
      </c>
      <c r="EH65" s="571">
        <f t="shared" si="29"/>
        <v>0.18640788120898408</v>
      </c>
      <c r="EI65" s="572" t="str">
        <f t="shared" si="30"/>
        <v>-</v>
      </c>
      <c r="EJ65" s="572">
        <f t="shared" si="31"/>
        <v>0.18640788120898408</v>
      </c>
      <c r="EK65" s="572" t="str">
        <f t="shared" si="32"/>
        <v>-</v>
      </c>
      <c r="EL65" s="572" t="str">
        <f t="shared" si="33"/>
        <v>-</v>
      </c>
      <c r="EM65" s="572" t="str">
        <f t="shared" si="34"/>
        <v>-</v>
      </c>
      <c r="EN65" s="572" t="str">
        <f t="shared" si="35"/>
        <v>-</v>
      </c>
      <c r="EO65" s="572" t="str">
        <f t="shared" si="36"/>
        <v>-</v>
      </c>
      <c r="EP65" s="572" t="str">
        <f t="shared" si="37"/>
        <v>-</v>
      </c>
      <c r="EQ65" s="572" t="str">
        <f t="shared" si="38"/>
        <v>-</v>
      </c>
      <c r="ER65" s="572" t="str">
        <f t="shared" si="39"/>
        <v>-</v>
      </c>
      <c r="ES65" s="572" t="str">
        <f t="shared" si="40"/>
        <v>-</v>
      </c>
      <c r="ET65" s="572" t="str">
        <f t="shared" si="41"/>
        <v>-</v>
      </c>
    </row>
    <row r="66" spans="1:150" ht="15.5" hidden="1" outlineLevel="1" x14ac:dyDescent="0.35">
      <c r="A66" s="27">
        <f t="shared" si="63"/>
        <v>55</v>
      </c>
      <c r="B66" s="27" t="s">
        <v>283</v>
      </c>
      <c r="C66" s="442" t="s">
        <v>489</v>
      </c>
      <c r="D66" s="9" t="s">
        <v>534</v>
      </c>
      <c r="E66" s="12" t="s">
        <v>535</v>
      </c>
      <c r="F66" s="12" t="s">
        <v>256</v>
      </c>
      <c r="G66" s="12" t="str">
        <f>_xlfn.XLOOKUP(F66,'Quy đổi'!$G$5:$G$32,'Quy đổi'!$H$5:$H$32,0)</f>
        <v>Châu á</v>
      </c>
      <c r="H66" s="76" t="s">
        <v>100</v>
      </c>
      <c r="I66" s="28" t="s">
        <v>99</v>
      </c>
      <c r="J66" s="13" t="s">
        <v>26</v>
      </c>
      <c r="K66" s="11" t="s">
        <v>90</v>
      </c>
      <c r="L66" s="92">
        <f t="shared" si="42"/>
        <v>1442.7235131941709</v>
      </c>
      <c r="M66" s="106" t="str">
        <f>IFERROR(SUMIFS('01. KE30'!$K:$K,'01. KE30'!$C:$C,'06. BC BH THEO CUSTOMER-USD'!$D66,'01. KE30'!$F:$F,'06. BC BH THEO CUSTOMER-USD'!$H66,'01. KE30'!$A:$A,'06. BC BH THEO CUSTOMER-USD'!M$4)/'06. BC BH THEO CUSTOMER-USD'!CS66/'02. Tỷ giá'!B$5,"-")</f>
        <v>-</v>
      </c>
      <c r="N66" s="106">
        <f>IFERROR(SUMIFS('01. KE30'!$K:$K,'01. KE30'!$C:$C,'06. BC BH THEO CUSTOMER-USD'!$D66,'01. KE30'!$F:$F,'06. BC BH THEO CUSTOMER-USD'!$H66,'01. KE30'!$A:$A,'06. BC BH THEO CUSTOMER-USD'!N$4)/'06. BC BH THEO CUSTOMER-USD'!CT66/'02. Tỷ giá'!C$5,"-")</f>
        <v>1442.7235131941709</v>
      </c>
      <c r="O66" s="106" t="str">
        <f>IFERROR(SUMIFS('01. KE30'!$K:$K,'01. KE30'!$C:$C,'06. BC BH THEO CUSTOMER-USD'!$D66,'01. KE30'!$F:$F,'06. BC BH THEO CUSTOMER-USD'!$H66,'01. KE30'!$A:$A,'06. BC BH THEO CUSTOMER-USD'!O$4)/'06. BC BH THEO CUSTOMER-USD'!CU66/'02. Tỷ giá'!D$5,"-")</f>
        <v>-</v>
      </c>
      <c r="P66" s="106" t="str">
        <f>IFERROR(SUMIFS('01. KE30'!$K:$K,'01. KE30'!$C:$C,'06. BC BH THEO CUSTOMER-USD'!$D66,'01. KE30'!$F:$F,'06. BC BH THEO CUSTOMER-USD'!$H66,'01. KE30'!$A:$A,'06. BC BH THEO CUSTOMER-USD'!P$4)/'06. BC BH THEO CUSTOMER-USD'!CV66/'02. Tỷ giá'!E$5,"-")</f>
        <v>-</v>
      </c>
      <c r="Q66" s="106" t="str">
        <f>IFERROR(SUMIFS('01. KE30'!$K:$K,'01. KE30'!$C:$C,'06. BC BH THEO CUSTOMER-USD'!$D66,'01. KE30'!$F:$F,'06. BC BH THEO CUSTOMER-USD'!$H66,'01. KE30'!$A:$A,'06. BC BH THEO CUSTOMER-USD'!Q$4)/'06. BC BH THEO CUSTOMER-USD'!CW66/'02. Tỷ giá'!F$5,"-")</f>
        <v>-</v>
      </c>
      <c r="R66" s="106" t="str">
        <f>IFERROR(SUMIFS('01. KE30'!$K:$K,'01. KE30'!$C:$C,'06. BC BH THEO CUSTOMER-USD'!$D66,'01. KE30'!$F:$F,'06. BC BH THEO CUSTOMER-USD'!$H66,'01. KE30'!$A:$A,'06. BC BH THEO CUSTOMER-USD'!R$4)/'06. BC BH THEO CUSTOMER-USD'!CX66/'02. Tỷ giá'!G$5,"-")</f>
        <v>-</v>
      </c>
      <c r="S66" s="106" t="str">
        <f>IFERROR(SUMIFS('01. KE30'!$K:$K,'01. KE30'!$C:$C,'06. BC BH THEO CUSTOMER-USD'!$D66,'01. KE30'!$F:$F,'06. BC BH THEO CUSTOMER-USD'!$H66,'01. KE30'!$A:$A,'06. BC BH THEO CUSTOMER-USD'!S$4)/'06. BC BH THEO CUSTOMER-USD'!CY66/'02. Tỷ giá'!H$5,"-")</f>
        <v>-</v>
      </c>
      <c r="T66" s="106" t="str">
        <f>IFERROR(SUMIFS('01. KE30'!$K:$K,'01. KE30'!$C:$C,'06. BC BH THEO CUSTOMER-USD'!$D66,'01. KE30'!$F:$F,'06. BC BH THEO CUSTOMER-USD'!$H66,'01. KE30'!$A:$A,'06. BC BH THEO CUSTOMER-USD'!T$4)/'06. BC BH THEO CUSTOMER-USD'!CZ66/'02. Tỷ giá'!I$5,"-")</f>
        <v>-</v>
      </c>
      <c r="U66" s="106" t="str">
        <f>IFERROR(SUMIFS('01. KE30'!$K:$K,'01. KE30'!$C:$C,'06. BC BH THEO CUSTOMER-USD'!$D66,'01. KE30'!$F:$F,'06. BC BH THEO CUSTOMER-USD'!$H66,'01. KE30'!$A:$A,'06. BC BH THEO CUSTOMER-USD'!U$4)/'06. BC BH THEO CUSTOMER-USD'!DA66/'02. Tỷ giá'!J$5,"-")</f>
        <v>-</v>
      </c>
      <c r="V66" s="106" t="str">
        <f>IFERROR(SUMIFS('01. KE30'!$K:$K,'01. KE30'!$C:$C,'06. BC BH THEO CUSTOMER-USD'!$D66,'01. KE30'!$F:$F,'06. BC BH THEO CUSTOMER-USD'!$H66,'01. KE30'!$A:$A,'06. BC BH THEO CUSTOMER-USD'!V$4)/'06. BC BH THEO CUSTOMER-USD'!DB66/'02. Tỷ giá'!K$5,"-")</f>
        <v>-</v>
      </c>
      <c r="W66" s="106" t="str">
        <f>IFERROR(SUMIFS('01. KE30'!$K:$K,'01. KE30'!$C:$C,'06. BC BH THEO CUSTOMER-USD'!$D66,'01. KE30'!$F:$F,'06. BC BH THEO CUSTOMER-USD'!$H66,'01. KE30'!$A:$A,'06. BC BH THEO CUSTOMER-USD'!W$4)/'06. BC BH THEO CUSTOMER-USD'!DC66/'02. Tỷ giá'!L$5,"-")</f>
        <v>-</v>
      </c>
      <c r="X66" s="106" t="str">
        <f>IFERROR(SUMIFS('01. KE30'!$K:$K,'01. KE30'!$C:$C,'06. BC BH THEO CUSTOMER-USD'!$D66,'01. KE30'!$F:$F,'06. BC BH THEO CUSTOMER-USD'!$H66,'01. KE30'!$A:$A,'06. BC BH THEO CUSTOMER-USD'!X$4)/'06. BC BH THEO CUSTOMER-USD'!DD66/'02. Tỷ giá'!M$5,"-")</f>
        <v>-</v>
      </c>
      <c r="Z66" s="92">
        <f t="shared" si="43"/>
        <v>1281.1626696265532</v>
      </c>
      <c r="AA66" s="147" t="str">
        <f>IFERROR(SUMIFS('01. KE30'!$O:$O,'01. KE30'!$C:$C,'06. BC BH THEO CUSTOMER-USD'!$D66,'01. KE30'!$F:$F,'06. BC BH THEO CUSTOMER-USD'!$H66,'01. KE30'!$A:$A,'06. BC BH THEO CUSTOMER-USD'!M$4)/'06. BC BH THEO CUSTOMER-USD'!CS66/'02. Tỷ giá'!B$5,"-")</f>
        <v>-</v>
      </c>
      <c r="AB66" s="147">
        <f>IFERROR(SUMIFS('01. KE30'!$O:$O,'01. KE30'!$C:$C,'06. BC BH THEO CUSTOMER-USD'!$D66,'01. KE30'!$F:$F,'06. BC BH THEO CUSTOMER-USD'!$H66,'01. KE30'!$A:$A,'06. BC BH THEO CUSTOMER-USD'!N$4)/'06. BC BH THEO CUSTOMER-USD'!CT66/'02. Tỷ giá'!C$5,"-")</f>
        <v>1281.1626696265532</v>
      </c>
      <c r="AC66" s="147" t="str">
        <f>IFERROR(SUMIFS('01. KE30'!$O:$O,'01. KE30'!$C:$C,'06. BC BH THEO CUSTOMER-USD'!$D66,'01. KE30'!$F:$F,'06. BC BH THEO CUSTOMER-USD'!$H66,'01. KE30'!$A:$A,'06. BC BH THEO CUSTOMER-USD'!O$4)/'06. BC BH THEO CUSTOMER-USD'!CU66/'02. Tỷ giá'!D$5,"-")</f>
        <v>-</v>
      </c>
      <c r="AD66" s="147" t="str">
        <f>IFERROR(SUMIFS('01. KE30'!$O:$O,'01. KE30'!$C:$C,'06. BC BH THEO CUSTOMER-USD'!$D66,'01. KE30'!$F:$F,'06. BC BH THEO CUSTOMER-USD'!$H66,'01. KE30'!$A:$A,'06. BC BH THEO CUSTOMER-USD'!P$4)/'06. BC BH THEO CUSTOMER-USD'!CV66/'02. Tỷ giá'!E$5,"-")</f>
        <v>-</v>
      </c>
      <c r="AE66" s="147" t="str">
        <f>IFERROR(SUMIFS('01. KE30'!$O:$O,'01. KE30'!$C:$C,'06. BC BH THEO CUSTOMER-USD'!$D66,'01. KE30'!$F:$F,'06. BC BH THEO CUSTOMER-USD'!$H66,'01. KE30'!$A:$A,'06. BC BH THEO CUSTOMER-USD'!Q$4)/'06. BC BH THEO CUSTOMER-USD'!CW66/'02. Tỷ giá'!F$5,"-")</f>
        <v>-</v>
      </c>
      <c r="AF66" s="147" t="str">
        <f>IFERROR(SUMIFS('01. KE30'!$O:$O,'01. KE30'!$C:$C,'06. BC BH THEO CUSTOMER-USD'!$D66,'01. KE30'!$F:$F,'06. BC BH THEO CUSTOMER-USD'!$H66,'01. KE30'!$A:$A,'06. BC BH THEO CUSTOMER-USD'!R$4)/'06. BC BH THEO CUSTOMER-USD'!CX66/'02. Tỷ giá'!G$5,"-")</f>
        <v>-</v>
      </c>
      <c r="AG66" s="147" t="str">
        <f>IFERROR(SUMIFS('01. KE30'!$O:$O,'01. KE30'!$C:$C,'06. BC BH THEO CUSTOMER-USD'!$D66,'01. KE30'!$F:$F,'06. BC BH THEO CUSTOMER-USD'!$H66,'01. KE30'!$A:$A,'06. BC BH THEO CUSTOMER-USD'!S$4)/'06. BC BH THEO CUSTOMER-USD'!CY66/'02. Tỷ giá'!H$5,"-")</f>
        <v>-</v>
      </c>
      <c r="AH66" s="147" t="str">
        <f>IFERROR(SUMIFS('01. KE30'!$O:$O,'01. KE30'!$C:$C,'06. BC BH THEO CUSTOMER-USD'!$D66,'01. KE30'!$F:$F,'06. BC BH THEO CUSTOMER-USD'!$H66,'01. KE30'!$A:$A,'06. BC BH THEO CUSTOMER-USD'!T$4)/'06. BC BH THEO CUSTOMER-USD'!CZ66/'02. Tỷ giá'!I$5,"-")</f>
        <v>-</v>
      </c>
      <c r="AI66" s="147" t="str">
        <f>IFERROR(SUMIFS('01. KE30'!$O:$O,'01. KE30'!$C:$C,'06. BC BH THEO CUSTOMER-USD'!$D66,'01. KE30'!$F:$F,'06. BC BH THEO CUSTOMER-USD'!$H66,'01. KE30'!$A:$A,'06. BC BH THEO CUSTOMER-USD'!U$4)/'06. BC BH THEO CUSTOMER-USD'!DA66/'02. Tỷ giá'!J$5,"-")</f>
        <v>-</v>
      </c>
      <c r="AJ66" s="147" t="str">
        <f>IFERROR(SUMIFS('01. KE30'!$O:$O,'01. KE30'!$C:$C,'06. BC BH THEO CUSTOMER-USD'!$D66,'01. KE30'!$F:$F,'06. BC BH THEO CUSTOMER-USD'!$H66,'01. KE30'!$A:$A,'06. BC BH THEO CUSTOMER-USD'!V$4)/'06. BC BH THEO CUSTOMER-USD'!DB66/'02. Tỷ giá'!K$5,"-")</f>
        <v>-</v>
      </c>
      <c r="AK66" s="147" t="str">
        <f>IFERROR(SUMIFS('01. KE30'!$O:$O,'01. KE30'!$C:$C,'06. BC BH THEO CUSTOMER-USD'!$D66,'01. KE30'!$F:$F,'06. BC BH THEO CUSTOMER-USD'!$H66,'01. KE30'!$A:$A,'06. BC BH THEO CUSTOMER-USD'!W$4)/'06. BC BH THEO CUSTOMER-USD'!DC66/'02. Tỷ giá'!L$5,"-")</f>
        <v>-</v>
      </c>
      <c r="AL66" s="147" t="str">
        <f>IFERROR(SUMIFS('01. KE30'!$O:$O,'01. KE30'!$C:$C,'06. BC BH THEO CUSTOMER-USD'!$D66,'01. KE30'!$F:$F,'06. BC BH THEO CUSTOMER-USD'!$H66,'01. KE30'!$A:$A,'06. BC BH THEO CUSTOMER-USD'!X$4)/'06. BC BH THEO CUSTOMER-USD'!DD66/'02. Tỷ giá'!M$5,"-")</f>
        <v>-</v>
      </c>
      <c r="AN66" s="92">
        <f t="shared" si="44"/>
        <v>1266.6666666666667</v>
      </c>
      <c r="AO66" s="25">
        <v>1260</v>
      </c>
      <c r="AP66" s="25">
        <v>1260</v>
      </c>
      <c r="AQ66" s="25">
        <v>1260</v>
      </c>
      <c r="AR66" s="4">
        <f t="shared" si="396"/>
        <v>1280</v>
      </c>
      <c r="AS66" s="4">
        <v>1280</v>
      </c>
      <c r="AT66" s="4">
        <v>1280</v>
      </c>
      <c r="AU66" s="4">
        <v>1280</v>
      </c>
      <c r="AV66" s="4">
        <f t="shared" si="205"/>
        <v>1250</v>
      </c>
      <c r="AW66" s="25">
        <v>1250</v>
      </c>
      <c r="AX66" s="25"/>
      <c r="AY66" s="4"/>
      <c r="AZ66" s="4"/>
      <c r="BB66" s="95">
        <f t="shared" si="45"/>
        <v>14.496002959886482</v>
      </c>
      <c r="BC66" s="95" t="str">
        <f t="shared" si="206"/>
        <v>-</v>
      </c>
      <c r="BD66" s="95">
        <f t="shared" si="389"/>
        <v>21.162669626553225</v>
      </c>
      <c r="BE66" s="95" t="str">
        <f t="shared" si="389"/>
        <v>-</v>
      </c>
      <c r="BF66" s="95" t="str">
        <f t="shared" si="389"/>
        <v>-</v>
      </c>
      <c r="BG66" s="95" t="str">
        <f t="shared" si="389"/>
        <v>-</v>
      </c>
      <c r="BH66" s="95" t="str">
        <f t="shared" si="389"/>
        <v>-</v>
      </c>
      <c r="BI66" s="95" t="str">
        <f t="shared" si="389"/>
        <v>-</v>
      </c>
      <c r="BJ66" s="95" t="str">
        <f t="shared" si="389"/>
        <v>-</v>
      </c>
      <c r="BK66" s="95" t="str">
        <f t="shared" si="389"/>
        <v>-</v>
      </c>
      <c r="BL66" s="95" t="str">
        <f t="shared" si="389"/>
        <v>-</v>
      </c>
      <c r="BM66" s="95" t="str">
        <f t="shared" si="389"/>
        <v>-</v>
      </c>
      <c r="BN66" s="95" t="str">
        <f t="shared" si="389"/>
        <v>-</v>
      </c>
      <c r="BP66" s="143">
        <f t="shared" si="47"/>
        <v>1.1444212863068275E-2</v>
      </c>
      <c r="BQ66" s="143" t="str">
        <f t="shared" si="202"/>
        <v>-</v>
      </c>
      <c r="BR66" s="143">
        <f t="shared" si="9"/>
        <v>1.6795769544883512E-2</v>
      </c>
      <c r="BS66" s="143" t="str">
        <f t="shared" si="10"/>
        <v>-</v>
      </c>
      <c r="BT66" s="143" t="str">
        <f t="shared" si="11"/>
        <v>-</v>
      </c>
      <c r="BU66" s="143" t="str">
        <f t="shared" si="12"/>
        <v>-</v>
      </c>
      <c r="BV66" s="143" t="str">
        <f t="shared" si="13"/>
        <v>-</v>
      </c>
      <c r="BW66" s="143" t="str">
        <f t="shared" si="14"/>
        <v>-</v>
      </c>
      <c r="BX66" s="143" t="str">
        <f t="shared" si="15"/>
        <v>-</v>
      </c>
      <c r="BY66" s="143" t="str">
        <f t="shared" si="16"/>
        <v>-</v>
      </c>
      <c r="BZ66" s="143" t="str">
        <f t="shared" si="17"/>
        <v>-</v>
      </c>
      <c r="CA66" s="143" t="str">
        <f t="shared" si="18"/>
        <v>-</v>
      </c>
      <c r="CB66" s="143" t="str">
        <f t="shared" si="19"/>
        <v>-</v>
      </c>
      <c r="CD66" s="112">
        <f t="shared" si="25"/>
        <v>989.75531526370435</v>
      </c>
      <c r="CE66" s="95" t="str">
        <f>IFERROR(SUMIFS('01. KE30'!$R:$R,'01. KE30'!$C:$C,'06. BC BH THEO CUSTOMER-USD'!$D66,'01. KE30'!$F:$F,'06. BC BH THEO CUSTOMER-USD'!$H66,'01. KE30'!$A:$A,'06. BC BH THEO CUSTOMER-USD'!CE$4)/CS66/'02. Tỷ giá'!B$5," -")</f>
        <v xml:space="preserve"> -</v>
      </c>
      <c r="CF66" s="95">
        <f>IFERROR(SUMIFS('01. KE30'!$R:$R,'01. KE30'!$C:$C,'06. BC BH THEO CUSTOMER-USD'!$D66,'01. KE30'!$F:$F,'06. BC BH THEO CUSTOMER-USD'!$H66,'01. KE30'!$A:$A,'06. BC BH THEO CUSTOMER-USD'!CF$4)/CT66/'02. Tỷ giá'!C$5," -")</f>
        <v>989.75531526370435</v>
      </c>
      <c r="CG66" s="95" t="str">
        <f>IFERROR(SUMIFS('01. KE30'!$R:$R,'01. KE30'!$C:$C,'06. BC BH THEO CUSTOMER-USD'!$D66,'01. KE30'!$F:$F,'06. BC BH THEO CUSTOMER-USD'!$H66,'01. KE30'!$A:$A,'06. BC BH THEO CUSTOMER-USD'!CG$4)/CU66/'02. Tỷ giá'!D$5," -")</f>
        <v xml:space="preserve"> -</v>
      </c>
      <c r="CH66" s="95" t="str">
        <f>IFERROR(SUMIFS('01. KE30'!$R:$R,'01. KE30'!$C:$C,'06. BC BH THEO CUSTOMER-USD'!$D66,'01. KE30'!$F:$F,'06. BC BH THEO CUSTOMER-USD'!$H66,'01. KE30'!$A:$A,'06. BC BH THEO CUSTOMER-USD'!CH$4)/CV66/'02. Tỷ giá'!E$5," -")</f>
        <v xml:space="preserve"> -</v>
      </c>
      <c r="CI66" s="95" t="str">
        <f>IFERROR(SUMIFS('01. KE30'!$R:$R,'01. KE30'!$C:$C,'06. BC BH THEO CUSTOMER-USD'!$D66,'01. KE30'!$F:$F,'06. BC BH THEO CUSTOMER-USD'!$H66,'01. KE30'!$A:$A,'06. BC BH THEO CUSTOMER-USD'!CI$4)/CW66/'02. Tỷ giá'!F$5," -")</f>
        <v xml:space="preserve"> -</v>
      </c>
      <c r="CJ66" s="95" t="str">
        <f>IFERROR(SUMIFS('01. KE30'!$R:$R,'01. KE30'!$C:$C,'06. BC BH THEO CUSTOMER-USD'!$D66,'01. KE30'!$F:$F,'06. BC BH THEO CUSTOMER-USD'!$H66,'01. KE30'!$A:$A,'06. BC BH THEO CUSTOMER-USD'!CJ$4)/CX66/'02. Tỷ giá'!G$5," -")</f>
        <v xml:space="preserve"> -</v>
      </c>
      <c r="CK66" s="95" t="str">
        <f>IFERROR(SUMIFS('01. KE30'!$R:$R,'01. KE30'!$C:$C,'06. BC BH THEO CUSTOMER-USD'!$D66,'01. KE30'!$F:$F,'06. BC BH THEO CUSTOMER-USD'!$H66,'01. KE30'!$A:$A,'06. BC BH THEO CUSTOMER-USD'!CK$4)/CY66/'02. Tỷ giá'!H$5," -")</f>
        <v xml:space="preserve"> -</v>
      </c>
      <c r="CL66" s="95" t="str">
        <f>IFERROR(SUMIFS('01. KE30'!$R:$R,'01. KE30'!$C:$C,'06. BC BH THEO CUSTOMER-USD'!$D66,'01. KE30'!$F:$F,'06. BC BH THEO CUSTOMER-USD'!$H66,'01. KE30'!$A:$A,'06. BC BH THEO CUSTOMER-USD'!CL$4)/CZ66/'02. Tỷ giá'!I$5," -")</f>
        <v xml:space="preserve"> -</v>
      </c>
      <c r="CM66" s="95" t="str">
        <f>IFERROR(SUMIFS('01. KE30'!$R:$R,'01. KE30'!$C:$C,'06. BC BH THEO CUSTOMER-USD'!$D66,'01. KE30'!$F:$F,'06. BC BH THEO CUSTOMER-USD'!$H66,'01. KE30'!$A:$A,'06. BC BH THEO CUSTOMER-USD'!CM$4)/DA66/'02. Tỷ giá'!J$5," -")</f>
        <v xml:space="preserve"> -</v>
      </c>
      <c r="CN66" s="95" t="str">
        <f>IFERROR(SUMIFS('01. KE30'!$R:$R,'01. KE30'!$C:$C,'06. BC BH THEO CUSTOMER-USD'!$D66,'01. KE30'!$F:$F,'06. BC BH THEO CUSTOMER-USD'!$H66,'01. KE30'!$A:$A,'06. BC BH THEO CUSTOMER-USD'!CN$4)/DB66/'02. Tỷ giá'!K$5," -")</f>
        <v xml:space="preserve"> -</v>
      </c>
      <c r="CO66" s="95" t="str">
        <f>IFERROR(SUMIFS('01. KE30'!$R:$R,'01. KE30'!$C:$C,'06. BC BH THEO CUSTOMER-USD'!$D66,'01. KE30'!$F:$F,'06. BC BH THEO CUSTOMER-USD'!$H66,'01. KE30'!$A:$A,'06. BC BH THEO CUSTOMER-USD'!CO$4)/DC66/'02. Tỷ giá'!L$5," -")</f>
        <v xml:space="preserve"> -</v>
      </c>
      <c r="CP66" s="95" t="str">
        <f>IFERROR(SUMIFS('01. KE30'!$R:$R,'01. KE30'!$C:$C,'06. BC BH THEO CUSTOMER-USD'!$D66,'01. KE30'!$F:$F,'06. BC BH THEO CUSTOMER-USD'!$H66,'01. KE30'!$A:$A,'06. BC BH THEO CUSTOMER-USD'!CP$4)/DD66/'02. Tỷ giá'!M$5," -")</f>
        <v xml:space="preserve"> -</v>
      </c>
      <c r="CR66" s="112">
        <f t="shared" si="266"/>
        <v>66</v>
      </c>
      <c r="CS66" s="114">
        <f>SUMIFS('01. KE30'!$I:$I,'01. KE30'!$C:$C,'06. BC BH THEO CUSTOMER-USD'!$D66,'01. KE30'!$F:$F,'06. BC BH THEO CUSTOMER-USD'!$H66,'01. KE30'!$A:$A,'06. BC BH THEO CUSTOMER-USD'!CS$4)/1000</f>
        <v>0</v>
      </c>
      <c r="CT66" s="114">
        <f>SUMIFS('01. KE30'!$I:$I,'01. KE30'!$C:$C,'06. BC BH THEO CUSTOMER-USD'!$D66,'01. KE30'!$F:$F,'06. BC BH THEO CUSTOMER-USD'!$H66,'01. KE30'!$A:$A,'06. BC BH THEO CUSTOMER-USD'!CT$4)/1000</f>
        <v>66</v>
      </c>
      <c r="CU66" s="114">
        <f>SUMIFS('01. KE30'!$I:$I,'01. KE30'!$C:$C,'06. BC BH THEO CUSTOMER-USD'!$D66,'01. KE30'!$F:$F,'06. BC BH THEO CUSTOMER-USD'!$H66,'01. KE30'!$A:$A,'06. BC BH THEO CUSTOMER-USD'!CU$4)/1000</f>
        <v>0</v>
      </c>
      <c r="CV66" s="114">
        <f>SUMIFS('01. KE30'!$I:$I,'01. KE30'!$C:$C,'06. BC BH THEO CUSTOMER-USD'!$D66,'01. KE30'!$F:$F,'06. BC BH THEO CUSTOMER-USD'!$H66,'01. KE30'!$A:$A,'06. BC BH THEO CUSTOMER-USD'!CV$4)/1000</f>
        <v>0</v>
      </c>
      <c r="CW66" s="114">
        <f>SUMIFS('01. KE30'!$I:$I,'01. KE30'!$C:$C,'06. BC BH THEO CUSTOMER-USD'!$D66,'01. KE30'!$F:$F,'06. BC BH THEO CUSTOMER-USD'!$H66,'01. KE30'!$A:$A,'06. BC BH THEO CUSTOMER-USD'!CW$4)/1000</f>
        <v>0</v>
      </c>
      <c r="CX66" s="114">
        <f>SUMIFS('01. KE30'!$I:$I,'01. KE30'!$C:$C,'06. BC BH THEO CUSTOMER-USD'!$D66,'01. KE30'!$F:$F,'06. BC BH THEO CUSTOMER-USD'!$H66,'01. KE30'!$A:$A,'06. BC BH THEO CUSTOMER-USD'!CX$4)/1000</f>
        <v>0</v>
      </c>
      <c r="CY66" s="114">
        <f>SUMIFS('01. KE30'!$I:$I,'01. KE30'!$C:$C,'06. BC BH THEO CUSTOMER-USD'!$D66,'01. KE30'!$F:$F,'06. BC BH THEO CUSTOMER-USD'!$H66,'01. KE30'!$A:$A,'06. BC BH THEO CUSTOMER-USD'!CY$4)/1000</f>
        <v>0</v>
      </c>
      <c r="CZ66" s="114">
        <f>SUMIFS('01. KE30'!$I:$I,'01. KE30'!$C:$C,'06. BC BH THEO CUSTOMER-USD'!$D66,'01. KE30'!$F:$F,'06. BC BH THEO CUSTOMER-USD'!$H66,'01. KE30'!$A:$A,'06. BC BH THEO CUSTOMER-USD'!CZ$4)/1000</f>
        <v>0</v>
      </c>
      <c r="DA66" s="114">
        <f>SUMIFS('01. KE30'!$I:$I,'01. KE30'!$C:$C,'06. BC BH THEO CUSTOMER-USD'!$D66,'01. KE30'!$F:$F,'06. BC BH THEO CUSTOMER-USD'!$H66,'01. KE30'!$A:$A,'06. BC BH THEO CUSTOMER-USD'!DA$4)/1000</f>
        <v>0</v>
      </c>
      <c r="DB66" s="114">
        <f>SUMIFS('01. KE30'!$I:$I,'01. KE30'!$C:$C,'06. BC BH THEO CUSTOMER-USD'!$D66,'01. KE30'!$F:$F,'06. BC BH THEO CUSTOMER-USD'!$H66,'01. KE30'!$A:$A,'06. BC BH THEO CUSTOMER-USD'!DB$4)/1000</f>
        <v>0</v>
      </c>
      <c r="DC66" s="114">
        <f>SUMIFS('01. KE30'!$I:$I,'01. KE30'!$C:$C,'06. BC BH THEO CUSTOMER-USD'!$D66,'01. KE30'!$F:$F,'06. BC BH THEO CUSTOMER-USD'!$H66,'01. KE30'!$A:$A,'06. BC BH THEO CUSTOMER-USD'!DC$4)/1000</f>
        <v>0</v>
      </c>
      <c r="DD66" s="114">
        <f>SUMIFS('01. KE30'!$I:$I,'01. KE30'!$C:$C,'06. BC BH THEO CUSTOMER-USD'!$D66,'01. KE30'!$F:$F,'06. BC BH THEO CUSTOMER-USD'!$H66,'01. KE30'!$A:$A,'06. BC BH THEO CUSTOMER-USD'!DD$4)/1000</f>
        <v>0</v>
      </c>
      <c r="DF66" s="112">
        <f t="shared" si="267"/>
        <v>95219.751870815278</v>
      </c>
      <c r="DG66" s="54" t="str">
        <f t="shared" si="48"/>
        <v>-</v>
      </c>
      <c r="DH66" s="54">
        <f t="shared" si="49"/>
        <v>95219.751870815278</v>
      </c>
      <c r="DI66" s="54" t="str">
        <f t="shared" si="50"/>
        <v>-</v>
      </c>
      <c r="DJ66" s="54" t="str">
        <f t="shared" si="51"/>
        <v>-</v>
      </c>
      <c r="DK66" s="54" t="str">
        <f t="shared" si="52"/>
        <v>-</v>
      </c>
      <c r="DL66" s="54" t="str">
        <f t="shared" si="53"/>
        <v>-</v>
      </c>
      <c r="DM66" s="54" t="str">
        <f t="shared" si="54"/>
        <v>-</v>
      </c>
      <c r="DN66" s="54" t="str">
        <f t="shared" si="55"/>
        <v>-</v>
      </c>
      <c r="DO66" s="54" t="str">
        <f t="shared" si="56"/>
        <v>-</v>
      </c>
      <c r="DP66" s="54" t="str">
        <f t="shared" si="57"/>
        <v>-</v>
      </c>
      <c r="DQ66" s="54" t="str">
        <f t="shared" si="58"/>
        <v>-</v>
      </c>
      <c r="DR66" s="54" t="str">
        <f t="shared" si="59"/>
        <v>-</v>
      </c>
      <c r="DT66" s="112">
        <f t="shared" si="60"/>
        <v>19232.885387948008</v>
      </c>
      <c r="DU66" s="114">
        <f>IFERROR(SUMIFS('01. KE30'!$X:$X,'01. KE30'!$C:$C,'06. BC BH THEO CUSTOMER-USD'!$D66,'01. KE30'!$F:$F,'06. BC BH THEO CUSTOMER-USD'!$H66,'01. KE30'!$A:$A,'06. BC BH THEO CUSTOMER-USD'!DU$4)-SUMIFS('01. KE30'!$AA:$AA,'01. KE30'!$C:$C,'06. BC BH THEO CUSTOMER-USD'!$D66,'01. KE30'!$F:$F,'06. BC BH THEO CUSTOMER-USD'!$H66,'01. KE30'!$A:$A,'06. BC BH THEO CUSTOMER-USD'!DU$4),"-")</f>
        <v>0</v>
      </c>
      <c r="DV66" s="114">
        <f>IFERROR(SUMIFS('01. KE30'!$X:$X,'01. KE30'!$C:$C,'06. BC BH THEO CUSTOMER-USD'!$D66,'01. KE30'!$F:$F,'06. BC BH THEO CUSTOMER-USD'!$H66,'01. KE30'!$A:$A,'06. BC BH THEO CUSTOMER-USD'!DV$4)-SUMIFS('01. KE30'!$AA:$AA,'01. KE30'!$C:$C,'06. BC BH THEO CUSTOMER-USD'!$D66,'01. KE30'!$F:$F,'06. BC BH THEO CUSTOMER-USD'!$H66,'01. KE30'!$A:$A,'06. BC BH THEO CUSTOMER-USD'!DV$4),"-")</f>
        <v>19232.885387948008</v>
      </c>
      <c r="DW66" s="114">
        <f>IFERROR(SUMIFS('01. KE30'!$X:$X,'01. KE30'!$C:$C,'06. BC BH THEO CUSTOMER-USD'!$D66,'01. KE30'!$F:$F,'06. BC BH THEO CUSTOMER-USD'!$H66,'01. KE30'!$A:$A,'06. BC BH THEO CUSTOMER-USD'!DW$4)-SUMIFS('01. KE30'!$AA:$AA,'01. KE30'!$C:$C,'06. BC BH THEO CUSTOMER-USD'!$D66,'01. KE30'!$F:$F,'06. BC BH THEO CUSTOMER-USD'!$H66,'01. KE30'!$A:$A,'06. BC BH THEO CUSTOMER-USD'!DW$4),"-")</f>
        <v>0</v>
      </c>
      <c r="DX66" s="114">
        <f>IFERROR(SUMIFS('01. KE30'!$X:$X,'01. KE30'!$C:$C,'06. BC BH THEO CUSTOMER-USD'!$D66,'01. KE30'!$F:$F,'06. BC BH THEO CUSTOMER-USD'!$H66,'01. KE30'!$A:$A,'06. BC BH THEO CUSTOMER-USD'!DX$4)-SUMIFS('01. KE30'!$AA:$AA,'01. KE30'!$C:$C,'06. BC BH THEO CUSTOMER-USD'!$D66,'01. KE30'!$F:$F,'06. BC BH THEO CUSTOMER-USD'!$H66,'01. KE30'!$A:$A,'06. BC BH THEO CUSTOMER-USD'!DX$4),"-")</f>
        <v>0</v>
      </c>
      <c r="DY66" s="114">
        <f>IFERROR(SUMIFS('01. KE30'!$X:$X,'01. KE30'!$C:$C,'06. BC BH THEO CUSTOMER-USD'!$D66,'01. KE30'!$F:$F,'06. BC BH THEO CUSTOMER-USD'!$H66,'01. KE30'!$A:$A,'06. BC BH THEO CUSTOMER-USD'!DY$4)-SUMIFS('01. KE30'!$AA:$AA,'01. KE30'!$C:$C,'06. BC BH THEO CUSTOMER-USD'!$D66,'01. KE30'!$F:$F,'06. BC BH THEO CUSTOMER-USD'!$H66,'01. KE30'!$A:$A,'06. BC BH THEO CUSTOMER-USD'!DY$4),"-")</f>
        <v>0</v>
      </c>
      <c r="DZ66" s="114">
        <f>IFERROR(SUMIFS('01. KE30'!$X:$X,'01. KE30'!$C:$C,'06. BC BH THEO CUSTOMER-USD'!$D66,'01. KE30'!$F:$F,'06. BC BH THEO CUSTOMER-USD'!$H66,'01. KE30'!$A:$A,'06. BC BH THEO CUSTOMER-USD'!DZ$4)-SUMIFS('01. KE30'!$AA:$AA,'01. KE30'!$C:$C,'06. BC BH THEO CUSTOMER-USD'!$D66,'01. KE30'!$F:$F,'06. BC BH THEO CUSTOMER-USD'!$H66,'01. KE30'!$A:$A,'06. BC BH THEO CUSTOMER-USD'!DZ$4),"-")</f>
        <v>0</v>
      </c>
      <c r="EA66" s="114">
        <f>IFERROR(SUMIFS('01. KE30'!$X:$X,'01. KE30'!$C:$C,'06. BC BH THEO CUSTOMER-USD'!$D66,'01. KE30'!$F:$F,'06. BC BH THEO CUSTOMER-USD'!$H66,'01. KE30'!$A:$A,'06. BC BH THEO CUSTOMER-USD'!EA$4)-SUMIFS('01. KE30'!$AA:$AA,'01. KE30'!$C:$C,'06. BC BH THEO CUSTOMER-USD'!$D66,'01. KE30'!$F:$F,'06. BC BH THEO CUSTOMER-USD'!$H66,'01. KE30'!$A:$A,'06. BC BH THEO CUSTOMER-USD'!EA$4),"-")</f>
        <v>0</v>
      </c>
      <c r="EB66" s="114">
        <f>IFERROR(SUMIFS('01. KE30'!$X:$X,'01. KE30'!$C:$C,'06. BC BH THEO CUSTOMER-USD'!$D66,'01. KE30'!$F:$F,'06. BC BH THEO CUSTOMER-USD'!$H66,'01. KE30'!$A:$A,'06. BC BH THEO CUSTOMER-USD'!EB$4)-SUMIFS('01. KE30'!$AA:$AA,'01. KE30'!$C:$C,'06. BC BH THEO CUSTOMER-USD'!$D66,'01. KE30'!$F:$F,'06. BC BH THEO CUSTOMER-USD'!$H66,'01. KE30'!$A:$A,'06. BC BH THEO CUSTOMER-USD'!EB$4),"-")</f>
        <v>0</v>
      </c>
      <c r="EC66" s="114">
        <f>IFERROR(SUMIFS('01. KE30'!$X:$X,'01. KE30'!$C:$C,'06. BC BH THEO CUSTOMER-USD'!$D66,'01. KE30'!$F:$F,'06. BC BH THEO CUSTOMER-USD'!$H66,'01. KE30'!$A:$A,'06. BC BH THEO CUSTOMER-USD'!EC$4)-SUMIFS('01. KE30'!$AA:$AA,'01. KE30'!$C:$C,'06. BC BH THEO CUSTOMER-USD'!$D66,'01. KE30'!$F:$F,'06. BC BH THEO CUSTOMER-USD'!$H66,'01. KE30'!$A:$A,'06. BC BH THEO CUSTOMER-USD'!EC$4),"-")</f>
        <v>0</v>
      </c>
      <c r="ED66" s="114">
        <f>IFERROR(SUMIFS('01. KE30'!$X:$X,'01. KE30'!$C:$C,'06. BC BH THEO CUSTOMER-USD'!$D66,'01. KE30'!$F:$F,'06. BC BH THEO CUSTOMER-USD'!$H66,'01. KE30'!$A:$A,'06. BC BH THEO CUSTOMER-USD'!ED$4)-SUMIFS('01. KE30'!$AA:$AA,'01. KE30'!$C:$C,'06. BC BH THEO CUSTOMER-USD'!$D66,'01. KE30'!$F:$F,'06. BC BH THEO CUSTOMER-USD'!$H66,'01. KE30'!$A:$A,'06. BC BH THEO CUSTOMER-USD'!ED$4),"-")</f>
        <v>0</v>
      </c>
      <c r="EE66" s="114">
        <f>IFERROR(SUMIFS('01. KE30'!$X:$X,'01. KE30'!$C:$C,'06. BC BH THEO CUSTOMER-USD'!$D66,'01. KE30'!$F:$F,'06. BC BH THEO CUSTOMER-USD'!$H66,'01. KE30'!$A:$A,'06. BC BH THEO CUSTOMER-USD'!EE$4)-SUMIFS('01. KE30'!$AA:$AA,'01. KE30'!$C:$C,'06. BC BH THEO CUSTOMER-USD'!$D66,'01. KE30'!$F:$F,'06. BC BH THEO CUSTOMER-USD'!$H66,'01. KE30'!$A:$A,'06. BC BH THEO CUSTOMER-USD'!EE$4),"-")</f>
        <v>0</v>
      </c>
      <c r="EF66" s="114">
        <f>IFERROR(SUMIFS('01. KE30'!$X:$X,'01. KE30'!$C:$C,'06. BC BH THEO CUSTOMER-USD'!$D66,'01. KE30'!$F:$F,'06. BC BH THEO CUSTOMER-USD'!$H66,'01. KE30'!$A:$A,'06. BC BH THEO CUSTOMER-USD'!EF$4)-SUMIFS('01. KE30'!$AA:$AA,'01. KE30'!$C:$C,'06. BC BH THEO CUSTOMER-USD'!$D66,'01. KE30'!$F:$F,'06. BC BH THEO CUSTOMER-USD'!$H66,'01. KE30'!$A:$A,'06. BC BH THEO CUSTOMER-USD'!EF$4),"-")</f>
        <v>0</v>
      </c>
      <c r="EH66" s="571">
        <f t="shared" si="29"/>
        <v>0.2019841998122541</v>
      </c>
      <c r="EI66" s="572" t="str">
        <f t="shared" si="30"/>
        <v>-</v>
      </c>
      <c r="EJ66" s="572">
        <f t="shared" si="31"/>
        <v>0.2019841998122541</v>
      </c>
      <c r="EK66" s="572" t="str">
        <f t="shared" si="32"/>
        <v>-</v>
      </c>
      <c r="EL66" s="572" t="str">
        <f t="shared" si="33"/>
        <v>-</v>
      </c>
      <c r="EM66" s="572" t="str">
        <f t="shared" si="34"/>
        <v>-</v>
      </c>
      <c r="EN66" s="572" t="str">
        <f t="shared" si="35"/>
        <v>-</v>
      </c>
      <c r="EO66" s="572" t="str">
        <f t="shared" si="36"/>
        <v>-</v>
      </c>
      <c r="EP66" s="572" t="str">
        <f t="shared" si="37"/>
        <v>-</v>
      </c>
      <c r="EQ66" s="572" t="str">
        <f t="shared" si="38"/>
        <v>-</v>
      </c>
      <c r="ER66" s="572" t="str">
        <f t="shared" si="39"/>
        <v>-</v>
      </c>
      <c r="ES66" s="572" t="str">
        <f t="shared" si="40"/>
        <v>-</v>
      </c>
      <c r="ET66" s="572" t="str">
        <f t="shared" si="41"/>
        <v>-</v>
      </c>
    </row>
    <row r="67" spans="1:150" ht="15" hidden="1" customHeight="1" outlineLevel="1" x14ac:dyDescent="0.35">
      <c r="A67" s="27">
        <f t="shared" si="63"/>
        <v>56</v>
      </c>
      <c r="B67" s="27" t="s">
        <v>283</v>
      </c>
      <c r="C67" s="442" t="s">
        <v>489</v>
      </c>
      <c r="D67" s="9" t="s">
        <v>458</v>
      </c>
      <c r="E67" s="12" t="s">
        <v>459</v>
      </c>
      <c r="F67" s="12" t="s">
        <v>251</v>
      </c>
      <c r="G67" s="12" t="str">
        <f>_xlfn.XLOOKUP(F67,'Quy đổi'!$G$5:$G$32,'Quy đổi'!$H$5:$H$32,0)</f>
        <v>Châu á</v>
      </c>
      <c r="H67" s="77" t="s">
        <v>110</v>
      </c>
      <c r="I67" s="28" t="s">
        <v>109</v>
      </c>
      <c r="J67" s="13" t="s">
        <v>26</v>
      </c>
      <c r="K67" s="11" t="s">
        <v>90</v>
      </c>
      <c r="L67" s="92">
        <f t="shared" si="42"/>
        <v>1462.402649538338</v>
      </c>
      <c r="M67" s="106">
        <f>IFERROR(SUMIFS('01. KE30'!$K:$K,'01. KE30'!$C:$C,'06. BC BH THEO CUSTOMER-USD'!$D67,'01. KE30'!$F:$F,'06. BC BH THEO CUSTOMER-USD'!$H67,'01. KE30'!$A:$A,'06. BC BH THEO CUSTOMER-USD'!M$4)/'06. BC BH THEO CUSTOMER-USD'!CS67/'02. Tỷ giá'!B$5,"-")</f>
        <v>1462.402649538338</v>
      </c>
      <c r="N67" s="106" t="str">
        <f>IFERROR(SUMIFS('01. KE30'!$K:$K,'01. KE30'!$C:$C,'06. BC BH THEO CUSTOMER-USD'!$D67,'01. KE30'!$F:$F,'06. BC BH THEO CUSTOMER-USD'!$H67,'01. KE30'!$A:$A,'06. BC BH THEO CUSTOMER-USD'!N$4)/'06. BC BH THEO CUSTOMER-USD'!CT67/'02. Tỷ giá'!C$5,"-")</f>
        <v>-</v>
      </c>
      <c r="O67" s="106" t="str">
        <f>IFERROR(SUMIFS('01. KE30'!$K:$K,'01. KE30'!$C:$C,'06. BC BH THEO CUSTOMER-USD'!$D67,'01. KE30'!$F:$F,'06. BC BH THEO CUSTOMER-USD'!$H67,'01. KE30'!$A:$A,'06. BC BH THEO CUSTOMER-USD'!O$4)/'06. BC BH THEO CUSTOMER-USD'!CU67/'02. Tỷ giá'!D$5,"-")</f>
        <v>-</v>
      </c>
      <c r="P67" s="106" t="str">
        <f>IFERROR(SUMIFS('01. KE30'!$K:$K,'01. KE30'!$C:$C,'06. BC BH THEO CUSTOMER-USD'!$D67,'01. KE30'!$F:$F,'06. BC BH THEO CUSTOMER-USD'!$H67,'01. KE30'!$A:$A,'06. BC BH THEO CUSTOMER-USD'!P$4)/'06. BC BH THEO CUSTOMER-USD'!CV67/'02. Tỷ giá'!E$5,"-")</f>
        <v>-</v>
      </c>
      <c r="Q67" s="106" t="str">
        <f>IFERROR(SUMIFS('01. KE30'!$K:$K,'01. KE30'!$C:$C,'06. BC BH THEO CUSTOMER-USD'!$D67,'01. KE30'!$F:$F,'06. BC BH THEO CUSTOMER-USD'!$H67,'01. KE30'!$A:$A,'06. BC BH THEO CUSTOMER-USD'!Q$4)/'06. BC BH THEO CUSTOMER-USD'!CW67/'02. Tỷ giá'!F$5,"-")</f>
        <v>-</v>
      </c>
      <c r="R67" s="106" t="str">
        <f>IFERROR(SUMIFS('01. KE30'!$K:$K,'01. KE30'!$C:$C,'06. BC BH THEO CUSTOMER-USD'!$D67,'01. KE30'!$F:$F,'06. BC BH THEO CUSTOMER-USD'!$H67,'01. KE30'!$A:$A,'06. BC BH THEO CUSTOMER-USD'!R$4)/'06. BC BH THEO CUSTOMER-USD'!CX67/'02. Tỷ giá'!G$5,"-")</f>
        <v>-</v>
      </c>
      <c r="S67" s="106" t="str">
        <f>IFERROR(SUMIFS('01. KE30'!$K:$K,'01. KE30'!$C:$C,'06. BC BH THEO CUSTOMER-USD'!$D67,'01. KE30'!$F:$F,'06. BC BH THEO CUSTOMER-USD'!$H67,'01. KE30'!$A:$A,'06. BC BH THEO CUSTOMER-USD'!S$4)/'06. BC BH THEO CUSTOMER-USD'!CY67/'02. Tỷ giá'!H$5,"-")</f>
        <v>-</v>
      </c>
      <c r="T67" s="106" t="str">
        <f>IFERROR(SUMIFS('01. KE30'!$K:$K,'01. KE30'!$C:$C,'06. BC BH THEO CUSTOMER-USD'!$D67,'01. KE30'!$F:$F,'06. BC BH THEO CUSTOMER-USD'!$H67,'01. KE30'!$A:$A,'06. BC BH THEO CUSTOMER-USD'!T$4)/'06. BC BH THEO CUSTOMER-USD'!CZ67/'02. Tỷ giá'!I$5,"-")</f>
        <v>-</v>
      </c>
      <c r="U67" s="106" t="str">
        <f>IFERROR(SUMIFS('01. KE30'!$K:$K,'01. KE30'!$C:$C,'06. BC BH THEO CUSTOMER-USD'!$D67,'01. KE30'!$F:$F,'06. BC BH THEO CUSTOMER-USD'!$H67,'01. KE30'!$A:$A,'06. BC BH THEO CUSTOMER-USD'!U$4)/'06. BC BH THEO CUSTOMER-USD'!DA67/'02. Tỷ giá'!J$5,"-")</f>
        <v>-</v>
      </c>
      <c r="V67" s="106" t="str">
        <f>IFERROR(SUMIFS('01. KE30'!$K:$K,'01. KE30'!$C:$C,'06. BC BH THEO CUSTOMER-USD'!$D67,'01. KE30'!$F:$F,'06. BC BH THEO CUSTOMER-USD'!$H67,'01. KE30'!$A:$A,'06. BC BH THEO CUSTOMER-USD'!V$4)/'06. BC BH THEO CUSTOMER-USD'!DB67/'02. Tỷ giá'!K$5,"-")</f>
        <v>-</v>
      </c>
      <c r="W67" s="106" t="str">
        <f>IFERROR(SUMIFS('01. KE30'!$K:$K,'01. KE30'!$C:$C,'06. BC BH THEO CUSTOMER-USD'!$D67,'01. KE30'!$F:$F,'06. BC BH THEO CUSTOMER-USD'!$H67,'01. KE30'!$A:$A,'06. BC BH THEO CUSTOMER-USD'!W$4)/'06. BC BH THEO CUSTOMER-USD'!DC67/'02. Tỷ giá'!L$5,"-")</f>
        <v>-</v>
      </c>
      <c r="X67" s="106" t="str">
        <f>IFERROR(SUMIFS('01. KE30'!$K:$K,'01. KE30'!$C:$C,'06. BC BH THEO CUSTOMER-USD'!$D67,'01. KE30'!$F:$F,'06. BC BH THEO CUSTOMER-USD'!$H67,'01. KE30'!$A:$A,'06. BC BH THEO CUSTOMER-USD'!X$4)/'06. BC BH THEO CUSTOMER-USD'!DD67/'02. Tỷ giá'!M$5,"-")</f>
        <v>-</v>
      </c>
      <c r="Z67" s="92">
        <f t="shared" si="43"/>
        <v>1394.9975183387467</v>
      </c>
      <c r="AA67" s="147">
        <f>IFERROR(SUMIFS('01. KE30'!$O:$O,'01. KE30'!$C:$C,'06. BC BH THEO CUSTOMER-USD'!$D67,'01. KE30'!$F:$F,'06. BC BH THEO CUSTOMER-USD'!$H67,'01. KE30'!$A:$A,'06. BC BH THEO CUSTOMER-USD'!M$4)/'06. BC BH THEO CUSTOMER-USD'!CS67/'02. Tỷ giá'!B$5,"-")</f>
        <v>1394.9975183387467</v>
      </c>
      <c r="AB67" s="147" t="str">
        <f>IFERROR(SUMIFS('01. KE30'!$O:$O,'01. KE30'!$C:$C,'06. BC BH THEO CUSTOMER-USD'!$D67,'01. KE30'!$F:$F,'06. BC BH THEO CUSTOMER-USD'!$H67,'01. KE30'!$A:$A,'06. BC BH THEO CUSTOMER-USD'!N$4)/'06. BC BH THEO CUSTOMER-USD'!CT67/'02. Tỷ giá'!C$5,"-")</f>
        <v>-</v>
      </c>
      <c r="AC67" s="147" t="str">
        <f>IFERROR(SUMIFS('01. KE30'!$O:$O,'01. KE30'!$C:$C,'06. BC BH THEO CUSTOMER-USD'!$D67,'01. KE30'!$F:$F,'06. BC BH THEO CUSTOMER-USD'!$H67,'01. KE30'!$A:$A,'06. BC BH THEO CUSTOMER-USD'!O$4)/'06. BC BH THEO CUSTOMER-USD'!CU67/'02. Tỷ giá'!D$5,"-")</f>
        <v>-</v>
      </c>
      <c r="AD67" s="147" t="str">
        <f>IFERROR(SUMIFS('01. KE30'!$O:$O,'01. KE30'!$C:$C,'06. BC BH THEO CUSTOMER-USD'!$D67,'01. KE30'!$F:$F,'06. BC BH THEO CUSTOMER-USD'!$H67,'01. KE30'!$A:$A,'06. BC BH THEO CUSTOMER-USD'!P$4)/'06. BC BH THEO CUSTOMER-USD'!CV67/'02. Tỷ giá'!E$5,"-")</f>
        <v>-</v>
      </c>
      <c r="AE67" s="147" t="str">
        <f>IFERROR(SUMIFS('01. KE30'!$O:$O,'01. KE30'!$C:$C,'06. BC BH THEO CUSTOMER-USD'!$D67,'01. KE30'!$F:$F,'06. BC BH THEO CUSTOMER-USD'!$H67,'01. KE30'!$A:$A,'06. BC BH THEO CUSTOMER-USD'!Q$4)/'06. BC BH THEO CUSTOMER-USD'!CW67/'02. Tỷ giá'!F$5,"-")</f>
        <v>-</v>
      </c>
      <c r="AF67" s="147" t="str">
        <f>IFERROR(SUMIFS('01. KE30'!$O:$O,'01. KE30'!$C:$C,'06. BC BH THEO CUSTOMER-USD'!$D67,'01. KE30'!$F:$F,'06. BC BH THEO CUSTOMER-USD'!$H67,'01. KE30'!$A:$A,'06. BC BH THEO CUSTOMER-USD'!R$4)/'06. BC BH THEO CUSTOMER-USD'!CX67/'02. Tỷ giá'!G$5,"-")</f>
        <v>-</v>
      </c>
      <c r="AG67" s="147" t="str">
        <f>IFERROR(SUMIFS('01. KE30'!$O:$O,'01. KE30'!$C:$C,'06. BC BH THEO CUSTOMER-USD'!$D67,'01. KE30'!$F:$F,'06. BC BH THEO CUSTOMER-USD'!$H67,'01. KE30'!$A:$A,'06. BC BH THEO CUSTOMER-USD'!S$4)/'06. BC BH THEO CUSTOMER-USD'!CY67/'02. Tỷ giá'!H$5,"-")</f>
        <v>-</v>
      </c>
      <c r="AH67" s="147" t="str">
        <f>IFERROR(SUMIFS('01. KE30'!$O:$O,'01. KE30'!$C:$C,'06. BC BH THEO CUSTOMER-USD'!$D67,'01. KE30'!$F:$F,'06. BC BH THEO CUSTOMER-USD'!$H67,'01. KE30'!$A:$A,'06. BC BH THEO CUSTOMER-USD'!T$4)/'06. BC BH THEO CUSTOMER-USD'!CZ67/'02. Tỷ giá'!I$5,"-")</f>
        <v>-</v>
      </c>
      <c r="AI67" s="147" t="str">
        <f>IFERROR(SUMIFS('01. KE30'!$O:$O,'01. KE30'!$C:$C,'06. BC BH THEO CUSTOMER-USD'!$D67,'01. KE30'!$F:$F,'06. BC BH THEO CUSTOMER-USD'!$H67,'01. KE30'!$A:$A,'06. BC BH THEO CUSTOMER-USD'!U$4)/'06. BC BH THEO CUSTOMER-USD'!DA67/'02. Tỷ giá'!J$5,"-")</f>
        <v>-</v>
      </c>
      <c r="AJ67" s="147" t="str">
        <f>IFERROR(SUMIFS('01. KE30'!$O:$O,'01. KE30'!$C:$C,'06. BC BH THEO CUSTOMER-USD'!$D67,'01. KE30'!$F:$F,'06. BC BH THEO CUSTOMER-USD'!$H67,'01. KE30'!$A:$A,'06. BC BH THEO CUSTOMER-USD'!V$4)/'06. BC BH THEO CUSTOMER-USD'!DB67/'02. Tỷ giá'!K$5,"-")</f>
        <v>-</v>
      </c>
      <c r="AK67" s="147" t="str">
        <f>IFERROR(SUMIFS('01. KE30'!$O:$O,'01. KE30'!$C:$C,'06. BC BH THEO CUSTOMER-USD'!$D67,'01. KE30'!$F:$F,'06. BC BH THEO CUSTOMER-USD'!$H67,'01. KE30'!$A:$A,'06. BC BH THEO CUSTOMER-USD'!W$4)/'06. BC BH THEO CUSTOMER-USD'!DC67/'02. Tỷ giá'!L$5,"-")</f>
        <v>-</v>
      </c>
      <c r="AL67" s="147" t="str">
        <f>IFERROR(SUMIFS('01. KE30'!$O:$O,'01. KE30'!$C:$C,'06. BC BH THEO CUSTOMER-USD'!$D67,'01. KE30'!$F:$F,'06. BC BH THEO CUSTOMER-USD'!$H67,'01. KE30'!$A:$A,'06. BC BH THEO CUSTOMER-USD'!X$4)/'06. BC BH THEO CUSTOMER-USD'!DD67/'02. Tỷ giá'!M$5,"-")</f>
        <v>-</v>
      </c>
      <c r="AN67" s="92">
        <f t="shared" si="44"/>
        <v>1236.6666666666667</v>
      </c>
      <c r="AO67" s="25">
        <v>1230</v>
      </c>
      <c r="AP67" s="25">
        <v>1230</v>
      </c>
      <c r="AQ67" s="25">
        <v>1230</v>
      </c>
      <c r="AR67" s="25">
        <f t="shared" si="396"/>
        <v>1250</v>
      </c>
      <c r="AS67" s="25">
        <v>1250</v>
      </c>
      <c r="AT67" s="25">
        <v>1250</v>
      </c>
      <c r="AU67" s="25">
        <v>1250</v>
      </c>
      <c r="AV67" s="4">
        <f t="shared" si="205"/>
        <v>1220</v>
      </c>
      <c r="AW67" s="25">
        <v>1220</v>
      </c>
      <c r="AX67" s="25"/>
      <c r="AY67" s="4"/>
      <c r="AZ67" s="4"/>
      <c r="BB67" s="95">
        <f t="shared" si="45"/>
        <v>158.33085167207992</v>
      </c>
      <c r="BC67" s="95">
        <f t="shared" si="206"/>
        <v>164.99751833874666</v>
      </c>
      <c r="BD67" s="95" t="str">
        <f t="shared" si="389"/>
        <v>-</v>
      </c>
      <c r="BE67" s="95" t="str">
        <f t="shared" si="389"/>
        <v>-</v>
      </c>
      <c r="BF67" s="95" t="str">
        <f t="shared" si="389"/>
        <v>-</v>
      </c>
      <c r="BG67" s="95" t="str">
        <f t="shared" si="389"/>
        <v>-</v>
      </c>
      <c r="BH67" s="95" t="str">
        <f t="shared" si="389"/>
        <v>-</v>
      </c>
      <c r="BI67" s="95" t="str">
        <f t="shared" si="389"/>
        <v>-</v>
      </c>
      <c r="BJ67" s="95" t="str">
        <f t="shared" si="389"/>
        <v>-</v>
      </c>
      <c r="BK67" s="95" t="str">
        <f t="shared" si="389"/>
        <v>-</v>
      </c>
      <c r="BL67" s="95" t="str">
        <f t="shared" si="389"/>
        <v>-</v>
      </c>
      <c r="BM67" s="95" t="str">
        <f t="shared" si="389"/>
        <v>-</v>
      </c>
      <c r="BN67" s="95" t="str">
        <f t="shared" si="389"/>
        <v>-</v>
      </c>
      <c r="BP67" s="143">
        <f t="shared" si="47"/>
        <v>0.1280303382793099</v>
      </c>
      <c r="BQ67" s="143">
        <f t="shared" si="202"/>
        <v>0.13414432385263955</v>
      </c>
      <c r="BR67" s="143" t="str">
        <f t="shared" si="9"/>
        <v>-</v>
      </c>
      <c r="BS67" s="143" t="str">
        <f t="shared" si="10"/>
        <v>-</v>
      </c>
      <c r="BT67" s="143" t="str">
        <f t="shared" si="11"/>
        <v>-</v>
      </c>
      <c r="BU67" s="143" t="str">
        <f t="shared" si="12"/>
        <v>-</v>
      </c>
      <c r="BV67" s="143" t="str">
        <f t="shared" si="13"/>
        <v>-</v>
      </c>
      <c r="BW67" s="143" t="str">
        <f t="shared" si="14"/>
        <v>-</v>
      </c>
      <c r="BX67" s="143" t="str">
        <f t="shared" si="15"/>
        <v>-</v>
      </c>
      <c r="BY67" s="143" t="str">
        <f t="shared" si="16"/>
        <v>-</v>
      </c>
      <c r="BZ67" s="143" t="str">
        <f t="shared" si="17"/>
        <v>-</v>
      </c>
      <c r="CA67" s="143" t="str">
        <f t="shared" si="18"/>
        <v>-</v>
      </c>
      <c r="CB67" s="143" t="str">
        <f t="shared" si="19"/>
        <v>-</v>
      </c>
      <c r="CD67" s="112">
        <f t="shared" si="25"/>
        <v>1026.9498193496586</v>
      </c>
      <c r="CE67" s="95">
        <f>IFERROR(SUMIFS('01. KE30'!$R:$R,'01. KE30'!$C:$C,'06. BC BH THEO CUSTOMER-USD'!$D67,'01. KE30'!$F:$F,'06. BC BH THEO CUSTOMER-USD'!$H67,'01. KE30'!$A:$A,'06. BC BH THEO CUSTOMER-USD'!CE$4)/CS67/'02. Tỷ giá'!B$5," -")</f>
        <v>1026.9498193496586</v>
      </c>
      <c r="CF67" s="95" t="str">
        <f>IFERROR(SUMIFS('01. KE30'!$R:$R,'01. KE30'!$C:$C,'06. BC BH THEO CUSTOMER-USD'!$D67,'01. KE30'!$F:$F,'06. BC BH THEO CUSTOMER-USD'!$H67,'01. KE30'!$A:$A,'06. BC BH THEO CUSTOMER-USD'!CF$4)/CT67/'02. Tỷ giá'!C$5," -")</f>
        <v xml:space="preserve"> -</v>
      </c>
      <c r="CG67" s="95" t="str">
        <f>IFERROR(SUMIFS('01. KE30'!$R:$R,'01. KE30'!$C:$C,'06. BC BH THEO CUSTOMER-USD'!$D67,'01. KE30'!$F:$F,'06. BC BH THEO CUSTOMER-USD'!$H67,'01. KE30'!$A:$A,'06. BC BH THEO CUSTOMER-USD'!CG$4)/CU67/'02. Tỷ giá'!D$5," -")</f>
        <v xml:space="preserve"> -</v>
      </c>
      <c r="CH67" s="95" t="str">
        <f>IFERROR(SUMIFS('01. KE30'!$R:$R,'01. KE30'!$C:$C,'06. BC BH THEO CUSTOMER-USD'!$D67,'01. KE30'!$F:$F,'06. BC BH THEO CUSTOMER-USD'!$H67,'01. KE30'!$A:$A,'06. BC BH THEO CUSTOMER-USD'!CH$4)/CV67/'02. Tỷ giá'!E$5," -")</f>
        <v xml:space="preserve"> -</v>
      </c>
      <c r="CI67" s="95" t="str">
        <f>IFERROR(SUMIFS('01. KE30'!$R:$R,'01. KE30'!$C:$C,'06. BC BH THEO CUSTOMER-USD'!$D67,'01. KE30'!$F:$F,'06. BC BH THEO CUSTOMER-USD'!$H67,'01. KE30'!$A:$A,'06. BC BH THEO CUSTOMER-USD'!CI$4)/CW67/'02. Tỷ giá'!F$5," -")</f>
        <v xml:space="preserve"> -</v>
      </c>
      <c r="CJ67" s="95" t="str">
        <f>IFERROR(SUMIFS('01. KE30'!$R:$R,'01. KE30'!$C:$C,'06. BC BH THEO CUSTOMER-USD'!$D67,'01. KE30'!$F:$F,'06. BC BH THEO CUSTOMER-USD'!$H67,'01. KE30'!$A:$A,'06. BC BH THEO CUSTOMER-USD'!CJ$4)/CX67/'02. Tỷ giá'!G$5," -")</f>
        <v xml:space="preserve"> -</v>
      </c>
      <c r="CK67" s="95" t="str">
        <f>IFERROR(SUMIFS('01. KE30'!$R:$R,'01. KE30'!$C:$C,'06. BC BH THEO CUSTOMER-USD'!$D67,'01. KE30'!$F:$F,'06. BC BH THEO CUSTOMER-USD'!$H67,'01. KE30'!$A:$A,'06. BC BH THEO CUSTOMER-USD'!CK$4)/CY67/'02. Tỷ giá'!H$5," -")</f>
        <v xml:space="preserve"> -</v>
      </c>
      <c r="CL67" s="95" t="str">
        <f>IFERROR(SUMIFS('01. KE30'!$R:$R,'01. KE30'!$C:$C,'06. BC BH THEO CUSTOMER-USD'!$D67,'01. KE30'!$F:$F,'06. BC BH THEO CUSTOMER-USD'!$H67,'01. KE30'!$A:$A,'06. BC BH THEO CUSTOMER-USD'!CL$4)/CZ67/'02. Tỷ giá'!I$5," -")</f>
        <v xml:space="preserve"> -</v>
      </c>
      <c r="CM67" s="95" t="str">
        <f>IFERROR(SUMIFS('01. KE30'!$R:$R,'01. KE30'!$C:$C,'06. BC BH THEO CUSTOMER-USD'!$D67,'01. KE30'!$F:$F,'06. BC BH THEO CUSTOMER-USD'!$H67,'01. KE30'!$A:$A,'06. BC BH THEO CUSTOMER-USD'!CM$4)/DA67/'02. Tỷ giá'!J$5," -")</f>
        <v xml:space="preserve"> -</v>
      </c>
      <c r="CN67" s="95" t="str">
        <f>IFERROR(SUMIFS('01. KE30'!$R:$R,'01. KE30'!$C:$C,'06. BC BH THEO CUSTOMER-USD'!$D67,'01. KE30'!$F:$F,'06. BC BH THEO CUSTOMER-USD'!$H67,'01. KE30'!$A:$A,'06. BC BH THEO CUSTOMER-USD'!CN$4)/DB67/'02. Tỷ giá'!K$5," -")</f>
        <v xml:space="preserve"> -</v>
      </c>
      <c r="CO67" s="95" t="str">
        <f>IFERROR(SUMIFS('01. KE30'!$R:$R,'01. KE30'!$C:$C,'06. BC BH THEO CUSTOMER-USD'!$D67,'01. KE30'!$F:$F,'06. BC BH THEO CUSTOMER-USD'!$H67,'01. KE30'!$A:$A,'06. BC BH THEO CUSTOMER-USD'!CO$4)/DC67/'02. Tỷ giá'!L$5," -")</f>
        <v xml:space="preserve"> -</v>
      </c>
      <c r="CP67" s="95" t="str">
        <f>IFERROR(SUMIFS('01. KE30'!$R:$R,'01. KE30'!$C:$C,'06. BC BH THEO CUSTOMER-USD'!$D67,'01. KE30'!$F:$F,'06. BC BH THEO CUSTOMER-USD'!$H67,'01. KE30'!$A:$A,'06. BC BH THEO CUSTOMER-USD'!CP$4)/DD67/'02. Tỷ giá'!M$5," -")</f>
        <v xml:space="preserve"> -</v>
      </c>
      <c r="CR67" s="112">
        <f t="shared" si="266"/>
        <v>1.1000000000000001</v>
      </c>
      <c r="CS67" s="114">
        <f>SUMIFS('01. KE30'!$I:$I,'01. KE30'!$C:$C,'06. BC BH THEO CUSTOMER-USD'!$D67,'01. KE30'!$F:$F,'06. BC BH THEO CUSTOMER-USD'!$H67,'01. KE30'!$A:$A,'06. BC BH THEO CUSTOMER-USD'!CS$4)/1000</f>
        <v>1.1000000000000001</v>
      </c>
      <c r="CT67" s="114">
        <f>SUMIFS('01. KE30'!$I:$I,'01. KE30'!$C:$C,'06. BC BH THEO CUSTOMER-USD'!$D67,'01. KE30'!$F:$F,'06. BC BH THEO CUSTOMER-USD'!$H67,'01. KE30'!$A:$A,'06. BC BH THEO CUSTOMER-USD'!CT$4)/1000</f>
        <v>0</v>
      </c>
      <c r="CU67" s="114">
        <f>SUMIFS('01. KE30'!$I:$I,'01. KE30'!$C:$C,'06. BC BH THEO CUSTOMER-USD'!$D67,'01. KE30'!$F:$F,'06. BC BH THEO CUSTOMER-USD'!$H67,'01. KE30'!$A:$A,'06. BC BH THEO CUSTOMER-USD'!CU$4)/1000</f>
        <v>0</v>
      </c>
      <c r="CV67" s="114">
        <f>SUMIFS('01. KE30'!$I:$I,'01. KE30'!$C:$C,'06. BC BH THEO CUSTOMER-USD'!$D67,'01. KE30'!$F:$F,'06. BC BH THEO CUSTOMER-USD'!$H67,'01. KE30'!$A:$A,'06. BC BH THEO CUSTOMER-USD'!CV$4)/1000</f>
        <v>0</v>
      </c>
      <c r="CW67" s="114">
        <f>SUMIFS('01. KE30'!$I:$I,'01. KE30'!$C:$C,'06. BC BH THEO CUSTOMER-USD'!$D67,'01. KE30'!$F:$F,'06. BC BH THEO CUSTOMER-USD'!$H67,'01. KE30'!$A:$A,'06. BC BH THEO CUSTOMER-USD'!CW$4)/1000</f>
        <v>0</v>
      </c>
      <c r="CX67" s="114">
        <f>SUMIFS('01. KE30'!$I:$I,'01. KE30'!$C:$C,'06. BC BH THEO CUSTOMER-USD'!$D67,'01. KE30'!$F:$F,'06. BC BH THEO CUSTOMER-USD'!$H67,'01. KE30'!$A:$A,'06. BC BH THEO CUSTOMER-USD'!CX$4)/1000</f>
        <v>0</v>
      </c>
      <c r="CY67" s="114">
        <f>SUMIFS('01. KE30'!$I:$I,'01. KE30'!$C:$C,'06. BC BH THEO CUSTOMER-USD'!$D67,'01. KE30'!$F:$F,'06. BC BH THEO CUSTOMER-USD'!$H67,'01. KE30'!$A:$A,'06. BC BH THEO CUSTOMER-USD'!CY$4)/1000</f>
        <v>0</v>
      </c>
      <c r="CZ67" s="114">
        <f>SUMIFS('01. KE30'!$I:$I,'01. KE30'!$C:$C,'06. BC BH THEO CUSTOMER-USD'!$D67,'01. KE30'!$F:$F,'06. BC BH THEO CUSTOMER-USD'!$H67,'01. KE30'!$A:$A,'06. BC BH THEO CUSTOMER-USD'!CZ$4)/1000</f>
        <v>0</v>
      </c>
      <c r="DA67" s="114">
        <f>SUMIFS('01. KE30'!$I:$I,'01. KE30'!$C:$C,'06. BC BH THEO CUSTOMER-USD'!$D67,'01. KE30'!$F:$F,'06. BC BH THEO CUSTOMER-USD'!$H67,'01. KE30'!$A:$A,'06. BC BH THEO CUSTOMER-USD'!DA$4)/1000</f>
        <v>0</v>
      </c>
      <c r="DB67" s="114">
        <f>SUMIFS('01. KE30'!$I:$I,'01. KE30'!$C:$C,'06. BC BH THEO CUSTOMER-USD'!$D67,'01. KE30'!$F:$F,'06. BC BH THEO CUSTOMER-USD'!$H67,'01. KE30'!$A:$A,'06. BC BH THEO CUSTOMER-USD'!DB$4)/1000</f>
        <v>0</v>
      </c>
      <c r="DC67" s="114">
        <f>SUMIFS('01. KE30'!$I:$I,'01. KE30'!$C:$C,'06. BC BH THEO CUSTOMER-USD'!$D67,'01. KE30'!$F:$F,'06. BC BH THEO CUSTOMER-USD'!$H67,'01. KE30'!$A:$A,'06. BC BH THEO CUSTOMER-USD'!DC$4)/1000</f>
        <v>0</v>
      </c>
      <c r="DD67" s="114">
        <f>SUMIFS('01. KE30'!$I:$I,'01. KE30'!$C:$C,'06. BC BH THEO CUSTOMER-USD'!$D67,'01. KE30'!$F:$F,'06. BC BH THEO CUSTOMER-USD'!$H67,'01. KE30'!$A:$A,'06. BC BH THEO CUSTOMER-USD'!DD$4)/1000</f>
        <v>0</v>
      </c>
      <c r="DF67" s="112">
        <f t="shared" si="267"/>
        <v>1608.6429144921719</v>
      </c>
      <c r="DG67" s="54">
        <f t="shared" si="48"/>
        <v>1608.6429144921719</v>
      </c>
      <c r="DH67" s="54" t="str">
        <f t="shared" si="49"/>
        <v>-</v>
      </c>
      <c r="DI67" s="54" t="str">
        <f t="shared" si="50"/>
        <v>-</v>
      </c>
      <c r="DJ67" s="54" t="str">
        <f t="shared" si="51"/>
        <v>-</v>
      </c>
      <c r="DK67" s="54" t="str">
        <f t="shared" si="52"/>
        <v>-</v>
      </c>
      <c r="DL67" s="54" t="str">
        <f t="shared" si="53"/>
        <v>-</v>
      </c>
      <c r="DM67" s="54" t="str">
        <f t="shared" si="54"/>
        <v>-</v>
      </c>
      <c r="DN67" s="54" t="str">
        <f t="shared" si="55"/>
        <v>-</v>
      </c>
      <c r="DO67" s="54" t="str">
        <f t="shared" si="56"/>
        <v>-</v>
      </c>
      <c r="DP67" s="54" t="str">
        <f t="shared" si="57"/>
        <v>-</v>
      </c>
      <c r="DQ67" s="54" t="str">
        <f t="shared" si="58"/>
        <v>-</v>
      </c>
      <c r="DR67" s="54" t="str">
        <f t="shared" si="59"/>
        <v>-</v>
      </c>
      <c r="DT67" s="112">
        <f t="shared" si="60"/>
        <v>404.85246888799679</v>
      </c>
      <c r="DU67" s="114">
        <f>IFERROR(SUMIFS('01. KE30'!$X:$X,'01. KE30'!$C:$C,'06. BC BH THEO CUSTOMER-USD'!$D67,'01. KE30'!$F:$F,'06. BC BH THEO CUSTOMER-USD'!$H67,'01. KE30'!$A:$A,'06. BC BH THEO CUSTOMER-USD'!DU$4)-SUMIFS('01. KE30'!$AA:$AA,'01. KE30'!$C:$C,'06. BC BH THEO CUSTOMER-USD'!$D67,'01. KE30'!$F:$F,'06. BC BH THEO CUSTOMER-USD'!$H67,'01. KE30'!$A:$A,'06. BC BH THEO CUSTOMER-USD'!DU$4),"-")</f>
        <v>404.85246888799679</v>
      </c>
      <c r="DV67" s="114">
        <f>IFERROR(SUMIFS('01. KE30'!$X:$X,'01. KE30'!$C:$C,'06. BC BH THEO CUSTOMER-USD'!$D67,'01. KE30'!$F:$F,'06. BC BH THEO CUSTOMER-USD'!$H67,'01. KE30'!$A:$A,'06. BC BH THEO CUSTOMER-USD'!DV$4)-SUMIFS('01. KE30'!$AA:$AA,'01. KE30'!$C:$C,'06. BC BH THEO CUSTOMER-USD'!$D67,'01. KE30'!$F:$F,'06. BC BH THEO CUSTOMER-USD'!$H67,'01. KE30'!$A:$A,'06. BC BH THEO CUSTOMER-USD'!DV$4),"-")</f>
        <v>0</v>
      </c>
      <c r="DW67" s="114">
        <f>IFERROR(SUMIFS('01. KE30'!$X:$X,'01. KE30'!$C:$C,'06. BC BH THEO CUSTOMER-USD'!$D67,'01. KE30'!$F:$F,'06. BC BH THEO CUSTOMER-USD'!$H67,'01. KE30'!$A:$A,'06. BC BH THEO CUSTOMER-USD'!DW$4)-SUMIFS('01. KE30'!$AA:$AA,'01. KE30'!$C:$C,'06. BC BH THEO CUSTOMER-USD'!$D67,'01. KE30'!$F:$F,'06. BC BH THEO CUSTOMER-USD'!$H67,'01. KE30'!$A:$A,'06. BC BH THEO CUSTOMER-USD'!DW$4),"-")</f>
        <v>0</v>
      </c>
      <c r="DX67" s="114">
        <f>IFERROR(SUMIFS('01. KE30'!$X:$X,'01. KE30'!$C:$C,'06. BC BH THEO CUSTOMER-USD'!$D67,'01. KE30'!$F:$F,'06. BC BH THEO CUSTOMER-USD'!$H67,'01. KE30'!$A:$A,'06. BC BH THEO CUSTOMER-USD'!DX$4)-SUMIFS('01. KE30'!$AA:$AA,'01. KE30'!$C:$C,'06. BC BH THEO CUSTOMER-USD'!$D67,'01. KE30'!$F:$F,'06. BC BH THEO CUSTOMER-USD'!$H67,'01. KE30'!$A:$A,'06. BC BH THEO CUSTOMER-USD'!DX$4),"-")</f>
        <v>0</v>
      </c>
      <c r="DY67" s="114">
        <f>IFERROR(SUMIFS('01. KE30'!$X:$X,'01. KE30'!$C:$C,'06. BC BH THEO CUSTOMER-USD'!$D67,'01. KE30'!$F:$F,'06. BC BH THEO CUSTOMER-USD'!$H67,'01. KE30'!$A:$A,'06. BC BH THEO CUSTOMER-USD'!DY$4)-SUMIFS('01. KE30'!$AA:$AA,'01. KE30'!$C:$C,'06. BC BH THEO CUSTOMER-USD'!$D67,'01. KE30'!$F:$F,'06. BC BH THEO CUSTOMER-USD'!$H67,'01. KE30'!$A:$A,'06. BC BH THEO CUSTOMER-USD'!DY$4),"-")</f>
        <v>0</v>
      </c>
      <c r="DZ67" s="114">
        <f>IFERROR(SUMIFS('01. KE30'!$X:$X,'01. KE30'!$C:$C,'06. BC BH THEO CUSTOMER-USD'!$D67,'01. KE30'!$F:$F,'06. BC BH THEO CUSTOMER-USD'!$H67,'01. KE30'!$A:$A,'06. BC BH THEO CUSTOMER-USD'!DZ$4)-SUMIFS('01. KE30'!$AA:$AA,'01. KE30'!$C:$C,'06. BC BH THEO CUSTOMER-USD'!$D67,'01. KE30'!$F:$F,'06. BC BH THEO CUSTOMER-USD'!$H67,'01. KE30'!$A:$A,'06. BC BH THEO CUSTOMER-USD'!DZ$4),"-")</f>
        <v>0</v>
      </c>
      <c r="EA67" s="114">
        <f>IFERROR(SUMIFS('01. KE30'!$X:$X,'01. KE30'!$C:$C,'06. BC BH THEO CUSTOMER-USD'!$D67,'01. KE30'!$F:$F,'06. BC BH THEO CUSTOMER-USD'!$H67,'01. KE30'!$A:$A,'06. BC BH THEO CUSTOMER-USD'!EA$4)-SUMIFS('01. KE30'!$AA:$AA,'01. KE30'!$C:$C,'06. BC BH THEO CUSTOMER-USD'!$D67,'01. KE30'!$F:$F,'06. BC BH THEO CUSTOMER-USD'!$H67,'01. KE30'!$A:$A,'06. BC BH THEO CUSTOMER-USD'!EA$4),"-")</f>
        <v>0</v>
      </c>
      <c r="EB67" s="114">
        <f>IFERROR(SUMIFS('01. KE30'!$X:$X,'01. KE30'!$C:$C,'06. BC BH THEO CUSTOMER-USD'!$D67,'01. KE30'!$F:$F,'06. BC BH THEO CUSTOMER-USD'!$H67,'01. KE30'!$A:$A,'06. BC BH THEO CUSTOMER-USD'!EB$4)-SUMIFS('01. KE30'!$AA:$AA,'01. KE30'!$C:$C,'06. BC BH THEO CUSTOMER-USD'!$D67,'01. KE30'!$F:$F,'06. BC BH THEO CUSTOMER-USD'!$H67,'01. KE30'!$A:$A,'06. BC BH THEO CUSTOMER-USD'!EB$4),"-")</f>
        <v>0</v>
      </c>
      <c r="EC67" s="114">
        <f>IFERROR(SUMIFS('01. KE30'!$X:$X,'01. KE30'!$C:$C,'06. BC BH THEO CUSTOMER-USD'!$D67,'01. KE30'!$F:$F,'06. BC BH THEO CUSTOMER-USD'!$H67,'01. KE30'!$A:$A,'06. BC BH THEO CUSTOMER-USD'!EC$4)-SUMIFS('01. KE30'!$AA:$AA,'01. KE30'!$C:$C,'06. BC BH THEO CUSTOMER-USD'!$D67,'01. KE30'!$F:$F,'06. BC BH THEO CUSTOMER-USD'!$H67,'01. KE30'!$A:$A,'06. BC BH THEO CUSTOMER-USD'!EC$4),"-")</f>
        <v>0</v>
      </c>
      <c r="ED67" s="114">
        <f>IFERROR(SUMIFS('01. KE30'!$X:$X,'01. KE30'!$C:$C,'06. BC BH THEO CUSTOMER-USD'!$D67,'01. KE30'!$F:$F,'06. BC BH THEO CUSTOMER-USD'!$H67,'01. KE30'!$A:$A,'06. BC BH THEO CUSTOMER-USD'!ED$4)-SUMIFS('01. KE30'!$AA:$AA,'01. KE30'!$C:$C,'06. BC BH THEO CUSTOMER-USD'!$D67,'01. KE30'!$F:$F,'06. BC BH THEO CUSTOMER-USD'!$H67,'01. KE30'!$A:$A,'06. BC BH THEO CUSTOMER-USD'!ED$4),"-")</f>
        <v>0</v>
      </c>
      <c r="EE67" s="114">
        <f>IFERROR(SUMIFS('01. KE30'!$X:$X,'01. KE30'!$C:$C,'06. BC BH THEO CUSTOMER-USD'!$D67,'01. KE30'!$F:$F,'06. BC BH THEO CUSTOMER-USD'!$H67,'01. KE30'!$A:$A,'06. BC BH THEO CUSTOMER-USD'!EE$4)-SUMIFS('01. KE30'!$AA:$AA,'01. KE30'!$C:$C,'06. BC BH THEO CUSTOMER-USD'!$D67,'01. KE30'!$F:$F,'06. BC BH THEO CUSTOMER-USD'!$H67,'01. KE30'!$A:$A,'06. BC BH THEO CUSTOMER-USD'!EE$4),"-")</f>
        <v>0</v>
      </c>
      <c r="EF67" s="114">
        <f>IFERROR(SUMIFS('01. KE30'!$X:$X,'01. KE30'!$C:$C,'06. BC BH THEO CUSTOMER-USD'!$D67,'01. KE30'!$F:$F,'06. BC BH THEO CUSTOMER-USD'!$H67,'01. KE30'!$A:$A,'06. BC BH THEO CUSTOMER-USD'!EF$4)-SUMIFS('01. KE30'!$AA:$AA,'01. KE30'!$C:$C,'06. BC BH THEO CUSTOMER-USD'!$D67,'01. KE30'!$F:$F,'06. BC BH THEO CUSTOMER-USD'!$H67,'01. KE30'!$A:$A,'06. BC BH THEO CUSTOMER-USD'!EF$4),"-")</f>
        <v>0</v>
      </c>
      <c r="EH67" s="571">
        <f t="shared" si="29"/>
        <v>0.2516732988040441</v>
      </c>
      <c r="EI67" s="572">
        <f t="shared" si="30"/>
        <v>0.2516732988040441</v>
      </c>
      <c r="EJ67" s="572" t="str">
        <f t="shared" si="31"/>
        <v>-</v>
      </c>
      <c r="EK67" s="572" t="str">
        <f t="shared" si="32"/>
        <v>-</v>
      </c>
      <c r="EL67" s="572" t="str">
        <f t="shared" si="33"/>
        <v>-</v>
      </c>
      <c r="EM67" s="572" t="str">
        <f t="shared" si="34"/>
        <v>-</v>
      </c>
      <c r="EN67" s="572" t="str">
        <f t="shared" si="35"/>
        <v>-</v>
      </c>
      <c r="EO67" s="572" t="str">
        <f t="shared" si="36"/>
        <v>-</v>
      </c>
      <c r="EP67" s="572" t="str">
        <f t="shared" si="37"/>
        <v>-</v>
      </c>
      <c r="EQ67" s="572" t="str">
        <f t="shared" si="38"/>
        <v>-</v>
      </c>
      <c r="ER67" s="572" t="str">
        <f t="shared" si="39"/>
        <v>-</v>
      </c>
      <c r="ES67" s="572" t="str">
        <f t="shared" si="40"/>
        <v>-</v>
      </c>
      <c r="ET67" s="572" t="str">
        <f t="shared" si="41"/>
        <v>-</v>
      </c>
    </row>
    <row r="68" spans="1:150" ht="15.5" hidden="1" outlineLevel="1" x14ac:dyDescent="0.35">
      <c r="A68" s="27">
        <f t="shared" si="63"/>
        <v>57</v>
      </c>
      <c r="B68" s="27" t="s">
        <v>283</v>
      </c>
      <c r="C68" s="442" t="s">
        <v>489</v>
      </c>
      <c r="D68" s="9" t="s">
        <v>108</v>
      </c>
      <c r="E68" s="12" t="s">
        <v>107</v>
      </c>
      <c r="F68" s="12" t="s">
        <v>245</v>
      </c>
      <c r="G68" s="12" t="str">
        <f>_xlfn.XLOOKUP(F68,'Quy đổi'!$G$5:$G$32,'Quy đổi'!$H$5:$H$32,0)</f>
        <v>Nội địa</v>
      </c>
      <c r="H68" s="77" t="s">
        <v>110</v>
      </c>
      <c r="I68" s="28" t="s">
        <v>109</v>
      </c>
      <c r="J68" s="13" t="s">
        <v>22</v>
      </c>
      <c r="K68" s="11"/>
      <c r="L68" s="92" t="str">
        <f t="shared" si="42"/>
        <v>-</v>
      </c>
      <c r="M68" s="106" t="str">
        <f>IFERROR(SUMIFS('01. KE30'!$K:$K,'01. KE30'!$C:$C,'06. BC BH THEO CUSTOMER-USD'!$D68,'01. KE30'!$F:$F,'06. BC BH THEO CUSTOMER-USD'!$H68,'01. KE30'!$A:$A,'06. BC BH THEO CUSTOMER-USD'!M$4)/'06. BC BH THEO CUSTOMER-USD'!CS68/'02. Tỷ giá'!B$5,"-")</f>
        <v>-</v>
      </c>
      <c r="N68" s="106" t="str">
        <f>IFERROR(SUMIFS('01. KE30'!$K:$K,'01. KE30'!$C:$C,'06. BC BH THEO CUSTOMER-USD'!$D68,'01. KE30'!$F:$F,'06. BC BH THEO CUSTOMER-USD'!$H68,'01. KE30'!$A:$A,'06. BC BH THEO CUSTOMER-USD'!N$4)/'06. BC BH THEO CUSTOMER-USD'!CT68/'02. Tỷ giá'!C$5,"-")</f>
        <v>-</v>
      </c>
      <c r="O68" s="106" t="str">
        <f>IFERROR(SUMIFS('01. KE30'!$K:$K,'01. KE30'!$C:$C,'06. BC BH THEO CUSTOMER-USD'!$D68,'01. KE30'!$F:$F,'06. BC BH THEO CUSTOMER-USD'!$H68,'01. KE30'!$A:$A,'06. BC BH THEO CUSTOMER-USD'!O$4)/'06. BC BH THEO CUSTOMER-USD'!CU68/'02. Tỷ giá'!D$5,"-")</f>
        <v>-</v>
      </c>
      <c r="P68" s="106" t="str">
        <f>IFERROR(SUMIFS('01. KE30'!$K:$K,'01. KE30'!$C:$C,'06. BC BH THEO CUSTOMER-USD'!$D68,'01. KE30'!$F:$F,'06. BC BH THEO CUSTOMER-USD'!$H68,'01. KE30'!$A:$A,'06. BC BH THEO CUSTOMER-USD'!P$4)/'06. BC BH THEO CUSTOMER-USD'!CV68/'02. Tỷ giá'!E$5,"-")</f>
        <v>-</v>
      </c>
      <c r="Q68" s="106" t="str">
        <f>IFERROR(SUMIFS('01. KE30'!$K:$K,'01. KE30'!$C:$C,'06. BC BH THEO CUSTOMER-USD'!$D68,'01. KE30'!$F:$F,'06. BC BH THEO CUSTOMER-USD'!$H68,'01. KE30'!$A:$A,'06. BC BH THEO CUSTOMER-USD'!Q$4)/'06. BC BH THEO CUSTOMER-USD'!CW68/'02. Tỷ giá'!F$5,"-")</f>
        <v>-</v>
      </c>
      <c r="R68" s="106" t="str">
        <f>IFERROR(SUMIFS('01. KE30'!$K:$K,'01. KE30'!$C:$C,'06. BC BH THEO CUSTOMER-USD'!$D68,'01. KE30'!$F:$F,'06. BC BH THEO CUSTOMER-USD'!$H68,'01. KE30'!$A:$A,'06. BC BH THEO CUSTOMER-USD'!R$4)/'06. BC BH THEO CUSTOMER-USD'!CX68/'02. Tỷ giá'!G$5,"-")</f>
        <v>-</v>
      </c>
      <c r="S68" s="106" t="str">
        <f>IFERROR(SUMIFS('01. KE30'!$K:$K,'01. KE30'!$C:$C,'06. BC BH THEO CUSTOMER-USD'!$D68,'01. KE30'!$F:$F,'06. BC BH THEO CUSTOMER-USD'!$H68,'01. KE30'!$A:$A,'06. BC BH THEO CUSTOMER-USD'!S$4)/'06. BC BH THEO CUSTOMER-USD'!CY68/'02. Tỷ giá'!H$5,"-")</f>
        <v>-</v>
      </c>
      <c r="T68" s="106" t="str">
        <f>IFERROR(SUMIFS('01. KE30'!$K:$K,'01. KE30'!$C:$C,'06. BC BH THEO CUSTOMER-USD'!$D68,'01. KE30'!$F:$F,'06. BC BH THEO CUSTOMER-USD'!$H68,'01. KE30'!$A:$A,'06. BC BH THEO CUSTOMER-USD'!T$4)/'06. BC BH THEO CUSTOMER-USD'!CZ68/'02. Tỷ giá'!I$5,"-")</f>
        <v>-</v>
      </c>
      <c r="U68" s="106" t="str">
        <f>IFERROR(SUMIFS('01. KE30'!$K:$K,'01. KE30'!$C:$C,'06. BC BH THEO CUSTOMER-USD'!$D68,'01. KE30'!$F:$F,'06. BC BH THEO CUSTOMER-USD'!$H68,'01. KE30'!$A:$A,'06. BC BH THEO CUSTOMER-USD'!U$4)/'06. BC BH THEO CUSTOMER-USD'!DA68/'02. Tỷ giá'!J$5,"-")</f>
        <v>-</v>
      </c>
      <c r="V68" s="106" t="str">
        <f>IFERROR(SUMIFS('01. KE30'!$K:$K,'01. KE30'!$C:$C,'06. BC BH THEO CUSTOMER-USD'!$D68,'01. KE30'!$F:$F,'06. BC BH THEO CUSTOMER-USD'!$H68,'01. KE30'!$A:$A,'06. BC BH THEO CUSTOMER-USD'!V$4)/'06. BC BH THEO CUSTOMER-USD'!DB68/'02. Tỷ giá'!K$5,"-")</f>
        <v>-</v>
      </c>
      <c r="W68" s="106" t="str">
        <f>IFERROR(SUMIFS('01. KE30'!$K:$K,'01. KE30'!$C:$C,'06. BC BH THEO CUSTOMER-USD'!$D68,'01. KE30'!$F:$F,'06. BC BH THEO CUSTOMER-USD'!$H68,'01. KE30'!$A:$A,'06. BC BH THEO CUSTOMER-USD'!W$4)/'06. BC BH THEO CUSTOMER-USD'!DC68/'02. Tỷ giá'!L$5,"-")</f>
        <v>-</v>
      </c>
      <c r="X68" s="106" t="str">
        <f>IFERROR(SUMIFS('01. KE30'!$K:$K,'01. KE30'!$C:$C,'06. BC BH THEO CUSTOMER-USD'!$D68,'01. KE30'!$F:$F,'06. BC BH THEO CUSTOMER-USD'!$H68,'01. KE30'!$A:$A,'06. BC BH THEO CUSTOMER-USD'!X$4)/'06. BC BH THEO CUSTOMER-USD'!DD68/'02. Tỷ giá'!M$5,"-")</f>
        <v>-</v>
      </c>
      <c r="Z68" s="92" t="str">
        <f t="shared" si="43"/>
        <v>-</v>
      </c>
      <c r="AA68" s="147" t="str">
        <f>IFERROR(SUMIFS('01. KE30'!$O:$O,'01. KE30'!$C:$C,'06. BC BH THEO CUSTOMER-USD'!$D68,'01. KE30'!$F:$F,'06. BC BH THEO CUSTOMER-USD'!$H68,'01. KE30'!$A:$A,'06. BC BH THEO CUSTOMER-USD'!M$4)/'06. BC BH THEO CUSTOMER-USD'!CS68/'02. Tỷ giá'!B$5,"-")</f>
        <v>-</v>
      </c>
      <c r="AB68" s="147" t="str">
        <f>IFERROR(SUMIFS('01. KE30'!$O:$O,'01. KE30'!$C:$C,'06. BC BH THEO CUSTOMER-USD'!$D68,'01. KE30'!$F:$F,'06. BC BH THEO CUSTOMER-USD'!$H68,'01. KE30'!$A:$A,'06. BC BH THEO CUSTOMER-USD'!N$4)/'06. BC BH THEO CUSTOMER-USD'!CT68/'02. Tỷ giá'!C$5,"-")</f>
        <v>-</v>
      </c>
      <c r="AC68" s="147" t="str">
        <f>IFERROR(SUMIFS('01. KE30'!$O:$O,'01. KE30'!$C:$C,'06. BC BH THEO CUSTOMER-USD'!$D68,'01. KE30'!$F:$F,'06. BC BH THEO CUSTOMER-USD'!$H68,'01. KE30'!$A:$A,'06. BC BH THEO CUSTOMER-USD'!O$4)/'06. BC BH THEO CUSTOMER-USD'!CU68/'02. Tỷ giá'!D$5,"-")</f>
        <v>-</v>
      </c>
      <c r="AD68" s="147" t="str">
        <f>IFERROR(SUMIFS('01. KE30'!$O:$O,'01. KE30'!$C:$C,'06. BC BH THEO CUSTOMER-USD'!$D68,'01. KE30'!$F:$F,'06. BC BH THEO CUSTOMER-USD'!$H68,'01. KE30'!$A:$A,'06. BC BH THEO CUSTOMER-USD'!P$4)/'06. BC BH THEO CUSTOMER-USD'!CV68/'02. Tỷ giá'!E$5,"-")</f>
        <v>-</v>
      </c>
      <c r="AE68" s="147" t="str">
        <f>IFERROR(SUMIFS('01. KE30'!$O:$O,'01. KE30'!$C:$C,'06. BC BH THEO CUSTOMER-USD'!$D68,'01. KE30'!$F:$F,'06. BC BH THEO CUSTOMER-USD'!$H68,'01. KE30'!$A:$A,'06. BC BH THEO CUSTOMER-USD'!Q$4)/'06. BC BH THEO CUSTOMER-USD'!CW68/'02. Tỷ giá'!F$5,"-")</f>
        <v>-</v>
      </c>
      <c r="AF68" s="147" t="str">
        <f>IFERROR(SUMIFS('01. KE30'!$O:$O,'01. KE30'!$C:$C,'06. BC BH THEO CUSTOMER-USD'!$D68,'01. KE30'!$F:$F,'06. BC BH THEO CUSTOMER-USD'!$H68,'01. KE30'!$A:$A,'06. BC BH THEO CUSTOMER-USD'!R$4)/'06. BC BH THEO CUSTOMER-USD'!CX68/'02. Tỷ giá'!G$5,"-")</f>
        <v>-</v>
      </c>
      <c r="AG68" s="147" t="str">
        <f>IFERROR(SUMIFS('01. KE30'!$O:$O,'01. KE30'!$C:$C,'06. BC BH THEO CUSTOMER-USD'!$D68,'01. KE30'!$F:$F,'06. BC BH THEO CUSTOMER-USD'!$H68,'01. KE30'!$A:$A,'06. BC BH THEO CUSTOMER-USD'!S$4)/'06. BC BH THEO CUSTOMER-USD'!CY68/'02. Tỷ giá'!H$5,"-")</f>
        <v>-</v>
      </c>
      <c r="AH68" s="147" t="str">
        <f>IFERROR(SUMIFS('01. KE30'!$O:$O,'01. KE30'!$C:$C,'06. BC BH THEO CUSTOMER-USD'!$D68,'01. KE30'!$F:$F,'06. BC BH THEO CUSTOMER-USD'!$H68,'01. KE30'!$A:$A,'06. BC BH THEO CUSTOMER-USD'!T$4)/'06. BC BH THEO CUSTOMER-USD'!CZ68/'02. Tỷ giá'!I$5,"-")</f>
        <v>-</v>
      </c>
      <c r="AI68" s="147" t="str">
        <f>IFERROR(SUMIFS('01. KE30'!$O:$O,'01. KE30'!$C:$C,'06. BC BH THEO CUSTOMER-USD'!$D68,'01. KE30'!$F:$F,'06. BC BH THEO CUSTOMER-USD'!$H68,'01. KE30'!$A:$A,'06. BC BH THEO CUSTOMER-USD'!U$4)/'06. BC BH THEO CUSTOMER-USD'!DA68/'02. Tỷ giá'!J$5,"-")</f>
        <v>-</v>
      </c>
      <c r="AJ68" s="147" t="str">
        <f>IFERROR(SUMIFS('01. KE30'!$O:$O,'01. KE30'!$C:$C,'06. BC BH THEO CUSTOMER-USD'!$D68,'01. KE30'!$F:$F,'06. BC BH THEO CUSTOMER-USD'!$H68,'01. KE30'!$A:$A,'06. BC BH THEO CUSTOMER-USD'!V$4)/'06. BC BH THEO CUSTOMER-USD'!DB68/'02. Tỷ giá'!K$5,"-")</f>
        <v>-</v>
      </c>
      <c r="AK68" s="147" t="str">
        <f>IFERROR(SUMIFS('01. KE30'!$O:$O,'01. KE30'!$C:$C,'06. BC BH THEO CUSTOMER-USD'!$D68,'01. KE30'!$F:$F,'06. BC BH THEO CUSTOMER-USD'!$H68,'01. KE30'!$A:$A,'06. BC BH THEO CUSTOMER-USD'!W$4)/'06. BC BH THEO CUSTOMER-USD'!DC68/'02. Tỷ giá'!L$5,"-")</f>
        <v>-</v>
      </c>
      <c r="AL68" s="147" t="str">
        <f>IFERROR(SUMIFS('01. KE30'!$O:$O,'01. KE30'!$C:$C,'06. BC BH THEO CUSTOMER-USD'!$D68,'01. KE30'!$F:$F,'06. BC BH THEO CUSTOMER-USD'!$H68,'01. KE30'!$A:$A,'06. BC BH THEO CUSTOMER-USD'!X$4)/'06. BC BH THEO CUSTOMER-USD'!DD68/'02. Tỷ giá'!M$5,"-")</f>
        <v>-</v>
      </c>
      <c r="AN68" s="92">
        <f t="shared" si="44"/>
        <v>1236.6666666666667</v>
      </c>
      <c r="AO68" s="25">
        <v>1230</v>
      </c>
      <c r="AP68" s="25">
        <v>1230</v>
      </c>
      <c r="AQ68" s="25">
        <v>1230</v>
      </c>
      <c r="AR68" s="25">
        <f t="shared" si="396"/>
        <v>1250</v>
      </c>
      <c r="AS68" s="25">
        <v>1250</v>
      </c>
      <c r="AT68" s="25">
        <v>1250</v>
      </c>
      <c r="AU68" s="25">
        <v>1250</v>
      </c>
      <c r="AV68" s="4">
        <f t="shared" si="205"/>
        <v>1220</v>
      </c>
      <c r="AW68" s="25">
        <v>1220</v>
      </c>
      <c r="AX68" s="25"/>
      <c r="AY68" s="4"/>
      <c r="AZ68" s="4"/>
      <c r="BB68" s="95" t="str">
        <f t="shared" si="45"/>
        <v>-</v>
      </c>
      <c r="BC68" s="95" t="str">
        <f t="shared" si="206"/>
        <v>-</v>
      </c>
      <c r="BD68" s="95" t="str">
        <f t="shared" si="389"/>
        <v>-</v>
      </c>
      <c r="BE68" s="95" t="str">
        <f t="shared" si="389"/>
        <v>-</v>
      </c>
      <c r="BF68" s="95" t="str">
        <f t="shared" si="389"/>
        <v>-</v>
      </c>
      <c r="BG68" s="95" t="str">
        <f t="shared" si="389"/>
        <v>-</v>
      </c>
      <c r="BH68" s="95" t="str">
        <f t="shared" si="389"/>
        <v>-</v>
      </c>
      <c r="BI68" s="95" t="str">
        <f t="shared" si="389"/>
        <v>-</v>
      </c>
      <c r="BJ68" s="95" t="str">
        <f t="shared" si="389"/>
        <v>-</v>
      </c>
      <c r="BK68" s="95" t="str">
        <f t="shared" si="389"/>
        <v>-</v>
      </c>
      <c r="BL68" s="95" t="str">
        <f t="shared" si="389"/>
        <v>-</v>
      </c>
      <c r="BM68" s="95" t="str">
        <f t="shared" si="389"/>
        <v>-</v>
      </c>
      <c r="BN68" s="95" t="str">
        <f t="shared" si="389"/>
        <v>-</v>
      </c>
      <c r="BP68" s="143" t="str">
        <f t="shared" si="47"/>
        <v>-</v>
      </c>
      <c r="BQ68" s="143" t="str">
        <f t="shared" si="202"/>
        <v>-</v>
      </c>
      <c r="BR68" s="143" t="str">
        <f t="shared" si="9"/>
        <v>-</v>
      </c>
      <c r="BS68" s="143" t="str">
        <f t="shared" si="10"/>
        <v>-</v>
      </c>
      <c r="BT68" s="143" t="str">
        <f t="shared" si="11"/>
        <v>-</v>
      </c>
      <c r="BU68" s="143" t="str">
        <f t="shared" si="12"/>
        <v>-</v>
      </c>
      <c r="BV68" s="143" t="str">
        <f t="shared" si="13"/>
        <v>-</v>
      </c>
      <c r="BW68" s="143" t="str">
        <f t="shared" si="14"/>
        <v>-</v>
      </c>
      <c r="BX68" s="143" t="str">
        <f t="shared" si="15"/>
        <v>-</v>
      </c>
      <c r="BY68" s="143" t="str">
        <f t="shared" si="16"/>
        <v>-</v>
      </c>
      <c r="BZ68" s="143" t="str">
        <f t="shared" si="17"/>
        <v>-</v>
      </c>
      <c r="CA68" s="143" t="str">
        <f t="shared" si="18"/>
        <v>-</v>
      </c>
      <c r="CB68" s="143" t="str">
        <f t="shared" si="19"/>
        <v>-</v>
      </c>
      <c r="CD68" s="112" t="str">
        <f t="shared" si="25"/>
        <v>-</v>
      </c>
      <c r="CE68" s="95" t="str">
        <f>IFERROR(SUMIFS('01. KE30'!$R:$R,'01. KE30'!$C:$C,'06. BC BH THEO CUSTOMER-USD'!$D68,'01. KE30'!$F:$F,'06. BC BH THEO CUSTOMER-USD'!$H68,'01. KE30'!$A:$A,'06. BC BH THEO CUSTOMER-USD'!CE$4)/CS68/'02. Tỷ giá'!B$5," -")</f>
        <v xml:space="preserve"> -</v>
      </c>
      <c r="CF68" s="95" t="str">
        <f>IFERROR(SUMIFS('01. KE30'!$R:$R,'01. KE30'!$C:$C,'06. BC BH THEO CUSTOMER-USD'!$D68,'01. KE30'!$F:$F,'06. BC BH THEO CUSTOMER-USD'!$H68,'01. KE30'!$A:$A,'06. BC BH THEO CUSTOMER-USD'!CF$4)/CT68/'02. Tỷ giá'!C$5," -")</f>
        <v xml:space="preserve"> -</v>
      </c>
      <c r="CG68" s="95" t="str">
        <f>IFERROR(SUMIFS('01. KE30'!$R:$R,'01. KE30'!$C:$C,'06. BC BH THEO CUSTOMER-USD'!$D68,'01. KE30'!$F:$F,'06. BC BH THEO CUSTOMER-USD'!$H68,'01. KE30'!$A:$A,'06. BC BH THEO CUSTOMER-USD'!CG$4)/CU68/'02. Tỷ giá'!D$5," -")</f>
        <v xml:space="preserve"> -</v>
      </c>
      <c r="CH68" s="95" t="str">
        <f>IFERROR(SUMIFS('01. KE30'!$R:$R,'01. KE30'!$C:$C,'06. BC BH THEO CUSTOMER-USD'!$D68,'01. KE30'!$F:$F,'06. BC BH THEO CUSTOMER-USD'!$H68,'01. KE30'!$A:$A,'06. BC BH THEO CUSTOMER-USD'!CH$4)/CV68/'02. Tỷ giá'!E$5," -")</f>
        <v xml:space="preserve"> -</v>
      </c>
      <c r="CI68" s="95" t="str">
        <f>IFERROR(SUMIFS('01. KE30'!$R:$R,'01. KE30'!$C:$C,'06. BC BH THEO CUSTOMER-USD'!$D68,'01. KE30'!$F:$F,'06. BC BH THEO CUSTOMER-USD'!$H68,'01. KE30'!$A:$A,'06. BC BH THEO CUSTOMER-USD'!CI$4)/CW68/'02. Tỷ giá'!F$5," -")</f>
        <v xml:space="preserve"> -</v>
      </c>
      <c r="CJ68" s="95" t="str">
        <f>IFERROR(SUMIFS('01. KE30'!$R:$R,'01. KE30'!$C:$C,'06. BC BH THEO CUSTOMER-USD'!$D68,'01. KE30'!$F:$F,'06. BC BH THEO CUSTOMER-USD'!$H68,'01. KE30'!$A:$A,'06. BC BH THEO CUSTOMER-USD'!CJ$4)/CX68/'02. Tỷ giá'!G$5," -")</f>
        <v xml:space="preserve"> -</v>
      </c>
      <c r="CK68" s="95" t="str">
        <f>IFERROR(SUMIFS('01. KE30'!$R:$R,'01. KE30'!$C:$C,'06. BC BH THEO CUSTOMER-USD'!$D68,'01. KE30'!$F:$F,'06. BC BH THEO CUSTOMER-USD'!$H68,'01. KE30'!$A:$A,'06. BC BH THEO CUSTOMER-USD'!CK$4)/CY68/'02. Tỷ giá'!H$5," -")</f>
        <v xml:space="preserve"> -</v>
      </c>
      <c r="CL68" s="95" t="str">
        <f>IFERROR(SUMIFS('01. KE30'!$R:$R,'01. KE30'!$C:$C,'06. BC BH THEO CUSTOMER-USD'!$D68,'01. KE30'!$F:$F,'06. BC BH THEO CUSTOMER-USD'!$H68,'01. KE30'!$A:$A,'06. BC BH THEO CUSTOMER-USD'!CL$4)/CZ68/'02. Tỷ giá'!I$5," -")</f>
        <v xml:space="preserve"> -</v>
      </c>
      <c r="CM68" s="95" t="str">
        <f>IFERROR(SUMIFS('01. KE30'!$R:$R,'01. KE30'!$C:$C,'06. BC BH THEO CUSTOMER-USD'!$D68,'01. KE30'!$F:$F,'06. BC BH THEO CUSTOMER-USD'!$H68,'01. KE30'!$A:$A,'06. BC BH THEO CUSTOMER-USD'!CM$4)/DA68/'02. Tỷ giá'!J$5," -")</f>
        <v xml:space="preserve"> -</v>
      </c>
      <c r="CN68" s="95" t="str">
        <f>IFERROR(SUMIFS('01. KE30'!$R:$R,'01. KE30'!$C:$C,'06. BC BH THEO CUSTOMER-USD'!$D68,'01. KE30'!$F:$F,'06. BC BH THEO CUSTOMER-USD'!$H68,'01. KE30'!$A:$A,'06. BC BH THEO CUSTOMER-USD'!CN$4)/DB68/'02. Tỷ giá'!K$5," -")</f>
        <v xml:space="preserve"> -</v>
      </c>
      <c r="CO68" s="95" t="str">
        <f>IFERROR(SUMIFS('01. KE30'!$R:$R,'01. KE30'!$C:$C,'06. BC BH THEO CUSTOMER-USD'!$D68,'01. KE30'!$F:$F,'06. BC BH THEO CUSTOMER-USD'!$H68,'01. KE30'!$A:$A,'06. BC BH THEO CUSTOMER-USD'!CO$4)/DC68/'02. Tỷ giá'!L$5," -")</f>
        <v xml:space="preserve"> -</v>
      </c>
      <c r="CP68" s="95" t="str">
        <f>IFERROR(SUMIFS('01. KE30'!$R:$R,'01. KE30'!$C:$C,'06. BC BH THEO CUSTOMER-USD'!$D68,'01. KE30'!$F:$F,'06. BC BH THEO CUSTOMER-USD'!$H68,'01. KE30'!$A:$A,'06. BC BH THEO CUSTOMER-USD'!CP$4)/DD68/'02. Tỷ giá'!M$5," -")</f>
        <v xml:space="preserve"> -</v>
      </c>
      <c r="CR68" s="112">
        <f t="shared" si="266"/>
        <v>0</v>
      </c>
      <c r="CS68" s="114">
        <f>SUMIFS('01. KE30'!$I:$I,'01. KE30'!$C:$C,'06. BC BH THEO CUSTOMER-USD'!$D68,'01. KE30'!$F:$F,'06. BC BH THEO CUSTOMER-USD'!$H68,'01. KE30'!$A:$A,'06. BC BH THEO CUSTOMER-USD'!CS$4)/1000</f>
        <v>0</v>
      </c>
      <c r="CT68" s="114">
        <f>SUMIFS('01. KE30'!$I:$I,'01. KE30'!$C:$C,'06. BC BH THEO CUSTOMER-USD'!$D68,'01. KE30'!$F:$F,'06. BC BH THEO CUSTOMER-USD'!$H68,'01. KE30'!$A:$A,'06. BC BH THEO CUSTOMER-USD'!CT$4)/1000</f>
        <v>0</v>
      </c>
      <c r="CU68" s="114">
        <f>SUMIFS('01. KE30'!$I:$I,'01. KE30'!$C:$C,'06. BC BH THEO CUSTOMER-USD'!$D68,'01. KE30'!$F:$F,'06. BC BH THEO CUSTOMER-USD'!$H68,'01. KE30'!$A:$A,'06. BC BH THEO CUSTOMER-USD'!CU$4)/1000</f>
        <v>0</v>
      </c>
      <c r="CV68" s="114">
        <f>SUMIFS('01. KE30'!$I:$I,'01. KE30'!$C:$C,'06. BC BH THEO CUSTOMER-USD'!$D68,'01. KE30'!$F:$F,'06. BC BH THEO CUSTOMER-USD'!$H68,'01. KE30'!$A:$A,'06. BC BH THEO CUSTOMER-USD'!CV$4)/1000</f>
        <v>0</v>
      </c>
      <c r="CW68" s="114">
        <f>SUMIFS('01. KE30'!$I:$I,'01. KE30'!$C:$C,'06. BC BH THEO CUSTOMER-USD'!$D68,'01. KE30'!$F:$F,'06. BC BH THEO CUSTOMER-USD'!$H68,'01. KE30'!$A:$A,'06. BC BH THEO CUSTOMER-USD'!CW$4)/1000</f>
        <v>0</v>
      </c>
      <c r="CX68" s="114">
        <f>SUMIFS('01. KE30'!$I:$I,'01. KE30'!$C:$C,'06. BC BH THEO CUSTOMER-USD'!$D68,'01. KE30'!$F:$F,'06. BC BH THEO CUSTOMER-USD'!$H68,'01. KE30'!$A:$A,'06. BC BH THEO CUSTOMER-USD'!CX$4)/1000</f>
        <v>0</v>
      </c>
      <c r="CY68" s="114">
        <f>SUMIFS('01. KE30'!$I:$I,'01. KE30'!$C:$C,'06. BC BH THEO CUSTOMER-USD'!$D68,'01. KE30'!$F:$F,'06. BC BH THEO CUSTOMER-USD'!$H68,'01. KE30'!$A:$A,'06. BC BH THEO CUSTOMER-USD'!CY$4)/1000</f>
        <v>0</v>
      </c>
      <c r="CZ68" s="114">
        <f>SUMIFS('01. KE30'!$I:$I,'01. KE30'!$C:$C,'06. BC BH THEO CUSTOMER-USD'!$D68,'01. KE30'!$F:$F,'06. BC BH THEO CUSTOMER-USD'!$H68,'01. KE30'!$A:$A,'06. BC BH THEO CUSTOMER-USD'!CZ$4)/1000</f>
        <v>0</v>
      </c>
      <c r="DA68" s="114">
        <f>SUMIFS('01. KE30'!$I:$I,'01. KE30'!$C:$C,'06. BC BH THEO CUSTOMER-USD'!$D68,'01. KE30'!$F:$F,'06. BC BH THEO CUSTOMER-USD'!$H68,'01. KE30'!$A:$A,'06. BC BH THEO CUSTOMER-USD'!DA$4)/1000</f>
        <v>0</v>
      </c>
      <c r="DB68" s="114">
        <f>SUMIFS('01. KE30'!$I:$I,'01. KE30'!$C:$C,'06. BC BH THEO CUSTOMER-USD'!$D68,'01. KE30'!$F:$F,'06. BC BH THEO CUSTOMER-USD'!$H68,'01. KE30'!$A:$A,'06. BC BH THEO CUSTOMER-USD'!DB$4)/1000</f>
        <v>0</v>
      </c>
      <c r="DC68" s="114">
        <f>SUMIFS('01. KE30'!$I:$I,'01. KE30'!$C:$C,'06. BC BH THEO CUSTOMER-USD'!$D68,'01. KE30'!$F:$F,'06. BC BH THEO CUSTOMER-USD'!$H68,'01. KE30'!$A:$A,'06. BC BH THEO CUSTOMER-USD'!DC$4)/1000</f>
        <v>0</v>
      </c>
      <c r="DD68" s="114">
        <f>SUMIFS('01. KE30'!$I:$I,'01. KE30'!$C:$C,'06. BC BH THEO CUSTOMER-USD'!$D68,'01. KE30'!$F:$F,'06. BC BH THEO CUSTOMER-USD'!$H68,'01. KE30'!$A:$A,'06. BC BH THEO CUSTOMER-USD'!DD$4)/1000</f>
        <v>0</v>
      </c>
      <c r="DF68" s="112">
        <f t="shared" si="267"/>
        <v>0</v>
      </c>
      <c r="DG68" s="54" t="str">
        <f t="shared" si="48"/>
        <v>-</v>
      </c>
      <c r="DH68" s="54" t="str">
        <f t="shared" si="49"/>
        <v>-</v>
      </c>
      <c r="DI68" s="54" t="str">
        <f t="shared" si="50"/>
        <v>-</v>
      </c>
      <c r="DJ68" s="54" t="str">
        <f t="shared" si="51"/>
        <v>-</v>
      </c>
      <c r="DK68" s="54" t="str">
        <f t="shared" si="52"/>
        <v>-</v>
      </c>
      <c r="DL68" s="54" t="str">
        <f t="shared" si="53"/>
        <v>-</v>
      </c>
      <c r="DM68" s="54" t="str">
        <f t="shared" si="54"/>
        <v>-</v>
      </c>
      <c r="DN68" s="54" t="str">
        <f t="shared" si="55"/>
        <v>-</v>
      </c>
      <c r="DO68" s="54" t="str">
        <f t="shared" si="56"/>
        <v>-</v>
      </c>
      <c r="DP68" s="54" t="str">
        <f t="shared" si="57"/>
        <v>-</v>
      </c>
      <c r="DQ68" s="54" t="str">
        <f t="shared" si="58"/>
        <v>-</v>
      </c>
      <c r="DR68" s="54" t="str">
        <f t="shared" si="59"/>
        <v>-</v>
      </c>
      <c r="DT68" s="112">
        <f t="shared" si="60"/>
        <v>0</v>
      </c>
      <c r="DU68" s="114">
        <f>IFERROR(SUMIFS('01. KE30'!$X:$X,'01. KE30'!$C:$C,'06. BC BH THEO CUSTOMER-USD'!$D68,'01. KE30'!$F:$F,'06. BC BH THEO CUSTOMER-USD'!$H68,'01. KE30'!$A:$A,'06. BC BH THEO CUSTOMER-USD'!DU$4)-SUMIFS('01. KE30'!$AA:$AA,'01. KE30'!$C:$C,'06. BC BH THEO CUSTOMER-USD'!$D68,'01. KE30'!$F:$F,'06. BC BH THEO CUSTOMER-USD'!$H68,'01. KE30'!$A:$A,'06. BC BH THEO CUSTOMER-USD'!DU$4),"-")</f>
        <v>0</v>
      </c>
      <c r="DV68" s="114">
        <f>IFERROR(SUMIFS('01. KE30'!$X:$X,'01. KE30'!$C:$C,'06. BC BH THEO CUSTOMER-USD'!$D68,'01. KE30'!$F:$F,'06. BC BH THEO CUSTOMER-USD'!$H68,'01. KE30'!$A:$A,'06. BC BH THEO CUSTOMER-USD'!DV$4)-SUMIFS('01. KE30'!$AA:$AA,'01. KE30'!$C:$C,'06. BC BH THEO CUSTOMER-USD'!$D68,'01. KE30'!$F:$F,'06. BC BH THEO CUSTOMER-USD'!$H68,'01. KE30'!$A:$A,'06. BC BH THEO CUSTOMER-USD'!DV$4),"-")</f>
        <v>0</v>
      </c>
      <c r="DW68" s="114">
        <f>IFERROR(SUMIFS('01. KE30'!$X:$X,'01. KE30'!$C:$C,'06. BC BH THEO CUSTOMER-USD'!$D68,'01. KE30'!$F:$F,'06. BC BH THEO CUSTOMER-USD'!$H68,'01. KE30'!$A:$A,'06. BC BH THEO CUSTOMER-USD'!DW$4)-SUMIFS('01. KE30'!$AA:$AA,'01. KE30'!$C:$C,'06. BC BH THEO CUSTOMER-USD'!$D68,'01. KE30'!$F:$F,'06. BC BH THEO CUSTOMER-USD'!$H68,'01. KE30'!$A:$A,'06. BC BH THEO CUSTOMER-USD'!DW$4),"-")</f>
        <v>0</v>
      </c>
      <c r="DX68" s="114">
        <f>IFERROR(SUMIFS('01. KE30'!$X:$X,'01. KE30'!$C:$C,'06. BC BH THEO CUSTOMER-USD'!$D68,'01. KE30'!$F:$F,'06. BC BH THEO CUSTOMER-USD'!$H68,'01. KE30'!$A:$A,'06. BC BH THEO CUSTOMER-USD'!DX$4)-SUMIFS('01. KE30'!$AA:$AA,'01. KE30'!$C:$C,'06. BC BH THEO CUSTOMER-USD'!$D68,'01. KE30'!$F:$F,'06. BC BH THEO CUSTOMER-USD'!$H68,'01. KE30'!$A:$A,'06. BC BH THEO CUSTOMER-USD'!DX$4),"-")</f>
        <v>0</v>
      </c>
      <c r="DY68" s="114">
        <f>IFERROR(SUMIFS('01. KE30'!$X:$X,'01. KE30'!$C:$C,'06. BC BH THEO CUSTOMER-USD'!$D68,'01. KE30'!$F:$F,'06. BC BH THEO CUSTOMER-USD'!$H68,'01. KE30'!$A:$A,'06. BC BH THEO CUSTOMER-USD'!DY$4)-SUMIFS('01. KE30'!$AA:$AA,'01. KE30'!$C:$C,'06. BC BH THEO CUSTOMER-USD'!$D68,'01. KE30'!$F:$F,'06. BC BH THEO CUSTOMER-USD'!$H68,'01. KE30'!$A:$A,'06. BC BH THEO CUSTOMER-USD'!DY$4),"-")</f>
        <v>0</v>
      </c>
      <c r="DZ68" s="114">
        <f>IFERROR(SUMIFS('01. KE30'!$X:$X,'01. KE30'!$C:$C,'06. BC BH THEO CUSTOMER-USD'!$D68,'01. KE30'!$F:$F,'06. BC BH THEO CUSTOMER-USD'!$H68,'01. KE30'!$A:$A,'06. BC BH THEO CUSTOMER-USD'!DZ$4)-SUMIFS('01. KE30'!$AA:$AA,'01. KE30'!$C:$C,'06. BC BH THEO CUSTOMER-USD'!$D68,'01. KE30'!$F:$F,'06. BC BH THEO CUSTOMER-USD'!$H68,'01. KE30'!$A:$A,'06. BC BH THEO CUSTOMER-USD'!DZ$4),"-")</f>
        <v>0</v>
      </c>
      <c r="EA68" s="114">
        <f>IFERROR(SUMIFS('01. KE30'!$X:$X,'01. KE30'!$C:$C,'06. BC BH THEO CUSTOMER-USD'!$D68,'01. KE30'!$F:$F,'06. BC BH THEO CUSTOMER-USD'!$H68,'01. KE30'!$A:$A,'06. BC BH THEO CUSTOMER-USD'!EA$4)-SUMIFS('01. KE30'!$AA:$AA,'01. KE30'!$C:$C,'06. BC BH THEO CUSTOMER-USD'!$D68,'01. KE30'!$F:$F,'06. BC BH THEO CUSTOMER-USD'!$H68,'01. KE30'!$A:$A,'06. BC BH THEO CUSTOMER-USD'!EA$4),"-")</f>
        <v>0</v>
      </c>
      <c r="EB68" s="114">
        <f>IFERROR(SUMIFS('01. KE30'!$X:$X,'01. KE30'!$C:$C,'06. BC BH THEO CUSTOMER-USD'!$D68,'01. KE30'!$F:$F,'06. BC BH THEO CUSTOMER-USD'!$H68,'01. KE30'!$A:$A,'06. BC BH THEO CUSTOMER-USD'!EB$4)-SUMIFS('01. KE30'!$AA:$AA,'01. KE30'!$C:$C,'06. BC BH THEO CUSTOMER-USD'!$D68,'01. KE30'!$F:$F,'06. BC BH THEO CUSTOMER-USD'!$H68,'01. KE30'!$A:$A,'06. BC BH THEO CUSTOMER-USD'!EB$4),"-")</f>
        <v>0</v>
      </c>
      <c r="EC68" s="114">
        <f>IFERROR(SUMIFS('01. KE30'!$X:$X,'01. KE30'!$C:$C,'06. BC BH THEO CUSTOMER-USD'!$D68,'01. KE30'!$F:$F,'06. BC BH THEO CUSTOMER-USD'!$H68,'01. KE30'!$A:$A,'06. BC BH THEO CUSTOMER-USD'!EC$4)-SUMIFS('01. KE30'!$AA:$AA,'01. KE30'!$C:$C,'06. BC BH THEO CUSTOMER-USD'!$D68,'01. KE30'!$F:$F,'06. BC BH THEO CUSTOMER-USD'!$H68,'01. KE30'!$A:$A,'06. BC BH THEO CUSTOMER-USD'!EC$4),"-")</f>
        <v>0</v>
      </c>
      <c r="ED68" s="114">
        <f>IFERROR(SUMIFS('01. KE30'!$X:$X,'01. KE30'!$C:$C,'06. BC BH THEO CUSTOMER-USD'!$D68,'01. KE30'!$F:$F,'06. BC BH THEO CUSTOMER-USD'!$H68,'01. KE30'!$A:$A,'06. BC BH THEO CUSTOMER-USD'!ED$4)-SUMIFS('01. KE30'!$AA:$AA,'01. KE30'!$C:$C,'06. BC BH THEO CUSTOMER-USD'!$D68,'01. KE30'!$F:$F,'06. BC BH THEO CUSTOMER-USD'!$H68,'01. KE30'!$A:$A,'06. BC BH THEO CUSTOMER-USD'!ED$4),"-")</f>
        <v>0</v>
      </c>
      <c r="EE68" s="114">
        <f>IFERROR(SUMIFS('01. KE30'!$X:$X,'01. KE30'!$C:$C,'06. BC BH THEO CUSTOMER-USD'!$D68,'01. KE30'!$F:$F,'06. BC BH THEO CUSTOMER-USD'!$H68,'01. KE30'!$A:$A,'06. BC BH THEO CUSTOMER-USD'!EE$4)-SUMIFS('01. KE30'!$AA:$AA,'01. KE30'!$C:$C,'06. BC BH THEO CUSTOMER-USD'!$D68,'01. KE30'!$F:$F,'06. BC BH THEO CUSTOMER-USD'!$H68,'01. KE30'!$A:$A,'06. BC BH THEO CUSTOMER-USD'!EE$4),"-")</f>
        <v>0</v>
      </c>
      <c r="EF68" s="114">
        <f>IFERROR(SUMIFS('01. KE30'!$X:$X,'01. KE30'!$C:$C,'06. BC BH THEO CUSTOMER-USD'!$D68,'01. KE30'!$F:$F,'06. BC BH THEO CUSTOMER-USD'!$H68,'01. KE30'!$A:$A,'06. BC BH THEO CUSTOMER-USD'!EF$4)-SUMIFS('01. KE30'!$AA:$AA,'01. KE30'!$C:$C,'06. BC BH THEO CUSTOMER-USD'!$D68,'01. KE30'!$F:$F,'06. BC BH THEO CUSTOMER-USD'!$H68,'01. KE30'!$A:$A,'06. BC BH THEO CUSTOMER-USD'!EF$4),"-")</f>
        <v>0</v>
      </c>
      <c r="EH68" s="571" t="str">
        <f t="shared" si="29"/>
        <v>-</v>
      </c>
      <c r="EI68" s="572" t="str">
        <f t="shared" si="30"/>
        <v>-</v>
      </c>
      <c r="EJ68" s="572" t="str">
        <f t="shared" si="31"/>
        <v>-</v>
      </c>
      <c r="EK68" s="572" t="str">
        <f t="shared" si="32"/>
        <v>-</v>
      </c>
      <c r="EL68" s="572" t="str">
        <f t="shared" si="33"/>
        <v>-</v>
      </c>
      <c r="EM68" s="572" t="str">
        <f t="shared" si="34"/>
        <v>-</v>
      </c>
      <c r="EN68" s="572" t="str">
        <f t="shared" si="35"/>
        <v>-</v>
      </c>
      <c r="EO68" s="572" t="str">
        <f t="shared" si="36"/>
        <v>-</v>
      </c>
      <c r="EP68" s="572" t="str">
        <f t="shared" si="37"/>
        <v>-</v>
      </c>
      <c r="EQ68" s="572" t="str">
        <f t="shared" si="38"/>
        <v>-</v>
      </c>
      <c r="ER68" s="572" t="str">
        <f t="shared" si="39"/>
        <v>-</v>
      </c>
      <c r="ES68" s="572" t="str">
        <f t="shared" si="40"/>
        <v>-</v>
      </c>
      <c r="ET68" s="572" t="str">
        <f t="shared" si="41"/>
        <v>-</v>
      </c>
    </row>
    <row r="69" spans="1:150" ht="15.5" hidden="1" outlineLevel="1" x14ac:dyDescent="0.35">
      <c r="A69" s="27">
        <f t="shared" si="63"/>
        <v>58</v>
      </c>
      <c r="B69" s="27" t="s">
        <v>283</v>
      </c>
      <c r="C69" s="442" t="s">
        <v>489</v>
      </c>
      <c r="D69" s="9" t="s">
        <v>108</v>
      </c>
      <c r="E69" s="12" t="s">
        <v>107</v>
      </c>
      <c r="F69" s="12" t="s">
        <v>245</v>
      </c>
      <c r="G69" s="12" t="str">
        <f>_xlfn.XLOOKUP(F69,'Quy đổi'!$G$5:$G$32,'Quy đổi'!$H$5:$H$32,0)</f>
        <v>Nội địa</v>
      </c>
      <c r="H69" s="77" t="s">
        <v>106</v>
      </c>
      <c r="I69" s="28" t="s">
        <v>105</v>
      </c>
      <c r="J69" s="13" t="s">
        <v>22</v>
      </c>
      <c r="K69" s="11"/>
      <c r="L69" s="92">
        <f t="shared" ref="L69" si="397">IFERROR(AVERAGE(M69:X69),"-")</f>
        <v>1280.952380952381</v>
      </c>
      <c r="M69" s="106" t="str">
        <f>IFERROR(SUMIFS('01. KE30'!$K:$K,'01. KE30'!$C:$C,'06. BC BH THEO CUSTOMER-USD'!$D69,'01. KE30'!$F:$F,'06. BC BH THEO CUSTOMER-USD'!$H69,'01. KE30'!$A:$A,'06. BC BH THEO CUSTOMER-USD'!M$4)/'06. BC BH THEO CUSTOMER-USD'!CS69/'02. Tỷ giá'!B$5,"-")</f>
        <v>-</v>
      </c>
      <c r="N69" s="106" t="str">
        <f>IFERROR(SUMIFS('01. KE30'!$K:$K,'01. KE30'!$C:$C,'06. BC BH THEO CUSTOMER-USD'!$D69,'01. KE30'!$F:$F,'06. BC BH THEO CUSTOMER-USD'!$H69,'01. KE30'!$A:$A,'06. BC BH THEO CUSTOMER-USD'!N$4)/'06. BC BH THEO CUSTOMER-USD'!CT69/'02. Tỷ giá'!C$5,"-")</f>
        <v>-</v>
      </c>
      <c r="O69" s="106" t="str">
        <f>IFERROR(SUMIFS('01. KE30'!$K:$K,'01. KE30'!$C:$C,'06. BC BH THEO CUSTOMER-USD'!$D69,'01. KE30'!$F:$F,'06. BC BH THEO CUSTOMER-USD'!$H69,'01. KE30'!$A:$A,'06. BC BH THEO CUSTOMER-USD'!O$4)/'06. BC BH THEO CUSTOMER-USD'!CU69/'02. Tỷ giá'!D$5,"-")</f>
        <v>-</v>
      </c>
      <c r="P69" s="106" t="str">
        <f>IFERROR(SUMIFS('01. KE30'!$K:$K,'01. KE30'!$C:$C,'06. BC BH THEO CUSTOMER-USD'!$D69,'01. KE30'!$F:$F,'06. BC BH THEO CUSTOMER-USD'!$H69,'01. KE30'!$A:$A,'06. BC BH THEO CUSTOMER-USD'!P$4)/'06. BC BH THEO CUSTOMER-USD'!CV69/'02. Tỷ giá'!E$5,"-")</f>
        <v>-</v>
      </c>
      <c r="Q69" s="106" t="str">
        <f>IFERROR(SUMIFS('01. KE30'!$K:$K,'01. KE30'!$C:$C,'06. BC BH THEO CUSTOMER-USD'!$D69,'01. KE30'!$F:$F,'06. BC BH THEO CUSTOMER-USD'!$H69,'01. KE30'!$A:$A,'06. BC BH THEO CUSTOMER-USD'!Q$4)/'06. BC BH THEO CUSTOMER-USD'!CW69/'02. Tỷ giá'!F$5,"-")</f>
        <v>-</v>
      </c>
      <c r="R69" s="106" t="str">
        <f>IFERROR(SUMIFS('01. KE30'!$K:$K,'01. KE30'!$C:$C,'06. BC BH THEO CUSTOMER-USD'!$D69,'01. KE30'!$F:$F,'06. BC BH THEO CUSTOMER-USD'!$H69,'01. KE30'!$A:$A,'06. BC BH THEO CUSTOMER-USD'!R$4)/'06. BC BH THEO CUSTOMER-USD'!CX69/'02. Tỷ giá'!G$5,"-")</f>
        <v>-</v>
      </c>
      <c r="S69" s="106" t="str">
        <f>IFERROR(SUMIFS('01. KE30'!$K:$K,'01. KE30'!$C:$C,'06. BC BH THEO CUSTOMER-USD'!$D69,'01. KE30'!$F:$F,'06. BC BH THEO CUSTOMER-USD'!$H69,'01. KE30'!$A:$A,'06. BC BH THEO CUSTOMER-USD'!S$4)/'06. BC BH THEO CUSTOMER-USD'!CY69/'02. Tỷ giá'!H$5,"-")</f>
        <v>-</v>
      </c>
      <c r="T69" s="106" t="str">
        <f>IFERROR(SUMIFS('01. KE30'!$K:$K,'01. KE30'!$C:$C,'06. BC BH THEO CUSTOMER-USD'!$D69,'01. KE30'!$F:$F,'06. BC BH THEO CUSTOMER-USD'!$H69,'01. KE30'!$A:$A,'06. BC BH THEO CUSTOMER-USD'!T$4)/'06. BC BH THEO CUSTOMER-USD'!CZ69/'02. Tỷ giá'!I$5,"-")</f>
        <v>-</v>
      </c>
      <c r="U69" s="106">
        <f>IFERROR(SUMIFS('01. KE30'!$K:$K,'01. KE30'!$C:$C,'06. BC BH THEO CUSTOMER-USD'!$D69,'01. KE30'!$F:$F,'06. BC BH THEO CUSTOMER-USD'!$H69,'01. KE30'!$A:$A,'06. BC BH THEO CUSTOMER-USD'!U$4)/'06. BC BH THEO CUSTOMER-USD'!DA69/'02. Tỷ giá'!J$5,"-")</f>
        <v>1280.952380952381</v>
      </c>
      <c r="V69" s="106" t="str">
        <f>IFERROR(SUMIFS('01. KE30'!$K:$K,'01. KE30'!$C:$C,'06. BC BH THEO CUSTOMER-USD'!$D69,'01. KE30'!$F:$F,'06. BC BH THEO CUSTOMER-USD'!$H69,'01. KE30'!$A:$A,'06. BC BH THEO CUSTOMER-USD'!V$4)/'06. BC BH THEO CUSTOMER-USD'!DB69/'02. Tỷ giá'!K$5,"-")</f>
        <v>-</v>
      </c>
      <c r="W69" s="106" t="str">
        <f>IFERROR(SUMIFS('01. KE30'!$K:$K,'01. KE30'!$C:$C,'06. BC BH THEO CUSTOMER-USD'!$D69,'01. KE30'!$F:$F,'06. BC BH THEO CUSTOMER-USD'!$H69,'01. KE30'!$A:$A,'06. BC BH THEO CUSTOMER-USD'!W$4)/'06. BC BH THEO CUSTOMER-USD'!DC69/'02. Tỷ giá'!L$5,"-")</f>
        <v>-</v>
      </c>
      <c r="X69" s="106" t="str">
        <f>IFERROR(SUMIFS('01. KE30'!$K:$K,'01. KE30'!$C:$C,'06. BC BH THEO CUSTOMER-USD'!$D69,'01. KE30'!$F:$F,'06. BC BH THEO CUSTOMER-USD'!$H69,'01. KE30'!$A:$A,'06. BC BH THEO CUSTOMER-USD'!X$4)/'06. BC BH THEO CUSTOMER-USD'!DD69/'02. Tỷ giá'!M$5,"-")</f>
        <v>-</v>
      </c>
      <c r="Z69" s="92">
        <f t="shared" ref="Z69" si="398">IFERROR(AVERAGE(AA69:AL69),"-")</f>
        <v>1280.952380952381</v>
      </c>
      <c r="AA69" s="147" t="str">
        <f>IFERROR(SUMIFS('01. KE30'!$O:$O,'01. KE30'!$C:$C,'06. BC BH THEO CUSTOMER-USD'!$D69,'01. KE30'!$F:$F,'06. BC BH THEO CUSTOMER-USD'!$H69,'01. KE30'!$A:$A,'06. BC BH THEO CUSTOMER-USD'!M$4)/'06. BC BH THEO CUSTOMER-USD'!CS69/'02. Tỷ giá'!B$5,"-")</f>
        <v>-</v>
      </c>
      <c r="AB69" s="147" t="str">
        <f>IFERROR(SUMIFS('01. KE30'!$O:$O,'01. KE30'!$C:$C,'06. BC BH THEO CUSTOMER-USD'!$D69,'01. KE30'!$F:$F,'06. BC BH THEO CUSTOMER-USD'!$H69,'01. KE30'!$A:$A,'06. BC BH THEO CUSTOMER-USD'!N$4)/'06. BC BH THEO CUSTOMER-USD'!CT69/'02. Tỷ giá'!C$5,"-")</f>
        <v>-</v>
      </c>
      <c r="AC69" s="147" t="str">
        <f>IFERROR(SUMIFS('01. KE30'!$O:$O,'01. KE30'!$C:$C,'06. BC BH THEO CUSTOMER-USD'!$D69,'01. KE30'!$F:$F,'06. BC BH THEO CUSTOMER-USD'!$H69,'01. KE30'!$A:$A,'06. BC BH THEO CUSTOMER-USD'!O$4)/'06. BC BH THEO CUSTOMER-USD'!CU69/'02. Tỷ giá'!D$5,"-")</f>
        <v>-</v>
      </c>
      <c r="AD69" s="147" t="str">
        <f>IFERROR(SUMIFS('01. KE30'!$O:$O,'01. KE30'!$C:$C,'06. BC BH THEO CUSTOMER-USD'!$D69,'01. KE30'!$F:$F,'06. BC BH THEO CUSTOMER-USD'!$H69,'01. KE30'!$A:$A,'06. BC BH THEO CUSTOMER-USD'!P$4)/'06. BC BH THEO CUSTOMER-USD'!CV69/'02. Tỷ giá'!E$5,"-")</f>
        <v>-</v>
      </c>
      <c r="AE69" s="147" t="str">
        <f>IFERROR(SUMIFS('01. KE30'!$O:$O,'01. KE30'!$C:$C,'06. BC BH THEO CUSTOMER-USD'!$D69,'01. KE30'!$F:$F,'06. BC BH THEO CUSTOMER-USD'!$H69,'01. KE30'!$A:$A,'06. BC BH THEO CUSTOMER-USD'!Q$4)/'06. BC BH THEO CUSTOMER-USD'!CW69/'02. Tỷ giá'!F$5,"-")</f>
        <v>-</v>
      </c>
      <c r="AF69" s="147" t="str">
        <f>IFERROR(SUMIFS('01. KE30'!$O:$O,'01. KE30'!$C:$C,'06. BC BH THEO CUSTOMER-USD'!$D69,'01. KE30'!$F:$F,'06. BC BH THEO CUSTOMER-USD'!$H69,'01. KE30'!$A:$A,'06. BC BH THEO CUSTOMER-USD'!R$4)/'06. BC BH THEO CUSTOMER-USD'!CX69/'02. Tỷ giá'!G$5,"-")</f>
        <v>-</v>
      </c>
      <c r="AG69" s="147" t="str">
        <f>IFERROR(SUMIFS('01. KE30'!$O:$O,'01. KE30'!$C:$C,'06. BC BH THEO CUSTOMER-USD'!$D69,'01. KE30'!$F:$F,'06. BC BH THEO CUSTOMER-USD'!$H69,'01. KE30'!$A:$A,'06. BC BH THEO CUSTOMER-USD'!S$4)/'06. BC BH THEO CUSTOMER-USD'!CY69/'02. Tỷ giá'!H$5,"-")</f>
        <v>-</v>
      </c>
      <c r="AH69" s="147" t="str">
        <f>IFERROR(SUMIFS('01. KE30'!$O:$O,'01. KE30'!$C:$C,'06. BC BH THEO CUSTOMER-USD'!$D69,'01. KE30'!$F:$F,'06. BC BH THEO CUSTOMER-USD'!$H69,'01. KE30'!$A:$A,'06. BC BH THEO CUSTOMER-USD'!T$4)/'06. BC BH THEO CUSTOMER-USD'!CZ69/'02. Tỷ giá'!I$5,"-")</f>
        <v>-</v>
      </c>
      <c r="AI69" s="147">
        <f>IFERROR(SUMIFS('01. KE30'!$O:$O,'01. KE30'!$C:$C,'06. BC BH THEO CUSTOMER-USD'!$D69,'01. KE30'!$F:$F,'06. BC BH THEO CUSTOMER-USD'!$H69,'01. KE30'!$A:$A,'06. BC BH THEO CUSTOMER-USD'!U$4)/'06. BC BH THEO CUSTOMER-USD'!DA69/'02. Tỷ giá'!J$5,"-")</f>
        <v>1280.952380952381</v>
      </c>
      <c r="AJ69" s="147" t="str">
        <f>IFERROR(SUMIFS('01. KE30'!$O:$O,'01. KE30'!$C:$C,'06. BC BH THEO CUSTOMER-USD'!$D69,'01. KE30'!$F:$F,'06. BC BH THEO CUSTOMER-USD'!$H69,'01. KE30'!$A:$A,'06. BC BH THEO CUSTOMER-USD'!V$4)/'06. BC BH THEO CUSTOMER-USD'!DB69/'02. Tỷ giá'!K$5,"-")</f>
        <v>-</v>
      </c>
      <c r="AK69" s="147" t="str">
        <f>IFERROR(SUMIFS('01. KE30'!$O:$O,'01. KE30'!$C:$C,'06. BC BH THEO CUSTOMER-USD'!$D69,'01. KE30'!$F:$F,'06. BC BH THEO CUSTOMER-USD'!$H69,'01. KE30'!$A:$A,'06. BC BH THEO CUSTOMER-USD'!W$4)/'06. BC BH THEO CUSTOMER-USD'!DC69/'02. Tỷ giá'!L$5,"-")</f>
        <v>-</v>
      </c>
      <c r="AL69" s="147" t="str">
        <f>IFERROR(SUMIFS('01. KE30'!$O:$O,'01. KE30'!$C:$C,'06. BC BH THEO CUSTOMER-USD'!$D69,'01. KE30'!$F:$F,'06. BC BH THEO CUSTOMER-USD'!$H69,'01. KE30'!$A:$A,'06. BC BH THEO CUSTOMER-USD'!X$4)/'06. BC BH THEO CUSTOMER-USD'!DD69/'02. Tỷ giá'!M$5,"-")</f>
        <v>-</v>
      </c>
      <c r="AN69" s="92">
        <f t="shared" ref="AN69" si="399">IFERROR(AVERAGE(AO69:AZ69),"-")</f>
        <v>1160</v>
      </c>
      <c r="AO69" s="25"/>
      <c r="AP69" s="25"/>
      <c r="AQ69" s="25"/>
      <c r="AR69" s="25"/>
      <c r="AS69" s="25"/>
      <c r="AT69" s="25"/>
      <c r="AU69" s="25"/>
      <c r="AV69" s="4"/>
      <c r="AW69" s="25">
        <v>1160</v>
      </c>
      <c r="AX69" s="25"/>
      <c r="AY69" s="4"/>
      <c r="AZ69" s="4"/>
      <c r="BB69" s="95">
        <f t="shared" ref="BB69" si="400">IF(L69&lt;&gt;"-",Z69-AN69,"-")</f>
        <v>120.95238095238096</v>
      </c>
      <c r="BC69" s="95" t="str">
        <f t="shared" ref="BC69" si="401">IF(M69&lt;&gt;"-",AA69-AO69,"-")</f>
        <v>-</v>
      </c>
      <c r="BD69" s="95" t="str">
        <f t="shared" ref="BD69" si="402">IF(N69&lt;&gt;"-",AB69-AP69,"-")</f>
        <v>-</v>
      </c>
      <c r="BE69" s="95" t="str">
        <f t="shared" ref="BE69" si="403">IF(O69&lt;&gt;"-",AC69-AQ69,"-")</f>
        <v>-</v>
      </c>
      <c r="BF69" s="95" t="str">
        <f t="shared" ref="BF69" si="404">IF(P69&lt;&gt;"-",AD69-AR69,"-")</f>
        <v>-</v>
      </c>
      <c r="BG69" s="95" t="str">
        <f t="shared" ref="BG69" si="405">IF(Q69&lt;&gt;"-",AE69-AS69,"-")</f>
        <v>-</v>
      </c>
      <c r="BH69" s="95" t="str">
        <f t="shared" ref="BH69" si="406">IF(R69&lt;&gt;"-",AF69-AT69,"-")</f>
        <v>-</v>
      </c>
      <c r="BI69" s="95" t="str">
        <f t="shared" ref="BI69" si="407">IF(S69&lt;&gt;"-",AG69-AU69,"-")</f>
        <v>-</v>
      </c>
      <c r="BJ69" s="95" t="str">
        <f t="shared" ref="BJ69" si="408">IF(T69&lt;&gt;"-",AH69-AV69,"-")</f>
        <v>-</v>
      </c>
      <c r="BK69" s="95">
        <f t="shared" ref="BK69" si="409">IF(U69&lt;&gt;"-",AI69-AW69,"-")</f>
        <v>120.95238095238096</v>
      </c>
      <c r="BL69" s="95" t="str">
        <f t="shared" ref="BL69" si="410">IF(V69&lt;&gt;"-",AJ69-AX69,"-")</f>
        <v>-</v>
      </c>
      <c r="BM69" s="95" t="str">
        <f t="shared" ref="BM69" si="411">IF(W69&lt;&gt;"-",AK69-AY69,"-")</f>
        <v>-</v>
      </c>
      <c r="BN69" s="95" t="str">
        <f t="shared" ref="BN69" si="412">IF(X69&lt;&gt;"-",AL69-AZ69,"-")</f>
        <v>-</v>
      </c>
      <c r="BP69" s="143">
        <f t="shared" ref="BP69" si="413">IFERROR(IF(BB69&lt;&gt;"-",BB69/AN69,"-"),"-")</f>
        <v>0.10426929392446635</v>
      </c>
      <c r="BQ69" s="143" t="str">
        <f t="shared" ref="BQ69" si="414">IFERROR(IF(BC69&lt;&gt;"-",BC69/AO69,"-"),"-")</f>
        <v>-</v>
      </c>
      <c r="BR69" s="143" t="str">
        <f t="shared" ref="BR69" si="415">IFERROR(IF(BD69&lt;&gt;"-",BD69/AP69,"-"),"-")</f>
        <v>-</v>
      </c>
      <c r="BS69" s="143" t="str">
        <f t="shared" ref="BS69" si="416">IFERROR(IF(BE69&lt;&gt;"-",BE69/AQ69,"-"),"-")</f>
        <v>-</v>
      </c>
      <c r="BT69" s="143" t="str">
        <f t="shared" ref="BT69" si="417">IFERROR(IF(BF69&lt;&gt;"-",BF69/AR69,"-"),"-")</f>
        <v>-</v>
      </c>
      <c r="BU69" s="143" t="str">
        <f t="shared" ref="BU69" si="418">IFERROR(IF(BG69&lt;&gt;"-",BG69/AS69,"-"),"-")</f>
        <v>-</v>
      </c>
      <c r="BV69" s="143" t="str">
        <f t="shared" ref="BV69" si="419">IFERROR(IF(BH69&lt;&gt;"-",BH69/AT69,"-"),"-")</f>
        <v>-</v>
      </c>
      <c r="BW69" s="143" t="str">
        <f t="shared" ref="BW69" si="420">IFERROR(IF(BI69&lt;&gt;"-",BI69/AU69,"-"),"-")</f>
        <v>-</v>
      </c>
      <c r="BX69" s="143" t="str">
        <f t="shared" ref="BX69" si="421">IFERROR(IF(BJ69&lt;&gt;"-",BJ69/AV69,"-"),"-")</f>
        <v>-</v>
      </c>
      <c r="BY69" s="143">
        <f t="shared" ref="BY69" si="422">IFERROR(IF(BK69&lt;&gt;"-",BK69/AW69,"-"),"-")</f>
        <v>0.10426929392446635</v>
      </c>
      <c r="BZ69" s="143" t="str">
        <f t="shared" ref="BZ69" si="423">IFERROR(IF(BL69&lt;&gt;"-",BL69/AX69,"-"),"-")</f>
        <v>-</v>
      </c>
      <c r="CA69" s="143" t="str">
        <f t="shared" ref="CA69" si="424">IFERROR(IF(BM69&lt;&gt;"-",BM69/AY69,"-"),"-")</f>
        <v>-</v>
      </c>
      <c r="CB69" s="143" t="str">
        <f t="shared" ref="CB69" si="425">IFERROR(IF(BN69&lt;&gt;"-",BN69/AZ69,"-"),"-")</f>
        <v>-</v>
      </c>
      <c r="CD69" s="112">
        <f t="shared" ref="CD69" si="426">IFERROR(AVERAGE(CE69:CP69),"-")</f>
        <v>1187.4841904761904</v>
      </c>
      <c r="CE69" s="95" t="str">
        <f>IFERROR(SUMIFS('01. KE30'!$R:$R,'01. KE30'!$C:$C,'06. BC BH THEO CUSTOMER-USD'!$D69,'01. KE30'!$F:$F,'06. BC BH THEO CUSTOMER-USD'!$H69,'01. KE30'!$A:$A,'06. BC BH THEO CUSTOMER-USD'!CE$4)/CS69/'02. Tỷ giá'!B$5," -")</f>
        <v xml:space="preserve"> -</v>
      </c>
      <c r="CF69" s="95" t="str">
        <f>IFERROR(SUMIFS('01. KE30'!$R:$R,'01. KE30'!$C:$C,'06. BC BH THEO CUSTOMER-USD'!$D69,'01. KE30'!$F:$F,'06. BC BH THEO CUSTOMER-USD'!$H69,'01. KE30'!$A:$A,'06. BC BH THEO CUSTOMER-USD'!CF$4)/CT69/'02. Tỷ giá'!C$5," -")</f>
        <v xml:space="preserve"> -</v>
      </c>
      <c r="CG69" s="95" t="str">
        <f>IFERROR(SUMIFS('01. KE30'!$R:$R,'01. KE30'!$C:$C,'06. BC BH THEO CUSTOMER-USD'!$D69,'01. KE30'!$F:$F,'06. BC BH THEO CUSTOMER-USD'!$H69,'01. KE30'!$A:$A,'06. BC BH THEO CUSTOMER-USD'!CG$4)/CU69/'02. Tỷ giá'!D$5," -")</f>
        <v xml:space="preserve"> -</v>
      </c>
      <c r="CH69" s="95" t="str">
        <f>IFERROR(SUMIFS('01. KE30'!$R:$R,'01. KE30'!$C:$C,'06. BC BH THEO CUSTOMER-USD'!$D69,'01. KE30'!$F:$F,'06. BC BH THEO CUSTOMER-USD'!$H69,'01. KE30'!$A:$A,'06. BC BH THEO CUSTOMER-USD'!CH$4)/CV69/'02. Tỷ giá'!E$5," -")</f>
        <v xml:space="preserve"> -</v>
      </c>
      <c r="CI69" s="95" t="str">
        <f>IFERROR(SUMIFS('01. KE30'!$R:$R,'01. KE30'!$C:$C,'06. BC BH THEO CUSTOMER-USD'!$D69,'01. KE30'!$F:$F,'06. BC BH THEO CUSTOMER-USD'!$H69,'01. KE30'!$A:$A,'06. BC BH THEO CUSTOMER-USD'!CI$4)/CW69/'02. Tỷ giá'!F$5," -")</f>
        <v xml:space="preserve"> -</v>
      </c>
      <c r="CJ69" s="95" t="str">
        <f>IFERROR(SUMIFS('01. KE30'!$R:$R,'01. KE30'!$C:$C,'06. BC BH THEO CUSTOMER-USD'!$D69,'01. KE30'!$F:$F,'06. BC BH THEO CUSTOMER-USD'!$H69,'01. KE30'!$A:$A,'06. BC BH THEO CUSTOMER-USD'!CJ$4)/CX69/'02. Tỷ giá'!G$5," -")</f>
        <v xml:space="preserve"> -</v>
      </c>
      <c r="CK69" s="95" t="str">
        <f>IFERROR(SUMIFS('01. KE30'!$R:$R,'01. KE30'!$C:$C,'06. BC BH THEO CUSTOMER-USD'!$D69,'01. KE30'!$F:$F,'06. BC BH THEO CUSTOMER-USD'!$H69,'01. KE30'!$A:$A,'06. BC BH THEO CUSTOMER-USD'!CK$4)/CY69/'02. Tỷ giá'!H$5," -")</f>
        <v xml:space="preserve"> -</v>
      </c>
      <c r="CL69" s="95" t="str">
        <f>IFERROR(SUMIFS('01. KE30'!$R:$R,'01. KE30'!$C:$C,'06. BC BH THEO CUSTOMER-USD'!$D69,'01. KE30'!$F:$F,'06. BC BH THEO CUSTOMER-USD'!$H69,'01. KE30'!$A:$A,'06. BC BH THEO CUSTOMER-USD'!CL$4)/CZ69/'02. Tỷ giá'!I$5," -")</f>
        <v xml:space="preserve"> -</v>
      </c>
      <c r="CM69" s="95">
        <f>IFERROR(SUMIFS('01. KE30'!$R:$R,'01. KE30'!$C:$C,'06. BC BH THEO CUSTOMER-USD'!$D69,'01. KE30'!$F:$F,'06. BC BH THEO CUSTOMER-USD'!$H69,'01. KE30'!$A:$A,'06. BC BH THEO CUSTOMER-USD'!CM$4)/DA69/'02. Tỷ giá'!J$5," -")</f>
        <v>1187.4841904761904</v>
      </c>
      <c r="CN69" s="95" t="str">
        <f>IFERROR(SUMIFS('01. KE30'!$R:$R,'01. KE30'!$C:$C,'06. BC BH THEO CUSTOMER-USD'!$D69,'01. KE30'!$F:$F,'06. BC BH THEO CUSTOMER-USD'!$H69,'01. KE30'!$A:$A,'06. BC BH THEO CUSTOMER-USD'!CN$4)/DB69/'02. Tỷ giá'!K$5," -")</f>
        <v xml:space="preserve"> -</v>
      </c>
      <c r="CO69" s="95" t="str">
        <f>IFERROR(SUMIFS('01. KE30'!$R:$R,'01. KE30'!$C:$C,'06. BC BH THEO CUSTOMER-USD'!$D69,'01. KE30'!$F:$F,'06. BC BH THEO CUSTOMER-USD'!$H69,'01. KE30'!$A:$A,'06. BC BH THEO CUSTOMER-USD'!CO$4)/DC69/'02. Tỷ giá'!L$5," -")</f>
        <v xml:space="preserve"> -</v>
      </c>
      <c r="CP69" s="95" t="str">
        <f>IFERROR(SUMIFS('01. KE30'!$R:$R,'01. KE30'!$C:$C,'06. BC BH THEO CUSTOMER-USD'!$D69,'01. KE30'!$F:$F,'06. BC BH THEO CUSTOMER-USD'!$H69,'01. KE30'!$A:$A,'06. BC BH THEO CUSTOMER-USD'!CP$4)/DD69/'02. Tỷ giá'!M$5," -")</f>
        <v xml:space="preserve"> -</v>
      </c>
      <c r="CR69" s="112">
        <f t="shared" ref="CR69" si="427">SUM(CS69:DD69)</f>
        <v>0.1</v>
      </c>
      <c r="CS69" s="114">
        <f>SUMIFS('01. KE30'!$I:$I,'01. KE30'!$C:$C,'06. BC BH THEO CUSTOMER-USD'!$D69,'01. KE30'!$F:$F,'06. BC BH THEO CUSTOMER-USD'!$H69,'01. KE30'!$A:$A,'06. BC BH THEO CUSTOMER-USD'!CS$4)/1000</f>
        <v>0</v>
      </c>
      <c r="CT69" s="114">
        <f>SUMIFS('01. KE30'!$I:$I,'01. KE30'!$C:$C,'06. BC BH THEO CUSTOMER-USD'!$D69,'01. KE30'!$F:$F,'06. BC BH THEO CUSTOMER-USD'!$H69,'01. KE30'!$A:$A,'06. BC BH THEO CUSTOMER-USD'!CT$4)/1000</f>
        <v>0</v>
      </c>
      <c r="CU69" s="114">
        <f>SUMIFS('01. KE30'!$I:$I,'01. KE30'!$C:$C,'06. BC BH THEO CUSTOMER-USD'!$D69,'01. KE30'!$F:$F,'06. BC BH THEO CUSTOMER-USD'!$H69,'01. KE30'!$A:$A,'06. BC BH THEO CUSTOMER-USD'!CU$4)/1000</f>
        <v>0</v>
      </c>
      <c r="CV69" s="114">
        <f>SUMIFS('01. KE30'!$I:$I,'01. KE30'!$C:$C,'06. BC BH THEO CUSTOMER-USD'!$D69,'01. KE30'!$F:$F,'06. BC BH THEO CUSTOMER-USD'!$H69,'01. KE30'!$A:$A,'06. BC BH THEO CUSTOMER-USD'!CV$4)/1000</f>
        <v>0</v>
      </c>
      <c r="CW69" s="114">
        <f>SUMIFS('01. KE30'!$I:$I,'01. KE30'!$C:$C,'06. BC BH THEO CUSTOMER-USD'!$D69,'01. KE30'!$F:$F,'06. BC BH THEO CUSTOMER-USD'!$H69,'01. KE30'!$A:$A,'06. BC BH THEO CUSTOMER-USD'!CW$4)/1000</f>
        <v>0</v>
      </c>
      <c r="CX69" s="114">
        <f>SUMIFS('01. KE30'!$I:$I,'01. KE30'!$C:$C,'06. BC BH THEO CUSTOMER-USD'!$D69,'01. KE30'!$F:$F,'06. BC BH THEO CUSTOMER-USD'!$H69,'01. KE30'!$A:$A,'06. BC BH THEO CUSTOMER-USD'!CX$4)/1000</f>
        <v>0</v>
      </c>
      <c r="CY69" s="114">
        <f>SUMIFS('01. KE30'!$I:$I,'01. KE30'!$C:$C,'06. BC BH THEO CUSTOMER-USD'!$D69,'01. KE30'!$F:$F,'06. BC BH THEO CUSTOMER-USD'!$H69,'01. KE30'!$A:$A,'06. BC BH THEO CUSTOMER-USD'!CY$4)/1000</f>
        <v>0</v>
      </c>
      <c r="CZ69" s="114">
        <f>SUMIFS('01. KE30'!$I:$I,'01. KE30'!$C:$C,'06. BC BH THEO CUSTOMER-USD'!$D69,'01. KE30'!$F:$F,'06. BC BH THEO CUSTOMER-USD'!$H69,'01. KE30'!$A:$A,'06. BC BH THEO CUSTOMER-USD'!CZ$4)/1000</f>
        <v>0</v>
      </c>
      <c r="DA69" s="114">
        <f>SUMIFS('01. KE30'!$I:$I,'01. KE30'!$C:$C,'06. BC BH THEO CUSTOMER-USD'!$D69,'01. KE30'!$F:$F,'06. BC BH THEO CUSTOMER-USD'!$H69,'01. KE30'!$A:$A,'06. BC BH THEO CUSTOMER-USD'!DA$4)/1000</f>
        <v>0.1</v>
      </c>
      <c r="DB69" s="114">
        <f>SUMIFS('01. KE30'!$I:$I,'01. KE30'!$C:$C,'06. BC BH THEO CUSTOMER-USD'!$D69,'01. KE30'!$F:$F,'06. BC BH THEO CUSTOMER-USD'!$H69,'01. KE30'!$A:$A,'06. BC BH THEO CUSTOMER-USD'!DB$4)/1000</f>
        <v>0</v>
      </c>
      <c r="DC69" s="114">
        <f>SUMIFS('01. KE30'!$I:$I,'01. KE30'!$C:$C,'06. BC BH THEO CUSTOMER-USD'!$D69,'01. KE30'!$F:$F,'06. BC BH THEO CUSTOMER-USD'!$H69,'01. KE30'!$A:$A,'06. BC BH THEO CUSTOMER-USD'!DC$4)/1000</f>
        <v>0</v>
      </c>
      <c r="DD69" s="114">
        <f>SUMIFS('01. KE30'!$I:$I,'01. KE30'!$C:$C,'06. BC BH THEO CUSTOMER-USD'!$D69,'01. KE30'!$F:$F,'06. BC BH THEO CUSTOMER-USD'!$H69,'01. KE30'!$A:$A,'06. BC BH THEO CUSTOMER-USD'!DD$4)/1000</f>
        <v>0</v>
      </c>
      <c r="DF69" s="112">
        <f t="shared" ref="DF69" si="428">SUM(DG69:DR69)</f>
        <v>128.0952380952381</v>
      </c>
      <c r="DG69" s="54" t="str">
        <f t="shared" ref="DG69" si="429">IFERROR(M69*CS69,"-")</f>
        <v>-</v>
      </c>
      <c r="DH69" s="54" t="str">
        <f t="shared" ref="DH69" si="430">IFERROR(N69*CT69,"-")</f>
        <v>-</v>
      </c>
      <c r="DI69" s="54" t="str">
        <f t="shared" ref="DI69" si="431">IFERROR(O69*CU69,"-")</f>
        <v>-</v>
      </c>
      <c r="DJ69" s="54" t="str">
        <f t="shared" ref="DJ69" si="432">IFERROR(P69*CV69,"-")</f>
        <v>-</v>
      </c>
      <c r="DK69" s="54" t="str">
        <f t="shared" ref="DK69" si="433">IFERROR(Q69*CW69,"-")</f>
        <v>-</v>
      </c>
      <c r="DL69" s="54" t="str">
        <f t="shared" ref="DL69" si="434">IFERROR(R69*CX69,"-")</f>
        <v>-</v>
      </c>
      <c r="DM69" s="54" t="str">
        <f t="shared" ref="DM69" si="435">IFERROR(S69*CY69,"-")</f>
        <v>-</v>
      </c>
      <c r="DN69" s="54" t="str">
        <f t="shared" ref="DN69" si="436">IFERROR(T69*CZ69,"-")</f>
        <v>-</v>
      </c>
      <c r="DO69" s="54">
        <f t="shared" ref="DO69" si="437">IFERROR(U69*DA69,"-")</f>
        <v>128.0952380952381</v>
      </c>
      <c r="DP69" s="54" t="str">
        <f t="shared" ref="DP69" si="438">IFERROR(V69*DB69,"-")</f>
        <v>-</v>
      </c>
      <c r="DQ69" s="54" t="str">
        <f t="shared" ref="DQ69" si="439">IFERROR(W69*DC69,"-")</f>
        <v>-</v>
      </c>
      <c r="DR69" s="54" t="str">
        <f t="shared" ref="DR69" si="440">IFERROR(X69*DD69,"-")</f>
        <v>-</v>
      </c>
      <c r="DT69" s="112">
        <f t="shared" ref="DT69" si="441">SUM(DU69:EF69)</f>
        <v>9.34681904761905</v>
      </c>
      <c r="DU69" s="114">
        <f>IFERROR(SUMIFS('01. KE30'!$X:$X,'01. KE30'!$C:$C,'06. BC BH THEO CUSTOMER-USD'!$D69,'01. KE30'!$F:$F,'06. BC BH THEO CUSTOMER-USD'!$H69,'01. KE30'!$A:$A,'06. BC BH THEO CUSTOMER-USD'!DU$4)-SUMIFS('01. KE30'!$AA:$AA,'01. KE30'!$C:$C,'06. BC BH THEO CUSTOMER-USD'!$D69,'01. KE30'!$F:$F,'06. BC BH THEO CUSTOMER-USD'!$H69,'01. KE30'!$A:$A,'06. BC BH THEO CUSTOMER-USD'!DU$4),"-")</f>
        <v>0</v>
      </c>
      <c r="DV69" s="114">
        <f>IFERROR(SUMIFS('01. KE30'!$X:$X,'01. KE30'!$C:$C,'06. BC BH THEO CUSTOMER-USD'!$D69,'01. KE30'!$F:$F,'06. BC BH THEO CUSTOMER-USD'!$H69,'01. KE30'!$A:$A,'06. BC BH THEO CUSTOMER-USD'!DV$4)-SUMIFS('01. KE30'!$AA:$AA,'01. KE30'!$C:$C,'06. BC BH THEO CUSTOMER-USD'!$D69,'01. KE30'!$F:$F,'06. BC BH THEO CUSTOMER-USD'!$H69,'01. KE30'!$A:$A,'06. BC BH THEO CUSTOMER-USD'!DV$4),"-")</f>
        <v>0</v>
      </c>
      <c r="DW69" s="114">
        <f>IFERROR(SUMIFS('01. KE30'!$X:$X,'01. KE30'!$C:$C,'06. BC BH THEO CUSTOMER-USD'!$D69,'01. KE30'!$F:$F,'06. BC BH THEO CUSTOMER-USD'!$H69,'01. KE30'!$A:$A,'06. BC BH THEO CUSTOMER-USD'!DW$4)-SUMIFS('01. KE30'!$AA:$AA,'01. KE30'!$C:$C,'06. BC BH THEO CUSTOMER-USD'!$D69,'01. KE30'!$F:$F,'06. BC BH THEO CUSTOMER-USD'!$H69,'01. KE30'!$A:$A,'06. BC BH THEO CUSTOMER-USD'!DW$4),"-")</f>
        <v>0</v>
      </c>
      <c r="DX69" s="114">
        <f>IFERROR(SUMIFS('01. KE30'!$X:$X,'01. KE30'!$C:$C,'06. BC BH THEO CUSTOMER-USD'!$D69,'01. KE30'!$F:$F,'06. BC BH THEO CUSTOMER-USD'!$H69,'01. KE30'!$A:$A,'06. BC BH THEO CUSTOMER-USD'!DX$4)-SUMIFS('01. KE30'!$AA:$AA,'01. KE30'!$C:$C,'06. BC BH THEO CUSTOMER-USD'!$D69,'01. KE30'!$F:$F,'06. BC BH THEO CUSTOMER-USD'!$H69,'01. KE30'!$A:$A,'06. BC BH THEO CUSTOMER-USD'!DX$4),"-")</f>
        <v>0</v>
      </c>
      <c r="DY69" s="114">
        <f>IFERROR(SUMIFS('01. KE30'!$X:$X,'01. KE30'!$C:$C,'06. BC BH THEO CUSTOMER-USD'!$D69,'01. KE30'!$F:$F,'06. BC BH THEO CUSTOMER-USD'!$H69,'01. KE30'!$A:$A,'06. BC BH THEO CUSTOMER-USD'!DY$4)-SUMIFS('01. KE30'!$AA:$AA,'01. KE30'!$C:$C,'06. BC BH THEO CUSTOMER-USD'!$D69,'01. KE30'!$F:$F,'06. BC BH THEO CUSTOMER-USD'!$H69,'01. KE30'!$A:$A,'06. BC BH THEO CUSTOMER-USD'!DY$4),"-")</f>
        <v>0</v>
      </c>
      <c r="DZ69" s="114">
        <f>IFERROR(SUMIFS('01. KE30'!$X:$X,'01. KE30'!$C:$C,'06. BC BH THEO CUSTOMER-USD'!$D69,'01. KE30'!$F:$F,'06. BC BH THEO CUSTOMER-USD'!$H69,'01. KE30'!$A:$A,'06. BC BH THEO CUSTOMER-USD'!DZ$4)-SUMIFS('01. KE30'!$AA:$AA,'01. KE30'!$C:$C,'06. BC BH THEO CUSTOMER-USD'!$D69,'01. KE30'!$F:$F,'06. BC BH THEO CUSTOMER-USD'!$H69,'01. KE30'!$A:$A,'06. BC BH THEO CUSTOMER-USD'!DZ$4),"-")</f>
        <v>0</v>
      </c>
      <c r="EA69" s="114">
        <f>IFERROR(SUMIFS('01. KE30'!$X:$X,'01. KE30'!$C:$C,'06. BC BH THEO CUSTOMER-USD'!$D69,'01. KE30'!$F:$F,'06. BC BH THEO CUSTOMER-USD'!$H69,'01. KE30'!$A:$A,'06. BC BH THEO CUSTOMER-USD'!EA$4)-SUMIFS('01. KE30'!$AA:$AA,'01. KE30'!$C:$C,'06. BC BH THEO CUSTOMER-USD'!$D69,'01. KE30'!$F:$F,'06. BC BH THEO CUSTOMER-USD'!$H69,'01. KE30'!$A:$A,'06. BC BH THEO CUSTOMER-USD'!EA$4),"-")</f>
        <v>0</v>
      </c>
      <c r="EB69" s="114">
        <f>IFERROR(SUMIFS('01. KE30'!$X:$X,'01. KE30'!$C:$C,'06. BC BH THEO CUSTOMER-USD'!$D69,'01. KE30'!$F:$F,'06. BC BH THEO CUSTOMER-USD'!$H69,'01. KE30'!$A:$A,'06. BC BH THEO CUSTOMER-USD'!EB$4)-SUMIFS('01. KE30'!$AA:$AA,'01. KE30'!$C:$C,'06. BC BH THEO CUSTOMER-USD'!$D69,'01. KE30'!$F:$F,'06. BC BH THEO CUSTOMER-USD'!$H69,'01. KE30'!$A:$A,'06. BC BH THEO CUSTOMER-USD'!EB$4),"-")</f>
        <v>0</v>
      </c>
      <c r="EC69" s="114">
        <f>IFERROR(SUMIFS('01. KE30'!$X:$X,'01. KE30'!$C:$C,'06. BC BH THEO CUSTOMER-USD'!$D69,'01. KE30'!$F:$F,'06. BC BH THEO CUSTOMER-USD'!$H69,'01. KE30'!$A:$A,'06. BC BH THEO CUSTOMER-USD'!EC$4)-SUMIFS('01. KE30'!$AA:$AA,'01. KE30'!$C:$C,'06. BC BH THEO CUSTOMER-USD'!$D69,'01. KE30'!$F:$F,'06. BC BH THEO CUSTOMER-USD'!$H69,'01. KE30'!$A:$A,'06. BC BH THEO CUSTOMER-USD'!EC$4),"-")</f>
        <v>9.34681904761905</v>
      </c>
      <c r="ED69" s="114">
        <f>IFERROR(SUMIFS('01. KE30'!$X:$X,'01. KE30'!$C:$C,'06. BC BH THEO CUSTOMER-USD'!$D69,'01. KE30'!$F:$F,'06. BC BH THEO CUSTOMER-USD'!$H69,'01. KE30'!$A:$A,'06. BC BH THEO CUSTOMER-USD'!ED$4)-SUMIFS('01. KE30'!$AA:$AA,'01. KE30'!$C:$C,'06. BC BH THEO CUSTOMER-USD'!$D69,'01. KE30'!$F:$F,'06. BC BH THEO CUSTOMER-USD'!$H69,'01. KE30'!$A:$A,'06. BC BH THEO CUSTOMER-USD'!ED$4),"-")</f>
        <v>0</v>
      </c>
      <c r="EE69" s="114">
        <f>IFERROR(SUMIFS('01. KE30'!$X:$X,'01. KE30'!$C:$C,'06. BC BH THEO CUSTOMER-USD'!$D69,'01. KE30'!$F:$F,'06. BC BH THEO CUSTOMER-USD'!$H69,'01. KE30'!$A:$A,'06. BC BH THEO CUSTOMER-USD'!EE$4)-SUMIFS('01. KE30'!$AA:$AA,'01. KE30'!$C:$C,'06. BC BH THEO CUSTOMER-USD'!$D69,'01. KE30'!$F:$F,'06. BC BH THEO CUSTOMER-USD'!$H69,'01. KE30'!$A:$A,'06. BC BH THEO CUSTOMER-USD'!EE$4),"-")</f>
        <v>0</v>
      </c>
      <c r="EF69" s="114">
        <f>IFERROR(SUMIFS('01. KE30'!$X:$X,'01. KE30'!$C:$C,'06. BC BH THEO CUSTOMER-USD'!$D69,'01. KE30'!$F:$F,'06. BC BH THEO CUSTOMER-USD'!$H69,'01. KE30'!$A:$A,'06. BC BH THEO CUSTOMER-USD'!EF$4)-SUMIFS('01. KE30'!$AA:$AA,'01. KE30'!$C:$C,'06. BC BH THEO CUSTOMER-USD'!$D69,'01. KE30'!$F:$F,'06. BC BH THEO CUSTOMER-USD'!$H69,'01. KE30'!$A:$A,'06. BC BH THEO CUSTOMER-USD'!EF$4),"-")</f>
        <v>0</v>
      </c>
      <c r="EH69" s="571">
        <f t="shared" ref="EH69" si="442">IFERROR(DT69/DF69,"-")</f>
        <v>7.2967732342007444E-2</v>
      </c>
      <c r="EI69" s="572" t="str">
        <f t="shared" ref="EI69" si="443">IFERROR(DU69/DG69,"-")</f>
        <v>-</v>
      </c>
      <c r="EJ69" s="572" t="str">
        <f t="shared" ref="EJ69" si="444">IFERROR(DV69/DH69,"-")</f>
        <v>-</v>
      </c>
      <c r="EK69" s="572" t="str">
        <f t="shared" ref="EK69" si="445">IFERROR(DW69/DI69,"-")</f>
        <v>-</v>
      </c>
      <c r="EL69" s="572" t="str">
        <f t="shared" ref="EL69" si="446">IFERROR(DX69/DJ69,"-")</f>
        <v>-</v>
      </c>
      <c r="EM69" s="572" t="str">
        <f t="shared" ref="EM69" si="447">IFERROR(DY69/DK69,"-")</f>
        <v>-</v>
      </c>
      <c r="EN69" s="572" t="str">
        <f t="shared" ref="EN69" si="448">IFERROR(DZ69/DL69,"-")</f>
        <v>-</v>
      </c>
      <c r="EO69" s="572" t="str">
        <f t="shared" ref="EO69" si="449">IFERROR(EA69/DM69,"-")</f>
        <v>-</v>
      </c>
      <c r="EP69" s="572" t="str">
        <f t="shared" ref="EP69" si="450">IFERROR(EB69/DN69,"-")</f>
        <v>-</v>
      </c>
      <c r="EQ69" s="572">
        <f t="shared" ref="EQ69" si="451">IFERROR(EC69/DO69,"-")</f>
        <v>7.2967732342007444E-2</v>
      </c>
      <c r="ER69" s="572" t="str">
        <f t="shared" ref="ER69" si="452">IFERROR(ED69/DP69,"-")</f>
        <v>-</v>
      </c>
      <c r="ES69" s="572" t="str">
        <f t="shared" ref="ES69" si="453">IFERROR(EE69/DQ69,"-")</f>
        <v>-</v>
      </c>
      <c r="ET69" s="572" t="str">
        <f t="shared" ref="ET69" si="454">IFERROR(EF69/DR69,"-")</f>
        <v>-</v>
      </c>
    </row>
    <row r="70" spans="1:150" ht="15.5" hidden="1" outlineLevel="1" x14ac:dyDescent="0.35">
      <c r="A70" s="27">
        <f>A68+1</f>
        <v>58</v>
      </c>
      <c r="B70" s="27" t="s">
        <v>283</v>
      </c>
      <c r="C70" s="442" t="s">
        <v>489</v>
      </c>
      <c r="D70" s="9" t="s">
        <v>639</v>
      </c>
      <c r="E70" s="12" t="s">
        <v>640</v>
      </c>
      <c r="F70" s="12" t="s">
        <v>245</v>
      </c>
      <c r="G70" s="12" t="str">
        <f>_xlfn.XLOOKUP(F70,'Quy đổi'!$G$5:$G$32,'Quy đổi'!$H$5:$H$32,0)</f>
        <v>Nội địa</v>
      </c>
      <c r="H70" s="77" t="s">
        <v>110</v>
      </c>
      <c r="I70" s="28" t="s">
        <v>109</v>
      </c>
      <c r="J70" s="13" t="s">
        <v>22</v>
      </c>
      <c r="K70" s="11"/>
      <c r="L70" s="92">
        <f t="shared" si="42"/>
        <v>1303.8110236220473</v>
      </c>
      <c r="M70" s="106" t="str">
        <f>IFERROR(SUMIFS('01. KE30'!$K:$K,'01. KE30'!$C:$C,'06. BC BH THEO CUSTOMER-USD'!$D70,'01. KE30'!$F:$F,'06. BC BH THEO CUSTOMER-USD'!$H70,'01. KE30'!$A:$A,'06. BC BH THEO CUSTOMER-USD'!M$4)/'06. BC BH THEO CUSTOMER-USD'!CS70/'02. Tỷ giá'!B$5,"-")</f>
        <v>-</v>
      </c>
      <c r="N70" s="106" t="str">
        <f>IFERROR(SUMIFS('01. KE30'!$K:$K,'01. KE30'!$C:$C,'06. BC BH THEO CUSTOMER-USD'!$D70,'01. KE30'!$F:$F,'06. BC BH THEO CUSTOMER-USD'!$H70,'01. KE30'!$A:$A,'06. BC BH THEO CUSTOMER-USD'!N$4)/'06. BC BH THEO CUSTOMER-USD'!CT70/'02. Tỷ giá'!C$5,"-")</f>
        <v>-</v>
      </c>
      <c r="O70" s="106">
        <f>IFERROR(SUMIFS('01. KE30'!$K:$K,'01. KE30'!$C:$C,'06. BC BH THEO CUSTOMER-USD'!$D70,'01. KE30'!$F:$F,'06. BC BH THEO CUSTOMER-USD'!$H70,'01. KE30'!$A:$A,'06. BC BH THEO CUSTOMER-USD'!O$4)/'06. BC BH THEO CUSTOMER-USD'!CU70/'02. Tỷ giá'!D$5,"-")</f>
        <v>1303.8110236220473</v>
      </c>
      <c r="P70" s="106" t="str">
        <f>IFERROR(SUMIFS('01. KE30'!$K:$K,'01. KE30'!$C:$C,'06. BC BH THEO CUSTOMER-USD'!$D70,'01. KE30'!$F:$F,'06. BC BH THEO CUSTOMER-USD'!$H70,'01. KE30'!$A:$A,'06. BC BH THEO CUSTOMER-USD'!P$4)/'06. BC BH THEO CUSTOMER-USD'!CV70/'02. Tỷ giá'!E$5,"-")</f>
        <v>-</v>
      </c>
      <c r="Q70" s="106" t="str">
        <f>IFERROR(SUMIFS('01. KE30'!$K:$K,'01. KE30'!$C:$C,'06. BC BH THEO CUSTOMER-USD'!$D70,'01. KE30'!$F:$F,'06. BC BH THEO CUSTOMER-USD'!$H70,'01. KE30'!$A:$A,'06. BC BH THEO CUSTOMER-USD'!Q$4)/'06. BC BH THEO CUSTOMER-USD'!CW70/'02. Tỷ giá'!F$5,"-")</f>
        <v>-</v>
      </c>
      <c r="R70" s="106" t="str">
        <f>IFERROR(SUMIFS('01. KE30'!$K:$K,'01. KE30'!$C:$C,'06. BC BH THEO CUSTOMER-USD'!$D70,'01. KE30'!$F:$F,'06. BC BH THEO CUSTOMER-USD'!$H70,'01. KE30'!$A:$A,'06. BC BH THEO CUSTOMER-USD'!R$4)/'06. BC BH THEO CUSTOMER-USD'!CX70/'02. Tỷ giá'!G$5,"-")</f>
        <v>-</v>
      </c>
      <c r="S70" s="106" t="str">
        <f>IFERROR(SUMIFS('01. KE30'!$K:$K,'01. KE30'!$C:$C,'06. BC BH THEO CUSTOMER-USD'!$D70,'01. KE30'!$F:$F,'06. BC BH THEO CUSTOMER-USD'!$H70,'01. KE30'!$A:$A,'06. BC BH THEO CUSTOMER-USD'!S$4)/'06. BC BH THEO CUSTOMER-USD'!CY70/'02. Tỷ giá'!H$5,"-")</f>
        <v>-</v>
      </c>
      <c r="T70" s="106" t="str">
        <f>IFERROR(SUMIFS('01. KE30'!$K:$K,'01. KE30'!$C:$C,'06. BC BH THEO CUSTOMER-USD'!$D70,'01. KE30'!$F:$F,'06. BC BH THEO CUSTOMER-USD'!$H70,'01. KE30'!$A:$A,'06. BC BH THEO CUSTOMER-USD'!T$4)/'06. BC BH THEO CUSTOMER-USD'!CZ70/'02. Tỷ giá'!I$5,"-")</f>
        <v>-</v>
      </c>
      <c r="U70" s="106" t="str">
        <f>IFERROR(SUMIFS('01. KE30'!$K:$K,'01. KE30'!$C:$C,'06. BC BH THEO CUSTOMER-USD'!$D70,'01. KE30'!$F:$F,'06. BC BH THEO CUSTOMER-USD'!$H70,'01. KE30'!$A:$A,'06. BC BH THEO CUSTOMER-USD'!U$4)/'06. BC BH THEO CUSTOMER-USD'!DA70/'02. Tỷ giá'!J$5,"-")</f>
        <v>-</v>
      </c>
      <c r="V70" s="106" t="str">
        <f>IFERROR(SUMIFS('01. KE30'!$K:$K,'01. KE30'!$C:$C,'06. BC BH THEO CUSTOMER-USD'!$D70,'01. KE30'!$F:$F,'06. BC BH THEO CUSTOMER-USD'!$H70,'01. KE30'!$A:$A,'06. BC BH THEO CUSTOMER-USD'!V$4)/'06. BC BH THEO CUSTOMER-USD'!DB70/'02. Tỷ giá'!K$5,"-")</f>
        <v>-</v>
      </c>
      <c r="W70" s="106" t="str">
        <f>IFERROR(SUMIFS('01. KE30'!$K:$K,'01. KE30'!$C:$C,'06. BC BH THEO CUSTOMER-USD'!$D70,'01. KE30'!$F:$F,'06. BC BH THEO CUSTOMER-USD'!$H70,'01. KE30'!$A:$A,'06. BC BH THEO CUSTOMER-USD'!W$4)/'06. BC BH THEO CUSTOMER-USD'!DC70/'02. Tỷ giá'!L$5,"-")</f>
        <v>-</v>
      </c>
      <c r="X70" s="106" t="str">
        <f>IFERROR(SUMIFS('01. KE30'!$K:$K,'01. KE30'!$C:$C,'06. BC BH THEO CUSTOMER-USD'!$D70,'01. KE30'!$F:$F,'06. BC BH THEO CUSTOMER-USD'!$H70,'01. KE30'!$A:$A,'06. BC BH THEO CUSTOMER-USD'!X$4)/'06. BC BH THEO CUSTOMER-USD'!DD70/'02. Tỷ giá'!M$5,"-")</f>
        <v>-</v>
      </c>
      <c r="Z70" s="92">
        <f t="shared" si="43"/>
        <v>1131.5896456692913</v>
      </c>
      <c r="AA70" s="147" t="str">
        <f>IFERROR(SUMIFS('01. KE30'!$O:$O,'01. KE30'!$C:$C,'06. BC BH THEO CUSTOMER-USD'!$D70,'01. KE30'!$F:$F,'06. BC BH THEO CUSTOMER-USD'!$H70,'01. KE30'!$A:$A,'06. BC BH THEO CUSTOMER-USD'!M$4)/'06. BC BH THEO CUSTOMER-USD'!CS70/'02. Tỷ giá'!B$5,"-")</f>
        <v>-</v>
      </c>
      <c r="AB70" s="147" t="str">
        <f>IFERROR(SUMIFS('01. KE30'!$O:$O,'01. KE30'!$C:$C,'06. BC BH THEO CUSTOMER-USD'!$D70,'01. KE30'!$F:$F,'06. BC BH THEO CUSTOMER-USD'!$H70,'01. KE30'!$A:$A,'06. BC BH THEO CUSTOMER-USD'!N$4)/'06. BC BH THEO CUSTOMER-USD'!CT70/'02. Tỷ giá'!C$5,"-")</f>
        <v>-</v>
      </c>
      <c r="AC70" s="147">
        <f>IFERROR(SUMIFS('01. KE30'!$O:$O,'01. KE30'!$C:$C,'06. BC BH THEO CUSTOMER-USD'!$D70,'01. KE30'!$F:$F,'06. BC BH THEO CUSTOMER-USD'!$H70,'01. KE30'!$A:$A,'06. BC BH THEO CUSTOMER-USD'!O$4)/'06. BC BH THEO CUSTOMER-USD'!CU70/'02. Tỷ giá'!D$5,"-")</f>
        <v>1131.5896456692913</v>
      </c>
      <c r="AD70" s="147" t="str">
        <f>IFERROR(SUMIFS('01. KE30'!$O:$O,'01. KE30'!$C:$C,'06. BC BH THEO CUSTOMER-USD'!$D70,'01. KE30'!$F:$F,'06. BC BH THEO CUSTOMER-USD'!$H70,'01. KE30'!$A:$A,'06. BC BH THEO CUSTOMER-USD'!P$4)/'06. BC BH THEO CUSTOMER-USD'!CV70/'02. Tỷ giá'!E$5,"-")</f>
        <v>-</v>
      </c>
      <c r="AE70" s="147" t="str">
        <f>IFERROR(SUMIFS('01. KE30'!$O:$O,'01. KE30'!$C:$C,'06. BC BH THEO CUSTOMER-USD'!$D70,'01. KE30'!$F:$F,'06. BC BH THEO CUSTOMER-USD'!$H70,'01. KE30'!$A:$A,'06. BC BH THEO CUSTOMER-USD'!Q$4)/'06. BC BH THEO CUSTOMER-USD'!CW70/'02. Tỷ giá'!F$5,"-")</f>
        <v>-</v>
      </c>
      <c r="AF70" s="147" t="str">
        <f>IFERROR(SUMIFS('01. KE30'!$O:$O,'01. KE30'!$C:$C,'06. BC BH THEO CUSTOMER-USD'!$D70,'01. KE30'!$F:$F,'06. BC BH THEO CUSTOMER-USD'!$H70,'01. KE30'!$A:$A,'06. BC BH THEO CUSTOMER-USD'!R$4)/'06. BC BH THEO CUSTOMER-USD'!CX70/'02. Tỷ giá'!G$5,"-")</f>
        <v>-</v>
      </c>
      <c r="AG70" s="147" t="str">
        <f>IFERROR(SUMIFS('01. KE30'!$O:$O,'01. KE30'!$C:$C,'06. BC BH THEO CUSTOMER-USD'!$D70,'01. KE30'!$F:$F,'06. BC BH THEO CUSTOMER-USD'!$H70,'01. KE30'!$A:$A,'06. BC BH THEO CUSTOMER-USD'!S$4)/'06. BC BH THEO CUSTOMER-USD'!CY70/'02. Tỷ giá'!H$5,"-")</f>
        <v>-</v>
      </c>
      <c r="AH70" s="147" t="str">
        <f>IFERROR(SUMIFS('01. KE30'!$O:$O,'01. KE30'!$C:$C,'06. BC BH THEO CUSTOMER-USD'!$D70,'01. KE30'!$F:$F,'06. BC BH THEO CUSTOMER-USD'!$H70,'01. KE30'!$A:$A,'06. BC BH THEO CUSTOMER-USD'!T$4)/'06. BC BH THEO CUSTOMER-USD'!CZ70/'02. Tỷ giá'!I$5,"-")</f>
        <v>-</v>
      </c>
      <c r="AI70" s="147" t="str">
        <f>IFERROR(SUMIFS('01. KE30'!$O:$O,'01. KE30'!$C:$C,'06. BC BH THEO CUSTOMER-USD'!$D70,'01. KE30'!$F:$F,'06. BC BH THEO CUSTOMER-USD'!$H70,'01. KE30'!$A:$A,'06. BC BH THEO CUSTOMER-USD'!U$4)/'06. BC BH THEO CUSTOMER-USD'!DA70/'02. Tỷ giá'!J$5,"-")</f>
        <v>-</v>
      </c>
      <c r="AJ70" s="147" t="str">
        <f>IFERROR(SUMIFS('01. KE30'!$O:$O,'01. KE30'!$C:$C,'06. BC BH THEO CUSTOMER-USD'!$D70,'01. KE30'!$F:$F,'06. BC BH THEO CUSTOMER-USD'!$H70,'01. KE30'!$A:$A,'06. BC BH THEO CUSTOMER-USD'!V$4)/'06. BC BH THEO CUSTOMER-USD'!DB70/'02. Tỷ giá'!K$5,"-")</f>
        <v>-</v>
      </c>
      <c r="AK70" s="147" t="str">
        <f>IFERROR(SUMIFS('01. KE30'!$O:$O,'01. KE30'!$C:$C,'06. BC BH THEO CUSTOMER-USD'!$D70,'01. KE30'!$F:$F,'06. BC BH THEO CUSTOMER-USD'!$H70,'01. KE30'!$A:$A,'06. BC BH THEO CUSTOMER-USD'!W$4)/'06. BC BH THEO CUSTOMER-USD'!DC70/'02. Tỷ giá'!L$5,"-")</f>
        <v>-</v>
      </c>
      <c r="AL70" s="147" t="str">
        <f>IFERROR(SUMIFS('01. KE30'!$O:$O,'01. KE30'!$C:$C,'06. BC BH THEO CUSTOMER-USD'!$D70,'01. KE30'!$F:$F,'06. BC BH THEO CUSTOMER-USD'!$H70,'01. KE30'!$A:$A,'06. BC BH THEO CUSTOMER-USD'!X$4)/'06. BC BH THEO CUSTOMER-USD'!DD70/'02. Tỷ giá'!M$5,"-")</f>
        <v>-</v>
      </c>
      <c r="AN70" s="92">
        <f t="shared" si="44"/>
        <v>1236.6666666666667</v>
      </c>
      <c r="AO70" s="25">
        <v>1230</v>
      </c>
      <c r="AP70" s="25">
        <v>1230</v>
      </c>
      <c r="AQ70" s="25">
        <v>1230</v>
      </c>
      <c r="AR70" s="25">
        <f t="shared" si="396"/>
        <v>1250</v>
      </c>
      <c r="AS70" s="25">
        <v>1250</v>
      </c>
      <c r="AT70" s="25">
        <v>1250</v>
      </c>
      <c r="AU70" s="25">
        <v>1250</v>
      </c>
      <c r="AV70" s="4">
        <f t="shared" si="205"/>
        <v>1220</v>
      </c>
      <c r="AW70" s="25">
        <v>1220</v>
      </c>
      <c r="AX70" s="25"/>
      <c r="AY70" s="4"/>
      <c r="AZ70" s="4"/>
      <c r="BB70" s="95">
        <f t="shared" si="45"/>
        <v>-105.07702099737548</v>
      </c>
      <c r="BC70" s="95" t="str">
        <f t="shared" si="206"/>
        <v>-</v>
      </c>
      <c r="BD70" s="95" t="str">
        <f t="shared" si="389"/>
        <v>-</v>
      </c>
      <c r="BE70" s="95">
        <f t="shared" si="389"/>
        <v>-98.410354330708742</v>
      </c>
      <c r="BF70" s="95" t="str">
        <f t="shared" si="389"/>
        <v>-</v>
      </c>
      <c r="BG70" s="95" t="str">
        <f t="shared" si="389"/>
        <v>-</v>
      </c>
      <c r="BH70" s="95" t="str">
        <f t="shared" si="389"/>
        <v>-</v>
      </c>
      <c r="BI70" s="95" t="str">
        <f t="shared" si="389"/>
        <v>-</v>
      </c>
      <c r="BJ70" s="95" t="str">
        <f t="shared" si="389"/>
        <v>-</v>
      </c>
      <c r="BK70" s="95" t="str">
        <f t="shared" si="389"/>
        <v>-</v>
      </c>
      <c r="BL70" s="95" t="str">
        <f t="shared" si="389"/>
        <v>-</v>
      </c>
      <c r="BM70" s="95" t="str">
        <f t="shared" si="389"/>
        <v>-</v>
      </c>
      <c r="BN70" s="95" t="str">
        <f t="shared" si="389"/>
        <v>-</v>
      </c>
      <c r="BP70" s="143">
        <f t="shared" si="47"/>
        <v>-8.4967941507311712E-2</v>
      </c>
      <c r="BQ70" s="143" t="str">
        <f t="shared" si="202"/>
        <v>-</v>
      </c>
      <c r="BR70" s="143" t="str">
        <f t="shared" si="9"/>
        <v>-</v>
      </c>
      <c r="BS70" s="143">
        <f t="shared" si="10"/>
        <v>-8.0008418155047764E-2</v>
      </c>
      <c r="BT70" s="143" t="str">
        <f t="shared" si="11"/>
        <v>-</v>
      </c>
      <c r="BU70" s="143" t="str">
        <f t="shared" si="12"/>
        <v>-</v>
      </c>
      <c r="BV70" s="143" t="str">
        <f t="shared" si="13"/>
        <v>-</v>
      </c>
      <c r="BW70" s="143" t="str">
        <f t="shared" si="14"/>
        <v>-</v>
      </c>
      <c r="BX70" s="143" t="str">
        <f t="shared" si="15"/>
        <v>-</v>
      </c>
      <c r="BY70" s="143" t="str">
        <f t="shared" si="16"/>
        <v>-</v>
      </c>
      <c r="BZ70" s="143" t="str">
        <f t="shared" si="17"/>
        <v>-</v>
      </c>
      <c r="CA70" s="143" t="str">
        <f t="shared" si="18"/>
        <v>-</v>
      </c>
      <c r="CB70" s="143" t="str">
        <f t="shared" si="19"/>
        <v>-</v>
      </c>
      <c r="CD70" s="112">
        <f t="shared" si="25"/>
        <v>1032.9728990694346</v>
      </c>
      <c r="CE70" s="95" t="str">
        <f>IFERROR(SUMIFS('01. KE30'!$R:$R,'01. KE30'!$C:$C,'06. BC BH THEO CUSTOMER-USD'!$D70,'01. KE30'!$F:$F,'06. BC BH THEO CUSTOMER-USD'!$H70,'01. KE30'!$A:$A,'06. BC BH THEO CUSTOMER-USD'!CE$4)/CS70/'02. Tỷ giá'!B$5," -")</f>
        <v xml:space="preserve"> -</v>
      </c>
      <c r="CF70" s="95" t="str">
        <f>IFERROR(SUMIFS('01. KE30'!$R:$R,'01. KE30'!$C:$C,'06. BC BH THEO CUSTOMER-USD'!$D70,'01. KE30'!$F:$F,'06. BC BH THEO CUSTOMER-USD'!$H70,'01. KE30'!$A:$A,'06. BC BH THEO CUSTOMER-USD'!CF$4)/CT70/'02. Tỷ giá'!C$5," -")</f>
        <v xml:space="preserve"> -</v>
      </c>
      <c r="CG70" s="95">
        <f>IFERROR(SUMIFS('01. KE30'!$R:$R,'01. KE30'!$C:$C,'06. BC BH THEO CUSTOMER-USD'!$D70,'01. KE30'!$F:$F,'06. BC BH THEO CUSTOMER-USD'!$H70,'01. KE30'!$A:$A,'06. BC BH THEO CUSTOMER-USD'!CG$4)/CU70/'02. Tỷ giá'!D$5," -")</f>
        <v>1032.9728990694346</v>
      </c>
      <c r="CH70" s="95" t="str">
        <f>IFERROR(SUMIFS('01. KE30'!$R:$R,'01. KE30'!$C:$C,'06. BC BH THEO CUSTOMER-USD'!$D70,'01. KE30'!$F:$F,'06. BC BH THEO CUSTOMER-USD'!$H70,'01. KE30'!$A:$A,'06. BC BH THEO CUSTOMER-USD'!CH$4)/CV70/'02. Tỷ giá'!E$5," -")</f>
        <v xml:space="preserve"> -</v>
      </c>
      <c r="CI70" s="95" t="str">
        <f>IFERROR(SUMIFS('01. KE30'!$R:$R,'01. KE30'!$C:$C,'06. BC BH THEO CUSTOMER-USD'!$D70,'01. KE30'!$F:$F,'06. BC BH THEO CUSTOMER-USD'!$H70,'01. KE30'!$A:$A,'06. BC BH THEO CUSTOMER-USD'!CI$4)/CW70/'02. Tỷ giá'!F$5," -")</f>
        <v xml:space="preserve"> -</v>
      </c>
      <c r="CJ70" s="95" t="str">
        <f>IFERROR(SUMIFS('01. KE30'!$R:$R,'01. KE30'!$C:$C,'06. BC BH THEO CUSTOMER-USD'!$D70,'01. KE30'!$F:$F,'06. BC BH THEO CUSTOMER-USD'!$H70,'01. KE30'!$A:$A,'06. BC BH THEO CUSTOMER-USD'!CJ$4)/CX70/'02. Tỷ giá'!G$5," -")</f>
        <v xml:space="preserve"> -</v>
      </c>
      <c r="CK70" s="95" t="str">
        <f>IFERROR(SUMIFS('01. KE30'!$R:$R,'01. KE30'!$C:$C,'06. BC BH THEO CUSTOMER-USD'!$D70,'01. KE30'!$F:$F,'06. BC BH THEO CUSTOMER-USD'!$H70,'01. KE30'!$A:$A,'06. BC BH THEO CUSTOMER-USD'!CK$4)/CY70/'02. Tỷ giá'!H$5," -")</f>
        <v xml:space="preserve"> -</v>
      </c>
      <c r="CL70" s="95" t="str">
        <f>IFERROR(SUMIFS('01. KE30'!$R:$R,'01. KE30'!$C:$C,'06. BC BH THEO CUSTOMER-USD'!$D70,'01. KE30'!$F:$F,'06. BC BH THEO CUSTOMER-USD'!$H70,'01. KE30'!$A:$A,'06. BC BH THEO CUSTOMER-USD'!CL$4)/CZ70/'02. Tỷ giá'!I$5," -")</f>
        <v xml:space="preserve"> -</v>
      </c>
      <c r="CM70" s="95" t="str">
        <f>IFERROR(SUMIFS('01. KE30'!$R:$R,'01. KE30'!$C:$C,'06. BC BH THEO CUSTOMER-USD'!$D70,'01. KE30'!$F:$F,'06. BC BH THEO CUSTOMER-USD'!$H70,'01. KE30'!$A:$A,'06. BC BH THEO CUSTOMER-USD'!CM$4)/DA70/'02. Tỷ giá'!J$5," -")</f>
        <v xml:space="preserve"> -</v>
      </c>
      <c r="CN70" s="95" t="str">
        <f>IFERROR(SUMIFS('01. KE30'!$R:$R,'01. KE30'!$C:$C,'06. BC BH THEO CUSTOMER-USD'!$D70,'01. KE30'!$F:$F,'06. BC BH THEO CUSTOMER-USD'!$H70,'01. KE30'!$A:$A,'06. BC BH THEO CUSTOMER-USD'!CN$4)/DB70/'02. Tỷ giá'!K$5," -")</f>
        <v xml:space="preserve"> -</v>
      </c>
      <c r="CO70" s="95" t="str">
        <f>IFERROR(SUMIFS('01. KE30'!$R:$R,'01. KE30'!$C:$C,'06. BC BH THEO CUSTOMER-USD'!$D70,'01. KE30'!$F:$F,'06. BC BH THEO CUSTOMER-USD'!$H70,'01. KE30'!$A:$A,'06. BC BH THEO CUSTOMER-USD'!CO$4)/DC70/'02. Tỷ giá'!L$5," -")</f>
        <v xml:space="preserve"> -</v>
      </c>
      <c r="CP70" s="95" t="str">
        <f>IFERROR(SUMIFS('01. KE30'!$R:$R,'01. KE30'!$C:$C,'06. BC BH THEO CUSTOMER-USD'!$D70,'01. KE30'!$F:$F,'06. BC BH THEO CUSTOMER-USD'!$H70,'01. KE30'!$A:$A,'06. BC BH THEO CUSTOMER-USD'!CP$4)/DD70/'02. Tỷ giá'!M$5," -")</f>
        <v xml:space="preserve"> -</v>
      </c>
      <c r="CR70" s="112">
        <f t="shared" si="266"/>
        <v>11</v>
      </c>
      <c r="CS70" s="114">
        <f>SUMIFS('01. KE30'!$I:$I,'01. KE30'!$C:$C,'06. BC BH THEO CUSTOMER-USD'!$D70,'01. KE30'!$F:$F,'06. BC BH THEO CUSTOMER-USD'!$H70,'01. KE30'!$A:$A,'06. BC BH THEO CUSTOMER-USD'!CS$4)/1000</f>
        <v>0</v>
      </c>
      <c r="CT70" s="114">
        <f>SUMIFS('01. KE30'!$I:$I,'01. KE30'!$C:$C,'06. BC BH THEO CUSTOMER-USD'!$D70,'01. KE30'!$F:$F,'06. BC BH THEO CUSTOMER-USD'!$H70,'01. KE30'!$A:$A,'06. BC BH THEO CUSTOMER-USD'!CT$4)/1000</f>
        <v>0</v>
      </c>
      <c r="CU70" s="114">
        <f>SUMIFS('01. KE30'!$I:$I,'01. KE30'!$C:$C,'06. BC BH THEO CUSTOMER-USD'!$D70,'01. KE30'!$F:$F,'06. BC BH THEO CUSTOMER-USD'!$H70,'01. KE30'!$A:$A,'06. BC BH THEO CUSTOMER-USD'!CU$4)/1000</f>
        <v>11</v>
      </c>
      <c r="CV70" s="114">
        <f>SUMIFS('01. KE30'!$I:$I,'01. KE30'!$C:$C,'06. BC BH THEO CUSTOMER-USD'!$D70,'01. KE30'!$F:$F,'06. BC BH THEO CUSTOMER-USD'!$H70,'01. KE30'!$A:$A,'06. BC BH THEO CUSTOMER-USD'!CV$4)/1000</f>
        <v>0</v>
      </c>
      <c r="CW70" s="114">
        <f>SUMIFS('01. KE30'!$I:$I,'01. KE30'!$C:$C,'06. BC BH THEO CUSTOMER-USD'!$D70,'01. KE30'!$F:$F,'06. BC BH THEO CUSTOMER-USD'!$H70,'01. KE30'!$A:$A,'06. BC BH THEO CUSTOMER-USD'!CW$4)/1000</f>
        <v>0</v>
      </c>
      <c r="CX70" s="114">
        <f>SUMIFS('01. KE30'!$I:$I,'01. KE30'!$C:$C,'06. BC BH THEO CUSTOMER-USD'!$D70,'01. KE30'!$F:$F,'06. BC BH THEO CUSTOMER-USD'!$H70,'01. KE30'!$A:$A,'06. BC BH THEO CUSTOMER-USD'!CX$4)/1000</f>
        <v>0</v>
      </c>
      <c r="CY70" s="114">
        <f>SUMIFS('01. KE30'!$I:$I,'01. KE30'!$C:$C,'06. BC BH THEO CUSTOMER-USD'!$D70,'01. KE30'!$F:$F,'06. BC BH THEO CUSTOMER-USD'!$H70,'01. KE30'!$A:$A,'06. BC BH THEO CUSTOMER-USD'!CY$4)/1000</f>
        <v>0</v>
      </c>
      <c r="CZ70" s="114">
        <f>SUMIFS('01. KE30'!$I:$I,'01. KE30'!$C:$C,'06. BC BH THEO CUSTOMER-USD'!$D70,'01. KE30'!$F:$F,'06. BC BH THEO CUSTOMER-USD'!$H70,'01. KE30'!$A:$A,'06. BC BH THEO CUSTOMER-USD'!CZ$4)/1000</f>
        <v>0</v>
      </c>
      <c r="DA70" s="114">
        <f>SUMIFS('01. KE30'!$I:$I,'01. KE30'!$C:$C,'06. BC BH THEO CUSTOMER-USD'!$D70,'01. KE30'!$F:$F,'06. BC BH THEO CUSTOMER-USD'!$H70,'01. KE30'!$A:$A,'06. BC BH THEO CUSTOMER-USD'!DA$4)/1000</f>
        <v>0</v>
      </c>
      <c r="DB70" s="114">
        <f>SUMIFS('01. KE30'!$I:$I,'01. KE30'!$C:$C,'06. BC BH THEO CUSTOMER-USD'!$D70,'01. KE30'!$F:$F,'06. BC BH THEO CUSTOMER-USD'!$H70,'01. KE30'!$A:$A,'06. BC BH THEO CUSTOMER-USD'!DB$4)/1000</f>
        <v>0</v>
      </c>
      <c r="DC70" s="114">
        <f>SUMIFS('01. KE30'!$I:$I,'01. KE30'!$C:$C,'06. BC BH THEO CUSTOMER-USD'!$D70,'01. KE30'!$F:$F,'06. BC BH THEO CUSTOMER-USD'!$H70,'01. KE30'!$A:$A,'06. BC BH THEO CUSTOMER-USD'!DC$4)/1000</f>
        <v>0</v>
      </c>
      <c r="DD70" s="114">
        <f>SUMIFS('01. KE30'!$I:$I,'01. KE30'!$C:$C,'06. BC BH THEO CUSTOMER-USD'!$D70,'01. KE30'!$F:$F,'06. BC BH THEO CUSTOMER-USD'!$H70,'01. KE30'!$A:$A,'06. BC BH THEO CUSTOMER-USD'!DD$4)/1000</f>
        <v>0</v>
      </c>
      <c r="DF70" s="112">
        <f t="shared" si="267"/>
        <v>14341.92125984252</v>
      </c>
      <c r="DG70" s="54" t="str">
        <f t="shared" si="48"/>
        <v>-</v>
      </c>
      <c r="DH70" s="54" t="str">
        <f t="shared" si="49"/>
        <v>-</v>
      </c>
      <c r="DI70" s="54">
        <f t="shared" si="50"/>
        <v>14341.92125984252</v>
      </c>
      <c r="DJ70" s="54" t="str">
        <f t="shared" si="51"/>
        <v>-</v>
      </c>
      <c r="DK70" s="54" t="str">
        <f t="shared" si="52"/>
        <v>-</v>
      </c>
      <c r="DL70" s="54" t="str">
        <f t="shared" si="53"/>
        <v>-</v>
      </c>
      <c r="DM70" s="54" t="str">
        <f t="shared" si="54"/>
        <v>-</v>
      </c>
      <c r="DN70" s="54" t="str">
        <f t="shared" si="55"/>
        <v>-</v>
      </c>
      <c r="DO70" s="54" t="str">
        <f t="shared" si="56"/>
        <v>-</v>
      </c>
      <c r="DP70" s="54" t="str">
        <f t="shared" si="57"/>
        <v>-</v>
      </c>
      <c r="DQ70" s="54" t="str">
        <f t="shared" si="58"/>
        <v>-</v>
      </c>
      <c r="DR70" s="54" t="str">
        <f t="shared" si="59"/>
        <v>-</v>
      </c>
      <c r="DT70" s="112">
        <f t="shared" si="60"/>
        <v>1084.7842125984262</v>
      </c>
      <c r="DU70" s="114">
        <f>IFERROR(SUMIFS('01. KE30'!$X:$X,'01. KE30'!$C:$C,'06. BC BH THEO CUSTOMER-USD'!$D70,'01. KE30'!$F:$F,'06. BC BH THEO CUSTOMER-USD'!$H70,'01. KE30'!$A:$A,'06. BC BH THEO CUSTOMER-USD'!DU$4)-SUMIFS('01. KE30'!$AA:$AA,'01. KE30'!$C:$C,'06. BC BH THEO CUSTOMER-USD'!$D70,'01. KE30'!$F:$F,'06. BC BH THEO CUSTOMER-USD'!$H70,'01. KE30'!$A:$A,'06. BC BH THEO CUSTOMER-USD'!DU$4),"-")</f>
        <v>0</v>
      </c>
      <c r="DV70" s="114">
        <f>IFERROR(SUMIFS('01. KE30'!$X:$X,'01. KE30'!$C:$C,'06. BC BH THEO CUSTOMER-USD'!$D70,'01. KE30'!$F:$F,'06. BC BH THEO CUSTOMER-USD'!$H70,'01. KE30'!$A:$A,'06. BC BH THEO CUSTOMER-USD'!DV$4)-SUMIFS('01. KE30'!$AA:$AA,'01. KE30'!$C:$C,'06. BC BH THEO CUSTOMER-USD'!$D70,'01. KE30'!$F:$F,'06. BC BH THEO CUSTOMER-USD'!$H70,'01. KE30'!$A:$A,'06. BC BH THEO CUSTOMER-USD'!DV$4),"-")</f>
        <v>0</v>
      </c>
      <c r="DW70" s="114">
        <f>IFERROR(SUMIFS('01. KE30'!$X:$X,'01. KE30'!$C:$C,'06. BC BH THEO CUSTOMER-USD'!$D70,'01. KE30'!$F:$F,'06. BC BH THEO CUSTOMER-USD'!$H70,'01. KE30'!$A:$A,'06. BC BH THEO CUSTOMER-USD'!DW$4)-SUMIFS('01. KE30'!$AA:$AA,'01. KE30'!$C:$C,'06. BC BH THEO CUSTOMER-USD'!$D70,'01. KE30'!$F:$F,'06. BC BH THEO CUSTOMER-USD'!$H70,'01. KE30'!$A:$A,'06. BC BH THEO CUSTOMER-USD'!DW$4),"-")</f>
        <v>1084.7842125984262</v>
      </c>
      <c r="DX70" s="114">
        <f>IFERROR(SUMIFS('01. KE30'!$X:$X,'01. KE30'!$C:$C,'06. BC BH THEO CUSTOMER-USD'!$D70,'01. KE30'!$F:$F,'06. BC BH THEO CUSTOMER-USD'!$H70,'01. KE30'!$A:$A,'06. BC BH THEO CUSTOMER-USD'!DX$4)-SUMIFS('01. KE30'!$AA:$AA,'01. KE30'!$C:$C,'06. BC BH THEO CUSTOMER-USD'!$D70,'01. KE30'!$F:$F,'06. BC BH THEO CUSTOMER-USD'!$H70,'01. KE30'!$A:$A,'06. BC BH THEO CUSTOMER-USD'!DX$4),"-")</f>
        <v>0</v>
      </c>
      <c r="DY70" s="114">
        <f>IFERROR(SUMIFS('01. KE30'!$X:$X,'01. KE30'!$C:$C,'06. BC BH THEO CUSTOMER-USD'!$D70,'01. KE30'!$F:$F,'06. BC BH THEO CUSTOMER-USD'!$H70,'01. KE30'!$A:$A,'06. BC BH THEO CUSTOMER-USD'!DY$4)-SUMIFS('01. KE30'!$AA:$AA,'01. KE30'!$C:$C,'06. BC BH THEO CUSTOMER-USD'!$D70,'01. KE30'!$F:$F,'06. BC BH THEO CUSTOMER-USD'!$H70,'01. KE30'!$A:$A,'06. BC BH THEO CUSTOMER-USD'!DY$4),"-")</f>
        <v>0</v>
      </c>
      <c r="DZ70" s="114">
        <f>IFERROR(SUMIFS('01. KE30'!$X:$X,'01. KE30'!$C:$C,'06. BC BH THEO CUSTOMER-USD'!$D70,'01. KE30'!$F:$F,'06. BC BH THEO CUSTOMER-USD'!$H70,'01. KE30'!$A:$A,'06. BC BH THEO CUSTOMER-USD'!DZ$4)-SUMIFS('01. KE30'!$AA:$AA,'01. KE30'!$C:$C,'06. BC BH THEO CUSTOMER-USD'!$D70,'01. KE30'!$F:$F,'06. BC BH THEO CUSTOMER-USD'!$H70,'01. KE30'!$A:$A,'06. BC BH THEO CUSTOMER-USD'!DZ$4),"-")</f>
        <v>0</v>
      </c>
      <c r="EA70" s="114">
        <f>IFERROR(SUMIFS('01. KE30'!$X:$X,'01. KE30'!$C:$C,'06. BC BH THEO CUSTOMER-USD'!$D70,'01. KE30'!$F:$F,'06. BC BH THEO CUSTOMER-USD'!$H70,'01. KE30'!$A:$A,'06. BC BH THEO CUSTOMER-USD'!EA$4)-SUMIFS('01. KE30'!$AA:$AA,'01. KE30'!$C:$C,'06. BC BH THEO CUSTOMER-USD'!$D70,'01. KE30'!$F:$F,'06. BC BH THEO CUSTOMER-USD'!$H70,'01. KE30'!$A:$A,'06. BC BH THEO CUSTOMER-USD'!EA$4),"-")</f>
        <v>0</v>
      </c>
      <c r="EB70" s="114">
        <f>IFERROR(SUMIFS('01. KE30'!$X:$X,'01. KE30'!$C:$C,'06. BC BH THEO CUSTOMER-USD'!$D70,'01. KE30'!$F:$F,'06. BC BH THEO CUSTOMER-USD'!$H70,'01. KE30'!$A:$A,'06. BC BH THEO CUSTOMER-USD'!EB$4)-SUMIFS('01. KE30'!$AA:$AA,'01. KE30'!$C:$C,'06. BC BH THEO CUSTOMER-USD'!$D70,'01. KE30'!$F:$F,'06. BC BH THEO CUSTOMER-USD'!$H70,'01. KE30'!$A:$A,'06. BC BH THEO CUSTOMER-USD'!EB$4),"-")</f>
        <v>0</v>
      </c>
      <c r="EC70" s="114">
        <f>IFERROR(SUMIFS('01. KE30'!$X:$X,'01. KE30'!$C:$C,'06. BC BH THEO CUSTOMER-USD'!$D70,'01. KE30'!$F:$F,'06. BC BH THEO CUSTOMER-USD'!$H70,'01. KE30'!$A:$A,'06. BC BH THEO CUSTOMER-USD'!EC$4)-SUMIFS('01. KE30'!$AA:$AA,'01. KE30'!$C:$C,'06. BC BH THEO CUSTOMER-USD'!$D70,'01. KE30'!$F:$F,'06. BC BH THEO CUSTOMER-USD'!$H70,'01. KE30'!$A:$A,'06. BC BH THEO CUSTOMER-USD'!EC$4),"-")</f>
        <v>0</v>
      </c>
      <c r="ED70" s="114">
        <f>IFERROR(SUMIFS('01. KE30'!$X:$X,'01. KE30'!$C:$C,'06. BC BH THEO CUSTOMER-USD'!$D70,'01. KE30'!$F:$F,'06. BC BH THEO CUSTOMER-USD'!$H70,'01. KE30'!$A:$A,'06. BC BH THEO CUSTOMER-USD'!ED$4)-SUMIFS('01. KE30'!$AA:$AA,'01. KE30'!$C:$C,'06. BC BH THEO CUSTOMER-USD'!$D70,'01. KE30'!$F:$F,'06. BC BH THEO CUSTOMER-USD'!$H70,'01. KE30'!$A:$A,'06. BC BH THEO CUSTOMER-USD'!ED$4),"-")</f>
        <v>0</v>
      </c>
      <c r="EE70" s="114">
        <f>IFERROR(SUMIFS('01. KE30'!$X:$X,'01. KE30'!$C:$C,'06. BC BH THEO CUSTOMER-USD'!$D70,'01. KE30'!$F:$F,'06. BC BH THEO CUSTOMER-USD'!$H70,'01. KE30'!$A:$A,'06. BC BH THEO CUSTOMER-USD'!EE$4)-SUMIFS('01. KE30'!$AA:$AA,'01. KE30'!$C:$C,'06. BC BH THEO CUSTOMER-USD'!$D70,'01. KE30'!$F:$F,'06. BC BH THEO CUSTOMER-USD'!$H70,'01. KE30'!$A:$A,'06. BC BH THEO CUSTOMER-USD'!EE$4),"-")</f>
        <v>0</v>
      </c>
      <c r="EF70" s="114">
        <f>IFERROR(SUMIFS('01. KE30'!$X:$X,'01. KE30'!$C:$C,'06. BC BH THEO CUSTOMER-USD'!$D70,'01. KE30'!$F:$F,'06. BC BH THEO CUSTOMER-USD'!$H70,'01. KE30'!$A:$A,'06. BC BH THEO CUSTOMER-USD'!EF$4)-SUMIFS('01. KE30'!$AA:$AA,'01. KE30'!$C:$C,'06. BC BH THEO CUSTOMER-USD'!$D70,'01. KE30'!$F:$F,'06. BC BH THEO CUSTOMER-USD'!$H70,'01. KE30'!$A:$A,'06. BC BH THEO CUSTOMER-USD'!EF$4),"-")</f>
        <v>0</v>
      </c>
      <c r="EH70" s="571">
        <f t="shared" si="29"/>
        <v>7.5637300815186423E-2</v>
      </c>
      <c r="EI70" s="572" t="str">
        <f t="shared" si="30"/>
        <v>-</v>
      </c>
      <c r="EJ70" s="572" t="str">
        <f t="shared" si="31"/>
        <v>-</v>
      </c>
      <c r="EK70" s="572">
        <f t="shared" si="32"/>
        <v>7.5637300815186423E-2</v>
      </c>
      <c r="EL70" s="572" t="str">
        <f t="shared" si="33"/>
        <v>-</v>
      </c>
      <c r="EM70" s="572" t="str">
        <f t="shared" si="34"/>
        <v>-</v>
      </c>
      <c r="EN70" s="572" t="str">
        <f t="shared" si="35"/>
        <v>-</v>
      </c>
      <c r="EO70" s="572" t="str">
        <f t="shared" si="36"/>
        <v>-</v>
      </c>
      <c r="EP70" s="572" t="str">
        <f t="shared" si="37"/>
        <v>-</v>
      </c>
      <c r="EQ70" s="572" t="str">
        <f t="shared" si="38"/>
        <v>-</v>
      </c>
      <c r="ER70" s="572" t="str">
        <f t="shared" si="39"/>
        <v>-</v>
      </c>
      <c r="ES70" s="572" t="str">
        <f t="shared" si="40"/>
        <v>-</v>
      </c>
      <c r="ET70" s="572" t="str">
        <f t="shared" si="41"/>
        <v>-</v>
      </c>
    </row>
    <row r="71" spans="1:150" ht="15.5" hidden="1" outlineLevel="1" x14ac:dyDescent="0.35">
      <c r="A71" s="27">
        <f t="shared" si="63"/>
        <v>59</v>
      </c>
      <c r="B71" s="27" t="s">
        <v>283</v>
      </c>
      <c r="C71" s="442" t="s">
        <v>489</v>
      </c>
      <c r="D71" s="9" t="s">
        <v>629</v>
      </c>
      <c r="E71" s="12" t="s">
        <v>630</v>
      </c>
      <c r="F71" s="12" t="s">
        <v>667</v>
      </c>
      <c r="G71" s="12" t="str">
        <f>_xlfn.XLOOKUP(F71,'Quy đổi'!$G$5:$G$32,'Quy đổi'!$H$5:$H$32,0)</f>
        <v>Bắc Mỹ</v>
      </c>
      <c r="H71" s="77" t="s">
        <v>645</v>
      </c>
      <c r="I71" s="28" t="s">
        <v>646</v>
      </c>
      <c r="J71" s="13" t="s">
        <v>26</v>
      </c>
      <c r="K71" s="11" t="s">
        <v>113</v>
      </c>
      <c r="L71" s="92">
        <f t="shared" si="42"/>
        <v>1182.787401574803</v>
      </c>
      <c r="M71" s="106" t="str">
        <f>IFERROR(SUMIFS('01. KE30'!$K:$K,'01. KE30'!$C:$C,'06. BC BH THEO CUSTOMER-USD'!$D71,'01. KE30'!$F:$F,'06. BC BH THEO CUSTOMER-USD'!$H71,'01. KE30'!$A:$A,'06. BC BH THEO CUSTOMER-USD'!M$4)/'06. BC BH THEO CUSTOMER-USD'!CS71/'02. Tỷ giá'!B$5,"-")</f>
        <v>-</v>
      </c>
      <c r="N71" s="106" t="str">
        <f>IFERROR(SUMIFS('01. KE30'!$K:$K,'01. KE30'!$C:$C,'06. BC BH THEO CUSTOMER-USD'!$D71,'01. KE30'!$F:$F,'06. BC BH THEO CUSTOMER-USD'!$H71,'01. KE30'!$A:$A,'06. BC BH THEO CUSTOMER-USD'!N$4)/'06. BC BH THEO CUSTOMER-USD'!CT71/'02. Tỷ giá'!C$5,"-")</f>
        <v>-</v>
      </c>
      <c r="O71" s="106">
        <f>IFERROR(SUMIFS('01. KE30'!$K:$K,'01. KE30'!$C:$C,'06. BC BH THEO CUSTOMER-USD'!$D71,'01. KE30'!$F:$F,'06. BC BH THEO CUSTOMER-USD'!$H71,'01. KE30'!$A:$A,'06. BC BH THEO CUSTOMER-USD'!O$4)/'06. BC BH THEO CUSTOMER-USD'!CU71/'02. Tỷ giá'!D$5,"-")</f>
        <v>1182.787401574803</v>
      </c>
      <c r="P71" s="106" t="str">
        <f>IFERROR(SUMIFS('01. KE30'!$K:$K,'01. KE30'!$C:$C,'06. BC BH THEO CUSTOMER-USD'!$D71,'01. KE30'!$F:$F,'06. BC BH THEO CUSTOMER-USD'!$H71,'01. KE30'!$A:$A,'06. BC BH THEO CUSTOMER-USD'!P$4)/'06. BC BH THEO CUSTOMER-USD'!CV71/'02. Tỷ giá'!E$5,"-")</f>
        <v>-</v>
      </c>
      <c r="Q71" s="106" t="str">
        <f>IFERROR(SUMIFS('01. KE30'!$K:$K,'01. KE30'!$C:$C,'06. BC BH THEO CUSTOMER-USD'!$D71,'01. KE30'!$F:$F,'06. BC BH THEO CUSTOMER-USD'!$H71,'01. KE30'!$A:$A,'06. BC BH THEO CUSTOMER-USD'!Q$4)/'06. BC BH THEO CUSTOMER-USD'!CW71/'02. Tỷ giá'!F$5,"-")</f>
        <v>-</v>
      </c>
      <c r="R71" s="106" t="str">
        <f>IFERROR(SUMIFS('01. KE30'!$K:$K,'01. KE30'!$C:$C,'06. BC BH THEO CUSTOMER-USD'!$D71,'01. KE30'!$F:$F,'06. BC BH THEO CUSTOMER-USD'!$H71,'01. KE30'!$A:$A,'06. BC BH THEO CUSTOMER-USD'!R$4)/'06. BC BH THEO CUSTOMER-USD'!CX71/'02. Tỷ giá'!G$5,"-")</f>
        <v>-</v>
      </c>
      <c r="S71" s="106" t="str">
        <f>IFERROR(SUMIFS('01. KE30'!$K:$K,'01. KE30'!$C:$C,'06. BC BH THEO CUSTOMER-USD'!$D71,'01. KE30'!$F:$F,'06. BC BH THEO CUSTOMER-USD'!$H71,'01. KE30'!$A:$A,'06. BC BH THEO CUSTOMER-USD'!S$4)/'06. BC BH THEO CUSTOMER-USD'!CY71/'02. Tỷ giá'!H$5,"-")</f>
        <v>-</v>
      </c>
      <c r="T71" s="106" t="str">
        <f>IFERROR(SUMIFS('01. KE30'!$K:$K,'01. KE30'!$C:$C,'06. BC BH THEO CUSTOMER-USD'!$D71,'01. KE30'!$F:$F,'06. BC BH THEO CUSTOMER-USD'!$H71,'01. KE30'!$A:$A,'06. BC BH THEO CUSTOMER-USD'!T$4)/'06. BC BH THEO CUSTOMER-USD'!CZ71/'02. Tỷ giá'!I$5,"-")</f>
        <v>-</v>
      </c>
      <c r="U71" s="106" t="str">
        <f>IFERROR(SUMIFS('01. KE30'!$K:$K,'01. KE30'!$C:$C,'06. BC BH THEO CUSTOMER-USD'!$D71,'01. KE30'!$F:$F,'06. BC BH THEO CUSTOMER-USD'!$H71,'01. KE30'!$A:$A,'06. BC BH THEO CUSTOMER-USD'!U$4)/'06. BC BH THEO CUSTOMER-USD'!DA71/'02. Tỷ giá'!J$5,"-")</f>
        <v>-</v>
      </c>
      <c r="V71" s="106" t="str">
        <f>IFERROR(SUMIFS('01. KE30'!$K:$K,'01. KE30'!$C:$C,'06. BC BH THEO CUSTOMER-USD'!$D71,'01. KE30'!$F:$F,'06. BC BH THEO CUSTOMER-USD'!$H71,'01. KE30'!$A:$A,'06. BC BH THEO CUSTOMER-USD'!V$4)/'06. BC BH THEO CUSTOMER-USD'!DB71/'02. Tỷ giá'!K$5,"-")</f>
        <v>-</v>
      </c>
      <c r="W71" s="106" t="str">
        <f>IFERROR(SUMIFS('01. KE30'!$K:$K,'01. KE30'!$C:$C,'06. BC BH THEO CUSTOMER-USD'!$D71,'01. KE30'!$F:$F,'06. BC BH THEO CUSTOMER-USD'!$H71,'01. KE30'!$A:$A,'06. BC BH THEO CUSTOMER-USD'!W$4)/'06. BC BH THEO CUSTOMER-USD'!DC71/'02. Tỷ giá'!L$5,"-")</f>
        <v>-</v>
      </c>
      <c r="X71" s="106" t="str">
        <f>IFERROR(SUMIFS('01. KE30'!$K:$K,'01. KE30'!$C:$C,'06. BC BH THEO CUSTOMER-USD'!$D71,'01. KE30'!$F:$F,'06. BC BH THEO CUSTOMER-USD'!$H71,'01. KE30'!$A:$A,'06. BC BH THEO CUSTOMER-USD'!X$4)/'06. BC BH THEO CUSTOMER-USD'!DD71/'02. Tỷ giá'!M$5,"-")</f>
        <v>-</v>
      </c>
      <c r="Z71" s="92">
        <f t="shared" si="43"/>
        <v>966.16649964209012</v>
      </c>
      <c r="AA71" s="147" t="str">
        <f>IFERROR(SUMIFS('01. KE30'!$O:$O,'01. KE30'!$C:$C,'06. BC BH THEO CUSTOMER-USD'!$D71,'01. KE30'!$F:$F,'06. BC BH THEO CUSTOMER-USD'!$H71,'01. KE30'!$A:$A,'06. BC BH THEO CUSTOMER-USD'!M$4)/'06. BC BH THEO CUSTOMER-USD'!CS71/'02. Tỷ giá'!B$5,"-")</f>
        <v>-</v>
      </c>
      <c r="AB71" s="147" t="str">
        <f>IFERROR(SUMIFS('01. KE30'!$O:$O,'01. KE30'!$C:$C,'06. BC BH THEO CUSTOMER-USD'!$D71,'01. KE30'!$F:$F,'06. BC BH THEO CUSTOMER-USD'!$H71,'01. KE30'!$A:$A,'06. BC BH THEO CUSTOMER-USD'!N$4)/'06. BC BH THEO CUSTOMER-USD'!CT71/'02. Tỷ giá'!C$5,"-")</f>
        <v>-</v>
      </c>
      <c r="AC71" s="147">
        <f>IFERROR(SUMIFS('01. KE30'!$O:$O,'01. KE30'!$C:$C,'06. BC BH THEO CUSTOMER-USD'!$D71,'01. KE30'!$F:$F,'06. BC BH THEO CUSTOMER-USD'!$H71,'01. KE30'!$A:$A,'06. BC BH THEO CUSTOMER-USD'!O$4)/'06. BC BH THEO CUSTOMER-USD'!CU71/'02. Tỷ giá'!D$5,"-")</f>
        <v>966.16649964209012</v>
      </c>
      <c r="AD71" s="147" t="str">
        <f>IFERROR(SUMIFS('01. KE30'!$O:$O,'01. KE30'!$C:$C,'06. BC BH THEO CUSTOMER-USD'!$D71,'01. KE30'!$F:$F,'06. BC BH THEO CUSTOMER-USD'!$H71,'01. KE30'!$A:$A,'06. BC BH THEO CUSTOMER-USD'!P$4)/'06. BC BH THEO CUSTOMER-USD'!CV71/'02. Tỷ giá'!E$5,"-")</f>
        <v>-</v>
      </c>
      <c r="AE71" s="147" t="str">
        <f>IFERROR(SUMIFS('01. KE30'!$O:$O,'01. KE30'!$C:$C,'06. BC BH THEO CUSTOMER-USD'!$D71,'01. KE30'!$F:$F,'06. BC BH THEO CUSTOMER-USD'!$H71,'01. KE30'!$A:$A,'06. BC BH THEO CUSTOMER-USD'!Q$4)/'06. BC BH THEO CUSTOMER-USD'!CW71/'02. Tỷ giá'!F$5,"-")</f>
        <v>-</v>
      </c>
      <c r="AF71" s="147" t="str">
        <f>IFERROR(SUMIFS('01. KE30'!$O:$O,'01. KE30'!$C:$C,'06. BC BH THEO CUSTOMER-USD'!$D71,'01. KE30'!$F:$F,'06. BC BH THEO CUSTOMER-USD'!$H71,'01. KE30'!$A:$A,'06. BC BH THEO CUSTOMER-USD'!R$4)/'06. BC BH THEO CUSTOMER-USD'!CX71/'02. Tỷ giá'!G$5,"-")</f>
        <v>-</v>
      </c>
      <c r="AG71" s="147" t="str">
        <f>IFERROR(SUMIFS('01. KE30'!$O:$O,'01. KE30'!$C:$C,'06. BC BH THEO CUSTOMER-USD'!$D71,'01. KE30'!$F:$F,'06. BC BH THEO CUSTOMER-USD'!$H71,'01. KE30'!$A:$A,'06. BC BH THEO CUSTOMER-USD'!S$4)/'06. BC BH THEO CUSTOMER-USD'!CY71/'02. Tỷ giá'!H$5,"-")</f>
        <v>-</v>
      </c>
      <c r="AH71" s="147" t="str">
        <f>IFERROR(SUMIFS('01. KE30'!$O:$O,'01. KE30'!$C:$C,'06. BC BH THEO CUSTOMER-USD'!$D71,'01. KE30'!$F:$F,'06. BC BH THEO CUSTOMER-USD'!$H71,'01. KE30'!$A:$A,'06. BC BH THEO CUSTOMER-USD'!T$4)/'06. BC BH THEO CUSTOMER-USD'!CZ71/'02. Tỷ giá'!I$5,"-")</f>
        <v>-</v>
      </c>
      <c r="AI71" s="147" t="str">
        <f>IFERROR(SUMIFS('01. KE30'!$O:$O,'01. KE30'!$C:$C,'06. BC BH THEO CUSTOMER-USD'!$D71,'01. KE30'!$F:$F,'06. BC BH THEO CUSTOMER-USD'!$H71,'01. KE30'!$A:$A,'06. BC BH THEO CUSTOMER-USD'!U$4)/'06. BC BH THEO CUSTOMER-USD'!DA71/'02. Tỷ giá'!J$5,"-")</f>
        <v>-</v>
      </c>
      <c r="AJ71" s="147" t="str">
        <f>IFERROR(SUMIFS('01. KE30'!$O:$O,'01. KE30'!$C:$C,'06. BC BH THEO CUSTOMER-USD'!$D71,'01. KE30'!$F:$F,'06. BC BH THEO CUSTOMER-USD'!$H71,'01. KE30'!$A:$A,'06. BC BH THEO CUSTOMER-USD'!V$4)/'06. BC BH THEO CUSTOMER-USD'!DB71/'02. Tỷ giá'!K$5,"-")</f>
        <v>-</v>
      </c>
      <c r="AK71" s="147" t="str">
        <f>IFERROR(SUMIFS('01. KE30'!$O:$O,'01. KE30'!$C:$C,'06. BC BH THEO CUSTOMER-USD'!$D71,'01. KE30'!$F:$F,'06. BC BH THEO CUSTOMER-USD'!$H71,'01. KE30'!$A:$A,'06. BC BH THEO CUSTOMER-USD'!W$4)/'06. BC BH THEO CUSTOMER-USD'!DC71/'02. Tỷ giá'!L$5,"-")</f>
        <v>-</v>
      </c>
      <c r="AL71" s="147" t="str">
        <f>IFERROR(SUMIFS('01. KE30'!$O:$O,'01. KE30'!$C:$C,'06. BC BH THEO CUSTOMER-USD'!$D71,'01. KE30'!$F:$F,'06. BC BH THEO CUSTOMER-USD'!$H71,'01. KE30'!$A:$A,'06. BC BH THEO CUSTOMER-USD'!X$4)/'06. BC BH THEO CUSTOMER-USD'!DD71/'02. Tỷ giá'!M$5,"-")</f>
        <v>-</v>
      </c>
      <c r="AN71" s="92">
        <f t="shared" si="44"/>
        <v>1236.6666666666667</v>
      </c>
      <c r="AO71" s="25">
        <v>1230</v>
      </c>
      <c r="AP71" s="25">
        <v>1230</v>
      </c>
      <c r="AQ71" s="25">
        <v>1230</v>
      </c>
      <c r="AR71" s="4">
        <f t="shared" ref="AR71:AR77" si="455">AQ71+20</f>
        <v>1250</v>
      </c>
      <c r="AS71" s="4">
        <v>1250</v>
      </c>
      <c r="AT71" s="4">
        <v>1250</v>
      </c>
      <c r="AU71" s="4">
        <v>1250</v>
      </c>
      <c r="AV71" s="4">
        <f t="shared" si="205"/>
        <v>1220</v>
      </c>
      <c r="AW71" s="25">
        <v>1220</v>
      </c>
      <c r="AX71" s="25"/>
      <c r="AY71" s="4"/>
      <c r="AZ71" s="4"/>
      <c r="BB71" s="95">
        <f t="shared" si="45"/>
        <v>-270.50016702457663</v>
      </c>
      <c r="BC71" s="95" t="str">
        <f t="shared" si="206"/>
        <v>-</v>
      </c>
      <c r="BD71" s="95" t="str">
        <f t="shared" si="389"/>
        <v>-</v>
      </c>
      <c r="BE71" s="95">
        <f t="shared" si="389"/>
        <v>-263.83350035790988</v>
      </c>
      <c r="BF71" s="95" t="str">
        <f t="shared" si="389"/>
        <v>-</v>
      </c>
      <c r="BG71" s="95" t="str">
        <f t="shared" si="389"/>
        <v>-</v>
      </c>
      <c r="BH71" s="95" t="str">
        <f t="shared" si="389"/>
        <v>-</v>
      </c>
      <c r="BI71" s="95" t="str">
        <f t="shared" si="389"/>
        <v>-</v>
      </c>
      <c r="BJ71" s="95" t="str">
        <f t="shared" si="389"/>
        <v>-</v>
      </c>
      <c r="BK71" s="95" t="str">
        <f t="shared" si="389"/>
        <v>-</v>
      </c>
      <c r="BL71" s="95" t="str">
        <f t="shared" si="389"/>
        <v>-</v>
      </c>
      <c r="BM71" s="95" t="str">
        <f t="shared" si="389"/>
        <v>-</v>
      </c>
      <c r="BN71" s="95" t="str">
        <f t="shared" si="389"/>
        <v>-</v>
      </c>
      <c r="BP71" s="143">
        <f t="shared" si="47"/>
        <v>-0.21873328869911854</v>
      </c>
      <c r="BQ71" s="143" t="str">
        <f t="shared" si="202"/>
        <v>-</v>
      </c>
      <c r="BR71" s="143" t="str">
        <f t="shared" si="9"/>
        <v>-</v>
      </c>
      <c r="BS71" s="143">
        <f t="shared" si="10"/>
        <v>-0.21449878077878853</v>
      </c>
      <c r="BT71" s="143" t="str">
        <f t="shared" si="11"/>
        <v>-</v>
      </c>
      <c r="BU71" s="143" t="str">
        <f t="shared" si="12"/>
        <v>-</v>
      </c>
      <c r="BV71" s="143" t="str">
        <f t="shared" si="13"/>
        <v>-</v>
      </c>
      <c r="BW71" s="143" t="str">
        <f t="shared" si="14"/>
        <v>-</v>
      </c>
      <c r="BX71" s="143" t="str">
        <f t="shared" si="15"/>
        <v>-</v>
      </c>
      <c r="BY71" s="143" t="str">
        <f t="shared" si="16"/>
        <v>-</v>
      </c>
      <c r="BZ71" s="143" t="str">
        <f t="shared" si="17"/>
        <v>-</v>
      </c>
      <c r="CA71" s="143" t="str">
        <f t="shared" si="18"/>
        <v>-</v>
      </c>
      <c r="CB71" s="143" t="str">
        <f t="shared" si="19"/>
        <v>-</v>
      </c>
      <c r="CD71" s="112">
        <f t="shared" si="25"/>
        <v>999.63375089477438</v>
      </c>
      <c r="CE71" s="95" t="str">
        <f>IFERROR(SUMIFS('01. KE30'!$R:$R,'01. KE30'!$C:$C,'06. BC BH THEO CUSTOMER-USD'!$D71,'01. KE30'!$F:$F,'06. BC BH THEO CUSTOMER-USD'!$H71,'01. KE30'!$A:$A,'06. BC BH THEO CUSTOMER-USD'!CE$4)/CS71/'02. Tỷ giá'!B$5," -")</f>
        <v xml:space="preserve"> -</v>
      </c>
      <c r="CF71" s="95" t="str">
        <f>IFERROR(SUMIFS('01. KE30'!$R:$R,'01. KE30'!$C:$C,'06. BC BH THEO CUSTOMER-USD'!$D71,'01. KE30'!$F:$F,'06. BC BH THEO CUSTOMER-USD'!$H71,'01. KE30'!$A:$A,'06. BC BH THEO CUSTOMER-USD'!CF$4)/CT71/'02. Tỷ giá'!C$5," -")</f>
        <v xml:space="preserve"> -</v>
      </c>
      <c r="CG71" s="95">
        <f>IFERROR(SUMIFS('01. KE30'!$R:$R,'01. KE30'!$C:$C,'06. BC BH THEO CUSTOMER-USD'!$D71,'01. KE30'!$F:$F,'06. BC BH THEO CUSTOMER-USD'!$H71,'01. KE30'!$A:$A,'06. BC BH THEO CUSTOMER-USD'!CG$4)/CU71/'02. Tỷ giá'!D$5," -")</f>
        <v>999.63375089477438</v>
      </c>
      <c r="CH71" s="95" t="str">
        <f>IFERROR(SUMIFS('01. KE30'!$R:$R,'01. KE30'!$C:$C,'06. BC BH THEO CUSTOMER-USD'!$D71,'01. KE30'!$F:$F,'06. BC BH THEO CUSTOMER-USD'!$H71,'01. KE30'!$A:$A,'06. BC BH THEO CUSTOMER-USD'!CH$4)/CV71/'02. Tỷ giá'!E$5," -")</f>
        <v xml:space="preserve"> -</v>
      </c>
      <c r="CI71" s="95" t="str">
        <f>IFERROR(SUMIFS('01. KE30'!$R:$R,'01. KE30'!$C:$C,'06. BC BH THEO CUSTOMER-USD'!$D71,'01. KE30'!$F:$F,'06. BC BH THEO CUSTOMER-USD'!$H71,'01. KE30'!$A:$A,'06. BC BH THEO CUSTOMER-USD'!CI$4)/CW71/'02. Tỷ giá'!F$5," -")</f>
        <v xml:space="preserve"> -</v>
      </c>
      <c r="CJ71" s="95" t="str">
        <f>IFERROR(SUMIFS('01. KE30'!$R:$R,'01. KE30'!$C:$C,'06. BC BH THEO CUSTOMER-USD'!$D71,'01. KE30'!$F:$F,'06. BC BH THEO CUSTOMER-USD'!$H71,'01. KE30'!$A:$A,'06. BC BH THEO CUSTOMER-USD'!CJ$4)/CX71/'02. Tỷ giá'!G$5," -")</f>
        <v xml:space="preserve"> -</v>
      </c>
      <c r="CK71" s="95" t="str">
        <f>IFERROR(SUMIFS('01. KE30'!$R:$R,'01. KE30'!$C:$C,'06. BC BH THEO CUSTOMER-USD'!$D71,'01. KE30'!$F:$F,'06. BC BH THEO CUSTOMER-USD'!$H71,'01. KE30'!$A:$A,'06. BC BH THEO CUSTOMER-USD'!CK$4)/CY71/'02. Tỷ giá'!H$5," -")</f>
        <v xml:space="preserve"> -</v>
      </c>
      <c r="CL71" s="95" t="str">
        <f>IFERROR(SUMIFS('01. KE30'!$R:$R,'01. KE30'!$C:$C,'06. BC BH THEO CUSTOMER-USD'!$D71,'01. KE30'!$F:$F,'06. BC BH THEO CUSTOMER-USD'!$H71,'01. KE30'!$A:$A,'06. BC BH THEO CUSTOMER-USD'!CL$4)/CZ71/'02. Tỷ giá'!I$5," -")</f>
        <v xml:space="preserve"> -</v>
      </c>
      <c r="CM71" s="95" t="str">
        <f>IFERROR(SUMIFS('01. KE30'!$R:$R,'01. KE30'!$C:$C,'06. BC BH THEO CUSTOMER-USD'!$D71,'01. KE30'!$F:$F,'06. BC BH THEO CUSTOMER-USD'!$H71,'01. KE30'!$A:$A,'06. BC BH THEO CUSTOMER-USD'!CM$4)/DA71/'02. Tỷ giá'!J$5," -")</f>
        <v xml:space="preserve"> -</v>
      </c>
      <c r="CN71" s="95" t="str">
        <f>IFERROR(SUMIFS('01. KE30'!$R:$R,'01. KE30'!$C:$C,'06. BC BH THEO CUSTOMER-USD'!$D71,'01. KE30'!$F:$F,'06. BC BH THEO CUSTOMER-USD'!$H71,'01. KE30'!$A:$A,'06. BC BH THEO CUSTOMER-USD'!CN$4)/DB71/'02. Tỷ giá'!K$5," -")</f>
        <v xml:space="preserve"> -</v>
      </c>
      <c r="CO71" s="95" t="str">
        <f>IFERROR(SUMIFS('01. KE30'!$R:$R,'01. KE30'!$C:$C,'06. BC BH THEO CUSTOMER-USD'!$D71,'01. KE30'!$F:$F,'06. BC BH THEO CUSTOMER-USD'!$H71,'01. KE30'!$A:$A,'06. BC BH THEO CUSTOMER-USD'!CO$4)/DC71/'02. Tỷ giá'!L$5," -")</f>
        <v xml:space="preserve"> -</v>
      </c>
      <c r="CP71" s="95" t="str">
        <f>IFERROR(SUMIFS('01. KE30'!$R:$R,'01. KE30'!$C:$C,'06. BC BH THEO CUSTOMER-USD'!$D71,'01. KE30'!$F:$F,'06. BC BH THEO CUSTOMER-USD'!$H71,'01. KE30'!$A:$A,'06. BC BH THEO CUSTOMER-USD'!CP$4)/DD71/'02. Tỷ giá'!M$5," -")</f>
        <v xml:space="preserve"> -</v>
      </c>
      <c r="CR71" s="112">
        <f t="shared" si="266"/>
        <v>1.1000000000000001</v>
      </c>
      <c r="CS71" s="114">
        <f>SUMIFS('01. KE30'!$I:$I,'01. KE30'!$C:$C,'06. BC BH THEO CUSTOMER-USD'!$D71,'01. KE30'!$F:$F,'06. BC BH THEO CUSTOMER-USD'!$H71,'01. KE30'!$A:$A,'06. BC BH THEO CUSTOMER-USD'!CS$4)/1000</f>
        <v>0</v>
      </c>
      <c r="CT71" s="114">
        <f>SUMIFS('01. KE30'!$I:$I,'01. KE30'!$C:$C,'06. BC BH THEO CUSTOMER-USD'!$D71,'01. KE30'!$F:$F,'06. BC BH THEO CUSTOMER-USD'!$H71,'01. KE30'!$A:$A,'06. BC BH THEO CUSTOMER-USD'!CT$4)/1000</f>
        <v>0</v>
      </c>
      <c r="CU71" s="114">
        <f>SUMIFS('01. KE30'!$I:$I,'01. KE30'!$C:$C,'06. BC BH THEO CUSTOMER-USD'!$D71,'01. KE30'!$F:$F,'06. BC BH THEO CUSTOMER-USD'!$H71,'01. KE30'!$A:$A,'06. BC BH THEO CUSTOMER-USD'!CU$4)/1000</f>
        <v>1.1000000000000001</v>
      </c>
      <c r="CV71" s="114">
        <f>SUMIFS('01. KE30'!$I:$I,'01. KE30'!$C:$C,'06. BC BH THEO CUSTOMER-USD'!$D71,'01. KE30'!$F:$F,'06. BC BH THEO CUSTOMER-USD'!$H71,'01. KE30'!$A:$A,'06. BC BH THEO CUSTOMER-USD'!CV$4)/1000</f>
        <v>0</v>
      </c>
      <c r="CW71" s="114">
        <f>SUMIFS('01. KE30'!$I:$I,'01. KE30'!$C:$C,'06. BC BH THEO CUSTOMER-USD'!$D71,'01. KE30'!$F:$F,'06. BC BH THEO CUSTOMER-USD'!$H71,'01. KE30'!$A:$A,'06. BC BH THEO CUSTOMER-USD'!CW$4)/1000</f>
        <v>0</v>
      </c>
      <c r="CX71" s="114">
        <f>SUMIFS('01. KE30'!$I:$I,'01. KE30'!$C:$C,'06. BC BH THEO CUSTOMER-USD'!$D71,'01. KE30'!$F:$F,'06. BC BH THEO CUSTOMER-USD'!$H71,'01. KE30'!$A:$A,'06. BC BH THEO CUSTOMER-USD'!CX$4)/1000</f>
        <v>0</v>
      </c>
      <c r="CY71" s="114">
        <f>SUMIFS('01. KE30'!$I:$I,'01. KE30'!$C:$C,'06. BC BH THEO CUSTOMER-USD'!$D71,'01. KE30'!$F:$F,'06. BC BH THEO CUSTOMER-USD'!$H71,'01. KE30'!$A:$A,'06. BC BH THEO CUSTOMER-USD'!CY$4)/1000</f>
        <v>0</v>
      </c>
      <c r="CZ71" s="114">
        <f>SUMIFS('01. KE30'!$I:$I,'01. KE30'!$C:$C,'06. BC BH THEO CUSTOMER-USD'!$D71,'01. KE30'!$F:$F,'06. BC BH THEO CUSTOMER-USD'!$H71,'01. KE30'!$A:$A,'06. BC BH THEO CUSTOMER-USD'!CZ$4)/1000</f>
        <v>0</v>
      </c>
      <c r="DA71" s="114">
        <f>SUMIFS('01. KE30'!$I:$I,'01. KE30'!$C:$C,'06. BC BH THEO CUSTOMER-USD'!$D71,'01. KE30'!$F:$F,'06. BC BH THEO CUSTOMER-USD'!$H71,'01. KE30'!$A:$A,'06. BC BH THEO CUSTOMER-USD'!DA$4)/1000</f>
        <v>0</v>
      </c>
      <c r="DB71" s="114">
        <f>SUMIFS('01. KE30'!$I:$I,'01. KE30'!$C:$C,'06. BC BH THEO CUSTOMER-USD'!$D71,'01. KE30'!$F:$F,'06. BC BH THEO CUSTOMER-USD'!$H71,'01. KE30'!$A:$A,'06. BC BH THEO CUSTOMER-USD'!DB$4)/1000</f>
        <v>0</v>
      </c>
      <c r="DC71" s="114">
        <f>SUMIFS('01. KE30'!$I:$I,'01. KE30'!$C:$C,'06. BC BH THEO CUSTOMER-USD'!$D71,'01. KE30'!$F:$F,'06. BC BH THEO CUSTOMER-USD'!$H71,'01. KE30'!$A:$A,'06. BC BH THEO CUSTOMER-USD'!DC$4)/1000</f>
        <v>0</v>
      </c>
      <c r="DD71" s="114">
        <f>SUMIFS('01. KE30'!$I:$I,'01. KE30'!$C:$C,'06. BC BH THEO CUSTOMER-USD'!$D71,'01. KE30'!$F:$F,'06. BC BH THEO CUSTOMER-USD'!$H71,'01. KE30'!$A:$A,'06. BC BH THEO CUSTOMER-USD'!DD$4)/1000</f>
        <v>0</v>
      </c>
      <c r="DF71" s="112">
        <f t="shared" si="267"/>
        <v>1301.0661417322833</v>
      </c>
      <c r="DG71" s="54" t="str">
        <f t="shared" si="48"/>
        <v>-</v>
      </c>
      <c r="DH71" s="54" t="str">
        <f t="shared" si="49"/>
        <v>-</v>
      </c>
      <c r="DI71" s="54">
        <f t="shared" si="50"/>
        <v>1301.0661417322833</v>
      </c>
      <c r="DJ71" s="54" t="str">
        <f t="shared" si="51"/>
        <v>-</v>
      </c>
      <c r="DK71" s="54" t="str">
        <f t="shared" si="52"/>
        <v>-</v>
      </c>
      <c r="DL71" s="54" t="str">
        <f t="shared" si="53"/>
        <v>-</v>
      </c>
      <c r="DM71" s="54" t="str">
        <f t="shared" si="54"/>
        <v>-</v>
      </c>
      <c r="DN71" s="54" t="str">
        <f t="shared" si="55"/>
        <v>-</v>
      </c>
      <c r="DO71" s="54" t="str">
        <f t="shared" si="56"/>
        <v>-</v>
      </c>
      <c r="DP71" s="54" t="str">
        <f t="shared" si="57"/>
        <v>-</v>
      </c>
      <c r="DQ71" s="54" t="str">
        <f t="shared" si="58"/>
        <v>-</v>
      </c>
      <c r="DR71" s="54" t="str">
        <f t="shared" si="59"/>
        <v>-</v>
      </c>
      <c r="DT71" s="112">
        <f t="shared" si="60"/>
        <v>-36.813976377952713</v>
      </c>
      <c r="DU71" s="114">
        <f>IFERROR(SUMIFS('01. KE30'!$X:$X,'01. KE30'!$C:$C,'06. BC BH THEO CUSTOMER-USD'!$D71,'01. KE30'!$F:$F,'06. BC BH THEO CUSTOMER-USD'!$H71,'01. KE30'!$A:$A,'06. BC BH THEO CUSTOMER-USD'!DU$4)-SUMIFS('01. KE30'!$AA:$AA,'01. KE30'!$C:$C,'06. BC BH THEO CUSTOMER-USD'!$D71,'01. KE30'!$F:$F,'06. BC BH THEO CUSTOMER-USD'!$H71,'01. KE30'!$A:$A,'06. BC BH THEO CUSTOMER-USD'!DU$4),"-")</f>
        <v>0</v>
      </c>
      <c r="DV71" s="114">
        <f>IFERROR(SUMIFS('01. KE30'!$X:$X,'01. KE30'!$C:$C,'06. BC BH THEO CUSTOMER-USD'!$D71,'01. KE30'!$F:$F,'06. BC BH THEO CUSTOMER-USD'!$H71,'01. KE30'!$A:$A,'06. BC BH THEO CUSTOMER-USD'!DV$4)-SUMIFS('01. KE30'!$AA:$AA,'01. KE30'!$C:$C,'06. BC BH THEO CUSTOMER-USD'!$D71,'01. KE30'!$F:$F,'06. BC BH THEO CUSTOMER-USD'!$H71,'01. KE30'!$A:$A,'06. BC BH THEO CUSTOMER-USD'!DV$4),"-")</f>
        <v>0</v>
      </c>
      <c r="DW71" s="114">
        <f>IFERROR(SUMIFS('01. KE30'!$X:$X,'01. KE30'!$C:$C,'06. BC BH THEO CUSTOMER-USD'!$D71,'01. KE30'!$F:$F,'06. BC BH THEO CUSTOMER-USD'!$H71,'01. KE30'!$A:$A,'06. BC BH THEO CUSTOMER-USD'!DW$4)-SUMIFS('01. KE30'!$AA:$AA,'01. KE30'!$C:$C,'06. BC BH THEO CUSTOMER-USD'!$D71,'01. KE30'!$F:$F,'06. BC BH THEO CUSTOMER-USD'!$H71,'01. KE30'!$A:$A,'06. BC BH THEO CUSTOMER-USD'!DW$4),"-")</f>
        <v>-36.813976377952713</v>
      </c>
      <c r="DX71" s="114">
        <f>IFERROR(SUMIFS('01. KE30'!$X:$X,'01. KE30'!$C:$C,'06. BC BH THEO CUSTOMER-USD'!$D71,'01. KE30'!$F:$F,'06. BC BH THEO CUSTOMER-USD'!$H71,'01. KE30'!$A:$A,'06. BC BH THEO CUSTOMER-USD'!DX$4)-SUMIFS('01. KE30'!$AA:$AA,'01. KE30'!$C:$C,'06. BC BH THEO CUSTOMER-USD'!$D71,'01. KE30'!$F:$F,'06. BC BH THEO CUSTOMER-USD'!$H71,'01. KE30'!$A:$A,'06. BC BH THEO CUSTOMER-USD'!DX$4),"-")</f>
        <v>0</v>
      </c>
      <c r="DY71" s="114">
        <f>IFERROR(SUMIFS('01. KE30'!$X:$X,'01. KE30'!$C:$C,'06. BC BH THEO CUSTOMER-USD'!$D71,'01. KE30'!$F:$F,'06. BC BH THEO CUSTOMER-USD'!$H71,'01. KE30'!$A:$A,'06. BC BH THEO CUSTOMER-USD'!DY$4)-SUMIFS('01. KE30'!$AA:$AA,'01. KE30'!$C:$C,'06. BC BH THEO CUSTOMER-USD'!$D71,'01. KE30'!$F:$F,'06. BC BH THEO CUSTOMER-USD'!$H71,'01. KE30'!$A:$A,'06. BC BH THEO CUSTOMER-USD'!DY$4),"-")</f>
        <v>0</v>
      </c>
      <c r="DZ71" s="114">
        <f>IFERROR(SUMIFS('01. KE30'!$X:$X,'01. KE30'!$C:$C,'06. BC BH THEO CUSTOMER-USD'!$D71,'01. KE30'!$F:$F,'06. BC BH THEO CUSTOMER-USD'!$H71,'01. KE30'!$A:$A,'06. BC BH THEO CUSTOMER-USD'!DZ$4)-SUMIFS('01. KE30'!$AA:$AA,'01. KE30'!$C:$C,'06. BC BH THEO CUSTOMER-USD'!$D71,'01. KE30'!$F:$F,'06. BC BH THEO CUSTOMER-USD'!$H71,'01. KE30'!$A:$A,'06. BC BH THEO CUSTOMER-USD'!DZ$4),"-")</f>
        <v>0</v>
      </c>
      <c r="EA71" s="114">
        <f>IFERROR(SUMIFS('01. KE30'!$X:$X,'01. KE30'!$C:$C,'06. BC BH THEO CUSTOMER-USD'!$D71,'01. KE30'!$F:$F,'06. BC BH THEO CUSTOMER-USD'!$H71,'01. KE30'!$A:$A,'06. BC BH THEO CUSTOMER-USD'!EA$4)-SUMIFS('01. KE30'!$AA:$AA,'01. KE30'!$C:$C,'06. BC BH THEO CUSTOMER-USD'!$D71,'01. KE30'!$F:$F,'06. BC BH THEO CUSTOMER-USD'!$H71,'01. KE30'!$A:$A,'06. BC BH THEO CUSTOMER-USD'!EA$4),"-")</f>
        <v>0</v>
      </c>
      <c r="EB71" s="114">
        <f>IFERROR(SUMIFS('01. KE30'!$X:$X,'01. KE30'!$C:$C,'06. BC BH THEO CUSTOMER-USD'!$D71,'01. KE30'!$F:$F,'06. BC BH THEO CUSTOMER-USD'!$H71,'01. KE30'!$A:$A,'06. BC BH THEO CUSTOMER-USD'!EB$4)-SUMIFS('01. KE30'!$AA:$AA,'01. KE30'!$C:$C,'06. BC BH THEO CUSTOMER-USD'!$D71,'01. KE30'!$F:$F,'06. BC BH THEO CUSTOMER-USD'!$H71,'01. KE30'!$A:$A,'06. BC BH THEO CUSTOMER-USD'!EB$4),"-")</f>
        <v>0</v>
      </c>
      <c r="EC71" s="114">
        <f>IFERROR(SUMIFS('01. KE30'!$X:$X,'01. KE30'!$C:$C,'06. BC BH THEO CUSTOMER-USD'!$D71,'01. KE30'!$F:$F,'06. BC BH THEO CUSTOMER-USD'!$H71,'01. KE30'!$A:$A,'06. BC BH THEO CUSTOMER-USD'!EC$4)-SUMIFS('01. KE30'!$AA:$AA,'01. KE30'!$C:$C,'06. BC BH THEO CUSTOMER-USD'!$D71,'01. KE30'!$F:$F,'06. BC BH THEO CUSTOMER-USD'!$H71,'01. KE30'!$A:$A,'06. BC BH THEO CUSTOMER-USD'!EC$4),"-")</f>
        <v>0</v>
      </c>
      <c r="ED71" s="114">
        <f>IFERROR(SUMIFS('01. KE30'!$X:$X,'01. KE30'!$C:$C,'06. BC BH THEO CUSTOMER-USD'!$D71,'01. KE30'!$F:$F,'06. BC BH THEO CUSTOMER-USD'!$H71,'01. KE30'!$A:$A,'06. BC BH THEO CUSTOMER-USD'!ED$4)-SUMIFS('01. KE30'!$AA:$AA,'01. KE30'!$C:$C,'06. BC BH THEO CUSTOMER-USD'!$D71,'01. KE30'!$F:$F,'06. BC BH THEO CUSTOMER-USD'!$H71,'01. KE30'!$A:$A,'06. BC BH THEO CUSTOMER-USD'!ED$4),"-")</f>
        <v>0</v>
      </c>
      <c r="EE71" s="114">
        <f>IFERROR(SUMIFS('01. KE30'!$X:$X,'01. KE30'!$C:$C,'06. BC BH THEO CUSTOMER-USD'!$D71,'01. KE30'!$F:$F,'06. BC BH THEO CUSTOMER-USD'!$H71,'01. KE30'!$A:$A,'06. BC BH THEO CUSTOMER-USD'!EE$4)-SUMIFS('01. KE30'!$AA:$AA,'01. KE30'!$C:$C,'06. BC BH THEO CUSTOMER-USD'!$D71,'01. KE30'!$F:$F,'06. BC BH THEO CUSTOMER-USD'!$H71,'01. KE30'!$A:$A,'06. BC BH THEO CUSTOMER-USD'!EE$4),"-")</f>
        <v>0</v>
      </c>
      <c r="EF71" s="114">
        <f>IFERROR(SUMIFS('01. KE30'!$X:$X,'01. KE30'!$C:$C,'06. BC BH THEO CUSTOMER-USD'!$D71,'01. KE30'!$F:$F,'06. BC BH THEO CUSTOMER-USD'!$H71,'01. KE30'!$A:$A,'06. BC BH THEO CUSTOMER-USD'!EF$4)-SUMIFS('01. KE30'!$AA:$AA,'01. KE30'!$C:$C,'06. BC BH THEO CUSTOMER-USD'!$D71,'01. KE30'!$F:$F,'06. BC BH THEO CUSTOMER-USD'!$H71,'01. KE30'!$A:$A,'06. BC BH THEO CUSTOMER-USD'!EF$4),"-")</f>
        <v>0</v>
      </c>
      <c r="EH71" s="571">
        <f t="shared" si="29"/>
        <v>-2.8295238187458591E-2</v>
      </c>
      <c r="EI71" s="572" t="str">
        <f t="shared" si="30"/>
        <v>-</v>
      </c>
      <c r="EJ71" s="572" t="str">
        <f t="shared" si="31"/>
        <v>-</v>
      </c>
      <c r="EK71" s="572">
        <f t="shared" si="32"/>
        <v>-2.8295238187458591E-2</v>
      </c>
      <c r="EL71" s="572" t="str">
        <f t="shared" si="33"/>
        <v>-</v>
      </c>
      <c r="EM71" s="572" t="str">
        <f t="shared" si="34"/>
        <v>-</v>
      </c>
      <c r="EN71" s="572" t="str">
        <f t="shared" si="35"/>
        <v>-</v>
      </c>
      <c r="EO71" s="572" t="str">
        <f t="shared" si="36"/>
        <v>-</v>
      </c>
      <c r="EP71" s="572" t="str">
        <f t="shared" si="37"/>
        <v>-</v>
      </c>
      <c r="EQ71" s="572" t="str">
        <f t="shared" si="38"/>
        <v>-</v>
      </c>
      <c r="ER71" s="572" t="str">
        <f t="shared" si="39"/>
        <v>-</v>
      </c>
      <c r="ES71" s="572" t="str">
        <f t="shared" si="40"/>
        <v>-</v>
      </c>
      <c r="ET71" s="572" t="str">
        <f t="shared" si="41"/>
        <v>-</v>
      </c>
    </row>
    <row r="72" spans="1:150" ht="15.5" hidden="1" outlineLevel="1" x14ac:dyDescent="0.35">
      <c r="A72" s="27">
        <f t="shared" si="63"/>
        <v>60</v>
      </c>
      <c r="B72" s="27" t="s">
        <v>283</v>
      </c>
      <c r="C72" s="442" t="s">
        <v>489</v>
      </c>
      <c r="D72" s="9" t="s">
        <v>629</v>
      </c>
      <c r="E72" s="12" t="s">
        <v>630</v>
      </c>
      <c r="F72" s="12" t="s">
        <v>667</v>
      </c>
      <c r="G72" s="12" t="str">
        <f>_xlfn.XLOOKUP(F72,'Quy đổi'!$G$5:$G$32,'Quy đổi'!$H$5:$H$32,0)</f>
        <v>Bắc Mỹ</v>
      </c>
      <c r="H72" s="77" t="s">
        <v>971</v>
      </c>
      <c r="I72" s="28" t="s">
        <v>972</v>
      </c>
      <c r="J72" s="13" t="s">
        <v>26</v>
      </c>
      <c r="K72" s="11" t="s">
        <v>113</v>
      </c>
      <c r="L72" s="92">
        <f t="shared" ref="L72" si="456">IFERROR(AVERAGE(M72:X72),"-")</f>
        <v>1207.6757587399154</v>
      </c>
      <c r="M72" s="106" t="str">
        <f>IFERROR(SUMIFS('01. KE30'!$K:$K,'01. KE30'!$C:$C,'06. BC BH THEO CUSTOMER-USD'!$D72,'01. KE30'!$F:$F,'06. BC BH THEO CUSTOMER-USD'!$H72,'01. KE30'!$A:$A,'06. BC BH THEO CUSTOMER-USD'!M$4)/'06. BC BH THEO CUSTOMER-USD'!CS72/'02. Tỷ giá'!B$5,"-")</f>
        <v>-</v>
      </c>
      <c r="N72" s="106" t="str">
        <f>IFERROR(SUMIFS('01. KE30'!$K:$K,'01. KE30'!$C:$C,'06. BC BH THEO CUSTOMER-USD'!$D72,'01. KE30'!$F:$F,'06. BC BH THEO CUSTOMER-USD'!$H72,'01. KE30'!$A:$A,'06. BC BH THEO CUSTOMER-USD'!N$4)/'06. BC BH THEO CUSTOMER-USD'!CT72/'02. Tỷ giá'!C$5,"-")</f>
        <v>-</v>
      </c>
      <c r="O72" s="106" t="str">
        <f>IFERROR(SUMIFS('01. KE30'!$K:$K,'01. KE30'!$C:$C,'06. BC BH THEO CUSTOMER-USD'!$D72,'01. KE30'!$F:$F,'06. BC BH THEO CUSTOMER-USD'!$H72,'01. KE30'!$A:$A,'06. BC BH THEO CUSTOMER-USD'!O$4)/'06. BC BH THEO CUSTOMER-USD'!CU72/'02. Tỷ giá'!D$5,"-")</f>
        <v>-</v>
      </c>
      <c r="P72" s="106" t="str">
        <f>IFERROR(SUMIFS('01. KE30'!$K:$K,'01. KE30'!$C:$C,'06. BC BH THEO CUSTOMER-USD'!$D72,'01. KE30'!$F:$F,'06. BC BH THEO CUSTOMER-USD'!$H72,'01. KE30'!$A:$A,'06. BC BH THEO CUSTOMER-USD'!P$4)/'06. BC BH THEO CUSTOMER-USD'!CV72/'02. Tỷ giá'!E$5,"-")</f>
        <v>-</v>
      </c>
      <c r="Q72" s="106" t="str">
        <f>IFERROR(SUMIFS('01. KE30'!$K:$K,'01. KE30'!$C:$C,'06. BC BH THEO CUSTOMER-USD'!$D72,'01. KE30'!$F:$F,'06. BC BH THEO CUSTOMER-USD'!$H72,'01. KE30'!$A:$A,'06. BC BH THEO CUSTOMER-USD'!Q$4)/'06. BC BH THEO CUSTOMER-USD'!CW72/'02. Tỷ giá'!F$5,"-")</f>
        <v>-</v>
      </c>
      <c r="R72" s="106" t="str">
        <f>IFERROR(SUMIFS('01. KE30'!$K:$K,'01. KE30'!$C:$C,'06. BC BH THEO CUSTOMER-USD'!$D72,'01. KE30'!$F:$F,'06. BC BH THEO CUSTOMER-USD'!$H72,'01. KE30'!$A:$A,'06. BC BH THEO CUSTOMER-USD'!R$4)/'06. BC BH THEO CUSTOMER-USD'!CX72/'02. Tỷ giá'!G$5,"-")</f>
        <v>-</v>
      </c>
      <c r="S72" s="106">
        <f>IFERROR(SUMIFS('01. KE30'!$K:$K,'01. KE30'!$C:$C,'06. BC BH THEO CUSTOMER-USD'!$D72,'01. KE30'!$F:$F,'06. BC BH THEO CUSTOMER-USD'!$H72,'01. KE30'!$A:$A,'06. BC BH THEO CUSTOMER-USD'!S$4)/'06. BC BH THEO CUSTOMER-USD'!CY72/'02. Tỷ giá'!H$5,"-")</f>
        <v>1207.6757587399154</v>
      </c>
      <c r="T72" s="106" t="str">
        <f>IFERROR(SUMIFS('01. KE30'!$K:$K,'01. KE30'!$C:$C,'06. BC BH THEO CUSTOMER-USD'!$D72,'01. KE30'!$F:$F,'06. BC BH THEO CUSTOMER-USD'!$H72,'01. KE30'!$A:$A,'06. BC BH THEO CUSTOMER-USD'!T$4)/'06. BC BH THEO CUSTOMER-USD'!CZ72/'02. Tỷ giá'!I$5,"-")</f>
        <v>-</v>
      </c>
      <c r="U72" s="106" t="str">
        <f>IFERROR(SUMIFS('01. KE30'!$K:$K,'01. KE30'!$C:$C,'06. BC BH THEO CUSTOMER-USD'!$D72,'01. KE30'!$F:$F,'06. BC BH THEO CUSTOMER-USD'!$H72,'01. KE30'!$A:$A,'06. BC BH THEO CUSTOMER-USD'!U$4)/'06. BC BH THEO CUSTOMER-USD'!DA72/'02. Tỷ giá'!J$5,"-")</f>
        <v>-</v>
      </c>
      <c r="V72" s="106" t="str">
        <f>IFERROR(SUMIFS('01. KE30'!$K:$K,'01. KE30'!$C:$C,'06. BC BH THEO CUSTOMER-USD'!$D72,'01. KE30'!$F:$F,'06. BC BH THEO CUSTOMER-USD'!$H72,'01. KE30'!$A:$A,'06. BC BH THEO CUSTOMER-USD'!V$4)/'06. BC BH THEO CUSTOMER-USD'!DB72/'02. Tỷ giá'!K$5,"-")</f>
        <v>-</v>
      </c>
      <c r="W72" s="106" t="str">
        <f>IFERROR(SUMIFS('01. KE30'!$K:$K,'01. KE30'!$C:$C,'06. BC BH THEO CUSTOMER-USD'!$D72,'01. KE30'!$F:$F,'06. BC BH THEO CUSTOMER-USD'!$H72,'01. KE30'!$A:$A,'06. BC BH THEO CUSTOMER-USD'!W$4)/'06. BC BH THEO CUSTOMER-USD'!DC72/'02. Tỷ giá'!L$5,"-")</f>
        <v>-</v>
      </c>
      <c r="X72" s="106" t="str">
        <f>IFERROR(SUMIFS('01. KE30'!$K:$K,'01. KE30'!$C:$C,'06. BC BH THEO CUSTOMER-USD'!$D72,'01. KE30'!$F:$F,'06. BC BH THEO CUSTOMER-USD'!$H72,'01. KE30'!$A:$A,'06. BC BH THEO CUSTOMER-USD'!X$4)/'06. BC BH THEO CUSTOMER-USD'!DD72/'02. Tỷ giá'!M$5,"-")</f>
        <v>-</v>
      </c>
      <c r="Z72" s="92">
        <f t="shared" ref="Z72" si="457">IFERROR(AVERAGE(AA72:AL72),"-")</f>
        <v>1186.3927829248898</v>
      </c>
      <c r="AA72" s="147" t="str">
        <f>IFERROR(SUMIFS('01. KE30'!$O:$O,'01. KE30'!$C:$C,'06. BC BH THEO CUSTOMER-USD'!$D72,'01. KE30'!$F:$F,'06. BC BH THEO CUSTOMER-USD'!$H72,'01. KE30'!$A:$A,'06. BC BH THEO CUSTOMER-USD'!M$4)/'06. BC BH THEO CUSTOMER-USD'!CS72/'02. Tỷ giá'!B$5,"-")</f>
        <v>-</v>
      </c>
      <c r="AB72" s="147" t="str">
        <f>IFERROR(SUMIFS('01. KE30'!$O:$O,'01. KE30'!$C:$C,'06. BC BH THEO CUSTOMER-USD'!$D72,'01. KE30'!$F:$F,'06. BC BH THEO CUSTOMER-USD'!$H72,'01. KE30'!$A:$A,'06. BC BH THEO CUSTOMER-USD'!N$4)/'06. BC BH THEO CUSTOMER-USD'!CT72/'02. Tỷ giá'!C$5,"-")</f>
        <v>-</v>
      </c>
      <c r="AC72" s="147" t="str">
        <f>IFERROR(SUMIFS('01. KE30'!$O:$O,'01. KE30'!$C:$C,'06. BC BH THEO CUSTOMER-USD'!$D72,'01. KE30'!$F:$F,'06. BC BH THEO CUSTOMER-USD'!$H72,'01. KE30'!$A:$A,'06. BC BH THEO CUSTOMER-USD'!O$4)/'06. BC BH THEO CUSTOMER-USD'!CU72/'02. Tỷ giá'!D$5,"-")</f>
        <v>-</v>
      </c>
      <c r="AD72" s="147" t="str">
        <f>IFERROR(SUMIFS('01. KE30'!$O:$O,'01. KE30'!$C:$C,'06. BC BH THEO CUSTOMER-USD'!$D72,'01. KE30'!$F:$F,'06. BC BH THEO CUSTOMER-USD'!$H72,'01. KE30'!$A:$A,'06. BC BH THEO CUSTOMER-USD'!P$4)/'06. BC BH THEO CUSTOMER-USD'!CV72/'02. Tỷ giá'!E$5,"-")</f>
        <v>-</v>
      </c>
      <c r="AE72" s="147" t="str">
        <f>IFERROR(SUMIFS('01. KE30'!$O:$O,'01. KE30'!$C:$C,'06. BC BH THEO CUSTOMER-USD'!$D72,'01. KE30'!$F:$F,'06. BC BH THEO CUSTOMER-USD'!$H72,'01. KE30'!$A:$A,'06. BC BH THEO CUSTOMER-USD'!Q$4)/'06. BC BH THEO CUSTOMER-USD'!CW72/'02. Tỷ giá'!F$5,"-")</f>
        <v>-</v>
      </c>
      <c r="AF72" s="147" t="str">
        <f>IFERROR(SUMIFS('01. KE30'!$O:$O,'01. KE30'!$C:$C,'06. BC BH THEO CUSTOMER-USD'!$D72,'01. KE30'!$F:$F,'06. BC BH THEO CUSTOMER-USD'!$H72,'01. KE30'!$A:$A,'06. BC BH THEO CUSTOMER-USD'!R$4)/'06. BC BH THEO CUSTOMER-USD'!CX72/'02. Tỷ giá'!G$5,"-")</f>
        <v>-</v>
      </c>
      <c r="AG72" s="147">
        <f>IFERROR(SUMIFS('01. KE30'!$O:$O,'01. KE30'!$C:$C,'06. BC BH THEO CUSTOMER-USD'!$D72,'01. KE30'!$F:$F,'06. BC BH THEO CUSTOMER-USD'!$H72,'01. KE30'!$A:$A,'06. BC BH THEO CUSTOMER-USD'!S$4)/'06. BC BH THEO CUSTOMER-USD'!CY72/'02. Tỷ giá'!H$5,"-")</f>
        <v>1186.3927829248898</v>
      </c>
      <c r="AH72" s="147" t="str">
        <f>IFERROR(SUMIFS('01. KE30'!$O:$O,'01. KE30'!$C:$C,'06. BC BH THEO CUSTOMER-USD'!$D72,'01. KE30'!$F:$F,'06. BC BH THEO CUSTOMER-USD'!$H72,'01. KE30'!$A:$A,'06. BC BH THEO CUSTOMER-USD'!T$4)/'06. BC BH THEO CUSTOMER-USD'!CZ72/'02. Tỷ giá'!I$5,"-")</f>
        <v>-</v>
      </c>
      <c r="AI72" s="147" t="str">
        <f>IFERROR(SUMIFS('01. KE30'!$O:$O,'01. KE30'!$C:$C,'06. BC BH THEO CUSTOMER-USD'!$D72,'01. KE30'!$F:$F,'06. BC BH THEO CUSTOMER-USD'!$H72,'01. KE30'!$A:$A,'06. BC BH THEO CUSTOMER-USD'!U$4)/'06. BC BH THEO CUSTOMER-USD'!DA72/'02. Tỷ giá'!J$5,"-")</f>
        <v>-</v>
      </c>
      <c r="AJ72" s="147" t="str">
        <f>IFERROR(SUMIFS('01. KE30'!$O:$O,'01. KE30'!$C:$C,'06. BC BH THEO CUSTOMER-USD'!$D72,'01. KE30'!$F:$F,'06. BC BH THEO CUSTOMER-USD'!$H72,'01. KE30'!$A:$A,'06. BC BH THEO CUSTOMER-USD'!V$4)/'06. BC BH THEO CUSTOMER-USD'!DB72/'02. Tỷ giá'!K$5,"-")</f>
        <v>-</v>
      </c>
      <c r="AK72" s="147" t="str">
        <f>IFERROR(SUMIFS('01. KE30'!$O:$O,'01. KE30'!$C:$C,'06. BC BH THEO CUSTOMER-USD'!$D72,'01. KE30'!$F:$F,'06. BC BH THEO CUSTOMER-USD'!$H72,'01. KE30'!$A:$A,'06. BC BH THEO CUSTOMER-USD'!W$4)/'06. BC BH THEO CUSTOMER-USD'!DC72/'02. Tỷ giá'!L$5,"-")</f>
        <v>-</v>
      </c>
      <c r="AL72" s="147" t="str">
        <f>IFERROR(SUMIFS('01. KE30'!$O:$O,'01. KE30'!$C:$C,'06. BC BH THEO CUSTOMER-USD'!$D72,'01. KE30'!$F:$F,'06. BC BH THEO CUSTOMER-USD'!$H72,'01. KE30'!$A:$A,'06. BC BH THEO CUSTOMER-USD'!X$4)/'06. BC BH THEO CUSTOMER-USD'!DD72/'02. Tỷ giá'!M$5,"-")</f>
        <v>-</v>
      </c>
      <c r="AN72" s="92">
        <f t="shared" ref="AN72" si="458">IFERROR(AVERAGE(AO72:AZ72),"-")</f>
        <v>1235</v>
      </c>
      <c r="AO72" s="25"/>
      <c r="AP72" s="25"/>
      <c r="AQ72" s="25"/>
      <c r="AR72" s="4"/>
      <c r="AS72" s="4"/>
      <c r="AT72" s="4"/>
      <c r="AU72" s="4">
        <v>1250</v>
      </c>
      <c r="AV72" s="4">
        <f t="shared" si="205"/>
        <v>1220</v>
      </c>
      <c r="AW72" s="25"/>
      <c r="AX72" s="25"/>
      <c r="AY72" s="4"/>
      <c r="AZ72" s="4"/>
      <c r="BB72" s="95">
        <f t="shared" ref="BB72" si="459">IF(L72&lt;&gt;"-",Z72-AN72,"-")</f>
        <v>-48.607217075110157</v>
      </c>
      <c r="BC72" s="95" t="str">
        <f t="shared" ref="BC72" si="460">IF(M72&lt;&gt;"-",AA72-AO72,"-")</f>
        <v>-</v>
      </c>
      <c r="BD72" s="95" t="str">
        <f t="shared" ref="BD72" si="461">IF(N72&lt;&gt;"-",AB72-AP72,"-")</f>
        <v>-</v>
      </c>
      <c r="BE72" s="95" t="str">
        <f t="shared" ref="BE72" si="462">IF(O72&lt;&gt;"-",AC72-AQ72,"-")</f>
        <v>-</v>
      </c>
      <c r="BF72" s="95" t="str">
        <f t="shared" ref="BF72" si="463">IF(P72&lt;&gt;"-",AD72-AR72,"-")</f>
        <v>-</v>
      </c>
      <c r="BG72" s="95" t="str">
        <f t="shared" ref="BG72" si="464">IF(Q72&lt;&gt;"-",AE72-AS72,"-")</f>
        <v>-</v>
      </c>
      <c r="BH72" s="95" t="str">
        <f t="shared" ref="BH72" si="465">IF(R72&lt;&gt;"-",AF72-AT72,"-")</f>
        <v>-</v>
      </c>
      <c r="BI72" s="95">
        <f t="shared" ref="BI72" si="466">IF(S72&lt;&gt;"-",AG72-AU72,"-")</f>
        <v>-63.607217075110157</v>
      </c>
      <c r="BJ72" s="95" t="str">
        <f t="shared" ref="BJ72" si="467">IF(T72&lt;&gt;"-",AH72-AV72,"-")</f>
        <v>-</v>
      </c>
      <c r="BK72" s="95" t="str">
        <f t="shared" ref="BK72" si="468">IF(U72&lt;&gt;"-",AI72-AW72,"-")</f>
        <v>-</v>
      </c>
      <c r="BL72" s="95" t="str">
        <f t="shared" ref="BL72" si="469">IF(V72&lt;&gt;"-",AJ72-AX72,"-")</f>
        <v>-</v>
      </c>
      <c r="BM72" s="95" t="str">
        <f t="shared" ref="BM72" si="470">IF(W72&lt;&gt;"-",AK72-AY72,"-")</f>
        <v>-</v>
      </c>
      <c r="BN72" s="95" t="str">
        <f t="shared" ref="BN72" si="471">IF(X72&lt;&gt;"-",AL72-AZ72,"-")</f>
        <v>-</v>
      </c>
      <c r="BP72" s="143">
        <f t="shared" ref="BP72" si="472">IFERROR(IF(BB72&lt;&gt;"-",BB72/AN72,"-"),"-")</f>
        <v>-3.9358070506162073E-2</v>
      </c>
      <c r="BQ72" s="143" t="str">
        <f t="shared" ref="BQ72" si="473">IFERROR(IF(BC72&lt;&gt;"-",BC72/AO72,"-"),"-")</f>
        <v>-</v>
      </c>
      <c r="BR72" s="143" t="str">
        <f t="shared" ref="BR72" si="474">IFERROR(IF(BD72&lt;&gt;"-",BD72/AP72,"-"),"-")</f>
        <v>-</v>
      </c>
      <c r="BS72" s="143" t="str">
        <f t="shared" ref="BS72" si="475">IFERROR(IF(BE72&lt;&gt;"-",BE72/AQ72,"-"),"-")</f>
        <v>-</v>
      </c>
      <c r="BT72" s="143" t="str">
        <f t="shared" ref="BT72" si="476">IFERROR(IF(BF72&lt;&gt;"-",BF72/AR72,"-"),"-")</f>
        <v>-</v>
      </c>
      <c r="BU72" s="143" t="str">
        <f t="shared" ref="BU72" si="477">IFERROR(IF(BG72&lt;&gt;"-",BG72/AS72,"-"),"-")</f>
        <v>-</v>
      </c>
      <c r="BV72" s="143" t="str">
        <f t="shared" ref="BV72" si="478">IFERROR(IF(BH72&lt;&gt;"-",BH72/AT72,"-"),"-")</f>
        <v>-</v>
      </c>
      <c r="BW72" s="143">
        <f t="shared" ref="BW72" si="479">IFERROR(IF(BI72&lt;&gt;"-",BI72/AU72,"-"),"-")</f>
        <v>-5.0885773660088125E-2</v>
      </c>
      <c r="BX72" s="143" t="str">
        <f t="shared" ref="BX72" si="480">IFERROR(IF(BJ72&lt;&gt;"-",BJ72/AV72,"-"),"-")</f>
        <v>-</v>
      </c>
      <c r="BY72" s="143" t="str">
        <f t="shared" ref="BY72" si="481">IFERROR(IF(BK72&lt;&gt;"-",BK72/AW72,"-"),"-")</f>
        <v>-</v>
      </c>
      <c r="BZ72" s="143" t="str">
        <f t="shared" ref="BZ72" si="482">IFERROR(IF(BL72&lt;&gt;"-",BL72/AX72,"-"),"-")</f>
        <v>-</v>
      </c>
      <c r="CA72" s="143" t="str">
        <f t="shared" ref="CA72" si="483">IFERROR(IF(BM72&lt;&gt;"-",BM72/AY72,"-"),"-")</f>
        <v>-</v>
      </c>
      <c r="CB72" s="143" t="str">
        <f t="shared" ref="CB72" si="484">IFERROR(IF(BN72&lt;&gt;"-",BN72/AZ72,"-"),"-")</f>
        <v>-</v>
      </c>
      <c r="CD72" s="112">
        <f t="shared" ref="CD72" si="485">IFERROR(AVERAGE(CE72:CP72),"-")</f>
        <v>1024.7490498440977</v>
      </c>
      <c r="CE72" s="95" t="str">
        <f>IFERROR(SUMIFS('01. KE30'!$R:$R,'01. KE30'!$C:$C,'06. BC BH THEO CUSTOMER-USD'!$D72,'01. KE30'!$F:$F,'06. BC BH THEO CUSTOMER-USD'!$H72,'01. KE30'!$A:$A,'06. BC BH THEO CUSTOMER-USD'!CE$4)/CS72/'02. Tỷ giá'!B$5," -")</f>
        <v xml:space="preserve"> -</v>
      </c>
      <c r="CF72" s="95" t="str">
        <f>IFERROR(SUMIFS('01. KE30'!$R:$R,'01. KE30'!$C:$C,'06. BC BH THEO CUSTOMER-USD'!$D72,'01. KE30'!$F:$F,'06. BC BH THEO CUSTOMER-USD'!$H72,'01. KE30'!$A:$A,'06. BC BH THEO CUSTOMER-USD'!CF$4)/CT72/'02. Tỷ giá'!C$5," -")</f>
        <v xml:space="preserve"> -</v>
      </c>
      <c r="CG72" s="95" t="str">
        <f>IFERROR(SUMIFS('01. KE30'!$R:$R,'01. KE30'!$C:$C,'06. BC BH THEO CUSTOMER-USD'!$D72,'01. KE30'!$F:$F,'06. BC BH THEO CUSTOMER-USD'!$H72,'01. KE30'!$A:$A,'06. BC BH THEO CUSTOMER-USD'!CG$4)/CU72/'02. Tỷ giá'!D$5," -")</f>
        <v xml:space="preserve"> -</v>
      </c>
      <c r="CH72" s="95" t="str">
        <f>IFERROR(SUMIFS('01. KE30'!$R:$R,'01. KE30'!$C:$C,'06. BC BH THEO CUSTOMER-USD'!$D72,'01. KE30'!$F:$F,'06. BC BH THEO CUSTOMER-USD'!$H72,'01. KE30'!$A:$A,'06. BC BH THEO CUSTOMER-USD'!CH$4)/CV72/'02. Tỷ giá'!E$5," -")</f>
        <v xml:space="preserve"> -</v>
      </c>
      <c r="CI72" s="95" t="str">
        <f>IFERROR(SUMIFS('01. KE30'!$R:$R,'01. KE30'!$C:$C,'06. BC BH THEO CUSTOMER-USD'!$D72,'01. KE30'!$F:$F,'06. BC BH THEO CUSTOMER-USD'!$H72,'01. KE30'!$A:$A,'06. BC BH THEO CUSTOMER-USD'!CI$4)/CW72/'02. Tỷ giá'!F$5," -")</f>
        <v xml:space="preserve"> -</v>
      </c>
      <c r="CJ72" s="95" t="str">
        <f>IFERROR(SUMIFS('01. KE30'!$R:$R,'01. KE30'!$C:$C,'06. BC BH THEO CUSTOMER-USD'!$D72,'01. KE30'!$F:$F,'06. BC BH THEO CUSTOMER-USD'!$H72,'01. KE30'!$A:$A,'06. BC BH THEO CUSTOMER-USD'!CJ$4)/CX72/'02. Tỷ giá'!G$5," -")</f>
        <v xml:space="preserve"> -</v>
      </c>
      <c r="CK72" s="95">
        <f>IFERROR(SUMIFS('01. KE30'!$R:$R,'01. KE30'!$C:$C,'06. BC BH THEO CUSTOMER-USD'!$D72,'01. KE30'!$F:$F,'06. BC BH THEO CUSTOMER-USD'!$H72,'01. KE30'!$A:$A,'06. BC BH THEO CUSTOMER-USD'!CK$4)/CY72/'02. Tỷ giá'!H$5," -")</f>
        <v>1024.7490498440977</v>
      </c>
      <c r="CL72" s="95" t="str">
        <f>IFERROR(SUMIFS('01. KE30'!$R:$R,'01. KE30'!$C:$C,'06. BC BH THEO CUSTOMER-USD'!$D72,'01. KE30'!$F:$F,'06. BC BH THEO CUSTOMER-USD'!$H72,'01. KE30'!$A:$A,'06. BC BH THEO CUSTOMER-USD'!CL$4)/CZ72/'02. Tỷ giá'!I$5," -")</f>
        <v xml:space="preserve"> -</v>
      </c>
      <c r="CM72" s="95" t="str">
        <f>IFERROR(SUMIFS('01. KE30'!$R:$R,'01. KE30'!$C:$C,'06. BC BH THEO CUSTOMER-USD'!$D72,'01. KE30'!$F:$F,'06. BC BH THEO CUSTOMER-USD'!$H72,'01. KE30'!$A:$A,'06. BC BH THEO CUSTOMER-USD'!CM$4)/DA72/'02. Tỷ giá'!J$5," -")</f>
        <v xml:space="preserve"> -</v>
      </c>
      <c r="CN72" s="95" t="str">
        <f>IFERROR(SUMIFS('01. KE30'!$R:$R,'01. KE30'!$C:$C,'06. BC BH THEO CUSTOMER-USD'!$D72,'01. KE30'!$F:$F,'06. BC BH THEO CUSTOMER-USD'!$H72,'01. KE30'!$A:$A,'06. BC BH THEO CUSTOMER-USD'!CN$4)/DB72/'02. Tỷ giá'!K$5," -")</f>
        <v xml:space="preserve"> -</v>
      </c>
      <c r="CO72" s="95" t="str">
        <f>IFERROR(SUMIFS('01. KE30'!$R:$R,'01. KE30'!$C:$C,'06. BC BH THEO CUSTOMER-USD'!$D72,'01. KE30'!$F:$F,'06. BC BH THEO CUSTOMER-USD'!$H72,'01. KE30'!$A:$A,'06. BC BH THEO CUSTOMER-USD'!CO$4)/DC72/'02. Tỷ giá'!L$5," -")</f>
        <v xml:space="preserve"> -</v>
      </c>
      <c r="CP72" s="95" t="str">
        <f>IFERROR(SUMIFS('01. KE30'!$R:$R,'01. KE30'!$C:$C,'06. BC BH THEO CUSTOMER-USD'!$D72,'01. KE30'!$F:$F,'06. BC BH THEO CUSTOMER-USD'!$H72,'01. KE30'!$A:$A,'06. BC BH THEO CUSTOMER-USD'!CP$4)/DD72/'02. Tỷ giá'!M$5," -")</f>
        <v xml:space="preserve"> -</v>
      </c>
      <c r="CR72" s="112">
        <f t="shared" ref="CR72" si="486">SUM(CS72:DD72)</f>
        <v>21.5</v>
      </c>
      <c r="CS72" s="114">
        <f>SUMIFS('01. KE30'!$I:$I,'01. KE30'!$C:$C,'06. BC BH THEO CUSTOMER-USD'!$D72,'01. KE30'!$F:$F,'06. BC BH THEO CUSTOMER-USD'!$H72,'01. KE30'!$A:$A,'06. BC BH THEO CUSTOMER-USD'!CS$4)/1000</f>
        <v>0</v>
      </c>
      <c r="CT72" s="114">
        <f>SUMIFS('01. KE30'!$I:$I,'01. KE30'!$C:$C,'06. BC BH THEO CUSTOMER-USD'!$D72,'01. KE30'!$F:$F,'06. BC BH THEO CUSTOMER-USD'!$H72,'01. KE30'!$A:$A,'06. BC BH THEO CUSTOMER-USD'!CT$4)/1000</f>
        <v>0</v>
      </c>
      <c r="CU72" s="114">
        <f>SUMIFS('01. KE30'!$I:$I,'01. KE30'!$C:$C,'06. BC BH THEO CUSTOMER-USD'!$D72,'01. KE30'!$F:$F,'06. BC BH THEO CUSTOMER-USD'!$H72,'01. KE30'!$A:$A,'06. BC BH THEO CUSTOMER-USD'!CU$4)/1000</f>
        <v>0</v>
      </c>
      <c r="CV72" s="114">
        <f>SUMIFS('01. KE30'!$I:$I,'01. KE30'!$C:$C,'06. BC BH THEO CUSTOMER-USD'!$D72,'01. KE30'!$F:$F,'06. BC BH THEO CUSTOMER-USD'!$H72,'01. KE30'!$A:$A,'06. BC BH THEO CUSTOMER-USD'!CV$4)/1000</f>
        <v>0</v>
      </c>
      <c r="CW72" s="114">
        <f>SUMIFS('01. KE30'!$I:$I,'01. KE30'!$C:$C,'06. BC BH THEO CUSTOMER-USD'!$D72,'01. KE30'!$F:$F,'06. BC BH THEO CUSTOMER-USD'!$H72,'01. KE30'!$A:$A,'06. BC BH THEO CUSTOMER-USD'!CW$4)/1000</f>
        <v>0</v>
      </c>
      <c r="CX72" s="114">
        <f>SUMIFS('01. KE30'!$I:$I,'01. KE30'!$C:$C,'06. BC BH THEO CUSTOMER-USD'!$D72,'01. KE30'!$F:$F,'06. BC BH THEO CUSTOMER-USD'!$H72,'01. KE30'!$A:$A,'06. BC BH THEO CUSTOMER-USD'!CX$4)/1000</f>
        <v>0</v>
      </c>
      <c r="CY72" s="114">
        <f>SUMIFS('01. KE30'!$I:$I,'01. KE30'!$C:$C,'06. BC BH THEO CUSTOMER-USD'!$D72,'01. KE30'!$F:$F,'06. BC BH THEO CUSTOMER-USD'!$H72,'01. KE30'!$A:$A,'06. BC BH THEO CUSTOMER-USD'!CY$4)/1000</f>
        <v>21.5</v>
      </c>
      <c r="CZ72" s="114">
        <f>SUMIFS('01. KE30'!$I:$I,'01. KE30'!$C:$C,'06. BC BH THEO CUSTOMER-USD'!$D72,'01. KE30'!$F:$F,'06. BC BH THEO CUSTOMER-USD'!$H72,'01. KE30'!$A:$A,'06. BC BH THEO CUSTOMER-USD'!CZ$4)/1000</f>
        <v>0</v>
      </c>
      <c r="DA72" s="114">
        <f>SUMIFS('01. KE30'!$I:$I,'01. KE30'!$C:$C,'06. BC BH THEO CUSTOMER-USD'!$D72,'01. KE30'!$F:$F,'06. BC BH THEO CUSTOMER-USD'!$H72,'01. KE30'!$A:$A,'06. BC BH THEO CUSTOMER-USD'!DA$4)/1000</f>
        <v>0</v>
      </c>
      <c r="DB72" s="114">
        <f>SUMIFS('01. KE30'!$I:$I,'01. KE30'!$C:$C,'06. BC BH THEO CUSTOMER-USD'!$D72,'01. KE30'!$F:$F,'06. BC BH THEO CUSTOMER-USD'!$H72,'01. KE30'!$A:$A,'06. BC BH THEO CUSTOMER-USD'!DB$4)/1000</f>
        <v>0</v>
      </c>
      <c r="DC72" s="114">
        <f>SUMIFS('01. KE30'!$I:$I,'01. KE30'!$C:$C,'06. BC BH THEO CUSTOMER-USD'!$D72,'01. KE30'!$F:$F,'06. BC BH THEO CUSTOMER-USD'!$H72,'01. KE30'!$A:$A,'06. BC BH THEO CUSTOMER-USD'!DC$4)/1000</f>
        <v>0</v>
      </c>
      <c r="DD72" s="114">
        <f>SUMIFS('01. KE30'!$I:$I,'01. KE30'!$C:$C,'06. BC BH THEO CUSTOMER-USD'!$D72,'01. KE30'!$F:$F,'06. BC BH THEO CUSTOMER-USD'!$H72,'01. KE30'!$A:$A,'06. BC BH THEO CUSTOMER-USD'!DD$4)/1000</f>
        <v>0</v>
      </c>
      <c r="DF72" s="112">
        <f t="shared" ref="DF72" si="487">SUM(DG72:DR72)</f>
        <v>25965.028812908182</v>
      </c>
      <c r="DG72" s="54" t="str">
        <f t="shared" ref="DG72" si="488">IFERROR(M72*CS72,"-")</f>
        <v>-</v>
      </c>
      <c r="DH72" s="54" t="str">
        <f t="shared" ref="DH72" si="489">IFERROR(N72*CT72,"-")</f>
        <v>-</v>
      </c>
      <c r="DI72" s="54" t="str">
        <f t="shared" ref="DI72" si="490">IFERROR(O72*CU72,"-")</f>
        <v>-</v>
      </c>
      <c r="DJ72" s="54" t="str">
        <f t="shared" ref="DJ72" si="491">IFERROR(P72*CV72,"-")</f>
        <v>-</v>
      </c>
      <c r="DK72" s="54" t="str">
        <f t="shared" ref="DK72" si="492">IFERROR(Q72*CW72,"-")</f>
        <v>-</v>
      </c>
      <c r="DL72" s="54" t="str">
        <f t="shared" ref="DL72" si="493">IFERROR(R72*CX72,"-")</f>
        <v>-</v>
      </c>
      <c r="DM72" s="54">
        <f t="shared" ref="DM72" si="494">IFERROR(S72*CY72,"-")</f>
        <v>25965.028812908182</v>
      </c>
      <c r="DN72" s="54" t="str">
        <f t="shared" ref="DN72" si="495">IFERROR(T72*CZ72,"-")</f>
        <v>-</v>
      </c>
      <c r="DO72" s="54" t="str">
        <f t="shared" ref="DO72" si="496">IFERROR(U72*DA72,"-")</f>
        <v>-</v>
      </c>
      <c r="DP72" s="54" t="str">
        <f t="shared" ref="DP72" si="497">IFERROR(V72*DB72,"-")</f>
        <v>-</v>
      </c>
      <c r="DQ72" s="54" t="str">
        <f t="shared" ref="DQ72" si="498">IFERROR(W72*DC72,"-")</f>
        <v>-</v>
      </c>
      <c r="DR72" s="54" t="str">
        <f t="shared" ref="DR72" si="499">IFERROR(X72*DD72,"-")</f>
        <v>-</v>
      </c>
      <c r="DT72" s="112">
        <f t="shared" ref="DT72" si="500">SUM(DU72:EF72)</f>
        <v>3475.3402612370337</v>
      </c>
      <c r="DU72" s="114">
        <f>IFERROR(SUMIFS('01. KE30'!$X:$X,'01. KE30'!$C:$C,'06. BC BH THEO CUSTOMER-USD'!$D72,'01. KE30'!$F:$F,'06. BC BH THEO CUSTOMER-USD'!$H72,'01. KE30'!$A:$A,'06. BC BH THEO CUSTOMER-USD'!DU$4)-SUMIFS('01. KE30'!$AA:$AA,'01. KE30'!$C:$C,'06. BC BH THEO CUSTOMER-USD'!$D72,'01. KE30'!$F:$F,'06. BC BH THEO CUSTOMER-USD'!$H72,'01. KE30'!$A:$A,'06. BC BH THEO CUSTOMER-USD'!DU$4),"-")</f>
        <v>0</v>
      </c>
      <c r="DV72" s="114">
        <f>IFERROR(SUMIFS('01. KE30'!$X:$X,'01. KE30'!$C:$C,'06. BC BH THEO CUSTOMER-USD'!$D72,'01. KE30'!$F:$F,'06. BC BH THEO CUSTOMER-USD'!$H72,'01. KE30'!$A:$A,'06. BC BH THEO CUSTOMER-USD'!DV$4)-SUMIFS('01. KE30'!$AA:$AA,'01. KE30'!$C:$C,'06. BC BH THEO CUSTOMER-USD'!$D72,'01. KE30'!$F:$F,'06. BC BH THEO CUSTOMER-USD'!$H72,'01. KE30'!$A:$A,'06. BC BH THEO CUSTOMER-USD'!DV$4),"-")</f>
        <v>0</v>
      </c>
      <c r="DW72" s="114">
        <f>IFERROR(SUMIFS('01. KE30'!$X:$X,'01. KE30'!$C:$C,'06. BC BH THEO CUSTOMER-USD'!$D72,'01. KE30'!$F:$F,'06. BC BH THEO CUSTOMER-USD'!$H72,'01. KE30'!$A:$A,'06. BC BH THEO CUSTOMER-USD'!DW$4)-SUMIFS('01. KE30'!$AA:$AA,'01. KE30'!$C:$C,'06. BC BH THEO CUSTOMER-USD'!$D72,'01. KE30'!$F:$F,'06. BC BH THEO CUSTOMER-USD'!$H72,'01. KE30'!$A:$A,'06. BC BH THEO CUSTOMER-USD'!DW$4),"-")</f>
        <v>0</v>
      </c>
      <c r="DX72" s="114">
        <f>IFERROR(SUMIFS('01. KE30'!$X:$X,'01. KE30'!$C:$C,'06. BC BH THEO CUSTOMER-USD'!$D72,'01. KE30'!$F:$F,'06. BC BH THEO CUSTOMER-USD'!$H72,'01. KE30'!$A:$A,'06. BC BH THEO CUSTOMER-USD'!DX$4)-SUMIFS('01. KE30'!$AA:$AA,'01. KE30'!$C:$C,'06. BC BH THEO CUSTOMER-USD'!$D72,'01. KE30'!$F:$F,'06. BC BH THEO CUSTOMER-USD'!$H72,'01. KE30'!$A:$A,'06. BC BH THEO CUSTOMER-USD'!DX$4),"-")</f>
        <v>0</v>
      </c>
      <c r="DY72" s="114">
        <f>IFERROR(SUMIFS('01. KE30'!$X:$X,'01. KE30'!$C:$C,'06. BC BH THEO CUSTOMER-USD'!$D72,'01. KE30'!$F:$F,'06. BC BH THEO CUSTOMER-USD'!$H72,'01. KE30'!$A:$A,'06. BC BH THEO CUSTOMER-USD'!DY$4)-SUMIFS('01. KE30'!$AA:$AA,'01. KE30'!$C:$C,'06. BC BH THEO CUSTOMER-USD'!$D72,'01. KE30'!$F:$F,'06. BC BH THEO CUSTOMER-USD'!$H72,'01. KE30'!$A:$A,'06. BC BH THEO CUSTOMER-USD'!DY$4),"-")</f>
        <v>0</v>
      </c>
      <c r="DZ72" s="114">
        <f>IFERROR(SUMIFS('01. KE30'!$X:$X,'01. KE30'!$C:$C,'06. BC BH THEO CUSTOMER-USD'!$D72,'01. KE30'!$F:$F,'06. BC BH THEO CUSTOMER-USD'!$H72,'01. KE30'!$A:$A,'06. BC BH THEO CUSTOMER-USD'!DZ$4)-SUMIFS('01. KE30'!$AA:$AA,'01. KE30'!$C:$C,'06. BC BH THEO CUSTOMER-USD'!$D72,'01. KE30'!$F:$F,'06. BC BH THEO CUSTOMER-USD'!$H72,'01. KE30'!$A:$A,'06. BC BH THEO CUSTOMER-USD'!DZ$4),"-")</f>
        <v>0</v>
      </c>
      <c r="EA72" s="114">
        <f>IFERROR(SUMIFS('01. KE30'!$X:$X,'01. KE30'!$C:$C,'06. BC BH THEO CUSTOMER-USD'!$D72,'01. KE30'!$F:$F,'06. BC BH THEO CUSTOMER-USD'!$H72,'01. KE30'!$A:$A,'06. BC BH THEO CUSTOMER-USD'!EA$4)-SUMIFS('01. KE30'!$AA:$AA,'01. KE30'!$C:$C,'06. BC BH THEO CUSTOMER-USD'!$D72,'01. KE30'!$F:$F,'06. BC BH THEO CUSTOMER-USD'!$H72,'01. KE30'!$A:$A,'06. BC BH THEO CUSTOMER-USD'!EA$4),"-")</f>
        <v>3475.3402612370337</v>
      </c>
      <c r="EB72" s="114">
        <f>IFERROR(SUMIFS('01. KE30'!$X:$X,'01. KE30'!$C:$C,'06. BC BH THEO CUSTOMER-USD'!$D72,'01. KE30'!$F:$F,'06. BC BH THEO CUSTOMER-USD'!$H72,'01. KE30'!$A:$A,'06. BC BH THEO CUSTOMER-USD'!EB$4)-SUMIFS('01. KE30'!$AA:$AA,'01. KE30'!$C:$C,'06. BC BH THEO CUSTOMER-USD'!$D72,'01. KE30'!$F:$F,'06. BC BH THEO CUSTOMER-USD'!$H72,'01. KE30'!$A:$A,'06. BC BH THEO CUSTOMER-USD'!EB$4),"-")</f>
        <v>0</v>
      </c>
      <c r="EC72" s="114">
        <f>IFERROR(SUMIFS('01. KE30'!$X:$X,'01. KE30'!$C:$C,'06. BC BH THEO CUSTOMER-USD'!$D72,'01. KE30'!$F:$F,'06. BC BH THEO CUSTOMER-USD'!$H72,'01. KE30'!$A:$A,'06. BC BH THEO CUSTOMER-USD'!EC$4)-SUMIFS('01. KE30'!$AA:$AA,'01. KE30'!$C:$C,'06. BC BH THEO CUSTOMER-USD'!$D72,'01. KE30'!$F:$F,'06. BC BH THEO CUSTOMER-USD'!$H72,'01. KE30'!$A:$A,'06. BC BH THEO CUSTOMER-USD'!EC$4),"-")</f>
        <v>0</v>
      </c>
      <c r="ED72" s="114">
        <f>IFERROR(SUMIFS('01. KE30'!$X:$X,'01. KE30'!$C:$C,'06. BC BH THEO CUSTOMER-USD'!$D72,'01. KE30'!$F:$F,'06. BC BH THEO CUSTOMER-USD'!$H72,'01. KE30'!$A:$A,'06. BC BH THEO CUSTOMER-USD'!ED$4)-SUMIFS('01. KE30'!$AA:$AA,'01. KE30'!$C:$C,'06. BC BH THEO CUSTOMER-USD'!$D72,'01. KE30'!$F:$F,'06. BC BH THEO CUSTOMER-USD'!$H72,'01. KE30'!$A:$A,'06. BC BH THEO CUSTOMER-USD'!ED$4),"-")</f>
        <v>0</v>
      </c>
      <c r="EE72" s="114">
        <f>IFERROR(SUMIFS('01. KE30'!$X:$X,'01. KE30'!$C:$C,'06. BC BH THEO CUSTOMER-USD'!$D72,'01. KE30'!$F:$F,'06. BC BH THEO CUSTOMER-USD'!$H72,'01. KE30'!$A:$A,'06. BC BH THEO CUSTOMER-USD'!EE$4)-SUMIFS('01. KE30'!$AA:$AA,'01. KE30'!$C:$C,'06. BC BH THEO CUSTOMER-USD'!$D72,'01. KE30'!$F:$F,'06. BC BH THEO CUSTOMER-USD'!$H72,'01. KE30'!$A:$A,'06. BC BH THEO CUSTOMER-USD'!EE$4),"-")</f>
        <v>0</v>
      </c>
      <c r="EF72" s="114">
        <f>IFERROR(SUMIFS('01. KE30'!$X:$X,'01. KE30'!$C:$C,'06. BC BH THEO CUSTOMER-USD'!$D72,'01. KE30'!$F:$F,'06. BC BH THEO CUSTOMER-USD'!$H72,'01. KE30'!$A:$A,'06. BC BH THEO CUSTOMER-USD'!EF$4)-SUMIFS('01. KE30'!$AA:$AA,'01. KE30'!$C:$C,'06. BC BH THEO CUSTOMER-USD'!$D72,'01. KE30'!$F:$F,'06. BC BH THEO CUSTOMER-USD'!$H72,'01. KE30'!$A:$A,'06. BC BH THEO CUSTOMER-USD'!EF$4),"-")</f>
        <v>0</v>
      </c>
      <c r="EH72" s="571">
        <f t="shared" ref="EH72" si="501">IFERROR(DT72/DF72,"-")</f>
        <v>0.1338469634013775</v>
      </c>
      <c r="EI72" s="572" t="str">
        <f t="shared" ref="EI72" si="502">IFERROR(DU72/DG72,"-")</f>
        <v>-</v>
      </c>
      <c r="EJ72" s="572" t="str">
        <f t="shared" ref="EJ72" si="503">IFERROR(DV72/DH72,"-")</f>
        <v>-</v>
      </c>
      <c r="EK72" s="572" t="str">
        <f t="shared" ref="EK72" si="504">IFERROR(DW72/DI72,"-")</f>
        <v>-</v>
      </c>
      <c r="EL72" s="572" t="str">
        <f t="shared" ref="EL72" si="505">IFERROR(DX72/DJ72,"-")</f>
        <v>-</v>
      </c>
      <c r="EM72" s="572" t="str">
        <f t="shared" ref="EM72" si="506">IFERROR(DY72/DK72,"-")</f>
        <v>-</v>
      </c>
      <c r="EN72" s="572" t="str">
        <f t="shared" ref="EN72" si="507">IFERROR(DZ72/DL72,"-")</f>
        <v>-</v>
      </c>
      <c r="EO72" s="572">
        <f t="shared" ref="EO72" si="508">IFERROR(EA72/DM72,"-")</f>
        <v>0.1338469634013775</v>
      </c>
      <c r="EP72" s="572" t="str">
        <f t="shared" ref="EP72" si="509">IFERROR(EB72/DN72,"-")</f>
        <v>-</v>
      </c>
      <c r="EQ72" s="572" t="str">
        <f t="shared" ref="EQ72" si="510">IFERROR(EC72/DO72,"-")</f>
        <v>-</v>
      </c>
      <c r="ER72" s="572" t="str">
        <f t="shared" ref="ER72" si="511">IFERROR(ED72/DP72,"-")</f>
        <v>-</v>
      </c>
      <c r="ES72" s="572" t="str">
        <f t="shared" ref="ES72" si="512">IFERROR(EE72/DQ72,"-")</f>
        <v>-</v>
      </c>
      <c r="ET72" s="572" t="str">
        <f t="shared" ref="ET72" si="513">IFERROR(EF72/DR72,"-")</f>
        <v>-</v>
      </c>
    </row>
    <row r="73" spans="1:150" ht="15.5" hidden="1" outlineLevel="1" x14ac:dyDescent="0.35">
      <c r="A73" s="27">
        <f>A71+1</f>
        <v>60</v>
      </c>
      <c r="B73" s="27" t="s">
        <v>283</v>
      </c>
      <c r="C73" s="442" t="s">
        <v>489</v>
      </c>
      <c r="D73" s="9" t="s">
        <v>241</v>
      </c>
      <c r="E73" s="12" t="s">
        <v>242</v>
      </c>
      <c r="F73" s="12" t="s">
        <v>249</v>
      </c>
      <c r="G73" s="12" t="str">
        <f>_xlfn.XLOOKUP(F73,'Quy đổi'!$G$5:$G$32,'Quy đổi'!$H$5:$H$32,0)</f>
        <v>Châu á</v>
      </c>
      <c r="H73" s="77" t="s">
        <v>110</v>
      </c>
      <c r="I73" s="28" t="s">
        <v>109</v>
      </c>
      <c r="J73" s="13" t="s">
        <v>26</v>
      </c>
      <c r="K73" s="11" t="s">
        <v>90</v>
      </c>
      <c r="L73" s="92" t="str">
        <f t="shared" si="42"/>
        <v>-</v>
      </c>
      <c r="M73" s="106" t="str">
        <f>IFERROR(SUMIFS('01. KE30'!$K:$K,'01. KE30'!$C:$C,'06. BC BH THEO CUSTOMER-USD'!$D73,'01. KE30'!$F:$F,'06. BC BH THEO CUSTOMER-USD'!$H73,'01. KE30'!$A:$A,'06. BC BH THEO CUSTOMER-USD'!M$4)/'06. BC BH THEO CUSTOMER-USD'!CS73/'02. Tỷ giá'!B$5,"-")</f>
        <v>-</v>
      </c>
      <c r="N73" s="106" t="str">
        <f>IFERROR(SUMIFS('01. KE30'!$K:$K,'01. KE30'!$C:$C,'06. BC BH THEO CUSTOMER-USD'!$D73,'01. KE30'!$F:$F,'06. BC BH THEO CUSTOMER-USD'!$H73,'01. KE30'!$A:$A,'06. BC BH THEO CUSTOMER-USD'!N$4)/'06. BC BH THEO CUSTOMER-USD'!CT73/'02. Tỷ giá'!C$5,"-")</f>
        <v>-</v>
      </c>
      <c r="O73" s="106" t="str">
        <f>IFERROR(SUMIFS('01. KE30'!$K:$K,'01. KE30'!$C:$C,'06. BC BH THEO CUSTOMER-USD'!$D73,'01. KE30'!$F:$F,'06. BC BH THEO CUSTOMER-USD'!$H73,'01. KE30'!$A:$A,'06. BC BH THEO CUSTOMER-USD'!O$4)/'06. BC BH THEO CUSTOMER-USD'!CU73/'02. Tỷ giá'!D$5,"-")</f>
        <v>-</v>
      </c>
      <c r="P73" s="106" t="str">
        <f>IFERROR(SUMIFS('01. KE30'!$K:$K,'01. KE30'!$C:$C,'06. BC BH THEO CUSTOMER-USD'!$D73,'01. KE30'!$F:$F,'06. BC BH THEO CUSTOMER-USD'!$H73,'01. KE30'!$A:$A,'06. BC BH THEO CUSTOMER-USD'!P$4)/'06. BC BH THEO CUSTOMER-USD'!CV73/'02. Tỷ giá'!E$5,"-")</f>
        <v>-</v>
      </c>
      <c r="Q73" s="106" t="str">
        <f>IFERROR(SUMIFS('01. KE30'!$K:$K,'01. KE30'!$C:$C,'06. BC BH THEO CUSTOMER-USD'!$D73,'01. KE30'!$F:$F,'06. BC BH THEO CUSTOMER-USD'!$H73,'01. KE30'!$A:$A,'06. BC BH THEO CUSTOMER-USD'!Q$4)/'06. BC BH THEO CUSTOMER-USD'!CW73/'02. Tỷ giá'!F$5,"-")</f>
        <v>-</v>
      </c>
      <c r="R73" s="106" t="str">
        <f>IFERROR(SUMIFS('01. KE30'!$K:$K,'01. KE30'!$C:$C,'06. BC BH THEO CUSTOMER-USD'!$D73,'01. KE30'!$F:$F,'06. BC BH THEO CUSTOMER-USD'!$H73,'01. KE30'!$A:$A,'06. BC BH THEO CUSTOMER-USD'!R$4)/'06. BC BH THEO CUSTOMER-USD'!CX73/'02. Tỷ giá'!G$5,"-")</f>
        <v>-</v>
      </c>
      <c r="S73" s="106" t="str">
        <f>IFERROR(SUMIFS('01. KE30'!$K:$K,'01. KE30'!$C:$C,'06. BC BH THEO CUSTOMER-USD'!$D73,'01. KE30'!$F:$F,'06. BC BH THEO CUSTOMER-USD'!$H73,'01. KE30'!$A:$A,'06. BC BH THEO CUSTOMER-USD'!S$4)/'06. BC BH THEO CUSTOMER-USD'!CY73/'02. Tỷ giá'!H$5,"-")</f>
        <v>-</v>
      </c>
      <c r="T73" s="106" t="str">
        <f>IFERROR(SUMIFS('01. KE30'!$K:$K,'01. KE30'!$C:$C,'06. BC BH THEO CUSTOMER-USD'!$D73,'01. KE30'!$F:$F,'06. BC BH THEO CUSTOMER-USD'!$H73,'01. KE30'!$A:$A,'06. BC BH THEO CUSTOMER-USD'!T$4)/'06. BC BH THEO CUSTOMER-USD'!CZ73/'02. Tỷ giá'!I$5,"-")</f>
        <v>-</v>
      </c>
      <c r="U73" s="106" t="str">
        <f>IFERROR(SUMIFS('01. KE30'!$K:$K,'01. KE30'!$C:$C,'06. BC BH THEO CUSTOMER-USD'!$D73,'01. KE30'!$F:$F,'06. BC BH THEO CUSTOMER-USD'!$H73,'01. KE30'!$A:$A,'06. BC BH THEO CUSTOMER-USD'!U$4)/'06. BC BH THEO CUSTOMER-USD'!DA73/'02. Tỷ giá'!J$5,"-")</f>
        <v>-</v>
      </c>
      <c r="V73" s="106" t="str">
        <f>IFERROR(SUMIFS('01. KE30'!$K:$K,'01. KE30'!$C:$C,'06. BC BH THEO CUSTOMER-USD'!$D73,'01. KE30'!$F:$F,'06. BC BH THEO CUSTOMER-USD'!$H73,'01. KE30'!$A:$A,'06. BC BH THEO CUSTOMER-USD'!V$4)/'06. BC BH THEO CUSTOMER-USD'!DB73/'02. Tỷ giá'!K$5,"-")</f>
        <v>-</v>
      </c>
      <c r="W73" s="106" t="str">
        <f>IFERROR(SUMIFS('01. KE30'!$K:$K,'01. KE30'!$C:$C,'06. BC BH THEO CUSTOMER-USD'!$D73,'01. KE30'!$F:$F,'06. BC BH THEO CUSTOMER-USD'!$H73,'01. KE30'!$A:$A,'06. BC BH THEO CUSTOMER-USD'!W$4)/'06. BC BH THEO CUSTOMER-USD'!DC73/'02. Tỷ giá'!L$5,"-")</f>
        <v>-</v>
      </c>
      <c r="X73" s="106" t="str">
        <f>IFERROR(SUMIFS('01. KE30'!$K:$K,'01. KE30'!$C:$C,'06. BC BH THEO CUSTOMER-USD'!$D73,'01. KE30'!$F:$F,'06. BC BH THEO CUSTOMER-USD'!$H73,'01. KE30'!$A:$A,'06. BC BH THEO CUSTOMER-USD'!X$4)/'06. BC BH THEO CUSTOMER-USD'!DD73/'02. Tỷ giá'!M$5,"-")</f>
        <v>-</v>
      </c>
      <c r="Z73" s="92" t="str">
        <f t="shared" si="43"/>
        <v>-</v>
      </c>
      <c r="AA73" s="147" t="str">
        <f>IFERROR(SUMIFS('01. KE30'!$O:$O,'01. KE30'!$C:$C,'06. BC BH THEO CUSTOMER-USD'!$D73,'01. KE30'!$F:$F,'06. BC BH THEO CUSTOMER-USD'!$H73,'01. KE30'!$A:$A,'06. BC BH THEO CUSTOMER-USD'!M$4)/'06. BC BH THEO CUSTOMER-USD'!CS73/'02. Tỷ giá'!B$5,"-")</f>
        <v>-</v>
      </c>
      <c r="AB73" s="147" t="str">
        <f>IFERROR(SUMIFS('01. KE30'!$O:$O,'01. KE30'!$C:$C,'06. BC BH THEO CUSTOMER-USD'!$D73,'01. KE30'!$F:$F,'06. BC BH THEO CUSTOMER-USD'!$H73,'01. KE30'!$A:$A,'06. BC BH THEO CUSTOMER-USD'!N$4)/'06. BC BH THEO CUSTOMER-USD'!CT73/'02. Tỷ giá'!C$5,"-")</f>
        <v>-</v>
      </c>
      <c r="AC73" s="147" t="str">
        <f>IFERROR(SUMIFS('01. KE30'!$O:$O,'01. KE30'!$C:$C,'06. BC BH THEO CUSTOMER-USD'!$D73,'01. KE30'!$F:$F,'06. BC BH THEO CUSTOMER-USD'!$H73,'01. KE30'!$A:$A,'06. BC BH THEO CUSTOMER-USD'!O$4)/'06. BC BH THEO CUSTOMER-USD'!CU73/'02. Tỷ giá'!D$5,"-")</f>
        <v>-</v>
      </c>
      <c r="AD73" s="147" t="str">
        <f>IFERROR(SUMIFS('01. KE30'!$O:$O,'01. KE30'!$C:$C,'06. BC BH THEO CUSTOMER-USD'!$D73,'01. KE30'!$F:$F,'06. BC BH THEO CUSTOMER-USD'!$H73,'01. KE30'!$A:$A,'06. BC BH THEO CUSTOMER-USD'!P$4)/'06. BC BH THEO CUSTOMER-USD'!CV73/'02. Tỷ giá'!E$5,"-")</f>
        <v>-</v>
      </c>
      <c r="AE73" s="147" t="str">
        <f>IFERROR(SUMIFS('01. KE30'!$O:$O,'01. KE30'!$C:$C,'06. BC BH THEO CUSTOMER-USD'!$D73,'01. KE30'!$F:$F,'06. BC BH THEO CUSTOMER-USD'!$H73,'01. KE30'!$A:$A,'06. BC BH THEO CUSTOMER-USD'!Q$4)/'06. BC BH THEO CUSTOMER-USD'!CW73/'02. Tỷ giá'!F$5,"-")</f>
        <v>-</v>
      </c>
      <c r="AF73" s="147" t="str">
        <f>IFERROR(SUMIFS('01. KE30'!$O:$O,'01. KE30'!$C:$C,'06. BC BH THEO CUSTOMER-USD'!$D73,'01. KE30'!$F:$F,'06. BC BH THEO CUSTOMER-USD'!$H73,'01. KE30'!$A:$A,'06. BC BH THEO CUSTOMER-USD'!R$4)/'06. BC BH THEO CUSTOMER-USD'!CX73/'02. Tỷ giá'!G$5,"-")</f>
        <v>-</v>
      </c>
      <c r="AG73" s="147" t="str">
        <f>IFERROR(SUMIFS('01. KE30'!$O:$O,'01. KE30'!$C:$C,'06. BC BH THEO CUSTOMER-USD'!$D73,'01. KE30'!$F:$F,'06. BC BH THEO CUSTOMER-USD'!$H73,'01. KE30'!$A:$A,'06. BC BH THEO CUSTOMER-USD'!S$4)/'06. BC BH THEO CUSTOMER-USD'!CY73/'02. Tỷ giá'!H$5,"-")</f>
        <v>-</v>
      </c>
      <c r="AH73" s="147" t="str">
        <f>IFERROR(SUMIFS('01. KE30'!$O:$O,'01. KE30'!$C:$C,'06. BC BH THEO CUSTOMER-USD'!$D73,'01. KE30'!$F:$F,'06. BC BH THEO CUSTOMER-USD'!$H73,'01. KE30'!$A:$A,'06. BC BH THEO CUSTOMER-USD'!T$4)/'06. BC BH THEO CUSTOMER-USD'!CZ73/'02. Tỷ giá'!I$5,"-")</f>
        <v>-</v>
      </c>
      <c r="AI73" s="147" t="str">
        <f>IFERROR(SUMIFS('01. KE30'!$O:$O,'01. KE30'!$C:$C,'06. BC BH THEO CUSTOMER-USD'!$D73,'01. KE30'!$F:$F,'06. BC BH THEO CUSTOMER-USD'!$H73,'01. KE30'!$A:$A,'06. BC BH THEO CUSTOMER-USD'!U$4)/'06. BC BH THEO CUSTOMER-USD'!DA73/'02. Tỷ giá'!J$5,"-")</f>
        <v>-</v>
      </c>
      <c r="AJ73" s="147" t="str">
        <f>IFERROR(SUMIFS('01. KE30'!$O:$O,'01. KE30'!$C:$C,'06. BC BH THEO CUSTOMER-USD'!$D73,'01. KE30'!$F:$F,'06. BC BH THEO CUSTOMER-USD'!$H73,'01. KE30'!$A:$A,'06. BC BH THEO CUSTOMER-USD'!V$4)/'06. BC BH THEO CUSTOMER-USD'!DB73/'02. Tỷ giá'!K$5,"-")</f>
        <v>-</v>
      </c>
      <c r="AK73" s="147" t="str">
        <f>IFERROR(SUMIFS('01. KE30'!$O:$O,'01. KE30'!$C:$C,'06. BC BH THEO CUSTOMER-USD'!$D73,'01. KE30'!$F:$F,'06. BC BH THEO CUSTOMER-USD'!$H73,'01. KE30'!$A:$A,'06. BC BH THEO CUSTOMER-USD'!W$4)/'06. BC BH THEO CUSTOMER-USD'!DC73/'02. Tỷ giá'!L$5,"-")</f>
        <v>-</v>
      </c>
      <c r="AL73" s="147" t="str">
        <f>IFERROR(SUMIFS('01. KE30'!$O:$O,'01. KE30'!$C:$C,'06. BC BH THEO CUSTOMER-USD'!$D73,'01. KE30'!$F:$F,'06. BC BH THEO CUSTOMER-USD'!$H73,'01. KE30'!$A:$A,'06. BC BH THEO CUSTOMER-USD'!X$4)/'06. BC BH THEO CUSTOMER-USD'!DD73/'02. Tỷ giá'!M$5,"-")</f>
        <v>-</v>
      </c>
      <c r="AN73" s="92">
        <f t="shared" si="44"/>
        <v>1236.6666666666667</v>
      </c>
      <c r="AO73" s="25">
        <v>1230</v>
      </c>
      <c r="AP73" s="25">
        <v>1230</v>
      </c>
      <c r="AQ73" s="25">
        <v>1230</v>
      </c>
      <c r="AR73" s="25">
        <f t="shared" si="455"/>
        <v>1250</v>
      </c>
      <c r="AS73" s="25">
        <v>1250</v>
      </c>
      <c r="AT73" s="25">
        <v>1250</v>
      </c>
      <c r="AU73" s="25">
        <v>1250</v>
      </c>
      <c r="AV73" s="4">
        <f t="shared" si="205"/>
        <v>1220</v>
      </c>
      <c r="AW73" s="25">
        <v>1220</v>
      </c>
      <c r="AX73" s="25"/>
      <c r="AY73" s="4"/>
      <c r="AZ73" s="4"/>
      <c r="BB73" s="95" t="str">
        <f t="shared" si="45"/>
        <v>-</v>
      </c>
      <c r="BC73" s="95" t="str">
        <f t="shared" si="206"/>
        <v>-</v>
      </c>
      <c r="BD73" s="95" t="str">
        <f t="shared" si="389"/>
        <v>-</v>
      </c>
      <c r="BE73" s="95" t="str">
        <f t="shared" si="389"/>
        <v>-</v>
      </c>
      <c r="BF73" s="95" t="str">
        <f t="shared" si="389"/>
        <v>-</v>
      </c>
      <c r="BG73" s="95" t="str">
        <f t="shared" si="389"/>
        <v>-</v>
      </c>
      <c r="BH73" s="95" t="str">
        <f t="shared" si="389"/>
        <v>-</v>
      </c>
      <c r="BI73" s="95" t="str">
        <f t="shared" si="389"/>
        <v>-</v>
      </c>
      <c r="BJ73" s="95" t="str">
        <f t="shared" si="389"/>
        <v>-</v>
      </c>
      <c r="BK73" s="95" t="str">
        <f t="shared" si="389"/>
        <v>-</v>
      </c>
      <c r="BL73" s="95" t="str">
        <f t="shared" si="389"/>
        <v>-</v>
      </c>
      <c r="BM73" s="95" t="str">
        <f t="shared" si="389"/>
        <v>-</v>
      </c>
      <c r="BN73" s="95" t="str">
        <f t="shared" si="389"/>
        <v>-</v>
      </c>
      <c r="BP73" s="143" t="str">
        <f t="shared" si="47"/>
        <v>-</v>
      </c>
      <c r="BQ73" s="143" t="str">
        <f t="shared" si="202"/>
        <v>-</v>
      </c>
      <c r="BR73" s="143" t="str">
        <f t="shared" si="9"/>
        <v>-</v>
      </c>
      <c r="BS73" s="143" t="str">
        <f t="shared" si="10"/>
        <v>-</v>
      </c>
      <c r="BT73" s="143" t="str">
        <f t="shared" si="11"/>
        <v>-</v>
      </c>
      <c r="BU73" s="143" t="str">
        <f t="shared" si="12"/>
        <v>-</v>
      </c>
      <c r="BV73" s="143" t="str">
        <f t="shared" si="13"/>
        <v>-</v>
      </c>
      <c r="BW73" s="143" t="str">
        <f t="shared" si="14"/>
        <v>-</v>
      </c>
      <c r="BX73" s="143" t="str">
        <f t="shared" si="15"/>
        <v>-</v>
      </c>
      <c r="BY73" s="143" t="str">
        <f t="shared" si="16"/>
        <v>-</v>
      </c>
      <c r="BZ73" s="143" t="str">
        <f t="shared" si="17"/>
        <v>-</v>
      </c>
      <c r="CA73" s="143" t="str">
        <f t="shared" si="18"/>
        <v>-</v>
      </c>
      <c r="CB73" s="143" t="str">
        <f t="shared" si="19"/>
        <v>-</v>
      </c>
      <c r="CD73" s="112" t="str">
        <f t="shared" si="25"/>
        <v>-</v>
      </c>
      <c r="CE73" s="95" t="str">
        <f>IFERROR(SUMIFS('01. KE30'!$R:$R,'01. KE30'!$C:$C,'06. BC BH THEO CUSTOMER-USD'!$D73,'01. KE30'!$F:$F,'06. BC BH THEO CUSTOMER-USD'!$H73,'01. KE30'!$A:$A,'06. BC BH THEO CUSTOMER-USD'!CE$4)/CS73/'02. Tỷ giá'!B$5," -")</f>
        <v xml:space="preserve"> -</v>
      </c>
      <c r="CF73" s="95" t="str">
        <f>IFERROR(SUMIFS('01. KE30'!$R:$R,'01. KE30'!$C:$C,'06. BC BH THEO CUSTOMER-USD'!$D73,'01. KE30'!$F:$F,'06. BC BH THEO CUSTOMER-USD'!$H73,'01. KE30'!$A:$A,'06. BC BH THEO CUSTOMER-USD'!CF$4)/CT73/'02. Tỷ giá'!C$5," -")</f>
        <v xml:space="preserve"> -</v>
      </c>
      <c r="CG73" s="95" t="str">
        <f>IFERROR(SUMIFS('01. KE30'!$R:$R,'01. KE30'!$C:$C,'06. BC BH THEO CUSTOMER-USD'!$D73,'01. KE30'!$F:$F,'06. BC BH THEO CUSTOMER-USD'!$H73,'01. KE30'!$A:$A,'06. BC BH THEO CUSTOMER-USD'!CG$4)/CU73/'02. Tỷ giá'!D$5," -")</f>
        <v xml:space="preserve"> -</v>
      </c>
      <c r="CH73" s="95" t="str">
        <f>IFERROR(SUMIFS('01. KE30'!$R:$R,'01. KE30'!$C:$C,'06. BC BH THEO CUSTOMER-USD'!$D73,'01. KE30'!$F:$F,'06. BC BH THEO CUSTOMER-USD'!$H73,'01. KE30'!$A:$A,'06. BC BH THEO CUSTOMER-USD'!CH$4)/CV73/'02. Tỷ giá'!E$5," -")</f>
        <v xml:space="preserve"> -</v>
      </c>
      <c r="CI73" s="95" t="str">
        <f>IFERROR(SUMIFS('01. KE30'!$R:$R,'01. KE30'!$C:$C,'06. BC BH THEO CUSTOMER-USD'!$D73,'01. KE30'!$F:$F,'06. BC BH THEO CUSTOMER-USD'!$H73,'01. KE30'!$A:$A,'06. BC BH THEO CUSTOMER-USD'!CI$4)/CW73/'02. Tỷ giá'!F$5," -")</f>
        <v xml:space="preserve"> -</v>
      </c>
      <c r="CJ73" s="95" t="str">
        <f>IFERROR(SUMIFS('01. KE30'!$R:$R,'01. KE30'!$C:$C,'06. BC BH THEO CUSTOMER-USD'!$D73,'01. KE30'!$F:$F,'06. BC BH THEO CUSTOMER-USD'!$H73,'01. KE30'!$A:$A,'06. BC BH THEO CUSTOMER-USD'!CJ$4)/CX73/'02. Tỷ giá'!G$5," -")</f>
        <v xml:space="preserve"> -</v>
      </c>
      <c r="CK73" s="95" t="str">
        <f>IFERROR(SUMIFS('01. KE30'!$R:$R,'01. KE30'!$C:$C,'06. BC BH THEO CUSTOMER-USD'!$D73,'01. KE30'!$F:$F,'06. BC BH THEO CUSTOMER-USD'!$H73,'01. KE30'!$A:$A,'06. BC BH THEO CUSTOMER-USD'!CK$4)/CY73/'02. Tỷ giá'!H$5," -")</f>
        <v xml:space="preserve"> -</v>
      </c>
      <c r="CL73" s="95" t="str">
        <f>IFERROR(SUMIFS('01. KE30'!$R:$R,'01. KE30'!$C:$C,'06. BC BH THEO CUSTOMER-USD'!$D73,'01. KE30'!$F:$F,'06. BC BH THEO CUSTOMER-USD'!$H73,'01. KE30'!$A:$A,'06. BC BH THEO CUSTOMER-USD'!CL$4)/CZ73/'02. Tỷ giá'!I$5," -")</f>
        <v xml:space="preserve"> -</v>
      </c>
      <c r="CM73" s="95" t="str">
        <f>IFERROR(SUMIFS('01. KE30'!$R:$R,'01. KE30'!$C:$C,'06. BC BH THEO CUSTOMER-USD'!$D73,'01. KE30'!$F:$F,'06. BC BH THEO CUSTOMER-USD'!$H73,'01. KE30'!$A:$A,'06. BC BH THEO CUSTOMER-USD'!CM$4)/DA73/'02. Tỷ giá'!J$5," -")</f>
        <v xml:space="preserve"> -</v>
      </c>
      <c r="CN73" s="95" t="str">
        <f>IFERROR(SUMIFS('01. KE30'!$R:$R,'01. KE30'!$C:$C,'06. BC BH THEO CUSTOMER-USD'!$D73,'01. KE30'!$F:$F,'06. BC BH THEO CUSTOMER-USD'!$H73,'01. KE30'!$A:$A,'06. BC BH THEO CUSTOMER-USD'!CN$4)/DB73/'02. Tỷ giá'!K$5," -")</f>
        <v xml:space="preserve"> -</v>
      </c>
      <c r="CO73" s="95" t="str">
        <f>IFERROR(SUMIFS('01. KE30'!$R:$R,'01. KE30'!$C:$C,'06. BC BH THEO CUSTOMER-USD'!$D73,'01. KE30'!$F:$F,'06. BC BH THEO CUSTOMER-USD'!$H73,'01. KE30'!$A:$A,'06. BC BH THEO CUSTOMER-USD'!CO$4)/DC73/'02. Tỷ giá'!L$5," -")</f>
        <v xml:space="preserve"> -</v>
      </c>
      <c r="CP73" s="95" t="str">
        <f>IFERROR(SUMIFS('01. KE30'!$R:$R,'01. KE30'!$C:$C,'06. BC BH THEO CUSTOMER-USD'!$D73,'01. KE30'!$F:$F,'06. BC BH THEO CUSTOMER-USD'!$H73,'01. KE30'!$A:$A,'06. BC BH THEO CUSTOMER-USD'!CP$4)/DD73/'02. Tỷ giá'!M$5," -")</f>
        <v xml:space="preserve"> -</v>
      </c>
      <c r="CR73" s="112">
        <f t="shared" ref="CR73" si="514">SUM(CS73:DD73)</f>
        <v>0</v>
      </c>
      <c r="CS73" s="114">
        <f>SUMIFS('01. KE30'!$I:$I,'01. KE30'!$C:$C,'06. BC BH THEO CUSTOMER-USD'!$D73,'01. KE30'!$F:$F,'06. BC BH THEO CUSTOMER-USD'!$H73,'01. KE30'!$A:$A,'06. BC BH THEO CUSTOMER-USD'!CS$4)/1000</f>
        <v>0</v>
      </c>
      <c r="CT73" s="114">
        <f>SUMIFS('01. KE30'!$I:$I,'01. KE30'!$C:$C,'06. BC BH THEO CUSTOMER-USD'!$D73,'01. KE30'!$F:$F,'06. BC BH THEO CUSTOMER-USD'!$H73,'01. KE30'!$A:$A,'06. BC BH THEO CUSTOMER-USD'!CT$4)/1000</f>
        <v>0</v>
      </c>
      <c r="CU73" s="114">
        <f>SUMIFS('01. KE30'!$I:$I,'01. KE30'!$C:$C,'06. BC BH THEO CUSTOMER-USD'!$D73,'01. KE30'!$F:$F,'06. BC BH THEO CUSTOMER-USD'!$H73,'01. KE30'!$A:$A,'06. BC BH THEO CUSTOMER-USD'!CU$4)/1000</f>
        <v>0</v>
      </c>
      <c r="CV73" s="114">
        <f>SUMIFS('01. KE30'!$I:$I,'01. KE30'!$C:$C,'06. BC BH THEO CUSTOMER-USD'!$D73,'01. KE30'!$F:$F,'06. BC BH THEO CUSTOMER-USD'!$H73,'01. KE30'!$A:$A,'06. BC BH THEO CUSTOMER-USD'!CV$4)/1000</f>
        <v>0</v>
      </c>
      <c r="CW73" s="114">
        <f>SUMIFS('01. KE30'!$I:$I,'01. KE30'!$C:$C,'06. BC BH THEO CUSTOMER-USD'!$D73,'01. KE30'!$F:$F,'06. BC BH THEO CUSTOMER-USD'!$H73,'01. KE30'!$A:$A,'06. BC BH THEO CUSTOMER-USD'!CW$4)/1000</f>
        <v>0</v>
      </c>
      <c r="CX73" s="114">
        <f>SUMIFS('01. KE30'!$I:$I,'01. KE30'!$C:$C,'06. BC BH THEO CUSTOMER-USD'!$D73,'01. KE30'!$F:$F,'06. BC BH THEO CUSTOMER-USD'!$H73,'01. KE30'!$A:$A,'06. BC BH THEO CUSTOMER-USD'!CX$4)/1000</f>
        <v>0</v>
      </c>
      <c r="CY73" s="114">
        <f>SUMIFS('01. KE30'!$I:$I,'01. KE30'!$C:$C,'06. BC BH THEO CUSTOMER-USD'!$D73,'01. KE30'!$F:$F,'06. BC BH THEO CUSTOMER-USD'!$H73,'01. KE30'!$A:$A,'06. BC BH THEO CUSTOMER-USD'!CY$4)/1000</f>
        <v>0</v>
      </c>
      <c r="CZ73" s="114">
        <f>SUMIFS('01. KE30'!$I:$I,'01. KE30'!$C:$C,'06. BC BH THEO CUSTOMER-USD'!$D73,'01. KE30'!$F:$F,'06. BC BH THEO CUSTOMER-USD'!$H73,'01. KE30'!$A:$A,'06. BC BH THEO CUSTOMER-USD'!CZ$4)/1000</f>
        <v>0</v>
      </c>
      <c r="DA73" s="114">
        <f>SUMIFS('01. KE30'!$I:$I,'01. KE30'!$C:$C,'06. BC BH THEO CUSTOMER-USD'!$D73,'01. KE30'!$F:$F,'06. BC BH THEO CUSTOMER-USD'!$H73,'01. KE30'!$A:$A,'06. BC BH THEO CUSTOMER-USD'!DA$4)/1000</f>
        <v>0</v>
      </c>
      <c r="DB73" s="114">
        <f>SUMIFS('01. KE30'!$I:$I,'01. KE30'!$C:$C,'06. BC BH THEO CUSTOMER-USD'!$D73,'01. KE30'!$F:$F,'06. BC BH THEO CUSTOMER-USD'!$H73,'01. KE30'!$A:$A,'06. BC BH THEO CUSTOMER-USD'!DB$4)/1000</f>
        <v>0</v>
      </c>
      <c r="DC73" s="114">
        <f>SUMIFS('01. KE30'!$I:$I,'01. KE30'!$C:$C,'06. BC BH THEO CUSTOMER-USD'!$D73,'01. KE30'!$F:$F,'06. BC BH THEO CUSTOMER-USD'!$H73,'01. KE30'!$A:$A,'06. BC BH THEO CUSTOMER-USD'!DC$4)/1000</f>
        <v>0</v>
      </c>
      <c r="DD73" s="114">
        <f>SUMIFS('01. KE30'!$I:$I,'01. KE30'!$C:$C,'06. BC BH THEO CUSTOMER-USD'!$D73,'01. KE30'!$F:$F,'06. BC BH THEO CUSTOMER-USD'!$H73,'01. KE30'!$A:$A,'06. BC BH THEO CUSTOMER-USD'!DD$4)/1000</f>
        <v>0</v>
      </c>
      <c r="DF73" s="112">
        <f t="shared" si="267"/>
        <v>0</v>
      </c>
      <c r="DG73" s="54" t="str">
        <f t="shared" si="48"/>
        <v>-</v>
      </c>
      <c r="DH73" s="54" t="str">
        <f t="shared" si="49"/>
        <v>-</v>
      </c>
      <c r="DI73" s="54" t="str">
        <f t="shared" si="50"/>
        <v>-</v>
      </c>
      <c r="DJ73" s="54" t="str">
        <f t="shared" si="51"/>
        <v>-</v>
      </c>
      <c r="DK73" s="54" t="str">
        <f t="shared" si="52"/>
        <v>-</v>
      </c>
      <c r="DL73" s="54" t="str">
        <f t="shared" si="53"/>
        <v>-</v>
      </c>
      <c r="DM73" s="54" t="str">
        <f t="shared" si="54"/>
        <v>-</v>
      </c>
      <c r="DN73" s="54" t="str">
        <f t="shared" si="55"/>
        <v>-</v>
      </c>
      <c r="DO73" s="54" t="str">
        <f t="shared" si="56"/>
        <v>-</v>
      </c>
      <c r="DP73" s="54" t="str">
        <f t="shared" si="57"/>
        <v>-</v>
      </c>
      <c r="DQ73" s="54" t="str">
        <f t="shared" si="58"/>
        <v>-</v>
      </c>
      <c r="DR73" s="54" t="str">
        <f t="shared" si="59"/>
        <v>-</v>
      </c>
      <c r="DT73" s="112">
        <f t="shared" si="60"/>
        <v>0</v>
      </c>
      <c r="DU73" s="114">
        <f>IFERROR(SUMIFS('01. KE30'!$X:$X,'01. KE30'!$C:$C,'06. BC BH THEO CUSTOMER-USD'!$D73,'01. KE30'!$F:$F,'06. BC BH THEO CUSTOMER-USD'!$H73,'01. KE30'!$A:$A,'06. BC BH THEO CUSTOMER-USD'!DU$4)-SUMIFS('01. KE30'!$AA:$AA,'01. KE30'!$C:$C,'06. BC BH THEO CUSTOMER-USD'!$D73,'01. KE30'!$F:$F,'06. BC BH THEO CUSTOMER-USD'!$H73,'01. KE30'!$A:$A,'06. BC BH THEO CUSTOMER-USD'!DU$4),"-")</f>
        <v>0</v>
      </c>
      <c r="DV73" s="114">
        <f>IFERROR(SUMIFS('01. KE30'!$X:$X,'01. KE30'!$C:$C,'06. BC BH THEO CUSTOMER-USD'!$D73,'01. KE30'!$F:$F,'06. BC BH THEO CUSTOMER-USD'!$H73,'01. KE30'!$A:$A,'06. BC BH THEO CUSTOMER-USD'!DV$4)-SUMIFS('01. KE30'!$AA:$AA,'01. KE30'!$C:$C,'06. BC BH THEO CUSTOMER-USD'!$D73,'01. KE30'!$F:$F,'06. BC BH THEO CUSTOMER-USD'!$H73,'01. KE30'!$A:$A,'06. BC BH THEO CUSTOMER-USD'!DV$4),"-")</f>
        <v>0</v>
      </c>
      <c r="DW73" s="114">
        <f>IFERROR(SUMIFS('01. KE30'!$X:$X,'01. KE30'!$C:$C,'06. BC BH THEO CUSTOMER-USD'!$D73,'01. KE30'!$F:$F,'06. BC BH THEO CUSTOMER-USD'!$H73,'01. KE30'!$A:$A,'06. BC BH THEO CUSTOMER-USD'!DW$4)-SUMIFS('01. KE30'!$AA:$AA,'01. KE30'!$C:$C,'06. BC BH THEO CUSTOMER-USD'!$D73,'01. KE30'!$F:$F,'06. BC BH THEO CUSTOMER-USD'!$H73,'01. KE30'!$A:$A,'06. BC BH THEO CUSTOMER-USD'!DW$4),"-")</f>
        <v>0</v>
      </c>
      <c r="DX73" s="114">
        <f>IFERROR(SUMIFS('01. KE30'!$X:$X,'01. KE30'!$C:$C,'06. BC BH THEO CUSTOMER-USD'!$D73,'01. KE30'!$F:$F,'06. BC BH THEO CUSTOMER-USD'!$H73,'01. KE30'!$A:$A,'06. BC BH THEO CUSTOMER-USD'!DX$4)-SUMIFS('01. KE30'!$AA:$AA,'01. KE30'!$C:$C,'06. BC BH THEO CUSTOMER-USD'!$D73,'01. KE30'!$F:$F,'06. BC BH THEO CUSTOMER-USD'!$H73,'01. KE30'!$A:$A,'06. BC BH THEO CUSTOMER-USD'!DX$4),"-")</f>
        <v>0</v>
      </c>
      <c r="DY73" s="114">
        <f>IFERROR(SUMIFS('01. KE30'!$X:$X,'01. KE30'!$C:$C,'06. BC BH THEO CUSTOMER-USD'!$D73,'01. KE30'!$F:$F,'06. BC BH THEO CUSTOMER-USD'!$H73,'01. KE30'!$A:$A,'06. BC BH THEO CUSTOMER-USD'!DY$4)-SUMIFS('01. KE30'!$AA:$AA,'01. KE30'!$C:$C,'06. BC BH THEO CUSTOMER-USD'!$D73,'01. KE30'!$F:$F,'06. BC BH THEO CUSTOMER-USD'!$H73,'01. KE30'!$A:$A,'06. BC BH THEO CUSTOMER-USD'!DY$4),"-")</f>
        <v>0</v>
      </c>
      <c r="DZ73" s="114">
        <f>IFERROR(SUMIFS('01. KE30'!$X:$X,'01. KE30'!$C:$C,'06. BC BH THEO CUSTOMER-USD'!$D73,'01. KE30'!$F:$F,'06. BC BH THEO CUSTOMER-USD'!$H73,'01. KE30'!$A:$A,'06. BC BH THEO CUSTOMER-USD'!DZ$4)-SUMIFS('01. KE30'!$AA:$AA,'01. KE30'!$C:$C,'06. BC BH THEO CUSTOMER-USD'!$D73,'01. KE30'!$F:$F,'06. BC BH THEO CUSTOMER-USD'!$H73,'01. KE30'!$A:$A,'06. BC BH THEO CUSTOMER-USD'!DZ$4),"-")</f>
        <v>0</v>
      </c>
      <c r="EA73" s="114">
        <f>IFERROR(SUMIFS('01. KE30'!$X:$X,'01. KE30'!$C:$C,'06. BC BH THEO CUSTOMER-USD'!$D73,'01. KE30'!$F:$F,'06. BC BH THEO CUSTOMER-USD'!$H73,'01. KE30'!$A:$A,'06. BC BH THEO CUSTOMER-USD'!EA$4)-SUMIFS('01. KE30'!$AA:$AA,'01. KE30'!$C:$C,'06. BC BH THEO CUSTOMER-USD'!$D73,'01. KE30'!$F:$F,'06. BC BH THEO CUSTOMER-USD'!$H73,'01. KE30'!$A:$A,'06. BC BH THEO CUSTOMER-USD'!EA$4),"-")</f>
        <v>0</v>
      </c>
      <c r="EB73" s="114">
        <f>IFERROR(SUMIFS('01. KE30'!$X:$X,'01. KE30'!$C:$C,'06. BC BH THEO CUSTOMER-USD'!$D73,'01. KE30'!$F:$F,'06. BC BH THEO CUSTOMER-USD'!$H73,'01. KE30'!$A:$A,'06. BC BH THEO CUSTOMER-USD'!EB$4)-SUMIFS('01. KE30'!$AA:$AA,'01. KE30'!$C:$C,'06. BC BH THEO CUSTOMER-USD'!$D73,'01. KE30'!$F:$F,'06. BC BH THEO CUSTOMER-USD'!$H73,'01. KE30'!$A:$A,'06. BC BH THEO CUSTOMER-USD'!EB$4),"-")</f>
        <v>0</v>
      </c>
      <c r="EC73" s="114">
        <f>IFERROR(SUMIFS('01. KE30'!$X:$X,'01. KE30'!$C:$C,'06. BC BH THEO CUSTOMER-USD'!$D73,'01. KE30'!$F:$F,'06. BC BH THEO CUSTOMER-USD'!$H73,'01. KE30'!$A:$A,'06. BC BH THEO CUSTOMER-USD'!EC$4)-SUMIFS('01. KE30'!$AA:$AA,'01. KE30'!$C:$C,'06. BC BH THEO CUSTOMER-USD'!$D73,'01. KE30'!$F:$F,'06. BC BH THEO CUSTOMER-USD'!$H73,'01. KE30'!$A:$A,'06. BC BH THEO CUSTOMER-USD'!EC$4),"-")</f>
        <v>0</v>
      </c>
      <c r="ED73" s="114">
        <f>IFERROR(SUMIFS('01. KE30'!$X:$X,'01. KE30'!$C:$C,'06. BC BH THEO CUSTOMER-USD'!$D73,'01. KE30'!$F:$F,'06. BC BH THEO CUSTOMER-USD'!$H73,'01. KE30'!$A:$A,'06. BC BH THEO CUSTOMER-USD'!ED$4)-SUMIFS('01. KE30'!$AA:$AA,'01. KE30'!$C:$C,'06. BC BH THEO CUSTOMER-USD'!$D73,'01. KE30'!$F:$F,'06. BC BH THEO CUSTOMER-USD'!$H73,'01. KE30'!$A:$A,'06. BC BH THEO CUSTOMER-USD'!ED$4),"-")</f>
        <v>0</v>
      </c>
      <c r="EE73" s="114">
        <f>IFERROR(SUMIFS('01. KE30'!$X:$X,'01. KE30'!$C:$C,'06. BC BH THEO CUSTOMER-USD'!$D73,'01. KE30'!$F:$F,'06. BC BH THEO CUSTOMER-USD'!$H73,'01. KE30'!$A:$A,'06. BC BH THEO CUSTOMER-USD'!EE$4)-SUMIFS('01. KE30'!$AA:$AA,'01. KE30'!$C:$C,'06. BC BH THEO CUSTOMER-USD'!$D73,'01. KE30'!$F:$F,'06. BC BH THEO CUSTOMER-USD'!$H73,'01. KE30'!$A:$A,'06. BC BH THEO CUSTOMER-USD'!EE$4),"-")</f>
        <v>0</v>
      </c>
      <c r="EF73" s="114">
        <f>IFERROR(SUMIFS('01. KE30'!$X:$X,'01. KE30'!$C:$C,'06. BC BH THEO CUSTOMER-USD'!$D73,'01. KE30'!$F:$F,'06. BC BH THEO CUSTOMER-USD'!$H73,'01. KE30'!$A:$A,'06. BC BH THEO CUSTOMER-USD'!EF$4)-SUMIFS('01. KE30'!$AA:$AA,'01. KE30'!$C:$C,'06. BC BH THEO CUSTOMER-USD'!$D73,'01. KE30'!$F:$F,'06. BC BH THEO CUSTOMER-USD'!$H73,'01. KE30'!$A:$A,'06. BC BH THEO CUSTOMER-USD'!EF$4),"-")</f>
        <v>0</v>
      </c>
      <c r="EH73" s="571" t="str">
        <f t="shared" si="29"/>
        <v>-</v>
      </c>
      <c r="EI73" s="572" t="str">
        <f t="shared" si="30"/>
        <v>-</v>
      </c>
      <c r="EJ73" s="572" t="str">
        <f t="shared" si="31"/>
        <v>-</v>
      </c>
      <c r="EK73" s="572" t="str">
        <f t="shared" si="32"/>
        <v>-</v>
      </c>
      <c r="EL73" s="572" t="str">
        <f t="shared" si="33"/>
        <v>-</v>
      </c>
      <c r="EM73" s="572" t="str">
        <f t="shared" si="34"/>
        <v>-</v>
      </c>
      <c r="EN73" s="572" t="str">
        <f t="shared" si="35"/>
        <v>-</v>
      </c>
      <c r="EO73" s="572" t="str">
        <f t="shared" si="36"/>
        <v>-</v>
      </c>
      <c r="EP73" s="572" t="str">
        <f t="shared" si="37"/>
        <v>-</v>
      </c>
      <c r="EQ73" s="572" t="str">
        <f t="shared" si="38"/>
        <v>-</v>
      </c>
      <c r="ER73" s="572" t="str">
        <f t="shared" si="39"/>
        <v>-</v>
      </c>
      <c r="ES73" s="572" t="str">
        <f t="shared" si="40"/>
        <v>-</v>
      </c>
      <c r="ET73" s="572" t="str">
        <f t="shared" si="41"/>
        <v>-</v>
      </c>
    </row>
    <row r="74" spans="1:150" ht="15.5" hidden="1" outlineLevel="1" x14ac:dyDescent="0.35">
      <c r="A74" s="27">
        <f t="shared" si="63"/>
        <v>61</v>
      </c>
      <c r="B74" s="27" t="s">
        <v>283</v>
      </c>
      <c r="C74" s="442" t="s">
        <v>489</v>
      </c>
      <c r="D74" s="9" t="s">
        <v>834</v>
      </c>
      <c r="E74" s="31" t="s">
        <v>835</v>
      </c>
      <c r="F74" s="12" t="s">
        <v>249</v>
      </c>
      <c r="G74" s="12" t="str">
        <f>_xlfn.XLOOKUP(F74,'Quy đổi'!$G$5:$G$32,'Quy đổi'!$H$5:$H$32,0)</f>
        <v>Châu á</v>
      </c>
      <c r="H74" s="76" t="s">
        <v>100</v>
      </c>
      <c r="I74" s="28" t="s">
        <v>99</v>
      </c>
      <c r="J74" s="13" t="s">
        <v>26</v>
      </c>
      <c r="K74" s="11" t="s">
        <v>90</v>
      </c>
      <c r="L74" s="92">
        <f t="shared" si="42"/>
        <v>1370.7463263727766</v>
      </c>
      <c r="M74" s="106" t="str">
        <f>IFERROR(SUMIFS('01. KE30'!$K:$K,'01. KE30'!$C:$C,'06. BC BH THEO CUSTOMER-USD'!$D74,'01. KE30'!$F:$F,'06. BC BH THEO CUSTOMER-USD'!$H74,'01. KE30'!$A:$A,'06. BC BH THEO CUSTOMER-USD'!M$4)/'06. BC BH THEO CUSTOMER-USD'!CS74/'02. Tỷ giá'!B$5,"-")</f>
        <v>-</v>
      </c>
      <c r="N74" s="106" t="str">
        <f>IFERROR(SUMIFS('01. KE30'!$K:$K,'01. KE30'!$C:$C,'06. BC BH THEO CUSTOMER-USD'!$D74,'01. KE30'!$F:$F,'06. BC BH THEO CUSTOMER-USD'!$H74,'01. KE30'!$A:$A,'06. BC BH THEO CUSTOMER-USD'!N$4)/'06. BC BH THEO CUSTOMER-USD'!CT74/'02. Tỷ giá'!C$5,"-")</f>
        <v>-</v>
      </c>
      <c r="O74" s="106" t="str">
        <f>IFERROR(SUMIFS('01. KE30'!$K:$K,'01. KE30'!$C:$C,'06. BC BH THEO CUSTOMER-USD'!$D74,'01. KE30'!$F:$F,'06. BC BH THEO CUSTOMER-USD'!$H74,'01. KE30'!$A:$A,'06. BC BH THEO CUSTOMER-USD'!O$4)/'06. BC BH THEO CUSTOMER-USD'!CU74/'02. Tỷ giá'!D$5,"-")</f>
        <v>-</v>
      </c>
      <c r="P74" s="106" t="str">
        <f>IFERROR(SUMIFS('01. KE30'!$K:$K,'01. KE30'!$C:$C,'06. BC BH THEO CUSTOMER-USD'!$D74,'01. KE30'!$F:$F,'06. BC BH THEO CUSTOMER-USD'!$H74,'01. KE30'!$A:$A,'06. BC BH THEO CUSTOMER-USD'!P$4)/'06. BC BH THEO CUSTOMER-USD'!CV74/'02. Tỷ giá'!E$5,"-")</f>
        <v>-</v>
      </c>
      <c r="Q74" s="106">
        <f>IFERROR(SUMIFS('01. KE30'!$K:$K,'01. KE30'!$C:$C,'06. BC BH THEO CUSTOMER-USD'!$D74,'01. KE30'!$F:$F,'06. BC BH THEO CUSTOMER-USD'!$H74,'01. KE30'!$A:$A,'06. BC BH THEO CUSTOMER-USD'!Q$4)/'06. BC BH THEO CUSTOMER-USD'!CW74/'02. Tỷ giá'!F$5,"-")</f>
        <v>1370.7463263727766</v>
      </c>
      <c r="R74" s="106" t="str">
        <f>IFERROR(SUMIFS('01. KE30'!$K:$K,'01. KE30'!$C:$C,'06. BC BH THEO CUSTOMER-USD'!$D74,'01. KE30'!$F:$F,'06. BC BH THEO CUSTOMER-USD'!$H74,'01. KE30'!$A:$A,'06. BC BH THEO CUSTOMER-USD'!R$4)/'06. BC BH THEO CUSTOMER-USD'!CX74/'02. Tỷ giá'!G$5,"-")</f>
        <v>-</v>
      </c>
      <c r="S74" s="106" t="str">
        <f>IFERROR(SUMIFS('01. KE30'!$K:$K,'01. KE30'!$C:$C,'06. BC BH THEO CUSTOMER-USD'!$D74,'01. KE30'!$F:$F,'06. BC BH THEO CUSTOMER-USD'!$H74,'01. KE30'!$A:$A,'06. BC BH THEO CUSTOMER-USD'!S$4)/'06. BC BH THEO CUSTOMER-USD'!CY74/'02. Tỷ giá'!H$5,"-")</f>
        <v>-</v>
      </c>
      <c r="T74" s="106" t="str">
        <f>IFERROR(SUMIFS('01. KE30'!$K:$K,'01. KE30'!$C:$C,'06. BC BH THEO CUSTOMER-USD'!$D74,'01. KE30'!$F:$F,'06. BC BH THEO CUSTOMER-USD'!$H74,'01. KE30'!$A:$A,'06. BC BH THEO CUSTOMER-USD'!T$4)/'06. BC BH THEO CUSTOMER-USD'!CZ74/'02. Tỷ giá'!I$5,"-")</f>
        <v>-</v>
      </c>
      <c r="U74" s="106" t="str">
        <f>IFERROR(SUMIFS('01. KE30'!$K:$K,'01. KE30'!$C:$C,'06. BC BH THEO CUSTOMER-USD'!$D74,'01. KE30'!$F:$F,'06. BC BH THEO CUSTOMER-USD'!$H74,'01. KE30'!$A:$A,'06. BC BH THEO CUSTOMER-USD'!U$4)/'06. BC BH THEO CUSTOMER-USD'!DA74/'02. Tỷ giá'!J$5,"-")</f>
        <v>-</v>
      </c>
      <c r="V74" s="106" t="str">
        <f>IFERROR(SUMIFS('01. KE30'!$K:$K,'01. KE30'!$C:$C,'06. BC BH THEO CUSTOMER-USD'!$D74,'01. KE30'!$F:$F,'06. BC BH THEO CUSTOMER-USD'!$H74,'01. KE30'!$A:$A,'06. BC BH THEO CUSTOMER-USD'!V$4)/'06. BC BH THEO CUSTOMER-USD'!DB74/'02. Tỷ giá'!K$5,"-")</f>
        <v>-</v>
      </c>
      <c r="W74" s="106" t="str">
        <f>IFERROR(SUMIFS('01. KE30'!$K:$K,'01. KE30'!$C:$C,'06. BC BH THEO CUSTOMER-USD'!$D74,'01. KE30'!$F:$F,'06. BC BH THEO CUSTOMER-USD'!$H74,'01. KE30'!$A:$A,'06. BC BH THEO CUSTOMER-USD'!W$4)/'06. BC BH THEO CUSTOMER-USD'!DC74/'02. Tỷ giá'!L$5,"-")</f>
        <v>-</v>
      </c>
      <c r="X74" s="106" t="str">
        <f>IFERROR(SUMIFS('01. KE30'!$K:$K,'01. KE30'!$C:$C,'06. BC BH THEO CUSTOMER-USD'!$D74,'01. KE30'!$F:$F,'06. BC BH THEO CUSTOMER-USD'!$H74,'01. KE30'!$A:$A,'06. BC BH THEO CUSTOMER-USD'!X$4)/'06. BC BH THEO CUSTOMER-USD'!DD74/'02. Tỷ giá'!M$5,"-")</f>
        <v>-</v>
      </c>
      <c r="Z74" s="92">
        <f t="shared" si="43"/>
        <v>1299.1495236588623</v>
      </c>
      <c r="AA74" s="147" t="str">
        <f>IFERROR(SUMIFS('01. KE30'!$O:$O,'01. KE30'!$C:$C,'06. BC BH THEO CUSTOMER-USD'!$D74,'01. KE30'!$F:$F,'06. BC BH THEO CUSTOMER-USD'!$H74,'01. KE30'!$A:$A,'06. BC BH THEO CUSTOMER-USD'!M$4)/'06. BC BH THEO CUSTOMER-USD'!CS74/'02. Tỷ giá'!B$5,"-")</f>
        <v>-</v>
      </c>
      <c r="AB74" s="147" t="str">
        <f>IFERROR(SUMIFS('01. KE30'!$O:$O,'01. KE30'!$C:$C,'06. BC BH THEO CUSTOMER-USD'!$D74,'01. KE30'!$F:$F,'06. BC BH THEO CUSTOMER-USD'!$H74,'01. KE30'!$A:$A,'06. BC BH THEO CUSTOMER-USD'!N$4)/'06. BC BH THEO CUSTOMER-USD'!CT74/'02. Tỷ giá'!C$5,"-")</f>
        <v>-</v>
      </c>
      <c r="AC74" s="147" t="str">
        <f>IFERROR(SUMIFS('01. KE30'!$O:$O,'01. KE30'!$C:$C,'06. BC BH THEO CUSTOMER-USD'!$D74,'01. KE30'!$F:$F,'06. BC BH THEO CUSTOMER-USD'!$H74,'01. KE30'!$A:$A,'06. BC BH THEO CUSTOMER-USD'!O$4)/'06. BC BH THEO CUSTOMER-USD'!CU74/'02. Tỷ giá'!D$5,"-")</f>
        <v>-</v>
      </c>
      <c r="AD74" s="147" t="str">
        <f>IFERROR(SUMIFS('01. KE30'!$O:$O,'01. KE30'!$C:$C,'06. BC BH THEO CUSTOMER-USD'!$D74,'01. KE30'!$F:$F,'06. BC BH THEO CUSTOMER-USD'!$H74,'01. KE30'!$A:$A,'06. BC BH THEO CUSTOMER-USD'!P$4)/'06. BC BH THEO CUSTOMER-USD'!CV74/'02. Tỷ giá'!E$5,"-")</f>
        <v>-</v>
      </c>
      <c r="AE74" s="147">
        <f>IFERROR(SUMIFS('01. KE30'!$O:$O,'01. KE30'!$C:$C,'06. BC BH THEO CUSTOMER-USD'!$D74,'01. KE30'!$F:$F,'06. BC BH THEO CUSTOMER-USD'!$H74,'01. KE30'!$A:$A,'06. BC BH THEO CUSTOMER-USD'!Q$4)/'06. BC BH THEO CUSTOMER-USD'!CW74/'02. Tỷ giá'!F$5,"-")</f>
        <v>1299.1495236588623</v>
      </c>
      <c r="AF74" s="147" t="str">
        <f>IFERROR(SUMIFS('01. KE30'!$O:$O,'01. KE30'!$C:$C,'06. BC BH THEO CUSTOMER-USD'!$D74,'01. KE30'!$F:$F,'06. BC BH THEO CUSTOMER-USD'!$H74,'01. KE30'!$A:$A,'06. BC BH THEO CUSTOMER-USD'!R$4)/'06. BC BH THEO CUSTOMER-USD'!CX74/'02. Tỷ giá'!G$5,"-")</f>
        <v>-</v>
      </c>
      <c r="AG74" s="147" t="str">
        <f>IFERROR(SUMIFS('01. KE30'!$O:$O,'01. KE30'!$C:$C,'06. BC BH THEO CUSTOMER-USD'!$D74,'01. KE30'!$F:$F,'06. BC BH THEO CUSTOMER-USD'!$H74,'01. KE30'!$A:$A,'06. BC BH THEO CUSTOMER-USD'!S$4)/'06. BC BH THEO CUSTOMER-USD'!CY74/'02. Tỷ giá'!H$5,"-")</f>
        <v>-</v>
      </c>
      <c r="AH74" s="147" t="str">
        <f>IFERROR(SUMIFS('01. KE30'!$O:$O,'01. KE30'!$C:$C,'06. BC BH THEO CUSTOMER-USD'!$D74,'01. KE30'!$F:$F,'06. BC BH THEO CUSTOMER-USD'!$H74,'01. KE30'!$A:$A,'06. BC BH THEO CUSTOMER-USD'!T$4)/'06. BC BH THEO CUSTOMER-USD'!CZ74/'02. Tỷ giá'!I$5,"-")</f>
        <v>-</v>
      </c>
      <c r="AI74" s="147" t="str">
        <f>IFERROR(SUMIFS('01. KE30'!$O:$O,'01. KE30'!$C:$C,'06. BC BH THEO CUSTOMER-USD'!$D74,'01. KE30'!$F:$F,'06. BC BH THEO CUSTOMER-USD'!$H74,'01. KE30'!$A:$A,'06. BC BH THEO CUSTOMER-USD'!U$4)/'06. BC BH THEO CUSTOMER-USD'!DA74/'02. Tỷ giá'!J$5,"-")</f>
        <v>-</v>
      </c>
      <c r="AJ74" s="147" t="str">
        <f>IFERROR(SUMIFS('01. KE30'!$O:$O,'01. KE30'!$C:$C,'06. BC BH THEO CUSTOMER-USD'!$D74,'01. KE30'!$F:$F,'06. BC BH THEO CUSTOMER-USD'!$H74,'01. KE30'!$A:$A,'06. BC BH THEO CUSTOMER-USD'!V$4)/'06. BC BH THEO CUSTOMER-USD'!DB74/'02. Tỷ giá'!K$5,"-")</f>
        <v>-</v>
      </c>
      <c r="AK74" s="147" t="str">
        <f>IFERROR(SUMIFS('01. KE30'!$O:$O,'01. KE30'!$C:$C,'06. BC BH THEO CUSTOMER-USD'!$D74,'01. KE30'!$F:$F,'06. BC BH THEO CUSTOMER-USD'!$H74,'01. KE30'!$A:$A,'06. BC BH THEO CUSTOMER-USD'!W$4)/'06. BC BH THEO CUSTOMER-USD'!DC74/'02. Tỷ giá'!L$5,"-")</f>
        <v>-</v>
      </c>
      <c r="AL74" s="147" t="str">
        <f>IFERROR(SUMIFS('01. KE30'!$O:$O,'01. KE30'!$C:$C,'06. BC BH THEO CUSTOMER-USD'!$D74,'01. KE30'!$F:$F,'06. BC BH THEO CUSTOMER-USD'!$H74,'01. KE30'!$A:$A,'06. BC BH THEO CUSTOMER-USD'!X$4)/'06. BC BH THEO CUSTOMER-USD'!DD74/'02. Tỷ giá'!M$5,"-")</f>
        <v>-</v>
      </c>
      <c r="AN74" s="92">
        <f t="shared" si="44"/>
        <v>1266.6666666666667</v>
      </c>
      <c r="AO74" s="25">
        <v>1260</v>
      </c>
      <c r="AP74" s="25">
        <v>1260</v>
      </c>
      <c r="AQ74" s="25">
        <v>1260</v>
      </c>
      <c r="AR74" s="4">
        <f t="shared" si="455"/>
        <v>1280</v>
      </c>
      <c r="AS74" s="4">
        <v>1280</v>
      </c>
      <c r="AT74" s="4">
        <v>1280</v>
      </c>
      <c r="AU74" s="4">
        <v>1280</v>
      </c>
      <c r="AV74" s="4">
        <f t="shared" si="205"/>
        <v>1250</v>
      </c>
      <c r="AW74" s="25">
        <v>1250</v>
      </c>
      <c r="AX74" s="25"/>
      <c r="AY74" s="4"/>
      <c r="AZ74" s="4"/>
      <c r="BB74" s="95">
        <f t="shared" si="45"/>
        <v>32.482856992195593</v>
      </c>
      <c r="BC74" s="95" t="str">
        <f t="shared" si="206"/>
        <v>-</v>
      </c>
      <c r="BD74" s="95" t="str">
        <f t="shared" si="389"/>
        <v>-</v>
      </c>
      <c r="BE74" s="95" t="str">
        <f t="shared" si="389"/>
        <v>-</v>
      </c>
      <c r="BF74" s="95" t="str">
        <f t="shared" si="389"/>
        <v>-</v>
      </c>
      <c r="BG74" s="95">
        <f t="shared" si="389"/>
        <v>19.149523658862336</v>
      </c>
      <c r="BH74" s="95" t="str">
        <f t="shared" si="389"/>
        <v>-</v>
      </c>
      <c r="BI74" s="95" t="str">
        <f t="shared" si="389"/>
        <v>-</v>
      </c>
      <c r="BJ74" s="95" t="str">
        <f t="shared" si="389"/>
        <v>-</v>
      </c>
      <c r="BK74" s="95" t="str">
        <f t="shared" si="389"/>
        <v>-</v>
      </c>
      <c r="BL74" s="95" t="str">
        <f t="shared" si="389"/>
        <v>-</v>
      </c>
      <c r="BM74" s="95" t="str">
        <f t="shared" si="389"/>
        <v>-</v>
      </c>
      <c r="BN74" s="95" t="str">
        <f t="shared" si="389"/>
        <v>-</v>
      </c>
      <c r="BP74" s="143">
        <f t="shared" si="47"/>
        <v>2.5644360783312309E-2</v>
      </c>
      <c r="BQ74" s="143" t="str">
        <f t="shared" si="202"/>
        <v>-</v>
      </c>
      <c r="BR74" s="143" t="str">
        <f t="shared" si="9"/>
        <v>-</v>
      </c>
      <c r="BS74" s="143" t="str">
        <f t="shared" si="10"/>
        <v>-</v>
      </c>
      <c r="BT74" s="143" t="str">
        <f t="shared" si="11"/>
        <v>-</v>
      </c>
      <c r="BU74" s="143">
        <f t="shared" si="12"/>
        <v>1.4960565358486199E-2</v>
      </c>
      <c r="BV74" s="143" t="str">
        <f t="shared" si="13"/>
        <v>-</v>
      </c>
      <c r="BW74" s="143" t="str">
        <f t="shared" si="14"/>
        <v>-</v>
      </c>
      <c r="BX74" s="143" t="str">
        <f t="shared" si="15"/>
        <v>-</v>
      </c>
      <c r="BY74" s="143" t="str">
        <f t="shared" si="16"/>
        <v>-</v>
      </c>
      <c r="BZ74" s="143" t="str">
        <f t="shared" si="17"/>
        <v>-</v>
      </c>
      <c r="CA74" s="143" t="str">
        <f t="shared" si="18"/>
        <v>-</v>
      </c>
      <c r="CB74" s="143" t="str">
        <f t="shared" si="19"/>
        <v>-</v>
      </c>
      <c r="CD74" s="112">
        <f t="shared" si="25"/>
        <v>996.76039337692475</v>
      </c>
      <c r="CE74" s="95" t="str">
        <f>IFERROR(SUMIFS('01. KE30'!$R:$R,'01. KE30'!$C:$C,'06. BC BH THEO CUSTOMER-USD'!$D74,'01. KE30'!$F:$F,'06. BC BH THEO CUSTOMER-USD'!$H74,'01. KE30'!$A:$A,'06. BC BH THEO CUSTOMER-USD'!CE$4)/CS74/'02. Tỷ giá'!B$5," -")</f>
        <v xml:space="preserve"> -</v>
      </c>
      <c r="CF74" s="95" t="str">
        <f>IFERROR(SUMIFS('01. KE30'!$R:$R,'01. KE30'!$C:$C,'06. BC BH THEO CUSTOMER-USD'!$D74,'01. KE30'!$F:$F,'06. BC BH THEO CUSTOMER-USD'!$H74,'01. KE30'!$A:$A,'06. BC BH THEO CUSTOMER-USD'!CF$4)/CT74/'02. Tỷ giá'!C$5," -")</f>
        <v xml:space="preserve"> -</v>
      </c>
      <c r="CG74" s="95" t="str">
        <f>IFERROR(SUMIFS('01. KE30'!$R:$R,'01. KE30'!$C:$C,'06. BC BH THEO CUSTOMER-USD'!$D74,'01. KE30'!$F:$F,'06. BC BH THEO CUSTOMER-USD'!$H74,'01. KE30'!$A:$A,'06. BC BH THEO CUSTOMER-USD'!CG$4)/CU74/'02. Tỷ giá'!D$5," -")</f>
        <v xml:space="preserve"> -</v>
      </c>
      <c r="CH74" s="95" t="str">
        <f>IFERROR(SUMIFS('01. KE30'!$R:$R,'01. KE30'!$C:$C,'06. BC BH THEO CUSTOMER-USD'!$D74,'01. KE30'!$F:$F,'06. BC BH THEO CUSTOMER-USD'!$H74,'01. KE30'!$A:$A,'06. BC BH THEO CUSTOMER-USD'!CH$4)/CV74/'02. Tỷ giá'!E$5," -")</f>
        <v xml:space="preserve"> -</v>
      </c>
      <c r="CI74" s="95">
        <f>IFERROR(SUMIFS('01. KE30'!$R:$R,'01. KE30'!$C:$C,'06. BC BH THEO CUSTOMER-USD'!$D74,'01. KE30'!$F:$F,'06. BC BH THEO CUSTOMER-USD'!$H74,'01. KE30'!$A:$A,'06. BC BH THEO CUSTOMER-USD'!CI$4)/CW74/'02. Tỷ giá'!F$5," -")</f>
        <v>996.76039337692475</v>
      </c>
      <c r="CJ74" s="95" t="str">
        <f>IFERROR(SUMIFS('01. KE30'!$R:$R,'01. KE30'!$C:$C,'06. BC BH THEO CUSTOMER-USD'!$D74,'01. KE30'!$F:$F,'06. BC BH THEO CUSTOMER-USD'!$H74,'01. KE30'!$A:$A,'06. BC BH THEO CUSTOMER-USD'!CJ$4)/CX74/'02. Tỷ giá'!G$5," -")</f>
        <v xml:space="preserve"> -</v>
      </c>
      <c r="CK74" s="95" t="str">
        <f>IFERROR(SUMIFS('01. KE30'!$R:$R,'01. KE30'!$C:$C,'06. BC BH THEO CUSTOMER-USD'!$D74,'01. KE30'!$F:$F,'06. BC BH THEO CUSTOMER-USD'!$H74,'01. KE30'!$A:$A,'06. BC BH THEO CUSTOMER-USD'!CK$4)/CY74/'02. Tỷ giá'!H$5," -")</f>
        <v xml:space="preserve"> -</v>
      </c>
      <c r="CL74" s="95" t="str">
        <f>IFERROR(SUMIFS('01. KE30'!$R:$R,'01. KE30'!$C:$C,'06. BC BH THEO CUSTOMER-USD'!$D74,'01. KE30'!$F:$F,'06. BC BH THEO CUSTOMER-USD'!$H74,'01. KE30'!$A:$A,'06. BC BH THEO CUSTOMER-USD'!CL$4)/CZ74/'02. Tỷ giá'!I$5," -")</f>
        <v xml:space="preserve"> -</v>
      </c>
      <c r="CM74" s="95" t="str">
        <f>IFERROR(SUMIFS('01. KE30'!$R:$R,'01. KE30'!$C:$C,'06. BC BH THEO CUSTOMER-USD'!$D74,'01. KE30'!$F:$F,'06. BC BH THEO CUSTOMER-USD'!$H74,'01. KE30'!$A:$A,'06. BC BH THEO CUSTOMER-USD'!CM$4)/DA74/'02. Tỷ giá'!J$5," -")</f>
        <v xml:space="preserve"> -</v>
      </c>
      <c r="CN74" s="95" t="str">
        <f>IFERROR(SUMIFS('01. KE30'!$R:$R,'01. KE30'!$C:$C,'06. BC BH THEO CUSTOMER-USD'!$D74,'01. KE30'!$F:$F,'06. BC BH THEO CUSTOMER-USD'!$H74,'01. KE30'!$A:$A,'06. BC BH THEO CUSTOMER-USD'!CN$4)/DB74/'02. Tỷ giá'!K$5," -")</f>
        <v xml:space="preserve"> -</v>
      </c>
      <c r="CO74" s="95" t="str">
        <f>IFERROR(SUMIFS('01. KE30'!$R:$R,'01. KE30'!$C:$C,'06. BC BH THEO CUSTOMER-USD'!$D74,'01. KE30'!$F:$F,'06. BC BH THEO CUSTOMER-USD'!$H74,'01. KE30'!$A:$A,'06. BC BH THEO CUSTOMER-USD'!CO$4)/DC74/'02. Tỷ giá'!L$5," -")</f>
        <v xml:space="preserve"> -</v>
      </c>
      <c r="CP74" s="95" t="str">
        <f>IFERROR(SUMIFS('01. KE30'!$R:$R,'01. KE30'!$C:$C,'06. BC BH THEO CUSTOMER-USD'!$D74,'01. KE30'!$F:$F,'06. BC BH THEO CUSTOMER-USD'!$H74,'01. KE30'!$A:$A,'06. BC BH THEO CUSTOMER-USD'!CP$4)/DD74/'02. Tỷ giá'!M$5," -")</f>
        <v xml:space="preserve"> -</v>
      </c>
      <c r="CR74" s="112">
        <f t="shared" si="266"/>
        <v>22</v>
      </c>
      <c r="CS74" s="114">
        <f>SUMIFS('01. KE30'!$I:$I,'01. KE30'!$C:$C,'06. BC BH THEO CUSTOMER-USD'!$D74,'01. KE30'!$F:$F,'06. BC BH THEO CUSTOMER-USD'!$H74,'01. KE30'!$A:$A,'06. BC BH THEO CUSTOMER-USD'!CS$4)/1000</f>
        <v>0</v>
      </c>
      <c r="CT74" s="114">
        <f>SUMIFS('01. KE30'!$I:$I,'01. KE30'!$C:$C,'06. BC BH THEO CUSTOMER-USD'!$D74,'01. KE30'!$F:$F,'06. BC BH THEO CUSTOMER-USD'!$H74,'01. KE30'!$A:$A,'06. BC BH THEO CUSTOMER-USD'!CT$4)/1000</f>
        <v>0</v>
      </c>
      <c r="CU74" s="114">
        <f>SUMIFS('01. KE30'!$I:$I,'01. KE30'!$C:$C,'06. BC BH THEO CUSTOMER-USD'!$D74,'01. KE30'!$F:$F,'06. BC BH THEO CUSTOMER-USD'!$H74,'01. KE30'!$A:$A,'06. BC BH THEO CUSTOMER-USD'!CU$4)/1000</f>
        <v>0</v>
      </c>
      <c r="CV74" s="114">
        <f>SUMIFS('01. KE30'!$I:$I,'01. KE30'!$C:$C,'06. BC BH THEO CUSTOMER-USD'!$D74,'01. KE30'!$F:$F,'06. BC BH THEO CUSTOMER-USD'!$H74,'01. KE30'!$A:$A,'06. BC BH THEO CUSTOMER-USD'!CV$4)/1000</f>
        <v>0</v>
      </c>
      <c r="CW74" s="114">
        <f>SUMIFS('01. KE30'!$I:$I,'01. KE30'!$C:$C,'06. BC BH THEO CUSTOMER-USD'!$D74,'01. KE30'!$F:$F,'06. BC BH THEO CUSTOMER-USD'!$H74,'01. KE30'!$A:$A,'06. BC BH THEO CUSTOMER-USD'!CW$4)/1000</f>
        <v>22</v>
      </c>
      <c r="CX74" s="114">
        <f>SUMIFS('01. KE30'!$I:$I,'01. KE30'!$C:$C,'06. BC BH THEO CUSTOMER-USD'!$D74,'01. KE30'!$F:$F,'06. BC BH THEO CUSTOMER-USD'!$H74,'01. KE30'!$A:$A,'06. BC BH THEO CUSTOMER-USD'!CX$4)/1000</f>
        <v>0</v>
      </c>
      <c r="CY74" s="114">
        <f>SUMIFS('01. KE30'!$I:$I,'01. KE30'!$C:$C,'06. BC BH THEO CUSTOMER-USD'!$D74,'01. KE30'!$F:$F,'06. BC BH THEO CUSTOMER-USD'!$H74,'01. KE30'!$A:$A,'06. BC BH THEO CUSTOMER-USD'!CY$4)/1000</f>
        <v>0</v>
      </c>
      <c r="CZ74" s="114">
        <f>SUMIFS('01. KE30'!$I:$I,'01. KE30'!$C:$C,'06. BC BH THEO CUSTOMER-USD'!$D74,'01. KE30'!$F:$F,'06. BC BH THEO CUSTOMER-USD'!$H74,'01. KE30'!$A:$A,'06. BC BH THEO CUSTOMER-USD'!CZ$4)/1000</f>
        <v>0</v>
      </c>
      <c r="DA74" s="114">
        <f>SUMIFS('01. KE30'!$I:$I,'01. KE30'!$C:$C,'06. BC BH THEO CUSTOMER-USD'!$D74,'01. KE30'!$F:$F,'06. BC BH THEO CUSTOMER-USD'!$H74,'01. KE30'!$A:$A,'06. BC BH THEO CUSTOMER-USD'!DA$4)/1000</f>
        <v>0</v>
      </c>
      <c r="DB74" s="114">
        <f>SUMIFS('01. KE30'!$I:$I,'01. KE30'!$C:$C,'06. BC BH THEO CUSTOMER-USD'!$D74,'01. KE30'!$F:$F,'06. BC BH THEO CUSTOMER-USD'!$H74,'01. KE30'!$A:$A,'06. BC BH THEO CUSTOMER-USD'!DB$4)/1000</f>
        <v>0</v>
      </c>
      <c r="DC74" s="114">
        <f>SUMIFS('01. KE30'!$I:$I,'01. KE30'!$C:$C,'06. BC BH THEO CUSTOMER-USD'!$D74,'01. KE30'!$F:$F,'06. BC BH THEO CUSTOMER-USD'!$H74,'01. KE30'!$A:$A,'06. BC BH THEO CUSTOMER-USD'!DC$4)/1000</f>
        <v>0</v>
      </c>
      <c r="DD74" s="114">
        <f>SUMIFS('01. KE30'!$I:$I,'01. KE30'!$C:$C,'06. BC BH THEO CUSTOMER-USD'!$D74,'01. KE30'!$F:$F,'06. BC BH THEO CUSTOMER-USD'!$H74,'01. KE30'!$A:$A,'06. BC BH THEO CUSTOMER-USD'!DD$4)/1000</f>
        <v>0</v>
      </c>
      <c r="DF74" s="112">
        <f t="shared" si="267"/>
        <v>30156.419180201086</v>
      </c>
      <c r="DG74" s="54" t="str">
        <f t="shared" si="48"/>
        <v>-</v>
      </c>
      <c r="DH74" s="54" t="str">
        <f t="shared" si="49"/>
        <v>-</v>
      </c>
      <c r="DI74" s="54" t="str">
        <f t="shared" si="50"/>
        <v>-</v>
      </c>
      <c r="DJ74" s="54" t="str">
        <f t="shared" si="51"/>
        <v>-</v>
      </c>
      <c r="DK74" s="54">
        <f t="shared" si="52"/>
        <v>30156.419180201086</v>
      </c>
      <c r="DL74" s="54" t="str">
        <f t="shared" si="53"/>
        <v>-</v>
      </c>
      <c r="DM74" s="54" t="str">
        <f t="shared" si="54"/>
        <v>-</v>
      </c>
      <c r="DN74" s="54" t="str">
        <f t="shared" si="55"/>
        <v>-</v>
      </c>
      <c r="DO74" s="54" t="str">
        <f t="shared" si="56"/>
        <v>-</v>
      </c>
      <c r="DP74" s="54" t="str">
        <f t="shared" si="57"/>
        <v>-</v>
      </c>
      <c r="DQ74" s="54" t="str">
        <f t="shared" si="58"/>
        <v>-</v>
      </c>
      <c r="DR74" s="54" t="str">
        <f t="shared" si="59"/>
        <v>-</v>
      </c>
      <c r="DT74" s="112">
        <f t="shared" si="60"/>
        <v>6652.5608662026316</v>
      </c>
      <c r="DU74" s="114">
        <f>IFERROR(SUMIFS('01. KE30'!$X:$X,'01. KE30'!$C:$C,'06. BC BH THEO CUSTOMER-USD'!$D74,'01. KE30'!$F:$F,'06. BC BH THEO CUSTOMER-USD'!$H74,'01. KE30'!$A:$A,'06. BC BH THEO CUSTOMER-USD'!DU$4)-SUMIFS('01. KE30'!$AA:$AA,'01. KE30'!$C:$C,'06. BC BH THEO CUSTOMER-USD'!$D74,'01. KE30'!$F:$F,'06. BC BH THEO CUSTOMER-USD'!$H74,'01. KE30'!$A:$A,'06. BC BH THEO CUSTOMER-USD'!DU$4),"-")</f>
        <v>0</v>
      </c>
      <c r="DV74" s="114">
        <f>IFERROR(SUMIFS('01. KE30'!$X:$X,'01. KE30'!$C:$C,'06. BC BH THEO CUSTOMER-USD'!$D74,'01. KE30'!$F:$F,'06. BC BH THEO CUSTOMER-USD'!$H74,'01. KE30'!$A:$A,'06. BC BH THEO CUSTOMER-USD'!DV$4)-SUMIFS('01. KE30'!$AA:$AA,'01. KE30'!$C:$C,'06. BC BH THEO CUSTOMER-USD'!$D74,'01. KE30'!$F:$F,'06. BC BH THEO CUSTOMER-USD'!$H74,'01. KE30'!$A:$A,'06. BC BH THEO CUSTOMER-USD'!DV$4),"-")</f>
        <v>0</v>
      </c>
      <c r="DW74" s="114">
        <f>IFERROR(SUMIFS('01. KE30'!$X:$X,'01. KE30'!$C:$C,'06. BC BH THEO CUSTOMER-USD'!$D74,'01. KE30'!$F:$F,'06. BC BH THEO CUSTOMER-USD'!$H74,'01. KE30'!$A:$A,'06. BC BH THEO CUSTOMER-USD'!DW$4)-SUMIFS('01. KE30'!$AA:$AA,'01. KE30'!$C:$C,'06. BC BH THEO CUSTOMER-USD'!$D74,'01. KE30'!$F:$F,'06. BC BH THEO CUSTOMER-USD'!$H74,'01. KE30'!$A:$A,'06. BC BH THEO CUSTOMER-USD'!DW$4),"-")</f>
        <v>0</v>
      </c>
      <c r="DX74" s="114">
        <f>IFERROR(SUMIFS('01. KE30'!$X:$X,'01. KE30'!$C:$C,'06. BC BH THEO CUSTOMER-USD'!$D74,'01. KE30'!$F:$F,'06. BC BH THEO CUSTOMER-USD'!$H74,'01. KE30'!$A:$A,'06. BC BH THEO CUSTOMER-USD'!DX$4)-SUMIFS('01. KE30'!$AA:$AA,'01. KE30'!$C:$C,'06. BC BH THEO CUSTOMER-USD'!$D74,'01. KE30'!$F:$F,'06. BC BH THEO CUSTOMER-USD'!$H74,'01. KE30'!$A:$A,'06. BC BH THEO CUSTOMER-USD'!DX$4),"-")</f>
        <v>0</v>
      </c>
      <c r="DY74" s="114">
        <f>IFERROR(SUMIFS('01. KE30'!$X:$X,'01. KE30'!$C:$C,'06. BC BH THEO CUSTOMER-USD'!$D74,'01. KE30'!$F:$F,'06. BC BH THEO CUSTOMER-USD'!$H74,'01. KE30'!$A:$A,'06. BC BH THEO CUSTOMER-USD'!DY$4)-SUMIFS('01. KE30'!$AA:$AA,'01. KE30'!$C:$C,'06. BC BH THEO CUSTOMER-USD'!$D74,'01. KE30'!$F:$F,'06. BC BH THEO CUSTOMER-USD'!$H74,'01. KE30'!$A:$A,'06. BC BH THEO CUSTOMER-USD'!DY$4),"-")</f>
        <v>6652.5608662026316</v>
      </c>
      <c r="DZ74" s="114">
        <f>IFERROR(SUMIFS('01. KE30'!$X:$X,'01. KE30'!$C:$C,'06. BC BH THEO CUSTOMER-USD'!$D74,'01. KE30'!$F:$F,'06. BC BH THEO CUSTOMER-USD'!$H74,'01. KE30'!$A:$A,'06. BC BH THEO CUSTOMER-USD'!DZ$4)-SUMIFS('01. KE30'!$AA:$AA,'01. KE30'!$C:$C,'06. BC BH THEO CUSTOMER-USD'!$D74,'01. KE30'!$F:$F,'06. BC BH THEO CUSTOMER-USD'!$H74,'01. KE30'!$A:$A,'06. BC BH THEO CUSTOMER-USD'!DZ$4),"-")</f>
        <v>0</v>
      </c>
      <c r="EA74" s="114">
        <f>IFERROR(SUMIFS('01. KE30'!$X:$X,'01. KE30'!$C:$C,'06. BC BH THEO CUSTOMER-USD'!$D74,'01. KE30'!$F:$F,'06. BC BH THEO CUSTOMER-USD'!$H74,'01. KE30'!$A:$A,'06. BC BH THEO CUSTOMER-USD'!EA$4)-SUMIFS('01. KE30'!$AA:$AA,'01. KE30'!$C:$C,'06. BC BH THEO CUSTOMER-USD'!$D74,'01. KE30'!$F:$F,'06. BC BH THEO CUSTOMER-USD'!$H74,'01. KE30'!$A:$A,'06. BC BH THEO CUSTOMER-USD'!EA$4),"-")</f>
        <v>0</v>
      </c>
      <c r="EB74" s="114">
        <f>IFERROR(SUMIFS('01. KE30'!$X:$X,'01. KE30'!$C:$C,'06. BC BH THEO CUSTOMER-USD'!$D74,'01. KE30'!$F:$F,'06. BC BH THEO CUSTOMER-USD'!$H74,'01. KE30'!$A:$A,'06. BC BH THEO CUSTOMER-USD'!EB$4)-SUMIFS('01. KE30'!$AA:$AA,'01. KE30'!$C:$C,'06. BC BH THEO CUSTOMER-USD'!$D74,'01. KE30'!$F:$F,'06. BC BH THEO CUSTOMER-USD'!$H74,'01. KE30'!$A:$A,'06. BC BH THEO CUSTOMER-USD'!EB$4),"-")</f>
        <v>0</v>
      </c>
      <c r="EC74" s="114">
        <f>IFERROR(SUMIFS('01. KE30'!$X:$X,'01. KE30'!$C:$C,'06. BC BH THEO CUSTOMER-USD'!$D74,'01. KE30'!$F:$F,'06. BC BH THEO CUSTOMER-USD'!$H74,'01. KE30'!$A:$A,'06. BC BH THEO CUSTOMER-USD'!EC$4)-SUMIFS('01. KE30'!$AA:$AA,'01. KE30'!$C:$C,'06. BC BH THEO CUSTOMER-USD'!$D74,'01. KE30'!$F:$F,'06. BC BH THEO CUSTOMER-USD'!$H74,'01. KE30'!$A:$A,'06. BC BH THEO CUSTOMER-USD'!EC$4),"-")</f>
        <v>0</v>
      </c>
      <c r="ED74" s="114">
        <f>IFERROR(SUMIFS('01. KE30'!$X:$X,'01. KE30'!$C:$C,'06. BC BH THEO CUSTOMER-USD'!$D74,'01. KE30'!$F:$F,'06. BC BH THEO CUSTOMER-USD'!$H74,'01. KE30'!$A:$A,'06. BC BH THEO CUSTOMER-USD'!ED$4)-SUMIFS('01. KE30'!$AA:$AA,'01. KE30'!$C:$C,'06. BC BH THEO CUSTOMER-USD'!$D74,'01. KE30'!$F:$F,'06. BC BH THEO CUSTOMER-USD'!$H74,'01. KE30'!$A:$A,'06. BC BH THEO CUSTOMER-USD'!ED$4),"-")</f>
        <v>0</v>
      </c>
      <c r="EE74" s="114">
        <f>IFERROR(SUMIFS('01. KE30'!$X:$X,'01. KE30'!$C:$C,'06. BC BH THEO CUSTOMER-USD'!$D74,'01. KE30'!$F:$F,'06. BC BH THEO CUSTOMER-USD'!$H74,'01. KE30'!$A:$A,'06. BC BH THEO CUSTOMER-USD'!EE$4)-SUMIFS('01. KE30'!$AA:$AA,'01. KE30'!$C:$C,'06. BC BH THEO CUSTOMER-USD'!$D74,'01. KE30'!$F:$F,'06. BC BH THEO CUSTOMER-USD'!$H74,'01. KE30'!$A:$A,'06. BC BH THEO CUSTOMER-USD'!EE$4),"-")</f>
        <v>0</v>
      </c>
      <c r="EF74" s="114">
        <f>IFERROR(SUMIFS('01. KE30'!$X:$X,'01. KE30'!$C:$C,'06. BC BH THEO CUSTOMER-USD'!$D74,'01. KE30'!$F:$F,'06. BC BH THEO CUSTOMER-USD'!$H74,'01. KE30'!$A:$A,'06. BC BH THEO CUSTOMER-USD'!EF$4)-SUMIFS('01. KE30'!$AA:$AA,'01. KE30'!$C:$C,'06. BC BH THEO CUSTOMER-USD'!$D74,'01. KE30'!$F:$F,'06. BC BH THEO CUSTOMER-USD'!$H74,'01. KE30'!$A:$A,'06. BC BH THEO CUSTOMER-USD'!EF$4),"-")</f>
        <v>0</v>
      </c>
      <c r="EH74" s="571">
        <f t="shared" si="29"/>
        <v>0.22060181702774273</v>
      </c>
      <c r="EI74" s="572" t="str">
        <f t="shared" si="30"/>
        <v>-</v>
      </c>
      <c r="EJ74" s="572" t="str">
        <f t="shared" si="31"/>
        <v>-</v>
      </c>
      <c r="EK74" s="572" t="str">
        <f t="shared" si="32"/>
        <v>-</v>
      </c>
      <c r="EL74" s="572" t="str">
        <f t="shared" si="33"/>
        <v>-</v>
      </c>
      <c r="EM74" s="572">
        <f t="shared" si="34"/>
        <v>0.22060181702774273</v>
      </c>
      <c r="EN74" s="572" t="str">
        <f t="shared" si="35"/>
        <v>-</v>
      </c>
      <c r="EO74" s="572" t="str">
        <f t="shared" si="36"/>
        <v>-</v>
      </c>
      <c r="EP74" s="572" t="str">
        <f t="shared" si="37"/>
        <v>-</v>
      </c>
      <c r="EQ74" s="572" t="str">
        <f t="shared" si="38"/>
        <v>-</v>
      </c>
      <c r="ER74" s="572" t="str">
        <f t="shared" si="39"/>
        <v>-</v>
      </c>
      <c r="ES74" s="572" t="str">
        <f t="shared" si="40"/>
        <v>-</v>
      </c>
      <c r="ET74" s="572" t="str">
        <f t="shared" si="41"/>
        <v>-</v>
      </c>
    </row>
    <row r="75" spans="1:150" ht="15.5" hidden="1" outlineLevel="1" x14ac:dyDescent="0.35">
      <c r="A75" s="27">
        <f t="shared" si="63"/>
        <v>62</v>
      </c>
      <c r="B75" s="27" t="s">
        <v>283</v>
      </c>
      <c r="C75" s="442" t="s">
        <v>504</v>
      </c>
      <c r="D75" s="9" t="s">
        <v>628</v>
      </c>
      <c r="E75" s="12" t="s">
        <v>1030</v>
      </c>
      <c r="F75" s="12" t="s">
        <v>245</v>
      </c>
      <c r="G75" s="12" t="str">
        <f>_xlfn.XLOOKUP(F75,'Quy đổi'!$G$5:$G$32,'Quy đổi'!$H$5:$H$32,0)</f>
        <v>Nội địa</v>
      </c>
      <c r="H75" s="76" t="s">
        <v>127</v>
      </c>
      <c r="I75" s="7" t="s">
        <v>114</v>
      </c>
      <c r="J75" s="13" t="s">
        <v>22</v>
      </c>
      <c r="K75" s="11"/>
      <c r="L75" s="92">
        <f t="shared" si="42"/>
        <v>1396.0585119517671</v>
      </c>
      <c r="M75" s="106" t="str">
        <f>IFERROR(SUMIFS('01. KE30'!$K:$K,'01. KE30'!$C:$C,'06. BC BH THEO CUSTOMER-USD'!$D75,'01. KE30'!$F:$F,'06. BC BH THEO CUSTOMER-USD'!$H75,'01. KE30'!$A:$A,'06. BC BH THEO CUSTOMER-USD'!M$4)/'06. BC BH THEO CUSTOMER-USD'!CS75/'02. Tỷ giá'!B$5,"-")</f>
        <v>-</v>
      </c>
      <c r="N75" s="106" t="str">
        <f>IFERROR(SUMIFS('01. KE30'!$K:$K,'01. KE30'!$C:$C,'06. BC BH THEO CUSTOMER-USD'!$D75,'01. KE30'!$F:$F,'06. BC BH THEO CUSTOMER-USD'!$H75,'01. KE30'!$A:$A,'06. BC BH THEO CUSTOMER-USD'!N$4)/'06. BC BH THEO CUSTOMER-USD'!CT75/'02. Tỷ giá'!C$5,"-")</f>
        <v>-</v>
      </c>
      <c r="O75" s="106">
        <f>IFERROR(SUMIFS('01. KE30'!$K:$K,'01. KE30'!$C:$C,'06. BC BH THEO CUSTOMER-USD'!$D75,'01. KE30'!$F:$F,'06. BC BH THEO CUSTOMER-USD'!$H75,'01. KE30'!$A:$A,'06. BC BH THEO CUSTOMER-USD'!O$4)/'06. BC BH THEO CUSTOMER-USD'!CU75/'02. Tỷ giá'!D$5,"-")</f>
        <v>1382.0391732283465</v>
      </c>
      <c r="P75" s="106">
        <f>IFERROR(SUMIFS('01. KE30'!$K:$K,'01. KE30'!$C:$C,'06. BC BH THEO CUSTOMER-USD'!$D75,'01. KE30'!$F:$F,'06. BC BH THEO CUSTOMER-USD'!$H75,'01. KE30'!$A:$A,'06. BC BH THEO CUSTOMER-USD'!P$4)/'06. BC BH THEO CUSTOMER-USD'!CV75/'02. Tỷ giá'!E$5,"-")</f>
        <v>1361.6407278358497</v>
      </c>
      <c r="Q75" s="106" t="str">
        <f>IFERROR(SUMIFS('01. KE30'!$K:$K,'01. KE30'!$C:$C,'06. BC BH THEO CUSTOMER-USD'!$D75,'01. KE30'!$F:$F,'06. BC BH THEO CUSTOMER-USD'!$H75,'01. KE30'!$A:$A,'06. BC BH THEO CUSTOMER-USD'!Q$4)/'06. BC BH THEO CUSTOMER-USD'!CW75/'02. Tỷ giá'!F$5,"-")</f>
        <v>-</v>
      </c>
      <c r="R75" s="106">
        <f>IFERROR(SUMIFS('01. KE30'!$K:$K,'01. KE30'!$C:$C,'06. BC BH THEO CUSTOMER-USD'!$D75,'01. KE30'!$F:$F,'06. BC BH THEO CUSTOMER-USD'!$H75,'01. KE30'!$A:$A,'06. BC BH THEO CUSTOMER-USD'!R$4)/'06. BC BH THEO CUSTOMER-USD'!CX75/'02. Tỷ giá'!G$5,"-")</f>
        <v>1421.9521604938273</v>
      </c>
      <c r="S75" s="106" t="str">
        <f>IFERROR(SUMIFS('01. KE30'!$K:$K,'01. KE30'!$C:$C,'06. BC BH THEO CUSTOMER-USD'!$D75,'01. KE30'!$F:$F,'06. BC BH THEO CUSTOMER-USD'!$H75,'01. KE30'!$A:$A,'06. BC BH THEO CUSTOMER-USD'!S$4)/'06. BC BH THEO CUSTOMER-USD'!CY75/'02. Tỷ giá'!H$5,"-")</f>
        <v>-</v>
      </c>
      <c r="T75" s="106">
        <f>IFERROR(SUMIFS('01. KE30'!$K:$K,'01. KE30'!$C:$C,'06. BC BH THEO CUSTOMER-USD'!$D75,'01. KE30'!$F:$F,'06. BC BH THEO CUSTOMER-USD'!$H75,'01. KE30'!$A:$A,'06. BC BH THEO CUSTOMER-USD'!T$4)/'06. BC BH THEO CUSTOMER-USD'!CZ75/'02. Tỷ giá'!I$5,"-")</f>
        <v>1418.601986249045</v>
      </c>
      <c r="U75" s="106" t="str">
        <f>IFERROR(SUMIFS('01. KE30'!$K:$K,'01. KE30'!$C:$C,'06. BC BH THEO CUSTOMER-USD'!$D75,'01. KE30'!$F:$F,'06. BC BH THEO CUSTOMER-USD'!$H75,'01. KE30'!$A:$A,'06. BC BH THEO CUSTOMER-USD'!U$4)/'06. BC BH THEO CUSTOMER-USD'!DA75/'02. Tỷ giá'!J$5,"-")</f>
        <v>-</v>
      </c>
      <c r="V75" s="106" t="str">
        <f>IFERROR(SUMIFS('01. KE30'!$K:$K,'01. KE30'!$C:$C,'06. BC BH THEO CUSTOMER-USD'!$D75,'01. KE30'!$F:$F,'06. BC BH THEO CUSTOMER-USD'!$H75,'01. KE30'!$A:$A,'06. BC BH THEO CUSTOMER-USD'!V$4)/'06. BC BH THEO CUSTOMER-USD'!DB75/'02. Tỷ giá'!K$5,"-")</f>
        <v>-</v>
      </c>
      <c r="W75" s="106" t="str">
        <f>IFERROR(SUMIFS('01. KE30'!$K:$K,'01. KE30'!$C:$C,'06. BC BH THEO CUSTOMER-USD'!$D75,'01. KE30'!$F:$F,'06. BC BH THEO CUSTOMER-USD'!$H75,'01. KE30'!$A:$A,'06. BC BH THEO CUSTOMER-USD'!W$4)/'06. BC BH THEO CUSTOMER-USD'!DC75/'02. Tỷ giá'!L$5,"-")</f>
        <v>-</v>
      </c>
      <c r="X75" s="106" t="str">
        <f>IFERROR(SUMIFS('01. KE30'!$K:$K,'01. KE30'!$C:$C,'06. BC BH THEO CUSTOMER-USD'!$D75,'01. KE30'!$F:$F,'06. BC BH THEO CUSTOMER-USD'!$H75,'01. KE30'!$A:$A,'06. BC BH THEO CUSTOMER-USD'!X$4)/'06. BC BH THEO CUSTOMER-USD'!DD75/'02. Tỷ giá'!M$5,"-")</f>
        <v>-</v>
      </c>
      <c r="Z75" s="92">
        <f t="shared" si="43"/>
        <v>1368.227139291093</v>
      </c>
      <c r="AA75" s="147" t="str">
        <f>IFERROR(SUMIFS('01. KE30'!$O:$O,'01. KE30'!$C:$C,'06. BC BH THEO CUSTOMER-USD'!$D75,'01. KE30'!$F:$F,'06. BC BH THEO CUSTOMER-USD'!$H75,'01. KE30'!$A:$A,'06. BC BH THEO CUSTOMER-USD'!M$4)/'06. BC BH THEO CUSTOMER-USD'!CS75/'02. Tỷ giá'!B$5,"-")</f>
        <v>-</v>
      </c>
      <c r="AB75" s="147" t="str">
        <f>IFERROR(SUMIFS('01. KE30'!$O:$O,'01. KE30'!$C:$C,'06. BC BH THEO CUSTOMER-USD'!$D75,'01. KE30'!$F:$F,'06. BC BH THEO CUSTOMER-USD'!$H75,'01. KE30'!$A:$A,'06. BC BH THEO CUSTOMER-USD'!N$4)/'06. BC BH THEO CUSTOMER-USD'!CT75/'02. Tỷ giá'!C$5,"-")</f>
        <v>-</v>
      </c>
      <c r="AC75" s="147">
        <f>IFERROR(SUMIFS('01. KE30'!$O:$O,'01. KE30'!$C:$C,'06. BC BH THEO CUSTOMER-USD'!$D75,'01. KE30'!$F:$F,'06. BC BH THEO CUSTOMER-USD'!$H75,'01. KE30'!$A:$A,'06. BC BH THEO CUSTOMER-USD'!O$4)/'06. BC BH THEO CUSTOMER-USD'!CU75/'02. Tỷ giá'!D$5,"-")</f>
        <v>1375.7399606299214</v>
      </c>
      <c r="AD75" s="147">
        <f>IFERROR(SUMIFS('01. KE30'!$O:$O,'01. KE30'!$C:$C,'06. BC BH THEO CUSTOMER-USD'!$D75,'01. KE30'!$F:$F,'06. BC BH THEO CUSTOMER-USD'!$H75,'01. KE30'!$A:$A,'06. BC BH THEO CUSTOMER-USD'!P$4)/'06. BC BH THEO CUSTOMER-USD'!CV75/'02. Tỷ giá'!E$5,"-")</f>
        <v>1353.8977932636469</v>
      </c>
      <c r="AE75" s="147" t="str">
        <f>IFERROR(SUMIFS('01. KE30'!$O:$O,'01. KE30'!$C:$C,'06. BC BH THEO CUSTOMER-USD'!$D75,'01. KE30'!$F:$F,'06. BC BH THEO CUSTOMER-USD'!$H75,'01. KE30'!$A:$A,'06. BC BH THEO CUSTOMER-USD'!Q$4)/'06. BC BH THEO CUSTOMER-USD'!CW75/'02. Tỷ giá'!F$5,"-")</f>
        <v>-</v>
      </c>
      <c r="AF75" s="147">
        <f>IFERROR(SUMIFS('01. KE30'!$O:$O,'01. KE30'!$C:$C,'06. BC BH THEO CUSTOMER-USD'!$D75,'01. KE30'!$F:$F,'06. BC BH THEO CUSTOMER-USD'!$H75,'01. KE30'!$A:$A,'06. BC BH THEO CUSTOMER-USD'!R$4)/'06. BC BH THEO CUSTOMER-USD'!CX75/'02. Tỷ giá'!G$5,"-")</f>
        <v>1373.037037037037</v>
      </c>
      <c r="AG75" s="147" t="str">
        <f>IFERROR(SUMIFS('01. KE30'!$O:$O,'01. KE30'!$C:$C,'06. BC BH THEO CUSTOMER-USD'!$D75,'01. KE30'!$F:$F,'06. BC BH THEO CUSTOMER-USD'!$H75,'01. KE30'!$A:$A,'06. BC BH THEO CUSTOMER-USD'!S$4)/'06. BC BH THEO CUSTOMER-USD'!CY75/'02. Tỷ giá'!H$5,"-")</f>
        <v>-</v>
      </c>
      <c r="AH75" s="147">
        <f>IFERROR(SUMIFS('01. KE30'!$O:$O,'01. KE30'!$C:$C,'06. BC BH THEO CUSTOMER-USD'!$D75,'01. KE30'!$F:$F,'06. BC BH THEO CUSTOMER-USD'!$H75,'01. KE30'!$A:$A,'06. BC BH THEO CUSTOMER-USD'!T$4)/'06. BC BH THEO CUSTOMER-USD'!CZ75/'02. Tỷ giá'!I$5,"-")</f>
        <v>1370.2337662337663</v>
      </c>
      <c r="AI75" s="147" t="str">
        <f>IFERROR(SUMIFS('01. KE30'!$O:$O,'01. KE30'!$C:$C,'06. BC BH THEO CUSTOMER-USD'!$D75,'01. KE30'!$F:$F,'06. BC BH THEO CUSTOMER-USD'!$H75,'01. KE30'!$A:$A,'06. BC BH THEO CUSTOMER-USD'!U$4)/'06. BC BH THEO CUSTOMER-USD'!DA75/'02. Tỷ giá'!J$5,"-")</f>
        <v>-</v>
      </c>
      <c r="AJ75" s="147" t="str">
        <f>IFERROR(SUMIFS('01. KE30'!$O:$O,'01. KE30'!$C:$C,'06. BC BH THEO CUSTOMER-USD'!$D75,'01. KE30'!$F:$F,'06. BC BH THEO CUSTOMER-USD'!$H75,'01. KE30'!$A:$A,'06. BC BH THEO CUSTOMER-USD'!V$4)/'06. BC BH THEO CUSTOMER-USD'!DB75/'02. Tỷ giá'!K$5,"-")</f>
        <v>-</v>
      </c>
      <c r="AK75" s="147" t="str">
        <f>IFERROR(SUMIFS('01. KE30'!$O:$O,'01. KE30'!$C:$C,'06. BC BH THEO CUSTOMER-USD'!$D75,'01. KE30'!$F:$F,'06. BC BH THEO CUSTOMER-USD'!$H75,'01. KE30'!$A:$A,'06. BC BH THEO CUSTOMER-USD'!W$4)/'06. BC BH THEO CUSTOMER-USD'!DC75/'02. Tỷ giá'!L$5,"-")</f>
        <v>-</v>
      </c>
      <c r="AL75" s="147" t="str">
        <f>IFERROR(SUMIFS('01. KE30'!$O:$O,'01. KE30'!$C:$C,'06. BC BH THEO CUSTOMER-USD'!$D75,'01. KE30'!$F:$F,'06. BC BH THEO CUSTOMER-USD'!$H75,'01. KE30'!$A:$A,'06. BC BH THEO CUSTOMER-USD'!X$4)/'06. BC BH THEO CUSTOMER-USD'!DD75/'02. Tỷ giá'!M$5,"-")</f>
        <v>-</v>
      </c>
      <c r="AN75" s="92">
        <f t="shared" si="44"/>
        <v>1322.2222222222222</v>
      </c>
      <c r="AO75" s="25">
        <v>1320</v>
      </c>
      <c r="AP75" s="25">
        <f>1320-40</f>
        <v>1280</v>
      </c>
      <c r="AQ75" s="4">
        <v>1320</v>
      </c>
      <c r="AR75" s="4">
        <f t="shared" si="455"/>
        <v>1340</v>
      </c>
      <c r="AS75" s="4">
        <v>1340</v>
      </c>
      <c r="AT75" s="4">
        <v>1340</v>
      </c>
      <c r="AU75" s="4">
        <v>1340</v>
      </c>
      <c r="AV75" s="4">
        <f t="shared" si="205"/>
        <v>1310</v>
      </c>
      <c r="AW75" s="25">
        <v>1310</v>
      </c>
      <c r="AX75" s="25"/>
      <c r="AY75" s="4"/>
      <c r="AZ75" s="4"/>
      <c r="BB75" s="95">
        <f t="shared" si="45"/>
        <v>46.004917068870782</v>
      </c>
      <c r="BC75" s="95" t="str">
        <f t="shared" si="206"/>
        <v>-</v>
      </c>
      <c r="BD75" s="95" t="str">
        <f t="shared" si="389"/>
        <v>-</v>
      </c>
      <c r="BE75" s="95">
        <f t="shared" si="389"/>
        <v>55.73996062992137</v>
      </c>
      <c r="BF75" s="95">
        <f t="shared" si="389"/>
        <v>13.897793263646918</v>
      </c>
      <c r="BG75" s="95" t="str">
        <f t="shared" si="389"/>
        <v>-</v>
      </c>
      <c r="BH75" s="95">
        <f t="shared" si="389"/>
        <v>33.037037037036953</v>
      </c>
      <c r="BI75" s="95" t="str">
        <f t="shared" si="389"/>
        <v>-</v>
      </c>
      <c r="BJ75" s="95">
        <f t="shared" si="389"/>
        <v>60.233766233766346</v>
      </c>
      <c r="BK75" s="95" t="str">
        <f t="shared" si="389"/>
        <v>-</v>
      </c>
      <c r="BL75" s="95" t="str">
        <f t="shared" si="389"/>
        <v>-</v>
      </c>
      <c r="BM75" s="95" t="str">
        <f t="shared" si="389"/>
        <v>-</v>
      </c>
      <c r="BN75" s="95" t="str">
        <f t="shared" si="389"/>
        <v>-</v>
      </c>
      <c r="BP75" s="143">
        <f t="shared" si="47"/>
        <v>3.4793634757969504E-2</v>
      </c>
      <c r="BQ75" s="143" t="str">
        <f t="shared" si="202"/>
        <v>-</v>
      </c>
      <c r="BR75" s="143" t="str">
        <f t="shared" si="9"/>
        <v>-</v>
      </c>
      <c r="BS75" s="143">
        <f t="shared" si="10"/>
        <v>4.2227242901455582E-2</v>
      </c>
      <c r="BT75" s="143">
        <f t="shared" si="11"/>
        <v>1.0371487510184267E-2</v>
      </c>
      <c r="BU75" s="143" t="str">
        <f t="shared" si="12"/>
        <v>-</v>
      </c>
      <c r="BV75" s="143">
        <f t="shared" si="13"/>
        <v>2.4654505251520114E-2</v>
      </c>
      <c r="BW75" s="143" t="str">
        <f t="shared" si="14"/>
        <v>-</v>
      </c>
      <c r="BX75" s="143">
        <f t="shared" si="15"/>
        <v>4.5979974224249119E-2</v>
      </c>
      <c r="BY75" s="143" t="str">
        <f t="shared" si="16"/>
        <v>-</v>
      </c>
      <c r="BZ75" s="143" t="str">
        <f t="shared" si="17"/>
        <v>-</v>
      </c>
      <c r="CA75" s="143" t="str">
        <f t="shared" si="18"/>
        <v>-</v>
      </c>
      <c r="CB75" s="143" t="str">
        <f t="shared" si="19"/>
        <v>-</v>
      </c>
      <c r="CD75" s="112">
        <f t="shared" si="25"/>
        <v>1066.600678759221</v>
      </c>
      <c r="CE75" s="95" t="str">
        <f>IFERROR(SUMIFS('01. KE30'!$R:$R,'01. KE30'!$C:$C,'06. BC BH THEO CUSTOMER-USD'!$D75,'01. KE30'!$F:$F,'06. BC BH THEO CUSTOMER-USD'!$H75,'01. KE30'!$A:$A,'06. BC BH THEO CUSTOMER-USD'!CE$4)/CS75/'02. Tỷ giá'!B$5," -")</f>
        <v xml:space="preserve"> -</v>
      </c>
      <c r="CF75" s="95" t="str">
        <f>IFERROR(SUMIFS('01. KE30'!$R:$R,'01. KE30'!$C:$C,'06. BC BH THEO CUSTOMER-USD'!$D75,'01. KE30'!$F:$F,'06. BC BH THEO CUSTOMER-USD'!$H75,'01. KE30'!$A:$A,'06. BC BH THEO CUSTOMER-USD'!CF$4)/CT75/'02. Tỷ giá'!C$5," -")</f>
        <v xml:space="preserve"> -</v>
      </c>
      <c r="CG75" s="95">
        <f>IFERROR(SUMIFS('01. KE30'!$R:$R,'01. KE30'!$C:$C,'06. BC BH THEO CUSTOMER-USD'!$D75,'01. KE30'!$F:$F,'06. BC BH THEO CUSTOMER-USD'!$H75,'01. KE30'!$A:$A,'06. BC BH THEO CUSTOMER-USD'!CG$4)/CU75/'02. Tỷ giá'!D$5," -")</f>
        <v>1038.5799481030781</v>
      </c>
      <c r="CH75" s="95">
        <f>IFERROR(SUMIFS('01. KE30'!$R:$R,'01. KE30'!$C:$C,'06. BC BH THEO CUSTOMER-USD'!$D75,'01. KE30'!$F:$F,'06. BC BH THEO CUSTOMER-USD'!$H75,'01. KE30'!$A:$A,'06. BC BH THEO CUSTOMER-USD'!CH$4)/CV75/'02. Tỷ giá'!E$5," -")</f>
        <v>1028.8379878928658</v>
      </c>
      <c r="CI75" s="95" t="str">
        <f>IFERROR(SUMIFS('01. KE30'!$R:$R,'01. KE30'!$C:$C,'06. BC BH THEO CUSTOMER-USD'!$D75,'01. KE30'!$F:$F,'06. BC BH THEO CUSTOMER-USD'!$H75,'01. KE30'!$A:$A,'06. BC BH THEO CUSTOMER-USD'!CI$4)/CW75/'02. Tỷ giá'!F$5," -")</f>
        <v xml:space="preserve"> -</v>
      </c>
      <c r="CJ75" s="95">
        <f>IFERROR(SUMIFS('01. KE30'!$R:$R,'01. KE30'!$C:$C,'06. BC BH THEO CUSTOMER-USD'!$D75,'01. KE30'!$F:$F,'06. BC BH THEO CUSTOMER-USD'!$H75,'01. KE30'!$A:$A,'06. BC BH THEO CUSTOMER-USD'!CJ$4)/CX75/'02. Tỷ giá'!G$5," -")</f>
        <v>1079.8145693041527</v>
      </c>
      <c r="CK75" s="95" t="str">
        <f>IFERROR(SUMIFS('01. KE30'!$R:$R,'01. KE30'!$C:$C,'06. BC BH THEO CUSTOMER-USD'!$D75,'01. KE30'!$F:$F,'06. BC BH THEO CUSTOMER-USD'!$H75,'01. KE30'!$A:$A,'06. BC BH THEO CUSTOMER-USD'!CK$4)/CY75/'02. Tỷ giá'!H$5," -")</f>
        <v xml:space="preserve"> -</v>
      </c>
      <c r="CL75" s="95">
        <f>IFERROR(SUMIFS('01. KE30'!$R:$R,'01. KE30'!$C:$C,'06. BC BH THEO CUSTOMER-USD'!$D75,'01. KE30'!$F:$F,'06. BC BH THEO CUSTOMER-USD'!$H75,'01. KE30'!$A:$A,'06. BC BH THEO CUSTOMER-USD'!CL$4)/CZ75/'02. Tỷ giá'!I$5," -")</f>
        <v>1119.1702097367872</v>
      </c>
      <c r="CM75" s="95" t="str">
        <f>IFERROR(SUMIFS('01. KE30'!$R:$R,'01. KE30'!$C:$C,'06. BC BH THEO CUSTOMER-USD'!$D75,'01. KE30'!$F:$F,'06. BC BH THEO CUSTOMER-USD'!$H75,'01. KE30'!$A:$A,'06. BC BH THEO CUSTOMER-USD'!CM$4)/DA75/'02. Tỷ giá'!J$5," -")</f>
        <v xml:space="preserve"> -</v>
      </c>
      <c r="CN75" s="95" t="str">
        <f>IFERROR(SUMIFS('01. KE30'!$R:$R,'01. KE30'!$C:$C,'06. BC BH THEO CUSTOMER-USD'!$D75,'01. KE30'!$F:$F,'06. BC BH THEO CUSTOMER-USD'!$H75,'01. KE30'!$A:$A,'06. BC BH THEO CUSTOMER-USD'!CN$4)/DB75/'02. Tỷ giá'!K$5," -")</f>
        <v xml:space="preserve"> -</v>
      </c>
      <c r="CO75" s="95" t="str">
        <f>IFERROR(SUMIFS('01. KE30'!$R:$R,'01. KE30'!$C:$C,'06. BC BH THEO CUSTOMER-USD'!$D75,'01. KE30'!$F:$F,'06. BC BH THEO CUSTOMER-USD'!$H75,'01. KE30'!$A:$A,'06. BC BH THEO CUSTOMER-USD'!CO$4)/DC75/'02. Tỷ giá'!L$5," -")</f>
        <v xml:space="preserve"> -</v>
      </c>
      <c r="CP75" s="95" t="str">
        <f>IFERROR(SUMIFS('01. KE30'!$R:$R,'01. KE30'!$C:$C,'06. BC BH THEO CUSTOMER-USD'!$D75,'01. KE30'!$F:$F,'06. BC BH THEO CUSTOMER-USD'!$H75,'01. KE30'!$A:$A,'06. BC BH THEO CUSTOMER-USD'!CP$4)/DD75/'02. Tỷ giá'!M$5," -")</f>
        <v xml:space="preserve"> -</v>
      </c>
      <c r="CR75" s="112">
        <f t="shared" si="266"/>
        <v>286</v>
      </c>
      <c r="CS75" s="114">
        <f>SUMIFS('01. KE30'!$I:$I,'01. KE30'!$C:$C,'06. BC BH THEO CUSTOMER-USD'!$D75,'01. KE30'!$F:$F,'06. BC BH THEO CUSTOMER-USD'!$H75,'01. KE30'!$A:$A,'06. BC BH THEO CUSTOMER-USD'!CS$4)/1000</f>
        <v>0</v>
      </c>
      <c r="CT75" s="114">
        <f>SUMIFS('01. KE30'!$I:$I,'01. KE30'!$C:$C,'06. BC BH THEO CUSTOMER-USD'!$D75,'01. KE30'!$F:$F,'06. BC BH THEO CUSTOMER-USD'!$H75,'01. KE30'!$A:$A,'06. BC BH THEO CUSTOMER-USD'!CT$4)/1000</f>
        <v>0</v>
      </c>
      <c r="CU75" s="114">
        <f>SUMIFS('01. KE30'!$I:$I,'01. KE30'!$C:$C,'06. BC BH THEO CUSTOMER-USD'!$D75,'01. KE30'!$F:$F,'06. BC BH THEO CUSTOMER-USD'!$H75,'01. KE30'!$A:$A,'06. BC BH THEO CUSTOMER-USD'!CU$4)/1000</f>
        <v>88</v>
      </c>
      <c r="CV75" s="725">
        <f>SUMIFS('01. KE30'!$I:$I,'01. KE30'!$C:$C,'06. BC BH THEO CUSTOMER-USD'!$D75,'01. KE30'!$F:$F,'06. BC BH THEO CUSTOMER-USD'!$H75,'01. KE30'!$A:$A,'06. BC BH THEO CUSTOMER-USD'!CV$4)/1000</f>
        <v>66</v>
      </c>
      <c r="CW75" s="114">
        <f>SUMIFS('01. KE30'!$I:$I,'01. KE30'!$C:$C,'06. BC BH THEO CUSTOMER-USD'!$D75,'01. KE30'!$F:$F,'06. BC BH THEO CUSTOMER-USD'!$H75,'01. KE30'!$A:$A,'06. BC BH THEO CUSTOMER-USD'!CW$4)/1000</f>
        <v>0</v>
      </c>
      <c r="CX75" s="114">
        <f>SUMIFS('01. KE30'!$I:$I,'01. KE30'!$C:$C,'06. BC BH THEO CUSTOMER-USD'!$D75,'01. KE30'!$F:$F,'06. BC BH THEO CUSTOMER-USD'!$H75,'01. KE30'!$A:$A,'06. BC BH THEO CUSTOMER-USD'!CX$4)/1000</f>
        <v>88</v>
      </c>
      <c r="CY75" s="114">
        <f>SUMIFS('01. KE30'!$I:$I,'01. KE30'!$C:$C,'06. BC BH THEO CUSTOMER-USD'!$D75,'01. KE30'!$F:$F,'06. BC BH THEO CUSTOMER-USD'!$H75,'01. KE30'!$A:$A,'06. BC BH THEO CUSTOMER-USD'!CY$4)/1000</f>
        <v>0</v>
      </c>
      <c r="CZ75" s="114">
        <f>SUMIFS('01. KE30'!$I:$I,'01. KE30'!$C:$C,'06. BC BH THEO CUSTOMER-USD'!$D75,'01. KE30'!$F:$F,'06. BC BH THEO CUSTOMER-USD'!$H75,'01. KE30'!$A:$A,'06. BC BH THEO CUSTOMER-USD'!CZ$4)/1000</f>
        <v>44</v>
      </c>
      <c r="DA75" s="114">
        <f>SUMIFS('01. KE30'!$I:$I,'01. KE30'!$C:$C,'06. BC BH THEO CUSTOMER-USD'!$D75,'01. KE30'!$F:$F,'06. BC BH THEO CUSTOMER-USD'!$H75,'01. KE30'!$A:$A,'06. BC BH THEO CUSTOMER-USD'!DA$4)/1000</f>
        <v>0</v>
      </c>
      <c r="DB75" s="114">
        <f>SUMIFS('01. KE30'!$I:$I,'01. KE30'!$C:$C,'06. BC BH THEO CUSTOMER-USD'!$D75,'01. KE30'!$F:$F,'06. BC BH THEO CUSTOMER-USD'!$H75,'01. KE30'!$A:$A,'06. BC BH THEO CUSTOMER-USD'!DB$4)/1000</f>
        <v>0</v>
      </c>
      <c r="DC75" s="114">
        <f>SUMIFS('01. KE30'!$I:$I,'01. KE30'!$C:$C,'06. BC BH THEO CUSTOMER-USD'!$D75,'01. KE30'!$F:$F,'06. BC BH THEO CUSTOMER-USD'!$H75,'01. KE30'!$A:$A,'06. BC BH THEO CUSTOMER-USD'!DC$4)/1000</f>
        <v>0</v>
      </c>
      <c r="DD75" s="114">
        <f>SUMIFS('01. KE30'!$I:$I,'01. KE30'!$C:$C,'06. BC BH THEO CUSTOMER-USD'!$D75,'01. KE30'!$F:$F,'06. BC BH THEO CUSTOMER-USD'!$H75,'01. KE30'!$A:$A,'06. BC BH THEO CUSTOMER-USD'!DD$4)/1000</f>
        <v>0</v>
      </c>
      <c r="DF75" s="112">
        <f t="shared" si="267"/>
        <v>399038.01279967534</v>
      </c>
      <c r="DG75" s="54" t="str">
        <f t="shared" si="48"/>
        <v>-</v>
      </c>
      <c r="DH75" s="54" t="str">
        <f t="shared" si="49"/>
        <v>-</v>
      </c>
      <c r="DI75" s="54">
        <f t="shared" si="50"/>
        <v>121619.4472440945</v>
      </c>
      <c r="DJ75" s="54">
        <f t="shared" si="51"/>
        <v>89868.288037166087</v>
      </c>
      <c r="DK75" s="54" t="str">
        <f t="shared" si="52"/>
        <v>-</v>
      </c>
      <c r="DL75" s="54">
        <f t="shared" si="53"/>
        <v>125131.7901234568</v>
      </c>
      <c r="DM75" s="54" t="str">
        <f t="shared" si="54"/>
        <v>-</v>
      </c>
      <c r="DN75" s="54">
        <f t="shared" si="55"/>
        <v>62418.487394957978</v>
      </c>
      <c r="DO75" s="54" t="str">
        <f t="shared" si="56"/>
        <v>-</v>
      </c>
      <c r="DP75" s="54" t="str">
        <f t="shared" si="57"/>
        <v>-</v>
      </c>
      <c r="DQ75" s="54" t="str">
        <f t="shared" si="58"/>
        <v>-</v>
      </c>
      <c r="DR75" s="54" t="str">
        <f t="shared" si="59"/>
        <v>-</v>
      </c>
      <c r="DT75" s="112">
        <f t="shared" si="60"/>
        <v>87974.401903194652</v>
      </c>
      <c r="DU75" s="114">
        <f>IFERROR(SUMIFS('01. KE30'!$X:$X,'01. KE30'!$C:$C,'06. BC BH THEO CUSTOMER-USD'!$D75,'01. KE30'!$F:$F,'06. BC BH THEO CUSTOMER-USD'!$H75,'01. KE30'!$A:$A,'06. BC BH THEO CUSTOMER-USD'!DU$4)-SUMIFS('01. KE30'!$AA:$AA,'01. KE30'!$C:$C,'06. BC BH THEO CUSTOMER-USD'!$D75,'01. KE30'!$F:$F,'06. BC BH THEO CUSTOMER-USD'!$H75,'01. KE30'!$A:$A,'06. BC BH THEO CUSTOMER-USD'!DU$4),"-")</f>
        <v>0</v>
      </c>
      <c r="DV75" s="114">
        <f>IFERROR(SUMIFS('01. KE30'!$X:$X,'01. KE30'!$C:$C,'06. BC BH THEO CUSTOMER-USD'!$D75,'01. KE30'!$F:$F,'06. BC BH THEO CUSTOMER-USD'!$H75,'01. KE30'!$A:$A,'06. BC BH THEO CUSTOMER-USD'!DV$4)-SUMIFS('01. KE30'!$AA:$AA,'01. KE30'!$C:$C,'06. BC BH THEO CUSTOMER-USD'!$D75,'01. KE30'!$F:$F,'06. BC BH THEO CUSTOMER-USD'!$H75,'01. KE30'!$A:$A,'06. BC BH THEO CUSTOMER-USD'!DV$4),"-")</f>
        <v>0</v>
      </c>
      <c r="DW75" s="114">
        <f>IFERROR(SUMIFS('01. KE30'!$X:$X,'01. KE30'!$C:$C,'06. BC BH THEO CUSTOMER-USD'!$D75,'01. KE30'!$F:$F,'06. BC BH THEO CUSTOMER-USD'!$H75,'01. KE30'!$A:$A,'06. BC BH THEO CUSTOMER-USD'!DW$4)-SUMIFS('01. KE30'!$AA:$AA,'01. KE30'!$C:$C,'06. BC BH THEO CUSTOMER-USD'!$D75,'01. KE30'!$F:$F,'06. BC BH THEO CUSTOMER-USD'!$H75,'01. KE30'!$A:$A,'06. BC BH THEO CUSTOMER-USD'!DW$4),"-")</f>
        <v>29670.081102362208</v>
      </c>
      <c r="DX75" s="114">
        <f>IFERROR(SUMIFS('01. KE30'!$X:$X,'01. KE30'!$C:$C,'06. BC BH THEO CUSTOMER-USD'!$D75,'01. KE30'!$F:$F,'06. BC BH THEO CUSTOMER-USD'!$H75,'01. KE30'!$A:$A,'06. BC BH THEO CUSTOMER-USD'!DX$4)-SUMIFS('01. KE30'!$AA:$AA,'01. KE30'!$C:$C,'06. BC BH THEO CUSTOMER-USD'!$D75,'01. KE30'!$F:$F,'06. BC BH THEO CUSTOMER-USD'!$H75,'01. KE30'!$A:$A,'06. BC BH THEO CUSTOMER-USD'!DX$4),"-")</f>
        <v>21453.947154471549</v>
      </c>
      <c r="DY75" s="114">
        <f>IFERROR(SUMIFS('01. KE30'!$X:$X,'01. KE30'!$C:$C,'06. BC BH THEO CUSTOMER-USD'!$D75,'01. KE30'!$F:$F,'06. BC BH THEO CUSTOMER-USD'!$H75,'01. KE30'!$A:$A,'06. BC BH THEO CUSTOMER-USD'!DY$4)-SUMIFS('01. KE30'!$AA:$AA,'01. KE30'!$C:$C,'06. BC BH THEO CUSTOMER-USD'!$D75,'01. KE30'!$F:$F,'06. BC BH THEO CUSTOMER-USD'!$H75,'01. KE30'!$A:$A,'06. BC BH THEO CUSTOMER-USD'!DY$4),"-")</f>
        <v>0</v>
      </c>
      <c r="DZ75" s="114">
        <f>IFERROR(SUMIFS('01. KE30'!$X:$X,'01. KE30'!$C:$C,'06. BC BH THEO CUSTOMER-USD'!$D75,'01. KE30'!$F:$F,'06. BC BH THEO CUSTOMER-USD'!$H75,'01. KE30'!$A:$A,'06. BC BH THEO CUSTOMER-USD'!DZ$4)-SUMIFS('01. KE30'!$AA:$AA,'01. KE30'!$C:$C,'06. BC BH THEO CUSTOMER-USD'!$D75,'01. KE30'!$F:$F,'06. BC BH THEO CUSTOMER-USD'!$H75,'01. KE30'!$A:$A,'06. BC BH THEO CUSTOMER-USD'!DZ$4),"-")</f>
        <v>25803.57716049382</v>
      </c>
      <c r="EA75" s="114">
        <f>IFERROR(SUMIFS('01. KE30'!$X:$X,'01. KE30'!$C:$C,'06. BC BH THEO CUSTOMER-USD'!$D75,'01. KE30'!$F:$F,'06. BC BH THEO CUSTOMER-USD'!$H75,'01. KE30'!$A:$A,'06. BC BH THEO CUSTOMER-USD'!EA$4)-SUMIFS('01. KE30'!$AA:$AA,'01. KE30'!$C:$C,'06. BC BH THEO CUSTOMER-USD'!$D75,'01. KE30'!$F:$F,'06. BC BH THEO CUSTOMER-USD'!$H75,'01. KE30'!$A:$A,'06. BC BH THEO CUSTOMER-USD'!EA$4),"-")</f>
        <v>0</v>
      </c>
      <c r="EB75" s="114">
        <f>IFERROR(SUMIFS('01. KE30'!$X:$X,'01. KE30'!$C:$C,'06. BC BH THEO CUSTOMER-USD'!$D75,'01. KE30'!$F:$F,'06. BC BH THEO CUSTOMER-USD'!$H75,'01. KE30'!$A:$A,'06. BC BH THEO CUSTOMER-USD'!EB$4)-SUMIFS('01. KE30'!$AA:$AA,'01. KE30'!$C:$C,'06. BC BH THEO CUSTOMER-USD'!$D75,'01. KE30'!$F:$F,'06. BC BH THEO CUSTOMER-USD'!$H75,'01. KE30'!$A:$A,'06. BC BH THEO CUSTOMER-USD'!EB$4),"-")</f>
        <v>11046.796485867075</v>
      </c>
      <c r="EC75" s="114">
        <f>IFERROR(SUMIFS('01. KE30'!$X:$X,'01. KE30'!$C:$C,'06. BC BH THEO CUSTOMER-USD'!$D75,'01. KE30'!$F:$F,'06. BC BH THEO CUSTOMER-USD'!$H75,'01. KE30'!$A:$A,'06. BC BH THEO CUSTOMER-USD'!EC$4)-SUMIFS('01. KE30'!$AA:$AA,'01. KE30'!$C:$C,'06. BC BH THEO CUSTOMER-USD'!$D75,'01. KE30'!$F:$F,'06. BC BH THEO CUSTOMER-USD'!$H75,'01. KE30'!$A:$A,'06. BC BH THEO CUSTOMER-USD'!EC$4),"-")</f>
        <v>0</v>
      </c>
      <c r="ED75" s="114">
        <f>IFERROR(SUMIFS('01. KE30'!$X:$X,'01. KE30'!$C:$C,'06. BC BH THEO CUSTOMER-USD'!$D75,'01. KE30'!$F:$F,'06. BC BH THEO CUSTOMER-USD'!$H75,'01. KE30'!$A:$A,'06. BC BH THEO CUSTOMER-USD'!ED$4)-SUMIFS('01. KE30'!$AA:$AA,'01. KE30'!$C:$C,'06. BC BH THEO CUSTOMER-USD'!$D75,'01. KE30'!$F:$F,'06. BC BH THEO CUSTOMER-USD'!$H75,'01. KE30'!$A:$A,'06. BC BH THEO CUSTOMER-USD'!ED$4),"-")</f>
        <v>0</v>
      </c>
      <c r="EE75" s="114">
        <f>IFERROR(SUMIFS('01. KE30'!$X:$X,'01. KE30'!$C:$C,'06. BC BH THEO CUSTOMER-USD'!$D75,'01. KE30'!$F:$F,'06. BC BH THEO CUSTOMER-USD'!$H75,'01. KE30'!$A:$A,'06. BC BH THEO CUSTOMER-USD'!EE$4)-SUMIFS('01. KE30'!$AA:$AA,'01. KE30'!$C:$C,'06. BC BH THEO CUSTOMER-USD'!$D75,'01. KE30'!$F:$F,'06. BC BH THEO CUSTOMER-USD'!$H75,'01. KE30'!$A:$A,'06. BC BH THEO CUSTOMER-USD'!EE$4),"-")</f>
        <v>0</v>
      </c>
      <c r="EF75" s="114">
        <f>IFERROR(SUMIFS('01. KE30'!$X:$X,'01. KE30'!$C:$C,'06. BC BH THEO CUSTOMER-USD'!$D75,'01. KE30'!$F:$F,'06. BC BH THEO CUSTOMER-USD'!$H75,'01. KE30'!$A:$A,'06. BC BH THEO CUSTOMER-USD'!EF$4)-SUMIFS('01. KE30'!$AA:$AA,'01. KE30'!$C:$C,'06. BC BH THEO CUSTOMER-USD'!$D75,'01. KE30'!$F:$F,'06. BC BH THEO CUSTOMER-USD'!$H75,'01. KE30'!$A:$A,'06. BC BH THEO CUSTOMER-USD'!EF$4),"-")</f>
        <v>0</v>
      </c>
      <c r="EH75" s="571">
        <f t="shared" si="29"/>
        <v>0.220466218959845</v>
      </c>
      <c r="EI75" s="572" t="str">
        <f t="shared" si="30"/>
        <v>-</v>
      </c>
      <c r="EJ75" s="572" t="str">
        <f t="shared" si="31"/>
        <v>-</v>
      </c>
      <c r="EK75" s="572">
        <f t="shared" si="32"/>
        <v>0.24395836171507435</v>
      </c>
      <c r="EL75" s="572">
        <f t="shared" si="33"/>
        <v>0.23872655886800712</v>
      </c>
      <c r="EM75" s="572" t="str">
        <f t="shared" si="34"/>
        <v>-</v>
      </c>
      <c r="EN75" s="572">
        <f t="shared" si="35"/>
        <v>0.20621120448317445</v>
      </c>
      <c r="EO75" s="572" t="str">
        <f t="shared" si="36"/>
        <v>-</v>
      </c>
      <c r="EP75" s="572">
        <f t="shared" si="37"/>
        <v>0.17697956081453217</v>
      </c>
      <c r="EQ75" s="572" t="str">
        <f t="shared" si="38"/>
        <v>-</v>
      </c>
      <c r="ER75" s="572" t="str">
        <f t="shared" si="39"/>
        <v>-</v>
      </c>
      <c r="ES75" s="572" t="str">
        <f t="shared" si="40"/>
        <v>-</v>
      </c>
      <c r="ET75" s="572" t="str">
        <f t="shared" si="41"/>
        <v>-</v>
      </c>
    </row>
    <row r="76" spans="1:150" ht="15.5" hidden="1" outlineLevel="1" x14ac:dyDescent="0.35">
      <c r="A76" s="27">
        <f t="shared" si="63"/>
        <v>63</v>
      </c>
      <c r="B76" s="27" t="s">
        <v>283</v>
      </c>
      <c r="C76" s="442" t="s">
        <v>489</v>
      </c>
      <c r="D76" s="9" t="s">
        <v>528</v>
      </c>
      <c r="E76" s="12" t="s">
        <v>529</v>
      </c>
      <c r="F76" s="12" t="s">
        <v>733</v>
      </c>
      <c r="G76" s="12" t="str">
        <f>_xlfn.XLOOKUP(F76,'Quy đổi'!$G$5:$G$32,'Quy đổi'!$H$5:$H$32,0)</f>
        <v>Châu Âu</v>
      </c>
      <c r="H76" s="76" t="s">
        <v>100</v>
      </c>
      <c r="I76" s="28" t="s">
        <v>99</v>
      </c>
      <c r="J76" s="13" t="s">
        <v>26</v>
      </c>
      <c r="K76" s="11" t="s">
        <v>90</v>
      </c>
      <c r="L76" s="92">
        <f t="shared" si="42"/>
        <v>1432.8672705789681</v>
      </c>
      <c r="M76" s="106" t="str">
        <f>IFERROR(SUMIFS('01. KE30'!$K:$K,'01. KE30'!$C:$C,'06. BC BH THEO CUSTOMER-USD'!$D76,'01. KE30'!$F:$F,'06. BC BH THEO CUSTOMER-USD'!$H76,'01. KE30'!$A:$A,'06. BC BH THEO CUSTOMER-USD'!M$4)/'06. BC BH THEO CUSTOMER-USD'!CS76/'02. Tỷ giá'!B$5,"-")</f>
        <v>-</v>
      </c>
      <c r="N76" s="106">
        <f>IFERROR(SUMIFS('01. KE30'!$K:$K,'01. KE30'!$C:$C,'06. BC BH THEO CUSTOMER-USD'!$D76,'01. KE30'!$F:$F,'06. BC BH THEO CUSTOMER-USD'!$H76,'01. KE30'!$A:$A,'06. BC BH THEO CUSTOMER-USD'!N$4)/'06. BC BH THEO CUSTOMER-USD'!CT76/'02. Tỷ giá'!C$5,"-")</f>
        <v>1432.8672705789681</v>
      </c>
      <c r="O76" s="106" t="str">
        <f>IFERROR(SUMIFS('01. KE30'!$K:$K,'01. KE30'!$C:$C,'06. BC BH THEO CUSTOMER-USD'!$D76,'01. KE30'!$F:$F,'06. BC BH THEO CUSTOMER-USD'!$H76,'01. KE30'!$A:$A,'06. BC BH THEO CUSTOMER-USD'!O$4)/'06. BC BH THEO CUSTOMER-USD'!CU76/'02. Tỷ giá'!D$5,"-")</f>
        <v>-</v>
      </c>
      <c r="P76" s="106" t="str">
        <f>IFERROR(SUMIFS('01. KE30'!$K:$K,'01. KE30'!$C:$C,'06. BC BH THEO CUSTOMER-USD'!$D76,'01. KE30'!$F:$F,'06. BC BH THEO CUSTOMER-USD'!$H76,'01. KE30'!$A:$A,'06. BC BH THEO CUSTOMER-USD'!P$4)/'06. BC BH THEO CUSTOMER-USD'!CV76/'02. Tỷ giá'!E$5,"-")</f>
        <v>-</v>
      </c>
      <c r="Q76" s="106" t="str">
        <f>IFERROR(SUMIFS('01. KE30'!$K:$K,'01. KE30'!$C:$C,'06. BC BH THEO CUSTOMER-USD'!$D76,'01. KE30'!$F:$F,'06. BC BH THEO CUSTOMER-USD'!$H76,'01. KE30'!$A:$A,'06. BC BH THEO CUSTOMER-USD'!Q$4)/'06. BC BH THEO CUSTOMER-USD'!CW76/'02. Tỷ giá'!F$5,"-")</f>
        <v>-</v>
      </c>
      <c r="R76" s="106" t="str">
        <f>IFERROR(SUMIFS('01. KE30'!$K:$K,'01. KE30'!$C:$C,'06. BC BH THEO CUSTOMER-USD'!$D76,'01. KE30'!$F:$F,'06. BC BH THEO CUSTOMER-USD'!$H76,'01. KE30'!$A:$A,'06. BC BH THEO CUSTOMER-USD'!R$4)/'06. BC BH THEO CUSTOMER-USD'!CX76/'02. Tỷ giá'!G$5,"-")</f>
        <v>-</v>
      </c>
      <c r="S76" s="106" t="str">
        <f>IFERROR(SUMIFS('01. KE30'!$K:$K,'01. KE30'!$C:$C,'06. BC BH THEO CUSTOMER-USD'!$D76,'01. KE30'!$F:$F,'06. BC BH THEO CUSTOMER-USD'!$H76,'01. KE30'!$A:$A,'06. BC BH THEO CUSTOMER-USD'!S$4)/'06. BC BH THEO CUSTOMER-USD'!CY76/'02. Tỷ giá'!H$5,"-")</f>
        <v>-</v>
      </c>
      <c r="T76" s="106" t="str">
        <f>IFERROR(SUMIFS('01. KE30'!$K:$K,'01. KE30'!$C:$C,'06. BC BH THEO CUSTOMER-USD'!$D76,'01. KE30'!$F:$F,'06. BC BH THEO CUSTOMER-USD'!$H76,'01. KE30'!$A:$A,'06. BC BH THEO CUSTOMER-USD'!T$4)/'06. BC BH THEO CUSTOMER-USD'!CZ76/'02. Tỷ giá'!I$5,"-")</f>
        <v>-</v>
      </c>
      <c r="U76" s="106" t="str">
        <f>IFERROR(SUMIFS('01. KE30'!$K:$K,'01. KE30'!$C:$C,'06. BC BH THEO CUSTOMER-USD'!$D76,'01. KE30'!$F:$F,'06. BC BH THEO CUSTOMER-USD'!$H76,'01. KE30'!$A:$A,'06. BC BH THEO CUSTOMER-USD'!U$4)/'06. BC BH THEO CUSTOMER-USD'!DA76/'02. Tỷ giá'!J$5,"-")</f>
        <v>-</v>
      </c>
      <c r="V76" s="106" t="str">
        <f>IFERROR(SUMIFS('01. KE30'!$K:$K,'01. KE30'!$C:$C,'06. BC BH THEO CUSTOMER-USD'!$D76,'01. KE30'!$F:$F,'06. BC BH THEO CUSTOMER-USD'!$H76,'01. KE30'!$A:$A,'06. BC BH THEO CUSTOMER-USD'!V$4)/'06. BC BH THEO CUSTOMER-USD'!DB76/'02. Tỷ giá'!K$5,"-")</f>
        <v>-</v>
      </c>
      <c r="W76" s="106" t="str">
        <f>IFERROR(SUMIFS('01. KE30'!$K:$K,'01. KE30'!$C:$C,'06. BC BH THEO CUSTOMER-USD'!$D76,'01. KE30'!$F:$F,'06. BC BH THEO CUSTOMER-USD'!$H76,'01. KE30'!$A:$A,'06. BC BH THEO CUSTOMER-USD'!W$4)/'06. BC BH THEO CUSTOMER-USD'!DC76/'02. Tỷ giá'!L$5,"-")</f>
        <v>-</v>
      </c>
      <c r="X76" s="106" t="str">
        <f>IFERROR(SUMIFS('01. KE30'!$K:$K,'01. KE30'!$C:$C,'06. BC BH THEO CUSTOMER-USD'!$D76,'01. KE30'!$F:$F,'06. BC BH THEO CUSTOMER-USD'!$H76,'01. KE30'!$A:$A,'06. BC BH THEO CUSTOMER-USD'!X$4)/'06. BC BH THEO CUSTOMER-USD'!DD76/'02. Tỷ giá'!M$5,"-")</f>
        <v>-</v>
      </c>
      <c r="Z76" s="92">
        <f t="shared" si="43"/>
        <v>1246.9047298506928</v>
      </c>
      <c r="AA76" s="147" t="str">
        <f>IFERROR(SUMIFS('01. KE30'!$O:$O,'01. KE30'!$C:$C,'06. BC BH THEO CUSTOMER-USD'!$D76,'01. KE30'!$F:$F,'06. BC BH THEO CUSTOMER-USD'!$H76,'01. KE30'!$A:$A,'06. BC BH THEO CUSTOMER-USD'!M$4)/'06. BC BH THEO CUSTOMER-USD'!CS76/'02. Tỷ giá'!B$5,"-")</f>
        <v>-</v>
      </c>
      <c r="AB76" s="147">
        <f>IFERROR(SUMIFS('01. KE30'!$O:$O,'01. KE30'!$C:$C,'06. BC BH THEO CUSTOMER-USD'!$D76,'01. KE30'!$F:$F,'06. BC BH THEO CUSTOMER-USD'!$H76,'01. KE30'!$A:$A,'06. BC BH THEO CUSTOMER-USD'!N$4)/'06. BC BH THEO CUSTOMER-USD'!CT76/'02. Tỷ giá'!C$5,"-")</f>
        <v>1246.9047298506928</v>
      </c>
      <c r="AC76" s="147" t="str">
        <f>IFERROR(SUMIFS('01. KE30'!$O:$O,'01. KE30'!$C:$C,'06. BC BH THEO CUSTOMER-USD'!$D76,'01. KE30'!$F:$F,'06. BC BH THEO CUSTOMER-USD'!$H76,'01. KE30'!$A:$A,'06. BC BH THEO CUSTOMER-USD'!O$4)/'06. BC BH THEO CUSTOMER-USD'!CU76/'02. Tỷ giá'!D$5,"-")</f>
        <v>-</v>
      </c>
      <c r="AD76" s="147" t="str">
        <f>IFERROR(SUMIFS('01. KE30'!$O:$O,'01. KE30'!$C:$C,'06. BC BH THEO CUSTOMER-USD'!$D76,'01. KE30'!$F:$F,'06. BC BH THEO CUSTOMER-USD'!$H76,'01. KE30'!$A:$A,'06. BC BH THEO CUSTOMER-USD'!P$4)/'06. BC BH THEO CUSTOMER-USD'!CV76/'02. Tỷ giá'!E$5,"-")</f>
        <v>-</v>
      </c>
      <c r="AE76" s="147" t="str">
        <f>IFERROR(SUMIFS('01. KE30'!$O:$O,'01. KE30'!$C:$C,'06. BC BH THEO CUSTOMER-USD'!$D76,'01. KE30'!$F:$F,'06. BC BH THEO CUSTOMER-USD'!$H76,'01. KE30'!$A:$A,'06. BC BH THEO CUSTOMER-USD'!Q$4)/'06. BC BH THEO CUSTOMER-USD'!CW76/'02. Tỷ giá'!F$5,"-")</f>
        <v>-</v>
      </c>
      <c r="AF76" s="147" t="str">
        <f>IFERROR(SUMIFS('01. KE30'!$O:$O,'01. KE30'!$C:$C,'06. BC BH THEO CUSTOMER-USD'!$D76,'01. KE30'!$F:$F,'06. BC BH THEO CUSTOMER-USD'!$H76,'01. KE30'!$A:$A,'06. BC BH THEO CUSTOMER-USD'!R$4)/'06. BC BH THEO CUSTOMER-USD'!CX76/'02. Tỷ giá'!G$5,"-")</f>
        <v>-</v>
      </c>
      <c r="AG76" s="147" t="str">
        <f>IFERROR(SUMIFS('01. KE30'!$O:$O,'01. KE30'!$C:$C,'06. BC BH THEO CUSTOMER-USD'!$D76,'01. KE30'!$F:$F,'06. BC BH THEO CUSTOMER-USD'!$H76,'01. KE30'!$A:$A,'06. BC BH THEO CUSTOMER-USD'!S$4)/'06. BC BH THEO CUSTOMER-USD'!CY76/'02. Tỷ giá'!H$5,"-")</f>
        <v>-</v>
      </c>
      <c r="AH76" s="147" t="str">
        <f>IFERROR(SUMIFS('01. KE30'!$O:$O,'01. KE30'!$C:$C,'06. BC BH THEO CUSTOMER-USD'!$D76,'01. KE30'!$F:$F,'06. BC BH THEO CUSTOMER-USD'!$H76,'01. KE30'!$A:$A,'06. BC BH THEO CUSTOMER-USD'!T$4)/'06. BC BH THEO CUSTOMER-USD'!CZ76/'02. Tỷ giá'!I$5,"-")</f>
        <v>-</v>
      </c>
      <c r="AI76" s="147" t="str">
        <f>IFERROR(SUMIFS('01. KE30'!$O:$O,'01. KE30'!$C:$C,'06. BC BH THEO CUSTOMER-USD'!$D76,'01. KE30'!$F:$F,'06. BC BH THEO CUSTOMER-USD'!$H76,'01. KE30'!$A:$A,'06. BC BH THEO CUSTOMER-USD'!U$4)/'06. BC BH THEO CUSTOMER-USD'!DA76/'02. Tỷ giá'!J$5,"-")</f>
        <v>-</v>
      </c>
      <c r="AJ76" s="147" t="str">
        <f>IFERROR(SUMIFS('01. KE30'!$O:$O,'01. KE30'!$C:$C,'06. BC BH THEO CUSTOMER-USD'!$D76,'01. KE30'!$F:$F,'06. BC BH THEO CUSTOMER-USD'!$H76,'01. KE30'!$A:$A,'06. BC BH THEO CUSTOMER-USD'!V$4)/'06. BC BH THEO CUSTOMER-USD'!DB76/'02. Tỷ giá'!K$5,"-")</f>
        <v>-</v>
      </c>
      <c r="AK76" s="147" t="str">
        <f>IFERROR(SUMIFS('01. KE30'!$O:$O,'01. KE30'!$C:$C,'06. BC BH THEO CUSTOMER-USD'!$D76,'01. KE30'!$F:$F,'06. BC BH THEO CUSTOMER-USD'!$H76,'01. KE30'!$A:$A,'06. BC BH THEO CUSTOMER-USD'!W$4)/'06. BC BH THEO CUSTOMER-USD'!DC76/'02. Tỷ giá'!L$5,"-")</f>
        <v>-</v>
      </c>
      <c r="AL76" s="147" t="str">
        <f>IFERROR(SUMIFS('01. KE30'!$O:$O,'01. KE30'!$C:$C,'06. BC BH THEO CUSTOMER-USD'!$D76,'01. KE30'!$F:$F,'06. BC BH THEO CUSTOMER-USD'!$H76,'01. KE30'!$A:$A,'06. BC BH THEO CUSTOMER-USD'!X$4)/'06. BC BH THEO CUSTOMER-USD'!DD76/'02. Tỷ giá'!M$5,"-")</f>
        <v>-</v>
      </c>
      <c r="AN76" s="92">
        <f t="shared" si="44"/>
        <v>1266.6666666666667</v>
      </c>
      <c r="AO76" s="25">
        <v>1260</v>
      </c>
      <c r="AP76" s="25">
        <v>1260</v>
      </c>
      <c r="AQ76" s="25">
        <v>1260</v>
      </c>
      <c r="AR76" s="4">
        <f t="shared" si="455"/>
        <v>1280</v>
      </c>
      <c r="AS76" s="4">
        <v>1280</v>
      </c>
      <c r="AT76" s="4">
        <v>1280</v>
      </c>
      <c r="AU76" s="4">
        <v>1280</v>
      </c>
      <c r="AV76" s="4">
        <f t="shared" si="205"/>
        <v>1250</v>
      </c>
      <c r="AW76" s="25">
        <v>1250</v>
      </c>
      <c r="AX76" s="25"/>
      <c r="AY76" s="4"/>
      <c r="AZ76" s="4"/>
      <c r="BB76" s="95">
        <f t="shared" si="45"/>
        <v>-19.761936815973968</v>
      </c>
      <c r="BC76" s="95" t="str">
        <f t="shared" si="206"/>
        <v>-</v>
      </c>
      <c r="BD76" s="95">
        <f t="shared" si="389"/>
        <v>-13.095270149307225</v>
      </c>
      <c r="BE76" s="95" t="str">
        <f t="shared" si="389"/>
        <v>-</v>
      </c>
      <c r="BF76" s="95" t="str">
        <f t="shared" si="389"/>
        <v>-</v>
      </c>
      <c r="BG76" s="95" t="str">
        <f t="shared" si="389"/>
        <v>-</v>
      </c>
      <c r="BH76" s="95" t="str">
        <f t="shared" si="389"/>
        <v>-</v>
      </c>
      <c r="BI76" s="95" t="str">
        <f t="shared" si="389"/>
        <v>-</v>
      </c>
      <c r="BJ76" s="95" t="str">
        <f t="shared" si="389"/>
        <v>-</v>
      </c>
      <c r="BK76" s="95" t="str">
        <f t="shared" si="389"/>
        <v>-</v>
      </c>
      <c r="BL76" s="95" t="str">
        <f t="shared" si="389"/>
        <v>-</v>
      </c>
      <c r="BM76" s="95" t="str">
        <f t="shared" si="389"/>
        <v>-</v>
      </c>
      <c r="BN76" s="95" t="str">
        <f t="shared" si="389"/>
        <v>-</v>
      </c>
      <c r="BP76" s="143">
        <f t="shared" si="47"/>
        <v>-1.5601529065242606E-2</v>
      </c>
      <c r="BQ76" s="143" t="str">
        <f t="shared" si="202"/>
        <v>-</v>
      </c>
      <c r="BR76" s="143">
        <f t="shared" si="9"/>
        <v>-1.0393071547069227E-2</v>
      </c>
      <c r="BS76" s="143" t="str">
        <f t="shared" si="10"/>
        <v>-</v>
      </c>
      <c r="BT76" s="143" t="str">
        <f t="shared" si="11"/>
        <v>-</v>
      </c>
      <c r="BU76" s="143" t="str">
        <f t="shared" si="12"/>
        <v>-</v>
      </c>
      <c r="BV76" s="143" t="str">
        <f t="shared" si="13"/>
        <v>-</v>
      </c>
      <c r="BW76" s="143" t="str">
        <f t="shared" si="14"/>
        <v>-</v>
      </c>
      <c r="BX76" s="143" t="str">
        <f t="shared" si="15"/>
        <v>-</v>
      </c>
      <c r="BY76" s="143" t="str">
        <f t="shared" si="16"/>
        <v>-</v>
      </c>
      <c r="BZ76" s="143" t="str">
        <f t="shared" si="17"/>
        <v>-</v>
      </c>
      <c r="CA76" s="143" t="str">
        <f t="shared" si="18"/>
        <v>-</v>
      </c>
      <c r="CB76" s="143" t="str">
        <f t="shared" si="19"/>
        <v>-</v>
      </c>
      <c r="CD76" s="112">
        <f t="shared" si="25"/>
        <v>989.75531526370435</v>
      </c>
      <c r="CE76" s="95" t="str">
        <f>IFERROR(SUMIFS('01. KE30'!$R:$R,'01. KE30'!$C:$C,'06. BC BH THEO CUSTOMER-USD'!$D76,'01. KE30'!$F:$F,'06. BC BH THEO CUSTOMER-USD'!$H76,'01. KE30'!$A:$A,'06. BC BH THEO CUSTOMER-USD'!CE$4)/CS76/'02. Tỷ giá'!B$5," -")</f>
        <v xml:space="preserve"> -</v>
      </c>
      <c r="CF76" s="95">
        <f>IFERROR(SUMIFS('01. KE30'!$R:$R,'01. KE30'!$C:$C,'06. BC BH THEO CUSTOMER-USD'!$D76,'01. KE30'!$F:$F,'06. BC BH THEO CUSTOMER-USD'!$H76,'01. KE30'!$A:$A,'06. BC BH THEO CUSTOMER-USD'!CF$4)/CT76/'02. Tỷ giá'!C$5," -")</f>
        <v>989.75531526370435</v>
      </c>
      <c r="CG76" s="95" t="str">
        <f>IFERROR(SUMIFS('01. KE30'!$R:$R,'01. KE30'!$C:$C,'06. BC BH THEO CUSTOMER-USD'!$D76,'01. KE30'!$F:$F,'06. BC BH THEO CUSTOMER-USD'!$H76,'01. KE30'!$A:$A,'06. BC BH THEO CUSTOMER-USD'!CG$4)/CU76/'02. Tỷ giá'!D$5," -")</f>
        <v xml:space="preserve"> -</v>
      </c>
      <c r="CH76" s="95" t="str">
        <f>IFERROR(SUMIFS('01. KE30'!$R:$R,'01. KE30'!$C:$C,'06. BC BH THEO CUSTOMER-USD'!$D76,'01. KE30'!$F:$F,'06. BC BH THEO CUSTOMER-USD'!$H76,'01. KE30'!$A:$A,'06. BC BH THEO CUSTOMER-USD'!CH$4)/CV76/'02. Tỷ giá'!E$5," -")</f>
        <v xml:space="preserve"> -</v>
      </c>
      <c r="CI76" s="95" t="str">
        <f>IFERROR(SUMIFS('01. KE30'!$R:$R,'01. KE30'!$C:$C,'06. BC BH THEO CUSTOMER-USD'!$D76,'01. KE30'!$F:$F,'06. BC BH THEO CUSTOMER-USD'!$H76,'01. KE30'!$A:$A,'06. BC BH THEO CUSTOMER-USD'!CI$4)/CW76/'02. Tỷ giá'!F$5," -")</f>
        <v xml:space="preserve"> -</v>
      </c>
      <c r="CJ76" s="95" t="str">
        <f>IFERROR(SUMIFS('01. KE30'!$R:$R,'01. KE30'!$C:$C,'06. BC BH THEO CUSTOMER-USD'!$D76,'01. KE30'!$F:$F,'06. BC BH THEO CUSTOMER-USD'!$H76,'01. KE30'!$A:$A,'06. BC BH THEO CUSTOMER-USD'!CJ$4)/CX76/'02. Tỷ giá'!G$5," -")</f>
        <v xml:space="preserve"> -</v>
      </c>
      <c r="CK76" s="95" t="str">
        <f>IFERROR(SUMIFS('01. KE30'!$R:$R,'01. KE30'!$C:$C,'06. BC BH THEO CUSTOMER-USD'!$D76,'01. KE30'!$F:$F,'06. BC BH THEO CUSTOMER-USD'!$H76,'01. KE30'!$A:$A,'06. BC BH THEO CUSTOMER-USD'!CK$4)/CY76/'02. Tỷ giá'!H$5," -")</f>
        <v xml:space="preserve"> -</v>
      </c>
      <c r="CL76" s="95" t="str">
        <f>IFERROR(SUMIFS('01. KE30'!$R:$R,'01. KE30'!$C:$C,'06. BC BH THEO CUSTOMER-USD'!$D76,'01. KE30'!$F:$F,'06. BC BH THEO CUSTOMER-USD'!$H76,'01. KE30'!$A:$A,'06. BC BH THEO CUSTOMER-USD'!CL$4)/CZ76/'02. Tỷ giá'!I$5," -")</f>
        <v xml:space="preserve"> -</v>
      </c>
      <c r="CM76" s="95" t="str">
        <f>IFERROR(SUMIFS('01. KE30'!$R:$R,'01. KE30'!$C:$C,'06. BC BH THEO CUSTOMER-USD'!$D76,'01. KE30'!$F:$F,'06. BC BH THEO CUSTOMER-USD'!$H76,'01. KE30'!$A:$A,'06. BC BH THEO CUSTOMER-USD'!CM$4)/DA76/'02. Tỷ giá'!J$5," -")</f>
        <v xml:space="preserve"> -</v>
      </c>
      <c r="CN76" s="95" t="str">
        <f>IFERROR(SUMIFS('01. KE30'!$R:$R,'01. KE30'!$C:$C,'06. BC BH THEO CUSTOMER-USD'!$D76,'01. KE30'!$F:$F,'06. BC BH THEO CUSTOMER-USD'!$H76,'01. KE30'!$A:$A,'06. BC BH THEO CUSTOMER-USD'!CN$4)/DB76/'02. Tỷ giá'!K$5," -")</f>
        <v xml:space="preserve"> -</v>
      </c>
      <c r="CO76" s="95" t="str">
        <f>IFERROR(SUMIFS('01. KE30'!$R:$R,'01. KE30'!$C:$C,'06. BC BH THEO CUSTOMER-USD'!$D76,'01. KE30'!$F:$F,'06. BC BH THEO CUSTOMER-USD'!$H76,'01. KE30'!$A:$A,'06. BC BH THEO CUSTOMER-USD'!CO$4)/DC76/'02. Tỷ giá'!L$5," -")</f>
        <v xml:space="preserve"> -</v>
      </c>
      <c r="CP76" s="95" t="str">
        <f>IFERROR(SUMIFS('01. KE30'!$R:$R,'01. KE30'!$C:$C,'06. BC BH THEO CUSTOMER-USD'!$D76,'01. KE30'!$F:$F,'06. BC BH THEO CUSTOMER-USD'!$H76,'01. KE30'!$A:$A,'06. BC BH THEO CUSTOMER-USD'!CP$4)/DD76/'02. Tỷ giá'!M$5," -")</f>
        <v xml:space="preserve"> -</v>
      </c>
      <c r="CR76" s="112">
        <f t="shared" si="266"/>
        <v>22</v>
      </c>
      <c r="CS76" s="114">
        <f>SUMIFS('01. KE30'!$I:$I,'01. KE30'!$C:$C,'06. BC BH THEO CUSTOMER-USD'!$D76,'01. KE30'!$F:$F,'06. BC BH THEO CUSTOMER-USD'!$H76,'01. KE30'!$A:$A,'06. BC BH THEO CUSTOMER-USD'!CS$4)/1000</f>
        <v>0</v>
      </c>
      <c r="CT76" s="114">
        <f>SUMIFS('01. KE30'!$I:$I,'01. KE30'!$C:$C,'06. BC BH THEO CUSTOMER-USD'!$D76,'01. KE30'!$F:$F,'06. BC BH THEO CUSTOMER-USD'!$H76,'01. KE30'!$A:$A,'06. BC BH THEO CUSTOMER-USD'!CT$4)/1000</f>
        <v>22</v>
      </c>
      <c r="CU76" s="114">
        <f>SUMIFS('01. KE30'!$I:$I,'01. KE30'!$C:$C,'06. BC BH THEO CUSTOMER-USD'!$D76,'01. KE30'!$F:$F,'06. BC BH THEO CUSTOMER-USD'!$H76,'01. KE30'!$A:$A,'06. BC BH THEO CUSTOMER-USD'!CU$4)/1000</f>
        <v>0</v>
      </c>
      <c r="CV76" s="114">
        <f>SUMIFS('01. KE30'!$I:$I,'01. KE30'!$C:$C,'06. BC BH THEO CUSTOMER-USD'!$D76,'01. KE30'!$F:$F,'06. BC BH THEO CUSTOMER-USD'!$H76,'01. KE30'!$A:$A,'06. BC BH THEO CUSTOMER-USD'!CV$4)/1000</f>
        <v>0</v>
      </c>
      <c r="CW76" s="114">
        <f>SUMIFS('01. KE30'!$I:$I,'01. KE30'!$C:$C,'06. BC BH THEO CUSTOMER-USD'!$D76,'01. KE30'!$F:$F,'06. BC BH THEO CUSTOMER-USD'!$H76,'01. KE30'!$A:$A,'06. BC BH THEO CUSTOMER-USD'!CW$4)/1000</f>
        <v>0</v>
      </c>
      <c r="CX76" s="114">
        <f>SUMIFS('01. KE30'!$I:$I,'01. KE30'!$C:$C,'06. BC BH THEO CUSTOMER-USD'!$D76,'01. KE30'!$F:$F,'06. BC BH THEO CUSTOMER-USD'!$H76,'01. KE30'!$A:$A,'06. BC BH THEO CUSTOMER-USD'!CX$4)/1000</f>
        <v>0</v>
      </c>
      <c r="CY76" s="114">
        <f>SUMIFS('01. KE30'!$I:$I,'01. KE30'!$C:$C,'06. BC BH THEO CUSTOMER-USD'!$D76,'01. KE30'!$F:$F,'06. BC BH THEO CUSTOMER-USD'!$H76,'01. KE30'!$A:$A,'06. BC BH THEO CUSTOMER-USD'!CY$4)/1000</f>
        <v>0</v>
      </c>
      <c r="CZ76" s="114">
        <f>SUMIFS('01. KE30'!$I:$I,'01. KE30'!$C:$C,'06. BC BH THEO CUSTOMER-USD'!$D76,'01. KE30'!$F:$F,'06. BC BH THEO CUSTOMER-USD'!$H76,'01. KE30'!$A:$A,'06. BC BH THEO CUSTOMER-USD'!CZ$4)/1000</f>
        <v>0</v>
      </c>
      <c r="DA76" s="114">
        <f>SUMIFS('01. KE30'!$I:$I,'01. KE30'!$C:$C,'06. BC BH THEO CUSTOMER-USD'!$D76,'01. KE30'!$F:$F,'06. BC BH THEO CUSTOMER-USD'!$H76,'01. KE30'!$A:$A,'06. BC BH THEO CUSTOMER-USD'!DA$4)/1000</f>
        <v>0</v>
      </c>
      <c r="DB76" s="114">
        <f>SUMIFS('01. KE30'!$I:$I,'01. KE30'!$C:$C,'06. BC BH THEO CUSTOMER-USD'!$D76,'01. KE30'!$F:$F,'06. BC BH THEO CUSTOMER-USD'!$H76,'01. KE30'!$A:$A,'06. BC BH THEO CUSTOMER-USD'!DB$4)/1000</f>
        <v>0</v>
      </c>
      <c r="DC76" s="114">
        <f>SUMIFS('01. KE30'!$I:$I,'01. KE30'!$C:$C,'06. BC BH THEO CUSTOMER-USD'!$D76,'01. KE30'!$F:$F,'06. BC BH THEO CUSTOMER-USD'!$H76,'01. KE30'!$A:$A,'06. BC BH THEO CUSTOMER-USD'!DC$4)/1000</f>
        <v>0</v>
      </c>
      <c r="DD76" s="114">
        <f>SUMIFS('01. KE30'!$I:$I,'01. KE30'!$C:$C,'06. BC BH THEO CUSTOMER-USD'!$D76,'01. KE30'!$F:$F,'06. BC BH THEO CUSTOMER-USD'!$H76,'01. KE30'!$A:$A,'06. BC BH THEO CUSTOMER-USD'!DD$4)/1000</f>
        <v>0</v>
      </c>
      <c r="DF76" s="112">
        <f t="shared" si="267"/>
        <v>31523.079952737298</v>
      </c>
      <c r="DG76" s="54" t="str">
        <f t="shared" si="48"/>
        <v>-</v>
      </c>
      <c r="DH76" s="54">
        <f t="shared" si="49"/>
        <v>31523.079952737298</v>
      </c>
      <c r="DI76" s="54" t="str">
        <f t="shared" si="50"/>
        <v>-</v>
      </c>
      <c r="DJ76" s="54" t="str">
        <f t="shared" si="51"/>
        <v>-</v>
      </c>
      <c r="DK76" s="54" t="str">
        <f t="shared" si="52"/>
        <v>-</v>
      </c>
      <c r="DL76" s="54" t="str">
        <f t="shared" si="53"/>
        <v>-</v>
      </c>
      <c r="DM76" s="54" t="str">
        <f t="shared" si="54"/>
        <v>-</v>
      </c>
      <c r="DN76" s="54" t="str">
        <f t="shared" si="55"/>
        <v>-</v>
      </c>
      <c r="DO76" s="54" t="str">
        <f t="shared" si="56"/>
        <v>-</v>
      </c>
      <c r="DP76" s="54" t="str">
        <f t="shared" si="57"/>
        <v>-</v>
      </c>
      <c r="DQ76" s="54" t="str">
        <f t="shared" si="58"/>
        <v>-</v>
      </c>
      <c r="DR76" s="54" t="str">
        <f t="shared" si="59"/>
        <v>-</v>
      </c>
      <c r="DT76" s="112">
        <f t="shared" si="60"/>
        <v>5657.2871209137447</v>
      </c>
      <c r="DU76" s="114">
        <f>IFERROR(SUMIFS('01. KE30'!$X:$X,'01. KE30'!$C:$C,'06. BC BH THEO CUSTOMER-USD'!$D76,'01. KE30'!$F:$F,'06. BC BH THEO CUSTOMER-USD'!$H76,'01. KE30'!$A:$A,'06. BC BH THEO CUSTOMER-USD'!DU$4)-SUMIFS('01. KE30'!$AA:$AA,'01. KE30'!$C:$C,'06. BC BH THEO CUSTOMER-USD'!$D76,'01. KE30'!$F:$F,'06. BC BH THEO CUSTOMER-USD'!$H76,'01. KE30'!$A:$A,'06. BC BH THEO CUSTOMER-USD'!DU$4),"-")</f>
        <v>0</v>
      </c>
      <c r="DV76" s="114">
        <f>IFERROR(SUMIFS('01. KE30'!$X:$X,'01. KE30'!$C:$C,'06. BC BH THEO CUSTOMER-USD'!$D76,'01. KE30'!$F:$F,'06. BC BH THEO CUSTOMER-USD'!$H76,'01. KE30'!$A:$A,'06. BC BH THEO CUSTOMER-USD'!DV$4)-SUMIFS('01. KE30'!$AA:$AA,'01. KE30'!$C:$C,'06. BC BH THEO CUSTOMER-USD'!$D76,'01. KE30'!$F:$F,'06. BC BH THEO CUSTOMER-USD'!$H76,'01. KE30'!$A:$A,'06. BC BH THEO CUSTOMER-USD'!DV$4),"-")</f>
        <v>5657.2871209137447</v>
      </c>
      <c r="DW76" s="114">
        <f>IFERROR(SUMIFS('01. KE30'!$X:$X,'01. KE30'!$C:$C,'06. BC BH THEO CUSTOMER-USD'!$D76,'01. KE30'!$F:$F,'06. BC BH THEO CUSTOMER-USD'!$H76,'01. KE30'!$A:$A,'06. BC BH THEO CUSTOMER-USD'!DW$4)-SUMIFS('01. KE30'!$AA:$AA,'01. KE30'!$C:$C,'06. BC BH THEO CUSTOMER-USD'!$D76,'01. KE30'!$F:$F,'06. BC BH THEO CUSTOMER-USD'!$H76,'01. KE30'!$A:$A,'06. BC BH THEO CUSTOMER-USD'!DW$4),"-")</f>
        <v>0</v>
      </c>
      <c r="DX76" s="114">
        <f>IFERROR(SUMIFS('01. KE30'!$X:$X,'01. KE30'!$C:$C,'06. BC BH THEO CUSTOMER-USD'!$D76,'01. KE30'!$F:$F,'06. BC BH THEO CUSTOMER-USD'!$H76,'01. KE30'!$A:$A,'06. BC BH THEO CUSTOMER-USD'!DX$4)-SUMIFS('01. KE30'!$AA:$AA,'01. KE30'!$C:$C,'06. BC BH THEO CUSTOMER-USD'!$D76,'01. KE30'!$F:$F,'06. BC BH THEO CUSTOMER-USD'!$H76,'01. KE30'!$A:$A,'06. BC BH THEO CUSTOMER-USD'!DX$4),"-")</f>
        <v>0</v>
      </c>
      <c r="DY76" s="114">
        <f>IFERROR(SUMIFS('01. KE30'!$X:$X,'01. KE30'!$C:$C,'06. BC BH THEO CUSTOMER-USD'!$D76,'01. KE30'!$F:$F,'06. BC BH THEO CUSTOMER-USD'!$H76,'01. KE30'!$A:$A,'06. BC BH THEO CUSTOMER-USD'!DY$4)-SUMIFS('01. KE30'!$AA:$AA,'01. KE30'!$C:$C,'06. BC BH THEO CUSTOMER-USD'!$D76,'01. KE30'!$F:$F,'06. BC BH THEO CUSTOMER-USD'!$H76,'01. KE30'!$A:$A,'06. BC BH THEO CUSTOMER-USD'!DY$4),"-")</f>
        <v>0</v>
      </c>
      <c r="DZ76" s="114">
        <f>IFERROR(SUMIFS('01. KE30'!$X:$X,'01. KE30'!$C:$C,'06. BC BH THEO CUSTOMER-USD'!$D76,'01. KE30'!$F:$F,'06. BC BH THEO CUSTOMER-USD'!$H76,'01. KE30'!$A:$A,'06. BC BH THEO CUSTOMER-USD'!DZ$4)-SUMIFS('01. KE30'!$AA:$AA,'01. KE30'!$C:$C,'06. BC BH THEO CUSTOMER-USD'!$D76,'01. KE30'!$F:$F,'06. BC BH THEO CUSTOMER-USD'!$H76,'01. KE30'!$A:$A,'06. BC BH THEO CUSTOMER-USD'!DZ$4),"-")</f>
        <v>0</v>
      </c>
      <c r="EA76" s="114">
        <f>IFERROR(SUMIFS('01. KE30'!$X:$X,'01. KE30'!$C:$C,'06. BC BH THEO CUSTOMER-USD'!$D76,'01. KE30'!$F:$F,'06. BC BH THEO CUSTOMER-USD'!$H76,'01. KE30'!$A:$A,'06. BC BH THEO CUSTOMER-USD'!EA$4)-SUMIFS('01. KE30'!$AA:$AA,'01. KE30'!$C:$C,'06. BC BH THEO CUSTOMER-USD'!$D76,'01. KE30'!$F:$F,'06. BC BH THEO CUSTOMER-USD'!$H76,'01. KE30'!$A:$A,'06. BC BH THEO CUSTOMER-USD'!EA$4),"-")</f>
        <v>0</v>
      </c>
      <c r="EB76" s="114">
        <f>IFERROR(SUMIFS('01. KE30'!$X:$X,'01. KE30'!$C:$C,'06. BC BH THEO CUSTOMER-USD'!$D76,'01. KE30'!$F:$F,'06. BC BH THEO CUSTOMER-USD'!$H76,'01. KE30'!$A:$A,'06. BC BH THEO CUSTOMER-USD'!EB$4)-SUMIFS('01. KE30'!$AA:$AA,'01. KE30'!$C:$C,'06. BC BH THEO CUSTOMER-USD'!$D76,'01. KE30'!$F:$F,'06. BC BH THEO CUSTOMER-USD'!$H76,'01. KE30'!$A:$A,'06. BC BH THEO CUSTOMER-USD'!EB$4),"-")</f>
        <v>0</v>
      </c>
      <c r="EC76" s="114">
        <f>IFERROR(SUMIFS('01. KE30'!$X:$X,'01. KE30'!$C:$C,'06. BC BH THEO CUSTOMER-USD'!$D76,'01. KE30'!$F:$F,'06. BC BH THEO CUSTOMER-USD'!$H76,'01. KE30'!$A:$A,'06. BC BH THEO CUSTOMER-USD'!EC$4)-SUMIFS('01. KE30'!$AA:$AA,'01. KE30'!$C:$C,'06. BC BH THEO CUSTOMER-USD'!$D76,'01. KE30'!$F:$F,'06. BC BH THEO CUSTOMER-USD'!$H76,'01. KE30'!$A:$A,'06. BC BH THEO CUSTOMER-USD'!EC$4),"-")</f>
        <v>0</v>
      </c>
      <c r="ED76" s="114">
        <f>IFERROR(SUMIFS('01. KE30'!$X:$X,'01. KE30'!$C:$C,'06. BC BH THEO CUSTOMER-USD'!$D76,'01. KE30'!$F:$F,'06. BC BH THEO CUSTOMER-USD'!$H76,'01. KE30'!$A:$A,'06. BC BH THEO CUSTOMER-USD'!ED$4)-SUMIFS('01. KE30'!$AA:$AA,'01. KE30'!$C:$C,'06. BC BH THEO CUSTOMER-USD'!$D76,'01. KE30'!$F:$F,'06. BC BH THEO CUSTOMER-USD'!$H76,'01. KE30'!$A:$A,'06. BC BH THEO CUSTOMER-USD'!ED$4),"-")</f>
        <v>0</v>
      </c>
      <c r="EE76" s="114">
        <f>IFERROR(SUMIFS('01. KE30'!$X:$X,'01. KE30'!$C:$C,'06. BC BH THEO CUSTOMER-USD'!$D76,'01. KE30'!$F:$F,'06. BC BH THEO CUSTOMER-USD'!$H76,'01. KE30'!$A:$A,'06. BC BH THEO CUSTOMER-USD'!EE$4)-SUMIFS('01. KE30'!$AA:$AA,'01. KE30'!$C:$C,'06. BC BH THEO CUSTOMER-USD'!$D76,'01. KE30'!$F:$F,'06. BC BH THEO CUSTOMER-USD'!$H76,'01. KE30'!$A:$A,'06. BC BH THEO CUSTOMER-USD'!EE$4),"-")</f>
        <v>0</v>
      </c>
      <c r="EF76" s="114">
        <f>IFERROR(SUMIFS('01. KE30'!$X:$X,'01. KE30'!$C:$C,'06. BC BH THEO CUSTOMER-USD'!$D76,'01. KE30'!$F:$F,'06. BC BH THEO CUSTOMER-USD'!$H76,'01. KE30'!$A:$A,'06. BC BH THEO CUSTOMER-USD'!EF$4)-SUMIFS('01. KE30'!$AA:$AA,'01. KE30'!$C:$C,'06. BC BH THEO CUSTOMER-USD'!$D76,'01. KE30'!$F:$F,'06. BC BH THEO CUSTOMER-USD'!$H76,'01. KE30'!$A:$A,'06. BC BH THEO CUSTOMER-USD'!EF$4),"-")</f>
        <v>0</v>
      </c>
      <c r="EH76" s="571">
        <f t="shared" si="29"/>
        <v>0.17946492314189291</v>
      </c>
      <c r="EI76" s="572" t="str">
        <f t="shared" si="30"/>
        <v>-</v>
      </c>
      <c r="EJ76" s="572">
        <f t="shared" si="31"/>
        <v>0.17946492314189291</v>
      </c>
      <c r="EK76" s="572" t="str">
        <f t="shared" si="32"/>
        <v>-</v>
      </c>
      <c r="EL76" s="572" t="str">
        <f t="shared" si="33"/>
        <v>-</v>
      </c>
      <c r="EM76" s="572" t="str">
        <f t="shared" si="34"/>
        <v>-</v>
      </c>
      <c r="EN76" s="572" t="str">
        <f t="shared" si="35"/>
        <v>-</v>
      </c>
      <c r="EO76" s="572" t="str">
        <f t="shared" si="36"/>
        <v>-</v>
      </c>
      <c r="EP76" s="572" t="str">
        <f t="shared" si="37"/>
        <v>-</v>
      </c>
      <c r="EQ76" s="572" t="str">
        <f t="shared" si="38"/>
        <v>-</v>
      </c>
      <c r="ER76" s="572" t="str">
        <f t="shared" si="39"/>
        <v>-</v>
      </c>
      <c r="ES76" s="572" t="str">
        <f t="shared" si="40"/>
        <v>-</v>
      </c>
      <c r="ET76" s="572" t="str">
        <f t="shared" si="41"/>
        <v>-</v>
      </c>
    </row>
    <row r="77" spans="1:150" ht="15.5" hidden="1" outlineLevel="1" x14ac:dyDescent="0.35">
      <c r="A77" s="27">
        <f t="shared" si="63"/>
        <v>64</v>
      </c>
      <c r="B77" s="27" t="s">
        <v>283</v>
      </c>
      <c r="C77" s="442" t="s">
        <v>489</v>
      </c>
      <c r="D77" s="9" t="s">
        <v>67</v>
      </c>
      <c r="E77" s="12" t="s">
        <v>66</v>
      </c>
      <c r="F77" s="12" t="s">
        <v>256</v>
      </c>
      <c r="G77" s="12" t="str">
        <f>_xlfn.XLOOKUP(F77,'Quy đổi'!$G$5:$G$32,'Quy đổi'!$H$5:$H$32,0)</f>
        <v>Châu á</v>
      </c>
      <c r="H77" s="76" t="s">
        <v>127</v>
      </c>
      <c r="I77" s="28" t="s">
        <v>114</v>
      </c>
      <c r="J77" s="13" t="s">
        <v>26</v>
      </c>
      <c r="K77" s="11" t="s">
        <v>113</v>
      </c>
      <c r="L77" s="92">
        <f t="shared" si="42"/>
        <v>1427.7471445450965</v>
      </c>
      <c r="M77" s="106" t="str">
        <f>IFERROR(SUMIFS('01. KE30'!$K:$K,'01. KE30'!$C:$C,'06. BC BH THEO CUSTOMER-USD'!$D77,'01. KE30'!$F:$F,'06. BC BH THEO CUSTOMER-USD'!$H77,'01. KE30'!$A:$A,'06. BC BH THEO CUSTOMER-USD'!M$4)/'06. BC BH THEO CUSTOMER-USD'!CS77/'02. Tỷ giá'!B$5,"-")</f>
        <v>-</v>
      </c>
      <c r="N77" s="106">
        <f>IFERROR(SUMIFS('01. KE30'!$K:$K,'01. KE30'!$C:$C,'06. BC BH THEO CUSTOMER-USD'!$D77,'01. KE30'!$F:$F,'06. BC BH THEO CUSTOMER-USD'!$H77,'01. KE30'!$A:$A,'06. BC BH THEO CUSTOMER-USD'!N$4)/'06. BC BH THEO CUSTOMER-USD'!CT77/'02. Tỷ giá'!C$5,"-")</f>
        <v>1427.7471445450965</v>
      </c>
      <c r="O77" s="106" t="str">
        <f>IFERROR(SUMIFS('01. KE30'!$K:$K,'01. KE30'!$C:$C,'06. BC BH THEO CUSTOMER-USD'!$D77,'01. KE30'!$F:$F,'06. BC BH THEO CUSTOMER-USD'!$H77,'01. KE30'!$A:$A,'06. BC BH THEO CUSTOMER-USD'!O$4)/'06. BC BH THEO CUSTOMER-USD'!CU77/'02. Tỷ giá'!D$5,"-")</f>
        <v>-</v>
      </c>
      <c r="P77" s="106" t="str">
        <f>IFERROR(SUMIFS('01. KE30'!$K:$K,'01. KE30'!$C:$C,'06. BC BH THEO CUSTOMER-USD'!$D77,'01. KE30'!$F:$F,'06. BC BH THEO CUSTOMER-USD'!$H77,'01. KE30'!$A:$A,'06. BC BH THEO CUSTOMER-USD'!P$4)/'06. BC BH THEO CUSTOMER-USD'!CV77/'02. Tỷ giá'!E$5,"-")</f>
        <v>-</v>
      </c>
      <c r="Q77" s="106" t="str">
        <f>IFERROR(SUMIFS('01. KE30'!$K:$K,'01. KE30'!$C:$C,'06. BC BH THEO CUSTOMER-USD'!$D77,'01. KE30'!$F:$F,'06. BC BH THEO CUSTOMER-USD'!$H77,'01. KE30'!$A:$A,'06. BC BH THEO CUSTOMER-USD'!Q$4)/'06. BC BH THEO CUSTOMER-USD'!CW77/'02. Tỷ giá'!F$5,"-")</f>
        <v>-</v>
      </c>
      <c r="R77" s="106" t="str">
        <f>IFERROR(SUMIFS('01. KE30'!$K:$K,'01. KE30'!$C:$C,'06. BC BH THEO CUSTOMER-USD'!$D77,'01. KE30'!$F:$F,'06. BC BH THEO CUSTOMER-USD'!$H77,'01. KE30'!$A:$A,'06. BC BH THEO CUSTOMER-USD'!R$4)/'06. BC BH THEO CUSTOMER-USD'!CX77/'02. Tỷ giá'!G$5,"-")</f>
        <v>-</v>
      </c>
      <c r="S77" s="106" t="str">
        <f>IFERROR(SUMIFS('01. KE30'!$K:$K,'01. KE30'!$C:$C,'06. BC BH THEO CUSTOMER-USD'!$D77,'01. KE30'!$F:$F,'06. BC BH THEO CUSTOMER-USD'!$H77,'01. KE30'!$A:$A,'06. BC BH THEO CUSTOMER-USD'!S$4)/'06. BC BH THEO CUSTOMER-USD'!CY77/'02. Tỷ giá'!H$5,"-")</f>
        <v>-</v>
      </c>
      <c r="T77" s="106" t="str">
        <f>IFERROR(SUMIFS('01. KE30'!$K:$K,'01. KE30'!$C:$C,'06. BC BH THEO CUSTOMER-USD'!$D77,'01. KE30'!$F:$F,'06. BC BH THEO CUSTOMER-USD'!$H77,'01. KE30'!$A:$A,'06. BC BH THEO CUSTOMER-USD'!T$4)/'06. BC BH THEO CUSTOMER-USD'!CZ77/'02. Tỷ giá'!I$5,"-")</f>
        <v>-</v>
      </c>
      <c r="U77" s="106" t="str">
        <f>IFERROR(SUMIFS('01. KE30'!$K:$K,'01. KE30'!$C:$C,'06. BC BH THEO CUSTOMER-USD'!$D77,'01. KE30'!$F:$F,'06. BC BH THEO CUSTOMER-USD'!$H77,'01. KE30'!$A:$A,'06. BC BH THEO CUSTOMER-USD'!U$4)/'06. BC BH THEO CUSTOMER-USD'!DA77/'02. Tỷ giá'!J$5,"-")</f>
        <v>-</v>
      </c>
      <c r="V77" s="106" t="str">
        <f>IFERROR(SUMIFS('01. KE30'!$K:$K,'01. KE30'!$C:$C,'06. BC BH THEO CUSTOMER-USD'!$D77,'01. KE30'!$F:$F,'06. BC BH THEO CUSTOMER-USD'!$H77,'01. KE30'!$A:$A,'06. BC BH THEO CUSTOMER-USD'!V$4)/'06. BC BH THEO CUSTOMER-USD'!DB77/'02. Tỷ giá'!K$5,"-")</f>
        <v>-</v>
      </c>
      <c r="W77" s="106" t="str">
        <f>IFERROR(SUMIFS('01. KE30'!$K:$K,'01. KE30'!$C:$C,'06. BC BH THEO CUSTOMER-USD'!$D77,'01. KE30'!$F:$F,'06. BC BH THEO CUSTOMER-USD'!$H77,'01. KE30'!$A:$A,'06. BC BH THEO CUSTOMER-USD'!W$4)/'06. BC BH THEO CUSTOMER-USD'!DC77/'02. Tỷ giá'!L$5,"-")</f>
        <v>-</v>
      </c>
      <c r="X77" s="106" t="str">
        <f>IFERROR(SUMIFS('01. KE30'!$K:$K,'01. KE30'!$C:$C,'06. BC BH THEO CUSTOMER-USD'!$D77,'01. KE30'!$F:$F,'06. BC BH THEO CUSTOMER-USD'!$H77,'01. KE30'!$A:$A,'06. BC BH THEO CUSTOMER-USD'!X$4)/'06. BC BH THEO CUSTOMER-USD'!DD77/'02. Tỷ giá'!M$5,"-")</f>
        <v>-</v>
      </c>
      <c r="Z77" s="92">
        <f t="shared" si="43"/>
        <v>1286.6205903063722</v>
      </c>
      <c r="AA77" s="147" t="str">
        <f>IFERROR(SUMIFS('01. KE30'!$O:$O,'01. KE30'!$C:$C,'06. BC BH THEO CUSTOMER-USD'!$D77,'01. KE30'!$F:$F,'06. BC BH THEO CUSTOMER-USD'!$H77,'01. KE30'!$A:$A,'06. BC BH THEO CUSTOMER-USD'!M$4)/'06. BC BH THEO CUSTOMER-USD'!CS77/'02. Tỷ giá'!B$5,"-")</f>
        <v>-</v>
      </c>
      <c r="AB77" s="147">
        <f>IFERROR(SUMIFS('01. KE30'!$O:$O,'01. KE30'!$C:$C,'06. BC BH THEO CUSTOMER-USD'!$D77,'01. KE30'!$F:$F,'06. BC BH THEO CUSTOMER-USD'!$H77,'01. KE30'!$A:$A,'06. BC BH THEO CUSTOMER-USD'!N$4)/'06. BC BH THEO CUSTOMER-USD'!CT77/'02. Tỷ giá'!C$5,"-")</f>
        <v>1286.6205903063722</v>
      </c>
      <c r="AC77" s="147" t="str">
        <f>IFERROR(SUMIFS('01. KE30'!$O:$O,'01. KE30'!$C:$C,'06. BC BH THEO CUSTOMER-USD'!$D77,'01. KE30'!$F:$F,'06. BC BH THEO CUSTOMER-USD'!$H77,'01. KE30'!$A:$A,'06. BC BH THEO CUSTOMER-USD'!O$4)/'06. BC BH THEO CUSTOMER-USD'!CU77/'02. Tỷ giá'!D$5,"-")</f>
        <v>-</v>
      </c>
      <c r="AD77" s="147" t="str">
        <f>IFERROR(SUMIFS('01. KE30'!$O:$O,'01. KE30'!$C:$C,'06. BC BH THEO CUSTOMER-USD'!$D77,'01. KE30'!$F:$F,'06. BC BH THEO CUSTOMER-USD'!$H77,'01. KE30'!$A:$A,'06. BC BH THEO CUSTOMER-USD'!P$4)/'06. BC BH THEO CUSTOMER-USD'!CV77/'02. Tỷ giá'!E$5,"-")</f>
        <v>-</v>
      </c>
      <c r="AE77" s="147" t="str">
        <f>IFERROR(SUMIFS('01. KE30'!$O:$O,'01. KE30'!$C:$C,'06. BC BH THEO CUSTOMER-USD'!$D77,'01. KE30'!$F:$F,'06. BC BH THEO CUSTOMER-USD'!$H77,'01. KE30'!$A:$A,'06. BC BH THEO CUSTOMER-USD'!Q$4)/'06. BC BH THEO CUSTOMER-USD'!CW77/'02. Tỷ giá'!F$5,"-")</f>
        <v>-</v>
      </c>
      <c r="AF77" s="147" t="str">
        <f>IFERROR(SUMIFS('01. KE30'!$O:$O,'01. KE30'!$C:$C,'06. BC BH THEO CUSTOMER-USD'!$D77,'01. KE30'!$F:$F,'06. BC BH THEO CUSTOMER-USD'!$H77,'01. KE30'!$A:$A,'06. BC BH THEO CUSTOMER-USD'!R$4)/'06. BC BH THEO CUSTOMER-USD'!CX77/'02. Tỷ giá'!G$5,"-")</f>
        <v>-</v>
      </c>
      <c r="AG77" s="147" t="str">
        <f>IFERROR(SUMIFS('01. KE30'!$O:$O,'01. KE30'!$C:$C,'06. BC BH THEO CUSTOMER-USD'!$D77,'01. KE30'!$F:$F,'06. BC BH THEO CUSTOMER-USD'!$H77,'01. KE30'!$A:$A,'06. BC BH THEO CUSTOMER-USD'!S$4)/'06. BC BH THEO CUSTOMER-USD'!CY77/'02. Tỷ giá'!H$5,"-")</f>
        <v>-</v>
      </c>
      <c r="AH77" s="147" t="str">
        <f>IFERROR(SUMIFS('01. KE30'!$O:$O,'01. KE30'!$C:$C,'06. BC BH THEO CUSTOMER-USD'!$D77,'01. KE30'!$F:$F,'06. BC BH THEO CUSTOMER-USD'!$H77,'01. KE30'!$A:$A,'06. BC BH THEO CUSTOMER-USD'!T$4)/'06. BC BH THEO CUSTOMER-USD'!CZ77/'02. Tỷ giá'!I$5,"-")</f>
        <v>-</v>
      </c>
      <c r="AI77" s="147" t="str">
        <f>IFERROR(SUMIFS('01. KE30'!$O:$O,'01. KE30'!$C:$C,'06. BC BH THEO CUSTOMER-USD'!$D77,'01. KE30'!$F:$F,'06. BC BH THEO CUSTOMER-USD'!$H77,'01. KE30'!$A:$A,'06. BC BH THEO CUSTOMER-USD'!U$4)/'06. BC BH THEO CUSTOMER-USD'!DA77/'02. Tỷ giá'!J$5,"-")</f>
        <v>-</v>
      </c>
      <c r="AJ77" s="147" t="str">
        <f>IFERROR(SUMIFS('01. KE30'!$O:$O,'01. KE30'!$C:$C,'06. BC BH THEO CUSTOMER-USD'!$D77,'01. KE30'!$F:$F,'06. BC BH THEO CUSTOMER-USD'!$H77,'01. KE30'!$A:$A,'06. BC BH THEO CUSTOMER-USD'!V$4)/'06. BC BH THEO CUSTOMER-USD'!DB77/'02. Tỷ giá'!K$5,"-")</f>
        <v>-</v>
      </c>
      <c r="AK77" s="147" t="str">
        <f>IFERROR(SUMIFS('01. KE30'!$O:$O,'01. KE30'!$C:$C,'06. BC BH THEO CUSTOMER-USD'!$D77,'01. KE30'!$F:$F,'06. BC BH THEO CUSTOMER-USD'!$H77,'01. KE30'!$A:$A,'06. BC BH THEO CUSTOMER-USD'!W$4)/'06. BC BH THEO CUSTOMER-USD'!DC77/'02. Tỷ giá'!L$5,"-")</f>
        <v>-</v>
      </c>
      <c r="AL77" s="147" t="str">
        <f>IFERROR(SUMIFS('01. KE30'!$O:$O,'01. KE30'!$C:$C,'06. BC BH THEO CUSTOMER-USD'!$D77,'01. KE30'!$F:$F,'06. BC BH THEO CUSTOMER-USD'!$H77,'01. KE30'!$A:$A,'06. BC BH THEO CUSTOMER-USD'!X$4)/'06. BC BH THEO CUSTOMER-USD'!DD77/'02. Tỷ giá'!M$5,"-")</f>
        <v>-</v>
      </c>
      <c r="AN77" s="92">
        <f t="shared" si="44"/>
        <v>1322.2222222222222</v>
      </c>
      <c r="AO77" s="25">
        <v>1320</v>
      </c>
      <c r="AP77" s="25">
        <f>1320-40</f>
        <v>1280</v>
      </c>
      <c r="AQ77" s="4">
        <v>1320</v>
      </c>
      <c r="AR77" s="4">
        <f t="shared" si="455"/>
        <v>1340</v>
      </c>
      <c r="AS77" s="4">
        <v>1340</v>
      </c>
      <c r="AT77" s="4">
        <v>1340</v>
      </c>
      <c r="AU77" s="4">
        <v>1340</v>
      </c>
      <c r="AV77" s="4">
        <f t="shared" si="205"/>
        <v>1310</v>
      </c>
      <c r="AW77" s="25">
        <v>1310</v>
      </c>
      <c r="AX77" s="25"/>
      <c r="AY77" s="4"/>
      <c r="AZ77" s="4"/>
      <c r="BB77" s="95">
        <f t="shared" si="45"/>
        <v>-35.601631915850021</v>
      </c>
      <c r="BC77" s="95" t="str">
        <f t="shared" si="206"/>
        <v>-</v>
      </c>
      <c r="BD77" s="95">
        <f t="shared" si="389"/>
        <v>6.6205903063721507</v>
      </c>
      <c r="BE77" s="95" t="str">
        <f t="shared" si="389"/>
        <v>-</v>
      </c>
      <c r="BF77" s="95" t="str">
        <f t="shared" si="389"/>
        <v>-</v>
      </c>
      <c r="BG77" s="95" t="str">
        <f t="shared" si="389"/>
        <v>-</v>
      </c>
      <c r="BH77" s="95" t="str">
        <f t="shared" si="389"/>
        <v>-</v>
      </c>
      <c r="BI77" s="95" t="str">
        <f t="shared" si="389"/>
        <v>-</v>
      </c>
      <c r="BJ77" s="95" t="str">
        <f t="shared" si="389"/>
        <v>-</v>
      </c>
      <c r="BK77" s="95" t="str">
        <f t="shared" si="389"/>
        <v>-</v>
      </c>
      <c r="BL77" s="95" t="str">
        <f t="shared" si="389"/>
        <v>-</v>
      </c>
      <c r="BM77" s="95" t="str">
        <f t="shared" si="389"/>
        <v>-</v>
      </c>
      <c r="BN77" s="95" t="str">
        <f t="shared" si="389"/>
        <v>-</v>
      </c>
      <c r="BP77" s="143">
        <f t="shared" si="47"/>
        <v>-2.6925603969970607E-2</v>
      </c>
      <c r="BQ77" s="143" t="str">
        <f t="shared" si="202"/>
        <v>-</v>
      </c>
      <c r="BR77" s="143">
        <f t="shared" si="9"/>
        <v>5.1723361768532426E-3</v>
      </c>
      <c r="BS77" s="143" t="str">
        <f t="shared" si="10"/>
        <v>-</v>
      </c>
      <c r="BT77" s="143" t="str">
        <f t="shared" si="11"/>
        <v>-</v>
      </c>
      <c r="BU77" s="143" t="str">
        <f t="shared" si="12"/>
        <v>-</v>
      </c>
      <c r="BV77" s="143" t="str">
        <f t="shared" si="13"/>
        <v>-</v>
      </c>
      <c r="BW77" s="143" t="str">
        <f t="shared" si="14"/>
        <v>-</v>
      </c>
      <c r="BX77" s="143" t="str">
        <f t="shared" si="15"/>
        <v>-</v>
      </c>
      <c r="BY77" s="143" t="str">
        <f t="shared" si="16"/>
        <v>-</v>
      </c>
      <c r="BZ77" s="143" t="str">
        <f t="shared" si="17"/>
        <v>-</v>
      </c>
      <c r="CA77" s="143" t="str">
        <f t="shared" si="18"/>
        <v>-</v>
      </c>
      <c r="CB77" s="143" t="str">
        <f t="shared" si="19"/>
        <v>-</v>
      </c>
      <c r="CD77" s="112">
        <f t="shared" si="25"/>
        <v>1040.043884492821</v>
      </c>
      <c r="CE77" s="95" t="str">
        <f>IFERROR(SUMIFS('01. KE30'!$R:$R,'01. KE30'!$C:$C,'06. BC BH THEO CUSTOMER-USD'!$D77,'01. KE30'!$F:$F,'06. BC BH THEO CUSTOMER-USD'!$H77,'01. KE30'!$A:$A,'06. BC BH THEO CUSTOMER-USD'!CE$4)/CS77/'02. Tỷ giá'!B$5," -")</f>
        <v xml:space="preserve"> -</v>
      </c>
      <c r="CF77" s="95">
        <f>IFERROR(SUMIFS('01. KE30'!$R:$R,'01. KE30'!$C:$C,'06. BC BH THEO CUSTOMER-USD'!$D77,'01. KE30'!$F:$F,'06. BC BH THEO CUSTOMER-USD'!$H77,'01. KE30'!$A:$A,'06. BC BH THEO CUSTOMER-USD'!CF$4)/CT77/'02. Tỷ giá'!C$5," -")</f>
        <v>1040.043884492821</v>
      </c>
      <c r="CG77" s="95" t="str">
        <f>IFERROR(SUMIFS('01. KE30'!$R:$R,'01. KE30'!$C:$C,'06. BC BH THEO CUSTOMER-USD'!$D77,'01. KE30'!$F:$F,'06. BC BH THEO CUSTOMER-USD'!$H77,'01. KE30'!$A:$A,'06. BC BH THEO CUSTOMER-USD'!CG$4)/CU77/'02. Tỷ giá'!D$5," -")</f>
        <v xml:space="preserve"> -</v>
      </c>
      <c r="CH77" s="95" t="str">
        <f>IFERROR(SUMIFS('01. KE30'!$R:$R,'01. KE30'!$C:$C,'06. BC BH THEO CUSTOMER-USD'!$D77,'01. KE30'!$F:$F,'06. BC BH THEO CUSTOMER-USD'!$H77,'01. KE30'!$A:$A,'06. BC BH THEO CUSTOMER-USD'!CH$4)/CV77/'02. Tỷ giá'!E$5," -")</f>
        <v xml:space="preserve"> -</v>
      </c>
      <c r="CI77" s="95" t="str">
        <f>IFERROR(SUMIFS('01. KE30'!$R:$R,'01. KE30'!$C:$C,'06. BC BH THEO CUSTOMER-USD'!$D77,'01. KE30'!$F:$F,'06. BC BH THEO CUSTOMER-USD'!$H77,'01. KE30'!$A:$A,'06. BC BH THEO CUSTOMER-USD'!CI$4)/CW77/'02. Tỷ giá'!F$5," -")</f>
        <v xml:space="preserve"> -</v>
      </c>
      <c r="CJ77" s="95" t="str">
        <f>IFERROR(SUMIFS('01. KE30'!$R:$R,'01. KE30'!$C:$C,'06. BC BH THEO CUSTOMER-USD'!$D77,'01. KE30'!$F:$F,'06. BC BH THEO CUSTOMER-USD'!$H77,'01. KE30'!$A:$A,'06. BC BH THEO CUSTOMER-USD'!CJ$4)/CX77/'02. Tỷ giá'!G$5," -")</f>
        <v xml:space="preserve"> -</v>
      </c>
      <c r="CK77" s="95" t="str">
        <f>IFERROR(SUMIFS('01. KE30'!$R:$R,'01. KE30'!$C:$C,'06. BC BH THEO CUSTOMER-USD'!$D77,'01. KE30'!$F:$F,'06. BC BH THEO CUSTOMER-USD'!$H77,'01. KE30'!$A:$A,'06. BC BH THEO CUSTOMER-USD'!CK$4)/CY77/'02. Tỷ giá'!H$5," -")</f>
        <v xml:space="preserve"> -</v>
      </c>
      <c r="CL77" s="95" t="str">
        <f>IFERROR(SUMIFS('01. KE30'!$R:$R,'01. KE30'!$C:$C,'06. BC BH THEO CUSTOMER-USD'!$D77,'01. KE30'!$F:$F,'06. BC BH THEO CUSTOMER-USD'!$H77,'01. KE30'!$A:$A,'06. BC BH THEO CUSTOMER-USD'!CL$4)/CZ77/'02. Tỷ giá'!I$5," -")</f>
        <v xml:space="preserve"> -</v>
      </c>
      <c r="CM77" s="95" t="str">
        <f>IFERROR(SUMIFS('01. KE30'!$R:$R,'01. KE30'!$C:$C,'06. BC BH THEO CUSTOMER-USD'!$D77,'01. KE30'!$F:$F,'06. BC BH THEO CUSTOMER-USD'!$H77,'01. KE30'!$A:$A,'06. BC BH THEO CUSTOMER-USD'!CM$4)/DA77/'02. Tỷ giá'!J$5," -")</f>
        <v xml:space="preserve"> -</v>
      </c>
      <c r="CN77" s="95" t="str">
        <f>IFERROR(SUMIFS('01. KE30'!$R:$R,'01. KE30'!$C:$C,'06. BC BH THEO CUSTOMER-USD'!$D77,'01. KE30'!$F:$F,'06. BC BH THEO CUSTOMER-USD'!$H77,'01. KE30'!$A:$A,'06. BC BH THEO CUSTOMER-USD'!CN$4)/DB77/'02. Tỷ giá'!K$5," -")</f>
        <v xml:space="preserve"> -</v>
      </c>
      <c r="CO77" s="95" t="str">
        <f>IFERROR(SUMIFS('01. KE30'!$R:$R,'01. KE30'!$C:$C,'06. BC BH THEO CUSTOMER-USD'!$D77,'01. KE30'!$F:$F,'06. BC BH THEO CUSTOMER-USD'!$H77,'01. KE30'!$A:$A,'06. BC BH THEO CUSTOMER-USD'!CO$4)/DC77/'02. Tỷ giá'!L$5," -")</f>
        <v xml:space="preserve"> -</v>
      </c>
      <c r="CP77" s="95" t="str">
        <f>IFERROR(SUMIFS('01. KE30'!$R:$R,'01. KE30'!$C:$C,'06. BC BH THEO CUSTOMER-USD'!$D77,'01. KE30'!$F:$F,'06. BC BH THEO CUSTOMER-USD'!$H77,'01. KE30'!$A:$A,'06. BC BH THEO CUSTOMER-USD'!CP$4)/DD77/'02. Tỷ giá'!M$5," -")</f>
        <v xml:space="preserve"> -</v>
      </c>
      <c r="CR77" s="112">
        <f t="shared" si="266"/>
        <v>66</v>
      </c>
      <c r="CS77" s="114">
        <f>SUMIFS('01. KE30'!$I:$I,'01. KE30'!$C:$C,'06. BC BH THEO CUSTOMER-USD'!$D77,'01. KE30'!$F:$F,'06. BC BH THEO CUSTOMER-USD'!$H77,'01. KE30'!$A:$A,'06. BC BH THEO CUSTOMER-USD'!CS$4)/1000</f>
        <v>0</v>
      </c>
      <c r="CT77" s="114">
        <f>SUMIFS('01. KE30'!$I:$I,'01. KE30'!$C:$C,'06. BC BH THEO CUSTOMER-USD'!$D77,'01. KE30'!$F:$F,'06. BC BH THEO CUSTOMER-USD'!$H77,'01. KE30'!$A:$A,'06. BC BH THEO CUSTOMER-USD'!CT$4)/1000</f>
        <v>66</v>
      </c>
      <c r="CU77" s="114">
        <f>SUMIFS('01. KE30'!$I:$I,'01. KE30'!$C:$C,'06. BC BH THEO CUSTOMER-USD'!$D77,'01. KE30'!$F:$F,'06. BC BH THEO CUSTOMER-USD'!$H77,'01. KE30'!$A:$A,'06. BC BH THEO CUSTOMER-USD'!CU$4)/1000</f>
        <v>0</v>
      </c>
      <c r="CV77" s="114">
        <f>SUMIFS('01. KE30'!$I:$I,'01. KE30'!$C:$C,'06. BC BH THEO CUSTOMER-USD'!$D77,'01. KE30'!$F:$F,'06. BC BH THEO CUSTOMER-USD'!$H77,'01. KE30'!$A:$A,'06. BC BH THEO CUSTOMER-USD'!CV$4)/1000</f>
        <v>0</v>
      </c>
      <c r="CW77" s="114">
        <f>SUMIFS('01. KE30'!$I:$I,'01. KE30'!$C:$C,'06. BC BH THEO CUSTOMER-USD'!$D77,'01. KE30'!$F:$F,'06. BC BH THEO CUSTOMER-USD'!$H77,'01. KE30'!$A:$A,'06. BC BH THEO CUSTOMER-USD'!CW$4)/1000</f>
        <v>0</v>
      </c>
      <c r="CX77" s="114">
        <f>SUMIFS('01. KE30'!$I:$I,'01. KE30'!$C:$C,'06. BC BH THEO CUSTOMER-USD'!$D77,'01. KE30'!$F:$F,'06. BC BH THEO CUSTOMER-USD'!$H77,'01. KE30'!$A:$A,'06. BC BH THEO CUSTOMER-USD'!CX$4)/1000</f>
        <v>0</v>
      </c>
      <c r="CY77" s="114">
        <f>SUMIFS('01. KE30'!$I:$I,'01. KE30'!$C:$C,'06. BC BH THEO CUSTOMER-USD'!$D77,'01. KE30'!$F:$F,'06. BC BH THEO CUSTOMER-USD'!$H77,'01. KE30'!$A:$A,'06. BC BH THEO CUSTOMER-USD'!CY$4)/1000</f>
        <v>0</v>
      </c>
      <c r="CZ77" s="114">
        <f>SUMIFS('01. KE30'!$I:$I,'01. KE30'!$C:$C,'06. BC BH THEO CUSTOMER-USD'!$D77,'01. KE30'!$F:$F,'06. BC BH THEO CUSTOMER-USD'!$H77,'01. KE30'!$A:$A,'06. BC BH THEO CUSTOMER-USD'!CZ$4)/1000</f>
        <v>0</v>
      </c>
      <c r="DA77" s="114">
        <f>SUMIFS('01. KE30'!$I:$I,'01. KE30'!$C:$C,'06. BC BH THEO CUSTOMER-USD'!$D77,'01. KE30'!$F:$F,'06. BC BH THEO CUSTOMER-USD'!$H77,'01. KE30'!$A:$A,'06. BC BH THEO CUSTOMER-USD'!DA$4)/1000</f>
        <v>0</v>
      </c>
      <c r="DB77" s="114">
        <f>SUMIFS('01. KE30'!$I:$I,'01. KE30'!$C:$C,'06. BC BH THEO CUSTOMER-USD'!$D77,'01. KE30'!$F:$F,'06. BC BH THEO CUSTOMER-USD'!$H77,'01. KE30'!$A:$A,'06. BC BH THEO CUSTOMER-USD'!DB$4)/1000</f>
        <v>0</v>
      </c>
      <c r="DC77" s="114">
        <f>SUMIFS('01. KE30'!$I:$I,'01. KE30'!$C:$C,'06. BC BH THEO CUSTOMER-USD'!$D77,'01. KE30'!$F:$F,'06. BC BH THEO CUSTOMER-USD'!$H77,'01. KE30'!$A:$A,'06. BC BH THEO CUSTOMER-USD'!DC$4)/1000</f>
        <v>0</v>
      </c>
      <c r="DD77" s="114">
        <f>SUMIFS('01. KE30'!$I:$I,'01. KE30'!$C:$C,'06. BC BH THEO CUSTOMER-USD'!$D77,'01. KE30'!$F:$F,'06. BC BH THEO CUSTOMER-USD'!$H77,'01. KE30'!$A:$A,'06. BC BH THEO CUSTOMER-USD'!DD$4)/1000</f>
        <v>0</v>
      </c>
      <c r="DF77" s="112">
        <f t="shared" si="267"/>
        <v>94231.311539976363</v>
      </c>
      <c r="DG77" s="54" t="str">
        <f t="shared" si="48"/>
        <v>-</v>
      </c>
      <c r="DH77" s="54">
        <f t="shared" si="49"/>
        <v>94231.311539976363</v>
      </c>
      <c r="DI77" s="54" t="str">
        <f t="shared" si="50"/>
        <v>-</v>
      </c>
      <c r="DJ77" s="54" t="str">
        <f t="shared" si="51"/>
        <v>-</v>
      </c>
      <c r="DK77" s="54" t="str">
        <f t="shared" si="52"/>
        <v>-</v>
      </c>
      <c r="DL77" s="54" t="str">
        <f t="shared" si="53"/>
        <v>-</v>
      </c>
      <c r="DM77" s="54" t="str">
        <f t="shared" si="54"/>
        <v>-</v>
      </c>
      <c r="DN77" s="54" t="str">
        <f t="shared" si="55"/>
        <v>-</v>
      </c>
      <c r="DO77" s="54" t="str">
        <f t="shared" si="56"/>
        <v>-</v>
      </c>
      <c r="DP77" s="54" t="str">
        <f t="shared" si="57"/>
        <v>-</v>
      </c>
      <c r="DQ77" s="54" t="str">
        <f t="shared" si="58"/>
        <v>-</v>
      </c>
      <c r="DR77" s="54" t="str">
        <f t="shared" si="59"/>
        <v>-</v>
      </c>
      <c r="DT77" s="112">
        <f t="shared" si="60"/>
        <v>16274.062583694365</v>
      </c>
      <c r="DU77" s="114">
        <f>IFERROR(SUMIFS('01. KE30'!$X:$X,'01. KE30'!$C:$C,'06. BC BH THEO CUSTOMER-USD'!$D77,'01. KE30'!$F:$F,'06. BC BH THEO CUSTOMER-USD'!$H77,'01. KE30'!$A:$A,'06. BC BH THEO CUSTOMER-USD'!DU$4)-SUMIFS('01. KE30'!$AA:$AA,'01. KE30'!$C:$C,'06. BC BH THEO CUSTOMER-USD'!$D77,'01. KE30'!$F:$F,'06. BC BH THEO CUSTOMER-USD'!$H77,'01. KE30'!$A:$A,'06. BC BH THEO CUSTOMER-USD'!DU$4),"-")</f>
        <v>0</v>
      </c>
      <c r="DV77" s="114">
        <f>IFERROR(SUMIFS('01. KE30'!$X:$X,'01. KE30'!$C:$C,'06. BC BH THEO CUSTOMER-USD'!$D77,'01. KE30'!$F:$F,'06. BC BH THEO CUSTOMER-USD'!$H77,'01. KE30'!$A:$A,'06. BC BH THEO CUSTOMER-USD'!DV$4)-SUMIFS('01. KE30'!$AA:$AA,'01. KE30'!$C:$C,'06. BC BH THEO CUSTOMER-USD'!$D77,'01. KE30'!$F:$F,'06. BC BH THEO CUSTOMER-USD'!$H77,'01. KE30'!$A:$A,'06. BC BH THEO CUSTOMER-USD'!DV$4),"-")</f>
        <v>16274.062583694365</v>
      </c>
      <c r="DW77" s="114">
        <f>IFERROR(SUMIFS('01. KE30'!$X:$X,'01. KE30'!$C:$C,'06. BC BH THEO CUSTOMER-USD'!$D77,'01. KE30'!$F:$F,'06. BC BH THEO CUSTOMER-USD'!$H77,'01. KE30'!$A:$A,'06. BC BH THEO CUSTOMER-USD'!DW$4)-SUMIFS('01. KE30'!$AA:$AA,'01. KE30'!$C:$C,'06. BC BH THEO CUSTOMER-USD'!$D77,'01. KE30'!$F:$F,'06. BC BH THEO CUSTOMER-USD'!$H77,'01. KE30'!$A:$A,'06. BC BH THEO CUSTOMER-USD'!DW$4),"-")</f>
        <v>0</v>
      </c>
      <c r="DX77" s="114">
        <f>IFERROR(SUMIFS('01. KE30'!$X:$X,'01. KE30'!$C:$C,'06. BC BH THEO CUSTOMER-USD'!$D77,'01. KE30'!$F:$F,'06. BC BH THEO CUSTOMER-USD'!$H77,'01. KE30'!$A:$A,'06. BC BH THEO CUSTOMER-USD'!DX$4)-SUMIFS('01. KE30'!$AA:$AA,'01. KE30'!$C:$C,'06. BC BH THEO CUSTOMER-USD'!$D77,'01. KE30'!$F:$F,'06. BC BH THEO CUSTOMER-USD'!$H77,'01. KE30'!$A:$A,'06. BC BH THEO CUSTOMER-USD'!DX$4),"-")</f>
        <v>0</v>
      </c>
      <c r="DY77" s="114">
        <f>IFERROR(SUMIFS('01. KE30'!$X:$X,'01. KE30'!$C:$C,'06. BC BH THEO CUSTOMER-USD'!$D77,'01. KE30'!$F:$F,'06. BC BH THEO CUSTOMER-USD'!$H77,'01. KE30'!$A:$A,'06. BC BH THEO CUSTOMER-USD'!DY$4)-SUMIFS('01. KE30'!$AA:$AA,'01. KE30'!$C:$C,'06. BC BH THEO CUSTOMER-USD'!$D77,'01. KE30'!$F:$F,'06. BC BH THEO CUSTOMER-USD'!$H77,'01. KE30'!$A:$A,'06. BC BH THEO CUSTOMER-USD'!DY$4),"-")</f>
        <v>0</v>
      </c>
      <c r="DZ77" s="114">
        <f>IFERROR(SUMIFS('01. KE30'!$X:$X,'01. KE30'!$C:$C,'06. BC BH THEO CUSTOMER-USD'!$D77,'01. KE30'!$F:$F,'06. BC BH THEO CUSTOMER-USD'!$H77,'01. KE30'!$A:$A,'06. BC BH THEO CUSTOMER-USD'!DZ$4)-SUMIFS('01. KE30'!$AA:$AA,'01. KE30'!$C:$C,'06. BC BH THEO CUSTOMER-USD'!$D77,'01. KE30'!$F:$F,'06. BC BH THEO CUSTOMER-USD'!$H77,'01. KE30'!$A:$A,'06. BC BH THEO CUSTOMER-USD'!DZ$4),"-")</f>
        <v>0</v>
      </c>
      <c r="EA77" s="114">
        <f>IFERROR(SUMIFS('01. KE30'!$X:$X,'01. KE30'!$C:$C,'06. BC BH THEO CUSTOMER-USD'!$D77,'01. KE30'!$F:$F,'06. BC BH THEO CUSTOMER-USD'!$H77,'01. KE30'!$A:$A,'06. BC BH THEO CUSTOMER-USD'!EA$4)-SUMIFS('01. KE30'!$AA:$AA,'01. KE30'!$C:$C,'06. BC BH THEO CUSTOMER-USD'!$D77,'01. KE30'!$F:$F,'06. BC BH THEO CUSTOMER-USD'!$H77,'01. KE30'!$A:$A,'06. BC BH THEO CUSTOMER-USD'!EA$4),"-")</f>
        <v>0</v>
      </c>
      <c r="EB77" s="114">
        <f>IFERROR(SUMIFS('01. KE30'!$X:$X,'01. KE30'!$C:$C,'06. BC BH THEO CUSTOMER-USD'!$D77,'01. KE30'!$F:$F,'06. BC BH THEO CUSTOMER-USD'!$H77,'01. KE30'!$A:$A,'06. BC BH THEO CUSTOMER-USD'!EB$4)-SUMIFS('01. KE30'!$AA:$AA,'01. KE30'!$C:$C,'06. BC BH THEO CUSTOMER-USD'!$D77,'01. KE30'!$F:$F,'06. BC BH THEO CUSTOMER-USD'!$H77,'01. KE30'!$A:$A,'06. BC BH THEO CUSTOMER-USD'!EB$4),"-")</f>
        <v>0</v>
      </c>
      <c r="EC77" s="114">
        <f>IFERROR(SUMIFS('01. KE30'!$X:$X,'01. KE30'!$C:$C,'06. BC BH THEO CUSTOMER-USD'!$D77,'01. KE30'!$F:$F,'06. BC BH THEO CUSTOMER-USD'!$H77,'01. KE30'!$A:$A,'06. BC BH THEO CUSTOMER-USD'!EC$4)-SUMIFS('01. KE30'!$AA:$AA,'01. KE30'!$C:$C,'06. BC BH THEO CUSTOMER-USD'!$D77,'01. KE30'!$F:$F,'06. BC BH THEO CUSTOMER-USD'!$H77,'01. KE30'!$A:$A,'06. BC BH THEO CUSTOMER-USD'!EC$4),"-")</f>
        <v>0</v>
      </c>
      <c r="ED77" s="114">
        <f>IFERROR(SUMIFS('01. KE30'!$X:$X,'01. KE30'!$C:$C,'06. BC BH THEO CUSTOMER-USD'!$D77,'01. KE30'!$F:$F,'06. BC BH THEO CUSTOMER-USD'!$H77,'01. KE30'!$A:$A,'06. BC BH THEO CUSTOMER-USD'!ED$4)-SUMIFS('01. KE30'!$AA:$AA,'01. KE30'!$C:$C,'06. BC BH THEO CUSTOMER-USD'!$D77,'01. KE30'!$F:$F,'06. BC BH THEO CUSTOMER-USD'!$H77,'01. KE30'!$A:$A,'06. BC BH THEO CUSTOMER-USD'!ED$4),"-")</f>
        <v>0</v>
      </c>
      <c r="EE77" s="114">
        <f>IFERROR(SUMIFS('01. KE30'!$X:$X,'01. KE30'!$C:$C,'06. BC BH THEO CUSTOMER-USD'!$D77,'01. KE30'!$F:$F,'06. BC BH THEO CUSTOMER-USD'!$H77,'01. KE30'!$A:$A,'06. BC BH THEO CUSTOMER-USD'!EE$4)-SUMIFS('01. KE30'!$AA:$AA,'01. KE30'!$C:$C,'06. BC BH THEO CUSTOMER-USD'!$D77,'01. KE30'!$F:$F,'06. BC BH THEO CUSTOMER-USD'!$H77,'01. KE30'!$A:$A,'06. BC BH THEO CUSTOMER-USD'!EE$4),"-")</f>
        <v>0</v>
      </c>
      <c r="EF77" s="114">
        <f>IFERROR(SUMIFS('01. KE30'!$X:$X,'01. KE30'!$C:$C,'06. BC BH THEO CUSTOMER-USD'!$D77,'01. KE30'!$F:$F,'06. BC BH THEO CUSTOMER-USD'!$H77,'01. KE30'!$A:$A,'06. BC BH THEO CUSTOMER-USD'!EF$4)-SUMIFS('01. KE30'!$AA:$AA,'01. KE30'!$C:$C,'06. BC BH THEO CUSTOMER-USD'!$D77,'01. KE30'!$F:$F,'06. BC BH THEO CUSTOMER-USD'!$H77,'01. KE30'!$A:$A,'06. BC BH THEO CUSTOMER-USD'!EF$4),"-")</f>
        <v>0</v>
      </c>
      <c r="EH77" s="571">
        <f t="shared" si="29"/>
        <v>0.17270334369473689</v>
      </c>
      <c r="EI77" s="572" t="str">
        <f t="shared" si="30"/>
        <v>-</v>
      </c>
      <c r="EJ77" s="572">
        <f t="shared" si="31"/>
        <v>0.17270334369473689</v>
      </c>
      <c r="EK77" s="572" t="str">
        <f t="shared" si="32"/>
        <v>-</v>
      </c>
      <c r="EL77" s="572" t="str">
        <f t="shared" si="33"/>
        <v>-</v>
      </c>
      <c r="EM77" s="572" t="str">
        <f t="shared" si="34"/>
        <v>-</v>
      </c>
      <c r="EN77" s="572" t="str">
        <f t="shared" si="35"/>
        <v>-</v>
      </c>
      <c r="EO77" s="572" t="str">
        <f t="shared" si="36"/>
        <v>-</v>
      </c>
      <c r="EP77" s="572" t="str">
        <f t="shared" si="37"/>
        <v>-</v>
      </c>
      <c r="EQ77" s="572" t="str">
        <f t="shared" si="38"/>
        <v>-</v>
      </c>
      <c r="ER77" s="572" t="str">
        <f t="shared" si="39"/>
        <v>-</v>
      </c>
      <c r="ES77" s="572" t="str">
        <f t="shared" si="40"/>
        <v>-</v>
      </c>
      <c r="ET77" s="572" t="str">
        <f t="shared" si="41"/>
        <v>-</v>
      </c>
    </row>
    <row r="78" spans="1:150" ht="15.5" hidden="1" outlineLevel="1" x14ac:dyDescent="0.35">
      <c r="A78" s="27">
        <f t="shared" si="63"/>
        <v>65</v>
      </c>
      <c r="B78" s="27" t="s">
        <v>283</v>
      </c>
      <c r="C78" s="442" t="s">
        <v>489</v>
      </c>
      <c r="D78" s="9" t="s">
        <v>725</v>
      </c>
      <c r="E78" s="31" t="s">
        <v>726</v>
      </c>
      <c r="F78" s="31" t="s">
        <v>251</v>
      </c>
      <c r="G78" s="12" t="str">
        <f>_xlfn.XLOOKUP(F78,'Quy đổi'!$G$5:$G$32,'Quy đổi'!$H$5:$H$32,0)</f>
        <v>Châu á</v>
      </c>
      <c r="H78" s="76" t="s">
        <v>100</v>
      </c>
      <c r="I78" s="28" t="s">
        <v>99</v>
      </c>
      <c r="J78" s="13" t="s">
        <v>26</v>
      </c>
      <c r="K78" s="30" t="s">
        <v>113</v>
      </c>
      <c r="L78" s="92">
        <f t="shared" si="42"/>
        <v>1278.2675947409125</v>
      </c>
      <c r="M78" s="106" t="str">
        <f>IFERROR(SUMIFS('01. KE30'!$K:$K,'01. KE30'!$C:$C,'06. BC BH THEO CUSTOMER-USD'!$D78,'01. KE30'!$F:$F,'06. BC BH THEO CUSTOMER-USD'!$H78,'01. KE30'!$A:$A,'06. BC BH THEO CUSTOMER-USD'!M$4)/'06. BC BH THEO CUSTOMER-USD'!CS78/'02. Tỷ giá'!B$5,"-")</f>
        <v>-</v>
      </c>
      <c r="N78" s="106" t="str">
        <f>IFERROR(SUMIFS('01. KE30'!$K:$K,'01. KE30'!$C:$C,'06. BC BH THEO CUSTOMER-USD'!$D78,'01. KE30'!$F:$F,'06. BC BH THEO CUSTOMER-USD'!$H78,'01. KE30'!$A:$A,'06. BC BH THEO CUSTOMER-USD'!N$4)/'06. BC BH THEO CUSTOMER-USD'!CT78/'02. Tỷ giá'!C$5,"-")</f>
        <v>-</v>
      </c>
      <c r="O78" s="106" t="str">
        <f>IFERROR(SUMIFS('01. KE30'!$K:$K,'01. KE30'!$C:$C,'06. BC BH THEO CUSTOMER-USD'!$D78,'01. KE30'!$F:$F,'06. BC BH THEO CUSTOMER-USD'!$H78,'01. KE30'!$A:$A,'06. BC BH THEO CUSTOMER-USD'!O$4)/'06. BC BH THEO CUSTOMER-USD'!CU78/'02. Tỷ giá'!D$5,"-")</f>
        <v>-</v>
      </c>
      <c r="P78" s="106">
        <f>IFERROR(SUMIFS('01. KE30'!$K:$K,'01. KE30'!$C:$C,'06. BC BH THEO CUSTOMER-USD'!$D78,'01. KE30'!$F:$F,'06. BC BH THEO CUSTOMER-USD'!$H78,'01. KE30'!$A:$A,'06. BC BH THEO CUSTOMER-USD'!P$4)/'06. BC BH THEO CUSTOMER-USD'!CV78/'02. Tỷ giá'!E$5,"-")</f>
        <v>1280</v>
      </c>
      <c r="Q78" s="106">
        <f>IFERROR(SUMIFS('01. KE30'!$K:$K,'01. KE30'!$C:$C,'06. BC BH THEO CUSTOMER-USD'!$D78,'01. KE30'!$F:$F,'06. BC BH THEO CUSTOMER-USD'!$H78,'01. KE30'!$A:$A,'06. BC BH THEO CUSTOMER-USD'!Q$4)/'06. BC BH THEO CUSTOMER-USD'!CW78/'02. Tỷ giá'!F$5,"-")</f>
        <v>1276.5351894818252</v>
      </c>
      <c r="R78" s="106" t="str">
        <f>IFERROR(SUMIFS('01. KE30'!$K:$K,'01. KE30'!$C:$C,'06. BC BH THEO CUSTOMER-USD'!$D78,'01. KE30'!$F:$F,'06. BC BH THEO CUSTOMER-USD'!$H78,'01. KE30'!$A:$A,'06. BC BH THEO CUSTOMER-USD'!R$4)/'06. BC BH THEO CUSTOMER-USD'!CX78/'02. Tỷ giá'!G$5,"-")</f>
        <v>-</v>
      </c>
      <c r="S78" s="106" t="str">
        <f>IFERROR(SUMIFS('01. KE30'!$K:$K,'01. KE30'!$C:$C,'06. BC BH THEO CUSTOMER-USD'!$D78,'01. KE30'!$F:$F,'06. BC BH THEO CUSTOMER-USD'!$H78,'01. KE30'!$A:$A,'06. BC BH THEO CUSTOMER-USD'!S$4)/'06. BC BH THEO CUSTOMER-USD'!CY78/'02. Tỷ giá'!H$5,"-")</f>
        <v>-</v>
      </c>
      <c r="T78" s="106" t="str">
        <f>IFERROR(SUMIFS('01. KE30'!$K:$K,'01. KE30'!$C:$C,'06. BC BH THEO CUSTOMER-USD'!$D78,'01. KE30'!$F:$F,'06. BC BH THEO CUSTOMER-USD'!$H78,'01. KE30'!$A:$A,'06. BC BH THEO CUSTOMER-USD'!T$4)/'06. BC BH THEO CUSTOMER-USD'!CZ78/'02. Tỷ giá'!I$5,"-")</f>
        <v>-</v>
      </c>
      <c r="U78" s="106" t="str">
        <f>IFERROR(SUMIFS('01. KE30'!$K:$K,'01. KE30'!$C:$C,'06. BC BH THEO CUSTOMER-USD'!$D78,'01. KE30'!$F:$F,'06. BC BH THEO CUSTOMER-USD'!$H78,'01. KE30'!$A:$A,'06. BC BH THEO CUSTOMER-USD'!U$4)/'06. BC BH THEO CUSTOMER-USD'!DA78/'02. Tỷ giá'!J$5,"-")</f>
        <v>-</v>
      </c>
      <c r="V78" s="106" t="str">
        <f>IFERROR(SUMIFS('01. KE30'!$K:$K,'01. KE30'!$C:$C,'06. BC BH THEO CUSTOMER-USD'!$D78,'01. KE30'!$F:$F,'06. BC BH THEO CUSTOMER-USD'!$H78,'01. KE30'!$A:$A,'06. BC BH THEO CUSTOMER-USD'!V$4)/'06. BC BH THEO CUSTOMER-USD'!DB78/'02. Tỷ giá'!K$5,"-")</f>
        <v>-</v>
      </c>
      <c r="W78" s="106" t="str">
        <f>IFERROR(SUMIFS('01. KE30'!$K:$K,'01. KE30'!$C:$C,'06. BC BH THEO CUSTOMER-USD'!$D78,'01. KE30'!$F:$F,'06. BC BH THEO CUSTOMER-USD'!$H78,'01. KE30'!$A:$A,'06. BC BH THEO CUSTOMER-USD'!W$4)/'06. BC BH THEO CUSTOMER-USD'!DC78/'02. Tỷ giá'!L$5,"-")</f>
        <v>-</v>
      </c>
      <c r="X78" s="106" t="str">
        <f>IFERROR(SUMIFS('01. KE30'!$K:$K,'01. KE30'!$C:$C,'06. BC BH THEO CUSTOMER-USD'!$D78,'01. KE30'!$F:$F,'06. BC BH THEO CUSTOMER-USD'!$H78,'01. KE30'!$A:$A,'06. BC BH THEO CUSTOMER-USD'!X$4)/'06. BC BH THEO CUSTOMER-USD'!DD78/'02. Tỷ giá'!M$5,"-")</f>
        <v>-</v>
      </c>
      <c r="Z78" s="92">
        <f t="shared" si="43"/>
        <v>1260.7119786666797</v>
      </c>
      <c r="AA78" s="147" t="str">
        <f>IFERROR(SUMIFS('01. KE30'!$O:$O,'01. KE30'!$C:$C,'06. BC BH THEO CUSTOMER-USD'!$D78,'01. KE30'!$F:$F,'06. BC BH THEO CUSTOMER-USD'!$H78,'01. KE30'!$A:$A,'06. BC BH THEO CUSTOMER-USD'!M$4)/'06. BC BH THEO CUSTOMER-USD'!CS78/'02. Tỷ giá'!B$5,"-")</f>
        <v>-</v>
      </c>
      <c r="AB78" s="147" t="str">
        <f>IFERROR(SUMIFS('01. KE30'!$O:$O,'01. KE30'!$C:$C,'06. BC BH THEO CUSTOMER-USD'!$D78,'01. KE30'!$F:$F,'06. BC BH THEO CUSTOMER-USD'!$H78,'01. KE30'!$A:$A,'06. BC BH THEO CUSTOMER-USD'!N$4)/'06. BC BH THEO CUSTOMER-USD'!CT78/'02. Tỷ giá'!C$5,"-")</f>
        <v>-</v>
      </c>
      <c r="AC78" s="147" t="str">
        <f>IFERROR(SUMIFS('01. KE30'!$O:$O,'01. KE30'!$C:$C,'06. BC BH THEO CUSTOMER-USD'!$D78,'01. KE30'!$F:$F,'06. BC BH THEO CUSTOMER-USD'!$H78,'01. KE30'!$A:$A,'06. BC BH THEO CUSTOMER-USD'!O$4)/'06. BC BH THEO CUSTOMER-USD'!CU78/'02. Tỷ giá'!D$5,"-")</f>
        <v>-</v>
      </c>
      <c r="AD78" s="147">
        <f>IFERROR(SUMIFS('01. KE30'!$O:$O,'01. KE30'!$C:$C,'06. BC BH THEO CUSTOMER-USD'!$D78,'01. KE30'!$F:$F,'06. BC BH THEO CUSTOMER-USD'!$H78,'01. KE30'!$A:$A,'06. BC BH THEO CUSTOMER-USD'!P$4)/'06. BC BH THEO CUSTOMER-USD'!CV78/'02. Tỷ giá'!E$5,"-")</f>
        <v>1262.0667769113065</v>
      </c>
      <c r="AE78" s="147">
        <f>IFERROR(SUMIFS('01. KE30'!$O:$O,'01. KE30'!$C:$C,'06. BC BH THEO CUSTOMER-USD'!$D78,'01. KE30'!$F:$F,'06. BC BH THEO CUSTOMER-USD'!$H78,'01. KE30'!$A:$A,'06. BC BH THEO CUSTOMER-USD'!Q$4)/'06. BC BH THEO CUSTOMER-USD'!CW78/'02. Tỷ giá'!F$5,"-")</f>
        <v>1259.3571804220528</v>
      </c>
      <c r="AF78" s="147" t="str">
        <f>IFERROR(SUMIFS('01. KE30'!$O:$O,'01. KE30'!$C:$C,'06. BC BH THEO CUSTOMER-USD'!$D78,'01. KE30'!$F:$F,'06. BC BH THEO CUSTOMER-USD'!$H78,'01. KE30'!$A:$A,'06. BC BH THEO CUSTOMER-USD'!R$4)/'06. BC BH THEO CUSTOMER-USD'!CX78/'02. Tỷ giá'!G$5,"-")</f>
        <v>-</v>
      </c>
      <c r="AG78" s="147" t="str">
        <f>IFERROR(SUMIFS('01. KE30'!$O:$O,'01. KE30'!$C:$C,'06. BC BH THEO CUSTOMER-USD'!$D78,'01. KE30'!$F:$F,'06. BC BH THEO CUSTOMER-USD'!$H78,'01. KE30'!$A:$A,'06. BC BH THEO CUSTOMER-USD'!S$4)/'06. BC BH THEO CUSTOMER-USD'!CY78/'02. Tỷ giá'!H$5,"-")</f>
        <v>-</v>
      </c>
      <c r="AH78" s="147" t="str">
        <f>IFERROR(SUMIFS('01. KE30'!$O:$O,'01. KE30'!$C:$C,'06. BC BH THEO CUSTOMER-USD'!$D78,'01. KE30'!$F:$F,'06. BC BH THEO CUSTOMER-USD'!$H78,'01. KE30'!$A:$A,'06. BC BH THEO CUSTOMER-USD'!T$4)/'06. BC BH THEO CUSTOMER-USD'!CZ78/'02. Tỷ giá'!I$5,"-")</f>
        <v>-</v>
      </c>
      <c r="AI78" s="147" t="str">
        <f>IFERROR(SUMIFS('01. KE30'!$O:$O,'01. KE30'!$C:$C,'06. BC BH THEO CUSTOMER-USD'!$D78,'01. KE30'!$F:$F,'06. BC BH THEO CUSTOMER-USD'!$H78,'01. KE30'!$A:$A,'06. BC BH THEO CUSTOMER-USD'!U$4)/'06. BC BH THEO CUSTOMER-USD'!DA78/'02. Tỷ giá'!J$5,"-")</f>
        <v>-</v>
      </c>
      <c r="AJ78" s="147" t="str">
        <f>IFERROR(SUMIFS('01. KE30'!$O:$O,'01. KE30'!$C:$C,'06. BC BH THEO CUSTOMER-USD'!$D78,'01. KE30'!$F:$F,'06. BC BH THEO CUSTOMER-USD'!$H78,'01. KE30'!$A:$A,'06. BC BH THEO CUSTOMER-USD'!V$4)/'06. BC BH THEO CUSTOMER-USD'!DB78/'02. Tỷ giá'!K$5,"-")</f>
        <v>-</v>
      </c>
      <c r="AK78" s="147" t="str">
        <f>IFERROR(SUMIFS('01. KE30'!$O:$O,'01. KE30'!$C:$C,'06. BC BH THEO CUSTOMER-USD'!$D78,'01. KE30'!$F:$F,'06. BC BH THEO CUSTOMER-USD'!$H78,'01. KE30'!$A:$A,'06. BC BH THEO CUSTOMER-USD'!W$4)/'06. BC BH THEO CUSTOMER-USD'!DC78/'02. Tỷ giá'!L$5,"-")</f>
        <v>-</v>
      </c>
      <c r="AL78" s="147" t="str">
        <f>IFERROR(SUMIFS('01. KE30'!$O:$O,'01. KE30'!$C:$C,'06. BC BH THEO CUSTOMER-USD'!$D78,'01. KE30'!$F:$F,'06. BC BH THEO CUSTOMER-USD'!$H78,'01. KE30'!$A:$A,'06. BC BH THEO CUSTOMER-USD'!X$4)/'06. BC BH THEO CUSTOMER-USD'!DD78/'02. Tỷ giá'!M$5,"-")</f>
        <v>-</v>
      </c>
      <c r="AN78" s="92">
        <f t="shared" si="44"/>
        <v>1266.6666666666667</v>
      </c>
      <c r="AO78" s="25">
        <v>1260</v>
      </c>
      <c r="AP78" s="25">
        <v>1260</v>
      </c>
      <c r="AQ78" s="25">
        <v>1260</v>
      </c>
      <c r="AR78" s="4">
        <f t="shared" ref="AR78:AR79" si="515">AQ78+20</f>
        <v>1280</v>
      </c>
      <c r="AS78" s="4">
        <v>1280</v>
      </c>
      <c r="AT78" s="4">
        <v>1280</v>
      </c>
      <c r="AU78" s="4">
        <v>1280</v>
      </c>
      <c r="AV78" s="4">
        <f t="shared" si="205"/>
        <v>1250</v>
      </c>
      <c r="AW78" s="25">
        <v>1250</v>
      </c>
      <c r="AX78" s="25"/>
      <c r="AY78" s="4"/>
      <c r="AZ78" s="4"/>
      <c r="BB78" s="95">
        <f t="shared" si="45"/>
        <v>-5.9546879999870725</v>
      </c>
      <c r="BC78" s="95" t="str">
        <f t="shared" si="206"/>
        <v>-</v>
      </c>
      <c r="BD78" s="95" t="str">
        <f t="shared" ref="BD78:BN115" si="516">IF(N78&lt;&gt;"-",AB78-AP78,"-")</f>
        <v>-</v>
      </c>
      <c r="BE78" s="95" t="str">
        <f t="shared" si="516"/>
        <v>-</v>
      </c>
      <c r="BF78" s="95">
        <f t="shared" si="516"/>
        <v>-17.933223088693467</v>
      </c>
      <c r="BG78" s="95">
        <f t="shared" si="516"/>
        <v>-20.642819577947193</v>
      </c>
      <c r="BH78" s="95" t="str">
        <f t="shared" si="516"/>
        <v>-</v>
      </c>
      <c r="BI78" s="95" t="str">
        <f t="shared" si="516"/>
        <v>-</v>
      </c>
      <c r="BJ78" s="95" t="str">
        <f t="shared" si="516"/>
        <v>-</v>
      </c>
      <c r="BK78" s="95" t="str">
        <f t="shared" si="516"/>
        <v>-</v>
      </c>
      <c r="BL78" s="95" t="str">
        <f t="shared" si="516"/>
        <v>-</v>
      </c>
      <c r="BM78" s="95" t="str">
        <f t="shared" si="516"/>
        <v>-</v>
      </c>
      <c r="BN78" s="95" t="str">
        <f t="shared" si="516"/>
        <v>-</v>
      </c>
      <c r="BP78" s="143">
        <f t="shared" si="47"/>
        <v>-4.7010694736740041E-3</v>
      </c>
      <c r="BQ78" s="143" t="str">
        <f t="shared" ref="BQ78:BQ134" si="517">IFERROR(IF(BC78&lt;&gt;"-",BC78/AO78,"-"),"-")</f>
        <v>-</v>
      </c>
      <c r="BR78" s="143" t="str">
        <f t="shared" ref="BR78:BR180" si="518">IFERROR(IF(BD78&lt;&gt;"-",BD78/AP78,"-"),"-")</f>
        <v>-</v>
      </c>
      <c r="BS78" s="143" t="str">
        <f t="shared" ref="BS78:BS180" si="519">IFERROR(IF(BE78&lt;&gt;"-",BE78/AQ78,"-"),"-")</f>
        <v>-</v>
      </c>
      <c r="BT78" s="143">
        <f t="shared" ref="BT78:BT180" si="520">IFERROR(IF(BF78&lt;&gt;"-",BF78/AR78,"-"),"-")</f>
        <v>-1.4010330538041771E-2</v>
      </c>
      <c r="BU78" s="143">
        <f t="shared" ref="BU78:BU180" si="521">IFERROR(IF(BG78&lt;&gt;"-",BG78/AS78,"-"),"-")</f>
        <v>-1.6127202795271245E-2</v>
      </c>
      <c r="BV78" s="143" t="str">
        <f t="shared" ref="BV78:BV180" si="522">IFERROR(IF(BH78&lt;&gt;"-",BH78/AT78,"-"),"-")</f>
        <v>-</v>
      </c>
      <c r="BW78" s="143" t="str">
        <f t="shared" ref="BW78:BW180" si="523">IFERROR(IF(BI78&lt;&gt;"-",BI78/AU78,"-"),"-")</f>
        <v>-</v>
      </c>
      <c r="BX78" s="143" t="str">
        <f t="shared" ref="BX78:BX180" si="524">IFERROR(IF(BJ78&lt;&gt;"-",BJ78/AV78,"-"),"-")</f>
        <v>-</v>
      </c>
      <c r="BY78" s="143" t="str">
        <f t="shared" ref="BY78:BY180" si="525">IFERROR(IF(BK78&lt;&gt;"-",BK78/AW78,"-"),"-")</f>
        <v>-</v>
      </c>
      <c r="BZ78" s="143" t="str">
        <f t="shared" ref="BZ78:BZ180" si="526">IFERROR(IF(BL78&lt;&gt;"-",BL78/AX78,"-"),"-")</f>
        <v>-</v>
      </c>
      <c r="CA78" s="143" t="str">
        <f t="shared" ref="CA78:CA180" si="527">IFERROR(IF(BM78&lt;&gt;"-",BM78/AY78,"-"),"-")</f>
        <v>-</v>
      </c>
      <c r="CB78" s="143" t="str">
        <f t="shared" ref="CB78:CB180" si="528">IFERROR(IF(BN78&lt;&gt;"-",BN78/AZ78,"-"),"-")</f>
        <v>-</v>
      </c>
      <c r="CD78" s="112">
        <f t="shared" si="25"/>
        <v>985.16590707781302</v>
      </c>
      <c r="CE78" s="95" t="str">
        <f>IFERROR(SUMIFS('01. KE30'!$R:$R,'01. KE30'!$C:$C,'06. BC BH THEO CUSTOMER-USD'!$D78,'01. KE30'!$F:$F,'06. BC BH THEO CUSTOMER-USD'!$H78,'01. KE30'!$A:$A,'06. BC BH THEO CUSTOMER-USD'!CE$4)/CS78/'02. Tỷ giá'!B$5," -")</f>
        <v xml:space="preserve"> -</v>
      </c>
      <c r="CF78" s="95" t="str">
        <f>IFERROR(SUMIFS('01. KE30'!$R:$R,'01. KE30'!$C:$C,'06. BC BH THEO CUSTOMER-USD'!$D78,'01. KE30'!$F:$F,'06. BC BH THEO CUSTOMER-USD'!$H78,'01. KE30'!$A:$A,'06. BC BH THEO CUSTOMER-USD'!CF$4)/CT78/'02. Tỷ giá'!C$5," -")</f>
        <v xml:space="preserve"> -</v>
      </c>
      <c r="CG78" s="95" t="str">
        <f>IFERROR(SUMIFS('01. KE30'!$R:$R,'01. KE30'!$C:$C,'06. BC BH THEO CUSTOMER-USD'!$D78,'01. KE30'!$F:$F,'06. BC BH THEO CUSTOMER-USD'!$H78,'01. KE30'!$A:$A,'06. BC BH THEO CUSTOMER-USD'!CG$4)/CU78/'02. Tỷ giá'!D$5," -")</f>
        <v xml:space="preserve"> -</v>
      </c>
      <c r="CH78" s="95">
        <f>IFERROR(SUMIFS('01. KE30'!$R:$R,'01. KE30'!$C:$C,'06. BC BH THEO CUSTOMER-USD'!$D78,'01. KE30'!$F:$F,'06. BC BH THEO CUSTOMER-USD'!$H78,'01. KE30'!$A:$A,'06. BC BH THEO CUSTOMER-USD'!CH$4)/CV78/'02. Tỷ giá'!E$5," -")</f>
        <v>973.57142119720515</v>
      </c>
      <c r="CI78" s="95">
        <f>IFERROR(SUMIFS('01. KE30'!$R:$R,'01. KE30'!$C:$C,'06. BC BH THEO CUSTOMER-USD'!$D78,'01. KE30'!$F:$F,'06. BC BH THEO CUSTOMER-USD'!$H78,'01. KE30'!$A:$A,'06. BC BH THEO CUSTOMER-USD'!CI$4)/CW78/'02. Tỷ giá'!F$5," -")</f>
        <v>996.76039295842077</v>
      </c>
      <c r="CJ78" s="95" t="str">
        <f>IFERROR(SUMIFS('01. KE30'!$R:$R,'01. KE30'!$C:$C,'06. BC BH THEO CUSTOMER-USD'!$D78,'01. KE30'!$F:$F,'06. BC BH THEO CUSTOMER-USD'!$H78,'01. KE30'!$A:$A,'06. BC BH THEO CUSTOMER-USD'!CJ$4)/CX78/'02. Tỷ giá'!G$5," -")</f>
        <v xml:space="preserve"> -</v>
      </c>
      <c r="CK78" s="95" t="str">
        <f>IFERROR(SUMIFS('01. KE30'!$R:$R,'01. KE30'!$C:$C,'06. BC BH THEO CUSTOMER-USD'!$D78,'01. KE30'!$F:$F,'06. BC BH THEO CUSTOMER-USD'!$H78,'01. KE30'!$A:$A,'06. BC BH THEO CUSTOMER-USD'!CK$4)/CY78/'02. Tỷ giá'!H$5," -")</f>
        <v xml:space="preserve"> -</v>
      </c>
      <c r="CL78" s="95" t="str">
        <f>IFERROR(SUMIFS('01. KE30'!$R:$R,'01. KE30'!$C:$C,'06. BC BH THEO CUSTOMER-USD'!$D78,'01. KE30'!$F:$F,'06. BC BH THEO CUSTOMER-USD'!$H78,'01. KE30'!$A:$A,'06. BC BH THEO CUSTOMER-USD'!CL$4)/CZ78/'02. Tỷ giá'!I$5," -")</f>
        <v xml:space="preserve"> -</v>
      </c>
      <c r="CM78" s="95" t="str">
        <f>IFERROR(SUMIFS('01. KE30'!$R:$R,'01. KE30'!$C:$C,'06. BC BH THEO CUSTOMER-USD'!$D78,'01. KE30'!$F:$F,'06. BC BH THEO CUSTOMER-USD'!$H78,'01. KE30'!$A:$A,'06. BC BH THEO CUSTOMER-USD'!CM$4)/DA78/'02. Tỷ giá'!J$5," -")</f>
        <v xml:space="preserve"> -</v>
      </c>
      <c r="CN78" s="95" t="str">
        <f>IFERROR(SUMIFS('01. KE30'!$R:$R,'01. KE30'!$C:$C,'06. BC BH THEO CUSTOMER-USD'!$D78,'01. KE30'!$F:$F,'06. BC BH THEO CUSTOMER-USD'!$H78,'01. KE30'!$A:$A,'06. BC BH THEO CUSTOMER-USD'!CN$4)/DB78/'02. Tỷ giá'!K$5," -")</f>
        <v xml:space="preserve"> -</v>
      </c>
      <c r="CO78" s="95" t="str">
        <f>IFERROR(SUMIFS('01. KE30'!$R:$R,'01. KE30'!$C:$C,'06. BC BH THEO CUSTOMER-USD'!$D78,'01. KE30'!$F:$F,'06. BC BH THEO CUSTOMER-USD'!$H78,'01. KE30'!$A:$A,'06. BC BH THEO CUSTOMER-USD'!CO$4)/DC78/'02. Tỷ giá'!L$5," -")</f>
        <v xml:space="preserve"> -</v>
      </c>
      <c r="CP78" s="95" t="str">
        <f>IFERROR(SUMIFS('01. KE30'!$R:$R,'01. KE30'!$C:$C,'06. BC BH THEO CUSTOMER-USD'!$D78,'01. KE30'!$F:$F,'06. BC BH THEO CUSTOMER-USD'!$H78,'01. KE30'!$A:$A,'06. BC BH THEO CUSTOMER-USD'!CP$4)/DD78/'02. Tỷ giá'!M$5," -")</f>
        <v xml:space="preserve"> -</v>
      </c>
      <c r="CR78" s="112">
        <f t="shared" si="266"/>
        <v>210</v>
      </c>
      <c r="CS78" s="114">
        <f>SUMIFS('01. KE30'!$I:$I,'01. KE30'!$C:$C,'06. BC BH THEO CUSTOMER-USD'!$D78,'01. KE30'!$F:$F,'06. BC BH THEO CUSTOMER-USD'!$H78,'01. KE30'!$A:$A,'06. BC BH THEO CUSTOMER-USD'!CS$4)/1000</f>
        <v>0</v>
      </c>
      <c r="CT78" s="114">
        <f>SUMIFS('01. KE30'!$I:$I,'01. KE30'!$C:$C,'06. BC BH THEO CUSTOMER-USD'!$D78,'01. KE30'!$F:$F,'06. BC BH THEO CUSTOMER-USD'!$H78,'01. KE30'!$A:$A,'06. BC BH THEO CUSTOMER-USD'!CT$4)/1000</f>
        <v>0</v>
      </c>
      <c r="CU78" s="114">
        <f>SUMIFS('01. KE30'!$I:$I,'01. KE30'!$C:$C,'06. BC BH THEO CUSTOMER-USD'!$D78,'01. KE30'!$F:$F,'06. BC BH THEO CUSTOMER-USD'!$H78,'01. KE30'!$A:$A,'06. BC BH THEO CUSTOMER-USD'!CU$4)/1000</f>
        <v>0</v>
      </c>
      <c r="CV78" s="725">
        <f>SUMIFS('01. KE30'!$I:$I,'01. KE30'!$C:$C,'06. BC BH THEO CUSTOMER-USD'!$D78,'01. KE30'!$F:$F,'06. BC BH THEO CUSTOMER-USD'!$H78,'01. KE30'!$A:$A,'06. BC BH THEO CUSTOMER-USD'!CV$4)/1000</f>
        <v>105</v>
      </c>
      <c r="CW78" s="114">
        <f>SUMIFS('01. KE30'!$I:$I,'01. KE30'!$C:$C,'06. BC BH THEO CUSTOMER-USD'!$D78,'01. KE30'!$F:$F,'06. BC BH THEO CUSTOMER-USD'!$H78,'01. KE30'!$A:$A,'06. BC BH THEO CUSTOMER-USD'!CW$4)/1000</f>
        <v>105</v>
      </c>
      <c r="CX78" s="114">
        <f>SUMIFS('01. KE30'!$I:$I,'01. KE30'!$C:$C,'06. BC BH THEO CUSTOMER-USD'!$D78,'01. KE30'!$F:$F,'06. BC BH THEO CUSTOMER-USD'!$H78,'01. KE30'!$A:$A,'06. BC BH THEO CUSTOMER-USD'!CX$4)/1000</f>
        <v>0</v>
      </c>
      <c r="CY78" s="114">
        <f>SUMIFS('01. KE30'!$I:$I,'01. KE30'!$C:$C,'06. BC BH THEO CUSTOMER-USD'!$D78,'01. KE30'!$F:$F,'06. BC BH THEO CUSTOMER-USD'!$H78,'01. KE30'!$A:$A,'06. BC BH THEO CUSTOMER-USD'!CY$4)/1000</f>
        <v>0</v>
      </c>
      <c r="CZ78" s="114">
        <f>SUMIFS('01. KE30'!$I:$I,'01. KE30'!$C:$C,'06. BC BH THEO CUSTOMER-USD'!$D78,'01. KE30'!$F:$F,'06. BC BH THEO CUSTOMER-USD'!$H78,'01. KE30'!$A:$A,'06. BC BH THEO CUSTOMER-USD'!CZ$4)/1000</f>
        <v>0</v>
      </c>
      <c r="DA78" s="114">
        <f>SUMIFS('01. KE30'!$I:$I,'01. KE30'!$C:$C,'06. BC BH THEO CUSTOMER-USD'!$D78,'01. KE30'!$F:$F,'06. BC BH THEO CUSTOMER-USD'!$H78,'01. KE30'!$A:$A,'06. BC BH THEO CUSTOMER-USD'!DA$4)/1000</f>
        <v>0</v>
      </c>
      <c r="DB78" s="114">
        <f>SUMIFS('01. KE30'!$I:$I,'01. KE30'!$C:$C,'06. BC BH THEO CUSTOMER-USD'!$D78,'01. KE30'!$F:$F,'06. BC BH THEO CUSTOMER-USD'!$H78,'01. KE30'!$A:$A,'06. BC BH THEO CUSTOMER-USD'!DB$4)/1000</f>
        <v>0</v>
      </c>
      <c r="DC78" s="114">
        <f>SUMIFS('01. KE30'!$I:$I,'01. KE30'!$C:$C,'06. BC BH THEO CUSTOMER-USD'!$D78,'01. KE30'!$F:$F,'06. BC BH THEO CUSTOMER-USD'!$H78,'01. KE30'!$A:$A,'06. BC BH THEO CUSTOMER-USD'!DC$4)/1000</f>
        <v>0</v>
      </c>
      <c r="DD78" s="114">
        <f>SUMIFS('01. KE30'!$I:$I,'01. KE30'!$C:$C,'06. BC BH THEO CUSTOMER-USD'!$D78,'01. KE30'!$F:$F,'06. BC BH THEO CUSTOMER-USD'!$H78,'01. KE30'!$A:$A,'06. BC BH THEO CUSTOMER-USD'!DD$4)/1000</f>
        <v>0</v>
      </c>
      <c r="DF78" s="112">
        <f t="shared" si="267"/>
        <v>268436.19489559165</v>
      </c>
      <c r="DG78" s="54" t="str">
        <f t="shared" si="48"/>
        <v>-</v>
      </c>
      <c r="DH78" s="54" t="str">
        <f t="shared" si="49"/>
        <v>-</v>
      </c>
      <c r="DI78" s="54" t="str">
        <f t="shared" si="50"/>
        <v>-</v>
      </c>
      <c r="DJ78" s="54">
        <f t="shared" si="51"/>
        <v>134400</v>
      </c>
      <c r="DK78" s="54">
        <f t="shared" si="52"/>
        <v>134036.19489559165</v>
      </c>
      <c r="DL78" s="54" t="str">
        <f t="shared" si="53"/>
        <v>-</v>
      </c>
      <c r="DM78" s="54" t="str">
        <f t="shared" si="54"/>
        <v>-</v>
      </c>
      <c r="DN78" s="54" t="str">
        <f t="shared" si="55"/>
        <v>-</v>
      </c>
      <c r="DO78" s="54" t="str">
        <f t="shared" si="56"/>
        <v>-</v>
      </c>
      <c r="DP78" s="54" t="str">
        <f t="shared" si="57"/>
        <v>-</v>
      </c>
      <c r="DQ78" s="54" t="str">
        <f t="shared" si="58"/>
        <v>-</v>
      </c>
      <c r="DR78" s="54" t="str">
        <f t="shared" si="59"/>
        <v>-</v>
      </c>
      <c r="DT78" s="112">
        <f t="shared" si="60"/>
        <v>57864.675033661988</v>
      </c>
      <c r="DU78" s="114">
        <f>IFERROR(SUMIFS('01. KE30'!$X:$X,'01. KE30'!$C:$C,'06. BC BH THEO CUSTOMER-USD'!$D78,'01. KE30'!$F:$F,'06. BC BH THEO CUSTOMER-USD'!$H78,'01. KE30'!$A:$A,'06. BC BH THEO CUSTOMER-USD'!DU$4)-SUMIFS('01. KE30'!$AA:$AA,'01. KE30'!$C:$C,'06. BC BH THEO CUSTOMER-USD'!$D78,'01. KE30'!$F:$F,'06. BC BH THEO CUSTOMER-USD'!$H78,'01. KE30'!$A:$A,'06. BC BH THEO CUSTOMER-USD'!DU$4),"-")</f>
        <v>0</v>
      </c>
      <c r="DV78" s="114">
        <f>IFERROR(SUMIFS('01. KE30'!$X:$X,'01. KE30'!$C:$C,'06. BC BH THEO CUSTOMER-USD'!$D78,'01. KE30'!$F:$F,'06. BC BH THEO CUSTOMER-USD'!$H78,'01. KE30'!$A:$A,'06. BC BH THEO CUSTOMER-USD'!DV$4)-SUMIFS('01. KE30'!$AA:$AA,'01. KE30'!$C:$C,'06. BC BH THEO CUSTOMER-USD'!$D78,'01. KE30'!$F:$F,'06. BC BH THEO CUSTOMER-USD'!$H78,'01. KE30'!$A:$A,'06. BC BH THEO CUSTOMER-USD'!DV$4),"-")</f>
        <v>0</v>
      </c>
      <c r="DW78" s="114">
        <f>IFERROR(SUMIFS('01. KE30'!$X:$X,'01. KE30'!$C:$C,'06. BC BH THEO CUSTOMER-USD'!$D78,'01. KE30'!$F:$F,'06. BC BH THEO CUSTOMER-USD'!$H78,'01. KE30'!$A:$A,'06. BC BH THEO CUSTOMER-USD'!DW$4)-SUMIFS('01. KE30'!$AA:$AA,'01. KE30'!$C:$C,'06. BC BH THEO CUSTOMER-USD'!$D78,'01. KE30'!$F:$F,'06. BC BH THEO CUSTOMER-USD'!$H78,'01. KE30'!$A:$A,'06. BC BH THEO CUSTOMER-USD'!DW$4),"-")</f>
        <v>0</v>
      </c>
      <c r="DX78" s="114">
        <f>IFERROR(SUMIFS('01. KE30'!$X:$X,'01. KE30'!$C:$C,'06. BC BH THEO CUSTOMER-USD'!$D78,'01. KE30'!$F:$F,'06. BC BH THEO CUSTOMER-USD'!$H78,'01. KE30'!$A:$A,'06. BC BH THEO CUSTOMER-USD'!DX$4)-SUMIFS('01. KE30'!$AA:$AA,'01. KE30'!$C:$C,'06. BC BH THEO CUSTOMER-USD'!$D78,'01. KE30'!$F:$F,'06. BC BH THEO CUSTOMER-USD'!$H78,'01. KE30'!$A:$A,'06. BC BH THEO CUSTOMER-USD'!DX$4),"-")</f>
        <v>30292.012349980636</v>
      </c>
      <c r="DY78" s="114">
        <f>IFERROR(SUMIFS('01. KE30'!$X:$X,'01. KE30'!$C:$C,'06. BC BH THEO CUSTOMER-USD'!$D78,'01. KE30'!$F:$F,'06. BC BH THEO CUSTOMER-USD'!$H78,'01. KE30'!$A:$A,'06. BC BH THEO CUSTOMER-USD'!DY$4)-SUMIFS('01. KE30'!$AA:$AA,'01. KE30'!$C:$C,'06. BC BH THEO CUSTOMER-USD'!$D78,'01. KE30'!$F:$F,'06. BC BH THEO CUSTOMER-USD'!$H78,'01. KE30'!$A:$A,'06. BC BH THEO CUSTOMER-USD'!DY$4),"-")</f>
        <v>27572.662683681352</v>
      </c>
      <c r="DZ78" s="114">
        <f>IFERROR(SUMIFS('01. KE30'!$X:$X,'01. KE30'!$C:$C,'06. BC BH THEO CUSTOMER-USD'!$D78,'01. KE30'!$F:$F,'06. BC BH THEO CUSTOMER-USD'!$H78,'01. KE30'!$A:$A,'06. BC BH THEO CUSTOMER-USD'!DZ$4)-SUMIFS('01. KE30'!$AA:$AA,'01. KE30'!$C:$C,'06. BC BH THEO CUSTOMER-USD'!$D78,'01. KE30'!$F:$F,'06. BC BH THEO CUSTOMER-USD'!$H78,'01. KE30'!$A:$A,'06. BC BH THEO CUSTOMER-USD'!DZ$4),"-")</f>
        <v>0</v>
      </c>
      <c r="EA78" s="114">
        <f>IFERROR(SUMIFS('01. KE30'!$X:$X,'01. KE30'!$C:$C,'06. BC BH THEO CUSTOMER-USD'!$D78,'01. KE30'!$F:$F,'06. BC BH THEO CUSTOMER-USD'!$H78,'01. KE30'!$A:$A,'06. BC BH THEO CUSTOMER-USD'!EA$4)-SUMIFS('01. KE30'!$AA:$AA,'01. KE30'!$C:$C,'06. BC BH THEO CUSTOMER-USD'!$D78,'01. KE30'!$F:$F,'06. BC BH THEO CUSTOMER-USD'!$H78,'01. KE30'!$A:$A,'06. BC BH THEO CUSTOMER-USD'!EA$4),"-")</f>
        <v>0</v>
      </c>
      <c r="EB78" s="114">
        <f>IFERROR(SUMIFS('01. KE30'!$X:$X,'01. KE30'!$C:$C,'06. BC BH THEO CUSTOMER-USD'!$D78,'01. KE30'!$F:$F,'06. BC BH THEO CUSTOMER-USD'!$H78,'01. KE30'!$A:$A,'06. BC BH THEO CUSTOMER-USD'!EB$4)-SUMIFS('01. KE30'!$AA:$AA,'01. KE30'!$C:$C,'06. BC BH THEO CUSTOMER-USD'!$D78,'01. KE30'!$F:$F,'06. BC BH THEO CUSTOMER-USD'!$H78,'01. KE30'!$A:$A,'06. BC BH THEO CUSTOMER-USD'!EB$4),"-")</f>
        <v>0</v>
      </c>
      <c r="EC78" s="114">
        <f>IFERROR(SUMIFS('01. KE30'!$X:$X,'01. KE30'!$C:$C,'06. BC BH THEO CUSTOMER-USD'!$D78,'01. KE30'!$F:$F,'06. BC BH THEO CUSTOMER-USD'!$H78,'01. KE30'!$A:$A,'06. BC BH THEO CUSTOMER-USD'!EC$4)-SUMIFS('01. KE30'!$AA:$AA,'01. KE30'!$C:$C,'06. BC BH THEO CUSTOMER-USD'!$D78,'01. KE30'!$F:$F,'06. BC BH THEO CUSTOMER-USD'!$H78,'01. KE30'!$A:$A,'06. BC BH THEO CUSTOMER-USD'!EC$4),"-")</f>
        <v>0</v>
      </c>
      <c r="ED78" s="114">
        <f>IFERROR(SUMIFS('01. KE30'!$X:$X,'01. KE30'!$C:$C,'06. BC BH THEO CUSTOMER-USD'!$D78,'01. KE30'!$F:$F,'06. BC BH THEO CUSTOMER-USD'!$H78,'01. KE30'!$A:$A,'06. BC BH THEO CUSTOMER-USD'!ED$4)-SUMIFS('01. KE30'!$AA:$AA,'01. KE30'!$C:$C,'06. BC BH THEO CUSTOMER-USD'!$D78,'01. KE30'!$F:$F,'06. BC BH THEO CUSTOMER-USD'!$H78,'01. KE30'!$A:$A,'06. BC BH THEO CUSTOMER-USD'!ED$4),"-")</f>
        <v>0</v>
      </c>
      <c r="EE78" s="114">
        <f>IFERROR(SUMIFS('01. KE30'!$X:$X,'01. KE30'!$C:$C,'06. BC BH THEO CUSTOMER-USD'!$D78,'01. KE30'!$F:$F,'06. BC BH THEO CUSTOMER-USD'!$H78,'01. KE30'!$A:$A,'06. BC BH THEO CUSTOMER-USD'!EE$4)-SUMIFS('01. KE30'!$AA:$AA,'01. KE30'!$C:$C,'06. BC BH THEO CUSTOMER-USD'!$D78,'01. KE30'!$F:$F,'06. BC BH THEO CUSTOMER-USD'!$H78,'01. KE30'!$A:$A,'06. BC BH THEO CUSTOMER-USD'!EE$4),"-")</f>
        <v>0</v>
      </c>
      <c r="EF78" s="114">
        <f>IFERROR(SUMIFS('01. KE30'!$X:$X,'01. KE30'!$C:$C,'06. BC BH THEO CUSTOMER-USD'!$D78,'01. KE30'!$F:$F,'06. BC BH THEO CUSTOMER-USD'!$H78,'01. KE30'!$A:$A,'06. BC BH THEO CUSTOMER-USD'!EF$4)-SUMIFS('01. KE30'!$AA:$AA,'01. KE30'!$C:$C,'06. BC BH THEO CUSTOMER-USD'!$D78,'01. KE30'!$F:$F,'06. BC BH THEO CUSTOMER-USD'!$H78,'01. KE30'!$A:$A,'06. BC BH THEO CUSTOMER-USD'!EF$4),"-")</f>
        <v>0</v>
      </c>
      <c r="EH78" s="571">
        <f t="shared" si="29"/>
        <v>0.21556211917013826</v>
      </c>
      <c r="EI78" s="572" t="str">
        <f t="shared" si="30"/>
        <v>-</v>
      </c>
      <c r="EJ78" s="572" t="str">
        <f t="shared" si="31"/>
        <v>-</v>
      </c>
      <c r="EK78" s="572" t="str">
        <f t="shared" si="32"/>
        <v>-</v>
      </c>
      <c r="EL78" s="572">
        <f t="shared" si="33"/>
        <v>0.22538699665164164</v>
      </c>
      <c r="EM78" s="572">
        <f t="shared" si="34"/>
        <v>0.20571057470826634</v>
      </c>
      <c r="EN78" s="572" t="str">
        <f t="shared" si="35"/>
        <v>-</v>
      </c>
      <c r="EO78" s="572" t="str">
        <f t="shared" si="36"/>
        <v>-</v>
      </c>
      <c r="EP78" s="572" t="str">
        <f t="shared" si="37"/>
        <v>-</v>
      </c>
      <c r="EQ78" s="572" t="str">
        <f t="shared" si="38"/>
        <v>-</v>
      </c>
      <c r="ER78" s="572" t="str">
        <f t="shared" si="39"/>
        <v>-</v>
      </c>
      <c r="ES78" s="572" t="str">
        <f t="shared" si="40"/>
        <v>-</v>
      </c>
      <c r="ET78" s="572" t="str">
        <f t="shared" si="41"/>
        <v>-</v>
      </c>
    </row>
    <row r="79" spans="1:150" ht="15.5" hidden="1" outlineLevel="1" x14ac:dyDescent="0.35">
      <c r="A79" s="27">
        <f t="shared" si="63"/>
        <v>66</v>
      </c>
      <c r="B79" s="27" t="s">
        <v>283</v>
      </c>
      <c r="C79" s="442" t="s">
        <v>489</v>
      </c>
      <c r="D79" s="9" t="s">
        <v>239</v>
      </c>
      <c r="E79" s="31" t="s">
        <v>240</v>
      </c>
      <c r="F79" s="12" t="s">
        <v>245</v>
      </c>
      <c r="G79" s="12" t="str">
        <f>_xlfn.XLOOKUP(F79,'Quy đổi'!$G$5:$G$32,'Quy đổi'!$H$5:$H$32,0)</f>
        <v>Nội địa</v>
      </c>
      <c r="H79" s="76" t="s">
        <v>100</v>
      </c>
      <c r="I79" s="28" t="s">
        <v>99</v>
      </c>
      <c r="J79" s="13" t="s">
        <v>22</v>
      </c>
      <c r="K79" s="30"/>
      <c r="L79" s="92" t="str">
        <f t="shared" si="42"/>
        <v>-</v>
      </c>
      <c r="M79" s="106" t="str">
        <f>IFERROR(SUMIFS('01. KE30'!$K:$K,'01. KE30'!$C:$C,'06. BC BH THEO CUSTOMER-USD'!$D79,'01. KE30'!$F:$F,'06. BC BH THEO CUSTOMER-USD'!$H79,'01. KE30'!$A:$A,'06. BC BH THEO CUSTOMER-USD'!M$4)/'06. BC BH THEO CUSTOMER-USD'!CS79/'02. Tỷ giá'!B$5,"-")</f>
        <v>-</v>
      </c>
      <c r="N79" s="106" t="str">
        <f>IFERROR(SUMIFS('01. KE30'!$K:$K,'01. KE30'!$C:$C,'06. BC BH THEO CUSTOMER-USD'!$D79,'01. KE30'!$F:$F,'06. BC BH THEO CUSTOMER-USD'!$H79,'01. KE30'!$A:$A,'06. BC BH THEO CUSTOMER-USD'!N$4)/'06. BC BH THEO CUSTOMER-USD'!CT79/'02. Tỷ giá'!C$5,"-")</f>
        <v>-</v>
      </c>
      <c r="O79" s="106" t="str">
        <f>IFERROR(SUMIFS('01. KE30'!$K:$K,'01. KE30'!$C:$C,'06. BC BH THEO CUSTOMER-USD'!$D79,'01. KE30'!$F:$F,'06. BC BH THEO CUSTOMER-USD'!$H79,'01. KE30'!$A:$A,'06. BC BH THEO CUSTOMER-USD'!O$4)/'06. BC BH THEO CUSTOMER-USD'!CU79/'02. Tỷ giá'!D$5,"-")</f>
        <v>-</v>
      </c>
      <c r="P79" s="106" t="str">
        <f>IFERROR(SUMIFS('01. KE30'!$K:$K,'01. KE30'!$C:$C,'06. BC BH THEO CUSTOMER-USD'!$D79,'01. KE30'!$F:$F,'06. BC BH THEO CUSTOMER-USD'!$H79,'01. KE30'!$A:$A,'06. BC BH THEO CUSTOMER-USD'!P$4)/'06. BC BH THEO CUSTOMER-USD'!CV79/'02. Tỷ giá'!E$5,"-")</f>
        <v>-</v>
      </c>
      <c r="Q79" s="106" t="str">
        <f>IFERROR(SUMIFS('01. KE30'!$K:$K,'01. KE30'!$C:$C,'06. BC BH THEO CUSTOMER-USD'!$D79,'01. KE30'!$F:$F,'06. BC BH THEO CUSTOMER-USD'!$H79,'01. KE30'!$A:$A,'06. BC BH THEO CUSTOMER-USD'!Q$4)/'06. BC BH THEO CUSTOMER-USD'!CW79/'02. Tỷ giá'!F$5,"-")</f>
        <v>-</v>
      </c>
      <c r="R79" s="106" t="str">
        <f>IFERROR(SUMIFS('01. KE30'!$K:$K,'01. KE30'!$C:$C,'06. BC BH THEO CUSTOMER-USD'!$D79,'01. KE30'!$F:$F,'06. BC BH THEO CUSTOMER-USD'!$H79,'01. KE30'!$A:$A,'06. BC BH THEO CUSTOMER-USD'!R$4)/'06. BC BH THEO CUSTOMER-USD'!CX79/'02. Tỷ giá'!G$5,"-")</f>
        <v>-</v>
      </c>
      <c r="S79" s="106" t="str">
        <f>IFERROR(SUMIFS('01. KE30'!$K:$K,'01. KE30'!$C:$C,'06. BC BH THEO CUSTOMER-USD'!$D79,'01. KE30'!$F:$F,'06. BC BH THEO CUSTOMER-USD'!$H79,'01. KE30'!$A:$A,'06. BC BH THEO CUSTOMER-USD'!S$4)/'06. BC BH THEO CUSTOMER-USD'!CY79/'02. Tỷ giá'!H$5,"-")</f>
        <v>-</v>
      </c>
      <c r="T79" s="106" t="str">
        <f>IFERROR(SUMIFS('01. KE30'!$K:$K,'01. KE30'!$C:$C,'06. BC BH THEO CUSTOMER-USD'!$D79,'01. KE30'!$F:$F,'06. BC BH THEO CUSTOMER-USD'!$H79,'01. KE30'!$A:$A,'06. BC BH THEO CUSTOMER-USD'!T$4)/'06. BC BH THEO CUSTOMER-USD'!CZ79/'02. Tỷ giá'!I$5,"-")</f>
        <v>-</v>
      </c>
      <c r="U79" s="106" t="str">
        <f>IFERROR(SUMIFS('01. KE30'!$K:$K,'01. KE30'!$C:$C,'06. BC BH THEO CUSTOMER-USD'!$D79,'01. KE30'!$F:$F,'06. BC BH THEO CUSTOMER-USD'!$H79,'01. KE30'!$A:$A,'06. BC BH THEO CUSTOMER-USD'!U$4)/'06. BC BH THEO CUSTOMER-USD'!DA79/'02. Tỷ giá'!J$5,"-")</f>
        <v>-</v>
      </c>
      <c r="V79" s="106" t="str">
        <f>IFERROR(SUMIFS('01. KE30'!$K:$K,'01. KE30'!$C:$C,'06. BC BH THEO CUSTOMER-USD'!$D79,'01. KE30'!$F:$F,'06. BC BH THEO CUSTOMER-USD'!$H79,'01. KE30'!$A:$A,'06. BC BH THEO CUSTOMER-USD'!V$4)/'06. BC BH THEO CUSTOMER-USD'!DB79/'02. Tỷ giá'!K$5,"-")</f>
        <v>-</v>
      </c>
      <c r="W79" s="106" t="str">
        <f>IFERROR(SUMIFS('01. KE30'!$K:$K,'01. KE30'!$C:$C,'06. BC BH THEO CUSTOMER-USD'!$D79,'01. KE30'!$F:$F,'06. BC BH THEO CUSTOMER-USD'!$H79,'01. KE30'!$A:$A,'06. BC BH THEO CUSTOMER-USD'!W$4)/'06. BC BH THEO CUSTOMER-USD'!DC79/'02. Tỷ giá'!L$5,"-")</f>
        <v>-</v>
      </c>
      <c r="X79" s="106" t="str">
        <f>IFERROR(SUMIFS('01. KE30'!$K:$K,'01. KE30'!$C:$C,'06. BC BH THEO CUSTOMER-USD'!$D79,'01. KE30'!$F:$F,'06. BC BH THEO CUSTOMER-USD'!$H79,'01. KE30'!$A:$A,'06. BC BH THEO CUSTOMER-USD'!X$4)/'06. BC BH THEO CUSTOMER-USD'!DD79/'02. Tỷ giá'!M$5,"-")</f>
        <v>-</v>
      </c>
      <c r="Z79" s="92" t="str">
        <f t="shared" si="43"/>
        <v>-</v>
      </c>
      <c r="AA79" s="147" t="str">
        <f>IFERROR(SUMIFS('01. KE30'!$O:$O,'01. KE30'!$C:$C,'06. BC BH THEO CUSTOMER-USD'!$D79,'01. KE30'!$F:$F,'06. BC BH THEO CUSTOMER-USD'!$H79,'01. KE30'!$A:$A,'06. BC BH THEO CUSTOMER-USD'!M$4)/'06. BC BH THEO CUSTOMER-USD'!CS79/'02. Tỷ giá'!B$5,"-")</f>
        <v>-</v>
      </c>
      <c r="AB79" s="147" t="str">
        <f>IFERROR(SUMIFS('01. KE30'!$O:$O,'01. KE30'!$C:$C,'06. BC BH THEO CUSTOMER-USD'!$D79,'01. KE30'!$F:$F,'06. BC BH THEO CUSTOMER-USD'!$H79,'01. KE30'!$A:$A,'06. BC BH THEO CUSTOMER-USD'!N$4)/'06. BC BH THEO CUSTOMER-USD'!CT79/'02. Tỷ giá'!C$5,"-")</f>
        <v>-</v>
      </c>
      <c r="AC79" s="147" t="str">
        <f>IFERROR(SUMIFS('01. KE30'!$O:$O,'01. KE30'!$C:$C,'06. BC BH THEO CUSTOMER-USD'!$D79,'01. KE30'!$F:$F,'06. BC BH THEO CUSTOMER-USD'!$H79,'01. KE30'!$A:$A,'06. BC BH THEO CUSTOMER-USD'!O$4)/'06. BC BH THEO CUSTOMER-USD'!CU79/'02. Tỷ giá'!D$5,"-")</f>
        <v>-</v>
      </c>
      <c r="AD79" s="147" t="str">
        <f>IFERROR(SUMIFS('01. KE30'!$O:$O,'01. KE30'!$C:$C,'06. BC BH THEO CUSTOMER-USD'!$D79,'01. KE30'!$F:$F,'06. BC BH THEO CUSTOMER-USD'!$H79,'01. KE30'!$A:$A,'06. BC BH THEO CUSTOMER-USD'!P$4)/'06. BC BH THEO CUSTOMER-USD'!CV79/'02. Tỷ giá'!E$5,"-")</f>
        <v>-</v>
      </c>
      <c r="AE79" s="147" t="str">
        <f>IFERROR(SUMIFS('01. KE30'!$O:$O,'01. KE30'!$C:$C,'06. BC BH THEO CUSTOMER-USD'!$D79,'01. KE30'!$F:$F,'06. BC BH THEO CUSTOMER-USD'!$H79,'01. KE30'!$A:$A,'06. BC BH THEO CUSTOMER-USD'!Q$4)/'06. BC BH THEO CUSTOMER-USD'!CW79/'02. Tỷ giá'!F$5,"-")</f>
        <v>-</v>
      </c>
      <c r="AF79" s="147" t="str">
        <f>IFERROR(SUMIFS('01. KE30'!$O:$O,'01. KE30'!$C:$C,'06. BC BH THEO CUSTOMER-USD'!$D79,'01. KE30'!$F:$F,'06. BC BH THEO CUSTOMER-USD'!$H79,'01. KE30'!$A:$A,'06. BC BH THEO CUSTOMER-USD'!R$4)/'06. BC BH THEO CUSTOMER-USD'!CX79/'02. Tỷ giá'!G$5,"-")</f>
        <v>-</v>
      </c>
      <c r="AG79" s="147" t="str">
        <f>IFERROR(SUMIFS('01. KE30'!$O:$O,'01. KE30'!$C:$C,'06. BC BH THEO CUSTOMER-USD'!$D79,'01. KE30'!$F:$F,'06. BC BH THEO CUSTOMER-USD'!$H79,'01. KE30'!$A:$A,'06. BC BH THEO CUSTOMER-USD'!S$4)/'06. BC BH THEO CUSTOMER-USD'!CY79/'02. Tỷ giá'!H$5,"-")</f>
        <v>-</v>
      </c>
      <c r="AH79" s="147" t="str">
        <f>IFERROR(SUMIFS('01. KE30'!$O:$O,'01. KE30'!$C:$C,'06. BC BH THEO CUSTOMER-USD'!$D79,'01. KE30'!$F:$F,'06. BC BH THEO CUSTOMER-USD'!$H79,'01. KE30'!$A:$A,'06. BC BH THEO CUSTOMER-USD'!T$4)/'06. BC BH THEO CUSTOMER-USD'!CZ79/'02. Tỷ giá'!I$5,"-")</f>
        <v>-</v>
      </c>
      <c r="AI79" s="147" t="str">
        <f>IFERROR(SUMIFS('01. KE30'!$O:$O,'01. KE30'!$C:$C,'06. BC BH THEO CUSTOMER-USD'!$D79,'01. KE30'!$F:$F,'06. BC BH THEO CUSTOMER-USD'!$H79,'01. KE30'!$A:$A,'06. BC BH THEO CUSTOMER-USD'!U$4)/'06. BC BH THEO CUSTOMER-USD'!DA79/'02. Tỷ giá'!J$5,"-")</f>
        <v>-</v>
      </c>
      <c r="AJ79" s="147" t="str">
        <f>IFERROR(SUMIFS('01. KE30'!$O:$O,'01. KE30'!$C:$C,'06. BC BH THEO CUSTOMER-USD'!$D79,'01. KE30'!$F:$F,'06. BC BH THEO CUSTOMER-USD'!$H79,'01. KE30'!$A:$A,'06. BC BH THEO CUSTOMER-USD'!V$4)/'06. BC BH THEO CUSTOMER-USD'!DB79/'02. Tỷ giá'!K$5,"-")</f>
        <v>-</v>
      </c>
      <c r="AK79" s="147" t="str">
        <f>IFERROR(SUMIFS('01. KE30'!$O:$O,'01. KE30'!$C:$C,'06. BC BH THEO CUSTOMER-USD'!$D79,'01. KE30'!$F:$F,'06. BC BH THEO CUSTOMER-USD'!$H79,'01. KE30'!$A:$A,'06. BC BH THEO CUSTOMER-USD'!W$4)/'06. BC BH THEO CUSTOMER-USD'!DC79/'02. Tỷ giá'!L$5,"-")</f>
        <v>-</v>
      </c>
      <c r="AL79" s="147" t="str">
        <f>IFERROR(SUMIFS('01. KE30'!$O:$O,'01. KE30'!$C:$C,'06. BC BH THEO CUSTOMER-USD'!$D79,'01. KE30'!$F:$F,'06. BC BH THEO CUSTOMER-USD'!$H79,'01. KE30'!$A:$A,'06. BC BH THEO CUSTOMER-USD'!X$4)/'06. BC BH THEO CUSTOMER-USD'!DD79/'02. Tỷ giá'!M$5,"-")</f>
        <v>-</v>
      </c>
      <c r="AN79" s="92">
        <f t="shared" si="44"/>
        <v>1266.6666666666667</v>
      </c>
      <c r="AO79" s="25">
        <v>1260</v>
      </c>
      <c r="AP79" s="25">
        <v>1260</v>
      </c>
      <c r="AQ79" s="25">
        <v>1260</v>
      </c>
      <c r="AR79" s="4">
        <f t="shared" si="515"/>
        <v>1280</v>
      </c>
      <c r="AS79" s="4">
        <v>1280</v>
      </c>
      <c r="AT79" s="4">
        <v>1280</v>
      </c>
      <c r="AU79" s="4">
        <v>1280</v>
      </c>
      <c r="AV79" s="4">
        <f t="shared" si="205"/>
        <v>1250</v>
      </c>
      <c r="AW79" s="25">
        <v>1250</v>
      </c>
      <c r="AX79" s="25"/>
      <c r="AY79" s="4"/>
      <c r="AZ79" s="4"/>
      <c r="BB79" s="95" t="str">
        <f t="shared" si="45"/>
        <v>-</v>
      </c>
      <c r="BC79" s="95" t="str">
        <f t="shared" si="206"/>
        <v>-</v>
      </c>
      <c r="BD79" s="95" t="str">
        <f t="shared" si="516"/>
        <v>-</v>
      </c>
      <c r="BE79" s="95" t="str">
        <f t="shared" si="516"/>
        <v>-</v>
      </c>
      <c r="BF79" s="95" t="str">
        <f t="shared" si="516"/>
        <v>-</v>
      </c>
      <c r="BG79" s="95" t="str">
        <f t="shared" si="516"/>
        <v>-</v>
      </c>
      <c r="BH79" s="95" t="str">
        <f t="shared" si="516"/>
        <v>-</v>
      </c>
      <c r="BI79" s="95" t="str">
        <f t="shared" si="516"/>
        <v>-</v>
      </c>
      <c r="BJ79" s="95" t="str">
        <f t="shared" si="516"/>
        <v>-</v>
      </c>
      <c r="BK79" s="95" t="str">
        <f t="shared" si="516"/>
        <v>-</v>
      </c>
      <c r="BL79" s="95" t="str">
        <f t="shared" si="516"/>
        <v>-</v>
      </c>
      <c r="BM79" s="95" t="str">
        <f t="shared" si="516"/>
        <v>-</v>
      </c>
      <c r="BN79" s="95" t="str">
        <f t="shared" si="516"/>
        <v>-</v>
      </c>
      <c r="BP79" s="143" t="str">
        <f t="shared" si="47"/>
        <v>-</v>
      </c>
      <c r="BQ79" s="143" t="str">
        <f t="shared" si="517"/>
        <v>-</v>
      </c>
      <c r="BR79" s="143" t="str">
        <f t="shared" si="518"/>
        <v>-</v>
      </c>
      <c r="BS79" s="143" t="str">
        <f t="shared" si="519"/>
        <v>-</v>
      </c>
      <c r="BT79" s="143" t="str">
        <f t="shared" si="520"/>
        <v>-</v>
      </c>
      <c r="BU79" s="143" t="str">
        <f t="shared" si="521"/>
        <v>-</v>
      </c>
      <c r="BV79" s="143" t="str">
        <f t="shared" si="522"/>
        <v>-</v>
      </c>
      <c r="BW79" s="143" t="str">
        <f t="shared" si="523"/>
        <v>-</v>
      </c>
      <c r="BX79" s="143" t="str">
        <f t="shared" si="524"/>
        <v>-</v>
      </c>
      <c r="BY79" s="143" t="str">
        <f t="shared" si="525"/>
        <v>-</v>
      </c>
      <c r="BZ79" s="143" t="str">
        <f t="shared" si="526"/>
        <v>-</v>
      </c>
      <c r="CA79" s="143" t="str">
        <f t="shared" si="527"/>
        <v>-</v>
      </c>
      <c r="CB79" s="143" t="str">
        <f t="shared" si="528"/>
        <v>-</v>
      </c>
      <c r="CD79" s="112" t="str">
        <f t="shared" ref="CD79:CD114" si="529">IFERROR(AVERAGE(CE79:CP79),"-")</f>
        <v>-</v>
      </c>
      <c r="CE79" s="95" t="str">
        <f>IFERROR(SUMIFS('01. KE30'!$R:$R,'01. KE30'!$C:$C,'06. BC BH THEO CUSTOMER-USD'!$D79,'01. KE30'!$F:$F,'06. BC BH THEO CUSTOMER-USD'!$H79,'01. KE30'!$A:$A,'06. BC BH THEO CUSTOMER-USD'!CE$4)/CS79/'02. Tỷ giá'!B$5," -")</f>
        <v xml:space="preserve"> -</v>
      </c>
      <c r="CF79" s="95" t="str">
        <f>IFERROR(SUMIFS('01. KE30'!$R:$R,'01. KE30'!$C:$C,'06. BC BH THEO CUSTOMER-USD'!$D79,'01. KE30'!$F:$F,'06. BC BH THEO CUSTOMER-USD'!$H79,'01. KE30'!$A:$A,'06. BC BH THEO CUSTOMER-USD'!CF$4)/CT79/'02. Tỷ giá'!C$5," -")</f>
        <v xml:space="preserve"> -</v>
      </c>
      <c r="CG79" s="95" t="str">
        <f>IFERROR(SUMIFS('01. KE30'!$R:$R,'01. KE30'!$C:$C,'06. BC BH THEO CUSTOMER-USD'!$D79,'01. KE30'!$F:$F,'06. BC BH THEO CUSTOMER-USD'!$H79,'01. KE30'!$A:$A,'06. BC BH THEO CUSTOMER-USD'!CG$4)/CU79/'02. Tỷ giá'!D$5," -")</f>
        <v xml:space="preserve"> -</v>
      </c>
      <c r="CH79" s="95" t="str">
        <f>IFERROR(SUMIFS('01. KE30'!$R:$R,'01. KE30'!$C:$C,'06. BC BH THEO CUSTOMER-USD'!$D79,'01. KE30'!$F:$F,'06. BC BH THEO CUSTOMER-USD'!$H79,'01. KE30'!$A:$A,'06. BC BH THEO CUSTOMER-USD'!CH$4)/CV79/'02. Tỷ giá'!E$5," -")</f>
        <v xml:space="preserve"> -</v>
      </c>
      <c r="CI79" s="95" t="str">
        <f>IFERROR(SUMIFS('01. KE30'!$R:$R,'01. KE30'!$C:$C,'06. BC BH THEO CUSTOMER-USD'!$D79,'01. KE30'!$F:$F,'06. BC BH THEO CUSTOMER-USD'!$H79,'01. KE30'!$A:$A,'06. BC BH THEO CUSTOMER-USD'!CI$4)/CW79/'02. Tỷ giá'!F$5," -")</f>
        <v xml:space="preserve"> -</v>
      </c>
      <c r="CJ79" s="95" t="str">
        <f>IFERROR(SUMIFS('01. KE30'!$R:$R,'01. KE30'!$C:$C,'06. BC BH THEO CUSTOMER-USD'!$D79,'01. KE30'!$F:$F,'06. BC BH THEO CUSTOMER-USD'!$H79,'01. KE30'!$A:$A,'06. BC BH THEO CUSTOMER-USD'!CJ$4)/CX79/'02. Tỷ giá'!G$5," -")</f>
        <v xml:space="preserve"> -</v>
      </c>
      <c r="CK79" s="95" t="str">
        <f>IFERROR(SUMIFS('01. KE30'!$R:$R,'01. KE30'!$C:$C,'06. BC BH THEO CUSTOMER-USD'!$D79,'01. KE30'!$F:$F,'06. BC BH THEO CUSTOMER-USD'!$H79,'01. KE30'!$A:$A,'06. BC BH THEO CUSTOMER-USD'!CK$4)/CY79/'02. Tỷ giá'!H$5," -")</f>
        <v xml:space="preserve"> -</v>
      </c>
      <c r="CL79" s="95" t="str">
        <f>IFERROR(SUMIFS('01. KE30'!$R:$R,'01. KE30'!$C:$C,'06. BC BH THEO CUSTOMER-USD'!$D79,'01. KE30'!$F:$F,'06. BC BH THEO CUSTOMER-USD'!$H79,'01. KE30'!$A:$A,'06. BC BH THEO CUSTOMER-USD'!CL$4)/CZ79/'02. Tỷ giá'!I$5," -")</f>
        <v xml:space="preserve"> -</v>
      </c>
      <c r="CM79" s="95" t="str">
        <f>IFERROR(SUMIFS('01. KE30'!$R:$R,'01. KE30'!$C:$C,'06. BC BH THEO CUSTOMER-USD'!$D79,'01. KE30'!$F:$F,'06. BC BH THEO CUSTOMER-USD'!$H79,'01. KE30'!$A:$A,'06. BC BH THEO CUSTOMER-USD'!CM$4)/DA79/'02. Tỷ giá'!J$5," -")</f>
        <v xml:space="preserve"> -</v>
      </c>
      <c r="CN79" s="95" t="str">
        <f>IFERROR(SUMIFS('01. KE30'!$R:$R,'01. KE30'!$C:$C,'06. BC BH THEO CUSTOMER-USD'!$D79,'01. KE30'!$F:$F,'06. BC BH THEO CUSTOMER-USD'!$H79,'01. KE30'!$A:$A,'06. BC BH THEO CUSTOMER-USD'!CN$4)/DB79/'02. Tỷ giá'!K$5," -")</f>
        <v xml:space="preserve"> -</v>
      </c>
      <c r="CO79" s="95" t="str">
        <f>IFERROR(SUMIFS('01. KE30'!$R:$R,'01. KE30'!$C:$C,'06. BC BH THEO CUSTOMER-USD'!$D79,'01. KE30'!$F:$F,'06. BC BH THEO CUSTOMER-USD'!$H79,'01. KE30'!$A:$A,'06. BC BH THEO CUSTOMER-USD'!CO$4)/DC79/'02. Tỷ giá'!L$5," -")</f>
        <v xml:space="preserve"> -</v>
      </c>
      <c r="CP79" s="95" t="str">
        <f>IFERROR(SUMIFS('01. KE30'!$R:$R,'01. KE30'!$C:$C,'06. BC BH THEO CUSTOMER-USD'!$D79,'01. KE30'!$F:$F,'06. BC BH THEO CUSTOMER-USD'!$H79,'01. KE30'!$A:$A,'06. BC BH THEO CUSTOMER-USD'!CP$4)/DD79/'02. Tỷ giá'!M$5," -")</f>
        <v xml:space="preserve"> -</v>
      </c>
      <c r="CR79" s="112">
        <f t="shared" ref="CR79" si="530">SUM(CS79:DD79)</f>
        <v>0</v>
      </c>
      <c r="CS79" s="114">
        <f>SUMIFS('01. KE30'!$I:$I,'01. KE30'!$C:$C,'06. BC BH THEO CUSTOMER-USD'!$D79,'01. KE30'!$F:$F,'06. BC BH THEO CUSTOMER-USD'!$H79,'01. KE30'!$A:$A,'06. BC BH THEO CUSTOMER-USD'!CS$4)/1000</f>
        <v>0</v>
      </c>
      <c r="CT79" s="114">
        <f>SUMIFS('01. KE30'!$I:$I,'01. KE30'!$C:$C,'06. BC BH THEO CUSTOMER-USD'!$D79,'01. KE30'!$F:$F,'06. BC BH THEO CUSTOMER-USD'!$H79,'01. KE30'!$A:$A,'06. BC BH THEO CUSTOMER-USD'!CT$4)/1000</f>
        <v>0</v>
      </c>
      <c r="CU79" s="114">
        <f>SUMIFS('01. KE30'!$I:$I,'01. KE30'!$C:$C,'06. BC BH THEO CUSTOMER-USD'!$D79,'01. KE30'!$F:$F,'06. BC BH THEO CUSTOMER-USD'!$H79,'01. KE30'!$A:$A,'06. BC BH THEO CUSTOMER-USD'!CU$4)/1000</f>
        <v>0</v>
      </c>
      <c r="CV79" s="114">
        <f>SUMIFS('01. KE30'!$I:$I,'01. KE30'!$C:$C,'06. BC BH THEO CUSTOMER-USD'!$D79,'01. KE30'!$F:$F,'06. BC BH THEO CUSTOMER-USD'!$H79,'01. KE30'!$A:$A,'06. BC BH THEO CUSTOMER-USD'!CV$4)/1000</f>
        <v>0</v>
      </c>
      <c r="CW79" s="114">
        <f>SUMIFS('01. KE30'!$I:$I,'01. KE30'!$C:$C,'06. BC BH THEO CUSTOMER-USD'!$D79,'01. KE30'!$F:$F,'06. BC BH THEO CUSTOMER-USD'!$H79,'01. KE30'!$A:$A,'06. BC BH THEO CUSTOMER-USD'!CW$4)/1000</f>
        <v>0</v>
      </c>
      <c r="CX79" s="114">
        <f>SUMIFS('01. KE30'!$I:$I,'01. KE30'!$C:$C,'06. BC BH THEO CUSTOMER-USD'!$D79,'01. KE30'!$F:$F,'06. BC BH THEO CUSTOMER-USD'!$H79,'01. KE30'!$A:$A,'06. BC BH THEO CUSTOMER-USD'!CX$4)/1000</f>
        <v>0</v>
      </c>
      <c r="CY79" s="114">
        <f>SUMIFS('01. KE30'!$I:$I,'01. KE30'!$C:$C,'06. BC BH THEO CUSTOMER-USD'!$D79,'01. KE30'!$F:$F,'06. BC BH THEO CUSTOMER-USD'!$H79,'01. KE30'!$A:$A,'06. BC BH THEO CUSTOMER-USD'!CY$4)/1000</f>
        <v>0</v>
      </c>
      <c r="CZ79" s="114">
        <f>SUMIFS('01. KE30'!$I:$I,'01. KE30'!$C:$C,'06. BC BH THEO CUSTOMER-USD'!$D79,'01. KE30'!$F:$F,'06. BC BH THEO CUSTOMER-USD'!$H79,'01. KE30'!$A:$A,'06. BC BH THEO CUSTOMER-USD'!CZ$4)/1000</f>
        <v>0</v>
      </c>
      <c r="DA79" s="114">
        <f>SUMIFS('01. KE30'!$I:$I,'01. KE30'!$C:$C,'06. BC BH THEO CUSTOMER-USD'!$D79,'01. KE30'!$F:$F,'06. BC BH THEO CUSTOMER-USD'!$H79,'01. KE30'!$A:$A,'06. BC BH THEO CUSTOMER-USD'!DA$4)/1000</f>
        <v>0</v>
      </c>
      <c r="DB79" s="114">
        <f>SUMIFS('01. KE30'!$I:$I,'01. KE30'!$C:$C,'06. BC BH THEO CUSTOMER-USD'!$D79,'01. KE30'!$F:$F,'06. BC BH THEO CUSTOMER-USD'!$H79,'01. KE30'!$A:$A,'06. BC BH THEO CUSTOMER-USD'!DB$4)/1000</f>
        <v>0</v>
      </c>
      <c r="DC79" s="114">
        <f>SUMIFS('01. KE30'!$I:$I,'01. KE30'!$C:$C,'06. BC BH THEO CUSTOMER-USD'!$D79,'01. KE30'!$F:$F,'06. BC BH THEO CUSTOMER-USD'!$H79,'01. KE30'!$A:$A,'06. BC BH THEO CUSTOMER-USD'!DC$4)/1000</f>
        <v>0</v>
      </c>
      <c r="DD79" s="114">
        <f>SUMIFS('01. KE30'!$I:$I,'01. KE30'!$C:$C,'06. BC BH THEO CUSTOMER-USD'!$D79,'01. KE30'!$F:$F,'06. BC BH THEO CUSTOMER-USD'!$H79,'01. KE30'!$A:$A,'06. BC BH THEO CUSTOMER-USD'!DD$4)/1000</f>
        <v>0</v>
      </c>
      <c r="DF79" s="112">
        <f t="shared" si="267"/>
        <v>0</v>
      </c>
      <c r="DG79" s="54" t="str">
        <f t="shared" si="48"/>
        <v>-</v>
      </c>
      <c r="DH79" s="54" t="str">
        <f t="shared" si="49"/>
        <v>-</v>
      </c>
      <c r="DI79" s="54" t="str">
        <f t="shared" si="50"/>
        <v>-</v>
      </c>
      <c r="DJ79" s="54" t="str">
        <f t="shared" si="51"/>
        <v>-</v>
      </c>
      <c r="DK79" s="54" t="str">
        <f t="shared" si="52"/>
        <v>-</v>
      </c>
      <c r="DL79" s="54" t="str">
        <f t="shared" si="53"/>
        <v>-</v>
      </c>
      <c r="DM79" s="54" t="str">
        <f t="shared" si="54"/>
        <v>-</v>
      </c>
      <c r="DN79" s="54" t="str">
        <f t="shared" si="55"/>
        <v>-</v>
      </c>
      <c r="DO79" s="54" t="str">
        <f t="shared" si="56"/>
        <v>-</v>
      </c>
      <c r="DP79" s="54" t="str">
        <f t="shared" si="57"/>
        <v>-</v>
      </c>
      <c r="DQ79" s="54" t="str">
        <f t="shared" si="58"/>
        <v>-</v>
      </c>
      <c r="DR79" s="54" t="str">
        <f t="shared" si="59"/>
        <v>-</v>
      </c>
      <c r="DT79" s="112">
        <f t="shared" si="60"/>
        <v>0</v>
      </c>
      <c r="DU79" s="114">
        <f>IFERROR(SUMIFS('01. KE30'!$X:$X,'01. KE30'!$C:$C,'06. BC BH THEO CUSTOMER-USD'!$D79,'01. KE30'!$F:$F,'06. BC BH THEO CUSTOMER-USD'!$H79,'01. KE30'!$A:$A,'06. BC BH THEO CUSTOMER-USD'!DU$4)-SUMIFS('01. KE30'!$AA:$AA,'01. KE30'!$C:$C,'06. BC BH THEO CUSTOMER-USD'!$D79,'01. KE30'!$F:$F,'06. BC BH THEO CUSTOMER-USD'!$H79,'01. KE30'!$A:$A,'06. BC BH THEO CUSTOMER-USD'!DU$4),"-")</f>
        <v>0</v>
      </c>
      <c r="DV79" s="114">
        <f>IFERROR(SUMIFS('01. KE30'!$X:$X,'01. KE30'!$C:$C,'06. BC BH THEO CUSTOMER-USD'!$D79,'01. KE30'!$F:$F,'06. BC BH THEO CUSTOMER-USD'!$H79,'01. KE30'!$A:$A,'06. BC BH THEO CUSTOMER-USD'!DV$4)-SUMIFS('01. KE30'!$AA:$AA,'01. KE30'!$C:$C,'06. BC BH THEO CUSTOMER-USD'!$D79,'01. KE30'!$F:$F,'06. BC BH THEO CUSTOMER-USD'!$H79,'01. KE30'!$A:$A,'06. BC BH THEO CUSTOMER-USD'!DV$4),"-")</f>
        <v>0</v>
      </c>
      <c r="DW79" s="114">
        <f>IFERROR(SUMIFS('01. KE30'!$X:$X,'01. KE30'!$C:$C,'06. BC BH THEO CUSTOMER-USD'!$D79,'01. KE30'!$F:$F,'06. BC BH THEO CUSTOMER-USD'!$H79,'01. KE30'!$A:$A,'06. BC BH THEO CUSTOMER-USD'!DW$4)-SUMIFS('01. KE30'!$AA:$AA,'01. KE30'!$C:$C,'06. BC BH THEO CUSTOMER-USD'!$D79,'01. KE30'!$F:$F,'06. BC BH THEO CUSTOMER-USD'!$H79,'01. KE30'!$A:$A,'06. BC BH THEO CUSTOMER-USD'!DW$4),"-")</f>
        <v>0</v>
      </c>
      <c r="DX79" s="114">
        <f>IFERROR(SUMIFS('01. KE30'!$X:$X,'01. KE30'!$C:$C,'06. BC BH THEO CUSTOMER-USD'!$D79,'01. KE30'!$F:$F,'06. BC BH THEO CUSTOMER-USD'!$H79,'01. KE30'!$A:$A,'06. BC BH THEO CUSTOMER-USD'!DX$4)-SUMIFS('01. KE30'!$AA:$AA,'01. KE30'!$C:$C,'06. BC BH THEO CUSTOMER-USD'!$D79,'01. KE30'!$F:$F,'06. BC BH THEO CUSTOMER-USD'!$H79,'01. KE30'!$A:$A,'06. BC BH THEO CUSTOMER-USD'!DX$4),"-")</f>
        <v>0</v>
      </c>
      <c r="DY79" s="114">
        <f>IFERROR(SUMIFS('01. KE30'!$X:$X,'01. KE30'!$C:$C,'06. BC BH THEO CUSTOMER-USD'!$D79,'01. KE30'!$F:$F,'06. BC BH THEO CUSTOMER-USD'!$H79,'01. KE30'!$A:$A,'06. BC BH THEO CUSTOMER-USD'!DY$4)-SUMIFS('01. KE30'!$AA:$AA,'01. KE30'!$C:$C,'06. BC BH THEO CUSTOMER-USD'!$D79,'01. KE30'!$F:$F,'06. BC BH THEO CUSTOMER-USD'!$H79,'01. KE30'!$A:$A,'06. BC BH THEO CUSTOMER-USD'!DY$4),"-")</f>
        <v>0</v>
      </c>
      <c r="DZ79" s="114">
        <f>IFERROR(SUMIFS('01. KE30'!$X:$X,'01. KE30'!$C:$C,'06. BC BH THEO CUSTOMER-USD'!$D79,'01. KE30'!$F:$F,'06. BC BH THEO CUSTOMER-USD'!$H79,'01. KE30'!$A:$A,'06. BC BH THEO CUSTOMER-USD'!DZ$4)-SUMIFS('01. KE30'!$AA:$AA,'01. KE30'!$C:$C,'06. BC BH THEO CUSTOMER-USD'!$D79,'01. KE30'!$F:$F,'06. BC BH THEO CUSTOMER-USD'!$H79,'01. KE30'!$A:$A,'06. BC BH THEO CUSTOMER-USD'!DZ$4),"-")</f>
        <v>0</v>
      </c>
      <c r="EA79" s="114">
        <f>IFERROR(SUMIFS('01. KE30'!$X:$X,'01. KE30'!$C:$C,'06. BC BH THEO CUSTOMER-USD'!$D79,'01. KE30'!$F:$F,'06. BC BH THEO CUSTOMER-USD'!$H79,'01. KE30'!$A:$A,'06. BC BH THEO CUSTOMER-USD'!EA$4)-SUMIFS('01. KE30'!$AA:$AA,'01. KE30'!$C:$C,'06. BC BH THEO CUSTOMER-USD'!$D79,'01. KE30'!$F:$F,'06. BC BH THEO CUSTOMER-USD'!$H79,'01. KE30'!$A:$A,'06. BC BH THEO CUSTOMER-USD'!EA$4),"-")</f>
        <v>0</v>
      </c>
      <c r="EB79" s="114">
        <f>IFERROR(SUMIFS('01. KE30'!$X:$X,'01. KE30'!$C:$C,'06. BC BH THEO CUSTOMER-USD'!$D79,'01. KE30'!$F:$F,'06. BC BH THEO CUSTOMER-USD'!$H79,'01. KE30'!$A:$A,'06. BC BH THEO CUSTOMER-USD'!EB$4)-SUMIFS('01. KE30'!$AA:$AA,'01. KE30'!$C:$C,'06. BC BH THEO CUSTOMER-USD'!$D79,'01. KE30'!$F:$F,'06. BC BH THEO CUSTOMER-USD'!$H79,'01. KE30'!$A:$A,'06. BC BH THEO CUSTOMER-USD'!EB$4),"-")</f>
        <v>0</v>
      </c>
      <c r="EC79" s="114">
        <f>IFERROR(SUMIFS('01. KE30'!$X:$X,'01. KE30'!$C:$C,'06. BC BH THEO CUSTOMER-USD'!$D79,'01. KE30'!$F:$F,'06. BC BH THEO CUSTOMER-USD'!$H79,'01. KE30'!$A:$A,'06. BC BH THEO CUSTOMER-USD'!EC$4)-SUMIFS('01. KE30'!$AA:$AA,'01. KE30'!$C:$C,'06. BC BH THEO CUSTOMER-USD'!$D79,'01. KE30'!$F:$F,'06. BC BH THEO CUSTOMER-USD'!$H79,'01. KE30'!$A:$A,'06. BC BH THEO CUSTOMER-USD'!EC$4),"-")</f>
        <v>0</v>
      </c>
      <c r="ED79" s="114">
        <f>IFERROR(SUMIFS('01. KE30'!$X:$X,'01. KE30'!$C:$C,'06. BC BH THEO CUSTOMER-USD'!$D79,'01. KE30'!$F:$F,'06. BC BH THEO CUSTOMER-USD'!$H79,'01. KE30'!$A:$A,'06. BC BH THEO CUSTOMER-USD'!ED$4)-SUMIFS('01. KE30'!$AA:$AA,'01. KE30'!$C:$C,'06. BC BH THEO CUSTOMER-USD'!$D79,'01. KE30'!$F:$F,'06. BC BH THEO CUSTOMER-USD'!$H79,'01. KE30'!$A:$A,'06. BC BH THEO CUSTOMER-USD'!ED$4),"-")</f>
        <v>0</v>
      </c>
      <c r="EE79" s="114">
        <f>IFERROR(SUMIFS('01. KE30'!$X:$X,'01. KE30'!$C:$C,'06. BC BH THEO CUSTOMER-USD'!$D79,'01. KE30'!$F:$F,'06. BC BH THEO CUSTOMER-USD'!$H79,'01. KE30'!$A:$A,'06. BC BH THEO CUSTOMER-USD'!EE$4)-SUMIFS('01. KE30'!$AA:$AA,'01. KE30'!$C:$C,'06. BC BH THEO CUSTOMER-USD'!$D79,'01. KE30'!$F:$F,'06. BC BH THEO CUSTOMER-USD'!$H79,'01. KE30'!$A:$A,'06. BC BH THEO CUSTOMER-USD'!EE$4),"-")</f>
        <v>0</v>
      </c>
      <c r="EF79" s="114">
        <f>IFERROR(SUMIFS('01. KE30'!$X:$X,'01. KE30'!$C:$C,'06. BC BH THEO CUSTOMER-USD'!$D79,'01. KE30'!$F:$F,'06. BC BH THEO CUSTOMER-USD'!$H79,'01. KE30'!$A:$A,'06. BC BH THEO CUSTOMER-USD'!EF$4)-SUMIFS('01. KE30'!$AA:$AA,'01. KE30'!$C:$C,'06. BC BH THEO CUSTOMER-USD'!$D79,'01. KE30'!$F:$F,'06. BC BH THEO CUSTOMER-USD'!$H79,'01. KE30'!$A:$A,'06. BC BH THEO CUSTOMER-USD'!EF$4),"-")</f>
        <v>0</v>
      </c>
      <c r="EH79" s="571" t="str">
        <f t="shared" ref="EH79:EH157" si="531">IFERROR(DT79/DF79,"-")</f>
        <v>-</v>
      </c>
      <c r="EI79" s="572" t="str">
        <f t="shared" ref="EI79:EI157" si="532">IFERROR(DU79/DG79,"-")</f>
        <v>-</v>
      </c>
      <c r="EJ79" s="572" t="str">
        <f t="shared" ref="EJ79:EJ157" si="533">IFERROR(DV79/DH79,"-")</f>
        <v>-</v>
      </c>
      <c r="EK79" s="572" t="str">
        <f t="shared" ref="EK79:EK157" si="534">IFERROR(DW79/DI79,"-")</f>
        <v>-</v>
      </c>
      <c r="EL79" s="572" t="str">
        <f t="shared" ref="EL79:EL157" si="535">IFERROR(DX79/DJ79,"-")</f>
        <v>-</v>
      </c>
      <c r="EM79" s="572" t="str">
        <f t="shared" ref="EM79:EM157" si="536">IFERROR(DY79/DK79,"-")</f>
        <v>-</v>
      </c>
      <c r="EN79" s="572" t="str">
        <f t="shared" ref="EN79:EN157" si="537">IFERROR(DZ79/DL79,"-")</f>
        <v>-</v>
      </c>
      <c r="EO79" s="572" t="str">
        <f t="shared" ref="EO79:EO157" si="538">IFERROR(EA79/DM79,"-")</f>
        <v>-</v>
      </c>
      <c r="EP79" s="572" t="str">
        <f t="shared" ref="EP79:EP157" si="539">IFERROR(EB79/DN79,"-")</f>
        <v>-</v>
      </c>
      <c r="EQ79" s="572" t="str">
        <f t="shared" ref="EQ79:EQ157" si="540">IFERROR(EC79/DO79,"-")</f>
        <v>-</v>
      </c>
      <c r="ER79" s="572" t="str">
        <f t="shared" ref="ER79:ER157" si="541">IFERROR(ED79/DP79,"-")</f>
        <v>-</v>
      </c>
      <c r="ES79" s="572" t="str">
        <f t="shared" ref="ES79:ES157" si="542">IFERROR(EE79/DQ79,"-")</f>
        <v>-</v>
      </c>
      <c r="ET79" s="572" t="str">
        <f t="shared" ref="ET79:ET157" si="543">IFERROR(EF79/DR79,"-")</f>
        <v>-</v>
      </c>
    </row>
    <row r="80" spans="1:150" ht="15.5" hidden="1" outlineLevel="1" x14ac:dyDescent="0.35">
      <c r="A80" s="27">
        <f t="shared" si="63"/>
        <v>67</v>
      </c>
      <c r="B80" s="27" t="s">
        <v>283</v>
      </c>
      <c r="C80" s="442" t="s">
        <v>489</v>
      </c>
      <c r="D80" s="9" t="s">
        <v>239</v>
      </c>
      <c r="E80" s="31" t="s">
        <v>240</v>
      </c>
      <c r="F80" s="12" t="s">
        <v>245</v>
      </c>
      <c r="G80" s="12" t="str">
        <f>_xlfn.XLOOKUP(F80,'Quy đổi'!$G$5:$G$32,'Quy đổi'!$H$5:$H$32,0)</f>
        <v>Nội địa</v>
      </c>
      <c r="H80" s="76" t="s">
        <v>110</v>
      </c>
      <c r="I80" s="28" t="s">
        <v>109</v>
      </c>
      <c r="J80" s="13" t="s">
        <v>22</v>
      </c>
      <c r="K80" s="30"/>
      <c r="L80" s="92" t="str">
        <f t="shared" ref="L80" si="544">IFERROR(AVERAGE(M80:X80),"-")</f>
        <v>-</v>
      </c>
      <c r="M80" s="106" t="str">
        <f>IFERROR(SUMIFS('01. KE30'!$K:$K,'01. KE30'!$C:$C,'06. BC BH THEO CUSTOMER-USD'!$D80,'01. KE30'!$F:$F,'06. BC BH THEO CUSTOMER-USD'!$H80,'01. KE30'!$A:$A,'06. BC BH THEO CUSTOMER-USD'!M$4)/'06. BC BH THEO CUSTOMER-USD'!CS80/'02. Tỷ giá'!B$5,"-")</f>
        <v>-</v>
      </c>
      <c r="N80" s="106" t="str">
        <f>IFERROR(SUMIFS('01. KE30'!$K:$K,'01. KE30'!$C:$C,'06. BC BH THEO CUSTOMER-USD'!$D80,'01. KE30'!$F:$F,'06. BC BH THEO CUSTOMER-USD'!$H80,'01. KE30'!$A:$A,'06. BC BH THEO CUSTOMER-USD'!N$4)/'06. BC BH THEO CUSTOMER-USD'!CT80/'02. Tỷ giá'!C$5,"-")</f>
        <v>-</v>
      </c>
      <c r="O80" s="106" t="str">
        <f>IFERROR(SUMIFS('01. KE30'!$K:$K,'01. KE30'!$C:$C,'06. BC BH THEO CUSTOMER-USD'!$D80,'01. KE30'!$F:$F,'06. BC BH THEO CUSTOMER-USD'!$H80,'01. KE30'!$A:$A,'06. BC BH THEO CUSTOMER-USD'!O$4)/'06. BC BH THEO CUSTOMER-USD'!CU80/'02. Tỷ giá'!D$5,"-")</f>
        <v>-</v>
      </c>
      <c r="P80" s="106" t="str">
        <f>IFERROR(SUMIFS('01. KE30'!$K:$K,'01. KE30'!$C:$C,'06. BC BH THEO CUSTOMER-USD'!$D80,'01. KE30'!$F:$F,'06. BC BH THEO CUSTOMER-USD'!$H80,'01. KE30'!$A:$A,'06. BC BH THEO CUSTOMER-USD'!P$4)/'06. BC BH THEO CUSTOMER-USD'!CV80/'02. Tỷ giá'!E$5,"-")</f>
        <v>-</v>
      </c>
      <c r="Q80" s="106" t="str">
        <f>IFERROR(SUMIFS('01. KE30'!$K:$K,'01. KE30'!$C:$C,'06. BC BH THEO CUSTOMER-USD'!$D80,'01. KE30'!$F:$F,'06. BC BH THEO CUSTOMER-USD'!$H80,'01. KE30'!$A:$A,'06. BC BH THEO CUSTOMER-USD'!Q$4)/'06. BC BH THEO CUSTOMER-USD'!CW80/'02. Tỷ giá'!F$5,"-")</f>
        <v>-</v>
      </c>
      <c r="R80" s="106" t="str">
        <f>IFERROR(SUMIFS('01. KE30'!$K:$K,'01. KE30'!$C:$C,'06. BC BH THEO CUSTOMER-USD'!$D80,'01. KE30'!$F:$F,'06. BC BH THEO CUSTOMER-USD'!$H80,'01. KE30'!$A:$A,'06. BC BH THEO CUSTOMER-USD'!R$4)/'06. BC BH THEO CUSTOMER-USD'!CX80/'02. Tỷ giá'!G$5,"-")</f>
        <v>-</v>
      </c>
      <c r="S80" s="106" t="str">
        <f>IFERROR(SUMIFS('01. KE30'!$K:$K,'01. KE30'!$C:$C,'06. BC BH THEO CUSTOMER-USD'!$D80,'01. KE30'!$F:$F,'06. BC BH THEO CUSTOMER-USD'!$H80,'01. KE30'!$A:$A,'06. BC BH THEO CUSTOMER-USD'!S$4)/'06. BC BH THEO CUSTOMER-USD'!CY80/'02. Tỷ giá'!H$5,"-")</f>
        <v>-</v>
      </c>
      <c r="T80" s="106" t="str">
        <f>IFERROR(SUMIFS('01. KE30'!$K:$K,'01. KE30'!$C:$C,'06. BC BH THEO CUSTOMER-USD'!$D80,'01. KE30'!$F:$F,'06. BC BH THEO CUSTOMER-USD'!$H80,'01. KE30'!$A:$A,'06. BC BH THEO CUSTOMER-USD'!T$4)/'06. BC BH THEO CUSTOMER-USD'!CZ80/'02. Tỷ giá'!I$5,"-")</f>
        <v>-</v>
      </c>
      <c r="U80" s="106" t="str">
        <f>IFERROR(SUMIFS('01. KE30'!$K:$K,'01. KE30'!$C:$C,'06. BC BH THEO CUSTOMER-USD'!$D80,'01. KE30'!$F:$F,'06. BC BH THEO CUSTOMER-USD'!$H80,'01. KE30'!$A:$A,'06. BC BH THEO CUSTOMER-USD'!U$4)/'06. BC BH THEO CUSTOMER-USD'!DA80/'02. Tỷ giá'!J$5,"-")</f>
        <v>-</v>
      </c>
      <c r="V80" s="106" t="str">
        <f>IFERROR(SUMIFS('01. KE30'!$K:$K,'01. KE30'!$C:$C,'06. BC BH THEO CUSTOMER-USD'!$D80,'01. KE30'!$F:$F,'06. BC BH THEO CUSTOMER-USD'!$H80,'01. KE30'!$A:$A,'06. BC BH THEO CUSTOMER-USD'!V$4)/'06. BC BH THEO CUSTOMER-USD'!DB80/'02. Tỷ giá'!K$5,"-")</f>
        <v>-</v>
      </c>
      <c r="W80" s="106" t="str">
        <f>IFERROR(SUMIFS('01. KE30'!$K:$K,'01. KE30'!$C:$C,'06. BC BH THEO CUSTOMER-USD'!$D80,'01. KE30'!$F:$F,'06. BC BH THEO CUSTOMER-USD'!$H80,'01. KE30'!$A:$A,'06. BC BH THEO CUSTOMER-USD'!W$4)/'06. BC BH THEO CUSTOMER-USD'!DC80/'02. Tỷ giá'!L$5,"-")</f>
        <v>-</v>
      </c>
      <c r="X80" s="106" t="str">
        <f>IFERROR(SUMIFS('01. KE30'!$K:$K,'01. KE30'!$C:$C,'06. BC BH THEO CUSTOMER-USD'!$D80,'01. KE30'!$F:$F,'06. BC BH THEO CUSTOMER-USD'!$H80,'01. KE30'!$A:$A,'06. BC BH THEO CUSTOMER-USD'!X$4)/'06. BC BH THEO CUSTOMER-USD'!DD80/'02. Tỷ giá'!M$5,"-")</f>
        <v>-</v>
      </c>
      <c r="Z80" s="92" t="str">
        <f t="shared" ref="Z80" si="545">IFERROR(AVERAGE(AA80:AL80),"-")</f>
        <v>-</v>
      </c>
      <c r="AA80" s="147" t="str">
        <f>IFERROR(SUMIFS('01. KE30'!$O:$O,'01. KE30'!$C:$C,'06. BC BH THEO CUSTOMER-USD'!$D80,'01. KE30'!$F:$F,'06. BC BH THEO CUSTOMER-USD'!$H80,'01. KE30'!$A:$A,'06. BC BH THEO CUSTOMER-USD'!M$4)/'06. BC BH THEO CUSTOMER-USD'!CS80/'02. Tỷ giá'!B$5,"-")</f>
        <v>-</v>
      </c>
      <c r="AB80" s="147" t="str">
        <f>IFERROR(SUMIFS('01. KE30'!$O:$O,'01. KE30'!$C:$C,'06. BC BH THEO CUSTOMER-USD'!$D80,'01. KE30'!$F:$F,'06. BC BH THEO CUSTOMER-USD'!$H80,'01. KE30'!$A:$A,'06. BC BH THEO CUSTOMER-USD'!N$4)/'06. BC BH THEO CUSTOMER-USD'!CT80/'02. Tỷ giá'!C$5,"-")</f>
        <v>-</v>
      </c>
      <c r="AC80" s="147" t="str">
        <f>IFERROR(SUMIFS('01. KE30'!$O:$O,'01. KE30'!$C:$C,'06. BC BH THEO CUSTOMER-USD'!$D80,'01. KE30'!$F:$F,'06. BC BH THEO CUSTOMER-USD'!$H80,'01. KE30'!$A:$A,'06. BC BH THEO CUSTOMER-USD'!O$4)/'06. BC BH THEO CUSTOMER-USD'!CU80/'02. Tỷ giá'!D$5,"-")</f>
        <v>-</v>
      </c>
      <c r="AD80" s="147" t="str">
        <f>IFERROR(SUMIFS('01. KE30'!$O:$O,'01. KE30'!$C:$C,'06. BC BH THEO CUSTOMER-USD'!$D80,'01. KE30'!$F:$F,'06. BC BH THEO CUSTOMER-USD'!$H80,'01. KE30'!$A:$A,'06. BC BH THEO CUSTOMER-USD'!P$4)/'06. BC BH THEO CUSTOMER-USD'!CV80/'02. Tỷ giá'!E$5,"-")</f>
        <v>-</v>
      </c>
      <c r="AE80" s="147" t="str">
        <f>IFERROR(SUMIFS('01. KE30'!$O:$O,'01. KE30'!$C:$C,'06. BC BH THEO CUSTOMER-USD'!$D80,'01. KE30'!$F:$F,'06. BC BH THEO CUSTOMER-USD'!$H80,'01. KE30'!$A:$A,'06. BC BH THEO CUSTOMER-USD'!Q$4)/'06. BC BH THEO CUSTOMER-USD'!CW80/'02. Tỷ giá'!F$5,"-")</f>
        <v>-</v>
      </c>
      <c r="AF80" s="147" t="str">
        <f>IFERROR(SUMIFS('01. KE30'!$O:$O,'01. KE30'!$C:$C,'06. BC BH THEO CUSTOMER-USD'!$D80,'01. KE30'!$F:$F,'06. BC BH THEO CUSTOMER-USD'!$H80,'01. KE30'!$A:$A,'06. BC BH THEO CUSTOMER-USD'!R$4)/'06. BC BH THEO CUSTOMER-USD'!CX80/'02. Tỷ giá'!G$5,"-")</f>
        <v>-</v>
      </c>
      <c r="AG80" s="147" t="str">
        <f>IFERROR(SUMIFS('01. KE30'!$O:$O,'01. KE30'!$C:$C,'06. BC BH THEO CUSTOMER-USD'!$D80,'01. KE30'!$F:$F,'06. BC BH THEO CUSTOMER-USD'!$H80,'01. KE30'!$A:$A,'06. BC BH THEO CUSTOMER-USD'!S$4)/'06. BC BH THEO CUSTOMER-USD'!CY80/'02. Tỷ giá'!H$5,"-")</f>
        <v>-</v>
      </c>
      <c r="AH80" s="147" t="str">
        <f>IFERROR(SUMIFS('01. KE30'!$O:$O,'01. KE30'!$C:$C,'06. BC BH THEO CUSTOMER-USD'!$D80,'01. KE30'!$F:$F,'06. BC BH THEO CUSTOMER-USD'!$H80,'01. KE30'!$A:$A,'06. BC BH THEO CUSTOMER-USD'!T$4)/'06. BC BH THEO CUSTOMER-USD'!CZ80/'02. Tỷ giá'!I$5,"-")</f>
        <v>-</v>
      </c>
      <c r="AI80" s="147" t="str">
        <f>IFERROR(SUMIFS('01. KE30'!$O:$O,'01. KE30'!$C:$C,'06. BC BH THEO CUSTOMER-USD'!$D80,'01. KE30'!$F:$F,'06. BC BH THEO CUSTOMER-USD'!$H80,'01. KE30'!$A:$A,'06. BC BH THEO CUSTOMER-USD'!U$4)/'06. BC BH THEO CUSTOMER-USD'!DA80/'02. Tỷ giá'!J$5,"-")</f>
        <v>-</v>
      </c>
      <c r="AJ80" s="147" t="str">
        <f>IFERROR(SUMIFS('01. KE30'!$O:$O,'01. KE30'!$C:$C,'06. BC BH THEO CUSTOMER-USD'!$D80,'01. KE30'!$F:$F,'06. BC BH THEO CUSTOMER-USD'!$H80,'01. KE30'!$A:$A,'06. BC BH THEO CUSTOMER-USD'!V$4)/'06. BC BH THEO CUSTOMER-USD'!DB80/'02. Tỷ giá'!K$5,"-")</f>
        <v>-</v>
      </c>
      <c r="AK80" s="147" t="str">
        <f>IFERROR(SUMIFS('01. KE30'!$O:$O,'01. KE30'!$C:$C,'06. BC BH THEO CUSTOMER-USD'!$D80,'01. KE30'!$F:$F,'06. BC BH THEO CUSTOMER-USD'!$H80,'01. KE30'!$A:$A,'06. BC BH THEO CUSTOMER-USD'!W$4)/'06. BC BH THEO CUSTOMER-USD'!DC80/'02. Tỷ giá'!L$5,"-")</f>
        <v>-</v>
      </c>
      <c r="AL80" s="147" t="str">
        <f>IFERROR(SUMIFS('01. KE30'!$O:$O,'01. KE30'!$C:$C,'06. BC BH THEO CUSTOMER-USD'!$D80,'01. KE30'!$F:$F,'06. BC BH THEO CUSTOMER-USD'!$H80,'01. KE30'!$A:$A,'06. BC BH THEO CUSTOMER-USD'!X$4)/'06. BC BH THEO CUSTOMER-USD'!DD80/'02. Tỷ giá'!M$5,"-")</f>
        <v>-</v>
      </c>
      <c r="AN80" s="92">
        <f t="shared" ref="AN80" si="546">IFERROR(AVERAGE(AO80:AZ80),"-")</f>
        <v>1236.6666666666667</v>
      </c>
      <c r="AO80" s="25">
        <v>1230</v>
      </c>
      <c r="AP80" s="25">
        <v>1230</v>
      </c>
      <c r="AQ80" s="25">
        <v>1230</v>
      </c>
      <c r="AR80" s="25">
        <f>AQ80+20</f>
        <v>1250</v>
      </c>
      <c r="AS80" s="25">
        <v>1250</v>
      </c>
      <c r="AT80" s="25">
        <v>1250</v>
      </c>
      <c r="AU80" s="25">
        <v>1250</v>
      </c>
      <c r="AV80" s="4">
        <f t="shared" si="205"/>
        <v>1220</v>
      </c>
      <c r="AW80" s="25">
        <v>1220</v>
      </c>
      <c r="AX80" s="25"/>
      <c r="AY80" s="4"/>
      <c r="AZ80" s="4"/>
      <c r="BB80" s="95" t="str">
        <f t="shared" ref="BB80" si="547">IF(L80&lt;&gt;"-",Z80-AN80,"-")</f>
        <v>-</v>
      </c>
      <c r="BC80" s="95" t="str">
        <f t="shared" ref="BC80" si="548">IF(M80&lt;&gt;"-",AA80-AO80,"-")</f>
        <v>-</v>
      </c>
      <c r="BD80" s="95" t="str">
        <f t="shared" ref="BD80" si="549">IF(N80&lt;&gt;"-",AB80-AP80,"-")</f>
        <v>-</v>
      </c>
      <c r="BE80" s="95" t="str">
        <f t="shared" ref="BE80" si="550">IF(O80&lt;&gt;"-",AC80-AQ80,"-")</f>
        <v>-</v>
      </c>
      <c r="BF80" s="95" t="str">
        <f t="shared" ref="BF80" si="551">IF(P80&lt;&gt;"-",AD80-AR80,"-")</f>
        <v>-</v>
      </c>
      <c r="BG80" s="95" t="str">
        <f t="shared" ref="BG80" si="552">IF(Q80&lt;&gt;"-",AE80-AS80,"-")</f>
        <v>-</v>
      </c>
      <c r="BH80" s="95" t="str">
        <f t="shared" ref="BH80" si="553">IF(R80&lt;&gt;"-",AF80-AT80,"-")</f>
        <v>-</v>
      </c>
      <c r="BI80" s="95" t="str">
        <f t="shared" ref="BI80" si="554">IF(S80&lt;&gt;"-",AG80-AU80,"-")</f>
        <v>-</v>
      </c>
      <c r="BJ80" s="95" t="str">
        <f t="shared" ref="BJ80" si="555">IF(T80&lt;&gt;"-",AH80-AV80,"-")</f>
        <v>-</v>
      </c>
      <c r="BK80" s="95" t="str">
        <f t="shared" ref="BK80" si="556">IF(U80&lt;&gt;"-",AI80-AW80,"-")</f>
        <v>-</v>
      </c>
      <c r="BL80" s="95" t="str">
        <f t="shared" ref="BL80" si="557">IF(V80&lt;&gt;"-",AJ80-AX80,"-")</f>
        <v>-</v>
      </c>
      <c r="BM80" s="95" t="str">
        <f t="shared" ref="BM80" si="558">IF(W80&lt;&gt;"-",AK80-AY80,"-")</f>
        <v>-</v>
      </c>
      <c r="BN80" s="95" t="str">
        <f t="shared" ref="BN80" si="559">IF(X80&lt;&gt;"-",AL80-AZ80,"-")</f>
        <v>-</v>
      </c>
      <c r="BP80" s="143" t="str">
        <f t="shared" ref="BP80" si="560">IFERROR(IF(BB80&lt;&gt;"-",BB80/AN80,"-"),"-")</f>
        <v>-</v>
      </c>
      <c r="BQ80" s="143" t="str">
        <f t="shared" ref="BQ80" si="561">IFERROR(IF(BC80&lt;&gt;"-",BC80/AO80,"-"),"-")</f>
        <v>-</v>
      </c>
      <c r="BR80" s="143" t="str">
        <f t="shared" ref="BR80" si="562">IFERROR(IF(BD80&lt;&gt;"-",BD80/AP80,"-"),"-")</f>
        <v>-</v>
      </c>
      <c r="BS80" s="143" t="str">
        <f t="shared" ref="BS80" si="563">IFERROR(IF(BE80&lt;&gt;"-",BE80/AQ80,"-"),"-")</f>
        <v>-</v>
      </c>
      <c r="BT80" s="143" t="str">
        <f t="shared" ref="BT80" si="564">IFERROR(IF(BF80&lt;&gt;"-",BF80/AR80,"-"),"-")</f>
        <v>-</v>
      </c>
      <c r="BU80" s="143" t="str">
        <f t="shared" ref="BU80" si="565">IFERROR(IF(BG80&lt;&gt;"-",BG80/AS80,"-"),"-")</f>
        <v>-</v>
      </c>
      <c r="BV80" s="143" t="str">
        <f t="shared" ref="BV80" si="566">IFERROR(IF(BH80&lt;&gt;"-",BH80/AT80,"-"),"-")</f>
        <v>-</v>
      </c>
      <c r="BW80" s="143" t="str">
        <f t="shared" ref="BW80" si="567">IFERROR(IF(BI80&lt;&gt;"-",BI80/AU80,"-"),"-")</f>
        <v>-</v>
      </c>
      <c r="BX80" s="143" t="str">
        <f t="shared" ref="BX80" si="568">IFERROR(IF(BJ80&lt;&gt;"-",BJ80/AV80,"-"),"-")</f>
        <v>-</v>
      </c>
      <c r="BY80" s="143" t="str">
        <f t="shared" ref="BY80" si="569">IFERROR(IF(BK80&lt;&gt;"-",BK80/AW80,"-"),"-")</f>
        <v>-</v>
      </c>
      <c r="BZ80" s="143" t="str">
        <f t="shared" ref="BZ80" si="570">IFERROR(IF(BL80&lt;&gt;"-",BL80/AX80,"-"),"-")</f>
        <v>-</v>
      </c>
      <c r="CA80" s="143" t="str">
        <f t="shared" ref="CA80" si="571">IFERROR(IF(BM80&lt;&gt;"-",BM80/AY80,"-"),"-")</f>
        <v>-</v>
      </c>
      <c r="CB80" s="143" t="str">
        <f t="shared" ref="CB80" si="572">IFERROR(IF(BN80&lt;&gt;"-",BN80/AZ80,"-"),"-")</f>
        <v>-</v>
      </c>
      <c r="CD80" s="112" t="str">
        <f t="shared" ref="CD80" si="573">IFERROR(AVERAGE(CE80:CP80),"-")</f>
        <v>-</v>
      </c>
      <c r="CE80" s="95" t="str">
        <f>IFERROR(SUMIFS('01. KE30'!$R:$R,'01. KE30'!$C:$C,'06. BC BH THEO CUSTOMER-USD'!$D80,'01. KE30'!$F:$F,'06. BC BH THEO CUSTOMER-USD'!$H80,'01. KE30'!$A:$A,'06. BC BH THEO CUSTOMER-USD'!CE$4)/CS80/'02. Tỷ giá'!B$5," -")</f>
        <v xml:space="preserve"> -</v>
      </c>
      <c r="CF80" s="95" t="str">
        <f>IFERROR(SUMIFS('01. KE30'!$R:$R,'01. KE30'!$C:$C,'06. BC BH THEO CUSTOMER-USD'!$D80,'01. KE30'!$F:$F,'06. BC BH THEO CUSTOMER-USD'!$H80,'01. KE30'!$A:$A,'06. BC BH THEO CUSTOMER-USD'!CF$4)/CT80/'02. Tỷ giá'!C$5," -")</f>
        <v xml:space="preserve"> -</v>
      </c>
      <c r="CG80" s="95" t="str">
        <f>IFERROR(SUMIFS('01. KE30'!$R:$R,'01. KE30'!$C:$C,'06. BC BH THEO CUSTOMER-USD'!$D80,'01. KE30'!$F:$F,'06. BC BH THEO CUSTOMER-USD'!$H80,'01. KE30'!$A:$A,'06. BC BH THEO CUSTOMER-USD'!CG$4)/CU80/'02. Tỷ giá'!D$5," -")</f>
        <v xml:space="preserve"> -</v>
      </c>
      <c r="CH80" s="95" t="str">
        <f>IFERROR(SUMIFS('01. KE30'!$R:$R,'01. KE30'!$C:$C,'06. BC BH THEO CUSTOMER-USD'!$D80,'01. KE30'!$F:$F,'06. BC BH THEO CUSTOMER-USD'!$H80,'01. KE30'!$A:$A,'06. BC BH THEO CUSTOMER-USD'!CH$4)/CV80/'02. Tỷ giá'!E$5," -")</f>
        <v xml:space="preserve"> -</v>
      </c>
      <c r="CI80" s="95" t="str">
        <f>IFERROR(SUMIFS('01. KE30'!$R:$R,'01. KE30'!$C:$C,'06. BC BH THEO CUSTOMER-USD'!$D80,'01. KE30'!$F:$F,'06. BC BH THEO CUSTOMER-USD'!$H80,'01. KE30'!$A:$A,'06. BC BH THEO CUSTOMER-USD'!CI$4)/CW80/'02. Tỷ giá'!F$5," -")</f>
        <v xml:space="preserve"> -</v>
      </c>
      <c r="CJ80" s="95" t="str">
        <f>IFERROR(SUMIFS('01. KE30'!$R:$R,'01. KE30'!$C:$C,'06. BC BH THEO CUSTOMER-USD'!$D80,'01. KE30'!$F:$F,'06. BC BH THEO CUSTOMER-USD'!$H80,'01. KE30'!$A:$A,'06. BC BH THEO CUSTOMER-USD'!CJ$4)/CX80/'02. Tỷ giá'!G$5," -")</f>
        <v xml:space="preserve"> -</v>
      </c>
      <c r="CK80" s="95" t="str">
        <f>IFERROR(SUMIFS('01. KE30'!$R:$R,'01. KE30'!$C:$C,'06. BC BH THEO CUSTOMER-USD'!$D80,'01. KE30'!$F:$F,'06. BC BH THEO CUSTOMER-USD'!$H80,'01. KE30'!$A:$A,'06. BC BH THEO CUSTOMER-USD'!CK$4)/CY80/'02. Tỷ giá'!H$5," -")</f>
        <v xml:space="preserve"> -</v>
      </c>
      <c r="CL80" s="95" t="str">
        <f>IFERROR(SUMIFS('01. KE30'!$R:$R,'01. KE30'!$C:$C,'06. BC BH THEO CUSTOMER-USD'!$D80,'01. KE30'!$F:$F,'06. BC BH THEO CUSTOMER-USD'!$H80,'01. KE30'!$A:$A,'06. BC BH THEO CUSTOMER-USD'!CL$4)/CZ80/'02. Tỷ giá'!I$5," -")</f>
        <v xml:space="preserve"> -</v>
      </c>
      <c r="CM80" s="95" t="str">
        <f>IFERROR(SUMIFS('01. KE30'!$R:$R,'01. KE30'!$C:$C,'06. BC BH THEO CUSTOMER-USD'!$D80,'01. KE30'!$F:$F,'06. BC BH THEO CUSTOMER-USD'!$H80,'01. KE30'!$A:$A,'06. BC BH THEO CUSTOMER-USD'!CM$4)/DA80/'02. Tỷ giá'!J$5," -")</f>
        <v xml:space="preserve"> -</v>
      </c>
      <c r="CN80" s="95" t="str">
        <f>IFERROR(SUMIFS('01. KE30'!$R:$R,'01. KE30'!$C:$C,'06. BC BH THEO CUSTOMER-USD'!$D80,'01. KE30'!$F:$F,'06. BC BH THEO CUSTOMER-USD'!$H80,'01. KE30'!$A:$A,'06. BC BH THEO CUSTOMER-USD'!CN$4)/DB80/'02. Tỷ giá'!K$5," -")</f>
        <v xml:space="preserve"> -</v>
      </c>
      <c r="CO80" s="95" t="str">
        <f>IFERROR(SUMIFS('01. KE30'!$R:$R,'01. KE30'!$C:$C,'06. BC BH THEO CUSTOMER-USD'!$D80,'01. KE30'!$F:$F,'06. BC BH THEO CUSTOMER-USD'!$H80,'01. KE30'!$A:$A,'06. BC BH THEO CUSTOMER-USD'!CO$4)/DC80/'02. Tỷ giá'!L$5," -")</f>
        <v xml:space="preserve"> -</v>
      </c>
      <c r="CP80" s="95" t="str">
        <f>IFERROR(SUMIFS('01. KE30'!$R:$R,'01. KE30'!$C:$C,'06. BC BH THEO CUSTOMER-USD'!$D80,'01. KE30'!$F:$F,'06. BC BH THEO CUSTOMER-USD'!$H80,'01. KE30'!$A:$A,'06. BC BH THEO CUSTOMER-USD'!CP$4)/DD80/'02. Tỷ giá'!M$5," -")</f>
        <v xml:space="preserve"> -</v>
      </c>
      <c r="CR80" s="112">
        <f t="shared" ref="CR80" si="574">SUM(CS80:DD80)</f>
        <v>0</v>
      </c>
      <c r="CS80" s="114">
        <f>SUMIFS('01. KE30'!$I:$I,'01. KE30'!$C:$C,'06. BC BH THEO CUSTOMER-USD'!$D80,'01. KE30'!$F:$F,'06. BC BH THEO CUSTOMER-USD'!$H80,'01. KE30'!$A:$A,'06. BC BH THEO CUSTOMER-USD'!CS$4)/1000</f>
        <v>0</v>
      </c>
      <c r="CT80" s="114">
        <f>SUMIFS('01. KE30'!$I:$I,'01. KE30'!$C:$C,'06. BC BH THEO CUSTOMER-USD'!$D80,'01. KE30'!$F:$F,'06. BC BH THEO CUSTOMER-USD'!$H80,'01. KE30'!$A:$A,'06. BC BH THEO CUSTOMER-USD'!CT$4)/1000</f>
        <v>0</v>
      </c>
      <c r="CU80" s="114">
        <f>SUMIFS('01. KE30'!$I:$I,'01. KE30'!$C:$C,'06. BC BH THEO CUSTOMER-USD'!$D80,'01. KE30'!$F:$F,'06. BC BH THEO CUSTOMER-USD'!$H80,'01. KE30'!$A:$A,'06. BC BH THEO CUSTOMER-USD'!CU$4)/1000</f>
        <v>0</v>
      </c>
      <c r="CV80" s="114">
        <f>SUMIFS('01. KE30'!$I:$I,'01. KE30'!$C:$C,'06. BC BH THEO CUSTOMER-USD'!$D80,'01. KE30'!$F:$F,'06. BC BH THEO CUSTOMER-USD'!$H80,'01. KE30'!$A:$A,'06. BC BH THEO CUSTOMER-USD'!CV$4)/1000</f>
        <v>0</v>
      </c>
      <c r="CW80" s="114">
        <f>SUMIFS('01. KE30'!$I:$I,'01. KE30'!$C:$C,'06. BC BH THEO CUSTOMER-USD'!$D80,'01. KE30'!$F:$F,'06. BC BH THEO CUSTOMER-USD'!$H80,'01. KE30'!$A:$A,'06. BC BH THEO CUSTOMER-USD'!CW$4)/1000</f>
        <v>0</v>
      </c>
      <c r="CX80" s="114">
        <f>SUMIFS('01. KE30'!$I:$I,'01. KE30'!$C:$C,'06. BC BH THEO CUSTOMER-USD'!$D80,'01. KE30'!$F:$F,'06. BC BH THEO CUSTOMER-USD'!$H80,'01. KE30'!$A:$A,'06. BC BH THEO CUSTOMER-USD'!CX$4)/1000</f>
        <v>0</v>
      </c>
      <c r="CY80" s="114">
        <f>SUMIFS('01. KE30'!$I:$I,'01. KE30'!$C:$C,'06. BC BH THEO CUSTOMER-USD'!$D80,'01. KE30'!$F:$F,'06. BC BH THEO CUSTOMER-USD'!$H80,'01. KE30'!$A:$A,'06. BC BH THEO CUSTOMER-USD'!CY$4)/1000</f>
        <v>0</v>
      </c>
      <c r="CZ80" s="114">
        <f>SUMIFS('01. KE30'!$I:$I,'01. KE30'!$C:$C,'06. BC BH THEO CUSTOMER-USD'!$D80,'01. KE30'!$F:$F,'06. BC BH THEO CUSTOMER-USD'!$H80,'01. KE30'!$A:$A,'06. BC BH THEO CUSTOMER-USD'!CZ$4)/1000</f>
        <v>0</v>
      </c>
      <c r="DA80" s="114">
        <f>SUMIFS('01. KE30'!$I:$I,'01. KE30'!$C:$C,'06. BC BH THEO CUSTOMER-USD'!$D80,'01. KE30'!$F:$F,'06. BC BH THEO CUSTOMER-USD'!$H80,'01. KE30'!$A:$A,'06. BC BH THEO CUSTOMER-USD'!DA$4)/1000</f>
        <v>0</v>
      </c>
      <c r="DB80" s="114">
        <f>SUMIFS('01. KE30'!$I:$I,'01. KE30'!$C:$C,'06. BC BH THEO CUSTOMER-USD'!$D80,'01. KE30'!$F:$F,'06. BC BH THEO CUSTOMER-USD'!$H80,'01. KE30'!$A:$A,'06. BC BH THEO CUSTOMER-USD'!DB$4)/1000</f>
        <v>0</v>
      </c>
      <c r="DC80" s="114">
        <f>SUMIFS('01. KE30'!$I:$I,'01. KE30'!$C:$C,'06. BC BH THEO CUSTOMER-USD'!$D80,'01. KE30'!$F:$F,'06. BC BH THEO CUSTOMER-USD'!$H80,'01. KE30'!$A:$A,'06. BC BH THEO CUSTOMER-USD'!DC$4)/1000</f>
        <v>0</v>
      </c>
      <c r="DD80" s="114">
        <f>SUMIFS('01. KE30'!$I:$I,'01. KE30'!$C:$C,'06. BC BH THEO CUSTOMER-USD'!$D80,'01. KE30'!$F:$F,'06. BC BH THEO CUSTOMER-USD'!$H80,'01. KE30'!$A:$A,'06. BC BH THEO CUSTOMER-USD'!DD$4)/1000</f>
        <v>0</v>
      </c>
      <c r="DF80" s="112">
        <f t="shared" ref="DF80" si="575">SUM(DG80:DR80)</f>
        <v>0</v>
      </c>
      <c r="DG80" s="54" t="str">
        <f t="shared" ref="DG80" si="576">IFERROR(M80*CS80,"-")</f>
        <v>-</v>
      </c>
      <c r="DH80" s="54" t="str">
        <f t="shared" ref="DH80" si="577">IFERROR(N80*CT80,"-")</f>
        <v>-</v>
      </c>
      <c r="DI80" s="54" t="str">
        <f t="shared" ref="DI80" si="578">IFERROR(O80*CU80,"-")</f>
        <v>-</v>
      </c>
      <c r="DJ80" s="54" t="str">
        <f t="shared" ref="DJ80" si="579">IFERROR(P80*CV80,"-")</f>
        <v>-</v>
      </c>
      <c r="DK80" s="54" t="str">
        <f t="shared" ref="DK80" si="580">IFERROR(Q80*CW80,"-")</f>
        <v>-</v>
      </c>
      <c r="DL80" s="54" t="str">
        <f t="shared" ref="DL80" si="581">IFERROR(R80*CX80,"-")</f>
        <v>-</v>
      </c>
      <c r="DM80" s="54" t="str">
        <f t="shared" ref="DM80" si="582">IFERROR(S80*CY80,"-")</f>
        <v>-</v>
      </c>
      <c r="DN80" s="54" t="str">
        <f t="shared" ref="DN80" si="583">IFERROR(T80*CZ80,"-")</f>
        <v>-</v>
      </c>
      <c r="DO80" s="54" t="str">
        <f t="shared" ref="DO80" si="584">IFERROR(U80*DA80,"-")</f>
        <v>-</v>
      </c>
      <c r="DP80" s="54" t="str">
        <f t="shared" ref="DP80" si="585">IFERROR(V80*DB80,"-")</f>
        <v>-</v>
      </c>
      <c r="DQ80" s="54" t="str">
        <f t="shared" ref="DQ80" si="586">IFERROR(W80*DC80,"-")</f>
        <v>-</v>
      </c>
      <c r="DR80" s="54" t="str">
        <f t="shared" ref="DR80" si="587">IFERROR(X80*DD80,"-")</f>
        <v>-</v>
      </c>
      <c r="DT80" s="112">
        <f t="shared" ref="DT80" si="588">SUM(DU80:EF80)</f>
        <v>0</v>
      </c>
      <c r="DU80" s="114">
        <f>IFERROR(SUMIFS('01. KE30'!$X:$X,'01. KE30'!$C:$C,'06. BC BH THEO CUSTOMER-USD'!$D80,'01. KE30'!$F:$F,'06. BC BH THEO CUSTOMER-USD'!$H80,'01. KE30'!$A:$A,'06. BC BH THEO CUSTOMER-USD'!DU$4)-SUMIFS('01. KE30'!$AA:$AA,'01. KE30'!$C:$C,'06. BC BH THEO CUSTOMER-USD'!$D80,'01. KE30'!$F:$F,'06. BC BH THEO CUSTOMER-USD'!$H80,'01. KE30'!$A:$A,'06. BC BH THEO CUSTOMER-USD'!DU$4),"-")</f>
        <v>0</v>
      </c>
      <c r="DV80" s="114">
        <f>IFERROR(SUMIFS('01. KE30'!$X:$X,'01. KE30'!$C:$C,'06. BC BH THEO CUSTOMER-USD'!$D80,'01. KE30'!$F:$F,'06. BC BH THEO CUSTOMER-USD'!$H80,'01. KE30'!$A:$A,'06. BC BH THEO CUSTOMER-USD'!DV$4)-SUMIFS('01. KE30'!$AA:$AA,'01. KE30'!$C:$C,'06. BC BH THEO CUSTOMER-USD'!$D80,'01. KE30'!$F:$F,'06. BC BH THEO CUSTOMER-USD'!$H80,'01. KE30'!$A:$A,'06. BC BH THEO CUSTOMER-USD'!DV$4),"-")</f>
        <v>0</v>
      </c>
      <c r="DW80" s="114">
        <f>IFERROR(SUMIFS('01. KE30'!$X:$X,'01. KE30'!$C:$C,'06. BC BH THEO CUSTOMER-USD'!$D80,'01. KE30'!$F:$F,'06. BC BH THEO CUSTOMER-USD'!$H80,'01. KE30'!$A:$A,'06. BC BH THEO CUSTOMER-USD'!DW$4)-SUMIFS('01. KE30'!$AA:$AA,'01. KE30'!$C:$C,'06. BC BH THEO CUSTOMER-USD'!$D80,'01. KE30'!$F:$F,'06. BC BH THEO CUSTOMER-USD'!$H80,'01. KE30'!$A:$A,'06. BC BH THEO CUSTOMER-USD'!DW$4),"-")</f>
        <v>0</v>
      </c>
      <c r="DX80" s="114">
        <f>IFERROR(SUMIFS('01. KE30'!$X:$X,'01. KE30'!$C:$C,'06. BC BH THEO CUSTOMER-USD'!$D80,'01. KE30'!$F:$F,'06. BC BH THEO CUSTOMER-USD'!$H80,'01. KE30'!$A:$A,'06. BC BH THEO CUSTOMER-USD'!DX$4)-SUMIFS('01. KE30'!$AA:$AA,'01. KE30'!$C:$C,'06. BC BH THEO CUSTOMER-USD'!$D80,'01. KE30'!$F:$F,'06. BC BH THEO CUSTOMER-USD'!$H80,'01. KE30'!$A:$A,'06. BC BH THEO CUSTOMER-USD'!DX$4),"-")</f>
        <v>0</v>
      </c>
      <c r="DY80" s="114">
        <f>IFERROR(SUMIFS('01. KE30'!$X:$X,'01. KE30'!$C:$C,'06. BC BH THEO CUSTOMER-USD'!$D80,'01. KE30'!$F:$F,'06. BC BH THEO CUSTOMER-USD'!$H80,'01. KE30'!$A:$A,'06. BC BH THEO CUSTOMER-USD'!DY$4)-SUMIFS('01. KE30'!$AA:$AA,'01. KE30'!$C:$C,'06. BC BH THEO CUSTOMER-USD'!$D80,'01. KE30'!$F:$F,'06. BC BH THEO CUSTOMER-USD'!$H80,'01. KE30'!$A:$A,'06. BC BH THEO CUSTOMER-USD'!DY$4),"-")</f>
        <v>0</v>
      </c>
      <c r="DZ80" s="114">
        <f>IFERROR(SUMIFS('01. KE30'!$X:$X,'01. KE30'!$C:$C,'06. BC BH THEO CUSTOMER-USD'!$D80,'01. KE30'!$F:$F,'06. BC BH THEO CUSTOMER-USD'!$H80,'01. KE30'!$A:$A,'06. BC BH THEO CUSTOMER-USD'!DZ$4)-SUMIFS('01. KE30'!$AA:$AA,'01. KE30'!$C:$C,'06. BC BH THEO CUSTOMER-USD'!$D80,'01. KE30'!$F:$F,'06. BC BH THEO CUSTOMER-USD'!$H80,'01. KE30'!$A:$A,'06. BC BH THEO CUSTOMER-USD'!DZ$4),"-")</f>
        <v>0</v>
      </c>
      <c r="EA80" s="114">
        <f>IFERROR(SUMIFS('01. KE30'!$X:$X,'01. KE30'!$C:$C,'06. BC BH THEO CUSTOMER-USD'!$D80,'01. KE30'!$F:$F,'06. BC BH THEO CUSTOMER-USD'!$H80,'01. KE30'!$A:$A,'06. BC BH THEO CUSTOMER-USD'!EA$4)-SUMIFS('01. KE30'!$AA:$AA,'01. KE30'!$C:$C,'06. BC BH THEO CUSTOMER-USD'!$D80,'01. KE30'!$F:$F,'06. BC BH THEO CUSTOMER-USD'!$H80,'01. KE30'!$A:$A,'06. BC BH THEO CUSTOMER-USD'!EA$4),"-")</f>
        <v>0</v>
      </c>
      <c r="EB80" s="114">
        <f>IFERROR(SUMIFS('01. KE30'!$X:$X,'01. KE30'!$C:$C,'06. BC BH THEO CUSTOMER-USD'!$D80,'01. KE30'!$F:$F,'06. BC BH THEO CUSTOMER-USD'!$H80,'01. KE30'!$A:$A,'06. BC BH THEO CUSTOMER-USD'!EB$4)-SUMIFS('01. KE30'!$AA:$AA,'01. KE30'!$C:$C,'06. BC BH THEO CUSTOMER-USD'!$D80,'01. KE30'!$F:$F,'06. BC BH THEO CUSTOMER-USD'!$H80,'01. KE30'!$A:$A,'06. BC BH THEO CUSTOMER-USD'!EB$4),"-")</f>
        <v>0</v>
      </c>
      <c r="EC80" s="114">
        <f>IFERROR(SUMIFS('01. KE30'!$X:$X,'01. KE30'!$C:$C,'06. BC BH THEO CUSTOMER-USD'!$D80,'01. KE30'!$F:$F,'06. BC BH THEO CUSTOMER-USD'!$H80,'01. KE30'!$A:$A,'06. BC BH THEO CUSTOMER-USD'!EC$4)-SUMIFS('01. KE30'!$AA:$AA,'01. KE30'!$C:$C,'06. BC BH THEO CUSTOMER-USD'!$D80,'01. KE30'!$F:$F,'06. BC BH THEO CUSTOMER-USD'!$H80,'01. KE30'!$A:$A,'06. BC BH THEO CUSTOMER-USD'!EC$4),"-")</f>
        <v>0</v>
      </c>
      <c r="ED80" s="114">
        <f>IFERROR(SUMIFS('01. KE30'!$X:$X,'01. KE30'!$C:$C,'06. BC BH THEO CUSTOMER-USD'!$D80,'01. KE30'!$F:$F,'06. BC BH THEO CUSTOMER-USD'!$H80,'01. KE30'!$A:$A,'06. BC BH THEO CUSTOMER-USD'!ED$4)-SUMIFS('01. KE30'!$AA:$AA,'01. KE30'!$C:$C,'06. BC BH THEO CUSTOMER-USD'!$D80,'01. KE30'!$F:$F,'06. BC BH THEO CUSTOMER-USD'!$H80,'01. KE30'!$A:$A,'06. BC BH THEO CUSTOMER-USD'!ED$4),"-")</f>
        <v>0</v>
      </c>
      <c r="EE80" s="114">
        <f>IFERROR(SUMIFS('01. KE30'!$X:$X,'01. KE30'!$C:$C,'06. BC BH THEO CUSTOMER-USD'!$D80,'01. KE30'!$F:$F,'06. BC BH THEO CUSTOMER-USD'!$H80,'01. KE30'!$A:$A,'06. BC BH THEO CUSTOMER-USD'!EE$4)-SUMIFS('01. KE30'!$AA:$AA,'01. KE30'!$C:$C,'06. BC BH THEO CUSTOMER-USD'!$D80,'01. KE30'!$F:$F,'06. BC BH THEO CUSTOMER-USD'!$H80,'01. KE30'!$A:$A,'06. BC BH THEO CUSTOMER-USD'!EE$4),"-")</f>
        <v>0</v>
      </c>
      <c r="EF80" s="114">
        <f>IFERROR(SUMIFS('01. KE30'!$X:$X,'01. KE30'!$C:$C,'06. BC BH THEO CUSTOMER-USD'!$D80,'01. KE30'!$F:$F,'06. BC BH THEO CUSTOMER-USD'!$H80,'01. KE30'!$A:$A,'06. BC BH THEO CUSTOMER-USD'!EF$4)-SUMIFS('01. KE30'!$AA:$AA,'01. KE30'!$C:$C,'06. BC BH THEO CUSTOMER-USD'!$D80,'01. KE30'!$F:$F,'06. BC BH THEO CUSTOMER-USD'!$H80,'01. KE30'!$A:$A,'06. BC BH THEO CUSTOMER-USD'!EF$4),"-")</f>
        <v>0</v>
      </c>
      <c r="EH80" s="571" t="str">
        <f t="shared" si="531"/>
        <v>-</v>
      </c>
      <c r="EI80" s="572" t="str">
        <f t="shared" si="532"/>
        <v>-</v>
      </c>
      <c r="EJ80" s="572" t="str">
        <f t="shared" si="533"/>
        <v>-</v>
      </c>
      <c r="EK80" s="572" t="str">
        <f t="shared" si="534"/>
        <v>-</v>
      </c>
      <c r="EL80" s="572" t="str">
        <f t="shared" si="535"/>
        <v>-</v>
      </c>
      <c r="EM80" s="572" t="str">
        <f t="shared" si="536"/>
        <v>-</v>
      </c>
      <c r="EN80" s="572" t="str">
        <f t="shared" si="537"/>
        <v>-</v>
      </c>
      <c r="EO80" s="572" t="str">
        <f t="shared" si="538"/>
        <v>-</v>
      </c>
      <c r="EP80" s="572" t="str">
        <f t="shared" si="539"/>
        <v>-</v>
      </c>
      <c r="EQ80" s="572" t="str">
        <f t="shared" si="540"/>
        <v>-</v>
      </c>
      <c r="ER80" s="572" t="str">
        <f t="shared" si="541"/>
        <v>-</v>
      </c>
      <c r="ES80" s="572" t="str">
        <f t="shared" si="542"/>
        <v>-</v>
      </c>
      <c r="ET80" s="572" t="str">
        <f t="shared" si="543"/>
        <v>-</v>
      </c>
    </row>
    <row r="81" spans="1:150" ht="15.5" hidden="1" outlineLevel="1" x14ac:dyDescent="0.35">
      <c r="A81" s="27">
        <f t="shared" si="63"/>
        <v>68</v>
      </c>
      <c r="B81" s="27" t="s">
        <v>283</v>
      </c>
      <c r="C81" s="442" t="s">
        <v>489</v>
      </c>
      <c r="D81" s="9" t="s">
        <v>239</v>
      </c>
      <c r="E81" s="31" t="s">
        <v>240</v>
      </c>
      <c r="F81" s="12" t="s">
        <v>245</v>
      </c>
      <c r="G81" s="12" t="str">
        <f>_xlfn.XLOOKUP(F81,'Quy đổi'!$G$5:$G$32,'Quy đổi'!$H$5:$H$32,0)</f>
        <v>Nội địa</v>
      </c>
      <c r="H81" s="76" t="s">
        <v>122</v>
      </c>
      <c r="I81" s="28" t="s">
        <v>121</v>
      </c>
      <c r="J81" s="13" t="s">
        <v>22</v>
      </c>
      <c r="K81" s="30"/>
      <c r="L81" s="92" t="str">
        <f t="shared" ref="L81" si="589">IFERROR(AVERAGE(M81:X81),"-")</f>
        <v>-</v>
      </c>
      <c r="M81" s="106" t="str">
        <f>IFERROR(SUMIFS('01. KE30'!$K:$K,'01. KE30'!$C:$C,'06. BC BH THEO CUSTOMER-USD'!$D81,'01. KE30'!$F:$F,'06. BC BH THEO CUSTOMER-USD'!$H81,'01. KE30'!$A:$A,'06. BC BH THEO CUSTOMER-USD'!M$4)/'06. BC BH THEO CUSTOMER-USD'!CS81/'02. Tỷ giá'!B$5,"-")</f>
        <v>-</v>
      </c>
      <c r="N81" s="106" t="str">
        <f>IFERROR(SUMIFS('01. KE30'!$K:$K,'01. KE30'!$C:$C,'06. BC BH THEO CUSTOMER-USD'!$D81,'01. KE30'!$F:$F,'06. BC BH THEO CUSTOMER-USD'!$H81,'01. KE30'!$A:$A,'06. BC BH THEO CUSTOMER-USD'!N$4)/'06. BC BH THEO CUSTOMER-USD'!CT81/'02. Tỷ giá'!C$5,"-")</f>
        <v>-</v>
      </c>
      <c r="O81" s="106" t="str">
        <f>IFERROR(SUMIFS('01. KE30'!$K:$K,'01. KE30'!$C:$C,'06. BC BH THEO CUSTOMER-USD'!$D81,'01. KE30'!$F:$F,'06. BC BH THEO CUSTOMER-USD'!$H81,'01. KE30'!$A:$A,'06. BC BH THEO CUSTOMER-USD'!O$4)/'06. BC BH THEO CUSTOMER-USD'!CU81/'02. Tỷ giá'!D$5,"-")</f>
        <v>-</v>
      </c>
      <c r="P81" s="106" t="str">
        <f>IFERROR(SUMIFS('01. KE30'!$K:$K,'01. KE30'!$C:$C,'06. BC BH THEO CUSTOMER-USD'!$D81,'01. KE30'!$F:$F,'06. BC BH THEO CUSTOMER-USD'!$H81,'01. KE30'!$A:$A,'06. BC BH THEO CUSTOMER-USD'!P$4)/'06. BC BH THEO CUSTOMER-USD'!CV81/'02. Tỷ giá'!E$5,"-")</f>
        <v>-</v>
      </c>
      <c r="Q81" s="106" t="str">
        <f>IFERROR(SUMIFS('01. KE30'!$K:$K,'01. KE30'!$C:$C,'06. BC BH THEO CUSTOMER-USD'!$D81,'01. KE30'!$F:$F,'06. BC BH THEO CUSTOMER-USD'!$H81,'01. KE30'!$A:$A,'06. BC BH THEO CUSTOMER-USD'!Q$4)/'06. BC BH THEO CUSTOMER-USD'!CW81/'02. Tỷ giá'!F$5,"-")</f>
        <v>-</v>
      </c>
      <c r="R81" s="106" t="str">
        <f>IFERROR(SUMIFS('01. KE30'!$K:$K,'01. KE30'!$C:$C,'06. BC BH THEO CUSTOMER-USD'!$D81,'01. KE30'!$F:$F,'06. BC BH THEO CUSTOMER-USD'!$H81,'01. KE30'!$A:$A,'06. BC BH THEO CUSTOMER-USD'!R$4)/'06. BC BH THEO CUSTOMER-USD'!CX81/'02. Tỷ giá'!G$5,"-")</f>
        <v>-</v>
      </c>
      <c r="S81" s="106" t="str">
        <f>IFERROR(SUMIFS('01. KE30'!$K:$K,'01. KE30'!$C:$C,'06. BC BH THEO CUSTOMER-USD'!$D81,'01. KE30'!$F:$F,'06. BC BH THEO CUSTOMER-USD'!$H81,'01. KE30'!$A:$A,'06. BC BH THEO CUSTOMER-USD'!S$4)/'06. BC BH THEO CUSTOMER-USD'!CY81/'02. Tỷ giá'!H$5,"-")</f>
        <v>-</v>
      </c>
      <c r="T81" s="106" t="str">
        <f>IFERROR(SUMIFS('01. KE30'!$K:$K,'01. KE30'!$C:$C,'06. BC BH THEO CUSTOMER-USD'!$D81,'01. KE30'!$F:$F,'06. BC BH THEO CUSTOMER-USD'!$H81,'01. KE30'!$A:$A,'06. BC BH THEO CUSTOMER-USD'!T$4)/'06. BC BH THEO CUSTOMER-USD'!CZ81/'02. Tỷ giá'!I$5,"-")</f>
        <v>-</v>
      </c>
      <c r="U81" s="106" t="str">
        <f>IFERROR(SUMIFS('01. KE30'!$K:$K,'01. KE30'!$C:$C,'06. BC BH THEO CUSTOMER-USD'!$D81,'01. KE30'!$F:$F,'06. BC BH THEO CUSTOMER-USD'!$H81,'01. KE30'!$A:$A,'06. BC BH THEO CUSTOMER-USD'!U$4)/'06. BC BH THEO CUSTOMER-USD'!DA81/'02. Tỷ giá'!J$5,"-")</f>
        <v>-</v>
      </c>
      <c r="V81" s="106" t="str">
        <f>IFERROR(SUMIFS('01. KE30'!$K:$K,'01. KE30'!$C:$C,'06. BC BH THEO CUSTOMER-USD'!$D81,'01. KE30'!$F:$F,'06. BC BH THEO CUSTOMER-USD'!$H81,'01. KE30'!$A:$A,'06. BC BH THEO CUSTOMER-USD'!V$4)/'06. BC BH THEO CUSTOMER-USD'!DB81/'02. Tỷ giá'!K$5,"-")</f>
        <v>-</v>
      </c>
      <c r="W81" s="106" t="str">
        <f>IFERROR(SUMIFS('01. KE30'!$K:$K,'01. KE30'!$C:$C,'06. BC BH THEO CUSTOMER-USD'!$D81,'01. KE30'!$F:$F,'06. BC BH THEO CUSTOMER-USD'!$H81,'01. KE30'!$A:$A,'06. BC BH THEO CUSTOMER-USD'!W$4)/'06. BC BH THEO CUSTOMER-USD'!DC81/'02. Tỷ giá'!L$5,"-")</f>
        <v>-</v>
      </c>
      <c r="X81" s="106" t="str">
        <f>IFERROR(SUMIFS('01. KE30'!$K:$K,'01. KE30'!$C:$C,'06. BC BH THEO CUSTOMER-USD'!$D81,'01. KE30'!$F:$F,'06. BC BH THEO CUSTOMER-USD'!$H81,'01. KE30'!$A:$A,'06. BC BH THEO CUSTOMER-USD'!X$4)/'06. BC BH THEO CUSTOMER-USD'!DD81/'02. Tỷ giá'!M$5,"-")</f>
        <v>-</v>
      </c>
      <c r="Z81" s="92" t="str">
        <f t="shared" ref="Z81" si="590">IFERROR(AVERAGE(AA81:AL81),"-")</f>
        <v>-</v>
      </c>
      <c r="AA81" s="147" t="str">
        <f>IFERROR(SUMIFS('01. KE30'!$O:$O,'01. KE30'!$C:$C,'06. BC BH THEO CUSTOMER-USD'!$D81,'01. KE30'!$F:$F,'06. BC BH THEO CUSTOMER-USD'!$H81,'01. KE30'!$A:$A,'06. BC BH THEO CUSTOMER-USD'!M$4)/'06. BC BH THEO CUSTOMER-USD'!CS81/'02. Tỷ giá'!B$5,"-")</f>
        <v>-</v>
      </c>
      <c r="AB81" s="147" t="str">
        <f>IFERROR(SUMIFS('01. KE30'!$O:$O,'01. KE30'!$C:$C,'06. BC BH THEO CUSTOMER-USD'!$D81,'01. KE30'!$F:$F,'06. BC BH THEO CUSTOMER-USD'!$H81,'01. KE30'!$A:$A,'06. BC BH THEO CUSTOMER-USD'!N$4)/'06. BC BH THEO CUSTOMER-USD'!CT81/'02. Tỷ giá'!C$5,"-")</f>
        <v>-</v>
      </c>
      <c r="AC81" s="147" t="str">
        <f>IFERROR(SUMIFS('01. KE30'!$O:$O,'01. KE30'!$C:$C,'06. BC BH THEO CUSTOMER-USD'!$D81,'01. KE30'!$F:$F,'06. BC BH THEO CUSTOMER-USD'!$H81,'01. KE30'!$A:$A,'06. BC BH THEO CUSTOMER-USD'!O$4)/'06. BC BH THEO CUSTOMER-USD'!CU81/'02. Tỷ giá'!D$5,"-")</f>
        <v>-</v>
      </c>
      <c r="AD81" s="147" t="str">
        <f>IFERROR(SUMIFS('01. KE30'!$O:$O,'01. KE30'!$C:$C,'06. BC BH THEO CUSTOMER-USD'!$D81,'01. KE30'!$F:$F,'06. BC BH THEO CUSTOMER-USD'!$H81,'01. KE30'!$A:$A,'06. BC BH THEO CUSTOMER-USD'!P$4)/'06. BC BH THEO CUSTOMER-USD'!CV81/'02. Tỷ giá'!E$5,"-")</f>
        <v>-</v>
      </c>
      <c r="AE81" s="147" t="str">
        <f>IFERROR(SUMIFS('01. KE30'!$O:$O,'01. KE30'!$C:$C,'06. BC BH THEO CUSTOMER-USD'!$D81,'01. KE30'!$F:$F,'06. BC BH THEO CUSTOMER-USD'!$H81,'01. KE30'!$A:$A,'06. BC BH THEO CUSTOMER-USD'!Q$4)/'06. BC BH THEO CUSTOMER-USD'!CW81/'02. Tỷ giá'!F$5,"-")</f>
        <v>-</v>
      </c>
      <c r="AF81" s="147" t="str">
        <f>IFERROR(SUMIFS('01. KE30'!$O:$O,'01. KE30'!$C:$C,'06. BC BH THEO CUSTOMER-USD'!$D81,'01. KE30'!$F:$F,'06. BC BH THEO CUSTOMER-USD'!$H81,'01. KE30'!$A:$A,'06. BC BH THEO CUSTOMER-USD'!R$4)/'06. BC BH THEO CUSTOMER-USD'!CX81/'02. Tỷ giá'!G$5,"-")</f>
        <v>-</v>
      </c>
      <c r="AG81" s="147" t="str">
        <f>IFERROR(SUMIFS('01. KE30'!$O:$O,'01. KE30'!$C:$C,'06. BC BH THEO CUSTOMER-USD'!$D81,'01. KE30'!$F:$F,'06. BC BH THEO CUSTOMER-USD'!$H81,'01. KE30'!$A:$A,'06. BC BH THEO CUSTOMER-USD'!S$4)/'06. BC BH THEO CUSTOMER-USD'!CY81/'02. Tỷ giá'!H$5,"-")</f>
        <v>-</v>
      </c>
      <c r="AH81" s="147" t="str">
        <f>IFERROR(SUMIFS('01. KE30'!$O:$O,'01. KE30'!$C:$C,'06. BC BH THEO CUSTOMER-USD'!$D81,'01. KE30'!$F:$F,'06. BC BH THEO CUSTOMER-USD'!$H81,'01. KE30'!$A:$A,'06. BC BH THEO CUSTOMER-USD'!T$4)/'06. BC BH THEO CUSTOMER-USD'!CZ81/'02. Tỷ giá'!I$5,"-")</f>
        <v>-</v>
      </c>
      <c r="AI81" s="147" t="str">
        <f>IFERROR(SUMIFS('01. KE30'!$O:$O,'01. KE30'!$C:$C,'06. BC BH THEO CUSTOMER-USD'!$D81,'01. KE30'!$F:$F,'06. BC BH THEO CUSTOMER-USD'!$H81,'01. KE30'!$A:$A,'06. BC BH THEO CUSTOMER-USD'!U$4)/'06. BC BH THEO CUSTOMER-USD'!DA81/'02. Tỷ giá'!J$5,"-")</f>
        <v>-</v>
      </c>
      <c r="AJ81" s="147" t="str">
        <f>IFERROR(SUMIFS('01. KE30'!$O:$O,'01. KE30'!$C:$C,'06. BC BH THEO CUSTOMER-USD'!$D81,'01. KE30'!$F:$F,'06. BC BH THEO CUSTOMER-USD'!$H81,'01. KE30'!$A:$A,'06. BC BH THEO CUSTOMER-USD'!V$4)/'06. BC BH THEO CUSTOMER-USD'!DB81/'02. Tỷ giá'!K$5,"-")</f>
        <v>-</v>
      </c>
      <c r="AK81" s="147" t="str">
        <f>IFERROR(SUMIFS('01. KE30'!$O:$O,'01. KE30'!$C:$C,'06. BC BH THEO CUSTOMER-USD'!$D81,'01. KE30'!$F:$F,'06. BC BH THEO CUSTOMER-USD'!$H81,'01. KE30'!$A:$A,'06. BC BH THEO CUSTOMER-USD'!W$4)/'06. BC BH THEO CUSTOMER-USD'!DC81/'02. Tỷ giá'!L$5,"-")</f>
        <v>-</v>
      </c>
      <c r="AL81" s="147" t="str">
        <f>IFERROR(SUMIFS('01. KE30'!$O:$O,'01. KE30'!$C:$C,'06. BC BH THEO CUSTOMER-USD'!$D81,'01. KE30'!$F:$F,'06. BC BH THEO CUSTOMER-USD'!$H81,'01. KE30'!$A:$A,'06. BC BH THEO CUSTOMER-USD'!X$4)/'06. BC BH THEO CUSTOMER-USD'!DD81/'02. Tỷ giá'!M$5,"-")</f>
        <v>-</v>
      </c>
      <c r="AN81" s="92">
        <f t="shared" ref="AN81" si="591">IFERROR(AVERAGE(AO81:AZ81),"-")</f>
        <v>1236.6666666666667</v>
      </c>
      <c r="AO81" s="25">
        <v>1230</v>
      </c>
      <c r="AP81" s="25">
        <v>1230</v>
      </c>
      <c r="AQ81" s="25">
        <v>1230</v>
      </c>
      <c r="AR81" s="25">
        <f>AQ81+20</f>
        <v>1250</v>
      </c>
      <c r="AS81" s="25">
        <v>1250</v>
      </c>
      <c r="AT81" s="25">
        <v>1250</v>
      </c>
      <c r="AU81" s="25">
        <v>1250</v>
      </c>
      <c r="AV81" s="4">
        <f t="shared" si="205"/>
        <v>1220</v>
      </c>
      <c r="AW81" s="25">
        <v>1220</v>
      </c>
      <c r="AX81" s="25"/>
      <c r="AY81" s="4"/>
      <c r="AZ81" s="4"/>
      <c r="BB81" s="95" t="str">
        <f t="shared" ref="BB81" si="592">IF(L81&lt;&gt;"-",Z81-AN81,"-")</f>
        <v>-</v>
      </c>
      <c r="BC81" s="95" t="str">
        <f t="shared" ref="BC81" si="593">IF(M81&lt;&gt;"-",AA81-AO81,"-")</f>
        <v>-</v>
      </c>
      <c r="BD81" s="95" t="str">
        <f t="shared" ref="BD81" si="594">IF(N81&lt;&gt;"-",AB81-AP81,"-")</f>
        <v>-</v>
      </c>
      <c r="BE81" s="95" t="str">
        <f t="shared" ref="BE81" si="595">IF(O81&lt;&gt;"-",AC81-AQ81,"-")</f>
        <v>-</v>
      </c>
      <c r="BF81" s="95" t="str">
        <f t="shared" ref="BF81" si="596">IF(P81&lt;&gt;"-",AD81-AR81,"-")</f>
        <v>-</v>
      </c>
      <c r="BG81" s="95" t="str">
        <f t="shared" ref="BG81" si="597">IF(Q81&lt;&gt;"-",AE81-AS81,"-")</f>
        <v>-</v>
      </c>
      <c r="BH81" s="95" t="str">
        <f t="shared" ref="BH81" si="598">IF(R81&lt;&gt;"-",AF81-AT81,"-")</f>
        <v>-</v>
      </c>
      <c r="BI81" s="95" t="str">
        <f t="shared" ref="BI81" si="599">IF(S81&lt;&gt;"-",AG81-AU81,"-")</f>
        <v>-</v>
      </c>
      <c r="BJ81" s="95" t="str">
        <f t="shared" ref="BJ81" si="600">IF(T81&lt;&gt;"-",AH81-AV81,"-")</f>
        <v>-</v>
      </c>
      <c r="BK81" s="95" t="str">
        <f t="shared" ref="BK81" si="601">IF(U81&lt;&gt;"-",AI81-AW81,"-")</f>
        <v>-</v>
      </c>
      <c r="BL81" s="95" t="str">
        <f t="shared" ref="BL81" si="602">IF(V81&lt;&gt;"-",AJ81-AX81,"-")</f>
        <v>-</v>
      </c>
      <c r="BM81" s="95" t="str">
        <f t="shared" ref="BM81" si="603">IF(W81&lt;&gt;"-",AK81-AY81,"-")</f>
        <v>-</v>
      </c>
      <c r="BN81" s="95" t="str">
        <f t="shared" ref="BN81" si="604">IF(X81&lt;&gt;"-",AL81-AZ81,"-")</f>
        <v>-</v>
      </c>
      <c r="BP81" s="143" t="str">
        <f t="shared" ref="BP81" si="605">IFERROR(IF(BB81&lt;&gt;"-",BB81/AN81,"-"),"-")</f>
        <v>-</v>
      </c>
      <c r="BQ81" s="143" t="str">
        <f t="shared" ref="BQ81" si="606">IFERROR(IF(BC81&lt;&gt;"-",BC81/AO81,"-"),"-")</f>
        <v>-</v>
      </c>
      <c r="BR81" s="143" t="str">
        <f t="shared" ref="BR81" si="607">IFERROR(IF(BD81&lt;&gt;"-",BD81/AP81,"-"),"-")</f>
        <v>-</v>
      </c>
      <c r="BS81" s="143" t="str">
        <f t="shared" ref="BS81" si="608">IFERROR(IF(BE81&lt;&gt;"-",BE81/AQ81,"-"),"-")</f>
        <v>-</v>
      </c>
      <c r="BT81" s="143" t="str">
        <f t="shared" ref="BT81" si="609">IFERROR(IF(BF81&lt;&gt;"-",BF81/AR81,"-"),"-")</f>
        <v>-</v>
      </c>
      <c r="BU81" s="143" t="str">
        <f t="shared" ref="BU81" si="610">IFERROR(IF(BG81&lt;&gt;"-",BG81/AS81,"-"),"-")</f>
        <v>-</v>
      </c>
      <c r="BV81" s="143" t="str">
        <f t="shared" ref="BV81" si="611">IFERROR(IF(BH81&lt;&gt;"-",BH81/AT81,"-"),"-")</f>
        <v>-</v>
      </c>
      <c r="BW81" s="143" t="str">
        <f t="shared" ref="BW81" si="612">IFERROR(IF(BI81&lt;&gt;"-",BI81/AU81,"-"),"-")</f>
        <v>-</v>
      </c>
      <c r="BX81" s="143" t="str">
        <f t="shared" ref="BX81" si="613">IFERROR(IF(BJ81&lt;&gt;"-",BJ81/AV81,"-"),"-")</f>
        <v>-</v>
      </c>
      <c r="BY81" s="143" t="str">
        <f t="shared" ref="BY81" si="614">IFERROR(IF(BK81&lt;&gt;"-",BK81/AW81,"-"),"-")</f>
        <v>-</v>
      </c>
      <c r="BZ81" s="143" t="str">
        <f t="shared" ref="BZ81" si="615">IFERROR(IF(BL81&lt;&gt;"-",BL81/AX81,"-"),"-")</f>
        <v>-</v>
      </c>
      <c r="CA81" s="143" t="str">
        <f t="shared" ref="CA81" si="616">IFERROR(IF(BM81&lt;&gt;"-",BM81/AY81,"-"),"-")</f>
        <v>-</v>
      </c>
      <c r="CB81" s="143" t="str">
        <f t="shared" ref="CB81" si="617">IFERROR(IF(BN81&lt;&gt;"-",BN81/AZ81,"-"),"-")</f>
        <v>-</v>
      </c>
      <c r="CD81" s="112" t="str">
        <f t="shared" si="529"/>
        <v>-</v>
      </c>
      <c r="CE81" s="95" t="str">
        <f>IFERROR(SUMIFS('01. KE30'!$R:$R,'01. KE30'!$C:$C,'06. BC BH THEO CUSTOMER-USD'!$D81,'01. KE30'!$F:$F,'06. BC BH THEO CUSTOMER-USD'!$H81,'01. KE30'!$A:$A,'06. BC BH THEO CUSTOMER-USD'!CE$4)/CS81/'02. Tỷ giá'!B$5," -")</f>
        <v xml:space="preserve"> -</v>
      </c>
      <c r="CF81" s="95" t="str">
        <f>IFERROR(SUMIFS('01. KE30'!$R:$R,'01. KE30'!$C:$C,'06. BC BH THEO CUSTOMER-USD'!$D81,'01. KE30'!$F:$F,'06. BC BH THEO CUSTOMER-USD'!$H81,'01. KE30'!$A:$A,'06. BC BH THEO CUSTOMER-USD'!CF$4)/CT81/'02. Tỷ giá'!C$5," -")</f>
        <v xml:space="preserve"> -</v>
      </c>
      <c r="CG81" s="95" t="str">
        <f>IFERROR(SUMIFS('01. KE30'!$R:$R,'01. KE30'!$C:$C,'06. BC BH THEO CUSTOMER-USD'!$D81,'01. KE30'!$F:$F,'06. BC BH THEO CUSTOMER-USD'!$H81,'01. KE30'!$A:$A,'06. BC BH THEO CUSTOMER-USD'!CG$4)/CU81/'02. Tỷ giá'!D$5," -")</f>
        <v xml:space="preserve"> -</v>
      </c>
      <c r="CH81" s="95" t="str">
        <f>IFERROR(SUMIFS('01. KE30'!$R:$R,'01. KE30'!$C:$C,'06. BC BH THEO CUSTOMER-USD'!$D81,'01. KE30'!$F:$F,'06. BC BH THEO CUSTOMER-USD'!$H81,'01. KE30'!$A:$A,'06. BC BH THEO CUSTOMER-USD'!CH$4)/CV81/'02. Tỷ giá'!E$5," -")</f>
        <v xml:space="preserve"> -</v>
      </c>
      <c r="CI81" s="95" t="str">
        <f>IFERROR(SUMIFS('01. KE30'!$R:$R,'01. KE30'!$C:$C,'06. BC BH THEO CUSTOMER-USD'!$D81,'01. KE30'!$F:$F,'06. BC BH THEO CUSTOMER-USD'!$H81,'01. KE30'!$A:$A,'06. BC BH THEO CUSTOMER-USD'!CI$4)/CW81/'02. Tỷ giá'!F$5," -")</f>
        <v xml:space="preserve"> -</v>
      </c>
      <c r="CJ81" s="95" t="str">
        <f>IFERROR(SUMIFS('01. KE30'!$R:$R,'01. KE30'!$C:$C,'06. BC BH THEO CUSTOMER-USD'!$D81,'01. KE30'!$F:$F,'06. BC BH THEO CUSTOMER-USD'!$H81,'01. KE30'!$A:$A,'06. BC BH THEO CUSTOMER-USD'!CJ$4)/CX81/'02. Tỷ giá'!G$5," -")</f>
        <v xml:space="preserve"> -</v>
      </c>
      <c r="CK81" s="95" t="str">
        <f>IFERROR(SUMIFS('01. KE30'!$R:$R,'01. KE30'!$C:$C,'06. BC BH THEO CUSTOMER-USD'!$D81,'01. KE30'!$F:$F,'06. BC BH THEO CUSTOMER-USD'!$H81,'01. KE30'!$A:$A,'06. BC BH THEO CUSTOMER-USD'!CK$4)/CY81/'02. Tỷ giá'!H$5," -")</f>
        <v xml:space="preserve"> -</v>
      </c>
      <c r="CL81" s="95" t="str">
        <f>IFERROR(SUMIFS('01. KE30'!$R:$R,'01. KE30'!$C:$C,'06. BC BH THEO CUSTOMER-USD'!$D81,'01. KE30'!$F:$F,'06. BC BH THEO CUSTOMER-USD'!$H81,'01. KE30'!$A:$A,'06. BC BH THEO CUSTOMER-USD'!CL$4)/CZ81/'02. Tỷ giá'!I$5," -")</f>
        <v xml:space="preserve"> -</v>
      </c>
      <c r="CM81" s="95" t="str">
        <f>IFERROR(SUMIFS('01. KE30'!$R:$R,'01. KE30'!$C:$C,'06. BC BH THEO CUSTOMER-USD'!$D81,'01. KE30'!$F:$F,'06. BC BH THEO CUSTOMER-USD'!$H81,'01. KE30'!$A:$A,'06. BC BH THEO CUSTOMER-USD'!CM$4)/DA81/'02. Tỷ giá'!J$5," -")</f>
        <v xml:space="preserve"> -</v>
      </c>
      <c r="CN81" s="95" t="str">
        <f>IFERROR(SUMIFS('01. KE30'!$R:$R,'01. KE30'!$C:$C,'06. BC BH THEO CUSTOMER-USD'!$D81,'01. KE30'!$F:$F,'06. BC BH THEO CUSTOMER-USD'!$H81,'01. KE30'!$A:$A,'06. BC BH THEO CUSTOMER-USD'!CN$4)/DB81/'02. Tỷ giá'!K$5," -")</f>
        <v xml:space="preserve"> -</v>
      </c>
      <c r="CO81" s="95" t="str">
        <f>IFERROR(SUMIFS('01. KE30'!$R:$R,'01. KE30'!$C:$C,'06. BC BH THEO CUSTOMER-USD'!$D81,'01. KE30'!$F:$F,'06. BC BH THEO CUSTOMER-USD'!$H81,'01. KE30'!$A:$A,'06. BC BH THEO CUSTOMER-USD'!CO$4)/DC81/'02. Tỷ giá'!L$5," -")</f>
        <v xml:space="preserve"> -</v>
      </c>
      <c r="CP81" s="95" t="str">
        <f>IFERROR(SUMIFS('01. KE30'!$R:$R,'01. KE30'!$C:$C,'06. BC BH THEO CUSTOMER-USD'!$D81,'01. KE30'!$F:$F,'06. BC BH THEO CUSTOMER-USD'!$H81,'01. KE30'!$A:$A,'06. BC BH THEO CUSTOMER-USD'!CP$4)/DD81/'02. Tỷ giá'!M$5," -")</f>
        <v xml:space="preserve"> -</v>
      </c>
      <c r="CR81" s="112">
        <f t="shared" ref="CR81" si="618">SUM(CS81:DD81)</f>
        <v>0</v>
      </c>
      <c r="CS81" s="114">
        <f>SUMIFS('01. KE30'!$I:$I,'01. KE30'!$C:$C,'06. BC BH THEO CUSTOMER-USD'!$D81,'01. KE30'!$F:$F,'06. BC BH THEO CUSTOMER-USD'!$H81,'01. KE30'!$A:$A,'06. BC BH THEO CUSTOMER-USD'!CS$4)/1000</f>
        <v>0</v>
      </c>
      <c r="CT81" s="114">
        <f>SUMIFS('01. KE30'!$I:$I,'01. KE30'!$C:$C,'06. BC BH THEO CUSTOMER-USD'!$D81,'01. KE30'!$F:$F,'06. BC BH THEO CUSTOMER-USD'!$H81,'01. KE30'!$A:$A,'06. BC BH THEO CUSTOMER-USD'!CT$4)/1000</f>
        <v>0</v>
      </c>
      <c r="CU81" s="114">
        <f>SUMIFS('01. KE30'!$I:$I,'01. KE30'!$C:$C,'06. BC BH THEO CUSTOMER-USD'!$D81,'01. KE30'!$F:$F,'06. BC BH THEO CUSTOMER-USD'!$H81,'01. KE30'!$A:$A,'06. BC BH THEO CUSTOMER-USD'!CU$4)/1000</f>
        <v>0</v>
      </c>
      <c r="CV81" s="114">
        <f>SUMIFS('01. KE30'!$I:$I,'01. KE30'!$C:$C,'06. BC BH THEO CUSTOMER-USD'!$D81,'01. KE30'!$F:$F,'06. BC BH THEO CUSTOMER-USD'!$H81,'01. KE30'!$A:$A,'06. BC BH THEO CUSTOMER-USD'!CV$4)/1000</f>
        <v>0</v>
      </c>
      <c r="CW81" s="114">
        <f>SUMIFS('01. KE30'!$I:$I,'01. KE30'!$C:$C,'06. BC BH THEO CUSTOMER-USD'!$D81,'01. KE30'!$F:$F,'06. BC BH THEO CUSTOMER-USD'!$H81,'01. KE30'!$A:$A,'06. BC BH THEO CUSTOMER-USD'!CW$4)/1000</f>
        <v>0</v>
      </c>
      <c r="CX81" s="114">
        <f>SUMIFS('01. KE30'!$I:$I,'01. KE30'!$C:$C,'06. BC BH THEO CUSTOMER-USD'!$D81,'01. KE30'!$F:$F,'06. BC BH THEO CUSTOMER-USD'!$H81,'01. KE30'!$A:$A,'06. BC BH THEO CUSTOMER-USD'!CX$4)/1000</f>
        <v>0</v>
      </c>
      <c r="CY81" s="114">
        <f>SUMIFS('01. KE30'!$I:$I,'01. KE30'!$C:$C,'06. BC BH THEO CUSTOMER-USD'!$D81,'01. KE30'!$F:$F,'06. BC BH THEO CUSTOMER-USD'!$H81,'01. KE30'!$A:$A,'06. BC BH THEO CUSTOMER-USD'!CY$4)/1000</f>
        <v>0</v>
      </c>
      <c r="CZ81" s="114">
        <f>SUMIFS('01. KE30'!$I:$I,'01. KE30'!$C:$C,'06. BC BH THEO CUSTOMER-USD'!$D81,'01. KE30'!$F:$F,'06. BC BH THEO CUSTOMER-USD'!$H81,'01. KE30'!$A:$A,'06. BC BH THEO CUSTOMER-USD'!CZ$4)/1000</f>
        <v>0</v>
      </c>
      <c r="DA81" s="114">
        <f>SUMIFS('01. KE30'!$I:$I,'01. KE30'!$C:$C,'06. BC BH THEO CUSTOMER-USD'!$D81,'01. KE30'!$F:$F,'06. BC BH THEO CUSTOMER-USD'!$H81,'01. KE30'!$A:$A,'06. BC BH THEO CUSTOMER-USD'!DA$4)/1000</f>
        <v>0</v>
      </c>
      <c r="DB81" s="114">
        <f>SUMIFS('01. KE30'!$I:$I,'01. KE30'!$C:$C,'06. BC BH THEO CUSTOMER-USD'!$D81,'01. KE30'!$F:$F,'06. BC BH THEO CUSTOMER-USD'!$H81,'01. KE30'!$A:$A,'06. BC BH THEO CUSTOMER-USD'!DB$4)/1000</f>
        <v>0</v>
      </c>
      <c r="DC81" s="114">
        <f>SUMIFS('01. KE30'!$I:$I,'01. KE30'!$C:$C,'06. BC BH THEO CUSTOMER-USD'!$D81,'01. KE30'!$F:$F,'06. BC BH THEO CUSTOMER-USD'!$H81,'01. KE30'!$A:$A,'06. BC BH THEO CUSTOMER-USD'!DC$4)/1000</f>
        <v>0</v>
      </c>
      <c r="DD81" s="114">
        <f>SUMIFS('01. KE30'!$I:$I,'01. KE30'!$C:$C,'06. BC BH THEO CUSTOMER-USD'!$D81,'01. KE30'!$F:$F,'06. BC BH THEO CUSTOMER-USD'!$H81,'01. KE30'!$A:$A,'06. BC BH THEO CUSTOMER-USD'!DD$4)/1000</f>
        <v>0</v>
      </c>
      <c r="DF81" s="112">
        <f t="shared" ref="DF81" si="619">SUM(DG81:DR81)</f>
        <v>0</v>
      </c>
      <c r="DG81" s="54" t="str">
        <f t="shared" ref="DG81" si="620">IFERROR(M81*CS81,"-")</f>
        <v>-</v>
      </c>
      <c r="DH81" s="54" t="str">
        <f t="shared" ref="DH81" si="621">IFERROR(N81*CT81,"-")</f>
        <v>-</v>
      </c>
      <c r="DI81" s="54" t="str">
        <f t="shared" ref="DI81" si="622">IFERROR(O81*CU81,"-")</f>
        <v>-</v>
      </c>
      <c r="DJ81" s="54" t="str">
        <f t="shared" ref="DJ81" si="623">IFERROR(P81*CV81,"-")</f>
        <v>-</v>
      </c>
      <c r="DK81" s="54" t="str">
        <f t="shared" ref="DK81" si="624">IFERROR(Q81*CW81,"-")</f>
        <v>-</v>
      </c>
      <c r="DL81" s="54" t="str">
        <f t="shared" ref="DL81" si="625">IFERROR(R81*CX81,"-")</f>
        <v>-</v>
      </c>
      <c r="DM81" s="54" t="str">
        <f t="shared" ref="DM81" si="626">IFERROR(S81*CY81,"-")</f>
        <v>-</v>
      </c>
      <c r="DN81" s="54" t="str">
        <f t="shared" ref="DN81" si="627">IFERROR(T81*CZ81,"-")</f>
        <v>-</v>
      </c>
      <c r="DO81" s="54" t="str">
        <f t="shared" ref="DO81" si="628">IFERROR(U81*DA81,"-")</f>
        <v>-</v>
      </c>
      <c r="DP81" s="54" t="str">
        <f t="shared" ref="DP81" si="629">IFERROR(V81*DB81,"-")</f>
        <v>-</v>
      </c>
      <c r="DQ81" s="54" t="str">
        <f t="shared" ref="DQ81" si="630">IFERROR(W81*DC81,"-")</f>
        <v>-</v>
      </c>
      <c r="DR81" s="54" t="str">
        <f t="shared" ref="DR81" si="631">IFERROR(X81*DD81,"-")</f>
        <v>-</v>
      </c>
      <c r="DT81" s="112">
        <f t="shared" ref="DT81" si="632">SUM(DU81:EF81)</f>
        <v>0</v>
      </c>
      <c r="DU81" s="114">
        <f>IFERROR(SUMIFS('01. KE30'!$X:$X,'01. KE30'!$C:$C,'06. BC BH THEO CUSTOMER-USD'!$D81,'01. KE30'!$F:$F,'06. BC BH THEO CUSTOMER-USD'!$H81,'01. KE30'!$A:$A,'06. BC BH THEO CUSTOMER-USD'!DU$4)-SUMIFS('01. KE30'!$AA:$AA,'01. KE30'!$C:$C,'06. BC BH THEO CUSTOMER-USD'!$D81,'01. KE30'!$F:$F,'06. BC BH THEO CUSTOMER-USD'!$H81,'01. KE30'!$A:$A,'06. BC BH THEO CUSTOMER-USD'!DU$4),"-")</f>
        <v>0</v>
      </c>
      <c r="DV81" s="114">
        <f>IFERROR(SUMIFS('01. KE30'!$X:$X,'01. KE30'!$C:$C,'06. BC BH THEO CUSTOMER-USD'!$D81,'01. KE30'!$F:$F,'06. BC BH THEO CUSTOMER-USD'!$H81,'01. KE30'!$A:$A,'06. BC BH THEO CUSTOMER-USD'!DV$4)-SUMIFS('01. KE30'!$AA:$AA,'01. KE30'!$C:$C,'06. BC BH THEO CUSTOMER-USD'!$D81,'01. KE30'!$F:$F,'06. BC BH THEO CUSTOMER-USD'!$H81,'01. KE30'!$A:$A,'06. BC BH THEO CUSTOMER-USD'!DV$4),"-")</f>
        <v>0</v>
      </c>
      <c r="DW81" s="114">
        <f>IFERROR(SUMIFS('01. KE30'!$X:$X,'01. KE30'!$C:$C,'06. BC BH THEO CUSTOMER-USD'!$D81,'01. KE30'!$F:$F,'06. BC BH THEO CUSTOMER-USD'!$H81,'01. KE30'!$A:$A,'06. BC BH THEO CUSTOMER-USD'!DW$4)-SUMIFS('01. KE30'!$AA:$AA,'01. KE30'!$C:$C,'06. BC BH THEO CUSTOMER-USD'!$D81,'01. KE30'!$F:$F,'06. BC BH THEO CUSTOMER-USD'!$H81,'01. KE30'!$A:$A,'06. BC BH THEO CUSTOMER-USD'!DW$4),"-")</f>
        <v>0</v>
      </c>
      <c r="DX81" s="114">
        <f>IFERROR(SUMIFS('01. KE30'!$X:$X,'01. KE30'!$C:$C,'06. BC BH THEO CUSTOMER-USD'!$D81,'01. KE30'!$F:$F,'06. BC BH THEO CUSTOMER-USD'!$H81,'01. KE30'!$A:$A,'06. BC BH THEO CUSTOMER-USD'!DX$4)-SUMIFS('01. KE30'!$AA:$AA,'01. KE30'!$C:$C,'06. BC BH THEO CUSTOMER-USD'!$D81,'01. KE30'!$F:$F,'06. BC BH THEO CUSTOMER-USD'!$H81,'01. KE30'!$A:$A,'06. BC BH THEO CUSTOMER-USD'!DX$4),"-")</f>
        <v>0</v>
      </c>
      <c r="DY81" s="114">
        <f>IFERROR(SUMIFS('01. KE30'!$X:$X,'01. KE30'!$C:$C,'06. BC BH THEO CUSTOMER-USD'!$D81,'01. KE30'!$F:$F,'06. BC BH THEO CUSTOMER-USD'!$H81,'01. KE30'!$A:$A,'06. BC BH THEO CUSTOMER-USD'!DY$4)-SUMIFS('01. KE30'!$AA:$AA,'01. KE30'!$C:$C,'06. BC BH THEO CUSTOMER-USD'!$D81,'01. KE30'!$F:$F,'06. BC BH THEO CUSTOMER-USD'!$H81,'01. KE30'!$A:$A,'06. BC BH THEO CUSTOMER-USD'!DY$4),"-")</f>
        <v>0</v>
      </c>
      <c r="DZ81" s="114">
        <f>IFERROR(SUMIFS('01. KE30'!$X:$X,'01. KE30'!$C:$C,'06. BC BH THEO CUSTOMER-USD'!$D81,'01. KE30'!$F:$F,'06. BC BH THEO CUSTOMER-USD'!$H81,'01. KE30'!$A:$A,'06. BC BH THEO CUSTOMER-USD'!DZ$4)-SUMIFS('01. KE30'!$AA:$AA,'01. KE30'!$C:$C,'06. BC BH THEO CUSTOMER-USD'!$D81,'01. KE30'!$F:$F,'06. BC BH THEO CUSTOMER-USD'!$H81,'01. KE30'!$A:$A,'06. BC BH THEO CUSTOMER-USD'!DZ$4),"-")</f>
        <v>0</v>
      </c>
      <c r="EA81" s="114">
        <f>IFERROR(SUMIFS('01. KE30'!$X:$X,'01. KE30'!$C:$C,'06. BC BH THEO CUSTOMER-USD'!$D81,'01. KE30'!$F:$F,'06. BC BH THEO CUSTOMER-USD'!$H81,'01. KE30'!$A:$A,'06. BC BH THEO CUSTOMER-USD'!EA$4)-SUMIFS('01. KE30'!$AA:$AA,'01. KE30'!$C:$C,'06. BC BH THEO CUSTOMER-USD'!$D81,'01. KE30'!$F:$F,'06. BC BH THEO CUSTOMER-USD'!$H81,'01. KE30'!$A:$A,'06. BC BH THEO CUSTOMER-USD'!EA$4),"-")</f>
        <v>0</v>
      </c>
      <c r="EB81" s="114">
        <f>IFERROR(SUMIFS('01. KE30'!$X:$X,'01. KE30'!$C:$C,'06. BC BH THEO CUSTOMER-USD'!$D81,'01. KE30'!$F:$F,'06. BC BH THEO CUSTOMER-USD'!$H81,'01. KE30'!$A:$A,'06. BC BH THEO CUSTOMER-USD'!EB$4)-SUMIFS('01. KE30'!$AA:$AA,'01. KE30'!$C:$C,'06. BC BH THEO CUSTOMER-USD'!$D81,'01. KE30'!$F:$F,'06. BC BH THEO CUSTOMER-USD'!$H81,'01. KE30'!$A:$A,'06. BC BH THEO CUSTOMER-USD'!EB$4),"-")</f>
        <v>0</v>
      </c>
      <c r="EC81" s="114">
        <f>IFERROR(SUMIFS('01. KE30'!$X:$X,'01. KE30'!$C:$C,'06. BC BH THEO CUSTOMER-USD'!$D81,'01. KE30'!$F:$F,'06. BC BH THEO CUSTOMER-USD'!$H81,'01. KE30'!$A:$A,'06. BC BH THEO CUSTOMER-USD'!EC$4)-SUMIFS('01. KE30'!$AA:$AA,'01. KE30'!$C:$C,'06. BC BH THEO CUSTOMER-USD'!$D81,'01. KE30'!$F:$F,'06. BC BH THEO CUSTOMER-USD'!$H81,'01. KE30'!$A:$A,'06. BC BH THEO CUSTOMER-USD'!EC$4),"-")</f>
        <v>0</v>
      </c>
      <c r="ED81" s="114">
        <f>IFERROR(SUMIFS('01. KE30'!$X:$X,'01. KE30'!$C:$C,'06. BC BH THEO CUSTOMER-USD'!$D81,'01. KE30'!$F:$F,'06. BC BH THEO CUSTOMER-USD'!$H81,'01. KE30'!$A:$A,'06. BC BH THEO CUSTOMER-USD'!ED$4)-SUMIFS('01. KE30'!$AA:$AA,'01. KE30'!$C:$C,'06. BC BH THEO CUSTOMER-USD'!$D81,'01. KE30'!$F:$F,'06. BC BH THEO CUSTOMER-USD'!$H81,'01. KE30'!$A:$A,'06. BC BH THEO CUSTOMER-USD'!ED$4),"-")</f>
        <v>0</v>
      </c>
      <c r="EE81" s="114">
        <f>IFERROR(SUMIFS('01. KE30'!$X:$X,'01. KE30'!$C:$C,'06. BC BH THEO CUSTOMER-USD'!$D81,'01. KE30'!$F:$F,'06. BC BH THEO CUSTOMER-USD'!$H81,'01. KE30'!$A:$A,'06. BC BH THEO CUSTOMER-USD'!EE$4)-SUMIFS('01. KE30'!$AA:$AA,'01. KE30'!$C:$C,'06. BC BH THEO CUSTOMER-USD'!$D81,'01. KE30'!$F:$F,'06. BC BH THEO CUSTOMER-USD'!$H81,'01. KE30'!$A:$A,'06. BC BH THEO CUSTOMER-USD'!EE$4),"-")</f>
        <v>0</v>
      </c>
      <c r="EF81" s="114">
        <f>IFERROR(SUMIFS('01. KE30'!$X:$X,'01. KE30'!$C:$C,'06. BC BH THEO CUSTOMER-USD'!$D81,'01. KE30'!$F:$F,'06. BC BH THEO CUSTOMER-USD'!$H81,'01. KE30'!$A:$A,'06. BC BH THEO CUSTOMER-USD'!EF$4)-SUMIFS('01. KE30'!$AA:$AA,'01. KE30'!$C:$C,'06. BC BH THEO CUSTOMER-USD'!$D81,'01. KE30'!$F:$F,'06. BC BH THEO CUSTOMER-USD'!$H81,'01. KE30'!$A:$A,'06. BC BH THEO CUSTOMER-USD'!EF$4),"-")</f>
        <v>0</v>
      </c>
      <c r="EH81" s="571" t="str">
        <f t="shared" si="531"/>
        <v>-</v>
      </c>
      <c r="EI81" s="572" t="str">
        <f t="shared" si="532"/>
        <v>-</v>
      </c>
      <c r="EJ81" s="572" t="str">
        <f t="shared" si="533"/>
        <v>-</v>
      </c>
      <c r="EK81" s="572" t="str">
        <f t="shared" si="534"/>
        <v>-</v>
      </c>
      <c r="EL81" s="572" t="str">
        <f t="shared" si="535"/>
        <v>-</v>
      </c>
      <c r="EM81" s="572" t="str">
        <f t="shared" si="536"/>
        <v>-</v>
      </c>
      <c r="EN81" s="572" t="str">
        <f t="shared" si="537"/>
        <v>-</v>
      </c>
      <c r="EO81" s="572" t="str">
        <f t="shared" si="538"/>
        <v>-</v>
      </c>
      <c r="EP81" s="572" t="str">
        <f t="shared" si="539"/>
        <v>-</v>
      </c>
      <c r="EQ81" s="572" t="str">
        <f t="shared" si="540"/>
        <v>-</v>
      </c>
      <c r="ER81" s="572" t="str">
        <f t="shared" si="541"/>
        <v>-</v>
      </c>
      <c r="ES81" s="572" t="str">
        <f t="shared" si="542"/>
        <v>-</v>
      </c>
      <c r="ET81" s="572" t="str">
        <f t="shared" si="543"/>
        <v>-</v>
      </c>
    </row>
    <row r="82" spans="1:150" ht="15.5" hidden="1" outlineLevel="1" x14ac:dyDescent="0.35">
      <c r="A82" s="27">
        <f t="shared" si="63"/>
        <v>69</v>
      </c>
      <c r="B82" s="27" t="s">
        <v>283</v>
      </c>
      <c r="C82" s="442" t="s">
        <v>489</v>
      </c>
      <c r="D82" s="9" t="s">
        <v>112</v>
      </c>
      <c r="E82" s="31" t="s">
        <v>111</v>
      </c>
      <c r="F82" s="12" t="s">
        <v>245</v>
      </c>
      <c r="G82" s="12" t="str">
        <f>_xlfn.XLOOKUP(F82,'Quy đổi'!$G$5:$G$32,'Quy đổi'!$H$5:$H$32,0)</f>
        <v>Nội địa</v>
      </c>
      <c r="H82" s="77" t="s">
        <v>110</v>
      </c>
      <c r="I82" s="31" t="s">
        <v>109</v>
      </c>
      <c r="J82" s="13" t="s">
        <v>22</v>
      </c>
      <c r="K82" s="30"/>
      <c r="L82" s="92" t="str">
        <f t="shared" ref="L82:L91" si="633">IFERROR(AVERAGE(M82:X82),"-")</f>
        <v>-</v>
      </c>
      <c r="M82" s="106" t="str">
        <f>IFERROR(SUMIFS('01. KE30'!$K:$K,'01. KE30'!$C:$C,'06. BC BH THEO CUSTOMER-USD'!$D82,'01. KE30'!$F:$F,'06. BC BH THEO CUSTOMER-USD'!$H82,'01. KE30'!$A:$A,'06. BC BH THEO CUSTOMER-USD'!M$4)/'06. BC BH THEO CUSTOMER-USD'!CS82/'02. Tỷ giá'!B$5,"-")</f>
        <v>-</v>
      </c>
      <c r="N82" s="106" t="str">
        <f>IFERROR(SUMIFS('01. KE30'!$K:$K,'01. KE30'!$C:$C,'06. BC BH THEO CUSTOMER-USD'!$D82,'01. KE30'!$F:$F,'06. BC BH THEO CUSTOMER-USD'!$H82,'01. KE30'!$A:$A,'06. BC BH THEO CUSTOMER-USD'!N$4)/'06. BC BH THEO CUSTOMER-USD'!CT82/'02. Tỷ giá'!C$5,"-")</f>
        <v>-</v>
      </c>
      <c r="O82" s="106" t="str">
        <f>IFERROR(SUMIFS('01. KE30'!$K:$K,'01. KE30'!$C:$C,'06. BC BH THEO CUSTOMER-USD'!$D82,'01. KE30'!$F:$F,'06. BC BH THEO CUSTOMER-USD'!$H82,'01. KE30'!$A:$A,'06. BC BH THEO CUSTOMER-USD'!O$4)/'06. BC BH THEO CUSTOMER-USD'!CU82/'02. Tỷ giá'!D$5,"-")</f>
        <v>-</v>
      </c>
      <c r="P82" s="106" t="str">
        <f>IFERROR(SUMIFS('01. KE30'!$K:$K,'01. KE30'!$C:$C,'06. BC BH THEO CUSTOMER-USD'!$D82,'01. KE30'!$F:$F,'06. BC BH THEO CUSTOMER-USD'!$H82,'01. KE30'!$A:$A,'06. BC BH THEO CUSTOMER-USD'!P$4)/'06. BC BH THEO CUSTOMER-USD'!CV82/'02. Tỷ giá'!E$5,"-")</f>
        <v>-</v>
      </c>
      <c r="Q82" s="106" t="str">
        <f>IFERROR(SUMIFS('01. KE30'!$K:$K,'01. KE30'!$C:$C,'06. BC BH THEO CUSTOMER-USD'!$D82,'01. KE30'!$F:$F,'06. BC BH THEO CUSTOMER-USD'!$H82,'01. KE30'!$A:$A,'06. BC BH THEO CUSTOMER-USD'!Q$4)/'06. BC BH THEO CUSTOMER-USD'!CW82/'02. Tỷ giá'!F$5,"-")</f>
        <v>-</v>
      </c>
      <c r="R82" s="106" t="str">
        <f>IFERROR(SUMIFS('01. KE30'!$K:$K,'01. KE30'!$C:$C,'06. BC BH THEO CUSTOMER-USD'!$D82,'01. KE30'!$F:$F,'06. BC BH THEO CUSTOMER-USD'!$H82,'01. KE30'!$A:$A,'06. BC BH THEO CUSTOMER-USD'!R$4)/'06. BC BH THEO CUSTOMER-USD'!CX82/'02. Tỷ giá'!G$5,"-")</f>
        <v>-</v>
      </c>
      <c r="S82" s="106" t="str">
        <f>IFERROR(SUMIFS('01. KE30'!$K:$K,'01. KE30'!$C:$C,'06. BC BH THEO CUSTOMER-USD'!$D82,'01. KE30'!$F:$F,'06. BC BH THEO CUSTOMER-USD'!$H82,'01. KE30'!$A:$A,'06. BC BH THEO CUSTOMER-USD'!S$4)/'06. BC BH THEO CUSTOMER-USD'!CY82/'02. Tỷ giá'!H$5,"-")</f>
        <v>-</v>
      </c>
      <c r="T82" s="106" t="str">
        <f>IFERROR(SUMIFS('01. KE30'!$K:$K,'01. KE30'!$C:$C,'06. BC BH THEO CUSTOMER-USD'!$D82,'01. KE30'!$F:$F,'06. BC BH THEO CUSTOMER-USD'!$H82,'01. KE30'!$A:$A,'06. BC BH THEO CUSTOMER-USD'!T$4)/'06. BC BH THEO CUSTOMER-USD'!CZ82/'02. Tỷ giá'!I$5,"-")</f>
        <v>-</v>
      </c>
      <c r="U82" s="106" t="str">
        <f>IFERROR(SUMIFS('01. KE30'!$K:$K,'01. KE30'!$C:$C,'06. BC BH THEO CUSTOMER-USD'!$D82,'01. KE30'!$F:$F,'06. BC BH THEO CUSTOMER-USD'!$H82,'01. KE30'!$A:$A,'06. BC BH THEO CUSTOMER-USD'!U$4)/'06. BC BH THEO CUSTOMER-USD'!DA82/'02. Tỷ giá'!J$5,"-")</f>
        <v>-</v>
      </c>
      <c r="V82" s="106" t="str">
        <f>IFERROR(SUMIFS('01. KE30'!$K:$K,'01. KE30'!$C:$C,'06. BC BH THEO CUSTOMER-USD'!$D82,'01. KE30'!$F:$F,'06. BC BH THEO CUSTOMER-USD'!$H82,'01. KE30'!$A:$A,'06. BC BH THEO CUSTOMER-USD'!V$4)/'06. BC BH THEO CUSTOMER-USD'!DB82/'02. Tỷ giá'!K$5,"-")</f>
        <v>-</v>
      </c>
      <c r="W82" s="106" t="str">
        <f>IFERROR(SUMIFS('01. KE30'!$K:$K,'01. KE30'!$C:$C,'06. BC BH THEO CUSTOMER-USD'!$D82,'01. KE30'!$F:$F,'06. BC BH THEO CUSTOMER-USD'!$H82,'01. KE30'!$A:$A,'06. BC BH THEO CUSTOMER-USD'!W$4)/'06. BC BH THEO CUSTOMER-USD'!DC82/'02. Tỷ giá'!L$5,"-")</f>
        <v>-</v>
      </c>
      <c r="X82" s="106" t="str">
        <f>IFERROR(SUMIFS('01. KE30'!$K:$K,'01. KE30'!$C:$C,'06. BC BH THEO CUSTOMER-USD'!$D82,'01. KE30'!$F:$F,'06. BC BH THEO CUSTOMER-USD'!$H82,'01. KE30'!$A:$A,'06. BC BH THEO CUSTOMER-USD'!X$4)/'06. BC BH THEO CUSTOMER-USD'!DD82/'02. Tỷ giá'!M$5,"-")</f>
        <v>-</v>
      </c>
      <c r="Z82" s="92" t="str">
        <f t="shared" ref="Z82:Z91" si="634">IFERROR(AVERAGE(AA82:AL82),"-")</f>
        <v>-</v>
      </c>
      <c r="AA82" s="147" t="str">
        <f>IFERROR(SUMIFS('01. KE30'!$O:$O,'01. KE30'!$C:$C,'06. BC BH THEO CUSTOMER-USD'!$D82,'01. KE30'!$F:$F,'06. BC BH THEO CUSTOMER-USD'!$H82,'01. KE30'!$A:$A,'06. BC BH THEO CUSTOMER-USD'!M$4)/'06. BC BH THEO CUSTOMER-USD'!CS82/'02. Tỷ giá'!B$5,"-")</f>
        <v>-</v>
      </c>
      <c r="AB82" s="147" t="str">
        <f>IFERROR(SUMIFS('01. KE30'!$O:$O,'01. KE30'!$C:$C,'06. BC BH THEO CUSTOMER-USD'!$D82,'01. KE30'!$F:$F,'06. BC BH THEO CUSTOMER-USD'!$H82,'01. KE30'!$A:$A,'06. BC BH THEO CUSTOMER-USD'!N$4)/'06. BC BH THEO CUSTOMER-USD'!CT82/'02. Tỷ giá'!C$5,"-")</f>
        <v>-</v>
      </c>
      <c r="AC82" s="147" t="str">
        <f>IFERROR(SUMIFS('01. KE30'!$O:$O,'01. KE30'!$C:$C,'06. BC BH THEO CUSTOMER-USD'!$D82,'01. KE30'!$F:$F,'06. BC BH THEO CUSTOMER-USD'!$H82,'01. KE30'!$A:$A,'06. BC BH THEO CUSTOMER-USD'!O$4)/'06. BC BH THEO CUSTOMER-USD'!CU82/'02. Tỷ giá'!D$5,"-")</f>
        <v>-</v>
      </c>
      <c r="AD82" s="147" t="str">
        <f>IFERROR(SUMIFS('01. KE30'!$O:$O,'01. KE30'!$C:$C,'06. BC BH THEO CUSTOMER-USD'!$D82,'01. KE30'!$F:$F,'06. BC BH THEO CUSTOMER-USD'!$H82,'01. KE30'!$A:$A,'06. BC BH THEO CUSTOMER-USD'!P$4)/'06. BC BH THEO CUSTOMER-USD'!CV82/'02. Tỷ giá'!E$5,"-")</f>
        <v>-</v>
      </c>
      <c r="AE82" s="147" t="str">
        <f>IFERROR(SUMIFS('01. KE30'!$O:$O,'01. KE30'!$C:$C,'06. BC BH THEO CUSTOMER-USD'!$D82,'01. KE30'!$F:$F,'06. BC BH THEO CUSTOMER-USD'!$H82,'01. KE30'!$A:$A,'06. BC BH THEO CUSTOMER-USD'!Q$4)/'06. BC BH THEO CUSTOMER-USD'!CW82/'02. Tỷ giá'!F$5,"-")</f>
        <v>-</v>
      </c>
      <c r="AF82" s="147" t="str">
        <f>IFERROR(SUMIFS('01. KE30'!$O:$O,'01. KE30'!$C:$C,'06. BC BH THEO CUSTOMER-USD'!$D82,'01. KE30'!$F:$F,'06. BC BH THEO CUSTOMER-USD'!$H82,'01. KE30'!$A:$A,'06. BC BH THEO CUSTOMER-USD'!R$4)/'06. BC BH THEO CUSTOMER-USD'!CX82/'02. Tỷ giá'!G$5,"-")</f>
        <v>-</v>
      </c>
      <c r="AG82" s="147" t="str">
        <f>IFERROR(SUMIFS('01. KE30'!$O:$O,'01. KE30'!$C:$C,'06. BC BH THEO CUSTOMER-USD'!$D82,'01. KE30'!$F:$F,'06. BC BH THEO CUSTOMER-USD'!$H82,'01. KE30'!$A:$A,'06. BC BH THEO CUSTOMER-USD'!S$4)/'06. BC BH THEO CUSTOMER-USD'!CY82/'02. Tỷ giá'!H$5,"-")</f>
        <v>-</v>
      </c>
      <c r="AH82" s="147" t="str">
        <f>IFERROR(SUMIFS('01. KE30'!$O:$O,'01. KE30'!$C:$C,'06. BC BH THEO CUSTOMER-USD'!$D82,'01. KE30'!$F:$F,'06. BC BH THEO CUSTOMER-USD'!$H82,'01. KE30'!$A:$A,'06. BC BH THEO CUSTOMER-USD'!T$4)/'06. BC BH THEO CUSTOMER-USD'!CZ82/'02. Tỷ giá'!I$5,"-")</f>
        <v>-</v>
      </c>
      <c r="AI82" s="147" t="str">
        <f>IFERROR(SUMIFS('01. KE30'!$O:$O,'01. KE30'!$C:$C,'06. BC BH THEO CUSTOMER-USD'!$D82,'01. KE30'!$F:$F,'06. BC BH THEO CUSTOMER-USD'!$H82,'01. KE30'!$A:$A,'06. BC BH THEO CUSTOMER-USD'!U$4)/'06. BC BH THEO CUSTOMER-USD'!DA82/'02. Tỷ giá'!J$5,"-")</f>
        <v>-</v>
      </c>
      <c r="AJ82" s="147" t="str">
        <f>IFERROR(SUMIFS('01. KE30'!$O:$O,'01. KE30'!$C:$C,'06. BC BH THEO CUSTOMER-USD'!$D82,'01. KE30'!$F:$F,'06. BC BH THEO CUSTOMER-USD'!$H82,'01. KE30'!$A:$A,'06. BC BH THEO CUSTOMER-USD'!V$4)/'06. BC BH THEO CUSTOMER-USD'!DB82/'02. Tỷ giá'!K$5,"-")</f>
        <v>-</v>
      </c>
      <c r="AK82" s="147" t="str">
        <f>IFERROR(SUMIFS('01. KE30'!$O:$O,'01. KE30'!$C:$C,'06. BC BH THEO CUSTOMER-USD'!$D82,'01. KE30'!$F:$F,'06. BC BH THEO CUSTOMER-USD'!$H82,'01. KE30'!$A:$A,'06. BC BH THEO CUSTOMER-USD'!W$4)/'06. BC BH THEO CUSTOMER-USD'!DC82/'02. Tỷ giá'!L$5,"-")</f>
        <v>-</v>
      </c>
      <c r="AL82" s="147" t="str">
        <f>IFERROR(SUMIFS('01. KE30'!$O:$O,'01. KE30'!$C:$C,'06. BC BH THEO CUSTOMER-USD'!$D82,'01. KE30'!$F:$F,'06. BC BH THEO CUSTOMER-USD'!$H82,'01. KE30'!$A:$A,'06. BC BH THEO CUSTOMER-USD'!X$4)/'06. BC BH THEO CUSTOMER-USD'!DD82/'02. Tỷ giá'!M$5,"-")</f>
        <v>-</v>
      </c>
      <c r="AN82" s="92">
        <f t="shared" ref="AN82:AN91" si="635">IFERROR(AVERAGE(AO82:AZ82),"-")</f>
        <v>1236.6666666666667</v>
      </c>
      <c r="AO82" s="25">
        <v>1230</v>
      </c>
      <c r="AP82" s="25">
        <v>1230</v>
      </c>
      <c r="AQ82" s="25">
        <v>1230</v>
      </c>
      <c r="AR82" s="25">
        <f t="shared" ref="AR82:AR88" si="636">AQ82+20</f>
        <v>1250</v>
      </c>
      <c r="AS82" s="25">
        <v>1250</v>
      </c>
      <c r="AT82" s="25">
        <v>1250</v>
      </c>
      <c r="AU82" s="25">
        <v>1250</v>
      </c>
      <c r="AV82" s="4">
        <f t="shared" si="205"/>
        <v>1220</v>
      </c>
      <c r="AW82" s="25">
        <v>1220</v>
      </c>
      <c r="AX82" s="25"/>
      <c r="AY82" s="4"/>
      <c r="AZ82" s="4"/>
      <c r="BB82" s="95" t="str">
        <f t="shared" ref="BB82:BB182" si="637">IF(L82&lt;&gt;"-",Z82-AN82,"-")</f>
        <v>-</v>
      </c>
      <c r="BC82" s="95" t="str">
        <f t="shared" ref="BC82:BC136" si="638">IF(M82&lt;&gt;"-",AA82-AO82,"-")</f>
        <v>-</v>
      </c>
      <c r="BD82" s="95" t="str">
        <f t="shared" si="516"/>
        <v>-</v>
      </c>
      <c r="BE82" s="95" t="str">
        <f t="shared" si="516"/>
        <v>-</v>
      </c>
      <c r="BF82" s="95" t="str">
        <f t="shared" si="516"/>
        <v>-</v>
      </c>
      <c r="BG82" s="95" t="str">
        <f t="shared" si="516"/>
        <v>-</v>
      </c>
      <c r="BH82" s="95" t="str">
        <f t="shared" si="516"/>
        <v>-</v>
      </c>
      <c r="BI82" s="95" t="str">
        <f t="shared" si="516"/>
        <v>-</v>
      </c>
      <c r="BJ82" s="95" t="str">
        <f t="shared" si="516"/>
        <v>-</v>
      </c>
      <c r="BK82" s="95" t="str">
        <f t="shared" si="516"/>
        <v>-</v>
      </c>
      <c r="BL82" s="95" t="str">
        <f t="shared" si="516"/>
        <v>-</v>
      </c>
      <c r="BM82" s="95" t="str">
        <f t="shared" si="516"/>
        <v>-</v>
      </c>
      <c r="BN82" s="95" t="str">
        <f t="shared" si="516"/>
        <v>-</v>
      </c>
      <c r="BP82" s="143" t="str">
        <f t="shared" ref="BP82:BP182" si="639">IFERROR(IF(BB82&lt;&gt;"-",BB82/AN82,"-"),"-")</f>
        <v>-</v>
      </c>
      <c r="BQ82" s="143" t="str">
        <f t="shared" si="517"/>
        <v>-</v>
      </c>
      <c r="BR82" s="143" t="str">
        <f t="shared" si="518"/>
        <v>-</v>
      </c>
      <c r="BS82" s="143" t="str">
        <f t="shared" si="519"/>
        <v>-</v>
      </c>
      <c r="BT82" s="143" t="str">
        <f t="shared" si="520"/>
        <v>-</v>
      </c>
      <c r="BU82" s="143" t="str">
        <f t="shared" si="521"/>
        <v>-</v>
      </c>
      <c r="BV82" s="143" t="str">
        <f t="shared" si="522"/>
        <v>-</v>
      </c>
      <c r="BW82" s="143" t="str">
        <f t="shared" si="523"/>
        <v>-</v>
      </c>
      <c r="BX82" s="143" t="str">
        <f t="shared" si="524"/>
        <v>-</v>
      </c>
      <c r="BY82" s="143" t="str">
        <f t="shared" si="525"/>
        <v>-</v>
      </c>
      <c r="BZ82" s="143" t="str">
        <f t="shared" si="526"/>
        <v>-</v>
      </c>
      <c r="CA82" s="143" t="str">
        <f t="shared" si="527"/>
        <v>-</v>
      </c>
      <c r="CB82" s="143" t="str">
        <f t="shared" si="528"/>
        <v>-</v>
      </c>
      <c r="CD82" s="112" t="str">
        <f t="shared" si="529"/>
        <v>-</v>
      </c>
      <c r="CE82" s="95" t="str">
        <f>IFERROR(SUMIFS('01. KE30'!$R:$R,'01. KE30'!$C:$C,'06. BC BH THEO CUSTOMER-USD'!$D82,'01. KE30'!$F:$F,'06. BC BH THEO CUSTOMER-USD'!$H82,'01. KE30'!$A:$A,'06. BC BH THEO CUSTOMER-USD'!CE$4)/CS82/'02. Tỷ giá'!B$5," -")</f>
        <v xml:space="preserve"> -</v>
      </c>
      <c r="CF82" s="95" t="str">
        <f>IFERROR(SUMIFS('01. KE30'!$R:$R,'01. KE30'!$C:$C,'06. BC BH THEO CUSTOMER-USD'!$D82,'01. KE30'!$F:$F,'06. BC BH THEO CUSTOMER-USD'!$H82,'01. KE30'!$A:$A,'06. BC BH THEO CUSTOMER-USD'!CF$4)/CT82/'02. Tỷ giá'!C$5," -")</f>
        <v xml:space="preserve"> -</v>
      </c>
      <c r="CG82" s="95" t="str">
        <f>IFERROR(SUMIFS('01. KE30'!$R:$R,'01. KE30'!$C:$C,'06. BC BH THEO CUSTOMER-USD'!$D82,'01. KE30'!$F:$F,'06. BC BH THEO CUSTOMER-USD'!$H82,'01. KE30'!$A:$A,'06. BC BH THEO CUSTOMER-USD'!CG$4)/CU82/'02. Tỷ giá'!D$5," -")</f>
        <v xml:space="preserve"> -</v>
      </c>
      <c r="CH82" s="95" t="str">
        <f>IFERROR(SUMIFS('01. KE30'!$R:$R,'01. KE30'!$C:$C,'06. BC BH THEO CUSTOMER-USD'!$D82,'01. KE30'!$F:$F,'06. BC BH THEO CUSTOMER-USD'!$H82,'01. KE30'!$A:$A,'06. BC BH THEO CUSTOMER-USD'!CH$4)/CV82/'02. Tỷ giá'!E$5," -")</f>
        <v xml:space="preserve"> -</v>
      </c>
      <c r="CI82" s="95" t="str">
        <f>IFERROR(SUMIFS('01. KE30'!$R:$R,'01. KE30'!$C:$C,'06. BC BH THEO CUSTOMER-USD'!$D82,'01. KE30'!$F:$F,'06. BC BH THEO CUSTOMER-USD'!$H82,'01. KE30'!$A:$A,'06. BC BH THEO CUSTOMER-USD'!CI$4)/CW82/'02. Tỷ giá'!F$5," -")</f>
        <v xml:space="preserve"> -</v>
      </c>
      <c r="CJ82" s="95" t="str">
        <f>IFERROR(SUMIFS('01. KE30'!$R:$R,'01. KE30'!$C:$C,'06. BC BH THEO CUSTOMER-USD'!$D82,'01. KE30'!$F:$F,'06. BC BH THEO CUSTOMER-USD'!$H82,'01. KE30'!$A:$A,'06. BC BH THEO CUSTOMER-USD'!CJ$4)/CX82/'02. Tỷ giá'!G$5," -")</f>
        <v xml:space="preserve"> -</v>
      </c>
      <c r="CK82" s="95" t="str">
        <f>IFERROR(SUMIFS('01. KE30'!$R:$R,'01. KE30'!$C:$C,'06. BC BH THEO CUSTOMER-USD'!$D82,'01. KE30'!$F:$F,'06. BC BH THEO CUSTOMER-USD'!$H82,'01. KE30'!$A:$A,'06. BC BH THEO CUSTOMER-USD'!CK$4)/CY82/'02. Tỷ giá'!H$5," -")</f>
        <v xml:space="preserve"> -</v>
      </c>
      <c r="CL82" s="95" t="str">
        <f>IFERROR(SUMIFS('01. KE30'!$R:$R,'01. KE30'!$C:$C,'06. BC BH THEO CUSTOMER-USD'!$D82,'01. KE30'!$F:$F,'06. BC BH THEO CUSTOMER-USD'!$H82,'01. KE30'!$A:$A,'06. BC BH THEO CUSTOMER-USD'!CL$4)/CZ82/'02. Tỷ giá'!I$5," -")</f>
        <v xml:space="preserve"> -</v>
      </c>
      <c r="CM82" s="95" t="str">
        <f>IFERROR(SUMIFS('01. KE30'!$R:$R,'01. KE30'!$C:$C,'06. BC BH THEO CUSTOMER-USD'!$D82,'01. KE30'!$F:$F,'06. BC BH THEO CUSTOMER-USD'!$H82,'01. KE30'!$A:$A,'06. BC BH THEO CUSTOMER-USD'!CM$4)/DA82/'02. Tỷ giá'!J$5," -")</f>
        <v xml:space="preserve"> -</v>
      </c>
      <c r="CN82" s="95" t="str">
        <f>IFERROR(SUMIFS('01. KE30'!$R:$R,'01. KE30'!$C:$C,'06. BC BH THEO CUSTOMER-USD'!$D82,'01. KE30'!$F:$F,'06. BC BH THEO CUSTOMER-USD'!$H82,'01. KE30'!$A:$A,'06. BC BH THEO CUSTOMER-USD'!CN$4)/DB82/'02. Tỷ giá'!K$5," -")</f>
        <v xml:space="preserve"> -</v>
      </c>
      <c r="CO82" s="95" t="str">
        <f>IFERROR(SUMIFS('01. KE30'!$R:$R,'01. KE30'!$C:$C,'06. BC BH THEO CUSTOMER-USD'!$D82,'01. KE30'!$F:$F,'06. BC BH THEO CUSTOMER-USD'!$H82,'01. KE30'!$A:$A,'06. BC BH THEO CUSTOMER-USD'!CO$4)/DC82/'02. Tỷ giá'!L$5," -")</f>
        <v xml:space="preserve"> -</v>
      </c>
      <c r="CP82" s="95" t="str">
        <f>IFERROR(SUMIFS('01. KE30'!$R:$R,'01. KE30'!$C:$C,'06. BC BH THEO CUSTOMER-USD'!$D82,'01. KE30'!$F:$F,'06. BC BH THEO CUSTOMER-USD'!$H82,'01. KE30'!$A:$A,'06. BC BH THEO CUSTOMER-USD'!CP$4)/DD82/'02. Tỷ giá'!M$5," -")</f>
        <v xml:space="preserve"> -</v>
      </c>
      <c r="CR82" s="112">
        <f t="shared" si="266"/>
        <v>0</v>
      </c>
      <c r="CS82" s="114">
        <f>SUMIFS('01. KE30'!$I:$I,'01. KE30'!$C:$C,'06. BC BH THEO CUSTOMER-USD'!$D82,'01. KE30'!$F:$F,'06. BC BH THEO CUSTOMER-USD'!$H82,'01. KE30'!$A:$A,'06. BC BH THEO CUSTOMER-USD'!CS$4)/1000</f>
        <v>0</v>
      </c>
      <c r="CT82" s="114">
        <f>SUMIFS('01. KE30'!$I:$I,'01. KE30'!$C:$C,'06. BC BH THEO CUSTOMER-USD'!$D82,'01. KE30'!$F:$F,'06. BC BH THEO CUSTOMER-USD'!$H82,'01. KE30'!$A:$A,'06. BC BH THEO CUSTOMER-USD'!CT$4)/1000</f>
        <v>0</v>
      </c>
      <c r="CU82" s="114">
        <f>SUMIFS('01. KE30'!$I:$I,'01. KE30'!$C:$C,'06. BC BH THEO CUSTOMER-USD'!$D82,'01. KE30'!$F:$F,'06. BC BH THEO CUSTOMER-USD'!$H82,'01. KE30'!$A:$A,'06. BC BH THEO CUSTOMER-USD'!CU$4)/1000</f>
        <v>0</v>
      </c>
      <c r="CV82" s="114">
        <f>SUMIFS('01. KE30'!$I:$I,'01. KE30'!$C:$C,'06. BC BH THEO CUSTOMER-USD'!$D82,'01. KE30'!$F:$F,'06. BC BH THEO CUSTOMER-USD'!$H82,'01. KE30'!$A:$A,'06. BC BH THEO CUSTOMER-USD'!CV$4)/1000</f>
        <v>0</v>
      </c>
      <c r="CW82" s="114">
        <f>SUMIFS('01. KE30'!$I:$I,'01. KE30'!$C:$C,'06. BC BH THEO CUSTOMER-USD'!$D82,'01. KE30'!$F:$F,'06. BC BH THEO CUSTOMER-USD'!$H82,'01. KE30'!$A:$A,'06. BC BH THEO CUSTOMER-USD'!CW$4)/1000</f>
        <v>0</v>
      </c>
      <c r="CX82" s="114">
        <f>SUMIFS('01. KE30'!$I:$I,'01. KE30'!$C:$C,'06. BC BH THEO CUSTOMER-USD'!$D82,'01. KE30'!$F:$F,'06. BC BH THEO CUSTOMER-USD'!$H82,'01. KE30'!$A:$A,'06. BC BH THEO CUSTOMER-USD'!CX$4)/1000</f>
        <v>0</v>
      </c>
      <c r="CY82" s="114">
        <f>SUMIFS('01. KE30'!$I:$I,'01. KE30'!$C:$C,'06. BC BH THEO CUSTOMER-USD'!$D82,'01. KE30'!$F:$F,'06. BC BH THEO CUSTOMER-USD'!$H82,'01. KE30'!$A:$A,'06. BC BH THEO CUSTOMER-USD'!CY$4)/1000</f>
        <v>0</v>
      </c>
      <c r="CZ82" s="114">
        <f>SUMIFS('01. KE30'!$I:$I,'01. KE30'!$C:$C,'06. BC BH THEO CUSTOMER-USD'!$D82,'01. KE30'!$F:$F,'06. BC BH THEO CUSTOMER-USD'!$H82,'01. KE30'!$A:$A,'06. BC BH THEO CUSTOMER-USD'!CZ$4)/1000</f>
        <v>0</v>
      </c>
      <c r="DA82" s="114">
        <f>SUMIFS('01. KE30'!$I:$I,'01. KE30'!$C:$C,'06. BC BH THEO CUSTOMER-USD'!$D82,'01. KE30'!$F:$F,'06. BC BH THEO CUSTOMER-USD'!$H82,'01. KE30'!$A:$A,'06. BC BH THEO CUSTOMER-USD'!DA$4)/1000</f>
        <v>0</v>
      </c>
      <c r="DB82" s="114">
        <f>SUMIFS('01. KE30'!$I:$I,'01. KE30'!$C:$C,'06. BC BH THEO CUSTOMER-USD'!$D82,'01. KE30'!$F:$F,'06. BC BH THEO CUSTOMER-USD'!$H82,'01. KE30'!$A:$A,'06. BC BH THEO CUSTOMER-USD'!DB$4)/1000</f>
        <v>0</v>
      </c>
      <c r="DC82" s="114">
        <f>SUMIFS('01. KE30'!$I:$I,'01. KE30'!$C:$C,'06. BC BH THEO CUSTOMER-USD'!$D82,'01. KE30'!$F:$F,'06. BC BH THEO CUSTOMER-USD'!$H82,'01. KE30'!$A:$A,'06. BC BH THEO CUSTOMER-USD'!DC$4)/1000</f>
        <v>0</v>
      </c>
      <c r="DD82" s="114">
        <f>SUMIFS('01. KE30'!$I:$I,'01. KE30'!$C:$C,'06. BC BH THEO CUSTOMER-USD'!$D82,'01. KE30'!$F:$F,'06. BC BH THEO CUSTOMER-USD'!$H82,'01. KE30'!$A:$A,'06. BC BH THEO CUSTOMER-USD'!DD$4)/1000</f>
        <v>0</v>
      </c>
      <c r="DF82" s="112">
        <f t="shared" si="267"/>
        <v>0</v>
      </c>
      <c r="DG82" s="54" t="str">
        <f t="shared" ref="DG82:DG90" si="640">IFERROR(M82*CS82,"-")</f>
        <v>-</v>
      </c>
      <c r="DH82" s="54" t="str">
        <f t="shared" ref="DH82:DH90" si="641">IFERROR(N82*CT82,"-")</f>
        <v>-</v>
      </c>
      <c r="DI82" s="54" t="str">
        <f t="shared" ref="DI82:DI90" si="642">IFERROR(O82*CU82,"-")</f>
        <v>-</v>
      </c>
      <c r="DJ82" s="54" t="str">
        <f t="shared" ref="DJ82:DJ90" si="643">IFERROR(P82*CV82,"-")</f>
        <v>-</v>
      </c>
      <c r="DK82" s="54" t="str">
        <f t="shared" ref="DK82:DK90" si="644">IFERROR(Q82*CW82,"-")</f>
        <v>-</v>
      </c>
      <c r="DL82" s="54" t="str">
        <f t="shared" ref="DL82:DL90" si="645">IFERROR(R82*CX82,"-")</f>
        <v>-</v>
      </c>
      <c r="DM82" s="54" t="str">
        <f t="shared" ref="DM82:DM90" si="646">IFERROR(S82*CY82,"-")</f>
        <v>-</v>
      </c>
      <c r="DN82" s="54" t="str">
        <f t="shared" ref="DN82:DN90" si="647">IFERROR(T82*CZ82,"-")</f>
        <v>-</v>
      </c>
      <c r="DO82" s="54" t="str">
        <f t="shared" ref="DO82:DO90" si="648">IFERROR(U82*DA82,"-")</f>
        <v>-</v>
      </c>
      <c r="DP82" s="54" t="str">
        <f t="shared" ref="DP82:DP90" si="649">IFERROR(V82*DB82,"-")</f>
        <v>-</v>
      </c>
      <c r="DQ82" s="54" t="str">
        <f t="shared" ref="DQ82:DQ90" si="650">IFERROR(W82*DC82,"-")</f>
        <v>-</v>
      </c>
      <c r="DR82" s="54" t="str">
        <f t="shared" ref="DR82:DR90" si="651">IFERROR(X82*DD82,"-")</f>
        <v>-</v>
      </c>
      <c r="DT82" s="112">
        <f t="shared" ref="DT82:DT182" si="652">SUM(DU82:EF82)</f>
        <v>0</v>
      </c>
      <c r="DU82" s="114">
        <f>IFERROR(SUMIFS('01. KE30'!$X:$X,'01. KE30'!$C:$C,'06. BC BH THEO CUSTOMER-USD'!$D82,'01. KE30'!$F:$F,'06. BC BH THEO CUSTOMER-USD'!$H82,'01. KE30'!$A:$A,'06. BC BH THEO CUSTOMER-USD'!DU$4)-SUMIFS('01. KE30'!$AA:$AA,'01. KE30'!$C:$C,'06. BC BH THEO CUSTOMER-USD'!$D82,'01. KE30'!$F:$F,'06. BC BH THEO CUSTOMER-USD'!$H82,'01. KE30'!$A:$A,'06. BC BH THEO CUSTOMER-USD'!DU$4),"-")</f>
        <v>0</v>
      </c>
      <c r="DV82" s="114">
        <f>IFERROR(SUMIFS('01. KE30'!$X:$X,'01. KE30'!$C:$C,'06. BC BH THEO CUSTOMER-USD'!$D82,'01. KE30'!$F:$F,'06. BC BH THEO CUSTOMER-USD'!$H82,'01. KE30'!$A:$A,'06. BC BH THEO CUSTOMER-USD'!DV$4)-SUMIFS('01. KE30'!$AA:$AA,'01. KE30'!$C:$C,'06. BC BH THEO CUSTOMER-USD'!$D82,'01. KE30'!$F:$F,'06. BC BH THEO CUSTOMER-USD'!$H82,'01. KE30'!$A:$A,'06. BC BH THEO CUSTOMER-USD'!DV$4),"-")</f>
        <v>0</v>
      </c>
      <c r="DW82" s="114">
        <f>IFERROR(SUMIFS('01. KE30'!$X:$X,'01. KE30'!$C:$C,'06. BC BH THEO CUSTOMER-USD'!$D82,'01. KE30'!$F:$F,'06. BC BH THEO CUSTOMER-USD'!$H82,'01. KE30'!$A:$A,'06. BC BH THEO CUSTOMER-USD'!DW$4)-SUMIFS('01. KE30'!$AA:$AA,'01. KE30'!$C:$C,'06. BC BH THEO CUSTOMER-USD'!$D82,'01. KE30'!$F:$F,'06. BC BH THEO CUSTOMER-USD'!$H82,'01. KE30'!$A:$A,'06. BC BH THEO CUSTOMER-USD'!DW$4),"-")</f>
        <v>0</v>
      </c>
      <c r="DX82" s="114">
        <f>IFERROR(SUMIFS('01. KE30'!$X:$X,'01. KE30'!$C:$C,'06. BC BH THEO CUSTOMER-USD'!$D82,'01. KE30'!$F:$F,'06. BC BH THEO CUSTOMER-USD'!$H82,'01. KE30'!$A:$A,'06. BC BH THEO CUSTOMER-USD'!DX$4)-SUMIFS('01. KE30'!$AA:$AA,'01. KE30'!$C:$C,'06. BC BH THEO CUSTOMER-USD'!$D82,'01. KE30'!$F:$F,'06. BC BH THEO CUSTOMER-USD'!$H82,'01. KE30'!$A:$A,'06. BC BH THEO CUSTOMER-USD'!DX$4),"-")</f>
        <v>0</v>
      </c>
      <c r="DY82" s="114">
        <f>IFERROR(SUMIFS('01. KE30'!$X:$X,'01. KE30'!$C:$C,'06. BC BH THEO CUSTOMER-USD'!$D82,'01. KE30'!$F:$F,'06. BC BH THEO CUSTOMER-USD'!$H82,'01. KE30'!$A:$A,'06. BC BH THEO CUSTOMER-USD'!DY$4)-SUMIFS('01. KE30'!$AA:$AA,'01. KE30'!$C:$C,'06. BC BH THEO CUSTOMER-USD'!$D82,'01. KE30'!$F:$F,'06. BC BH THEO CUSTOMER-USD'!$H82,'01. KE30'!$A:$A,'06. BC BH THEO CUSTOMER-USD'!DY$4),"-")</f>
        <v>0</v>
      </c>
      <c r="DZ82" s="114">
        <f>IFERROR(SUMIFS('01. KE30'!$X:$X,'01. KE30'!$C:$C,'06. BC BH THEO CUSTOMER-USD'!$D82,'01. KE30'!$F:$F,'06. BC BH THEO CUSTOMER-USD'!$H82,'01. KE30'!$A:$A,'06. BC BH THEO CUSTOMER-USD'!DZ$4)-SUMIFS('01. KE30'!$AA:$AA,'01. KE30'!$C:$C,'06. BC BH THEO CUSTOMER-USD'!$D82,'01. KE30'!$F:$F,'06. BC BH THEO CUSTOMER-USD'!$H82,'01. KE30'!$A:$A,'06. BC BH THEO CUSTOMER-USD'!DZ$4),"-")</f>
        <v>0</v>
      </c>
      <c r="EA82" s="114">
        <f>IFERROR(SUMIFS('01. KE30'!$X:$X,'01. KE30'!$C:$C,'06. BC BH THEO CUSTOMER-USD'!$D82,'01. KE30'!$F:$F,'06. BC BH THEO CUSTOMER-USD'!$H82,'01. KE30'!$A:$A,'06. BC BH THEO CUSTOMER-USD'!EA$4)-SUMIFS('01. KE30'!$AA:$AA,'01. KE30'!$C:$C,'06. BC BH THEO CUSTOMER-USD'!$D82,'01. KE30'!$F:$F,'06. BC BH THEO CUSTOMER-USD'!$H82,'01. KE30'!$A:$A,'06. BC BH THEO CUSTOMER-USD'!EA$4),"-")</f>
        <v>0</v>
      </c>
      <c r="EB82" s="114">
        <f>IFERROR(SUMIFS('01. KE30'!$X:$X,'01. KE30'!$C:$C,'06. BC BH THEO CUSTOMER-USD'!$D82,'01. KE30'!$F:$F,'06. BC BH THEO CUSTOMER-USD'!$H82,'01. KE30'!$A:$A,'06. BC BH THEO CUSTOMER-USD'!EB$4)-SUMIFS('01. KE30'!$AA:$AA,'01. KE30'!$C:$C,'06. BC BH THEO CUSTOMER-USD'!$D82,'01. KE30'!$F:$F,'06. BC BH THEO CUSTOMER-USD'!$H82,'01. KE30'!$A:$A,'06. BC BH THEO CUSTOMER-USD'!EB$4),"-")</f>
        <v>0</v>
      </c>
      <c r="EC82" s="114">
        <f>IFERROR(SUMIFS('01. KE30'!$X:$X,'01. KE30'!$C:$C,'06. BC BH THEO CUSTOMER-USD'!$D82,'01. KE30'!$F:$F,'06. BC BH THEO CUSTOMER-USD'!$H82,'01. KE30'!$A:$A,'06. BC BH THEO CUSTOMER-USD'!EC$4)-SUMIFS('01. KE30'!$AA:$AA,'01. KE30'!$C:$C,'06. BC BH THEO CUSTOMER-USD'!$D82,'01. KE30'!$F:$F,'06. BC BH THEO CUSTOMER-USD'!$H82,'01. KE30'!$A:$A,'06. BC BH THEO CUSTOMER-USD'!EC$4),"-")</f>
        <v>0</v>
      </c>
      <c r="ED82" s="114">
        <f>IFERROR(SUMIFS('01. KE30'!$X:$X,'01. KE30'!$C:$C,'06. BC BH THEO CUSTOMER-USD'!$D82,'01. KE30'!$F:$F,'06. BC BH THEO CUSTOMER-USD'!$H82,'01. KE30'!$A:$A,'06. BC BH THEO CUSTOMER-USD'!ED$4)-SUMIFS('01. KE30'!$AA:$AA,'01. KE30'!$C:$C,'06. BC BH THEO CUSTOMER-USD'!$D82,'01. KE30'!$F:$F,'06. BC BH THEO CUSTOMER-USD'!$H82,'01. KE30'!$A:$A,'06. BC BH THEO CUSTOMER-USD'!ED$4),"-")</f>
        <v>0</v>
      </c>
      <c r="EE82" s="114">
        <f>IFERROR(SUMIFS('01. KE30'!$X:$X,'01. KE30'!$C:$C,'06. BC BH THEO CUSTOMER-USD'!$D82,'01. KE30'!$F:$F,'06. BC BH THEO CUSTOMER-USD'!$H82,'01. KE30'!$A:$A,'06. BC BH THEO CUSTOMER-USD'!EE$4)-SUMIFS('01. KE30'!$AA:$AA,'01. KE30'!$C:$C,'06. BC BH THEO CUSTOMER-USD'!$D82,'01. KE30'!$F:$F,'06. BC BH THEO CUSTOMER-USD'!$H82,'01. KE30'!$A:$A,'06. BC BH THEO CUSTOMER-USD'!EE$4),"-")</f>
        <v>0</v>
      </c>
      <c r="EF82" s="114">
        <f>IFERROR(SUMIFS('01. KE30'!$X:$X,'01. KE30'!$C:$C,'06. BC BH THEO CUSTOMER-USD'!$D82,'01. KE30'!$F:$F,'06. BC BH THEO CUSTOMER-USD'!$H82,'01. KE30'!$A:$A,'06. BC BH THEO CUSTOMER-USD'!EF$4)-SUMIFS('01. KE30'!$AA:$AA,'01. KE30'!$C:$C,'06. BC BH THEO CUSTOMER-USD'!$D82,'01. KE30'!$F:$F,'06. BC BH THEO CUSTOMER-USD'!$H82,'01. KE30'!$A:$A,'06. BC BH THEO CUSTOMER-USD'!EF$4),"-")</f>
        <v>0</v>
      </c>
      <c r="EH82" s="571" t="str">
        <f t="shared" si="531"/>
        <v>-</v>
      </c>
      <c r="EI82" s="572" t="str">
        <f t="shared" si="532"/>
        <v>-</v>
      </c>
      <c r="EJ82" s="572" t="str">
        <f t="shared" si="533"/>
        <v>-</v>
      </c>
      <c r="EK82" s="572" t="str">
        <f t="shared" si="534"/>
        <v>-</v>
      </c>
      <c r="EL82" s="572" t="str">
        <f t="shared" si="535"/>
        <v>-</v>
      </c>
      <c r="EM82" s="572" t="str">
        <f t="shared" si="536"/>
        <v>-</v>
      </c>
      <c r="EN82" s="572" t="str">
        <f t="shared" si="537"/>
        <v>-</v>
      </c>
      <c r="EO82" s="572" t="str">
        <f t="shared" si="538"/>
        <v>-</v>
      </c>
      <c r="EP82" s="572" t="str">
        <f t="shared" si="539"/>
        <v>-</v>
      </c>
      <c r="EQ82" s="572" t="str">
        <f t="shared" si="540"/>
        <v>-</v>
      </c>
      <c r="ER82" s="572" t="str">
        <f t="shared" si="541"/>
        <v>-</v>
      </c>
      <c r="ES82" s="572" t="str">
        <f t="shared" si="542"/>
        <v>-</v>
      </c>
      <c r="ET82" s="572" t="str">
        <f t="shared" si="543"/>
        <v>-</v>
      </c>
    </row>
    <row r="83" spans="1:150" ht="15.5" hidden="1" outlineLevel="1" x14ac:dyDescent="0.35">
      <c r="A83" s="27">
        <f t="shared" si="63"/>
        <v>70</v>
      </c>
      <c r="B83" s="27" t="s">
        <v>283</v>
      </c>
      <c r="C83" s="442" t="s">
        <v>489</v>
      </c>
      <c r="D83" s="9" t="s">
        <v>832</v>
      </c>
      <c r="E83" s="31" t="s">
        <v>833</v>
      </c>
      <c r="F83" s="12" t="s">
        <v>245</v>
      </c>
      <c r="G83" s="12" t="str">
        <f>_xlfn.XLOOKUP(F83,'Quy đổi'!$G$5:$G$32,'Quy đổi'!$H$5:$H$32,0)</f>
        <v>Nội địa</v>
      </c>
      <c r="H83" s="77" t="s">
        <v>110</v>
      </c>
      <c r="I83" s="31" t="s">
        <v>109</v>
      </c>
      <c r="J83" s="13" t="s">
        <v>22</v>
      </c>
      <c r="K83" s="30"/>
      <c r="L83" s="92">
        <f t="shared" si="633"/>
        <v>1303.3141390705198</v>
      </c>
      <c r="M83" s="106" t="str">
        <f>IFERROR(SUMIFS('01. KE30'!$K:$K,'01. KE30'!$C:$C,'06. BC BH THEO CUSTOMER-USD'!$D83,'01. KE30'!$F:$F,'06. BC BH THEO CUSTOMER-USD'!$H83,'01. KE30'!$A:$A,'06. BC BH THEO CUSTOMER-USD'!M$4)/'06. BC BH THEO CUSTOMER-USD'!CS83/'02. Tỷ giá'!B$5,"-")</f>
        <v>-</v>
      </c>
      <c r="N83" s="106" t="str">
        <f>IFERROR(SUMIFS('01. KE30'!$K:$K,'01. KE30'!$C:$C,'06. BC BH THEO CUSTOMER-USD'!$D83,'01. KE30'!$F:$F,'06. BC BH THEO CUSTOMER-USD'!$H83,'01. KE30'!$A:$A,'06. BC BH THEO CUSTOMER-USD'!N$4)/'06. BC BH THEO CUSTOMER-USD'!CT83/'02. Tỷ giá'!C$5,"-")</f>
        <v>-</v>
      </c>
      <c r="O83" s="106" t="str">
        <f>IFERROR(SUMIFS('01. KE30'!$K:$K,'01. KE30'!$C:$C,'06. BC BH THEO CUSTOMER-USD'!$D83,'01. KE30'!$F:$F,'06. BC BH THEO CUSTOMER-USD'!$H83,'01. KE30'!$A:$A,'06. BC BH THEO CUSTOMER-USD'!O$4)/'06. BC BH THEO CUSTOMER-USD'!CU83/'02. Tỷ giá'!D$5,"-")</f>
        <v>-</v>
      </c>
      <c r="P83" s="106" t="str">
        <f>IFERROR(SUMIFS('01. KE30'!$K:$K,'01. KE30'!$C:$C,'06. BC BH THEO CUSTOMER-USD'!$D83,'01. KE30'!$F:$F,'06. BC BH THEO CUSTOMER-USD'!$H83,'01. KE30'!$A:$A,'06. BC BH THEO CUSTOMER-USD'!P$4)/'06. BC BH THEO CUSTOMER-USD'!CV83/'02. Tỷ giá'!E$5,"-")</f>
        <v>-</v>
      </c>
      <c r="Q83" s="106">
        <f>IFERROR(SUMIFS('01. KE30'!$K:$K,'01. KE30'!$C:$C,'06. BC BH THEO CUSTOMER-USD'!$D83,'01. KE30'!$F:$F,'06. BC BH THEO CUSTOMER-USD'!$H83,'01. KE30'!$A:$A,'06. BC BH THEO CUSTOMER-USD'!Q$4)/'06. BC BH THEO CUSTOMER-USD'!CW83/'02. Tỷ giá'!F$5,"-")</f>
        <v>1303.3141390705198</v>
      </c>
      <c r="R83" s="106" t="str">
        <f>IFERROR(SUMIFS('01. KE30'!$K:$K,'01. KE30'!$C:$C,'06. BC BH THEO CUSTOMER-USD'!$D83,'01. KE30'!$F:$F,'06. BC BH THEO CUSTOMER-USD'!$H83,'01. KE30'!$A:$A,'06. BC BH THEO CUSTOMER-USD'!R$4)/'06. BC BH THEO CUSTOMER-USD'!CX83/'02. Tỷ giá'!G$5,"-")</f>
        <v>-</v>
      </c>
      <c r="S83" s="106" t="str">
        <f>IFERROR(SUMIFS('01. KE30'!$K:$K,'01. KE30'!$C:$C,'06. BC BH THEO CUSTOMER-USD'!$D83,'01. KE30'!$F:$F,'06. BC BH THEO CUSTOMER-USD'!$H83,'01. KE30'!$A:$A,'06. BC BH THEO CUSTOMER-USD'!S$4)/'06. BC BH THEO CUSTOMER-USD'!CY83/'02. Tỷ giá'!H$5,"-")</f>
        <v>-</v>
      </c>
      <c r="T83" s="106" t="str">
        <f>IFERROR(SUMIFS('01. KE30'!$K:$K,'01. KE30'!$C:$C,'06. BC BH THEO CUSTOMER-USD'!$D83,'01. KE30'!$F:$F,'06. BC BH THEO CUSTOMER-USD'!$H83,'01. KE30'!$A:$A,'06. BC BH THEO CUSTOMER-USD'!T$4)/'06. BC BH THEO CUSTOMER-USD'!CZ83/'02. Tỷ giá'!I$5,"-")</f>
        <v>-</v>
      </c>
      <c r="U83" s="106" t="str">
        <f>IFERROR(SUMIFS('01. KE30'!$K:$K,'01. KE30'!$C:$C,'06. BC BH THEO CUSTOMER-USD'!$D83,'01. KE30'!$F:$F,'06. BC BH THEO CUSTOMER-USD'!$H83,'01. KE30'!$A:$A,'06. BC BH THEO CUSTOMER-USD'!U$4)/'06. BC BH THEO CUSTOMER-USD'!DA83/'02. Tỷ giá'!J$5,"-")</f>
        <v>-</v>
      </c>
      <c r="V83" s="106" t="str">
        <f>IFERROR(SUMIFS('01. KE30'!$K:$K,'01. KE30'!$C:$C,'06. BC BH THEO CUSTOMER-USD'!$D83,'01. KE30'!$F:$F,'06. BC BH THEO CUSTOMER-USD'!$H83,'01. KE30'!$A:$A,'06. BC BH THEO CUSTOMER-USD'!V$4)/'06. BC BH THEO CUSTOMER-USD'!DB83/'02. Tỷ giá'!K$5,"-")</f>
        <v>-</v>
      </c>
      <c r="W83" s="106" t="str">
        <f>IFERROR(SUMIFS('01. KE30'!$K:$K,'01. KE30'!$C:$C,'06. BC BH THEO CUSTOMER-USD'!$D83,'01. KE30'!$F:$F,'06. BC BH THEO CUSTOMER-USD'!$H83,'01. KE30'!$A:$A,'06. BC BH THEO CUSTOMER-USD'!W$4)/'06. BC BH THEO CUSTOMER-USD'!DC83/'02. Tỷ giá'!L$5,"-")</f>
        <v>-</v>
      </c>
      <c r="X83" s="106" t="str">
        <f>IFERROR(SUMIFS('01. KE30'!$K:$K,'01. KE30'!$C:$C,'06. BC BH THEO CUSTOMER-USD'!$D83,'01. KE30'!$F:$F,'06. BC BH THEO CUSTOMER-USD'!$H83,'01. KE30'!$A:$A,'06. BC BH THEO CUSTOMER-USD'!X$4)/'06. BC BH THEO CUSTOMER-USD'!DD83/'02. Tỷ giá'!M$5,"-")</f>
        <v>-</v>
      </c>
      <c r="Z83" s="92">
        <f t="shared" si="634"/>
        <v>1303.3141390705198</v>
      </c>
      <c r="AA83" s="147" t="str">
        <f>IFERROR(SUMIFS('01. KE30'!$O:$O,'01. KE30'!$C:$C,'06. BC BH THEO CUSTOMER-USD'!$D83,'01. KE30'!$F:$F,'06. BC BH THEO CUSTOMER-USD'!$H83,'01. KE30'!$A:$A,'06. BC BH THEO CUSTOMER-USD'!M$4)/'06. BC BH THEO CUSTOMER-USD'!CS83/'02. Tỷ giá'!B$5,"-")</f>
        <v>-</v>
      </c>
      <c r="AB83" s="147" t="str">
        <f>IFERROR(SUMIFS('01. KE30'!$O:$O,'01. KE30'!$C:$C,'06. BC BH THEO CUSTOMER-USD'!$D83,'01. KE30'!$F:$F,'06. BC BH THEO CUSTOMER-USD'!$H83,'01. KE30'!$A:$A,'06. BC BH THEO CUSTOMER-USD'!N$4)/'06. BC BH THEO CUSTOMER-USD'!CT83/'02. Tỷ giá'!C$5,"-")</f>
        <v>-</v>
      </c>
      <c r="AC83" s="147" t="str">
        <f>IFERROR(SUMIFS('01. KE30'!$O:$O,'01. KE30'!$C:$C,'06. BC BH THEO CUSTOMER-USD'!$D83,'01. KE30'!$F:$F,'06. BC BH THEO CUSTOMER-USD'!$H83,'01. KE30'!$A:$A,'06. BC BH THEO CUSTOMER-USD'!O$4)/'06. BC BH THEO CUSTOMER-USD'!CU83/'02. Tỷ giá'!D$5,"-")</f>
        <v>-</v>
      </c>
      <c r="AD83" s="147" t="str">
        <f>IFERROR(SUMIFS('01. KE30'!$O:$O,'01. KE30'!$C:$C,'06. BC BH THEO CUSTOMER-USD'!$D83,'01. KE30'!$F:$F,'06. BC BH THEO CUSTOMER-USD'!$H83,'01. KE30'!$A:$A,'06. BC BH THEO CUSTOMER-USD'!P$4)/'06. BC BH THEO CUSTOMER-USD'!CV83/'02. Tỷ giá'!E$5,"-")</f>
        <v>-</v>
      </c>
      <c r="AE83" s="147">
        <f>IFERROR(SUMIFS('01. KE30'!$O:$O,'01. KE30'!$C:$C,'06. BC BH THEO CUSTOMER-USD'!$D83,'01. KE30'!$F:$F,'06. BC BH THEO CUSTOMER-USD'!$H83,'01. KE30'!$A:$A,'06. BC BH THEO CUSTOMER-USD'!Q$4)/'06. BC BH THEO CUSTOMER-USD'!CW83/'02. Tỷ giá'!F$5,"-")</f>
        <v>1303.3141390705198</v>
      </c>
      <c r="AF83" s="147" t="str">
        <f>IFERROR(SUMIFS('01. KE30'!$O:$O,'01. KE30'!$C:$C,'06. BC BH THEO CUSTOMER-USD'!$D83,'01. KE30'!$F:$F,'06. BC BH THEO CUSTOMER-USD'!$H83,'01. KE30'!$A:$A,'06. BC BH THEO CUSTOMER-USD'!R$4)/'06. BC BH THEO CUSTOMER-USD'!CX83/'02. Tỷ giá'!G$5,"-")</f>
        <v>-</v>
      </c>
      <c r="AG83" s="147" t="str">
        <f>IFERROR(SUMIFS('01. KE30'!$O:$O,'01. KE30'!$C:$C,'06. BC BH THEO CUSTOMER-USD'!$D83,'01. KE30'!$F:$F,'06. BC BH THEO CUSTOMER-USD'!$H83,'01. KE30'!$A:$A,'06. BC BH THEO CUSTOMER-USD'!S$4)/'06. BC BH THEO CUSTOMER-USD'!CY83/'02. Tỷ giá'!H$5,"-")</f>
        <v>-</v>
      </c>
      <c r="AH83" s="147" t="str">
        <f>IFERROR(SUMIFS('01. KE30'!$O:$O,'01. KE30'!$C:$C,'06. BC BH THEO CUSTOMER-USD'!$D83,'01. KE30'!$F:$F,'06. BC BH THEO CUSTOMER-USD'!$H83,'01. KE30'!$A:$A,'06. BC BH THEO CUSTOMER-USD'!T$4)/'06. BC BH THEO CUSTOMER-USD'!CZ83/'02. Tỷ giá'!I$5,"-")</f>
        <v>-</v>
      </c>
      <c r="AI83" s="147" t="str">
        <f>IFERROR(SUMIFS('01. KE30'!$O:$O,'01. KE30'!$C:$C,'06. BC BH THEO CUSTOMER-USD'!$D83,'01. KE30'!$F:$F,'06. BC BH THEO CUSTOMER-USD'!$H83,'01. KE30'!$A:$A,'06. BC BH THEO CUSTOMER-USD'!U$4)/'06. BC BH THEO CUSTOMER-USD'!DA83/'02. Tỷ giá'!J$5,"-")</f>
        <v>-</v>
      </c>
      <c r="AJ83" s="147" t="str">
        <f>IFERROR(SUMIFS('01. KE30'!$O:$O,'01. KE30'!$C:$C,'06. BC BH THEO CUSTOMER-USD'!$D83,'01. KE30'!$F:$F,'06. BC BH THEO CUSTOMER-USD'!$H83,'01. KE30'!$A:$A,'06. BC BH THEO CUSTOMER-USD'!V$4)/'06. BC BH THEO CUSTOMER-USD'!DB83/'02. Tỷ giá'!K$5,"-")</f>
        <v>-</v>
      </c>
      <c r="AK83" s="147" t="str">
        <f>IFERROR(SUMIFS('01. KE30'!$O:$O,'01. KE30'!$C:$C,'06. BC BH THEO CUSTOMER-USD'!$D83,'01. KE30'!$F:$F,'06. BC BH THEO CUSTOMER-USD'!$H83,'01. KE30'!$A:$A,'06. BC BH THEO CUSTOMER-USD'!W$4)/'06. BC BH THEO CUSTOMER-USD'!DC83/'02. Tỷ giá'!L$5,"-")</f>
        <v>-</v>
      </c>
      <c r="AL83" s="147" t="str">
        <f>IFERROR(SUMIFS('01. KE30'!$O:$O,'01. KE30'!$C:$C,'06. BC BH THEO CUSTOMER-USD'!$D83,'01. KE30'!$F:$F,'06. BC BH THEO CUSTOMER-USD'!$H83,'01. KE30'!$A:$A,'06. BC BH THEO CUSTOMER-USD'!X$4)/'06. BC BH THEO CUSTOMER-USD'!DD83/'02. Tỷ giá'!M$5,"-")</f>
        <v>-</v>
      </c>
      <c r="AN83" s="92">
        <f t="shared" si="635"/>
        <v>1236.6666666666667</v>
      </c>
      <c r="AO83" s="25">
        <v>1230</v>
      </c>
      <c r="AP83" s="25">
        <v>1230</v>
      </c>
      <c r="AQ83" s="25">
        <v>1230</v>
      </c>
      <c r="AR83" s="25">
        <f t="shared" si="636"/>
        <v>1250</v>
      </c>
      <c r="AS83" s="25">
        <v>1250</v>
      </c>
      <c r="AT83" s="25">
        <v>1250</v>
      </c>
      <c r="AU83" s="25">
        <v>1250</v>
      </c>
      <c r="AV83" s="4">
        <f t="shared" si="205"/>
        <v>1220</v>
      </c>
      <c r="AW83" s="25">
        <v>1220</v>
      </c>
      <c r="AX83" s="25"/>
      <c r="AY83" s="4"/>
      <c r="AZ83" s="4"/>
      <c r="BB83" s="95">
        <f t="shared" si="637"/>
        <v>66.647472403853044</v>
      </c>
      <c r="BC83" s="95" t="str">
        <f t="shared" si="638"/>
        <v>-</v>
      </c>
      <c r="BD83" s="95" t="str">
        <f t="shared" si="516"/>
        <v>-</v>
      </c>
      <c r="BE83" s="95" t="str">
        <f t="shared" si="516"/>
        <v>-</v>
      </c>
      <c r="BF83" s="95" t="str">
        <f t="shared" si="516"/>
        <v>-</v>
      </c>
      <c r="BG83" s="95">
        <f t="shared" si="516"/>
        <v>53.314139070519786</v>
      </c>
      <c r="BH83" s="95" t="str">
        <f t="shared" si="516"/>
        <v>-</v>
      </c>
      <c r="BI83" s="95" t="str">
        <f t="shared" si="516"/>
        <v>-</v>
      </c>
      <c r="BJ83" s="95" t="str">
        <f t="shared" si="516"/>
        <v>-</v>
      </c>
      <c r="BK83" s="95" t="str">
        <f t="shared" si="516"/>
        <v>-</v>
      </c>
      <c r="BL83" s="95" t="str">
        <f t="shared" si="516"/>
        <v>-</v>
      </c>
      <c r="BM83" s="95" t="str">
        <f t="shared" si="516"/>
        <v>-</v>
      </c>
      <c r="BN83" s="95" t="str">
        <f t="shared" si="516"/>
        <v>-</v>
      </c>
      <c r="BP83" s="143">
        <f t="shared" si="639"/>
        <v>5.3892834827913509E-2</v>
      </c>
      <c r="BQ83" s="143" t="str">
        <f t="shared" si="517"/>
        <v>-</v>
      </c>
      <c r="BR83" s="143" t="str">
        <f t="shared" si="518"/>
        <v>-</v>
      </c>
      <c r="BS83" s="143" t="str">
        <f t="shared" si="519"/>
        <v>-</v>
      </c>
      <c r="BT83" s="143" t="str">
        <f t="shared" si="520"/>
        <v>-</v>
      </c>
      <c r="BU83" s="143">
        <f t="shared" si="521"/>
        <v>4.265131125641583E-2</v>
      </c>
      <c r="BV83" s="143" t="str">
        <f t="shared" si="522"/>
        <v>-</v>
      </c>
      <c r="BW83" s="143" t="str">
        <f t="shared" si="523"/>
        <v>-</v>
      </c>
      <c r="BX83" s="143" t="str">
        <f t="shared" si="524"/>
        <v>-</v>
      </c>
      <c r="BY83" s="143" t="str">
        <f t="shared" si="525"/>
        <v>-</v>
      </c>
      <c r="BZ83" s="143" t="str">
        <f t="shared" si="526"/>
        <v>-</v>
      </c>
      <c r="CA83" s="143" t="str">
        <f t="shared" si="527"/>
        <v>-</v>
      </c>
      <c r="CB83" s="143" t="str">
        <f t="shared" si="528"/>
        <v>-</v>
      </c>
      <c r="CD83" s="112">
        <f t="shared" si="529"/>
        <v>1049.596393165999</v>
      </c>
      <c r="CE83" s="95" t="str">
        <f>IFERROR(SUMIFS('01. KE30'!$R:$R,'01. KE30'!$C:$C,'06. BC BH THEO CUSTOMER-USD'!$D83,'01. KE30'!$F:$F,'06. BC BH THEO CUSTOMER-USD'!$H83,'01. KE30'!$A:$A,'06. BC BH THEO CUSTOMER-USD'!CE$4)/CS83/'02. Tỷ giá'!B$5," -")</f>
        <v xml:space="preserve"> -</v>
      </c>
      <c r="CF83" s="95" t="str">
        <f>IFERROR(SUMIFS('01. KE30'!$R:$R,'01. KE30'!$C:$C,'06. BC BH THEO CUSTOMER-USD'!$D83,'01. KE30'!$F:$F,'06. BC BH THEO CUSTOMER-USD'!$H83,'01. KE30'!$A:$A,'06. BC BH THEO CUSTOMER-USD'!CF$4)/CT83/'02. Tỷ giá'!C$5," -")</f>
        <v xml:space="preserve"> -</v>
      </c>
      <c r="CG83" s="95" t="str">
        <f>IFERROR(SUMIFS('01. KE30'!$R:$R,'01. KE30'!$C:$C,'06. BC BH THEO CUSTOMER-USD'!$D83,'01. KE30'!$F:$F,'06. BC BH THEO CUSTOMER-USD'!$H83,'01. KE30'!$A:$A,'06. BC BH THEO CUSTOMER-USD'!CG$4)/CU83/'02. Tỷ giá'!D$5," -")</f>
        <v xml:space="preserve"> -</v>
      </c>
      <c r="CH83" s="95" t="str">
        <f>IFERROR(SUMIFS('01. KE30'!$R:$R,'01. KE30'!$C:$C,'06. BC BH THEO CUSTOMER-USD'!$D83,'01. KE30'!$F:$F,'06. BC BH THEO CUSTOMER-USD'!$H83,'01. KE30'!$A:$A,'06. BC BH THEO CUSTOMER-USD'!CH$4)/CV83/'02. Tỷ giá'!E$5," -")</f>
        <v xml:space="preserve"> -</v>
      </c>
      <c r="CI83" s="95">
        <f>IFERROR(SUMIFS('01. KE30'!$R:$R,'01. KE30'!$C:$C,'06. BC BH THEO CUSTOMER-USD'!$D83,'01. KE30'!$F:$F,'06. BC BH THEO CUSTOMER-USD'!$H83,'01. KE30'!$A:$A,'06. BC BH THEO CUSTOMER-USD'!CI$4)/CW83/'02. Tỷ giá'!F$5," -")</f>
        <v>1049.596393165999</v>
      </c>
      <c r="CJ83" s="95" t="str">
        <f>IFERROR(SUMIFS('01. KE30'!$R:$R,'01. KE30'!$C:$C,'06. BC BH THEO CUSTOMER-USD'!$D83,'01. KE30'!$F:$F,'06. BC BH THEO CUSTOMER-USD'!$H83,'01. KE30'!$A:$A,'06. BC BH THEO CUSTOMER-USD'!CJ$4)/CX83/'02. Tỷ giá'!G$5," -")</f>
        <v xml:space="preserve"> -</v>
      </c>
      <c r="CK83" s="95" t="str">
        <f>IFERROR(SUMIFS('01. KE30'!$R:$R,'01. KE30'!$C:$C,'06. BC BH THEO CUSTOMER-USD'!$D83,'01. KE30'!$F:$F,'06. BC BH THEO CUSTOMER-USD'!$H83,'01. KE30'!$A:$A,'06. BC BH THEO CUSTOMER-USD'!CK$4)/CY83/'02. Tỷ giá'!H$5," -")</f>
        <v xml:space="preserve"> -</v>
      </c>
      <c r="CL83" s="95" t="str">
        <f>IFERROR(SUMIFS('01. KE30'!$R:$R,'01. KE30'!$C:$C,'06. BC BH THEO CUSTOMER-USD'!$D83,'01. KE30'!$F:$F,'06. BC BH THEO CUSTOMER-USD'!$H83,'01. KE30'!$A:$A,'06. BC BH THEO CUSTOMER-USD'!CL$4)/CZ83/'02. Tỷ giá'!I$5," -")</f>
        <v xml:space="preserve"> -</v>
      </c>
      <c r="CM83" s="95" t="str">
        <f>IFERROR(SUMIFS('01. KE30'!$R:$R,'01. KE30'!$C:$C,'06. BC BH THEO CUSTOMER-USD'!$D83,'01. KE30'!$F:$F,'06. BC BH THEO CUSTOMER-USD'!$H83,'01. KE30'!$A:$A,'06. BC BH THEO CUSTOMER-USD'!CM$4)/DA83/'02. Tỷ giá'!J$5," -")</f>
        <v xml:space="preserve"> -</v>
      </c>
      <c r="CN83" s="95" t="str">
        <f>IFERROR(SUMIFS('01. KE30'!$R:$R,'01. KE30'!$C:$C,'06. BC BH THEO CUSTOMER-USD'!$D83,'01. KE30'!$F:$F,'06. BC BH THEO CUSTOMER-USD'!$H83,'01. KE30'!$A:$A,'06. BC BH THEO CUSTOMER-USD'!CN$4)/DB83/'02. Tỷ giá'!K$5," -")</f>
        <v xml:space="preserve"> -</v>
      </c>
      <c r="CO83" s="95" t="str">
        <f>IFERROR(SUMIFS('01. KE30'!$R:$R,'01. KE30'!$C:$C,'06. BC BH THEO CUSTOMER-USD'!$D83,'01. KE30'!$F:$F,'06. BC BH THEO CUSTOMER-USD'!$H83,'01. KE30'!$A:$A,'06. BC BH THEO CUSTOMER-USD'!CO$4)/DC83/'02. Tỷ giá'!L$5," -")</f>
        <v xml:space="preserve"> -</v>
      </c>
      <c r="CP83" s="95" t="str">
        <f>IFERROR(SUMIFS('01. KE30'!$R:$R,'01. KE30'!$C:$C,'06. BC BH THEO CUSTOMER-USD'!$D83,'01. KE30'!$F:$F,'06. BC BH THEO CUSTOMER-USD'!$H83,'01. KE30'!$A:$A,'06. BC BH THEO CUSTOMER-USD'!CP$4)/DD83/'02. Tỷ giá'!M$5," -")</f>
        <v xml:space="preserve"> -</v>
      </c>
      <c r="CR83" s="112">
        <f t="shared" si="266"/>
        <v>3.3</v>
      </c>
      <c r="CS83" s="114">
        <f>SUMIFS('01. KE30'!$I:$I,'01. KE30'!$C:$C,'06. BC BH THEO CUSTOMER-USD'!$D83,'01. KE30'!$F:$F,'06. BC BH THEO CUSTOMER-USD'!$H83,'01. KE30'!$A:$A,'06. BC BH THEO CUSTOMER-USD'!CS$4)/1000</f>
        <v>0</v>
      </c>
      <c r="CT83" s="114">
        <f>SUMIFS('01. KE30'!$I:$I,'01. KE30'!$C:$C,'06. BC BH THEO CUSTOMER-USD'!$D83,'01. KE30'!$F:$F,'06. BC BH THEO CUSTOMER-USD'!$H83,'01. KE30'!$A:$A,'06. BC BH THEO CUSTOMER-USD'!CT$4)/1000</f>
        <v>0</v>
      </c>
      <c r="CU83" s="114">
        <f>SUMIFS('01. KE30'!$I:$I,'01. KE30'!$C:$C,'06. BC BH THEO CUSTOMER-USD'!$D83,'01. KE30'!$F:$F,'06. BC BH THEO CUSTOMER-USD'!$H83,'01. KE30'!$A:$A,'06. BC BH THEO CUSTOMER-USD'!CU$4)/1000</f>
        <v>0</v>
      </c>
      <c r="CV83" s="114">
        <f>SUMIFS('01. KE30'!$I:$I,'01. KE30'!$C:$C,'06. BC BH THEO CUSTOMER-USD'!$D83,'01. KE30'!$F:$F,'06. BC BH THEO CUSTOMER-USD'!$H83,'01. KE30'!$A:$A,'06. BC BH THEO CUSTOMER-USD'!CV$4)/1000</f>
        <v>0</v>
      </c>
      <c r="CW83" s="114">
        <f>SUMIFS('01. KE30'!$I:$I,'01. KE30'!$C:$C,'06. BC BH THEO CUSTOMER-USD'!$D83,'01. KE30'!$F:$F,'06. BC BH THEO CUSTOMER-USD'!$H83,'01. KE30'!$A:$A,'06. BC BH THEO CUSTOMER-USD'!CW$4)/1000</f>
        <v>3.3</v>
      </c>
      <c r="CX83" s="114">
        <f>SUMIFS('01. KE30'!$I:$I,'01. KE30'!$C:$C,'06. BC BH THEO CUSTOMER-USD'!$D83,'01. KE30'!$F:$F,'06. BC BH THEO CUSTOMER-USD'!$H83,'01. KE30'!$A:$A,'06. BC BH THEO CUSTOMER-USD'!CX$4)/1000</f>
        <v>0</v>
      </c>
      <c r="CY83" s="114">
        <f>SUMIFS('01. KE30'!$I:$I,'01. KE30'!$C:$C,'06. BC BH THEO CUSTOMER-USD'!$D83,'01. KE30'!$F:$F,'06. BC BH THEO CUSTOMER-USD'!$H83,'01. KE30'!$A:$A,'06. BC BH THEO CUSTOMER-USD'!CY$4)/1000</f>
        <v>0</v>
      </c>
      <c r="CZ83" s="114">
        <f>SUMIFS('01. KE30'!$I:$I,'01. KE30'!$C:$C,'06. BC BH THEO CUSTOMER-USD'!$D83,'01. KE30'!$F:$F,'06. BC BH THEO CUSTOMER-USD'!$H83,'01. KE30'!$A:$A,'06. BC BH THEO CUSTOMER-USD'!CZ$4)/1000</f>
        <v>0</v>
      </c>
      <c r="DA83" s="114">
        <f>SUMIFS('01. KE30'!$I:$I,'01. KE30'!$C:$C,'06. BC BH THEO CUSTOMER-USD'!$D83,'01. KE30'!$F:$F,'06. BC BH THEO CUSTOMER-USD'!$H83,'01. KE30'!$A:$A,'06. BC BH THEO CUSTOMER-USD'!DA$4)/1000</f>
        <v>0</v>
      </c>
      <c r="DB83" s="114">
        <f>SUMIFS('01. KE30'!$I:$I,'01. KE30'!$C:$C,'06. BC BH THEO CUSTOMER-USD'!$D83,'01. KE30'!$F:$F,'06. BC BH THEO CUSTOMER-USD'!$H83,'01. KE30'!$A:$A,'06. BC BH THEO CUSTOMER-USD'!DB$4)/1000</f>
        <v>0</v>
      </c>
      <c r="DC83" s="114">
        <f>SUMIFS('01. KE30'!$I:$I,'01. KE30'!$C:$C,'06. BC BH THEO CUSTOMER-USD'!$D83,'01. KE30'!$F:$F,'06. BC BH THEO CUSTOMER-USD'!$H83,'01. KE30'!$A:$A,'06. BC BH THEO CUSTOMER-USD'!DC$4)/1000</f>
        <v>0</v>
      </c>
      <c r="DD83" s="114">
        <f>SUMIFS('01. KE30'!$I:$I,'01. KE30'!$C:$C,'06. BC BH THEO CUSTOMER-USD'!$D83,'01. KE30'!$F:$F,'06. BC BH THEO CUSTOMER-USD'!$H83,'01. KE30'!$A:$A,'06. BC BH THEO CUSTOMER-USD'!DD$4)/1000</f>
        <v>0</v>
      </c>
      <c r="DF83" s="120">
        <f t="shared" si="267"/>
        <v>4300.9366589327146</v>
      </c>
      <c r="DG83" s="54" t="str">
        <f t="shared" si="640"/>
        <v>-</v>
      </c>
      <c r="DH83" s="54" t="str">
        <f t="shared" si="641"/>
        <v>-</v>
      </c>
      <c r="DI83" s="54" t="str">
        <f t="shared" si="642"/>
        <v>-</v>
      </c>
      <c r="DJ83" s="54" t="str">
        <f t="shared" si="643"/>
        <v>-</v>
      </c>
      <c r="DK83" s="54">
        <f t="shared" si="644"/>
        <v>4300.9366589327146</v>
      </c>
      <c r="DL83" s="54" t="str">
        <f t="shared" si="645"/>
        <v>-</v>
      </c>
      <c r="DM83" s="54" t="str">
        <f t="shared" si="646"/>
        <v>-</v>
      </c>
      <c r="DN83" s="54" t="str">
        <f t="shared" si="647"/>
        <v>-</v>
      </c>
      <c r="DO83" s="54" t="str">
        <f t="shared" si="648"/>
        <v>-</v>
      </c>
      <c r="DP83" s="54" t="str">
        <f t="shared" si="649"/>
        <v>-</v>
      </c>
      <c r="DQ83" s="54" t="str">
        <f t="shared" si="650"/>
        <v>-</v>
      </c>
      <c r="DR83" s="54" t="str">
        <f t="shared" si="651"/>
        <v>-</v>
      </c>
      <c r="DT83" s="112">
        <f t="shared" si="652"/>
        <v>837.26856148491879</v>
      </c>
      <c r="DU83" s="114">
        <f>IFERROR(SUMIFS('01. KE30'!$X:$X,'01. KE30'!$C:$C,'06. BC BH THEO CUSTOMER-USD'!$D83,'01. KE30'!$F:$F,'06. BC BH THEO CUSTOMER-USD'!$H83,'01. KE30'!$A:$A,'06. BC BH THEO CUSTOMER-USD'!DU$4)-SUMIFS('01. KE30'!$AA:$AA,'01. KE30'!$C:$C,'06. BC BH THEO CUSTOMER-USD'!$D83,'01. KE30'!$F:$F,'06. BC BH THEO CUSTOMER-USD'!$H83,'01. KE30'!$A:$A,'06. BC BH THEO CUSTOMER-USD'!DU$4),"-")</f>
        <v>0</v>
      </c>
      <c r="DV83" s="114">
        <f>IFERROR(SUMIFS('01. KE30'!$X:$X,'01. KE30'!$C:$C,'06. BC BH THEO CUSTOMER-USD'!$D83,'01. KE30'!$F:$F,'06. BC BH THEO CUSTOMER-USD'!$H83,'01. KE30'!$A:$A,'06. BC BH THEO CUSTOMER-USD'!DV$4)-SUMIFS('01. KE30'!$AA:$AA,'01. KE30'!$C:$C,'06. BC BH THEO CUSTOMER-USD'!$D83,'01. KE30'!$F:$F,'06. BC BH THEO CUSTOMER-USD'!$H83,'01. KE30'!$A:$A,'06. BC BH THEO CUSTOMER-USD'!DV$4),"-")</f>
        <v>0</v>
      </c>
      <c r="DW83" s="114">
        <f>IFERROR(SUMIFS('01. KE30'!$X:$X,'01. KE30'!$C:$C,'06. BC BH THEO CUSTOMER-USD'!$D83,'01. KE30'!$F:$F,'06. BC BH THEO CUSTOMER-USD'!$H83,'01. KE30'!$A:$A,'06. BC BH THEO CUSTOMER-USD'!DW$4)-SUMIFS('01. KE30'!$AA:$AA,'01. KE30'!$C:$C,'06. BC BH THEO CUSTOMER-USD'!$D83,'01. KE30'!$F:$F,'06. BC BH THEO CUSTOMER-USD'!$H83,'01. KE30'!$A:$A,'06. BC BH THEO CUSTOMER-USD'!DW$4),"-")</f>
        <v>0</v>
      </c>
      <c r="DX83" s="114">
        <f>IFERROR(SUMIFS('01. KE30'!$X:$X,'01. KE30'!$C:$C,'06. BC BH THEO CUSTOMER-USD'!$D83,'01. KE30'!$F:$F,'06. BC BH THEO CUSTOMER-USD'!$H83,'01. KE30'!$A:$A,'06. BC BH THEO CUSTOMER-USD'!DX$4)-SUMIFS('01. KE30'!$AA:$AA,'01. KE30'!$C:$C,'06. BC BH THEO CUSTOMER-USD'!$D83,'01. KE30'!$F:$F,'06. BC BH THEO CUSTOMER-USD'!$H83,'01. KE30'!$A:$A,'06. BC BH THEO CUSTOMER-USD'!DX$4),"-")</f>
        <v>0</v>
      </c>
      <c r="DY83" s="114">
        <f>IFERROR(SUMIFS('01. KE30'!$X:$X,'01. KE30'!$C:$C,'06. BC BH THEO CUSTOMER-USD'!$D83,'01. KE30'!$F:$F,'06. BC BH THEO CUSTOMER-USD'!$H83,'01. KE30'!$A:$A,'06. BC BH THEO CUSTOMER-USD'!DY$4)-SUMIFS('01. KE30'!$AA:$AA,'01. KE30'!$C:$C,'06. BC BH THEO CUSTOMER-USD'!$D83,'01. KE30'!$F:$F,'06. BC BH THEO CUSTOMER-USD'!$H83,'01. KE30'!$A:$A,'06. BC BH THEO CUSTOMER-USD'!DY$4),"-")</f>
        <v>837.26856148491879</v>
      </c>
      <c r="DZ83" s="114">
        <f>IFERROR(SUMIFS('01. KE30'!$X:$X,'01. KE30'!$C:$C,'06. BC BH THEO CUSTOMER-USD'!$D83,'01. KE30'!$F:$F,'06. BC BH THEO CUSTOMER-USD'!$H83,'01. KE30'!$A:$A,'06. BC BH THEO CUSTOMER-USD'!DZ$4)-SUMIFS('01. KE30'!$AA:$AA,'01. KE30'!$C:$C,'06. BC BH THEO CUSTOMER-USD'!$D83,'01. KE30'!$F:$F,'06. BC BH THEO CUSTOMER-USD'!$H83,'01. KE30'!$A:$A,'06. BC BH THEO CUSTOMER-USD'!DZ$4),"-")</f>
        <v>0</v>
      </c>
      <c r="EA83" s="114">
        <f>IFERROR(SUMIFS('01. KE30'!$X:$X,'01. KE30'!$C:$C,'06. BC BH THEO CUSTOMER-USD'!$D83,'01. KE30'!$F:$F,'06. BC BH THEO CUSTOMER-USD'!$H83,'01. KE30'!$A:$A,'06. BC BH THEO CUSTOMER-USD'!EA$4)-SUMIFS('01. KE30'!$AA:$AA,'01. KE30'!$C:$C,'06. BC BH THEO CUSTOMER-USD'!$D83,'01. KE30'!$F:$F,'06. BC BH THEO CUSTOMER-USD'!$H83,'01. KE30'!$A:$A,'06. BC BH THEO CUSTOMER-USD'!EA$4),"-")</f>
        <v>0</v>
      </c>
      <c r="EB83" s="114">
        <f>IFERROR(SUMIFS('01. KE30'!$X:$X,'01. KE30'!$C:$C,'06. BC BH THEO CUSTOMER-USD'!$D83,'01. KE30'!$F:$F,'06. BC BH THEO CUSTOMER-USD'!$H83,'01. KE30'!$A:$A,'06. BC BH THEO CUSTOMER-USD'!EB$4)-SUMIFS('01. KE30'!$AA:$AA,'01. KE30'!$C:$C,'06. BC BH THEO CUSTOMER-USD'!$D83,'01. KE30'!$F:$F,'06. BC BH THEO CUSTOMER-USD'!$H83,'01. KE30'!$A:$A,'06. BC BH THEO CUSTOMER-USD'!EB$4),"-")</f>
        <v>0</v>
      </c>
      <c r="EC83" s="114">
        <f>IFERROR(SUMIFS('01. KE30'!$X:$X,'01. KE30'!$C:$C,'06. BC BH THEO CUSTOMER-USD'!$D83,'01. KE30'!$F:$F,'06. BC BH THEO CUSTOMER-USD'!$H83,'01. KE30'!$A:$A,'06. BC BH THEO CUSTOMER-USD'!EC$4)-SUMIFS('01. KE30'!$AA:$AA,'01. KE30'!$C:$C,'06. BC BH THEO CUSTOMER-USD'!$D83,'01. KE30'!$F:$F,'06. BC BH THEO CUSTOMER-USD'!$H83,'01. KE30'!$A:$A,'06. BC BH THEO CUSTOMER-USD'!EC$4),"-")</f>
        <v>0</v>
      </c>
      <c r="ED83" s="114">
        <f>IFERROR(SUMIFS('01. KE30'!$X:$X,'01. KE30'!$C:$C,'06. BC BH THEO CUSTOMER-USD'!$D83,'01. KE30'!$F:$F,'06. BC BH THEO CUSTOMER-USD'!$H83,'01. KE30'!$A:$A,'06. BC BH THEO CUSTOMER-USD'!ED$4)-SUMIFS('01. KE30'!$AA:$AA,'01. KE30'!$C:$C,'06. BC BH THEO CUSTOMER-USD'!$D83,'01. KE30'!$F:$F,'06. BC BH THEO CUSTOMER-USD'!$H83,'01. KE30'!$A:$A,'06. BC BH THEO CUSTOMER-USD'!ED$4),"-")</f>
        <v>0</v>
      </c>
      <c r="EE83" s="114">
        <f>IFERROR(SUMIFS('01. KE30'!$X:$X,'01. KE30'!$C:$C,'06. BC BH THEO CUSTOMER-USD'!$D83,'01. KE30'!$F:$F,'06. BC BH THEO CUSTOMER-USD'!$H83,'01. KE30'!$A:$A,'06. BC BH THEO CUSTOMER-USD'!EE$4)-SUMIFS('01. KE30'!$AA:$AA,'01. KE30'!$C:$C,'06. BC BH THEO CUSTOMER-USD'!$D83,'01. KE30'!$F:$F,'06. BC BH THEO CUSTOMER-USD'!$H83,'01. KE30'!$A:$A,'06. BC BH THEO CUSTOMER-USD'!EE$4),"-")</f>
        <v>0</v>
      </c>
      <c r="EF83" s="114">
        <f>IFERROR(SUMIFS('01. KE30'!$X:$X,'01. KE30'!$C:$C,'06. BC BH THEO CUSTOMER-USD'!$D83,'01. KE30'!$F:$F,'06. BC BH THEO CUSTOMER-USD'!$H83,'01. KE30'!$A:$A,'06. BC BH THEO CUSTOMER-USD'!EF$4)-SUMIFS('01. KE30'!$AA:$AA,'01. KE30'!$C:$C,'06. BC BH THEO CUSTOMER-USD'!$D83,'01. KE30'!$F:$F,'06. BC BH THEO CUSTOMER-USD'!$H83,'01. KE30'!$A:$A,'06. BC BH THEO CUSTOMER-USD'!EF$4),"-")</f>
        <v>0</v>
      </c>
      <c r="EH83" s="571">
        <f t="shared" si="531"/>
        <v>0.19467121417516725</v>
      </c>
      <c r="EI83" s="572" t="str">
        <f t="shared" si="532"/>
        <v>-</v>
      </c>
      <c r="EJ83" s="572" t="str">
        <f t="shared" si="533"/>
        <v>-</v>
      </c>
      <c r="EK83" s="572" t="str">
        <f t="shared" si="534"/>
        <v>-</v>
      </c>
      <c r="EL83" s="572" t="str">
        <f t="shared" si="535"/>
        <v>-</v>
      </c>
      <c r="EM83" s="572">
        <f t="shared" si="536"/>
        <v>0.19467121417516725</v>
      </c>
      <c r="EN83" s="572" t="str">
        <f t="shared" si="537"/>
        <v>-</v>
      </c>
      <c r="EO83" s="572" t="str">
        <f t="shared" si="538"/>
        <v>-</v>
      </c>
      <c r="EP83" s="572" t="str">
        <f t="shared" si="539"/>
        <v>-</v>
      </c>
      <c r="EQ83" s="572" t="str">
        <f t="shared" si="540"/>
        <v>-</v>
      </c>
      <c r="ER83" s="572" t="str">
        <f t="shared" si="541"/>
        <v>-</v>
      </c>
      <c r="ES83" s="572" t="str">
        <f t="shared" si="542"/>
        <v>-</v>
      </c>
      <c r="ET83" s="572" t="str">
        <f t="shared" si="543"/>
        <v>-</v>
      </c>
    </row>
    <row r="84" spans="1:150" ht="15.5" hidden="1" outlineLevel="1" x14ac:dyDescent="0.35">
      <c r="A84" s="27">
        <f t="shared" ref="A84:A110" si="653">A83+1</f>
        <v>71</v>
      </c>
      <c r="B84" s="27" t="s">
        <v>283</v>
      </c>
      <c r="C84" s="442" t="s">
        <v>489</v>
      </c>
      <c r="D84" s="9" t="s">
        <v>836</v>
      </c>
      <c r="E84" s="31" t="s">
        <v>837</v>
      </c>
      <c r="F84" s="12" t="s">
        <v>249</v>
      </c>
      <c r="G84" s="12" t="str">
        <f>_xlfn.XLOOKUP(F84,'Quy đổi'!$G$5:$G$32,'Quy đổi'!$H$5:$H$32,0)</f>
        <v>Châu á</v>
      </c>
      <c r="H84" s="77" t="s">
        <v>110</v>
      </c>
      <c r="I84" s="31" t="s">
        <v>109</v>
      </c>
      <c r="J84" s="13" t="s">
        <v>26</v>
      </c>
      <c r="K84" s="30" t="s">
        <v>90</v>
      </c>
      <c r="L84" s="92">
        <f t="shared" si="633"/>
        <v>1272.5860647043578</v>
      </c>
      <c r="M84" s="106" t="str">
        <f>IFERROR(SUMIFS('01. KE30'!$K:$K,'01. KE30'!$C:$C,'06. BC BH THEO CUSTOMER-USD'!$D84,'01. KE30'!$F:$F,'06. BC BH THEO CUSTOMER-USD'!$H84,'01. KE30'!$A:$A,'06. BC BH THEO CUSTOMER-USD'!M$4)/'06. BC BH THEO CUSTOMER-USD'!CS84/'02. Tỷ giá'!B$5,"-")</f>
        <v>-</v>
      </c>
      <c r="N84" s="106" t="str">
        <f>IFERROR(SUMIFS('01. KE30'!$K:$K,'01. KE30'!$C:$C,'06. BC BH THEO CUSTOMER-USD'!$D84,'01. KE30'!$F:$F,'06. BC BH THEO CUSTOMER-USD'!$H84,'01. KE30'!$A:$A,'06. BC BH THEO CUSTOMER-USD'!N$4)/'06. BC BH THEO CUSTOMER-USD'!CT84/'02. Tỷ giá'!C$5,"-")</f>
        <v>-</v>
      </c>
      <c r="O84" s="106" t="str">
        <f>IFERROR(SUMIFS('01. KE30'!$K:$K,'01. KE30'!$C:$C,'06. BC BH THEO CUSTOMER-USD'!$D84,'01. KE30'!$F:$F,'06. BC BH THEO CUSTOMER-USD'!$H84,'01. KE30'!$A:$A,'06. BC BH THEO CUSTOMER-USD'!O$4)/'06. BC BH THEO CUSTOMER-USD'!CU84/'02. Tỷ giá'!D$5,"-")</f>
        <v>-</v>
      </c>
      <c r="P84" s="106" t="str">
        <f>IFERROR(SUMIFS('01. KE30'!$K:$K,'01. KE30'!$C:$C,'06. BC BH THEO CUSTOMER-USD'!$D84,'01. KE30'!$F:$F,'06. BC BH THEO CUSTOMER-USD'!$H84,'01. KE30'!$A:$A,'06. BC BH THEO CUSTOMER-USD'!P$4)/'06. BC BH THEO CUSTOMER-USD'!CV84/'02. Tỷ giá'!E$5,"-")</f>
        <v>-</v>
      </c>
      <c r="Q84" s="106">
        <f>IFERROR(SUMIFS('01. KE30'!$K:$K,'01. KE30'!$C:$C,'06. BC BH THEO CUSTOMER-USD'!$D84,'01. KE30'!$F:$F,'06. BC BH THEO CUSTOMER-USD'!$H84,'01. KE30'!$A:$A,'06. BC BH THEO CUSTOMER-USD'!Q$4)/'06. BC BH THEO CUSTOMER-USD'!CW84/'02. Tỷ giá'!F$5,"-")</f>
        <v>1296.9837587006959</v>
      </c>
      <c r="R84" s="106" t="str">
        <f>IFERROR(SUMIFS('01. KE30'!$K:$K,'01. KE30'!$C:$C,'06. BC BH THEO CUSTOMER-USD'!$D84,'01. KE30'!$F:$F,'06. BC BH THEO CUSTOMER-USD'!$H84,'01. KE30'!$A:$A,'06. BC BH THEO CUSTOMER-USD'!R$4)/'06. BC BH THEO CUSTOMER-USD'!CX84/'02. Tỷ giá'!G$5,"-")</f>
        <v>-</v>
      </c>
      <c r="S84" s="106" t="str">
        <f>IFERROR(SUMIFS('01. KE30'!$K:$K,'01. KE30'!$C:$C,'06. BC BH THEO CUSTOMER-USD'!$D84,'01. KE30'!$F:$F,'06. BC BH THEO CUSTOMER-USD'!$H84,'01. KE30'!$A:$A,'06. BC BH THEO CUSTOMER-USD'!S$4)/'06. BC BH THEO CUSTOMER-USD'!CY84/'02. Tỷ giá'!H$5,"-")</f>
        <v>-</v>
      </c>
      <c r="T84" s="106">
        <f>IFERROR(SUMIFS('01. KE30'!$K:$K,'01. KE30'!$C:$C,'06. BC BH THEO CUSTOMER-USD'!$D84,'01. KE30'!$F:$F,'06. BC BH THEO CUSTOMER-USD'!$H84,'01. KE30'!$A:$A,'06. BC BH THEO CUSTOMER-USD'!T$4)/'06. BC BH THEO CUSTOMER-USD'!CZ84/'02. Tỷ giá'!I$5,"-")</f>
        <v>1273.1550802139038</v>
      </c>
      <c r="U84" s="106">
        <f>IFERROR(SUMIFS('01. KE30'!$K:$K,'01. KE30'!$C:$C,'06. BC BH THEO CUSTOMER-USD'!$D84,'01. KE30'!$F:$F,'06. BC BH THEO CUSTOMER-USD'!$H84,'01. KE30'!$A:$A,'06. BC BH THEO CUSTOMER-USD'!U$4)/'06. BC BH THEO CUSTOMER-USD'!DA84/'02. Tỷ giá'!J$5,"-")</f>
        <v>1247.6193551984738</v>
      </c>
      <c r="V84" s="106" t="str">
        <f>IFERROR(SUMIFS('01. KE30'!$K:$K,'01. KE30'!$C:$C,'06. BC BH THEO CUSTOMER-USD'!$D84,'01. KE30'!$F:$F,'06. BC BH THEO CUSTOMER-USD'!$H84,'01. KE30'!$A:$A,'06. BC BH THEO CUSTOMER-USD'!V$4)/'06. BC BH THEO CUSTOMER-USD'!DB84/'02. Tỷ giá'!K$5,"-")</f>
        <v>-</v>
      </c>
      <c r="W84" s="106" t="str">
        <f>IFERROR(SUMIFS('01. KE30'!$K:$K,'01. KE30'!$C:$C,'06. BC BH THEO CUSTOMER-USD'!$D84,'01. KE30'!$F:$F,'06. BC BH THEO CUSTOMER-USD'!$H84,'01. KE30'!$A:$A,'06. BC BH THEO CUSTOMER-USD'!W$4)/'06. BC BH THEO CUSTOMER-USD'!DC84/'02. Tỷ giá'!L$5,"-")</f>
        <v>-</v>
      </c>
      <c r="X84" s="106" t="str">
        <f>IFERROR(SUMIFS('01. KE30'!$K:$K,'01. KE30'!$C:$C,'06. BC BH THEO CUSTOMER-USD'!$D84,'01. KE30'!$F:$F,'06. BC BH THEO CUSTOMER-USD'!$H84,'01. KE30'!$A:$A,'06. BC BH THEO CUSTOMER-USD'!X$4)/'06. BC BH THEO CUSTOMER-USD'!DD84/'02. Tỷ giá'!M$5,"-")</f>
        <v>-</v>
      </c>
      <c r="Z84" s="92">
        <f t="shared" si="634"/>
        <v>1217.0096260216653</v>
      </c>
      <c r="AA84" s="147" t="str">
        <f>IFERROR(SUMIFS('01. KE30'!$O:$O,'01. KE30'!$C:$C,'06. BC BH THEO CUSTOMER-USD'!$D84,'01. KE30'!$F:$F,'06. BC BH THEO CUSTOMER-USD'!$H84,'01. KE30'!$A:$A,'06. BC BH THEO CUSTOMER-USD'!M$4)/'06. BC BH THEO CUSTOMER-USD'!CS84/'02. Tỷ giá'!B$5,"-")</f>
        <v>-</v>
      </c>
      <c r="AB84" s="147" t="str">
        <f>IFERROR(SUMIFS('01. KE30'!$O:$O,'01. KE30'!$C:$C,'06. BC BH THEO CUSTOMER-USD'!$D84,'01. KE30'!$F:$F,'06. BC BH THEO CUSTOMER-USD'!$H84,'01. KE30'!$A:$A,'06. BC BH THEO CUSTOMER-USD'!N$4)/'06. BC BH THEO CUSTOMER-USD'!CT84/'02. Tỷ giá'!C$5,"-")</f>
        <v>-</v>
      </c>
      <c r="AC84" s="147" t="str">
        <f>IFERROR(SUMIFS('01. KE30'!$O:$O,'01. KE30'!$C:$C,'06. BC BH THEO CUSTOMER-USD'!$D84,'01. KE30'!$F:$F,'06. BC BH THEO CUSTOMER-USD'!$H84,'01. KE30'!$A:$A,'06. BC BH THEO CUSTOMER-USD'!O$4)/'06. BC BH THEO CUSTOMER-USD'!CU84/'02. Tỷ giá'!D$5,"-")</f>
        <v>-</v>
      </c>
      <c r="AD84" s="147" t="str">
        <f>IFERROR(SUMIFS('01. KE30'!$O:$O,'01. KE30'!$C:$C,'06. BC BH THEO CUSTOMER-USD'!$D84,'01. KE30'!$F:$F,'06. BC BH THEO CUSTOMER-USD'!$H84,'01. KE30'!$A:$A,'06. BC BH THEO CUSTOMER-USD'!P$4)/'06. BC BH THEO CUSTOMER-USD'!CV84/'02. Tỷ giá'!E$5,"-")</f>
        <v>-</v>
      </c>
      <c r="AE84" s="147">
        <f>IFERROR(SUMIFS('01. KE30'!$O:$O,'01. KE30'!$C:$C,'06. BC BH THEO CUSTOMER-USD'!$D84,'01. KE30'!$F:$F,'06. BC BH THEO CUSTOMER-USD'!$H84,'01. KE30'!$A:$A,'06. BC BH THEO CUSTOMER-USD'!Q$4)/'06. BC BH THEO CUSTOMER-USD'!CW84/'02. Tỷ giá'!F$5,"-")</f>
        <v>1244.0216814314842</v>
      </c>
      <c r="AF84" s="147" t="str">
        <f>IFERROR(SUMIFS('01. KE30'!$O:$O,'01. KE30'!$C:$C,'06. BC BH THEO CUSTOMER-USD'!$D84,'01. KE30'!$F:$F,'06. BC BH THEO CUSTOMER-USD'!$H84,'01. KE30'!$A:$A,'06. BC BH THEO CUSTOMER-USD'!R$4)/'06. BC BH THEO CUSTOMER-USD'!CX84/'02. Tỷ giá'!G$5,"-")</f>
        <v>-</v>
      </c>
      <c r="AG84" s="147" t="str">
        <f>IFERROR(SUMIFS('01. KE30'!$O:$O,'01. KE30'!$C:$C,'06. BC BH THEO CUSTOMER-USD'!$D84,'01. KE30'!$F:$F,'06. BC BH THEO CUSTOMER-USD'!$H84,'01. KE30'!$A:$A,'06. BC BH THEO CUSTOMER-USD'!S$4)/'06. BC BH THEO CUSTOMER-USD'!CY84/'02. Tỷ giá'!H$5,"-")</f>
        <v>-</v>
      </c>
      <c r="AH84" s="147">
        <f>IFERROR(SUMIFS('01. KE30'!$O:$O,'01. KE30'!$C:$C,'06. BC BH THEO CUSTOMER-USD'!$D84,'01. KE30'!$F:$F,'06. BC BH THEO CUSTOMER-USD'!$H84,'01. KE30'!$A:$A,'06. BC BH THEO CUSTOMER-USD'!T$4)/'06. BC BH THEO CUSTOMER-USD'!CZ84/'02. Tỷ giá'!I$5,"-")</f>
        <v>1215.1219320786167</v>
      </c>
      <c r="AI84" s="147">
        <f>IFERROR(SUMIFS('01. KE30'!$O:$O,'01. KE30'!$C:$C,'06. BC BH THEO CUSTOMER-USD'!$D84,'01. KE30'!$F:$F,'06. BC BH THEO CUSTOMER-USD'!$H84,'01. KE30'!$A:$A,'06. BC BH THEO CUSTOMER-USD'!U$4)/'06. BC BH THEO CUSTOMER-USD'!DA84/'02. Tỷ giá'!J$5,"-")</f>
        <v>1191.885264554895</v>
      </c>
      <c r="AJ84" s="147" t="str">
        <f>IFERROR(SUMIFS('01. KE30'!$O:$O,'01. KE30'!$C:$C,'06. BC BH THEO CUSTOMER-USD'!$D84,'01. KE30'!$F:$F,'06. BC BH THEO CUSTOMER-USD'!$H84,'01. KE30'!$A:$A,'06. BC BH THEO CUSTOMER-USD'!V$4)/'06. BC BH THEO CUSTOMER-USD'!DB84/'02. Tỷ giá'!K$5,"-")</f>
        <v>-</v>
      </c>
      <c r="AK84" s="147" t="str">
        <f>IFERROR(SUMIFS('01. KE30'!$O:$O,'01. KE30'!$C:$C,'06. BC BH THEO CUSTOMER-USD'!$D84,'01. KE30'!$F:$F,'06. BC BH THEO CUSTOMER-USD'!$H84,'01. KE30'!$A:$A,'06. BC BH THEO CUSTOMER-USD'!W$4)/'06. BC BH THEO CUSTOMER-USD'!DC84/'02. Tỷ giá'!L$5,"-")</f>
        <v>-</v>
      </c>
      <c r="AL84" s="147" t="str">
        <f>IFERROR(SUMIFS('01. KE30'!$O:$O,'01. KE30'!$C:$C,'06. BC BH THEO CUSTOMER-USD'!$D84,'01. KE30'!$F:$F,'06. BC BH THEO CUSTOMER-USD'!$H84,'01. KE30'!$A:$A,'06. BC BH THEO CUSTOMER-USD'!X$4)/'06. BC BH THEO CUSTOMER-USD'!DD84/'02. Tỷ giá'!M$5,"-")</f>
        <v>-</v>
      </c>
      <c r="AN84" s="92">
        <f t="shared" si="635"/>
        <v>1236.6666666666667</v>
      </c>
      <c r="AO84" s="25">
        <v>1230</v>
      </c>
      <c r="AP84" s="25">
        <v>1230</v>
      </c>
      <c r="AQ84" s="25">
        <v>1230</v>
      </c>
      <c r="AR84" s="25">
        <f t="shared" si="636"/>
        <v>1250</v>
      </c>
      <c r="AS84" s="25">
        <v>1250</v>
      </c>
      <c r="AT84" s="25">
        <v>1250</v>
      </c>
      <c r="AU84" s="25">
        <v>1250</v>
      </c>
      <c r="AV84" s="4">
        <f t="shared" si="205"/>
        <v>1220</v>
      </c>
      <c r="AW84" s="25">
        <v>1220</v>
      </c>
      <c r="AX84" s="25"/>
      <c r="AY84" s="4"/>
      <c r="AZ84" s="4"/>
      <c r="BB84" s="95">
        <f t="shared" si="637"/>
        <v>-19.657040645001416</v>
      </c>
      <c r="BC84" s="95" t="str">
        <f t="shared" si="638"/>
        <v>-</v>
      </c>
      <c r="BD84" s="95" t="str">
        <f t="shared" si="516"/>
        <v>-</v>
      </c>
      <c r="BE84" s="95" t="str">
        <f t="shared" si="516"/>
        <v>-</v>
      </c>
      <c r="BF84" s="95" t="str">
        <f t="shared" si="516"/>
        <v>-</v>
      </c>
      <c r="BG84" s="95">
        <f t="shared" si="516"/>
        <v>-5.9783185685157605</v>
      </c>
      <c r="BH84" s="95" t="str">
        <f t="shared" si="516"/>
        <v>-</v>
      </c>
      <c r="BI84" s="95" t="str">
        <f t="shared" si="516"/>
        <v>-</v>
      </c>
      <c r="BJ84" s="95">
        <f t="shared" si="516"/>
        <v>-4.8780679213832627</v>
      </c>
      <c r="BK84" s="95">
        <f t="shared" si="516"/>
        <v>-28.114735445104998</v>
      </c>
      <c r="BL84" s="95" t="str">
        <f t="shared" si="516"/>
        <v>-</v>
      </c>
      <c r="BM84" s="95" t="str">
        <f t="shared" si="516"/>
        <v>-</v>
      </c>
      <c r="BN84" s="95" t="str">
        <f t="shared" si="516"/>
        <v>-</v>
      </c>
      <c r="BP84" s="143">
        <f t="shared" si="639"/>
        <v>-1.58951811145564E-2</v>
      </c>
      <c r="BQ84" s="143" t="str">
        <f t="shared" si="517"/>
        <v>-</v>
      </c>
      <c r="BR84" s="143" t="str">
        <f t="shared" si="518"/>
        <v>-</v>
      </c>
      <c r="BS84" s="143" t="str">
        <f t="shared" si="519"/>
        <v>-</v>
      </c>
      <c r="BT84" s="143" t="str">
        <f t="shared" si="520"/>
        <v>-</v>
      </c>
      <c r="BU84" s="143">
        <f t="shared" si="521"/>
        <v>-4.7826548548126086E-3</v>
      </c>
      <c r="BV84" s="143" t="str">
        <f t="shared" si="522"/>
        <v>-</v>
      </c>
      <c r="BW84" s="143" t="str">
        <f t="shared" si="523"/>
        <v>-</v>
      </c>
      <c r="BX84" s="143">
        <f t="shared" si="524"/>
        <v>-3.9984163290026744E-3</v>
      </c>
      <c r="BY84" s="143">
        <f t="shared" si="525"/>
        <v>-2.3044865118938523E-2</v>
      </c>
      <c r="BZ84" s="143" t="str">
        <f t="shared" si="526"/>
        <v>-</v>
      </c>
      <c r="CA84" s="143" t="str">
        <f t="shared" si="527"/>
        <v>-</v>
      </c>
      <c r="CB84" s="143" t="str">
        <f t="shared" si="528"/>
        <v>-</v>
      </c>
      <c r="CD84" s="112">
        <f t="shared" si="529"/>
        <v>1043.8712565835103</v>
      </c>
      <c r="CE84" s="95" t="str">
        <f>IFERROR(SUMIFS('01. KE30'!$R:$R,'01. KE30'!$C:$C,'06. BC BH THEO CUSTOMER-USD'!$D84,'01. KE30'!$F:$F,'06. BC BH THEO CUSTOMER-USD'!$H84,'01. KE30'!$A:$A,'06. BC BH THEO CUSTOMER-USD'!CE$4)/CS84/'02. Tỷ giá'!B$5," -")</f>
        <v xml:space="preserve"> -</v>
      </c>
      <c r="CF84" s="95" t="str">
        <f>IFERROR(SUMIFS('01. KE30'!$R:$R,'01. KE30'!$C:$C,'06. BC BH THEO CUSTOMER-USD'!$D84,'01. KE30'!$F:$F,'06. BC BH THEO CUSTOMER-USD'!$H84,'01. KE30'!$A:$A,'06. BC BH THEO CUSTOMER-USD'!CF$4)/CT84/'02. Tỷ giá'!C$5," -")</f>
        <v xml:space="preserve"> -</v>
      </c>
      <c r="CG84" s="95" t="str">
        <f>IFERROR(SUMIFS('01. KE30'!$R:$R,'01. KE30'!$C:$C,'06. BC BH THEO CUSTOMER-USD'!$D84,'01. KE30'!$F:$F,'06. BC BH THEO CUSTOMER-USD'!$H84,'01. KE30'!$A:$A,'06. BC BH THEO CUSTOMER-USD'!CG$4)/CU84/'02. Tỷ giá'!D$5," -")</f>
        <v xml:space="preserve"> -</v>
      </c>
      <c r="CH84" s="95" t="str">
        <f>IFERROR(SUMIFS('01. KE30'!$R:$R,'01. KE30'!$C:$C,'06. BC BH THEO CUSTOMER-USD'!$D84,'01. KE30'!$F:$F,'06. BC BH THEO CUSTOMER-USD'!$H84,'01. KE30'!$A:$A,'06. BC BH THEO CUSTOMER-USD'!CH$4)/CV84/'02. Tỷ giá'!E$5," -")</f>
        <v xml:space="preserve"> -</v>
      </c>
      <c r="CI84" s="95">
        <f>IFERROR(SUMIFS('01. KE30'!$R:$R,'01. KE30'!$C:$C,'06. BC BH THEO CUSTOMER-USD'!$D84,'01. KE30'!$F:$F,'06. BC BH THEO CUSTOMER-USD'!$H84,'01. KE30'!$A:$A,'06. BC BH THEO CUSTOMER-USD'!CI$4)/CW84/'02. Tỷ giá'!F$5," -")</f>
        <v>1049.5963931659987</v>
      </c>
      <c r="CJ84" s="95" t="str">
        <f>IFERROR(SUMIFS('01. KE30'!$R:$R,'01. KE30'!$C:$C,'06. BC BH THEO CUSTOMER-USD'!$D84,'01. KE30'!$F:$F,'06. BC BH THEO CUSTOMER-USD'!$H84,'01. KE30'!$A:$A,'06. BC BH THEO CUSTOMER-USD'!CJ$4)/CX84/'02. Tỷ giá'!G$5," -")</f>
        <v xml:space="preserve"> -</v>
      </c>
      <c r="CK84" s="95" t="str">
        <f>IFERROR(SUMIFS('01. KE30'!$R:$R,'01. KE30'!$C:$C,'06. BC BH THEO CUSTOMER-USD'!$D84,'01. KE30'!$F:$F,'06. BC BH THEO CUSTOMER-USD'!$H84,'01. KE30'!$A:$A,'06. BC BH THEO CUSTOMER-USD'!CK$4)/CY84/'02. Tỷ giá'!H$5," -")</f>
        <v xml:space="preserve"> -</v>
      </c>
      <c r="CL84" s="95">
        <f>IFERROR(SUMIFS('01. KE30'!$R:$R,'01. KE30'!$C:$C,'06. BC BH THEO CUSTOMER-USD'!$D84,'01. KE30'!$F:$F,'06. BC BH THEO CUSTOMER-USD'!$H84,'01. KE30'!$A:$A,'06. BC BH THEO CUSTOMER-USD'!CL$4)/CZ84/'02. Tỷ giá'!I$5," -")</f>
        <v>1060.8793162719633</v>
      </c>
      <c r="CM84" s="95">
        <f>IFERROR(SUMIFS('01. KE30'!$R:$R,'01. KE30'!$C:$C,'06. BC BH THEO CUSTOMER-USD'!$D84,'01. KE30'!$F:$F,'06. BC BH THEO CUSTOMER-USD'!$H84,'01. KE30'!$A:$A,'06. BC BH THEO CUSTOMER-USD'!CM$4)/DA84/'02. Tỷ giá'!J$5," -")</f>
        <v>1021.1380603125688</v>
      </c>
      <c r="CN84" s="95" t="str">
        <f>IFERROR(SUMIFS('01. KE30'!$R:$R,'01. KE30'!$C:$C,'06. BC BH THEO CUSTOMER-USD'!$D84,'01. KE30'!$F:$F,'06. BC BH THEO CUSTOMER-USD'!$H84,'01. KE30'!$A:$A,'06. BC BH THEO CUSTOMER-USD'!CN$4)/DB84/'02. Tỷ giá'!K$5," -")</f>
        <v xml:space="preserve"> -</v>
      </c>
      <c r="CO84" s="95" t="str">
        <f>IFERROR(SUMIFS('01. KE30'!$R:$R,'01. KE30'!$C:$C,'06. BC BH THEO CUSTOMER-USD'!$D84,'01. KE30'!$F:$F,'06. BC BH THEO CUSTOMER-USD'!$H84,'01. KE30'!$A:$A,'06. BC BH THEO CUSTOMER-USD'!CO$4)/DC84/'02. Tỷ giá'!L$5," -")</f>
        <v xml:space="preserve"> -</v>
      </c>
      <c r="CP84" s="95" t="str">
        <f>IFERROR(SUMIFS('01. KE30'!$R:$R,'01. KE30'!$C:$C,'06. BC BH THEO CUSTOMER-USD'!$D84,'01. KE30'!$F:$F,'06. BC BH THEO CUSTOMER-USD'!$H84,'01. KE30'!$A:$A,'06. BC BH THEO CUSTOMER-USD'!CP$4)/DD84/'02. Tỷ giá'!M$5," -")</f>
        <v xml:space="preserve"> -</v>
      </c>
      <c r="CR84" s="112">
        <f t="shared" si="266"/>
        <v>130.9</v>
      </c>
      <c r="CS84" s="114">
        <f>SUMIFS('01. KE30'!$I:$I,'01. KE30'!$C:$C,'06. BC BH THEO CUSTOMER-USD'!$D84,'01. KE30'!$F:$F,'06. BC BH THEO CUSTOMER-USD'!$H84,'01. KE30'!$A:$A,'06. BC BH THEO CUSTOMER-USD'!CS$4)/1000</f>
        <v>0</v>
      </c>
      <c r="CT84" s="114">
        <f>SUMIFS('01. KE30'!$I:$I,'01. KE30'!$C:$C,'06. BC BH THEO CUSTOMER-USD'!$D84,'01. KE30'!$F:$F,'06. BC BH THEO CUSTOMER-USD'!$H84,'01. KE30'!$A:$A,'06. BC BH THEO CUSTOMER-USD'!CT$4)/1000</f>
        <v>0</v>
      </c>
      <c r="CU84" s="114">
        <f>SUMIFS('01. KE30'!$I:$I,'01. KE30'!$C:$C,'06. BC BH THEO CUSTOMER-USD'!$D84,'01. KE30'!$F:$F,'06. BC BH THEO CUSTOMER-USD'!$H84,'01. KE30'!$A:$A,'06. BC BH THEO CUSTOMER-USD'!CU$4)/1000</f>
        <v>0</v>
      </c>
      <c r="CV84" s="114">
        <f>SUMIFS('01. KE30'!$I:$I,'01. KE30'!$C:$C,'06. BC BH THEO CUSTOMER-USD'!$D84,'01. KE30'!$F:$F,'06. BC BH THEO CUSTOMER-USD'!$H84,'01. KE30'!$A:$A,'06. BC BH THEO CUSTOMER-USD'!CV$4)/1000</f>
        <v>0</v>
      </c>
      <c r="CW84" s="114">
        <f>SUMIFS('01. KE30'!$I:$I,'01. KE30'!$C:$C,'06. BC BH THEO CUSTOMER-USD'!$D84,'01. KE30'!$F:$F,'06. BC BH THEO CUSTOMER-USD'!$H84,'01. KE30'!$A:$A,'06. BC BH THEO CUSTOMER-USD'!CW$4)/1000</f>
        <v>22</v>
      </c>
      <c r="CX84" s="114">
        <f>SUMIFS('01. KE30'!$I:$I,'01. KE30'!$C:$C,'06. BC BH THEO CUSTOMER-USD'!$D84,'01. KE30'!$F:$F,'06. BC BH THEO CUSTOMER-USD'!$H84,'01. KE30'!$A:$A,'06. BC BH THEO CUSTOMER-USD'!CX$4)/1000</f>
        <v>0</v>
      </c>
      <c r="CY84" s="114">
        <f>SUMIFS('01. KE30'!$I:$I,'01. KE30'!$C:$C,'06. BC BH THEO CUSTOMER-USD'!$D84,'01. KE30'!$F:$F,'06. BC BH THEO CUSTOMER-USD'!$H84,'01. KE30'!$A:$A,'06. BC BH THEO CUSTOMER-USD'!CY$4)/1000</f>
        <v>0</v>
      </c>
      <c r="CZ84" s="114">
        <f>SUMIFS('01. KE30'!$I:$I,'01. KE30'!$C:$C,'06. BC BH THEO CUSTOMER-USD'!$D84,'01. KE30'!$F:$F,'06. BC BH THEO CUSTOMER-USD'!$H84,'01. KE30'!$A:$A,'06. BC BH THEO CUSTOMER-USD'!CZ$4)/1000</f>
        <v>44</v>
      </c>
      <c r="DA84" s="114">
        <f>SUMIFS('01. KE30'!$I:$I,'01. KE30'!$C:$C,'06. BC BH THEO CUSTOMER-USD'!$D84,'01. KE30'!$F:$F,'06. BC BH THEO CUSTOMER-USD'!$H84,'01. KE30'!$A:$A,'06. BC BH THEO CUSTOMER-USD'!DA$4)/1000</f>
        <v>64.900000000000006</v>
      </c>
      <c r="DB84" s="114">
        <f>SUMIFS('01. KE30'!$I:$I,'01. KE30'!$C:$C,'06. BC BH THEO CUSTOMER-USD'!$D84,'01. KE30'!$F:$F,'06. BC BH THEO CUSTOMER-USD'!$H84,'01. KE30'!$A:$A,'06. BC BH THEO CUSTOMER-USD'!DB$4)/1000</f>
        <v>0</v>
      </c>
      <c r="DC84" s="114">
        <f>SUMIFS('01. KE30'!$I:$I,'01. KE30'!$C:$C,'06. BC BH THEO CUSTOMER-USD'!$D84,'01. KE30'!$F:$F,'06. BC BH THEO CUSTOMER-USD'!$H84,'01. KE30'!$A:$A,'06. BC BH THEO CUSTOMER-USD'!DC$4)/1000</f>
        <v>0</v>
      </c>
      <c r="DD84" s="114">
        <f>SUMIFS('01. KE30'!$I:$I,'01. KE30'!$C:$C,'06. BC BH THEO CUSTOMER-USD'!$D84,'01. KE30'!$F:$F,'06. BC BH THEO CUSTOMER-USD'!$H84,'01. KE30'!$A:$A,'06. BC BH THEO CUSTOMER-USD'!DD$4)/1000</f>
        <v>0</v>
      </c>
      <c r="DF84" s="112">
        <f t="shared" si="267"/>
        <v>165522.96237320802</v>
      </c>
      <c r="DG84" s="54" t="str">
        <f t="shared" si="640"/>
        <v>-</v>
      </c>
      <c r="DH84" s="54" t="str">
        <f t="shared" si="641"/>
        <v>-</v>
      </c>
      <c r="DI84" s="54" t="str">
        <f t="shared" si="642"/>
        <v>-</v>
      </c>
      <c r="DJ84" s="54" t="str">
        <f t="shared" si="643"/>
        <v>-</v>
      </c>
      <c r="DK84" s="54">
        <f t="shared" si="644"/>
        <v>28533.642691415313</v>
      </c>
      <c r="DL84" s="54" t="str">
        <f t="shared" si="645"/>
        <v>-</v>
      </c>
      <c r="DM84" s="54" t="str">
        <f t="shared" si="646"/>
        <v>-</v>
      </c>
      <c r="DN84" s="54">
        <f t="shared" si="647"/>
        <v>56018.823529411769</v>
      </c>
      <c r="DO84" s="54">
        <f t="shared" si="648"/>
        <v>80970.496152380962</v>
      </c>
      <c r="DP84" s="54" t="str">
        <f t="shared" si="649"/>
        <v>-</v>
      </c>
      <c r="DQ84" s="54" t="str">
        <f t="shared" si="650"/>
        <v>-</v>
      </c>
      <c r="DR84" s="54" t="str">
        <f t="shared" si="651"/>
        <v>-</v>
      </c>
      <c r="DT84" s="112">
        <f t="shared" si="652"/>
        <v>22145.524992660408</v>
      </c>
      <c r="DU84" s="114">
        <f>IFERROR(SUMIFS('01. KE30'!$X:$X,'01. KE30'!$C:$C,'06. BC BH THEO CUSTOMER-USD'!$D84,'01. KE30'!$F:$F,'06. BC BH THEO CUSTOMER-USD'!$H84,'01. KE30'!$A:$A,'06. BC BH THEO CUSTOMER-USD'!DU$4)-SUMIFS('01. KE30'!$AA:$AA,'01. KE30'!$C:$C,'06. BC BH THEO CUSTOMER-USD'!$D84,'01. KE30'!$F:$F,'06. BC BH THEO CUSTOMER-USD'!$H84,'01. KE30'!$A:$A,'06. BC BH THEO CUSTOMER-USD'!DU$4),"-")</f>
        <v>0</v>
      </c>
      <c r="DV84" s="114">
        <f>IFERROR(SUMIFS('01. KE30'!$X:$X,'01. KE30'!$C:$C,'06. BC BH THEO CUSTOMER-USD'!$D84,'01. KE30'!$F:$F,'06. BC BH THEO CUSTOMER-USD'!$H84,'01. KE30'!$A:$A,'06. BC BH THEO CUSTOMER-USD'!DV$4)-SUMIFS('01. KE30'!$AA:$AA,'01. KE30'!$C:$C,'06. BC BH THEO CUSTOMER-USD'!$D84,'01. KE30'!$F:$F,'06. BC BH THEO CUSTOMER-USD'!$H84,'01. KE30'!$A:$A,'06. BC BH THEO CUSTOMER-USD'!DV$4),"-")</f>
        <v>0</v>
      </c>
      <c r="DW84" s="114">
        <f>IFERROR(SUMIFS('01. KE30'!$X:$X,'01. KE30'!$C:$C,'06. BC BH THEO CUSTOMER-USD'!$D84,'01. KE30'!$F:$F,'06. BC BH THEO CUSTOMER-USD'!$H84,'01. KE30'!$A:$A,'06. BC BH THEO CUSTOMER-USD'!DW$4)-SUMIFS('01. KE30'!$AA:$AA,'01. KE30'!$C:$C,'06. BC BH THEO CUSTOMER-USD'!$D84,'01. KE30'!$F:$F,'06. BC BH THEO CUSTOMER-USD'!$H84,'01. KE30'!$A:$A,'06. BC BH THEO CUSTOMER-USD'!DW$4),"-")</f>
        <v>0</v>
      </c>
      <c r="DX84" s="114">
        <f>IFERROR(SUMIFS('01. KE30'!$X:$X,'01. KE30'!$C:$C,'06. BC BH THEO CUSTOMER-USD'!$D84,'01. KE30'!$F:$F,'06. BC BH THEO CUSTOMER-USD'!$H84,'01. KE30'!$A:$A,'06. BC BH THEO CUSTOMER-USD'!DX$4)-SUMIFS('01. KE30'!$AA:$AA,'01. KE30'!$C:$C,'06. BC BH THEO CUSTOMER-USD'!$D84,'01. KE30'!$F:$F,'06. BC BH THEO CUSTOMER-USD'!$H84,'01. KE30'!$A:$A,'06. BC BH THEO CUSTOMER-USD'!DX$4),"-")</f>
        <v>0</v>
      </c>
      <c r="DY84" s="114">
        <f>IFERROR(SUMIFS('01. KE30'!$X:$X,'01. KE30'!$C:$C,'06. BC BH THEO CUSTOMER-USD'!$D84,'01. KE30'!$F:$F,'06. BC BH THEO CUSTOMER-USD'!$H84,'01. KE30'!$A:$A,'06. BC BH THEO CUSTOMER-USD'!DY$4)-SUMIFS('01. KE30'!$AA:$AA,'01. KE30'!$C:$C,'06. BC BH THEO CUSTOMER-USD'!$D84,'01. KE30'!$F:$F,'06. BC BH THEO CUSTOMER-USD'!$H84,'01. KE30'!$A:$A,'06. BC BH THEO CUSTOMER-USD'!DY$4),"-")</f>
        <v>4277.3563418406775</v>
      </c>
      <c r="DZ84" s="114">
        <f>IFERROR(SUMIFS('01. KE30'!$X:$X,'01. KE30'!$C:$C,'06. BC BH THEO CUSTOMER-USD'!$D84,'01. KE30'!$F:$F,'06. BC BH THEO CUSTOMER-USD'!$H84,'01. KE30'!$A:$A,'06. BC BH THEO CUSTOMER-USD'!DZ$4)-SUMIFS('01. KE30'!$AA:$AA,'01. KE30'!$C:$C,'06. BC BH THEO CUSTOMER-USD'!$D84,'01. KE30'!$F:$F,'06. BC BH THEO CUSTOMER-USD'!$H84,'01. KE30'!$A:$A,'06. BC BH THEO CUSTOMER-USD'!DZ$4),"-")</f>
        <v>0</v>
      </c>
      <c r="EA84" s="114">
        <f>IFERROR(SUMIFS('01. KE30'!$X:$X,'01. KE30'!$C:$C,'06. BC BH THEO CUSTOMER-USD'!$D84,'01. KE30'!$F:$F,'06. BC BH THEO CUSTOMER-USD'!$H84,'01. KE30'!$A:$A,'06. BC BH THEO CUSTOMER-USD'!EA$4)-SUMIFS('01. KE30'!$AA:$AA,'01. KE30'!$C:$C,'06. BC BH THEO CUSTOMER-USD'!$D84,'01. KE30'!$F:$F,'06. BC BH THEO CUSTOMER-USD'!$H84,'01. KE30'!$A:$A,'06. BC BH THEO CUSTOMER-USD'!EA$4),"-")</f>
        <v>0</v>
      </c>
      <c r="EB84" s="114">
        <f>IFERROR(SUMIFS('01. KE30'!$X:$X,'01. KE30'!$C:$C,'06. BC BH THEO CUSTOMER-USD'!$D84,'01. KE30'!$F:$F,'06. BC BH THEO CUSTOMER-USD'!$H84,'01. KE30'!$A:$A,'06. BC BH THEO CUSTOMER-USD'!EB$4)-SUMIFS('01. KE30'!$AA:$AA,'01. KE30'!$C:$C,'06. BC BH THEO CUSTOMER-USD'!$D84,'01. KE30'!$F:$F,'06. BC BH THEO CUSTOMER-USD'!$H84,'01. KE30'!$A:$A,'06. BC BH THEO CUSTOMER-USD'!EB$4),"-")</f>
        <v>6786.6750954927411</v>
      </c>
      <c r="EC84" s="114">
        <f>IFERROR(SUMIFS('01. KE30'!$X:$X,'01. KE30'!$C:$C,'06. BC BH THEO CUSTOMER-USD'!$D84,'01. KE30'!$F:$F,'06. BC BH THEO CUSTOMER-USD'!$H84,'01. KE30'!$A:$A,'06. BC BH THEO CUSTOMER-USD'!EC$4)-SUMIFS('01. KE30'!$AA:$AA,'01. KE30'!$C:$C,'06. BC BH THEO CUSTOMER-USD'!$D84,'01. KE30'!$F:$F,'06. BC BH THEO CUSTOMER-USD'!$H84,'01. KE30'!$A:$A,'06. BC BH THEO CUSTOMER-USD'!EC$4),"-")</f>
        <v>11081.49355532699</v>
      </c>
      <c r="ED84" s="114">
        <f>IFERROR(SUMIFS('01. KE30'!$X:$X,'01. KE30'!$C:$C,'06. BC BH THEO CUSTOMER-USD'!$D84,'01. KE30'!$F:$F,'06. BC BH THEO CUSTOMER-USD'!$H84,'01. KE30'!$A:$A,'06. BC BH THEO CUSTOMER-USD'!ED$4)-SUMIFS('01. KE30'!$AA:$AA,'01. KE30'!$C:$C,'06. BC BH THEO CUSTOMER-USD'!$D84,'01. KE30'!$F:$F,'06. BC BH THEO CUSTOMER-USD'!$H84,'01. KE30'!$A:$A,'06. BC BH THEO CUSTOMER-USD'!ED$4),"-")</f>
        <v>0</v>
      </c>
      <c r="EE84" s="114">
        <f>IFERROR(SUMIFS('01. KE30'!$X:$X,'01. KE30'!$C:$C,'06. BC BH THEO CUSTOMER-USD'!$D84,'01. KE30'!$F:$F,'06. BC BH THEO CUSTOMER-USD'!$H84,'01. KE30'!$A:$A,'06. BC BH THEO CUSTOMER-USD'!EE$4)-SUMIFS('01. KE30'!$AA:$AA,'01. KE30'!$C:$C,'06. BC BH THEO CUSTOMER-USD'!$D84,'01. KE30'!$F:$F,'06. BC BH THEO CUSTOMER-USD'!$H84,'01. KE30'!$A:$A,'06. BC BH THEO CUSTOMER-USD'!EE$4),"-")</f>
        <v>0</v>
      </c>
      <c r="EF84" s="114">
        <f>IFERROR(SUMIFS('01. KE30'!$X:$X,'01. KE30'!$C:$C,'06. BC BH THEO CUSTOMER-USD'!$D84,'01. KE30'!$F:$F,'06. BC BH THEO CUSTOMER-USD'!$H84,'01. KE30'!$A:$A,'06. BC BH THEO CUSTOMER-USD'!EF$4)-SUMIFS('01. KE30'!$AA:$AA,'01. KE30'!$C:$C,'06. BC BH THEO CUSTOMER-USD'!$D84,'01. KE30'!$F:$F,'06. BC BH THEO CUSTOMER-USD'!$H84,'01. KE30'!$A:$A,'06. BC BH THEO CUSTOMER-USD'!EF$4),"-")</f>
        <v>0</v>
      </c>
      <c r="EH84" s="571">
        <f t="shared" si="531"/>
        <v>0.13379125575778689</v>
      </c>
      <c r="EI84" s="572" t="str">
        <f t="shared" si="532"/>
        <v>-</v>
      </c>
      <c r="EJ84" s="572" t="str">
        <f t="shared" si="533"/>
        <v>-</v>
      </c>
      <c r="EK84" s="572" t="str">
        <f t="shared" si="534"/>
        <v>-</v>
      </c>
      <c r="EL84" s="572" t="str">
        <f t="shared" si="535"/>
        <v>-</v>
      </c>
      <c r="EM84" s="572">
        <f t="shared" si="536"/>
        <v>0.14990572315281608</v>
      </c>
      <c r="EN84" s="572" t="str">
        <f t="shared" si="537"/>
        <v>-</v>
      </c>
      <c r="EO84" s="572" t="str">
        <f t="shared" si="538"/>
        <v>-</v>
      </c>
      <c r="EP84" s="572">
        <f t="shared" si="539"/>
        <v>0.12114990404840452</v>
      </c>
      <c r="EQ84" s="572">
        <f t="shared" si="540"/>
        <v>0.13685841240829713</v>
      </c>
      <c r="ER84" s="572" t="str">
        <f t="shared" si="541"/>
        <v>-</v>
      </c>
      <c r="ES84" s="572" t="str">
        <f t="shared" si="542"/>
        <v>-</v>
      </c>
      <c r="ET84" s="572" t="str">
        <f t="shared" si="543"/>
        <v>-</v>
      </c>
    </row>
    <row r="85" spans="1:150" ht="15.5" hidden="1" outlineLevel="1" x14ac:dyDescent="0.35">
      <c r="A85" s="27">
        <f t="shared" si="653"/>
        <v>72</v>
      </c>
      <c r="B85" s="27" t="s">
        <v>283</v>
      </c>
      <c r="C85" s="442" t="s">
        <v>489</v>
      </c>
      <c r="D85" s="9" t="s">
        <v>836</v>
      </c>
      <c r="E85" s="31" t="s">
        <v>837</v>
      </c>
      <c r="F85" s="12" t="s">
        <v>249</v>
      </c>
      <c r="G85" s="12" t="str">
        <f>_xlfn.XLOOKUP(F85,'Quy đổi'!$G$5:$G$32,'Quy đổi'!$H$5:$H$32,0)</f>
        <v>Châu á</v>
      </c>
      <c r="H85" s="77" t="s">
        <v>102</v>
      </c>
      <c r="I85" s="31" t="s">
        <v>101</v>
      </c>
      <c r="J85" s="13" t="s">
        <v>26</v>
      </c>
      <c r="K85" s="30" t="s">
        <v>90</v>
      </c>
      <c r="L85" s="92">
        <f t="shared" ref="L85" si="654">IFERROR(AVERAGE(M85:X85),"-")</f>
        <v>1177.7523809523809</v>
      </c>
      <c r="M85" s="106" t="str">
        <f>IFERROR(SUMIFS('01. KE30'!$K:$K,'01. KE30'!$C:$C,'06. BC BH THEO CUSTOMER-USD'!$D85,'01. KE30'!$F:$F,'06. BC BH THEO CUSTOMER-USD'!$H85,'01. KE30'!$A:$A,'06. BC BH THEO CUSTOMER-USD'!M$4)/'06. BC BH THEO CUSTOMER-USD'!CS85/'02. Tỷ giá'!B$5,"-")</f>
        <v>-</v>
      </c>
      <c r="N85" s="106" t="str">
        <f>IFERROR(SUMIFS('01. KE30'!$K:$K,'01. KE30'!$C:$C,'06. BC BH THEO CUSTOMER-USD'!$D85,'01. KE30'!$F:$F,'06. BC BH THEO CUSTOMER-USD'!$H85,'01. KE30'!$A:$A,'06. BC BH THEO CUSTOMER-USD'!N$4)/'06. BC BH THEO CUSTOMER-USD'!CT85/'02. Tỷ giá'!C$5,"-")</f>
        <v>-</v>
      </c>
      <c r="O85" s="106" t="str">
        <f>IFERROR(SUMIFS('01. KE30'!$K:$K,'01. KE30'!$C:$C,'06. BC BH THEO CUSTOMER-USD'!$D85,'01. KE30'!$F:$F,'06. BC BH THEO CUSTOMER-USD'!$H85,'01. KE30'!$A:$A,'06. BC BH THEO CUSTOMER-USD'!O$4)/'06. BC BH THEO CUSTOMER-USD'!CU85/'02. Tỷ giá'!D$5,"-")</f>
        <v>-</v>
      </c>
      <c r="P85" s="106" t="str">
        <f>IFERROR(SUMIFS('01. KE30'!$K:$K,'01. KE30'!$C:$C,'06. BC BH THEO CUSTOMER-USD'!$D85,'01. KE30'!$F:$F,'06. BC BH THEO CUSTOMER-USD'!$H85,'01. KE30'!$A:$A,'06. BC BH THEO CUSTOMER-USD'!P$4)/'06. BC BH THEO CUSTOMER-USD'!CV85/'02. Tỷ giá'!E$5,"-")</f>
        <v>-</v>
      </c>
      <c r="Q85" s="106" t="str">
        <f>IFERROR(SUMIFS('01. KE30'!$K:$K,'01. KE30'!$C:$C,'06. BC BH THEO CUSTOMER-USD'!$D85,'01. KE30'!$F:$F,'06. BC BH THEO CUSTOMER-USD'!$H85,'01. KE30'!$A:$A,'06. BC BH THEO CUSTOMER-USD'!Q$4)/'06. BC BH THEO CUSTOMER-USD'!CW85/'02. Tỷ giá'!F$5,"-")</f>
        <v>-</v>
      </c>
      <c r="R85" s="106" t="str">
        <f>IFERROR(SUMIFS('01. KE30'!$K:$K,'01. KE30'!$C:$C,'06. BC BH THEO CUSTOMER-USD'!$D85,'01. KE30'!$F:$F,'06. BC BH THEO CUSTOMER-USD'!$H85,'01. KE30'!$A:$A,'06. BC BH THEO CUSTOMER-USD'!R$4)/'06. BC BH THEO CUSTOMER-USD'!CX85/'02. Tỷ giá'!G$5,"-")</f>
        <v>-</v>
      </c>
      <c r="S85" s="106" t="str">
        <f>IFERROR(SUMIFS('01. KE30'!$K:$K,'01. KE30'!$C:$C,'06. BC BH THEO CUSTOMER-USD'!$D85,'01. KE30'!$F:$F,'06. BC BH THEO CUSTOMER-USD'!$H85,'01. KE30'!$A:$A,'06. BC BH THEO CUSTOMER-USD'!S$4)/'06. BC BH THEO CUSTOMER-USD'!CY85/'02. Tỷ giá'!H$5,"-")</f>
        <v>-</v>
      </c>
      <c r="T85" s="106" t="str">
        <f>IFERROR(SUMIFS('01. KE30'!$K:$K,'01. KE30'!$C:$C,'06. BC BH THEO CUSTOMER-USD'!$D85,'01. KE30'!$F:$F,'06. BC BH THEO CUSTOMER-USD'!$H85,'01. KE30'!$A:$A,'06. BC BH THEO CUSTOMER-USD'!T$4)/'06. BC BH THEO CUSTOMER-USD'!CZ85/'02. Tỷ giá'!I$5,"-")</f>
        <v>-</v>
      </c>
      <c r="U85" s="106">
        <f>IFERROR(SUMIFS('01. KE30'!$K:$K,'01. KE30'!$C:$C,'06. BC BH THEO CUSTOMER-USD'!$D85,'01. KE30'!$F:$F,'06. BC BH THEO CUSTOMER-USD'!$H85,'01. KE30'!$A:$A,'06. BC BH THEO CUSTOMER-USD'!U$4)/'06. BC BH THEO CUSTOMER-USD'!DA85/'02. Tỷ giá'!J$5,"-")</f>
        <v>1177.7523809523809</v>
      </c>
      <c r="V85" s="106" t="str">
        <f>IFERROR(SUMIFS('01. KE30'!$K:$K,'01. KE30'!$C:$C,'06. BC BH THEO CUSTOMER-USD'!$D85,'01. KE30'!$F:$F,'06. BC BH THEO CUSTOMER-USD'!$H85,'01. KE30'!$A:$A,'06. BC BH THEO CUSTOMER-USD'!V$4)/'06. BC BH THEO CUSTOMER-USD'!DB85/'02. Tỷ giá'!K$5,"-")</f>
        <v>-</v>
      </c>
      <c r="W85" s="106" t="str">
        <f>IFERROR(SUMIFS('01. KE30'!$K:$K,'01. KE30'!$C:$C,'06. BC BH THEO CUSTOMER-USD'!$D85,'01. KE30'!$F:$F,'06. BC BH THEO CUSTOMER-USD'!$H85,'01. KE30'!$A:$A,'06. BC BH THEO CUSTOMER-USD'!W$4)/'06. BC BH THEO CUSTOMER-USD'!DC85/'02. Tỷ giá'!L$5,"-")</f>
        <v>-</v>
      </c>
      <c r="X85" s="106" t="str">
        <f>IFERROR(SUMIFS('01. KE30'!$K:$K,'01. KE30'!$C:$C,'06. BC BH THEO CUSTOMER-USD'!$D85,'01. KE30'!$F:$F,'06. BC BH THEO CUSTOMER-USD'!$H85,'01. KE30'!$A:$A,'06. BC BH THEO CUSTOMER-USD'!X$4)/'06. BC BH THEO CUSTOMER-USD'!DD85/'02. Tỷ giá'!M$5,"-")</f>
        <v>-</v>
      </c>
      <c r="Z85" s="92">
        <f t="shared" ref="Z85" si="655">IFERROR(AVERAGE(AA85:AL85),"-")</f>
        <v>1122.0182903088021</v>
      </c>
      <c r="AA85" s="147" t="str">
        <f>IFERROR(SUMIFS('01. KE30'!$O:$O,'01. KE30'!$C:$C,'06. BC BH THEO CUSTOMER-USD'!$D85,'01. KE30'!$F:$F,'06. BC BH THEO CUSTOMER-USD'!$H85,'01. KE30'!$A:$A,'06. BC BH THEO CUSTOMER-USD'!M$4)/'06. BC BH THEO CUSTOMER-USD'!CS85/'02. Tỷ giá'!B$5,"-")</f>
        <v>-</v>
      </c>
      <c r="AB85" s="147" t="str">
        <f>IFERROR(SUMIFS('01. KE30'!$O:$O,'01. KE30'!$C:$C,'06. BC BH THEO CUSTOMER-USD'!$D85,'01. KE30'!$F:$F,'06. BC BH THEO CUSTOMER-USD'!$H85,'01. KE30'!$A:$A,'06. BC BH THEO CUSTOMER-USD'!N$4)/'06. BC BH THEO CUSTOMER-USD'!CT85/'02. Tỷ giá'!C$5,"-")</f>
        <v>-</v>
      </c>
      <c r="AC85" s="147" t="str">
        <f>IFERROR(SUMIFS('01. KE30'!$O:$O,'01. KE30'!$C:$C,'06. BC BH THEO CUSTOMER-USD'!$D85,'01. KE30'!$F:$F,'06. BC BH THEO CUSTOMER-USD'!$H85,'01. KE30'!$A:$A,'06. BC BH THEO CUSTOMER-USD'!O$4)/'06. BC BH THEO CUSTOMER-USD'!CU85/'02. Tỷ giá'!D$5,"-")</f>
        <v>-</v>
      </c>
      <c r="AD85" s="147" t="str">
        <f>IFERROR(SUMIFS('01. KE30'!$O:$O,'01. KE30'!$C:$C,'06. BC BH THEO CUSTOMER-USD'!$D85,'01. KE30'!$F:$F,'06. BC BH THEO CUSTOMER-USD'!$H85,'01. KE30'!$A:$A,'06. BC BH THEO CUSTOMER-USD'!P$4)/'06. BC BH THEO CUSTOMER-USD'!CV85/'02. Tỷ giá'!E$5,"-")</f>
        <v>-</v>
      </c>
      <c r="AE85" s="147" t="str">
        <f>IFERROR(SUMIFS('01. KE30'!$O:$O,'01. KE30'!$C:$C,'06. BC BH THEO CUSTOMER-USD'!$D85,'01. KE30'!$F:$F,'06. BC BH THEO CUSTOMER-USD'!$H85,'01. KE30'!$A:$A,'06. BC BH THEO CUSTOMER-USD'!Q$4)/'06. BC BH THEO CUSTOMER-USD'!CW85/'02. Tỷ giá'!F$5,"-")</f>
        <v>-</v>
      </c>
      <c r="AF85" s="147" t="str">
        <f>IFERROR(SUMIFS('01. KE30'!$O:$O,'01. KE30'!$C:$C,'06. BC BH THEO CUSTOMER-USD'!$D85,'01. KE30'!$F:$F,'06. BC BH THEO CUSTOMER-USD'!$H85,'01. KE30'!$A:$A,'06. BC BH THEO CUSTOMER-USD'!R$4)/'06. BC BH THEO CUSTOMER-USD'!CX85/'02. Tỷ giá'!G$5,"-")</f>
        <v>-</v>
      </c>
      <c r="AG85" s="147" t="str">
        <f>IFERROR(SUMIFS('01. KE30'!$O:$O,'01. KE30'!$C:$C,'06. BC BH THEO CUSTOMER-USD'!$D85,'01. KE30'!$F:$F,'06. BC BH THEO CUSTOMER-USD'!$H85,'01. KE30'!$A:$A,'06. BC BH THEO CUSTOMER-USD'!S$4)/'06. BC BH THEO CUSTOMER-USD'!CY85/'02. Tỷ giá'!H$5,"-")</f>
        <v>-</v>
      </c>
      <c r="AH85" s="147" t="str">
        <f>IFERROR(SUMIFS('01. KE30'!$O:$O,'01. KE30'!$C:$C,'06. BC BH THEO CUSTOMER-USD'!$D85,'01. KE30'!$F:$F,'06. BC BH THEO CUSTOMER-USD'!$H85,'01. KE30'!$A:$A,'06. BC BH THEO CUSTOMER-USD'!T$4)/'06. BC BH THEO CUSTOMER-USD'!CZ85/'02. Tỷ giá'!I$5,"-")</f>
        <v>-</v>
      </c>
      <c r="AI85" s="147">
        <f>IFERROR(SUMIFS('01. KE30'!$O:$O,'01. KE30'!$C:$C,'06. BC BH THEO CUSTOMER-USD'!$D85,'01. KE30'!$F:$F,'06. BC BH THEO CUSTOMER-USD'!$H85,'01. KE30'!$A:$A,'06. BC BH THEO CUSTOMER-USD'!U$4)/'06. BC BH THEO CUSTOMER-USD'!DA85/'02. Tỷ giá'!J$5,"-")</f>
        <v>1122.0182903088021</v>
      </c>
      <c r="AJ85" s="147" t="str">
        <f>IFERROR(SUMIFS('01. KE30'!$O:$O,'01. KE30'!$C:$C,'06. BC BH THEO CUSTOMER-USD'!$D85,'01. KE30'!$F:$F,'06. BC BH THEO CUSTOMER-USD'!$H85,'01. KE30'!$A:$A,'06. BC BH THEO CUSTOMER-USD'!V$4)/'06. BC BH THEO CUSTOMER-USD'!DB85/'02. Tỷ giá'!K$5,"-")</f>
        <v>-</v>
      </c>
      <c r="AK85" s="147" t="str">
        <f>IFERROR(SUMIFS('01. KE30'!$O:$O,'01. KE30'!$C:$C,'06. BC BH THEO CUSTOMER-USD'!$D85,'01. KE30'!$F:$F,'06. BC BH THEO CUSTOMER-USD'!$H85,'01. KE30'!$A:$A,'06. BC BH THEO CUSTOMER-USD'!W$4)/'06. BC BH THEO CUSTOMER-USD'!DC85/'02. Tỷ giá'!L$5,"-")</f>
        <v>-</v>
      </c>
      <c r="AL85" s="147" t="str">
        <f>IFERROR(SUMIFS('01. KE30'!$O:$O,'01. KE30'!$C:$C,'06. BC BH THEO CUSTOMER-USD'!$D85,'01. KE30'!$F:$F,'06. BC BH THEO CUSTOMER-USD'!$H85,'01. KE30'!$A:$A,'06. BC BH THEO CUSTOMER-USD'!X$4)/'06. BC BH THEO CUSTOMER-USD'!DD85/'02. Tỷ giá'!M$5,"-")</f>
        <v>-</v>
      </c>
      <c r="AN85" s="92">
        <f t="shared" ref="AN85" si="656">IFERROR(AVERAGE(AO85:AZ85),"-")</f>
        <v>1166.6666666666667</v>
      </c>
      <c r="AO85" s="25">
        <v>1160</v>
      </c>
      <c r="AP85" s="25">
        <v>1160</v>
      </c>
      <c r="AQ85" s="25">
        <v>1160</v>
      </c>
      <c r="AR85" s="4">
        <f>AQ85+20</f>
        <v>1180</v>
      </c>
      <c r="AS85" s="4">
        <v>1180</v>
      </c>
      <c r="AT85" s="4">
        <v>1180</v>
      </c>
      <c r="AU85" s="4">
        <v>1180</v>
      </c>
      <c r="AV85" s="4">
        <f t="shared" ref="AV85" si="657">AU85-30</f>
        <v>1150</v>
      </c>
      <c r="AW85" s="25">
        <v>1150</v>
      </c>
      <c r="AX85" s="25"/>
      <c r="AY85" s="4"/>
      <c r="AZ85" s="4"/>
      <c r="BB85" s="95">
        <f t="shared" ref="BB85" si="658">IF(L85&lt;&gt;"-",Z85-AN85,"-")</f>
        <v>-44.648376357864663</v>
      </c>
      <c r="BC85" s="95" t="str">
        <f t="shared" ref="BC85" si="659">IF(M85&lt;&gt;"-",AA85-AO85,"-")</f>
        <v>-</v>
      </c>
      <c r="BD85" s="95" t="str">
        <f t="shared" ref="BD85" si="660">IF(N85&lt;&gt;"-",AB85-AP85,"-")</f>
        <v>-</v>
      </c>
      <c r="BE85" s="95" t="str">
        <f t="shared" ref="BE85" si="661">IF(O85&lt;&gt;"-",AC85-AQ85,"-")</f>
        <v>-</v>
      </c>
      <c r="BF85" s="95" t="str">
        <f t="shared" ref="BF85" si="662">IF(P85&lt;&gt;"-",AD85-AR85,"-")</f>
        <v>-</v>
      </c>
      <c r="BG85" s="95" t="str">
        <f t="shared" ref="BG85" si="663">IF(Q85&lt;&gt;"-",AE85-AS85,"-")</f>
        <v>-</v>
      </c>
      <c r="BH85" s="95" t="str">
        <f t="shared" ref="BH85" si="664">IF(R85&lt;&gt;"-",AF85-AT85,"-")</f>
        <v>-</v>
      </c>
      <c r="BI85" s="95" t="str">
        <f t="shared" ref="BI85" si="665">IF(S85&lt;&gt;"-",AG85-AU85,"-")</f>
        <v>-</v>
      </c>
      <c r="BJ85" s="95" t="str">
        <f t="shared" ref="BJ85" si="666">IF(T85&lt;&gt;"-",AH85-AV85,"-")</f>
        <v>-</v>
      </c>
      <c r="BK85" s="95">
        <f t="shared" ref="BK85" si="667">IF(U85&lt;&gt;"-",AI85-AW85,"-")</f>
        <v>-27.981709691197921</v>
      </c>
      <c r="BL85" s="95" t="str">
        <f t="shared" ref="BL85" si="668">IF(V85&lt;&gt;"-",AJ85-AX85,"-")</f>
        <v>-</v>
      </c>
      <c r="BM85" s="95" t="str">
        <f t="shared" ref="BM85" si="669">IF(W85&lt;&gt;"-",AK85-AY85,"-")</f>
        <v>-</v>
      </c>
      <c r="BN85" s="95" t="str">
        <f t="shared" ref="BN85" si="670">IF(X85&lt;&gt;"-",AL85-AZ85,"-")</f>
        <v>-</v>
      </c>
      <c r="BP85" s="143">
        <f t="shared" ref="BP85" si="671">IFERROR(IF(BB85&lt;&gt;"-",BB85/AN85,"-"),"-")</f>
        <v>-3.8270036878169711E-2</v>
      </c>
      <c r="BQ85" s="143" t="str">
        <f t="shared" ref="BQ85" si="672">IFERROR(IF(BC85&lt;&gt;"-",BC85/AO85,"-"),"-")</f>
        <v>-</v>
      </c>
      <c r="BR85" s="143" t="str">
        <f t="shared" ref="BR85" si="673">IFERROR(IF(BD85&lt;&gt;"-",BD85/AP85,"-"),"-")</f>
        <v>-</v>
      </c>
      <c r="BS85" s="143" t="str">
        <f t="shared" ref="BS85" si="674">IFERROR(IF(BE85&lt;&gt;"-",BE85/AQ85,"-"),"-")</f>
        <v>-</v>
      </c>
      <c r="BT85" s="143" t="str">
        <f t="shared" ref="BT85" si="675">IFERROR(IF(BF85&lt;&gt;"-",BF85/AR85,"-"),"-")</f>
        <v>-</v>
      </c>
      <c r="BU85" s="143" t="str">
        <f t="shared" ref="BU85" si="676">IFERROR(IF(BG85&lt;&gt;"-",BG85/AS85,"-"),"-")</f>
        <v>-</v>
      </c>
      <c r="BV85" s="143" t="str">
        <f t="shared" ref="BV85" si="677">IFERROR(IF(BH85&lt;&gt;"-",BH85/AT85,"-"),"-")</f>
        <v>-</v>
      </c>
      <c r="BW85" s="143" t="str">
        <f t="shared" ref="BW85" si="678">IFERROR(IF(BI85&lt;&gt;"-",BI85/AU85,"-"),"-")</f>
        <v>-</v>
      </c>
      <c r="BX85" s="143" t="str">
        <f t="shared" ref="BX85" si="679">IFERROR(IF(BJ85&lt;&gt;"-",BJ85/AV85,"-"),"-")</f>
        <v>-</v>
      </c>
      <c r="BY85" s="143">
        <f t="shared" ref="BY85" si="680">IFERROR(IF(BK85&lt;&gt;"-",BK85/AW85,"-"),"-")</f>
        <v>-2.4331921470606886E-2</v>
      </c>
      <c r="BZ85" s="143" t="str">
        <f t="shared" ref="BZ85" si="681">IFERROR(IF(BL85&lt;&gt;"-",BL85/AX85,"-"),"-")</f>
        <v>-</v>
      </c>
      <c r="CA85" s="143" t="str">
        <f t="shared" ref="CA85" si="682">IFERROR(IF(BM85&lt;&gt;"-",BM85/AY85,"-"),"-")</f>
        <v>-</v>
      </c>
      <c r="CB85" s="143" t="str">
        <f t="shared" ref="CB85" si="683">IFERROR(IF(BN85&lt;&gt;"-",BN85/AZ85,"-"),"-")</f>
        <v>-</v>
      </c>
      <c r="CD85" s="112">
        <f t="shared" ref="CD85" si="684">IFERROR(AVERAGE(CE85:CP85),"-")</f>
        <v>981.77399134199118</v>
      </c>
      <c r="CE85" s="95" t="str">
        <f>IFERROR(SUMIFS('01. KE30'!$R:$R,'01. KE30'!$C:$C,'06. BC BH THEO CUSTOMER-USD'!$D85,'01. KE30'!$F:$F,'06. BC BH THEO CUSTOMER-USD'!$H85,'01. KE30'!$A:$A,'06. BC BH THEO CUSTOMER-USD'!CE$4)/CS85/'02. Tỷ giá'!B$5," -")</f>
        <v xml:space="preserve"> -</v>
      </c>
      <c r="CF85" s="95" t="str">
        <f>IFERROR(SUMIFS('01. KE30'!$R:$R,'01. KE30'!$C:$C,'06. BC BH THEO CUSTOMER-USD'!$D85,'01. KE30'!$F:$F,'06. BC BH THEO CUSTOMER-USD'!$H85,'01. KE30'!$A:$A,'06. BC BH THEO CUSTOMER-USD'!CF$4)/CT85/'02. Tỷ giá'!C$5," -")</f>
        <v xml:space="preserve"> -</v>
      </c>
      <c r="CG85" s="95" t="str">
        <f>IFERROR(SUMIFS('01. KE30'!$R:$R,'01. KE30'!$C:$C,'06. BC BH THEO CUSTOMER-USD'!$D85,'01. KE30'!$F:$F,'06. BC BH THEO CUSTOMER-USD'!$H85,'01. KE30'!$A:$A,'06. BC BH THEO CUSTOMER-USD'!CG$4)/CU85/'02. Tỷ giá'!D$5," -")</f>
        <v xml:space="preserve"> -</v>
      </c>
      <c r="CH85" s="95" t="str">
        <f>IFERROR(SUMIFS('01. KE30'!$R:$R,'01. KE30'!$C:$C,'06. BC BH THEO CUSTOMER-USD'!$D85,'01. KE30'!$F:$F,'06. BC BH THEO CUSTOMER-USD'!$H85,'01. KE30'!$A:$A,'06. BC BH THEO CUSTOMER-USD'!CH$4)/CV85/'02. Tỷ giá'!E$5," -")</f>
        <v xml:space="preserve"> -</v>
      </c>
      <c r="CI85" s="95" t="str">
        <f>IFERROR(SUMIFS('01. KE30'!$R:$R,'01. KE30'!$C:$C,'06. BC BH THEO CUSTOMER-USD'!$D85,'01. KE30'!$F:$F,'06. BC BH THEO CUSTOMER-USD'!$H85,'01. KE30'!$A:$A,'06. BC BH THEO CUSTOMER-USD'!CI$4)/CW85/'02. Tỷ giá'!F$5," -")</f>
        <v xml:space="preserve"> -</v>
      </c>
      <c r="CJ85" s="95" t="str">
        <f>IFERROR(SUMIFS('01. KE30'!$R:$R,'01. KE30'!$C:$C,'06. BC BH THEO CUSTOMER-USD'!$D85,'01. KE30'!$F:$F,'06. BC BH THEO CUSTOMER-USD'!$H85,'01. KE30'!$A:$A,'06. BC BH THEO CUSTOMER-USD'!CJ$4)/CX85/'02. Tỷ giá'!G$5," -")</f>
        <v xml:space="preserve"> -</v>
      </c>
      <c r="CK85" s="95" t="str">
        <f>IFERROR(SUMIFS('01. KE30'!$R:$R,'01. KE30'!$C:$C,'06. BC BH THEO CUSTOMER-USD'!$D85,'01. KE30'!$F:$F,'06. BC BH THEO CUSTOMER-USD'!$H85,'01. KE30'!$A:$A,'06. BC BH THEO CUSTOMER-USD'!CK$4)/CY85/'02. Tỷ giá'!H$5," -")</f>
        <v xml:space="preserve"> -</v>
      </c>
      <c r="CL85" s="95" t="str">
        <f>IFERROR(SUMIFS('01. KE30'!$R:$R,'01. KE30'!$C:$C,'06. BC BH THEO CUSTOMER-USD'!$D85,'01. KE30'!$F:$F,'06. BC BH THEO CUSTOMER-USD'!$H85,'01. KE30'!$A:$A,'06. BC BH THEO CUSTOMER-USD'!CL$4)/CZ85/'02. Tỷ giá'!I$5," -")</f>
        <v xml:space="preserve"> -</v>
      </c>
      <c r="CM85" s="95">
        <f>IFERROR(SUMIFS('01. KE30'!$R:$R,'01. KE30'!$C:$C,'06. BC BH THEO CUSTOMER-USD'!$D85,'01. KE30'!$F:$F,'06. BC BH THEO CUSTOMER-USD'!$H85,'01. KE30'!$A:$A,'06. BC BH THEO CUSTOMER-USD'!CM$4)/DA85/'02. Tỷ giá'!J$5," -")</f>
        <v>981.77399134199118</v>
      </c>
      <c r="CN85" s="95" t="str">
        <f>IFERROR(SUMIFS('01. KE30'!$R:$R,'01. KE30'!$C:$C,'06. BC BH THEO CUSTOMER-USD'!$D85,'01. KE30'!$F:$F,'06. BC BH THEO CUSTOMER-USD'!$H85,'01. KE30'!$A:$A,'06. BC BH THEO CUSTOMER-USD'!CN$4)/DB85/'02. Tỷ giá'!K$5," -")</f>
        <v xml:space="preserve"> -</v>
      </c>
      <c r="CO85" s="95" t="str">
        <f>IFERROR(SUMIFS('01. KE30'!$R:$R,'01. KE30'!$C:$C,'06. BC BH THEO CUSTOMER-USD'!$D85,'01. KE30'!$F:$F,'06. BC BH THEO CUSTOMER-USD'!$H85,'01. KE30'!$A:$A,'06. BC BH THEO CUSTOMER-USD'!CO$4)/DC85/'02. Tỷ giá'!L$5," -")</f>
        <v xml:space="preserve"> -</v>
      </c>
      <c r="CP85" s="95" t="str">
        <f>IFERROR(SUMIFS('01. KE30'!$R:$R,'01. KE30'!$C:$C,'06. BC BH THEO CUSTOMER-USD'!$D85,'01. KE30'!$F:$F,'06. BC BH THEO CUSTOMER-USD'!$H85,'01. KE30'!$A:$A,'06. BC BH THEO CUSTOMER-USD'!CP$4)/DD85/'02. Tỷ giá'!M$5," -")</f>
        <v xml:space="preserve"> -</v>
      </c>
      <c r="CR85" s="112">
        <f t="shared" ref="CR85" si="685">SUM(CS85:DD85)</f>
        <v>1.1000000000000001</v>
      </c>
      <c r="CS85" s="114">
        <f>SUMIFS('01. KE30'!$I:$I,'01. KE30'!$C:$C,'06. BC BH THEO CUSTOMER-USD'!$D85,'01. KE30'!$F:$F,'06. BC BH THEO CUSTOMER-USD'!$H85,'01. KE30'!$A:$A,'06. BC BH THEO CUSTOMER-USD'!CS$4)/1000</f>
        <v>0</v>
      </c>
      <c r="CT85" s="114">
        <f>SUMIFS('01. KE30'!$I:$I,'01. KE30'!$C:$C,'06. BC BH THEO CUSTOMER-USD'!$D85,'01. KE30'!$F:$F,'06. BC BH THEO CUSTOMER-USD'!$H85,'01. KE30'!$A:$A,'06. BC BH THEO CUSTOMER-USD'!CT$4)/1000</f>
        <v>0</v>
      </c>
      <c r="CU85" s="114">
        <f>SUMIFS('01. KE30'!$I:$I,'01. KE30'!$C:$C,'06. BC BH THEO CUSTOMER-USD'!$D85,'01. KE30'!$F:$F,'06. BC BH THEO CUSTOMER-USD'!$H85,'01. KE30'!$A:$A,'06. BC BH THEO CUSTOMER-USD'!CU$4)/1000</f>
        <v>0</v>
      </c>
      <c r="CV85" s="114">
        <f>SUMIFS('01. KE30'!$I:$I,'01. KE30'!$C:$C,'06. BC BH THEO CUSTOMER-USD'!$D85,'01. KE30'!$F:$F,'06. BC BH THEO CUSTOMER-USD'!$H85,'01. KE30'!$A:$A,'06. BC BH THEO CUSTOMER-USD'!CV$4)/1000</f>
        <v>0</v>
      </c>
      <c r="CW85" s="114">
        <f>SUMIFS('01. KE30'!$I:$I,'01. KE30'!$C:$C,'06. BC BH THEO CUSTOMER-USD'!$D85,'01. KE30'!$F:$F,'06. BC BH THEO CUSTOMER-USD'!$H85,'01. KE30'!$A:$A,'06. BC BH THEO CUSTOMER-USD'!CW$4)/1000</f>
        <v>0</v>
      </c>
      <c r="CX85" s="114">
        <f>SUMIFS('01. KE30'!$I:$I,'01. KE30'!$C:$C,'06. BC BH THEO CUSTOMER-USD'!$D85,'01. KE30'!$F:$F,'06. BC BH THEO CUSTOMER-USD'!$H85,'01. KE30'!$A:$A,'06. BC BH THEO CUSTOMER-USD'!CX$4)/1000</f>
        <v>0</v>
      </c>
      <c r="CY85" s="114">
        <f>SUMIFS('01. KE30'!$I:$I,'01. KE30'!$C:$C,'06. BC BH THEO CUSTOMER-USD'!$D85,'01. KE30'!$F:$F,'06. BC BH THEO CUSTOMER-USD'!$H85,'01. KE30'!$A:$A,'06. BC BH THEO CUSTOMER-USD'!CY$4)/1000</f>
        <v>0</v>
      </c>
      <c r="CZ85" s="114">
        <f>SUMIFS('01. KE30'!$I:$I,'01. KE30'!$C:$C,'06. BC BH THEO CUSTOMER-USD'!$D85,'01. KE30'!$F:$F,'06. BC BH THEO CUSTOMER-USD'!$H85,'01. KE30'!$A:$A,'06. BC BH THEO CUSTOMER-USD'!CZ$4)/1000</f>
        <v>0</v>
      </c>
      <c r="DA85" s="114">
        <f>SUMIFS('01. KE30'!$I:$I,'01. KE30'!$C:$C,'06. BC BH THEO CUSTOMER-USD'!$D85,'01. KE30'!$F:$F,'06. BC BH THEO CUSTOMER-USD'!$H85,'01. KE30'!$A:$A,'06. BC BH THEO CUSTOMER-USD'!DA$4)/1000</f>
        <v>1.1000000000000001</v>
      </c>
      <c r="DB85" s="114">
        <f>SUMIFS('01. KE30'!$I:$I,'01. KE30'!$C:$C,'06. BC BH THEO CUSTOMER-USD'!$D85,'01. KE30'!$F:$F,'06. BC BH THEO CUSTOMER-USD'!$H85,'01. KE30'!$A:$A,'06. BC BH THEO CUSTOMER-USD'!DB$4)/1000</f>
        <v>0</v>
      </c>
      <c r="DC85" s="114">
        <f>SUMIFS('01. KE30'!$I:$I,'01. KE30'!$C:$C,'06. BC BH THEO CUSTOMER-USD'!$D85,'01. KE30'!$F:$F,'06. BC BH THEO CUSTOMER-USD'!$H85,'01. KE30'!$A:$A,'06. BC BH THEO CUSTOMER-USD'!DC$4)/1000</f>
        <v>0</v>
      </c>
      <c r="DD85" s="114">
        <f>SUMIFS('01. KE30'!$I:$I,'01. KE30'!$C:$C,'06. BC BH THEO CUSTOMER-USD'!$D85,'01. KE30'!$F:$F,'06. BC BH THEO CUSTOMER-USD'!$H85,'01. KE30'!$A:$A,'06. BC BH THEO CUSTOMER-USD'!DD$4)/1000</f>
        <v>0</v>
      </c>
      <c r="DF85" s="112">
        <f t="shared" ref="DF85" si="686">SUM(DG85:DR85)</f>
        <v>1295.5276190476191</v>
      </c>
      <c r="DG85" s="54" t="str">
        <f t="shared" ref="DG85" si="687">IFERROR(M85*CS85,"-")</f>
        <v>-</v>
      </c>
      <c r="DH85" s="54" t="str">
        <f t="shared" ref="DH85" si="688">IFERROR(N85*CT85,"-")</f>
        <v>-</v>
      </c>
      <c r="DI85" s="54" t="str">
        <f t="shared" ref="DI85" si="689">IFERROR(O85*CU85,"-")</f>
        <v>-</v>
      </c>
      <c r="DJ85" s="54" t="str">
        <f t="shared" ref="DJ85" si="690">IFERROR(P85*CV85,"-")</f>
        <v>-</v>
      </c>
      <c r="DK85" s="54" t="str">
        <f t="shared" ref="DK85" si="691">IFERROR(Q85*CW85,"-")</f>
        <v>-</v>
      </c>
      <c r="DL85" s="54" t="str">
        <f t="shared" ref="DL85" si="692">IFERROR(R85*CX85,"-")</f>
        <v>-</v>
      </c>
      <c r="DM85" s="54" t="str">
        <f t="shared" ref="DM85" si="693">IFERROR(S85*CY85,"-")</f>
        <v>-</v>
      </c>
      <c r="DN85" s="54" t="str">
        <f t="shared" ref="DN85" si="694">IFERROR(T85*CZ85,"-")</f>
        <v>-</v>
      </c>
      <c r="DO85" s="54">
        <f t="shared" ref="DO85" si="695">IFERROR(U85*DA85,"-")</f>
        <v>1295.5276190476191</v>
      </c>
      <c r="DP85" s="54" t="str">
        <f t="shared" ref="DP85" si="696">IFERROR(V85*DB85,"-")</f>
        <v>-</v>
      </c>
      <c r="DQ85" s="54" t="str">
        <f t="shared" ref="DQ85" si="697">IFERROR(W85*DC85,"-")</f>
        <v>-</v>
      </c>
      <c r="DR85" s="54" t="str">
        <f t="shared" ref="DR85" si="698">IFERROR(X85*DD85,"-")</f>
        <v>-</v>
      </c>
      <c r="DT85" s="112">
        <f t="shared" ref="DT85" si="699">SUM(DU85:EF85)</f>
        <v>154.26872886349202</v>
      </c>
      <c r="DU85" s="114">
        <f>IFERROR(SUMIFS('01. KE30'!$X:$X,'01. KE30'!$C:$C,'06. BC BH THEO CUSTOMER-USD'!$D85,'01. KE30'!$F:$F,'06. BC BH THEO CUSTOMER-USD'!$H85,'01. KE30'!$A:$A,'06. BC BH THEO CUSTOMER-USD'!DU$4)-SUMIFS('01. KE30'!$AA:$AA,'01. KE30'!$C:$C,'06. BC BH THEO CUSTOMER-USD'!$D85,'01. KE30'!$F:$F,'06. BC BH THEO CUSTOMER-USD'!$H85,'01. KE30'!$A:$A,'06. BC BH THEO CUSTOMER-USD'!DU$4),"-")</f>
        <v>0</v>
      </c>
      <c r="DV85" s="114">
        <f>IFERROR(SUMIFS('01. KE30'!$X:$X,'01. KE30'!$C:$C,'06. BC BH THEO CUSTOMER-USD'!$D85,'01. KE30'!$F:$F,'06. BC BH THEO CUSTOMER-USD'!$H85,'01. KE30'!$A:$A,'06. BC BH THEO CUSTOMER-USD'!DV$4)-SUMIFS('01. KE30'!$AA:$AA,'01. KE30'!$C:$C,'06. BC BH THEO CUSTOMER-USD'!$D85,'01. KE30'!$F:$F,'06. BC BH THEO CUSTOMER-USD'!$H85,'01. KE30'!$A:$A,'06. BC BH THEO CUSTOMER-USD'!DV$4),"-")</f>
        <v>0</v>
      </c>
      <c r="DW85" s="114">
        <f>IFERROR(SUMIFS('01. KE30'!$X:$X,'01. KE30'!$C:$C,'06. BC BH THEO CUSTOMER-USD'!$D85,'01. KE30'!$F:$F,'06. BC BH THEO CUSTOMER-USD'!$H85,'01. KE30'!$A:$A,'06. BC BH THEO CUSTOMER-USD'!DW$4)-SUMIFS('01. KE30'!$AA:$AA,'01. KE30'!$C:$C,'06. BC BH THEO CUSTOMER-USD'!$D85,'01. KE30'!$F:$F,'06. BC BH THEO CUSTOMER-USD'!$H85,'01. KE30'!$A:$A,'06. BC BH THEO CUSTOMER-USD'!DW$4),"-")</f>
        <v>0</v>
      </c>
      <c r="DX85" s="114">
        <f>IFERROR(SUMIFS('01. KE30'!$X:$X,'01. KE30'!$C:$C,'06. BC BH THEO CUSTOMER-USD'!$D85,'01. KE30'!$F:$F,'06. BC BH THEO CUSTOMER-USD'!$H85,'01. KE30'!$A:$A,'06. BC BH THEO CUSTOMER-USD'!DX$4)-SUMIFS('01. KE30'!$AA:$AA,'01. KE30'!$C:$C,'06. BC BH THEO CUSTOMER-USD'!$D85,'01. KE30'!$F:$F,'06. BC BH THEO CUSTOMER-USD'!$H85,'01. KE30'!$A:$A,'06. BC BH THEO CUSTOMER-USD'!DX$4),"-")</f>
        <v>0</v>
      </c>
      <c r="DY85" s="114">
        <f>IFERROR(SUMIFS('01. KE30'!$X:$X,'01. KE30'!$C:$C,'06. BC BH THEO CUSTOMER-USD'!$D85,'01. KE30'!$F:$F,'06. BC BH THEO CUSTOMER-USD'!$H85,'01. KE30'!$A:$A,'06. BC BH THEO CUSTOMER-USD'!DY$4)-SUMIFS('01. KE30'!$AA:$AA,'01. KE30'!$C:$C,'06. BC BH THEO CUSTOMER-USD'!$D85,'01. KE30'!$F:$F,'06. BC BH THEO CUSTOMER-USD'!$H85,'01. KE30'!$A:$A,'06. BC BH THEO CUSTOMER-USD'!DY$4),"-")</f>
        <v>0</v>
      </c>
      <c r="DZ85" s="114">
        <f>IFERROR(SUMIFS('01. KE30'!$X:$X,'01. KE30'!$C:$C,'06. BC BH THEO CUSTOMER-USD'!$D85,'01. KE30'!$F:$F,'06. BC BH THEO CUSTOMER-USD'!$H85,'01. KE30'!$A:$A,'06. BC BH THEO CUSTOMER-USD'!DZ$4)-SUMIFS('01. KE30'!$AA:$AA,'01. KE30'!$C:$C,'06. BC BH THEO CUSTOMER-USD'!$D85,'01. KE30'!$F:$F,'06. BC BH THEO CUSTOMER-USD'!$H85,'01. KE30'!$A:$A,'06. BC BH THEO CUSTOMER-USD'!DZ$4),"-")</f>
        <v>0</v>
      </c>
      <c r="EA85" s="114">
        <f>IFERROR(SUMIFS('01. KE30'!$X:$X,'01. KE30'!$C:$C,'06. BC BH THEO CUSTOMER-USD'!$D85,'01. KE30'!$F:$F,'06. BC BH THEO CUSTOMER-USD'!$H85,'01. KE30'!$A:$A,'06. BC BH THEO CUSTOMER-USD'!EA$4)-SUMIFS('01. KE30'!$AA:$AA,'01. KE30'!$C:$C,'06. BC BH THEO CUSTOMER-USD'!$D85,'01. KE30'!$F:$F,'06. BC BH THEO CUSTOMER-USD'!$H85,'01. KE30'!$A:$A,'06. BC BH THEO CUSTOMER-USD'!EA$4),"-")</f>
        <v>0</v>
      </c>
      <c r="EB85" s="114">
        <f>IFERROR(SUMIFS('01. KE30'!$X:$X,'01. KE30'!$C:$C,'06. BC BH THEO CUSTOMER-USD'!$D85,'01. KE30'!$F:$F,'06. BC BH THEO CUSTOMER-USD'!$H85,'01. KE30'!$A:$A,'06. BC BH THEO CUSTOMER-USD'!EB$4)-SUMIFS('01. KE30'!$AA:$AA,'01. KE30'!$C:$C,'06. BC BH THEO CUSTOMER-USD'!$D85,'01. KE30'!$F:$F,'06. BC BH THEO CUSTOMER-USD'!$H85,'01. KE30'!$A:$A,'06. BC BH THEO CUSTOMER-USD'!EB$4),"-")</f>
        <v>0</v>
      </c>
      <c r="EC85" s="114">
        <f>IFERROR(SUMIFS('01. KE30'!$X:$X,'01. KE30'!$C:$C,'06. BC BH THEO CUSTOMER-USD'!$D85,'01. KE30'!$F:$F,'06. BC BH THEO CUSTOMER-USD'!$H85,'01. KE30'!$A:$A,'06. BC BH THEO CUSTOMER-USD'!EC$4)-SUMIFS('01. KE30'!$AA:$AA,'01. KE30'!$C:$C,'06. BC BH THEO CUSTOMER-USD'!$D85,'01. KE30'!$F:$F,'06. BC BH THEO CUSTOMER-USD'!$H85,'01. KE30'!$A:$A,'06. BC BH THEO CUSTOMER-USD'!EC$4),"-")</f>
        <v>154.26872886349202</v>
      </c>
      <c r="ED85" s="114">
        <f>IFERROR(SUMIFS('01. KE30'!$X:$X,'01. KE30'!$C:$C,'06. BC BH THEO CUSTOMER-USD'!$D85,'01. KE30'!$F:$F,'06. BC BH THEO CUSTOMER-USD'!$H85,'01. KE30'!$A:$A,'06. BC BH THEO CUSTOMER-USD'!ED$4)-SUMIFS('01. KE30'!$AA:$AA,'01. KE30'!$C:$C,'06. BC BH THEO CUSTOMER-USD'!$D85,'01. KE30'!$F:$F,'06. BC BH THEO CUSTOMER-USD'!$H85,'01. KE30'!$A:$A,'06. BC BH THEO CUSTOMER-USD'!ED$4),"-")</f>
        <v>0</v>
      </c>
      <c r="EE85" s="114">
        <f>IFERROR(SUMIFS('01. KE30'!$X:$X,'01. KE30'!$C:$C,'06. BC BH THEO CUSTOMER-USD'!$D85,'01. KE30'!$F:$F,'06. BC BH THEO CUSTOMER-USD'!$H85,'01. KE30'!$A:$A,'06. BC BH THEO CUSTOMER-USD'!EE$4)-SUMIFS('01. KE30'!$AA:$AA,'01. KE30'!$C:$C,'06. BC BH THEO CUSTOMER-USD'!$D85,'01. KE30'!$F:$F,'06. BC BH THEO CUSTOMER-USD'!$H85,'01. KE30'!$A:$A,'06. BC BH THEO CUSTOMER-USD'!EE$4),"-")</f>
        <v>0</v>
      </c>
      <c r="EF85" s="114">
        <f>IFERROR(SUMIFS('01. KE30'!$X:$X,'01. KE30'!$C:$C,'06. BC BH THEO CUSTOMER-USD'!$D85,'01. KE30'!$F:$F,'06. BC BH THEO CUSTOMER-USD'!$H85,'01. KE30'!$A:$A,'06. BC BH THEO CUSTOMER-USD'!EF$4)-SUMIFS('01. KE30'!$AA:$AA,'01. KE30'!$C:$C,'06. BC BH THEO CUSTOMER-USD'!$D85,'01. KE30'!$F:$F,'06. BC BH THEO CUSTOMER-USD'!$H85,'01. KE30'!$A:$A,'06. BC BH THEO CUSTOMER-USD'!EF$4),"-")</f>
        <v>0</v>
      </c>
      <c r="EH85" s="571">
        <f t="shared" ref="EH85" si="700">IFERROR(DT85/DF85,"-")</f>
        <v>0.11907791589723078</v>
      </c>
      <c r="EI85" s="572" t="str">
        <f t="shared" ref="EI85" si="701">IFERROR(DU85/DG85,"-")</f>
        <v>-</v>
      </c>
      <c r="EJ85" s="572" t="str">
        <f t="shared" ref="EJ85" si="702">IFERROR(DV85/DH85,"-")</f>
        <v>-</v>
      </c>
      <c r="EK85" s="572" t="str">
        <f t="shared" ref="EK85" si="703">IFERROR(DW85/DI85,"-")</f>
        <v>-</v>
      </c>
      <c r="EL85" s="572" t="str">
        <f t="shared" ref="EL85" si="704">IFERROR(DX85/DJ85,"-")</f>
        <v>-</v>
      </c>
      <c r="EM85" s="572" t="str">
        <f t="shared" ref="EM85" si="705">IFERROR(DY85/DK85,"-")</f>
        <v>-</v>
      </c>
      <c r="EN85" s="572" t="str">
        <f t="shared" ref="EN85" si="706">IFERROR(DZ85/DL85,"-")</f>
        <v>-</v>
      </c>
      <c r="EO85" s="572" t="str">
        <f t="shared" ref="EO85" si="707">IFERROR(EA85/DM85,"-")</f>
        <v>-</v>
      </c>
      <c r="EP85" s="572" t="str">
        <f t="shared" ref="EP85" si="708">IFERROR(EB85/DN85,"-")</f>
        <v>-</v>
      </c>
      <c r="EQ85" s="572">
        <f t="shared" ref="EQ85" si="709">IFERROR(EC85/DO85,"-")</f>
        <v>0.11907791589723078</v>
      </c>
      <c r="ER85" s="572" t="str">
        <f t="shared" ref="ER85" si="710">IFERROR(ED85/DP85,"-")</f>
        <v>-</v>
      </c>
      <c r="ES85" s="572" t="str">
        <f t="shared" ref="ES85" si="711">IFERROR(EE85/DQ85,"-")</f>
        <v>-</v>
      </c>
      <c r="ET85" s="572" t="str">
        <f t="shared" ref="ET85" si="712">IFERROR(EF85/DR85,"-")</f>
        <v>-</v>
      </c>
    </row>
    <row r="86" spans="1:150" ht="15.5" hidden="1" outlineLevel="1" x14ac:dyDescent="0.35">
      <c r="A86" s="27">
        <f>A84+1</f>
        <v>72</v>
      </c>
      <c r="B86" s="27" t="s">
        <v>283</v>
      </c>
      <c r="C86" s="442" t="s">
        <v>489</v>
      </c>
      <c r="D86" s="29" t="s">
        <v>104</v>
      </c>
      <c r="E86" s="12" t="s">
        <v>103</v>
      </c>
      <c r="F86" s="12" t="s">
        <v>245</v>
      </c>
      <c r="G86" s="12" t="str">
        <f>_xlfn.XLOOKUP(F86,'Quy đổi'!$G$5:$G$32,'Quy đổi'!$H$5:$H$32,0)</f>
        <v>Nội địa</v>
      </c>
      <c r="H86" s="76" t="s">
        <v>102</v>
      </c>
      <c r="I86" s="7" t="s">
        <v>101</v>
      </c>
      <c r="J86" s="13" t="s">
        <v>22</v>
      </c>
      <c r="K86" s="11"/>
      <c r="L86" s="92">
        <f t="shared" si="633"/>
        <v>1093.2769880906644</v>
      </c>
      <c r="M86" s="106" t="str">
        <f>IFERROR(SUMIFS('01. KE30'!$K:$K,'01. KE30'!$C:$C,'06. BC BH THEO CUSTOMER-USD'!$D86,'01. KE30'!$F:$F,'06. BC BH THEO CUSTOMER-USD'!$H86,'01. KE30'!$A:$A,'06. BC BH THEO CUSTOMER-USD'!M$4)/'06. BC BH THEO CUSTOMER-USD'!CS86/'02. Tỷ giá'!B$5,"-")</f>
        <v>-</v>
      </c>
      <c r="N86" s="106" t="str">
        <f>IFERROR(SUMIFS('01. KE30'!$K:$K,'01. KE30'!$C:$C,'06. BC BH THEO CUSTOMER-USD'!$D86,'01. KE30'!$F:$F,'06. BC BH THEO CUSTOMER-USD'!$H86,'01. KE30'!$A:$A,'06. BC BH THEO CUSTOMER-USD'!N$4)/'06. BC BH THEO CUSTOMER-USD'!CT86/'02. Tỷ giá'!C$5,"-")</f>
        <v>-</v>
      </c>
      <c r="O86" s="106" t="str">
        <f>IFERROR(SUMIFS('01. KE30'!$K:$K,'01. KE30'!$C:$C,'06. BC BH THEO CUSTOMER-USD'!$D86,'01. KE30'!$F:$F,'06. BC BH THEO CUSTOMER-USD'!$H86,'01. KE30'!$A:$A,'06. BC BH THEO CUSTOMER-USD'!O$4)/'06. BC BH THEO CUSTOMER-USD'!CU86/'02. Tỷ giá'!D$5,"-")</f>
        <v>-</v>
      </c>
      <c r="P86" s="106" t="str">
        <f>IFERROR(SUMIFS('01. KE30'!$K:$K,'01. KE30'!$C:$C,'06. BC BH THEO CUSTOMER-USD'!$D86,'01. KE30'!$F:$F,'06. BC BH THEO CUSTOMER-USD'!$H86,'01. KE30'!$A:$A,'06. BC BH THEO CUSTOMER-USD'!P$4)/'06. BC BH THEO CUSTOMER-USD'!CV86/'02. Tỷ giá'!E$5,"-")</f>
        <v>-</v>
      </c>
      <c r="Q86" s="106" t="str">
        <f>IFERROR(SUMIFS('01. KE30'!$K:$K,'01. KE30'!$C:$C,'06. BC BH THEO CUSTOMER-USD'!$D86,'01. KE30'!$F:$F,'06. BC BH THEO CUSTOMER-USD'!$H86,'01. KE30'!$A:$A,'06. BC BH THEO CUSTOMER-USD'!Q$4)/'06. BC BH THEO CUSTOMER-USD'!CW86/'02. Tỷ giá'!F$5,"-")</f>
        <v>-</v>
      </c>
      <c r="R86" s="106" t="str">
        <f>IFERROR(SUMIFS('01. KE30'!$K:$K,'01. KE30'!$C:$C,'06. BC BH THEO CUSTOMER-USD'!$D86,'01. KE30'!$F:$F,'06. BC BH THEO CUSTOMER-USD'!$H86,'01. KE30'!$A:$A,'06. BC BH THEO CUSTOMER-USD'!R$4)/'06. BC BH THEO CUSTOMER-USD'!CX86/'02. Tỷ giá'!G$5,"-")</f>
        <v>-</v>
      </c>
      <c r="S86" s="106">
        <f>IFERROR(SUMIFS('01. KE30'!$K:$K,'01. KE30'!$C:$C,'06. BC BH THEO CUSTOMER-USD'!$D86,'01. KE30'!$F:$F,'06. BC BH THEO CUSTOMER-USD'!$H86,'01. KE30'!$A:$A,'06. BC BH THEO CUSTOMER-USD'!S$4)/'06. BC BH THEO CUSTOMER-USD'!CY86/'02. Tỷ giá'!H$5,"-")</f>
        <v>1093.2769880906644</v>
      </c>
      <c r="T86" s="106" t="str">
        <f>IFERROR(SUMIFS('01. KE30'!$K:$K,'01. KE30'!$C:$C,'06. BC BH THEO CUSTOMER-USD'!$D86,'01. KE30'!$F:$F,'06. BC BH THEO CUSTOMER-USD'!$H86,'01. KE30'!$A:$A,'06. BC BH THEO CUSTOMER-USD'!T$4)/'06. BC BH THEO CUSTOMER-USD'!CZ86/'02. Tỷ giá'!I$5,"-")</f>
        <v>-</v>
      </c>
      <c r="U86" s="106" t="str">
        <f>IFERROR(SUMIFS('01. KE30'!$K:$K,'01. KE30'!$C:$C,'06. BC BH THEO CUSTOMER-USD'!$D86,'01. KE30'!$F:$F,'06. BC BH THEO CUSTOMER-USD'!$H86,'01. KE30'!$A:$A,'06. BC BH THEO CUSTOMER-USD'!U$4)/'06. BC BH THEO CUSTOMER-USD'!DA86/'02. Tỷ giá'!J$5,"-")</f>
        <v>-</v>
      </c>
      <c r="V86" s="106" t="str">
        <f>IFERROR(SUMIFS('01. KE30'!$K:$K,'01. KE30'!$C:$C,'06. BC BH THEO CUSTOMER-USD'!$D86,'01. KE30'!$F:$F,'06. BC BH THEO CUSTOMER-USD'!$H86,'01. KE30'!$A:$A,'06. BC BH THEO CUSTOMER-USD'!V$4)/'06. BC BH THEO CUSTOMER-USD'!DB86/'02. Tỷ giá'!K$5,"-")</f>
        <v>-</v>
      </c>
      <c r="W86" s="106" t="str">
        <f>IFERROR(SUMIFS('01. KE30'!$K:$K,'01. KE30'!$C:$C,'06. BC BH THEO CUSTOMER-USD'!$D86,'01. KE30'!$F:$F,'06. BC BH THEO CUSTOMER-USD'!$H86,'01. KE30'!$A:$A,'06. BC BH THEO CUSTOMER-USD'!W$4)/'06. BC BH THEO CUSTOMER-USD'!DC86/'02. Tỷ giá'!L$5,"-")</f>
        <v>-</v>
      </c>
      <c r="X86" s="106" t="str">
        <f>IFERROR(SUMIFS('01. KE30'!$K:$K,'01. KE30'!$C:$C,'06. BC BH THEO CUSTOMER-USD'!$D86,'01. KE30'!$F:$F,'06. BC BH THEO CUSTOMER-USD'!$H86,'01. KE30'!$A:$A,'06. BC BH THEO CUSTOMER-USD'!X$4)/'06. BC BH THEO CUSTOMER-USD'!DD86/'02. Tỷ giá'!M$5,"-")</f>
        <v>-</v>
      </c>
      <c r="Z86" s="92">
        <f t="shared" si="634"/>
        <v>1084.8252016903571</v>
      </c>
      <c r="AA86" s="147" t="str">
        <f>IFERROR(SUMIFS('01. KE30'!$O:$O,'01. KE30'!$C:$C,'06. BC BH THEO CUSTOMER-USD'!$D86,'01. KE30'!$F:$F,'06. BC BH THEO CUSTOMER-USD'!$H86,'01. KE30'!$A:$A,'06. BC BH THEO CUSTOMER-USD'!M$4)/'06. BC BH THEO CUSTOMER-USD'!CS86/'02. Tỷ giá'!B$5,"-")</f>
        <v>-</v>
      </c>
      <c r="AB86" s="147" t="str">
        <f>IFERROR(SUMIFS('01. KE30'!$O:$O,'01. KE30'!$C:$C,'06. BC BH THEO CUSTOMER-USD'!$D86,'01. KE30'!$F:$F,'06. BC BH THEO CUSTOMER-USD'!$H86,'01. KE30'!$A:$A,'06. BC BH THEO CUSTOMER-USD'!N$4)/'06. BC BH THEO CUSTOMER-USD'!CT86/'02. Tỷ giá'!C$5,"-")</f>
        <v>-</v>
      </c>
      <c r="AC86" s="147" t="str">
        <f>IFERROR(SUMIFS('01. KE30'!$O:$O,'01. KE30'!$C:$C,'06. BC BH THEO CUSTOMER-USD'!$D86,'01. KE30'!$F:$F,'06. BC BH THEO CUSTOMER-USD'!$H86,'01. KE30'!$A:$A,'06. BC BH THEO CUSTOMER-USD'!O$4)/'06. BC BH THEO CUSTOMER-USD'!CU86/'02. Tỷ giá'!D$5,"-")</f>
        <v>-</v>
      </c>
      <c r="AD86" s="147" t="str">
        <f>IFERROR(SUMIFS('01. KE30'!$O:$O,'01. KE30'!$C:$C,'06. BC BH THEO CUSTOMER-USD'!$D86,'01. KE30'!$F:$F,'06. BC BH THEO CUSTOMER-USD'!$H86,'01. KE30'!$A:$A,'06. BC BH THEO CUSTOMER-USD'!P$4)/'06. BC BH THEO CUSTOMER-USD'!CV86/'02. Tỷ giá'!E$5,"-")</f>
        <v>-</v>
      </c>
      <c r="AE86" s="147" t="str">
        <f>IFERROR(SUMIFS('01. KE30'!$O:$O,'01. KE30'!$C:$C,'06. BC BH THEO CUSTOMER-USD'!$D86,'01. KE30'!$F:$F,'06. BC BH THEO CUSTOMER-USD'!$H86,'01. KE30'!$A:$A,'06. BC BH THEO CUSTOMER-USD'!Q$4)/'06. BC BH THEO CUSTOMER-USD'!CW86/'02. Tỷ giá'!F$5,"-")</f>
        <v>-</v>
      </c>
      <c r="AF86" s="147" t="str">
        <f>IFERROR(SUMIFS('01. KE30'!$O:$O,'01. KE30'!$C:$C,'06. BC BH THEO CUSTOMER-USD'!$D86,'01. KE30'!$F:$F,'06. BC BH THEO CUSTOMER-USD'!$H86,'01. KE30'!$A:$A,'06. BC BH THEO CUSTOMER-USD'!R$4)/'06. BC BH THEO CUSTOMER-USD'!CX86/'02. Tỷ giá'!G$5,"-")</f>
        <v>-</v>
      </c>
      <c r="AG86" s="147">
        <f>IFERROR(SUMIFS('01. KE30'!$O:$O,'01. KE30'!$C:$C,'06. BC BH THEO CUSTOMER-USD'!$D86,'01. KE30'!$F:$F,'06. BC BH THEO CUSTOMER-USD'!$H86,'01. KE30'!$A:$A,'06. BC BH THEO CUSTOMER-USD'!S$4)/'06. BC BH THEO CUSTOMER-USD'!CY86/'02. Tỷ giá'!H$5,"-")</f>
        <v>1084.8252016903571</v>
      </c>
      <c r="AH86" s="147" t="str">
        <f>IFERROR(SUMIFS('01. KE30'!$O:$O,'01. KE30'!$C:$C,'06. BC BH THEO CUSTOMER-USD'!$D86,'01. KE30'!$F:$F,'06. BC BH THEO CUSTOMER-USD'!$H86,'01. KE30'!$A:$A,'06. BC BH THEO CUSTOMER-USD'!T$4)/'06. BC BH THEO CUSTOMER-USD'!CZ86/'02. Tỷ giá'!I$5,"-")</f>
        <v>-</v>
      </c>
      <c r="AI86" s="147" t="str">
        <f>IFERROR(SUMIFS('01. KE30'!$O:$O,'01. KE30'!$C:$C,'06. BC BH THEO CUSTOMER-USD'!$D86,'01. KE30'!$F:$F,'06. BC BH THEO CUSTOMER-USD'!$H86,'01. KE30'!$A:$A,'06. BC BH THEO CUSTOMER-USD'!U$4)/'06. BC BH THEO CUSTOMER-USD'!DA86/'02. Tỷ giá'!J$5,"-")</f>
        <v>-</v>
      </c>
      <c r="AJ86" s="147" t="str">
        <f>IFERROR(SUMIFS('01. KE30'!$O:$O,'01. KE30'!$C:$C,'06. BC BH THEO CUSTOMER-USD'!$D86,'01. KE30'!$F:$F,'06. BC BH THEO CUSTOMER-USD'!$H86,'01. KE30'!$A:$A,'06. BC BH THEO CUSTOMER-USD'!V$4)/'06. BC BH THEO CUSTOMER-USD'!DB86/'02. Tỷ giá'!K$5,"-")</f>
        <v>-</v>
      </c>
      <c r="AK86" s="147" t="str">
        <f>IFERROR(SUMIFS('01. KE30'!$O:$O,'01. KE30'!$C:$C,'06. BC BH THEO CUSTOMER-USD'!$D86,'01. KE30'!$F:$F,'06. BC BH THEO CUSTOMER-USD'!$H86,'01. KE30'!$A:$A,'06. BC BH THEO CUSTOMER-USD'!W$4)/'06. BC BH THEO CUSTOMER-USD'!DC86/'02. Tỷ giá'!L$5,"-")</f>
        <v>-</v>
      </c>
      <c r="AL86" s="147" t="str">
        <f>IFERROR(SUMIFS('01. KE30'!$O:$O,'01. KE30'!$C:$C,'06. BC BH THEO CUSTOMER-USD'!$D86,'01. KE30'!$F:$F,'06. BC BH THEO CUSTOMER-USD'!$H86,'01. KE30'!$A:$A,'06. BC BH THEO CUSTOMER-USD'!X$4)/'06. BC BH THEO CUSTOMER-USD'!DD86/'02. Tỷ giá'!M$5,"-")</f>
        <v>-</v>
      </c>
      <c r="AN86" s="92">
        <f t="shared" si="635"/>
        <v>1166.6666666666667</v>
      </c>
      <c r="AO86" s="25">
        <v>1160</v>
      </c>
      <c r="AP86" s="25">
        <v>1160</v>
      </c>
      <c r="AQ86" s="25">
        <v>1160</v>
      </c>
      <c r="AR86" s="4">
        <f t="shared" si="636"/>
        <v>1180</v>
      </c>
      <c r="AS86" s="4">
        <v>1180</v>
      </c>
      <c r="AT86" s="4">
        <v>1180</v>
      </c>
      <c r="AU86" s="4">
        <v>1180</v>
      </c>
      <c r="AV86" s="4">
        <f t="shared" si="205"/>
        <v>1150</v>
      </c>
      <c r="AW86" s="25">
        <v>1150</v>
      </c>
      <c r="AX86" s="25"/>
      <c r="AY86" s="4"/>
      <c r="AZ86" s="4"/>
      <c r="BB86" s="95">
        <f t="shared" si="637"/>
        <v>-81.84146497630968</v>
      </c>
      <c r="BC86" s="95" t="str">
        <f t="shared" si="638"/>
        <v>-</v>
      </c>
      <c r="BD86" s="95" t="str">
        <f t="shared" si="516"/>
        <v>-</v>
      </c>
      <c r="BE86" s="95" t="str">
        <f t="shared" si="516"/>
        <v>-</v>
      </c>
      <c r="BF86" s="95" t="str">
        <f t="shared" si="516"/>
        <v>-</v>
      </c>
      <c r="BG86" s="95" t="str">
        <f t="shared" si="516"/>
        <v>-</v>
      </c>
      <c r="BH86" s="95" t="str">
        <f t="shared" si="516"/>
        <v>-</v>
      </c>
      <c r="BI86" s="95">
        <f t="shared" si="516"/>
        <v>-95.174798309642938</v>
      </c>
      <c r="BJ86" s="95" t="str">
        <f t="shared" si="516"/>
        <v>-</v>
      </c>
      <c r="BK86" s="95" t="str">
        <f t="shared" si="516"/>
        <v>-</v>
      </c>
      <c r="BL86" s="95" t="str">
        <f t="shared" si="516"/>
        <v>-</v>
      </c>
      <c r="BM86" s="95" t="str">
        <f t="shared" si="516"/>
        <v>-</v>
      </c>
      <c r="BN86" s="95" t="str">
        <f t="shared" si="516"/>
        <v>-</v>
      </c>
      <c r="BP86" s="143">
        <f t="shared" si="639"/>
        <v>-7.0149827122551148E-2</v>
      </c>
      <c r="BQ86" s="143" t="str">
        <f t="shared" si="517"/>
        <v>-</v>
      </c>
      <c r="BR86" s="143" t="str">
        <f t="shared" si="518"/>
        <v>-</v>
      </c>
      <c r="BS86" s="143" t="str">
        <f t="shared" si="519"/>
        <v>-</v>
      </c>
      <c r="BT86" s="143" t="str">
        <f t="shared" si="520"/>
        <v>-</v>
      </c>
      <c r="BU86" s="143" t="str">
        <f t="shared" si="521"/>
        <v>-</v>
      </c>
      <c r="BV86" s="143" t="str">
        <f t="shared" si="522"/>
        <v>-</v>
      </c>
      <c r="BW86" s="143">
        <f t="shared" si="523"/>
        <v>-8.0656608736985547E-2</v>
      </c>
      <c r="BX86" s="143" t="str">
        <f t="shared" si="524"/>
        <v>-</v>
      </c>
      <c r="BY86" s="143" t="str">
        <f t="shared" si="525"/>
        <v>-</v>
      </c>
      <c r="BZ86" s="143" t="str">
        <f t="shared" si="526"/>
        <v>-</v>
      </c>
      <c r="CA86" s="143" t="str">
        <f t="shared" si="527"/>
        <v>-</v>
      </c>
      <c r="CB86" s="143" t="str">
        <f t="shared" si="528"/>
        <v>-</v>
      </c>
      <c r="CD86" s="112">
        <f t="shared" si="529"/>
        <v>968.0508032634134</v>
      </c>
      <c r="CE86" s="95" t="str">
        <f>IFERROR(SUMIFS('01. KE30'!$R:$R,'01. KE30'!$C:$C,'06. BC BH THEO CUSTOMER-USD'!$D86,'01. KE30'!$F:$F,'06. BC BH THEO CUSTOMER-USD'!$H86,'01. KE30'!$A:$A,'06. BC BH THEO CUSTOMER-USD'!CE$4)/CS86/'02. Tỷ giá'!B$5," -")</f>
        <v xml:space="preserve"> -</v>
      </c>
      <c r="CF86" s="95" t="str">
        <f>IFERROR(SUMIFS('01. KE30'!$R:$R,'01. KE30'!$C:$C,'06. BC BH THEO CUSTOMER-USD'!$D86,'01. KE30'!$F:$F,'06. BC BH THEO CUSTOMER-USD'!$H86,'01. KE30'!$A:$A,'06. BC BH THEO CUSTOMER-USD'!CF$4)/CT86/'02. Tỷ giá'!C$5," -")</f>
        <v xml:space="preserve"> -</v>
      </c>
      <c r="CG86" s="95" t="str">
        <f>IFERROR(SUMIFS('01. KE30'!$R:$R,'01. KE30'!$C:$C,'06. BC BH THEO CUSTOMER-USD'!$D86,'01. KE30'!$F:$F,'06. BC BH THEO CUSTOMER-USD'!$H86,'01. KE30'!$A:$A,'06. BC BH THEO CUSTOMER-USD'!CG$4)/CU86/'02. Tỷ giá'!D$5," -")</f>
        <v xml:space="preserve"> -</v>
      </c>
      <c r="CH86" s="95" t="str">
        <f>IFERROR(SUMIFS('01. KE30'!$R:$R,'01. KE30'!$C:$C,'06. BC BH THEO CUSTOMER-USD'!$D86,'01. KE30'!$F:$F,'06. BC BH THEO CUSTOMER-USD'!$H86,'01. KE30'!$A:$A,'06. BC BH THEO CUSTOMER-USD'!CH$4)/CV86/'02. Tỷ giá'!E$5," -")</f>
        <v xml:space="preserve"> -</v>
      </c>
      <c r="CI86" s="95" t="str">
        <f>IFERROR(SUMIFS('01. KE30'!$R:$R,'01. KE30'!$C:$C,'06. BC BH THEO CUSTOMER-USD'!$D86,'01. KE30'!$F:$F,'06. BC BH THEO CUSTOMER-USD'!$H86,'01. KE30'!$A:$A,'06. BC BH THEO CUSTOMER-USD'!CI$4)/CW86/'02. Tỷ giá'!F$5," -")</f>
        <v xml:space="preserve"> -</v>
      </c>
      <c r="CJ86" s="95" t="str">
        <f>IFERROR(SUMIFS('01. KE30'!$R:$R,'01. KE30'!$C:$C,'06. BC BH THEO CUSTOMER-USD'!$D86,'01. KE30'!$F:$F,'06. BC BH THEO CUSTOMER-USD'!$H86,'01. KE30'!$A:$A,'06. BC BH THEO CUSTOMER-USD'!CJ$4)/CX86/'02. Tỷ giá'!G$5," -")</f>
        <v xml:space="preserve"> -</v>
      </c>
      <c r="CK86" s="95">
        <f>IFERROR(SUMIFS('01. KE30'!$R:$R,'01. KE30'!$C:$C,'06. BC BH THEO CUSTOMER-USD'!$D86,'01. KE30'!$F:$F,'06. BC BH THEO CUSTOMER-USD'!$H86,'01. KE30'!$A:$A,'06. BC BH THEO CUSTOMER-USD'!CK$4)/CY86/'02. Tỷ giá'!H$5," -")</f>
        <v>968.0508032634134</v>
      </c>
      <c r="CL86" s="95" t="str">
        <f>IFERROR(SUMIFS('01. KE30'!$R:$R,'01. KE30'!$C:$C,'06. BC BH THEO CUSTOMER-USD'!$D86,'01. KE30'!$F:$F,'06. BC BH THEO CUSTOMER-USD'!$H86,'01. KE30'!$A:$A,'06. BC BH THEO CUSTOMER-USD'!CL$4)/CZ86/'02. Tỷ giá'!I$5," -")</f>
        <v xml:space="preserve"> -</v>
      </c>
      <c r="CM86" s="95" t="str">
        <f>IFERROR(SUMIFS('01. KE30'!$R:$R,'01. KE30'!$C:$C,'06. BC BH THEO CUSTOMER-USD'!$D86,'01. KE30'!$F:$F,'06. BC BH THEO CUSTOMER-USD'!$H86,'01. KE30'!$A:$A,'06. BC BH THEO CUSTOMER-USD'!CM$4)/DA86/'02. Tỷ giá'!J$5," -")</f>
        <v xml:space="preserve"> -</v>
      </c>
      <c r="CN86" s="95" t="str">
        <f>IFERROR(SUMIFS('01. KE30'!$R:$R,'01. KE30'!$C:$C,'06. BC BH THEO CUSTOMER-USD'!$D86,'01. KE30'!$F:$F,'06. BC BH THEO CUSTOMER-USD'!$H86,'01. KE30'!$A:$A,'06. BC BH THEO CUSTOMER-USD'!CN$4)/DB86/'02. Tỷ giá'!K$5," -")</f>
        <v xml:space="preserve"> -</v>
      </c>
      <c r="CO86" s="95" t="str">
        <f>IFERROR(SUMIFS('01. KE30'!$R:$R,'01. KE30'!$C:$C,'06. BC BH THEO CUSTOMER-USD'!$D86,'01. KE30'!$F:$F,'06. BC BH THEO CUSTOMER-USD'!$H86,'01. KE30'!$A:$A,'06. BC BH THEO CUSTOMER-USD'!CO$4)/DC86/'02. Tỷ giá'!L$5," -")</f>
        <v xml:space="preserve"> -</v>
      </c>
      <c r="CP86" s="95" t="str">
        <f>IFERROR(SUMIFS('01. KE30'!$R:$R,'01. KE30'!$C:$C,'06. BC BH THEO CUSTOMER-USD'!$D86,'01. KE30'!$F:$F,'06. BC BH THEO CUSTOMER-USD'!$H86,'01. KE30'!$A:$A,'06. BC BH THEO CUSTOMER-USD'!CP$4)/DD86/'02. Tỷ giá'!M$5," -")</f>
        <v xml:space="preserve"> -</v>
      </c>
      <c r="CR86" s="112">
        <f t="shared" si="266"/>
        <v>330.85</v>
      </c>
      <c r="CS86" s="114">
        <f>SUMIFS('01. KE30'!$I:$I,'01. KE30'!$C:$C,'06. BC BH THEO CUSTOMER-USD'!$D86,'01. KE30'!$F:$F,'06. BC BH THEO CUSTOMER-USD'!$H86,'01. KE30'!$A:$A,'06. BC BH THEO CUSTOMER-USD'!CS$4)/1000</f>
        <v>0</v>
      </c>
      <c r="CT86" s="114">
        <f>SUMIFS('01. KE30'!$I:$I,'01. KE30'!$C:$C,'06. BC BH THEO CUSTOMER-USD'!$D86,'01. KE30'!$F:$F,'06. BC BH THEO CUSTOMER-USD'!$H86,'01. KE30'!$A:$A,'06. BC BH THEO CUSTOMER-USD'!CT$4)/1000</f>
        <v>0</v>
      </c>
      <c r="CU86" s="114">
        <f>SUMIFS('01. KE30'!$I:$I,'01. KE30'!$C:$C,'06. BC BH THEO CUSTOMER-USD'!$D86,'01. KE30'!$F:$F,'06. BC BH THEO CUSTOMER-USD'!$H86,'01. KE30'!$A:$A,'06. BC BH THEO CUSTOMER-USD'!CU$4)/1000</f>
        <v>0</v>
      </c>
      <c r="CV86" s="114">
        <f>SUMIFS('01. KE30'!$I:$I,'01. KE30'!$C:$C,'06. BC BH THEO CUSTOMER-USD'!$D86,'01. KE30'!$F:$F,'06. BC BH THEO CUSTOMER-USD'!$H86,'01. KE30'!$A:$A,'06. BC BH THEO CUSTOMER-USD'!CV$4)/1000</f>
        <v>0</v>
      </c>
      <c r="CW86" s="114">
        <f>SUMIFS('01. KE30'!$I:$I,'01. KE30'!$C:$C,'06. BC BH THEO CUSTOMER-USD'!$D86,'01. KE30'!$F:$F,'06. BC BH THEO CUSTOMER-USD'!$H86,'01. KE30'!$A:$A,'06. BC BH THEO CUSTOMER-USD'!CW$4)/1000</f>
        <v>0</v>
      </c>
      <c r="CX86" s="114">
        <f>SUMIFS('01. KE30'!$I:$I,'01. KE30'!$C:$C,'06. BC BH THEO CUSTOMER-USD'!$D86,'01. KE30'!$F:$F,'06. BC BH THEO CUSTOMER-USD'!$H86,'01. KE30'!$A:$A,'06. BC BH THEO CUSTOMER-USD'!CX$4)/1000</f>
        <v>0</v>
      </c>
      <c r="CY86" s="114">
        <f>SUMIFS('01. KE30'!$I:$I,'01. KE30'!$C:$C,'06. BC BH THEO CUSTOMER-USD'!$D86,'01. KE30'!$F:$F,'06. BC BH THEO CUSTOMER-USD'!$H86,'01. KE30'!$A:$A,'06. BC BH THEO CUSTOMER-USD'!CY$4)/1000</f>
        <v>330.85</v>
      </c>
      <c r="CZ86" s="114">
        <f>SUMIFS('01. KE30'!$I:$I,'01. KE30'!$C:$C,'06. BC BH THEO CUSTOMER-USD'!$D86,'01. KE30'!$F:$F,'06. BC BH THEO CUSTOMER-USD'!$H86,'01. KE30'!$A:$A,'06. BC BH THEO CUSTOMER-USD'!CZ$4)/1000</f>
        <v>0</v>
      </c>
      <c r="DA86" s="114">
        <f>SUMIFS('01. KE30'!$I:$I,'01. KE30'!$C:$C,'06. BC BH THEO CUSTOMER-USD'!$D86,'01. KE30'!$F:$F,'06. BC BH THEO CUSTOMER-USD'!$H86,'01. KE30'!$A:$A,'06. BC BH THEO CUSTOMER-USD'!DA$4)/1000</f>
        <v>0</v>
      </c>
      <c r="DB86" s="114">
        <f>SUMIFS('01. KE30'!$I:$I,'01. KE30'!$C:$C,'06. BC BH THEO CUSTOMER-USD'!$D86,'01. KE30'!$F:$F,'06. BC BH THEO CUSTOMER-USD'!$H86,'01. KE30'!$A:$A,'06. BC BH THEO CUSTOMER-USD'!DB$4)/1000</f>
        <v>0</v>
      </c>
      <c r="DC86" s="114">
        <f>SUMIFS('01. KE30'!$I:$I,'01. KE30'!$C:$C,'06. BC BH THEO CUSTOMER-USD'!$D86,'01. KE30'!$F:$F,'06. BC BH THEO CUSTOMER-USD'!$H86,'01. KE30'!$A:$A,'06. BC BH THEO CUSTOMER-USD'!DC$4)/1000</f>
        <v>0</v>
      </c>
      <c r="DD86" s="114">
        <f>SUMIFS('01. KE30'!$I:$I,'01. KE30'!$C:$C,'06. BC BH THEO CUSTOMER-USD'!$D86,'01. KE30'!$F:$F,'06. BC BH THEO CUSTOMER-USD'!$H86,'01. KE30'!$A:$A,'06. BC BH THEO CUSTOMER-USD'!DD$4)/1000</f>
        <v>0</v>
      </c>
      <c r="DF86" s="112">
        <f t="shared" si="267"/>
        <v>361710.69150979636</v>
      </c>
      <c r="DG86" s="54" t="str">
        <f t="shared" si="640"/>
        <v>-</v>
      </c>
      <c r="DH86" s="54" t="str">
        <f t="shared" si="641"/>
        <v>-</v>
      </c>
      <c r="DI86" s="54" t="str">
        <f t="shared" si="642"/>
        <v>-</v>
      </c>
      <c r="DJ86" s="54" t="str">
        <f t="shared" si="643"/>
        <v>-</v>
      </c>
      <c r="DK86" s="54" t="str">
        <f t="shared" si="644"/>
        <v>-</v>
      </c>
      <c r="DL86" s="54" t="str">
        <f t="shared" si="645"/>
        <v>-</v>
      </c>
      <c r="DM86" s="54">
        <f t="shared" si="646"/>
        <v>361710.69150979636</v>
      </c>
      <c r="DN86" s="54" t="str">
        <f t="shared" si="647"/>
        <v>-</v>
      </c>
      <c r="DO86" s="54" t="str">
        <f t="shared" si="648"/>
        <v>-</v>
      </c>
      <c r="DP86" s="54" t="str">
        <f t="shared" si="649"/>
        <v>-</v>
      </c>
      <c r="DQ86" s="54" t="str">
        <f t="shared" si="650"/>
        <v>-</v>
      </c>
      <c r="DR86" s="54" t="str">
        <f t="shared" si="651"/>
        <v>-</v>
      </c>
      <c r="DT86" s="112">
        <f t="shared" si="652"/>
        <v>38634.809719554323</v>
      </c>
      <c r="DU86" s="114">
        <f>IFERROR(SUMIFS('01. KE30'!$X:$X,'01. KE30'!$C:$C,'06. BC BH THEO CUSTOMER-USD'!$D86,'01. KE30'!$F:$F,'06. BC BH THEO CUSTOMER-USD'!$H86,'01. KE30'!$A:$A,'06. BC BH THEO CUSTOMER-USD'!DU$4)-SUMIFS('01. KE30'!$AA:$AA,'01. KE30'!$C:$C,'06. BC BH THEO CUSTOMER-USD'!$D86,'01. KE30'!$F:$F,'06. BC BH THEO CUSTOMER-USD'!$H86,'01. KE30'!$A:$A,'06. BC BH THEO CUSTOMER-USD'!DU$4),"-")</f>
        <v>0</v>
      </c>
      <c r="DV86" s="114">
        <f>IFERROR(SUMIFS('01. KE30'!$X:$X,'01. KE30'!$C:$C,'06. BC BH THEO CUSTOMER-USD'!$D86,'01. KE30'!$F:$F,'06. BC BH THEO CUSTOMER-USD'!$H86,'01. KE30'!$A:$A,'06. BC BH THEO CUSTOMER-USD'!DV$4)-SUMIFS('01. KE30'!$AA:$AA,'01. KE30'!$C:$C,'06. BC BH THEO CUSTOMER-USD'!$D86,'01. KE30'!$F:$F,'06. BC BH THEO CUSTOMER-USD'!$H86,'01. KE30'!$A:$A,'06. BC BH THEO CUSTOMER-USD'!DV$4),"-")</f>
        <v>0</v>
      </c>
      <c r="DW86" s="114">
        <f>IFERROR(SUMIFS('01. KE30'!$X:$X,'01. KE30'!$C:$C,'06. BC BH THEO CUSTOMER-USD'!$D86,'01. KE30'!$F:$F,'06. BC BH THEO CUSTOMER-USD'!$H86,'01. KE30'!$A:$A,'06. BC BH THEO CUSTOMER-USD'!DW$4)-SUMIFS('01. KE30'!$AA:$AA,'01. KE30'!$C:$C,'06. BC BH THEO CUSTOMER-USD'!$D86,'01. KE30'!$F:$F,'06. BC BH THEO CUSTOMER-USD'!$H86,'01. KE30'!$A:$A,'06. BC BH THEO CUSTOMER-USD'!DW$4),"-")</f>
        <v>0</v>
      </c>
      <c r="DX86" s="114">
        <f>IFERROR(SUMIFS('01. KE30'!$X:$X,'01. KE30'!$C:$C,'06. BC BH THEO CUSTOMER-USD'!$D86,'01. KE30'!$F:$F,'06. BC BH THEO CUSTOMER-USD'!$H86,'01. KE30'!$A:$A,'06. BC BH THEO CUSTOMER-USD'!DX$4)-SUMIFS('01. KE30'!$AA:$AA,'01. KE30'!$C:$C,'06. BC BH THEO CUSTOMER-USD'!$D86,'01. KE30'!$F:$F,'06. BC BH THEO CUSTOMER-USD'!$H86,'01. KE30'!$A:$A,'06. BC BH THEO CUSTOMER-USD'!DX$4),"-")</f>
        <v>0</v>
      </c>
      <c r="DY86" s="114">
        <f>IFERROR(SUMIFS('01. KE30'!$X:$X,'01. KE30'!$C:$C,'06. BC BH THEO CUSTOMER-USD'!$D86,'01. KE30'!$F:$F,'06. BC BH THEO CUSTOMER-USD'!$H86,'01. KE30'!$A:$A,'06. BC BH THEO CUSTOMER-USD'!DY$4)-SUMIFS('01. KE30'!$AA:$AA,'01. KE30'!$C:$C,'06. BC BH THEO CUSTOMER-USD'!$D86,'01. KE30'!$F:$F,'06. BC BH THEO CUSTOMER-USD'!$H86,'01. KE30'!$A:$A,'06. BC BH THEO CUSTOMER-USD'!DY$4),"-")</f>
        <v>0</v>
      </c>
      <c r="DZ86" s="114">
        <f>IFERROR(SUMIFS('01. KE30'!$X:$X,'01. KE30'!$C:$C,'06. BC BH THEO CUSTOMER-USD'!$D86,'01. KE30'!$F:$F,'06. BC BH THEO CUSTOMER-USD'!$H86,'01. KE30'!$A:$A,'06. BC BH THEO CUSTOMER-USD'!DZ$4)-SUMIFS('01. KE30'!$AA:$AA,'01. KE30'!$C:$C,'06. BC BH THEO CUSTOMER-USD'!$D86,'01. KE30'!$F:$F,'06. BC BH THEO CUSTOMER-USD'!$H86,'01. KE30'!$A:$A,'06. BC BH THEO CUSTOMER-USD'!DZ$4),"-")</f>
        <v>0</v>
      </c>
      <c r="EA86" s="114">
        <f>IFERROR(SUMIFS('01. KE30'!$X:$X,'01. KE30'!$C:$C,'06. BC BH THEO CUSTOMER-USD'!$D86,'01. KE30'!$F:$F,'06. BC BH THEO CUSTOMER-USD'!$H86,'01. KE30'!$A:$A,'06. BC BH THEO CUSTOMER-USD'!EA$4)-SUMIFS('01. KE30'!$AA:$AA,'01. KE30'!$C:$C,'06. BC BH THEO CUSTOMER-USD'!$D86,'01. KE30'!$F:$F,'06. BC BH THEO CUSTOMER-USD'!$H86,'01. KE30'!$A:$A,'06. BC BH THEO CUSTOMER-USD'!EA$4),"-")</f>
        <v>38634.809719554323</v>
      </c>
      <c r="EB86" s="114">
        <f>IFERROR(SUMIFS('01. KE30'!$X:$X,'01. KE30'!$C:$C,'06. BC BH THEO CUSTOMER-USD'!$D86,'01. KE30'!$F:$F,'06. BC BH THEO CUSTOMER-USD'!$H86,'01. KE30'!$A:$A,'06. BC BH THEO CUSTOMER-USD'!EB$4)-SUMIFS('01. KE30'!$AA:$AA,'01. KE30'!$C:$C,'06. BC BH THEO CUSTOMER-USD'!$D86,'01. KE30'!$F:$F,'06. BC BH THEO CUSTOMER-USD'!$H86,'01. KE30'!$A:$A,'06. BC BH THEO CUSTOMER-USD'!EB$4),"-")</f>
        <v>0</v>
      </c>
      <c r="EC86" s="114">
        <f>IFERROR(SUMIFS('01. KE30'!$X:$X,'01. KE30'!$C:$C,'06. BC BH THEO CUSTOMER-USD'!$D86,'01. KE30'!$F:$F,'06. BC BH THEO CUSTOMER-USD'!$H86,'01. KE30'!$A:$A,'06. BC BH THEO CUSTOMER-USD'!EC$4)-SUMIFS('01. KE30'!$AA:$AA,'01. KE30'!$C:$C,'06. BC BH THEO CUSTOMER-USD'!$D86,'01. KE30'!$F:$F,'06. BC BH THEO CUSTOMER-USD'!$H86,'01. KE30'!$A:$A,'06. BC BH THEO CUSTOMER-USD'!EC$4),"-")</f>
        <v>0</v>
      </c>
      <c r="ED86" s="114">
        <f>IFERROR(SUMIFS('01. KE30'!$X:$X,'01. KE30'!$C:$C,'06. BC BH THEO CUSTOMER-USD'!$D86,'01. KE30'!$F:$F,'06. BC BH THEO CUSTOMER-USD'!$H86,'01. KE30'!$A:$A,'06. BC BH THEO CUSTOMER-USD'!ED$4)-SUMIFS('01. KE30'!$AA:$AA,'01. KE30'!$C:$C,'06. BC BH THEO CUSTOMER-USD'!$D86,'01. KE30'!$F:$F,'06. BC BH THEO CUSTOMER-USD'!$H86,'01. KE30'!$A:$A,'06. BC BH THEO CUSTOMER-USD'!ED$4),"-")</f>
        <v>0</v>
      </c>
      <c r="EE86" s="114">
        <f>IFERROR(SUMIFS('01. KE30'!$X:$X,'01. KE30'!$C:$C,'06. BC BH THEO CUSTOMER-USD'!$D86,'01. KE30'!$F:$F,'06. BC BH THEO CUSTOMER-USD'!$H86,'01. KE30'!$A:$A,'06. BC BH THEO CUSTOMER-USD'!EE$4)-SUMIFS('01. KE30'!$AA:$AA,'01. KE30'!$C:$C,'06. BC BH THEO CUSTOMER-USD'!$D86,'01. KE30'!$F:$F,'06. BC BH THEO CUSTOMER-USD'!$H86,'01. KE30'!$A:$A,'06. BC BH THEO CUSTOMER-USD'!EE$4),"-")</f>
        <v>0</v>
      </c>
      <c r="EF86" s="114">
        <f>IFERROR(SUMIFS('01. KE30'!$X:$X,'01. KE30'!$C:$C,'06. BC BH THEO CUSTOMER-USD'!$D86,'01. KE30'!$F:$F,'06. BC BH THEO CUSTOMER-USD'!$H86,'01. KE30'!$A:$A,'06. BC BH THEO CUSTOMER-USD'!EF$4)-SUMIFS('01. KE30'!$AA:$AA,'01. KE30'!$C:$C,'06. BC BH THEO CUSTOMER-USD'!$D86,'01. KE30'!$F:$F,'06. BC BH THEO CUSTOMER-USD'!$H86,'01. KE30'!$A:$A,'06. BC BH THEO CUSTOMER-USD'!EF$4),"-")</f>
        <v>0</v>
      </c>
      <c r="EH86" s="571">
        <f t="shared" si="531"/>
        <v>0.1068113567732569</v>
      </c>
      <c r="EI86" s="572" t="str">
        <f t="shared" si="532"/>
        <v>-</v>
      </c>
      <c r="EJ86" s="572" t="str">
        <f t="shared" si="533"/>
        <v>-</v>
      </c>
      <c r="EK86" s="572" t="str">
        <f t="shared" si="534"/>
        <v>-</v>
      </c>
      <c r="EL86" s="572" t="str">
        <f t="shared" si="535"/>
        <v>-</v>
      </c>
      <c r="EM86" s="572" t="str">
        <f t="shared" si="536"/>
        <v>-</v>
      </c>
      <c r="EN86" s="572" t="str">
        <f t="shared" si="537"/>
        <v>-</v>
      </c>
      <c r="EO86" s="572">
        <f t="shared" si="538"/>
        <v>0.1068113567732569</v>
      </c>
      <c r="EP86" s="572" t="str">
        <f t="shared" si="539"/>
        <v>-</v>
      </c>
      <c r="EQ86" s="572" t="str">
        <f t="shared" si="540"/>
        <v>-</v>
      </c>
      <c r="ER86" s="572" t="str">
        <f t="shared" si="541"/>
        <v>-</v>
      </c>
      <c r="ES86" s="572" t="str">
        <f t="shared" si="542"/>
        <v>-</v>
      </c>
      <c r="ET86" s="572" t="str">
        <f t="shared" si="543"/>
        <v>-</v>
      </c>
    </row>
    <row r="87" spans="1:150" ht="15.5" hidden="1" outlineLevel="1" x14ac:dyDescent="0.35">
      <c r="A87" s="27">
        <f t="shared" si="653"/>
        <v>73</v>
      </c>
      <c r="B87" s="27" t="s">
        <v>283</v>
      </c>
      <c r="C87" s="442" t="s">
        <v>489</v>
      </c>
      <c r="D87" s="29" t="s">
        <v>237</v>
      </c>
      <c r="E87" s="12" t="s">
        <v>238</v>
      </c>
      <c r="F87" s="12" t="s">
        <v>245</v>
      </c>
      <c r="G87" s="12" t="str">
        <f>_xlfn.XLOOKUP(F87,'Quy đổi'!$G$5:$G$32,'Quy đổi'!$H$5:$H$32,0)</f>
        <v>Nội địa</v>
      </c>
      <c r="H87" s="76" t="s">
        <v>102</v>
      </c>
      <c r="I87" s="7" t="s">
        <v>101</v>
      </c>
      <c r="J87" s="13" t="s">
        <v>22</v>
      </c>
      <c r="K87" s="11"/>
      <c r="L87" s="92">
        <f t="shared" si="633"/>
        <v>1153.1589235800282</v>
      </c>
      <c r="M87" s="106" t="str">
        <f>IFERROR(SUMIFS('01. KE30'!$K:$K,'01. KE30'!$C:$C,'06. BC BH THEO CUSTOMER-USD'!$D87,'01. KE30'!$F:$F,'06. BC BH THEO CUSTOMER-USD'!$H87,'01. KE30'!$A:$A,'06. BC BH THEO CUSTOMER-USD'!M$4)/'06. BC BH THEO CUSTOMER-USD'!CS87/'02. Tỷ giá'!B$5,"-")</f>
        <v>-</v>
      </c>
      <c r="N87" s="106" t="str">
        <f>IFERROR(SUMIFS('01. KE30'!$K:$K,'01. KE30'!$C:$C,'06. BC BH THEO CUSTOMER-USD'!$D87,'01. KE30'!$F:$F,'06. BC BH THEO CUSTOMER-USD'!$H87,'01. KE30'!$A:$A,'06. BC BH THEO CUSTOMER-USD'!N$4)/'06. BC BH THEO CUSTOMER-USD'!CT87/'02. Tỷ giá'!C$5,"-")</f>
        <v>-</v>
      </c>
      <c r="O87" s="106">
        <f>IFERROR(SUMIFS('01. KE30'!$K:$K,'01. KE30'!$C:$C,'06. BC BH THEO CUSTOMER-USD'!$D87,'01. KE30'!$F:$F,'06. BC BH THEO CUSTOMER-USD'!$H87,'01. KE30'!$A:$A,'06. BC BH THEO CUSTOMER-USD'!O$4)/'06. BC BH THEO CUSTOMER-USD'!CU87/'02. Tỷ giá'!D$5,"-")</f>
        <v>1111.259842519685</v>
      </c>
      <c r="P87" s="106" t="str">
        <f>IFERROR(SUMIFS('01. KE30'!$K:$K,'01. KE30'!$C:$C,'06. BC BH THEO CUSTOMER-USD'!$D87,'01. KE30'!$F:$F,'06. BC BH THEO CUSTOMER-USD'!$H87,'01. KE30'!$A:$A,'06. BC BH THEO CUSTOMER-USD'!P$4)/'06. BC BH THEO CUSTOMER-USD'!CV87/'02. Tỷ giá'!E$5,"-")</f>
        <v>-</v>
      </c>
      <c r="Q87" s="106">
        <f>IFERROR(SUMIFS('01. KE30'!$K:$K,'01. KE30'!$C:$C,'06. BC BH THEO CUSTOMER-USD'!$D87,'01. KE30'!$F:$F,'06. BC BH THEO CUSTOMER-USD'!$H87,'01. KE30'!$A:$A,'06. BC BH THEO CUSTOMER-USD'!Q$4)/'06. BC BH THEO CUSTOMER-USD'!CW87/'02. Tỷ giá'!F$5,"-")</f>
        <v>1195.0580046403713</v>
      </c>
      <c r="R87" s="106" t="str">
        <f>IFERROR(SUMIFS('01. KE30'!$K:$K,'01. KE30'!$C:$C,'06. BC BH THEO CUSTOMER-USD'!$D87,'01. KE30'!$F:$F,'06. BC BH THEO CUSTOMER-USD'!$H87,'01. KE30'!$A:$A,'06. BC BH THEO CUSTOMER-USD'!R$4)/'06. BC BH THEO CUSTOMER-USD'!CX87/'02. Tỷ giá'!G$5,"-")</f>
        <v>-</v>
      </c>
      <c r="S87" s="106" t="str">
        <f>IFERROR(SUMIFS('01. KE30'!$K:$K,'01. KE30'!$C:$C,'06. BC BH THEO CUSTOMER-USD'!$D87,'01. KE30'!$F:$F,'06. BC BH THEO CUSTOMER-USD'!$H87,'01. KE30'!$A:$A,'06. BC BH THEO CUSTOMER-USD'!S$4)/'06. BC BH THEO CUSTOMER-USD'!CY87/'02. Tỷ giá'!H$5,"-")</f>
        <v>-</v>
      </c>
      <c r="T87" s="106" t="str">
        <f>IFERROR(SUMIFS('01. KE30'!$K:$K,'01. KE30'!$C:$C,'06. BC BH THEO CUSTOMER-USD'!$D87,'01. KE30'!$F:$F,'06. BC BH THEO CUSTOMER-USD'!$H87,'01. KE30'!$A:$A,'06. BC BH THEO CUSTOMER-USD'!T$4)/'06. BC BH THEO CUSTOMER-USD'!CZ87/'02. Tỷ giá'!I$5,"-")</f>
        <v>-</v>
      </c>
      <c r="U87" s="106" t="str">
        <f>IFERROR(SUMIFS('01. KE30'!$K:$K,'01. KE30'!$C:$C,'06. BC BH THEO CUSTOMER-USD'!$D87,'01. KE30'!$F:$F,'06. BC BH THEO CUSTOMER-USD'!$H87,'01. KE30'!$A:$A,'06. BC BH THEO CUSTOMER-USD'!U$4)/'06. BC BH THEO CUSTOMER-USD'!DA87/'02. Tỷ giá'!J$5,"-")</f>
        <v>-</v>
      </c>
      <c r="V87" s="106" t="str">
        <f>IFERROR(SUMIFS('01. KE30'!$K:$K,'01. KE30'!$C:$C,'06. BC BH THEO CUSTOMER-USD'!$D87,'01. KE30'!$F:$F,'06. BC BH THEO CUSTOMER-USD'!$H87,'01. KE30'!$A:$A,'06. BC BH THEO CUSTOMER-USD'!V$4)/'06. BC BH THEO CUSTOMER-USD'!DB87/'02. Tỷ giá'!K$5,"-")</f>
        <v>-</v>
      </c>
      <c r="W87" s="106" t="str">
        <f>IFERROR(SUMIFS('01. KE30'!$K:$K,'01. KE30'!$C:$C,'06. BC BH THEO CUSTOMER-USD'!$D87,'01. KE30'!$F:$F,'06. BC BH THEO CUSTOMER-USD'!$H87,'01. KE30'!$A:$A,'06. BC BH THEO CUSTOMER-USD'!W$4)/'06. BC BH THEO CUSTOMER-USD'!DC87/'02. Tỷ giá'!L$5,"-")</f>
        <v>-</v>
      </c>
      <c r="X87" s="106" t="str">
        <f>IFERROR(SUMIFS('01. KE30'!$K:$K,'01. KE30'!$C:$C,'06. BC BH THEO CUSTOMER-USD'!$D87,'01. KE30'!$F:$F,'06. BC BH THEO CUSTOMER-USD'!$H87,'01. KE30'!$A:$A,'06. BC BH THEO CUSTOMER-USD'!X$4)/'06. BC BH THEO CUSTOMER-USD'!DD87/'02. Tỷ giá'!M$5,"-")</f>
        <v>-</v>
      </c>
      <c r="Z87" s="92">
        <f t="shared" si="634"/>
        <v>1153.1589235800282</v>
      </c>
      <c r="AA87" s="147" t="str">
        <f>IFERROR(SUMIFS('01. KE30'!$O:$O,'01. KE30'!$C:$C,'06. BC BH THEO CUSTOMER-USD'!$D87,'01. KE30'!$F:$F,'06. BC BH THEO CUSTOMER-USD'!$H87,'01. KE30'!$A:$A,'06. BC BH THEO CUSTOMER-USD'!M$4)/'06. BC BH THEO CUSTOMER-USD'!CS87/'02. Tỷ giá'!B$5,"-")</f>
        <v>-</v>
      </c>
      <c r="AB87" s="147" t="str">
        <f>IFERROR(SUMIFS('01. KE30'!$O:$O,'01. KE30'!$C:$C,'06. BC BH THEO CUSTOMER-USD'!$D87,'01. KE30'!$F:$F,'06. BC BH THEO CUSTOMER-USD'!$H87,'01. KE30'!$A:$A,'06. BC BH THEO CUSTOMER-USD'!N$4)/'06. BC BH THEO CUSTOMER-USD'!CT87/'02. Tỷ giá'!C$5,"-")</f>
        <v>-</v>
      </c>
      <c r="AC87" s="147">
        <f>IFERROR(SUMIFS('01. KE30'!$O:$O,'01. KE30'!$C:$C,'06. BC BH THEO CUSTOMER-USD'!$D87,'01. KE30'!$F:$F,'06. BC BH THEO CUSTOMER-USD'!$H87,'01. KE30'!$A:$A,'06. BC BH THEO CUSTOMER-USD'!O$4)/'06. BC BH THEO CUSTOMER-USD'!CU87/'02. Tỷ giá'!D$5,"-")</f>
        <v>1111.259842519685</v>
      </c>
      <c r="AD87" s="147" t="str">
        <f>IFERROR(SUMIFS('01. KE30'!$O:$O,'01. KE30'!$C:$C,'06. BC BH THEO CUSTOMER-USD'!$D87,'01. KE30'!$F:$F,'06. BC BH THEO CUSTOMER-USD'!$H87,'01. KE30'!$A:$A,'06. BC BH THEO CUSTOMER-USD'!P$4)/'06. BC BH THEO CUSTOMER-USD'!CV87/'02. Tỷ giá'!E$5,"-")</f>
        <v>-</v>
      </c>
      <c r="AE87" s="147">
        <f>IFERROR(SUMIFS('01. KE30'!$O:$O,'01. KE30'!$C:$C,'06. BC BH THEO CUSTOMER-USD'!$D87,'01. KE30'!$F:$F,'06. BC BH THEO CUSTOMER-USD'!$H87,'01. KE30'!$A:$A,'06. BC BH THEO CUSTOMER-USD'!Q$4)/'06. BC BH THEO CUSTOMER-USD'!CW87/'02. Tỷ giá'!F$5,"-")</f>
        <v>1195.0580046403713</v>
      </c>
      <c r="AF87" s="147" t="str">
        <f>IFERROR(SUMIFS('01. KE30'!$O:$O,'01. KE30'!$C:$C,'06. BC BH THEO CUSTOMER-USD'!$D87,'01. KE30'!$F:$F,'06. BC BH THEO CUSTOMER-USD'!$H87,'01. KE30'!$A:$A,'06. BC BH THEO CUSTOMER-USD'!R$4)/'06. BC BH THEO CUSTOMER-USD'!CX87/'02. Tỷ giá'!G$5,"-")</f>
        <v>-</v>
      </c>
      <c r="AG87" s="147" t="str">
        <f>IFERROR(SUMIFS('01. KE30'!$O:$O,'01. KE30'!$C:$C,'06. BC BH THEO CUSTOMER-USD'!$D87,'01. KE30'!$F:$F,'06. BC BH THEO CUSTOMER-USD'!$H87,'01. KE30'!$A:$A,'06. BC BH THEO CUSTOMER-USD'!S$4)/'06. BC BH THEO CUSTOMER-USD'!CY87/'02. Tỷ giá'!H$5,"-")</f>
        <v>-</v>
      </c>
      <c r="AH87" s="147" t="str">
        <f>IFERROR(SUMIFS('01. KE30'!$O:$O,'01. KE30'!$C:$C,'06. BC BH THEO CUSTOMER-USD'!$D87,'01. KE30'!$F:$F,'06. BC BH THEO CUSTOMER-USD'!$H87,'01. KE30'!$A:$A,'06. BC BH THEO CUSTOMER-USD'!T$4)/'06. BC BH THEO CUSTOMER-USD'!CZ87/'02. Tỷ giá'!I$5,"-")</f>
        <v>-</v>
      </c>
      <c r="AI87" s="147" t="str">
        <f>IFERROR(SUMIFS('01. KE30'!$O:$O,'01. KE30'!$C:$C,'06. BC BH THEO CUSTOMER-USD'!$D87,'01. KE30'!$F:$F,'06. BC BH THEO CUSTOMER-USD'!$H87,'01. KE30'!$A:$A,'06. BC BH THEO CUSTOMER-USD'!U$4)/'06. BC BH THEO CUSTOMER-USD'!DA87/'02. Tỷ giá'!J$5,"-")</f>
        <v>-</v>
      </c>
      <c r="AJ87" s="147" t="str">
        <f>IFERROR(SUMIFS('01. KE30'!$O:$O,'01. KE30'!$C:$C,'06. BC BH THEO CUSTOMER-USD'!$D87,'01. KE30'!$F:$F,'06. BC BH THEO CUSTOMER-USD'!$H87,'01. KE30'!$A:$A,'06. BC BH THEO CUSTOMER-USD'!V$4)/'06. BC BH THEO CUSTOMER-USD'!DB87/'02. Tỷ giá'!K$5,"-")</f>
        <v>-</v>
      </c>
      <c r="AK87" s="147" t="str">
        <f>IFERROR(SUMIFS('01. KE30'!$O:$O,'01. KE30'!$C:$C,'06. BC BH THEO CUSTOMER-USD'!$D87,'01. KE30'!$F:$F,'06. BC BH THEO CUSTOMER-USD'!$H87,'01. KE30'!$A:$A,'06. BC BH THEO CUSTOMER-USD'!W$4)/'06. BC BH THEO CUSTOMER-USD'!DC87/'02. Tỷ giá'!L$5,"-")</f>
        <v>-</v>
      </c>
      <c r="AL87" s="147" t="str">
        <f>IFERROR(SUMIFS('01. KE30'!$O:$O,'01. KE30'!$C:$C,'06. BC BH THEO CUSTOMER-USD'!$D87,'01. KE30'!$F:$F,'06. BC BH THEO CUSTOMER-USD'!$H87,'01. KE30'!$A:$A,'06. BC BH THEO CUSTOMER-USD'!X$4)/'06. BC BH THEO CUSTOMER-USD'!DD87/'02. Tỷ giá'!M$5,"-")</f>
        <v>-</v>
      </c>
      <c r="AN87" s="92">
        <f t="shared" si="635"/>
        <v>1166.6666666666667</v>
      </c>
      <c r="AO87" s="25">
        <v>1160</v>
      </c>
      <c r="AP87" s="25">
        <v>1160</v>
      </c>
      <c r="AQ87" s="25">
        <v>1160</v>
      </c>
      <c r="AR87" s="4">
        <f t="shared" si="636"/>
        <v>1180</v>
      </c>
      <c r="AS87" s="4">
        <v>1180</v>
      </c>
      <c r="AT87" s="4">
        <v>1180</v>
      </c>
      <c r="AU87" s="4">
        <v>1180</v>
      </c>
      <c r="AV87" s="4">
        <f t="shared" si="205"/>
        <v>1150</v>
      </c>
      <c r="AW87" s="25">
        <v>1150</v>
      </c>
      <c r="AX87" s="25"/>
      <c r="AY87" s="4"/>
      <c r="AZ87" s="4"/>
      <c r="BB87" s="95">
        <f t="shared" si="637"/>
        <v>-13.507743086638584</v>
      </c>
      <c r="BC87" s="95" t="str">
        <f t="shared" si="638"/>
        <v>-</v>
      </c>
      <c r="BD87" s="95" t="str">
        <f t="shared" si="516"/>
        <v>-</v>
      </c>
      <c r="BE87" s="95">
        <f t="shared" si="516"/>
        <v>-48.74015748031502</v>
      </c>
      <c r="BF87" s="95" t="str">
        <f t="shared" si="516"/>
        <v>-</v>
      </c>
      <c r="BG87" s="95">
        <f t="shared" si="516"/>
        <v>15.058004640371337</v>
      </c>
      <c r="BH87" s="95" t="str">
        <f t="shared" si="516"/>
        <v>-</v>
      </c>
      <c r="BI87" s="95" t="str">
        <f t="shared" si="516"/>
        <v>-</v>
      </c>
      <c r="BJ87" s="95" t="str">
        <f t="shared" si="516"/>
        <v>-</v>
      </c>
      <c r="BK87" s="95" t="str">
        <f t="shared" si="516"/>
        <v>-</v>
      </c>
      <c r="BL87" s="95" t="str">
        <f t="shared" si="516"/>
        <v>-</v>
      </c>
      <c r="BM87" s="95" t="str">
        <f t="shared" si="516"/>
        <v>-</v>
      </c>
      <c r="BN87" s="95" t="str">
        <f t="shared" si="516"/>
        <v>-</v>
      </c>
      <c r="BP87" s="143">
        <f t="shared" si="639"/>
        <v>-1.1578065502833071E-2</v>
      </c>
      <c r="BQ87" s="143" t="str">
        <f t="shared" si="517"/>
        <v>-</v>
      </c>
      <c r="BR87" s="143" t="str">
        <f t="shared" si="518"/>
        <v>-</v>
      </c>
      <c r="BS87" s="143">
        <f t="shared" si="519"/>
        <v>-4.2017377138202604E-2</v>
      </c>
      <c r="BT87" s="143" t="str">
        <f t="shared" si="520"/>
        <v>-</v>
      </c>
      <c r="BU87" s="143">
        <f t="shared" si="521"/>
        <v>1.2761020881670625E-2</v>
      </c>
      <c r="BV87" s="143" t="str">
        <f t="shared" si="522"/>
        <v>-</v>
      </c>
      <c r="BW87" s="143" t="str">
        <f t="shared" si="523"/>
        <v>-</v>
      </c>
      <c r="BX87" s="143" t="str">
        <f t="shared" si="524"/>
        <v>-</v>
      </c>
      <c r="BY87" s="143" t="str">
        <f t="shared" si="525"/>
        <v>-</v>
      </c>
      <c r="BZ87" s="143" t="str">
        <f t="shared" si="526"/>
        <v>-</v>
      </c>
      <c r="CA87" s="143" t="str">
        <f t="shared" si="527"/>
        <v>-</v>
      </c>
      <c r="CB87" s="143" t="str">
        <f t="shared" si="528"/>
        <v>-</v>
      </c>
      <c r="CD87" s="112">
        <f t="shared" si="529"/>
        <v>1007.6043528115988</v>
      </c>
      <c r="CE87" s="95" t="str">
        <f>IFERROR(SUMIFS('01. KE30'!$R:$R,'01. KE30'!$C:$C,'06. BC BH THEO CUSTOMER-USD'!$D87,'01. KE30'!$F:$F,'06. BC BH THEO CUSTOMER-USD'!$H87,'01. KE30'!$A:$A,'06. BC BH THEO CUSTOMER-USD'!CE$4)/CS87/'02. Tỷ giá'!B$5," -")</f>
        <v xml:space="preserve"> -</v>
      </c>
      <c r="CF87" s="95" t="str">
        <f>IFERROR(SUMIFS('01. KE30'!$R:$R,'01. KE30'!$C:$C,'06. BC BH THEO CUSTOMER-USD'!$D87,'01. KE30'!$F:$F,'06. BC BH THEO CUSTOMER-USD'!$H87,'01. KE30'!$A:$A,'06. BC BH THEO CUSTOMER-USD'!CF$4)/CT87/'02. Tỷ giá'!C$5," -")</f>
        <v xml:space="preserve"> -</v>
      </c>
      <c r="CG87" s="95">
        <f>IFERROR(SUMIFS('01. KE30'!$R:$R,'01. KE30'!$C:$C,'06. BC BH THEO CUSTOMER-USD'!$D87,'01. KE30'!$F:$F,'06. BC BH THEO CUSTOMER-USD'!$H87,'01. KE30'!$A:$A,'06. BC BH THEO CUSTOMER-USD'!CG$4)/CU87/'02. Tỷ giá'!D$5," -")</f>
        <v>1035.0435576234788</v>
      </c>
      <c r="CH87" s="95" t="str">
        <f>IFERROR(SUMIFS('01. KE30'!$R:$R,'01. KE30'!$C:$C,'06. BC BH THEO CUSTOMER-USD'!$D87,'01. KE30'!$F:$F,'06. BC BH THEO CUSTOMER-USD'!$H87,'01. KE30'!$A:$A,'06. BC BH THEO CUSTOMER-USD'!CH$4)/CV87/'02. Tỷ giá'!E$5," -")</f>
        <v xml:space="preserve"> -</v>
      </c>
      <c r="CI87" s="95">
        <f>IFERROR(SUMIFS('01. KE30'!$R:$R,'01. KE30'!$C:$C,'06. BC BH THEO CUSTOMER-USD'!$D87,'01. KE30'!$F:$F,'06. BC BH THEO CUSTOMER-USD'!$H87,'01. KE30'!$A:$A,'06. BC BH THEO CUSTOMER-USD'!CI$4)/CW87/'02. Tỷ giá'!F$5," -")</f>
        <v>980.16514799971878</v>
      </c>
      <c r="CJ87" s="95" t="str">
        <f>IFERROR(SUMIFS('01. KE30'!$R:$R,'01. KE30'!$C:$C,'06. BC BH THEO CUSTOMER-USD'!$D87,'01. KE30'!$F:$F,'06. BC BH THEO CUSTOMER-USD'!$H87,'01. KE30'!$A:$A,'06. BC BH THEO CUSTOMER-USD'!CJ$4)/CX87/'02. Tỷ giá'!G$5," -")</f>
        <v xml:space="preserve"> -</v>
      </c>
      <c r="CK87" s="95" t="str">
        <f>IFERROR(SUMIFS('01. KE30'!$R:$R,'01. KE30'!$C:$C,'06. BC BH THEO CUSTOMER-USD'!$D87,'01. KE30'!$F:$F,'06. BC BH THEO CUSTOMER-USD'!$H87,'01. KE30'!$A:$A,'06. BC BH THEO CUSTOMER-USD'!CK$4)/CY87/'02. Tỷ giá'!H$5," -")</f>
        <v xml:space="preserve"> -</v>
      </c>
      <c r="CL87" s="95" t="str">
        <f>IFERROR(SUMIFS('01. KE30'!$R:$R,'01. KE30'!$C:$C,'06. BC BH THEO CUSTOMER-USD'!$D87,'01. KE30'!$F:$F,'06. BC BH THEO CUSTOMER-USD'!$H87,'01. KE30'!$A:$A,'06. BC BH THEO CUSTOMER-USD'!CL$4)/CZ87/'02. Tỷ giá'!I$5," -")</f>
        <v xml:space="preserve"> -</v>
      </c>
      <c r="CM87" s="95" t="str">
        <f>IFERROR(SUMIFS('01. KE30'!$R:$R,'01. KE30'!$C:$C,'06. BC BH THEO CUSTOMER-USD'!$D87,'01. KE30'!$F:$F,'06. BC BH THEO CUSTOMER-USD'!$H87,'01. KE30'!$A:$A,'06. BC BH THEO CUSTOMER-USD'!CM$4)/DA87/'02. Tỷ giá'!J$5," -")</f>
        <v xml:space="preserve"> -</v>
      </c>
      <c r="CN87" s="95" t="str">
        <f>IFERROR(SUMIFS('01. KE30'!$R:$R,'01. KE30'!$C:$C,'06. BC BH THEO CUSTOMER-USD'!$D87,'01. KE30'!$F:$F,'06. BC BH THEO CUSTOMER-USD'!$H87,'01. KE30'!$A:$A,'06. BC BH THEO CUSTOMER-USD'!CN$4)/DB87/'02. Tỷ giá'!K$5," -")</f>
        <v xml:space="preserve"> -</v>
      </c>
      <c r="CO87" s="95" t="str">
        <f>IFERROR(SUMIFS('01. KE30'!$R:$R,'01. KE30'!$C:$C,'06. BC BH THEO CUSTOMER-USD'!$D87,'01. KE30'!$F:$F,'06. BC BH THEO CUSTOMER-USD'!$H87,'01. KE30'!$A:$A,'06. BC BH THEO CUSTOMER-USD'!CO$4)/DC87/'02. Tỷ giá'!L$5," -")</f>
        <v xml:space="preserve"> -</v>
      </c>
      <c r="CP87" s="95" t="str">
        <f>IFERROR(SUMIFS('01. KE30'!$R:$R,'01. KE30'!$C:$C,'06. BC BH THEO CUSTOMER-USD'!$D87,'01. KE30'!$F:$F,'06. BC BH THEO CUSTOMER-USD'!$H87,'01. KE30'!$A:$A,'06. BC BH THEO CUSTOMER-USD'!CP$4)/DD87/'02. Tỷ giá'!M$5," -")</f>
        <v xml:space="preserve"> -</v>
      </c>
      <c r="CR87" s="112">
        <f t="shared" ref="CR87" si="713">SUM(CS87:DD87)</f>
        <v>22</v>
      </c>
      <c r="CS87" s="114">
        <f>SUMIFS('01. KE30'!$I:$I,'01. KE30'!$C:$C,'06. BC BH THEO CUSTOMER-USD'!$D87,'01. KE30'!$F:$F,'06. BC BH THEO CUSTOMER-USD'!$H87,'01. KE30'!$A:$A,'06. BC BH THEO CUSTOMER-USD'!CS$4)/1000</f>
        <v>0</v>
      </c>
      <c r="CT87" s="114">
        <f>SUMIFS('01. KE30'!$I:$I,'01. KE30'!$C:$C,'06. BC BH THEO CUSTOMER-USD'!$D87,'01. KE30'!$F:$F,'06. BC BH THEO CUSTOMER-USD'!$H87,'01. KE30'!$A:$A,'06. BC BH THEO CUSTOMER-USD'!CT$4)/1000</f>
        <v>0</v>
      </c>
      <c r="CU87" s="114">
        <f>SUMIFS('01. KE30'!$I:$I,'01. KE30'!$C:$C,'06. BC BH THEO CUSTOMER-USD'!$D87,'01. KE30'!$F:$F,'06. BC BH THEO CUSTOMER-USD'!$H87,'01. KE30'!$A:$A,'06. BC BH THEO CUSTOMER-USD'!CU$4)/1000</f>
        <v>11</v>
      </c>
      <c r="CV87" s="114">
        <f>SUMIFS('01. KE30'!$I:$I,'01. KE30'!$C:$C,'06. BC BH THEO CUSTOMER-USD'!$D87,'01. KE30'!$F:$F,'06. BC BH THEO CUSTOMER-USD'!$H87,'01. KE30'!$A:$A,'06. BC BH THEO CUSTOMER-USD'!CV$4)/1000</f>
        <v>0</v>
      </c>
      <c r="CW87" s="114">
        <f>SUMIFS('01. KE30'!$I:$I,'01. KE30'!$C:$C,'06. BC BH THEO CUSTOMER-USD'!$D87,'01. KE30'!$F:$F,'06. BC BH THEO CUSTOMER-USD'!$H87,'01. KE30'!$A:$A,'06. BC BH THEO CUSTOMER-USD'!CW$4)/1000</f>
        <v>11</v>
      </c>
      <c r="CX87" s="114">
        <f>SUMIFS('01. KE30'!$I:$I,'01. KE30'!$C:$C,'06. BC BH THEO CUSTOMER-USD'!$D87,'01. KE30'!$F:$F,'06. BC BH THEO CUSTOMER-USD'!$H87,'01. KE30'!$A:$A,'06. BC BH THEO CUSTOMER-USD'!CX$4)/1000</f>
        <v>0</v>
      </c>
      <c r="CY87" s="114">
        <f>SUMIFS('01. KE30'!$I:$I,'01. KE30'!$C:$C,'06. BC BH THEO CUSTOMER-USD'!$D87,'01. KE30'!$F:$F,'06. BC BH THEO CUSTOMER-USD'!$H87,'01. KE30'!$A:$A,'06. BC BH THEO CUSTOMER-USD'!CY$4)/1000</f>
        <v>0</v>
      </c>
      <c r="CZ87" s="114">
        <f>SUMIFS('01. KE30'!$I:$I,'01. KE30'!$C:$C,'06. BC BH THEO CUSTOMER-USD'!$D87,'01. KE30'!$F:$F,'06. BC BH THEO CUSTOMER-USD'!$H87,'01. KE30'!$A:$A,'06. BC BH THEO CUSTOMER-USD'!CZ$4)/1000</f>
        <v>0</v>
      </c>
      <c r="DA87" s="114">
        <f>SUMIFS('01. KE30'!$I:$I,'01. KE30'!$C:$C,'06. BC BH THEO CUSTOMER-USD'!$D87,'01. KE30'!$F:$F,'06. BC BH THEO CUSTOMER-USD'!$H87,'01. KE30'!$A:$A,'06. BC BH THEO CUSTOMER-USD'!DA$4)/1000</f>
        <v>0</v>
      </c>
      <c r="DB87" s="114">
        <f>SUMIFS('01. KE30'!$I:$I,'01. KE30'!$C:$C,'06. BC BH THEO CUSTOMER-USD'!$D87,'01. KE30'!$F:$F,'06. BC BH THEO CUSTOMER-USD'!$H87,'01. KE30'!$A:$A,'06. BC BH THEO CUSTOMER-USD'!DB$4)/1000</f>
        <v>0</v>
      </c>
      <c r="DC87" s="114">
        <f>SUMIFS('01. KE30'!$I:$I,'01. KE30'!$C:$C,'06. BC BH THEO CUSTOMER-USD'!$D87,'01. KE30'!$F:$F,'06. BC BH THEO CUSTOMER-USD'!$H87,'01. KE30'!$A:$A,'06. BC BH THEO CUSTOMER-USD'!DC$4)/1000</f>
        <v>0</v>
      </c>
      <c r="DD87" s="114">
        <f>SUMIFS('01. KE30'!$I:$I,'01. KE30'!$C:$C,'06. BC BH THEO CUSTOMER-USD'!$D87,'01. KE30'!$F:$F,'06. BC BH THEO CUSTOMER-USD'!$H87,'01. KE30'!$A:$A,'06. BC BH THEO CUSTOMER-USD'!DD$4)/1000</f>
        <v>0</v>
      </c>
      <c r="DF87" s="112">
        <f t="shared" si="267"/>
        <v>25369.496318760619</v>
      </c>
      <c r="DG87" s="54" t="str">
        <f t="shared" si="640"/>
        <v>-</v>
      </c>
      <c r="DH87" s="54" t="str">
        <f t="shared" si="641"/>
        <v>-</v>
      </c>
      <c r="DI87" s="54">
        <f t="shared" si="642"/>
        <v>12223.858267716534</v>
      </c>
      <c r="DJ87" s="54" t="str">
        <f t="shared" si="643"/>
        <v>-</v>
      </c>
      <c r="DK87" s="54">
        <f t="shared" si="644"/>
        <v>13145.638051044085</v>
      </c>
      <c r="DL87" s="54" t="str">
        <f t="shared" si="645"/>
        <v>-</v>
      </c>
      <c r="DM87" s="54" t="str">
        <f t="shared" si="646"/>
        <v>-</v>
      </c>
      <c r="DN87" s="54" t="str">
        <f t="shared" si="647"/>
        <v>-</v>
      </c>
      <c r="DO87" s="54" t="str">
        <f t="shared" si="648"/>
        <v>-</v>
      </c>
      <c r="DP87" s="54" t="str">
        <f t="shared" si="649"/>
        <v>-</v>
      </c>
      <c r="DQ87" s="54" t="str">
        <f t="shared" si="650"/>
        <v>-</v>
      </c>
      <c r="DR87" s="54" t="str">
        <f t="shared" si="651"/>
        <v>-</v>
      </c>
      <c r="DT87" s="112">
        <f t="shared" si="652"/>
        <v>3202.2005569054454</v>
      </c>
      <c r="DU87" s="114">
        <f>IFERROR(SUMIFS('01. KE30'!$X:$X,'01. KE30'!$C:$C,'06. BC BH THEO CUSTOMER-USD'!$D87,'01. KE30'!$F:$F,'06. BC BH THEO CUSTOMER-USD'!$H87,'01. KE30'!$A:$A,'06. BC BH THEO CUSTOMER-USD'!DU$4)-SUMIFS('01. KE30'!$AA:$AA,'01. KE30'!$C:$C,'06. BC BH THEO CUSTOMER-USD'!$D87,'01. KE30'!$F:$F,'06. BC BH THEO CUSTOMER-USD'!$H87,'01. KE30'!$A:$A,'06. BC BH THEO CUSTOMER-USD'!DU$4),"-")</f>
        <v>0</v>
      </c>
      <c r="DV87" s="114">
        <f>IFERROR(SUMIFS('01. KE30'!$X:$X,'01. KE30'!$C:$C,'06. BC BH THEO CUSTOMER-USD'!$D87,'01. KE30'!$F:$F,'06. BC BH THEO CUSTOMER-USD'!$H87,'01. KE30'!$A:$A,'06. BC BH THEO CUSTOMER-USD'!DV$4)-SUMIFS('01. KE30'!$AA:$AA,'01. KE30'!$C:$C,'06. BC BH THEO CUSTOMER-USD'!$D87,'01. KE30'!$F:$F,'06. BC BH THEO CUSTOMER-USD'!$H87,'01. KE30'!$A:$A,'06. BC BH THEO CUSTOMER-USD'!DV$4),"-")</f>
        <v>0</v>
      </c>
      <c r="DW87" s="114">
        <f>IFERROR(SUMIFS('01. KE30'!$X:$X,'01. KE30'!$C:$C,'06. BC BH THEO CUSTOMER-USD'!$D87,'01. KE30'!$F:$F,'06. BC BH THEO CUSTOMER-USD'!$H87,'01. KE30'!$A:$A,'06. BC BH THEO CUSTOMER-USD'!DW$4)-SUMIFS('01. KE30'!$AA:$AA,'01. KE30'!$C:$C,'06. BC BH THEO CUSTOMER-USD'!$D87,'01. KE30'!$F:$F,'06. BC BH THEO CUSTOMER-USD'!$H87,'01. KE30'!$A:$A,'06. BC BH THEO CUSTOMER-USD'!DW$4),"-")</f>
        <v>838.37913385826869</v>
      </c>
      <c r="DX87" s="114">
        <f>IFERROR(SUMIFS('01. KE30'!$X:$X,'01. KE30'!$C:$C,'06. BC BH THEO CUSTOMER-USD'!$D87,'01. KE30'!$F:$F,'06. BC BH THEO CUSTOMER-USD'!$H87,'01. KE30'!$A:$A,'06. BC BH THEO CUSTOMER-USD'!DX$4)-SUMIFS('01. KE30'!$AA:$AA,'01. KE30'!$C:$C,'06. BC BH THEO CUSTOMER-USD'!$D87,'01. KE30'!$F:$F,'06. BC BH THEO CUSTOMER-USD'!$H87,'01. KE30'!$A:$A,'06. BC BH THEO CUSTOMER-USD'!DX$4),"-")</f>
        <v>0</v>
      </c>
      <c r="DY87" s="114">
        <f>IFERROR(SUMIFS('01. KE30'!$X:$X,'01. KE30'!$C:$C,'06. BC BH THEO CUSTOMER-USD'!$D87,'01. KE30'!$F:$F,'06. BC BH THEO CUSTOMER-USD'!$H87,'01. KE30'!$A:$A,'06. BC BH THEO CUSTOMER-USD'!DY$4)-SUMIFS('01. KE30'!$AA:$AA,'01. KE30'!$C:$C,'06. BC BH THEO CUSTOMER-USD'!$D87,'01. KE30'!$F:$F,'06. BC BH THEO CUSTOMER-USD'!$H87,'01. KE30'!$A:$A,'06. BC BH THEO CUSTOMER-USD'!DY$4),"-")</f>
        <v>2363.8214230471767</v>
      </c>
      <c r="DZ87" s="114">
        <f>IFERROR(SUMIFS('01. KE30'!$X:$X,'01. KE30'!$C:$C,'06. BC BH THEO CUSTOMER-USD'!$D87,'01. KE30'!$F:$F,'06. BC BH THEO CUSTOMER-USD'!$H87,'01. KE30'!$A:$A,'06. BC BH THEO CUSTOMER-USD'!DZ$4)-SUMIFS('01. KE30'!$AA:$AA,'01. KE30'!$C:$C,'06. BC BH THEO CUSTOMER-USD'!$D87,'01. KE30'!$F:$F,'06. BC BH THEO CUSTOMER-USD'!$H87,'01. KE30'!$A:$A,'06. BC BH THEO CUSTOMER-USD'!DZ$4),"-")</f>
        <v>0</v>
      </c>
      <c r="EA87" s="114">
        <f>IFERROR(SUMIFS('01. KE30'!$X:$X,'01. KE30'!$C:$C,'06. BC BH THEO CUSTOMER-USD'!$D87,'01. KE30'!$F:$F,'06. BC BH THEO CUSTOMER-USD'!$H87,'01. KE30'!$A:$A,'06. BC BH THEO CUSTOMER-USD'!EA$4)-SUMIFS('01. KE30'!$AA:$AA,'01. KE30'!$C:$C,'06. BC BH THEO CUSTOMER-USD'!$D87,'01. KE30'!$F:$F,'06. BC BH THEO CUSTOMER-USD'!$H87,'01. KE30'!$A:$A,'06. BC BH THEO CUSTOMER-USD'!EA$4),"-")</f>
        <v>0</v>
      </c>
      <c r="EB87" s="114">
        <f>IFERROR(SUMIFS('01. KE30'!$X:$X,'01. KE30'!$C:$C,'06. BC BH THEO CUSTOMER-USD'!$D87,'01. KE30'!$F:$F,'06. BC BH THEO CUSTOMER-USD'!$H87,'01. KE30'!$A:$A,'06. BC BH THEO CUSTOMER-USD'!EB$4)-SUMIFS('01. KE30'!$AA:$AA,'01. KE30'!$C:$C,'06. BC BH THEO CUSTOMER-USD'!$D87,'01. KE30'!$F:$F,'06. BC BH THEO CUSTOMER-USD'!$H87,'01. KE30'!$A:$A,'06. BC BH THEO CUSTOMER-USD'!EB$4),"-")</f>
        <v>0</v>
      </c>
      <c r="EC87" s="114">
        <f>IFERROR(SUMIFS('01. KE30'!$X:$X,'01. KE30'!$C:$C,'06. BC BH THEO CUSTOMER-USD'!$D87,'01. KE30'!$F:$F,'06. BC BH THEO CUSTOMER-USD'!$H87,'01. KE30'!$A:$A,'06. BC BH THEO CUSTOMER-USD'!EC$4)-SUMIFS('01. KE30'!$AA:$AA,'01. KE30'!$C:$C,'06. BC BH THEO CUSTOMER-USD'!$D87,'01. KE30'!$F:$F,'06. BC BH THEO CUSTOMER-USD'!$H87,'01. KE30'!$A:$A,'06. BC BH THEO CUSTOMER-USD'!EC$4),"-")</f>
        <v>0</v>
      </c>
      <c r="ED87" s="114">
        <f>IFERROR(SUMIFS('01. KE30'!$X:$X,'01. KE30'!$C:$C,'06. BC BH THEO CUSTOMER-USD'!$D87,'01. KE30'!$F:$F,'06. BC BH THEO CUSTOMER-USD'!$H87,'01. KE30'!$A:$A,'06. BC BH THEO CUSTOMER-USD'!ED$4)-SUMIFS('01. KE30'!$AA:$AA,'01. KE30'!$C:$C,'06. BC BH THEO CUSTOMER-USD'!$D87,'01. KE30'!$F:$F,'06. BC BH THEO CUSTOMER-USD'!$H87,'01. KE30'!$A:$A,'06. BC BH THEO CUSTOMER-USD'!ED$4),"-")</f>
        <v>0</v>
      </c>
      <c r="EE87" s="114">
        <f>IFERROR(SUMIFS('01. KE30'!$X:$X,'01. KE30'!$C:$C,'06. BC BH THEO CUSTOMER-USD'!$D87,'01. KE30'!$F:$F,'06. BC BH THEO CUSTOMER-USD'!$H87,'01. KE30'!$A:$A,'06. BC BH THEO CUSTOMER-USD'!EE$4)-SUMIFS('01. KE30'!$AA:$AA,'01. KE30'!$C:$C,'06. BC BH THEO CUSTOMER-USD'!$D87,'01. KE30'!$F:$F,'06. BC BH THEO CUSTOMER-USD'!$H87,'01. KE30'!$A:$A,'06. BC BH THEO CUSTOMER-USD'!EE$4),"-")</f>
        <v>0</v>
      </c>
      <c r="EF87" s="114">
        <f>IFERROR(SUMIFS('01. KE30'!$X:$X,'01. KE30'!$C:$C,'06. BC BH THEO CUSTOMER-USD'!$D87,'01. KE30'!$F:$F,'06. BC BH THEO CUSTOMER-USD'!$H87,'01. KE30'!$A:$A,'06. BC BH THEO CUSTOMER-USD'!EF$4)-SUMIFS('01. KE30'!$AA:$AA,'01. KE30'!$C:$C,'06. BC BH THEO CUSTOMER-USD'!$D87,'01. KE30'!$F:$F,'06. BC BH THEO CUSTOMER-USD'!$H87,'01. KE30'!$A:$A,'06. BC BH THEO CUSTOMER-USD'!EF$4),"-")</f>
        <v>0</v>
      </c>
      <c r="EH87" s="571">
        <f t="shared" si="531"/>
        <v>0.12622247271568549</v>
      </c>
      <c r="EI87" s="572" t="str">
        <f t="shared" si="532"/>
        <v>-</v>
      </c>
      <c r="EJ87" s="572" t="str">
        <f t="shared" si="533"/>
        <v>-</v>
      </c>
      <c r="EK87" s="572">
        <f t="shared" si="534"/>
        <v>6.8585475673621443E-2</v>
      </c>
      <c r="EL87" s="572" t="str">
        <f t="shared" si="535"/>
        <v>-</v>
      </c>
      <c r="EM87" s="572">
        <f t="shared" si="536"/>
        <v>0.17981793001363153</v>
      </c>
      <c r="EN87" s="572" t="str">
        <f t="shared" si="537"/>
        <v>-</v>
      </c>
      <c r="EO87" s="572" t="str">
        <f t="shared" si="538"/>
        <v>-</v>
      </c>
      <c r="EP87" s="572" t="str">
        <f t="shared" si="539"/>
        <v>-</v>
      </c>
      <c r="EQ87" s="572" t="str">
        <f t="shared" si="540"/>
        <v>-</v>
      </c>
      <c r="ER87" s="572" t="str">
        <f t="shared" si="541"/>
        <v>-</v>
      </c>
      <c r="ES87" s="572" t="str">
        <f t="shared" si="542"/>
        <v>-</v>
      </c>
      <c r="ET87" s="572" t="str">
        <f t="shared" si="543"/>
        <v>-</v>
      </c>
    </row>
    <row r="88" spans="1:150" ht="15.5" hidden="1" outlineLevel="1" x14ac:dyDescent="0.35">
      <c r="A88" s="27">
        <f t="shared" si="653"/>
        <v>74</v>
      </c>
      <c r="B88" s="27" t="s">
        <v>283</v>
      </c>
      <c r="C88" s="442" t="s">
        <v>489</v>
      </c>
      <c r="D88" s="9" t="s">
        <v>727</v>
      </c>
      <c r="E88" s="12" t="s">
        <v>728</v>
      </c>
      <c r="F88" s="12" t="s">
        <v>245</v>
      </c>
      <c r="G88" s="12" t="str">
        <f>_xlfn.XLOOKUP(F88,'Quy đổi'!$G$5:$G$32,'Quy đổi'!$H$5:$H$32,0)</f>
        <v>Nội địa</v>
      </c>
      <c r="H88" s="76" t="s">
        <v>102</v>
      </c>
      <c r="I88" s="28" t="s">
        <v>101</v>
      </c>
      <c r="J88" s="6" t="s">
        <v>22</v>
      </c>
      <c r="K88" s="11"/>
      <c r="L88" s="92">
        <f t="shared" si="633"/>
        <v>1121.281068524971</v>
      </c>
      <c r="M88" s="106" t="str">
        <f>IFERROR(SUMIFS('01. KE30'!$K:$K,'01. KE30'!$C:$C,'06. BC BH THEO CUSTOMER-USD'!$D88,'01. KE30'!$F:$F,'06. BC BH THEO CUSTOMER-USD'!$H88,'01. KE30'!$A:$A,'06. BC BH THEO CUSTOMER-USD'!M$4)/'06. BC BH THEO CUSTOMER-USD'!CS88/'02. Tỷ giá'!B$5,"-")</f>
        <v>-</v>
      </c>
      <c r="N88" s="106" t="str">
        <f>IFERROR(SUMIFS('01. KE30'!$K:$K,'01. KE30'!$C:$C,'06. BC BH THEO CUSTOMER-USD'!$D88,'01. KE30'!$F:$F,'06. BC BH THEO CUSTOMER-USD'!$H88,'01. KE30'!$A:$A,'06. BC BH THEO CUSTOMER-USD'!N$4)/'06. BC BH THEO CUSTOMER-USD'!CT88/'02. Tỷ giá'!C$5,"-")</f>
        <v>-</v>
      </c>
      <c r="O88" s="106" t="str">
        <f>IFERROR(SUMIFS('01. KE30'!$K:$K,'01. KE30'!$C:$C,'06. BC BH THEO CUSTOMER-USD'!$D88,'01. KE30'!$F:$F,'06. BC BH THEO CUSTOMER-USD'!$H88,'01. KE30'!$A:$A,'06. BC BH THEO CUSTOMER-USD'!O$4)/'06. BC BH THEO CUSTOMER-USD'!CU88/'02. Tỷ giá'!D$5,"-")</f>
        <v>-</v>
      </c>
      <c r="P88" s="106">
        <f>IFERROR(SUMIFS('01. KE30'!$K:$K,'01. KE30'!$C:$C,'06. BC BH THEO CUSTOMER-USD'!$D88,'01. KE30'!$F:$F,'06. BC BH THEO CUSTOMER-USD'!$H88,'01. KE30'!$A:$A,'06. BC BH THEO CUSTOMER-USD'!P$4)/'06. BC BH THEO CUSTOMER-USD'!CV88/'02. Tỷ giá'!E$5,"-")</f>
        <v>1144.6573751451799</v>
      </c>
      <c r="Q88" s="106" t="str">
        <f>IFERROR(SUMIFS('01. KE30'!$K:$K,'01. KE30'!$C:$C,'06. BC BH THEO CUSTOMER-USD'!$D88,'01. KE30'!$F:$F,'06. BC BH THEO CUSTOMER-USD'!$H88,'01. KE30'!$A:$A,'06. BC BH THEO CUSTOMER-USD'!Q$4)/'06. BC BH THEO CUSTOMER-USD'!CW88/'02. Tỷ giá'!F$5,"-")</f>
        <v>-</v>
      </c>
      <c r="R88" s="106" t="str">
        <f>IFERROR(SUMIFS('01. KE30'!$K:$K,'01. KE30'!$C:$C,'06. BC BH THEO CUSTOMER-USD'!$D88,'01. KE30'!$F:$F,'06. BC BH THEO CUSTOMER-USD'!$H88,'01. KE30'!$A:$A,'06. BC BH THEO CUSTOMER-USD'!R$4)/'06. BC BH THEO CUSTOMER-USD'!CX88/'02. Tỷ giá'!G$5,"-")</f>
        <v>-</v>
      </c>
      <c r="S88" s="106" t="str">
        <f>IFERROR(SUMIFS('01. KE30'!$K:$K,'01. KE30'!$C:$C,'06. BC BH THEO CUSTOMER-USD'!$D88,'01. KE30'!$F:$F,'06. BC BH THEO CUSTOMER-USD'!$H88,'01. KE30'!$A:$A,'06. BC BH THEO CUSTOMER-USD'!S$4)/'06. BC BH THEO CUSTOMER-USD'!CY88/'02. Tỷ giá'!H$5,"-")</f>
        <v>-</v>
      </c>
      <c r="T88" s="106" t="str">
        <f>IFERROR(SUMIFS('01. KE30'!$K:$K,'01. KE30'!$C:$C,'06. BC BH THEO CUSTOMER-USD'!$D88,'01. KE30'!$F:$F,'06. BC BH THEO CUSTOMER-USD'!$H88,'01. KE30'!$A:$A,'06. BC BH THEO CUSTOMER-USD'!T$4)/'06. BC BH THEO CUSTOMER-USD'!CZ88/'02. Tỷ giá'!I$5,"-")</f>
        <v>-</v>
      </c>
      <c r="U88" s="106">
        <f>IFERROR(SUMIFS('01. KE30'!$K:$K,'01. KE30'!$C:$C,'06. BC BH THEO CUSTOMER-USD'!$D88,'01. KE30'!$F:$F,'06. BC BH THEO CUSTOMER-USD'!$H88,'01. KE30'!$A:$A,'06. BC BH THEO CUSTOMER-USD'!U$4)/'06. BC BH THEO CUSTOMER-USD'!DA88/'02. Tỷ giá'!J$5,"-")</f>
        <v>1097.9047619047619</v>
      </c>
      <c r="V88" s="106" t="str">
        <f>IFERROR(SUMIFS('01. KE30'!$K:$K,'01. KE30'!$C:$C,'06. BC BH THEO CUSTOMER-USD'!$D88,'01. KE30'!$F:$F,'06. BC BH THEO CUSTOMER-USD'!$H88,'01. KE30'!$A:$A,'06. BC BH THEO CUSTOMER-USD'!V$4)/'06. BC BH THEO CUSTOMER-USD'!DB88/'02. Tỷ giá'!K$5,"-")</f>
        <v>-</v>
      </c>
      <c r="W88" s="106" t="str">
        <f>IFERROR(SUMIFS('01. KE30'!$K:$K,'01. KE30'!$C:$C,'06. BC BH THEO CUSTOMER-USD'!$D88,'01. KE30'!$F:$F,'06. BC BH THEO CUSTOMER-USD'!$H88,'01. KE30'!$A:$A,'06. BC BH THEO CUSTOMER-USD'!W$4)/'06. BC BH THEO CUSTOMER-USD'!DC88/'02. Tỷ giá'!L$5,"-")</f>
        <v>-</v>
      </c>
      <c r="X88" s="106" t="str">
        <f>IFERROR(SUMIFS('01. KE30'!$K:$K,'01. KE30'!$C:$C,'06. BC BH THEO CUSTOMER-USD'!$D88,'01. KE30'!$F:$F,'06. BC BH THEO CUSTOMER-USD'!$H88,'01. KE30'!$A:$A,'06. BC BH THEO CUSTOMER-USD'!X$4)/'06. BC BH THEO CUSTOMER-USD'!DD88/'02. Tỷ giá'!M$5,"-")</f>
        <v>-</v>
      </c>
      <c r="Z88" s="92">
        <f t="shared" si="634"/>
        <v>1103.024914440573</v>
      </c>
      <c r="AA88" s="147" t="str">
        <f>IFERROR(SUMIFS('01. KE30'!$O:$O,'01. KE30'!$C:$C,'06. BC BH THEO CUSTOMER-USD'!$D88,'01. KE30'!$F:$F,'06. BC BH THEO CUSTOMER-USD'!$H88,'01. KE30'!$A:$A,'06. BC BH THEO CUSTOMER-USD'!M$4)/'06. BC BH THEO CUSTOMER-USD'!CS88/'02. Tỷ giá'!B$5,"-")</f>
        <v>-</v>
      </c>
      <c r="AB88" s="147" t="str">
        <f>IFERROR(SUMIFS('01. KE30'!$O:$O,'01. KE30'!$C:$C,'06. BC BH THEO CUSTOMER-USD'!$D88,'01. KE30'!$F:$F,'06. BC BH THEO CUSTOMER-USD'!$H88,'01. KE30'!$A:$A,'06. BC BH THEO CUSTOMER-USD'!N$4)/'06. BC BH THEO CUSTOMER-USD'!CT88/'02. Tỷ giá'!C$5,"-")</f>
        <v>-</v>
      </c>
      <c r="AC88" s="147" t="str">
        <f>IFERROR(SUMIFS('01. KE30'!$O:$O,'01. KE30'!$C:$C,'06. BC BH THEO CUSTOMER-USD'!$D88,'01. KE30'!$F:$F,'06. BC BH THEO CUSTOMER-USD'!$H88,'01. KE30'!$A:$A,'06. BC BH THEO CUSTOMER-USD'!O$4)/'06. BC BH THEO CUSTOMER-USD'!CU88/'02. Tỷ giá'!D$5,"-")</f>
        <v>-</v>
      </c>
      <c r="AD88" s="147">
        <f>IFERROR(SUMIFS('01. KE30'!$O:$O,'01. KE30'!$C:$C,'06. BC BH THEO CUSTOMER-USD'!$D88,'01. KE30'!$F:$F,'06. BC BH THEO CUSTOMER-USD'!$H88,'01. KE30'!$A:$A,'06. BC BH THEO CUSTOMER-USD'!P$4)/'06. BC BH THEO CUSTOMER-USD'!CV88/'02. Tỷ giá'!E$5,"-")</f>
        <v>1126.5967293140463</v>
      </c>
      <c r="AE88" s="147" t="str">
        <f>IFERROR(SUMIFS('01. KE30'!$O:$O,'01. KE30'!$C:$C,'06. BC BH THEO CUSTOMER-USD'!$D88,'01. KE30'!$F:$F,'06. BC BH THEO CUSTOMER-USD'!$H88,'01. KE30'!$A:$A,'06. BC BH THEO CUSTOMER-USD'!Q$4)/'06. BC BH THEO CUSTOMER-USD'!CW88/'02. Tỷ giá'!F$5,"-")</f>
        <v>-</v>
      </c>
      <c r="AF88" s="147" t="str">
        <f>IFERROR(SUMIFS('01. KE30'!$O:$O,'01. KE30'!$C:$C,'06. BC BH THEO CUSTOMER-USD'!$D88,'01. KE30'!$F:$F,'06. BC BH THEO CUSTOMER-USD'!$H88,'01. KE30'!$A:$A,'06. BC BH THEO CUSTOMER-USD'!R$4)/'06. BC BH THEO CUSTOMER-USD'!CX88/'02. Tỷ giá'!G$5,"-")</f>
        <v>-</v>
      </c>
      <c r="AG88" s="147" t="str">
        <f>IFERROR(SUMIFS('01. KE30'!$O:$O,'01. KE30'!$C:$C,'06. BC BH THEO CUSTOMER-USD'!$D88,'01. KE30'!$F:$F,'06. BC BH THEO CUSTOMER-USD'!$H88,'01. KE30'!$A:$A,'06. BC BH THEO CUSTOMER-USD'!S$4)/'06. BC BH THEO CUSTOMER-USD'!CY88/'02. Tỷ giá'!H$5,"-")</f>
        <v>-</v>
      </c>
      <c r="AH88" s="147" t="str">
        <f>IFERROR(SUMIFS('01. KE30'!$O:$O,'01. KE30'!$C:$C,'06. BC BH THEO CUSTOMER-USD'!$D88,'01. KE30'!$F:$F,'06. BC BH THEO CUSTOMER-USD'!$H88,'01. KE30'!$A:$A,'06. BC BH THEO CUSTOMER-USD'!T$4)/'06. BC BH THEO CUSTOMER-USD'!CZ88/'02. Tỷ giá'!I$5,"-")</f>
        <v>-</v>
      </c>
      <c r="AI88" s="147">
        <f>IFERROR(SUMIFS('01. KE30'!$O:$O,'01. KE30'!$C:$C,'06. BC BH THEO CUSTOMER-USD'!$D88,'01. KE30'!$F:$F,'06. BC BH THEO CUSTOMER-USD'!$H88,'01. KE30'!$A:$A,'06. BC BH THEO CUSTOMER-USD'!U$4)/'06. BC BH THEO CUSTOMER-USD'!DA88/'02. Tỷ giá'!J$5,"-")</f>
        <v>1079.4530995670996</v>
      </c>
      <c r="AJ88" s="147" t="str">
        <f>IFERROR(SUMIFS('01. KE30'!$O:$O,'01. KE30'!$C:$C,'06. BC BH THEO CUSTOMER-USD'!$D88,'01. KE30'!$F:$F,'06. BC BH THEO CUSTOMER-USD'!$H88,'01. KE30'!$A:$A,'06. BC BH THEO CUSTOMER-USD'!V$4)/'06. BC BH THEO CUSTOMER-USD'!DB88/'02. Tỷ giá'!K$5,"-")</f>
        <v>-</v>
      </c>
      <c r="AK88" s="147" t="str">
        <f>IFERROR(SUMIFS('01. KE30'!$O:$O,'01. KE30'!$C:$C,'06. BC BH THEO CUSTOMER-USD'!$D88,'01. KE30'!$F:$F,'06. BC BH THEO CUSTOMER-USD'!$H88,'01. KE30'!$A:$A,'06. BC BH THEO CUSTOMER-USD'!W$4)/'06. BC BH THEO CUSTOMER-USD'!DC88/'02. Tỷ giá'!L$5,"-")</f>
        <v>-</v>
      </c>
      <c r="AL88" s="147" t="str">
        <f>IFERROR(SUMIFS('01. KE30'!$O:$O,'01. KE30'!$C:$C,'06. BC BH THEO CUSTOMER-USD'!$D88,'01. KE30'!$F:$F,'06. BC BH THEO CUSTOMER-USD'!$H88,'01. KE30'!$A:$A,'06. BC BH THEO CUSTOMER-USD'!X$4)/'06. BC BH THEO CUSTOMER-USD'!DD88/'02. Tỷ giá'!M$5,"-")</f>
        <v>-</v>
      </c>
      <c r="AN88" s="92">
        <f t="shared" si="635"/>
        <v>1166.6666666666667</v>
      </c>
      <c r="AO88" s="25">
        <v>1160</v>
      </c>
      <c r="AP88" s="25">
        <v>1160</v>
      </c>
      <c r="AQ88" s="25">
        <v>1160</v>
      </c>
      <c r="AR88" s="4">
        <f t="shared" si="636"/>
        <v>1180</v>
      </c>
      <c r="AS88" s="4">
        <v>1180</v>
      </c>
      <c r="AT88" s="4">
        <v>1180</v>
      </c>
      <c r="AU88" s="4">
        <v>1180</v>
      </c>
      <c r="AV88" s="4">
        <f t="shared" si="205"/>
        <v>1150</v>
      </c>
      <c r="AW88" s="25">
        <v>1150</v>
      </c>
      <c r="AX88" s="25"/>
      <c r="AY88" s="4"/>
      <c r="AZ88" s="4"/>
      <c r="BB88" s="95">
        <f t="shared" si="637"/>
        <v>-63.641752226093786</v>
      </c>
      <c r="BC88" s="95" t="str">
        <f t="shared" si="638"/>
        <v>-</v>
      </c>
      <c r="BD88" s="95" t="str">
        <f t="shared" si="516"/>
        <v>-</v>
      </c>
      <c r="BE88" s="95" t="str">
        <f t="shared" si="516"/>
        <v>-</v>
      </c>
      <c r="BF88" s="95">
        <f t="shared" si="516"/>
        <v>-53.403270685953657</v>
      </c>
      <c r="BG88" s="95" t="str">
        <f t="shared" si="516"/>
        <v>-</v>
      </c>
      <c r="BH88" s="95" t="str">
        <f t="shared" si="516"/>
        <v>-</v>
      </c>
      <c r="BI88" s="95" t="str">
        <f t="shared" si="516"/>
        <v>-</v>
      </c>
      <c r="BJ88" s="95" t="str">
        <f t="shared" si="516"/>
        <v>-</v>
      </c>
      <c r="BK88" s="95">
        <f t="shared" si="516"/>
        <v>-70.546900432900429</v>
      </c>
      <c r="BL88" s="95" t="str">
        <f t="shared" si="516"/>
        <v>-</v>
      </c>
      <c r="BM88" s="95" t="str">
        <f t="shared" si="516"/>
        <v>-</v>
      </c>
      <c r="BN88" s="95" t="str">
        <f t="shared" si="516"/>
        <v>-</v>
      </c>
      <c r="BP88" s="143">
        <f t="shared" si="639"/>
        <v>-5.4550073336651815E-2</v>
      </c>
      <c r="BQ88" s="143" t="str">
        <f t="shared" si="517"/>
        <v>-</v>
      </c>
      <c r="BR88" s="143" t="str">
        <f t="shared" si="518"/>
        <v>-</v>
      </c>
      <c r="BS88" s="143" t="str">
        <f t="shared" si="519"/>
        <v>-</v>
      </c>
      <c r="BT88" s="143">
        <f t="shared" si="520"/>
        <v>-4.525700905589293E-2</v>
      </c>
      <c r="BU88" s="143" t="str">
        <f t="shared" si="521"/>
        <v>-</v>
      </c>
      <c r="BV88" s="143" t="str">
        <f t="shared" si="522"/>
        <v>-</v>
      </c>
      <c r="BW88" s="143" t="str">
        <f t="shared" si="523"/>
        <v>-</v>
      </c>
      <c r="BX88" s="143" t="str">
        <f t="shared" si="524"/>
        <v>-</v>
      </c>
      <c r="BY88" s="143">
        <f t="shared" si="525"/>
        <v>-6.1345130811217764E-2</v>
      </c>
      <c r="BZ88" s="143" t="str">
        <f t="shared" si="526"/>
        <v>-</v>
      </c>
      <c r="CA88" s="143" t="str">
        <f t="shared" si="527"/>
        <v>-</v>
      </c>
      <c r="CB88" s="143" t="str">
        <f t="shared" si="528"/>
        <v>-</v>
      </c>
      <c r="CD88" s="112">
        <f t="shared" si="529"/>
        <v>999.11860614507441</v>
      </c>
      <c r="CE88" s="95" t="str">
        <f>IFERROR(SUMIFS('01. KE30'!$R:$R,'01. KE30'!$C:$C,'06. BC BH THEO CUSTOMER-USD'!$D88,'01. KE30'!$F:$F,'06. BC BH THEO CUSTOMER-USD'!$H88,'01. KE30'!$A:$A,'06. BC BH THEO CUSTOMER-USD'!CE$4)/CS88/'02. Tỷ giá'!B$5," -")</f>
        <v xml:space="preserve"> -</v>
      </c>
      <c r="CF88" s="95" t="str">
        <f>IFERROR(SUMIFS('01. KE30'!$R:$R,'01. KE30'!$C:$C,'06. BC BH THEO CUSTOMER-USD'!$D88,'01. KE30'!$F:$F,'06. BC BH THEO CUSTOMER-USD'!$H88,'01. KE30'!$A:$A,'06. BC BH THEO CUSTOMER-USD'!CF$4)/CT88/'02. Tỷ giá'!C$5," -")</f>
        <v xml:space="preserve"> -</v>
      </c>
      <c r="CG88" s="95" t="str">
        <f>IFERROR(SUMIFS('01. KE30'!$R:$R,'01. KE30'!$C:$C,'06. BC BH THEO CUSTOMER-USD'!$D88,'01. KE30'!$F:$F,'06. BC BH THEO CUSTOMER-USD'!$H88,'01. KE30'!$A:$A,'06. BC BH THEO CUSTOMER-USD'!CG$4)/CU88/'02. Tỷ giá'!D$5," -")</f>
        <v xml:space="preserve"> -</v>
      </c>
      <c r="CH88" s="95">
        <f>IFERROR(SUMIFS('01. KE30'!$R:$R,'01. KE30'!$C:$C,'06. BC BH THEO CUSTOMER-USD'!$D88,'01. KE30'!$F:$F,'06. BC BH THEO CUSTOMER-USD'!$H88,'01. KE30'!$A:$A,'06. BC BH THEO CUSTOMER-USD'!CH$4)/CV88/'02. Tỷ giá'!E$5," -")</f>
        <v>1016.4632140217506</v>
      </c>
      <c r="CI88" s="95" t="str">
        <f>IFERROR(SUMIFS('01. KE30'!$R:$R,'01. KE30'!$C:$C,'06. BC BH THEO CUSTOMER-USD'!$D88,'01. KE30'!$F:$F,'06. BC BH THEO CUSTOMER-USD'!$H88,'01. KE30'!$A:$A,'06. BC BH THEO CUSTOMER-USD'!CI$4)/CW88/'02. Tỷ giá'!F$5," -")</f>
        <v xml:space="preserve"> -</v>
      </c>
      <c r="CJ88" s="95" t="str">
        <f>IFERROR(SUMIFS('01. KE30'!$R:$R,'01. KE30'!$C:$C,'06. BC BH THEO CUSTOMER-USD'!$D88,'01. KE30'!$F:$F,'06. BC BH THEO CUSTOMER-USD'!$H88,'01. KE30'!$A:$A,'06. BC BH THEO CUSTOMER-USD'!CJ$4)/CX88/'02. Tỷ giá'!G$5," -")</f>
        <v xml:space="preserve"> -</v>
      </c>
      <c r="CK88" s="95" t="str">
        <f>IFERROR(SUMIFS('01. KE30'!$R:$R,'01. KE30'!$C:$C,'06. BC BH THEO CUSTOMER-USD'!$D88,'01. KE30'!$F:$F,'06. BC BH THEO CUSTOMER-USD'!$H88,'01. KE30'!$A:$A,'06. BC BH THEO CUSTOMER-USD'!CK$4)/CY88/'02. Tỷ giá'!H$5," -")</f>
        <v xml:space="preserve"> -</v>
      </c>
      <c r="CL88" s="95" t="str">
        <f>IFERROR(SUMIFS('01. KE30'!$R:$R,'01. KE30'!$C:$C,'06. BC BH THEO CUSTOMER-USD'!$D88,'01. KE30'!$F:$F,'06. BC BH THEO CUSTOMER-USD'!$H88,'01. KE30'!$A:$A,'06. BC BH THEO CUSTOMER-USD'!CL$4)/CZ88/'02. Tỷ giá'!I$5," -")</f>
        <v xml:space="preserve"> -</v>
      </c>
      <c r="CM88" s="95">
        <f>IFERROR(SUMIFS('01. KE30'!$R:$R,'01. KE30'!$C:$C,'06. BC BH THEO CUSTOMER-USD'!$D88,'01. KE30'!$F:$F,'06. BC BH THEO CUSTOMER-USD'!$H88,'01. KE30'!$A:$A,'06. BC BH THEO CUSTOMER-USD'!CM$4)/DA88/'02. Tỷ giá'!J$5," -")</f>
        <v>981.77399826839826</v>
      </c>
      <c r="CN88" s="95" t="str">
        <f>IFERROR(SUMIFS('01. KE30'!$R:$R,'01. KE30'!$C:$C,'06. BC BH THEO CUSTOMER-USD'!$D88,'01. KE30'!$F:$F,'06. BC BH THEO CUSTOMER-USD'!$H88,'01. KE30'!$A:$A,'06. BC BH THEO CUSTOMER-USD'!CN$4)/DB88/'02. Tỷ giá'!K$5," -")</f>
        <v xml:space="preserve"> -</v>
      </c>
      <c r="CO88" s="95" t="str">
        <f>IFERROR(SUMIFS('01. KE30'!$R:$R,'01. KE30'!$C:$C,'06. BC BH THEO CUSTOMER-USD'!$D88,'01. KE30'!$F:$F,'06. BC BH THEO CUSTOMER-USD'!$H88,'01. KE30'!$A:$A,'06. BC BH THEO CUSTOMER-USD'!CO$4)/DC88/'02. Tỷ giá'!L$5," -")</f>
        <v xml:space="preserve"> -</v>
      </c>
      <c r="CP88" s="95" t="str">
        <f>IFERROR(SUMIFS('01. KE30'!$R:$R,'01. KE30'!$C:$C,'06. BC BH THEO CUSTOMER-USD'!$D88,'01. KE30'!$F:$F,'06. BC BH THEO CUSTOMER-USD'!$H88,'01. KE30'!$A:$A,'06. BC BH THEO CUSTOMER-USD'!CP$4)/DD88/'02. Tỷ giá'!M$5," -")</f>
        <v xml:space="preserve"> -</v>
      </c>
      <c r="CR88" s="112">
        <f t="shared" si="266"/>
        <v>176</v>
      </c>
      <c r="CS88" s="114">
        <f>SUMIFS('01. KE30'!$I:$I,'01. KE30'!$C:$C,'06. BC BH THEO CUSTOMER-USD'!$D88,'01. KE30'!$F:$F,'06. BC BH THEO CUSTOMER-USD'!$H88,'01. KE30'!$A:$A,'06. BC BH THEO CUSTOMER-USD'!CS$4)/1000</f>
        <v>0</v>
      </c>
      <c r="CT88" s="114">
        <f>SUMIFS('01. KE30'!$I:$I,'01. KE30'!$C:$C,'06. BC BH THEO CUSTOMER-USD'!$D88,'01. KE30'!$F:$F,'06. BC BH THEO CUSTOMER-USD'!$H88,'01. KE30'!$A:$A,'06. BC BH THEO CUSTOMER-USD'!CT$4)/1000</f>
        <v>0</v>
      </c>
      <c r="CU88" s="114">
        <f>SUMIFS('01. KE30'!$I:$I,'01. KE30'!$C:$C,'06. BC BH THEO CUSTOMER-USD'!$D88,'01. KE30'!$F:$F,'06. BC BH THEO CUSTOMER-USD'!$H88,'01. KE30'!$A:$A,'06. BC BH THEO CUSTOMER-USD'!CU$4)/1000</f>
        <v>0</v>
      </c>
      <c r="CV88" s="725">
        <f>SUMIFS('01. KE30'!$I:$I,'01. KE30'!$C:$C,'06. BC BH THEO CUSTOMER-USD'!$D88,'01. KE30'!$F:$F,'06. BC BH THEO CUSTOMER-USD'!$H88,'01. KE30'!$A:$A,'06. BC BH THEO CUSTOMER-USD'!CV$4)/1000</f>
        <v>110</v>
      </c>
      <c r="CW88" s="114">
        <f>SUMIFS('01. KE30'!$I:$I,'01. KE30'!$C:$C,'06. BC BH THEO CUSTOMER-USD'!$D88,'01. KE30'!$F:$F,'06. BC BH THEO CUSTOMER-USD'!$H88,'01. KE30'!$A:$A,'06. BC BH THEO CUSTOMER-USD'!CW$4)/1000</f>
        <v>0</v>
      </c>
      <c r="CX88" s="114">
        <f>SUMIFS('01. KE30'!$I:$I,'01. KE30'!$C:$C,'06. BC BH THEO CUSTOMER-USD'!$D88,'01. KE30'!$F:$F,'06. BC BH THEO CUSTOMER-USD'!$H88,'01. KE30'!$A:$A,'06. BC BH THEO CUSTOMER-USD'!CX$4)/1000</f>
        <v>0</v>
      </c>
      <c r="CY88" s="114">
        <f>SUMIFS('01. KE30'!$I:$I,'01. KE30'!$C:$C,'06. BC BH THEO CUSTOMER-USD'!$D88,'01. KE30'!$F:$F,'06. BC BH THEO CUSTOMER-USD'!$H88,'01. KE30'!$A:$A,'06. BC BH THEO CUSTOMER-USD'!CY$4)/1000</f>
        <v>0</v>
      </c>
      <c r="CZ88" s="114">
        <f>SUMIFS('01. KE30'!$I:$I,'01. KE30'!$C:$C,'06. BC BH THEO CUSTOMER-USD'!$D88,'01. KE30'!$F:$F,'06. BC BH THEO CUSTOMER-USD'!$H88,'01. KE30'!$A:$A,'06. BC BH THEO CUSTOMER-USD'!CZ$4)/1000</f>
        <v>0</v>
      </c>
      <c r="DA88" s="114">
        <f>SUMIFS('01. KE30'!$I:$I,'01. KE30'!$C:$C,'06. BC BH THEO CUSTOMER-USD'!$D88,'01. KE30'!$F:$F,'06. BC BH THEO CUSTOMER-USD'!$H88,'01. KE30'!$A:$A,'06. BC BH THEO CUSTOMER-USD'!DA$4)/1000</f>
        <v>66</v>
      </c>
      <c r="DB88" s="114">
        <f>SUMIFS('01. KE30'!$I:$I,'01. KE30'!$C:$C,'06. BC BH THEO CUSTOMER-USD'!$D88,'01. KE30'!$F:$F,'06. BC BH THEO CUSTOMER-USD'!$H88,'01. KE30'!$A:$A,'06. BC BH THEO CUSTOMER-USD'!DB$4)/1000</f>
        <v>0</v>
      </c>
      <c r="DC88" s="114">
        <f>SUMIFS('01. KE30'!$I:$I,'01. KE30'!$C:$C,'06. BC BH THEO CUSTOMER-USD'!$D88,'01. KE30'!$F:$F,'06. BC BH THEO CUSTOMER-USD'!$H88,'01. KE30'!$A:$A,'06. BC BH THEO CUSTOMER-USD'!DC$4)/1000</f>
        <v>0</v>
      </c>
      <c r="DD88" s="114">
        <f>SUMIFS('01. KE30'!$I:$I,'01. KE30'!$C:$C,'06. BC BH THEO CUSTOMER-USD'!$D88,'01. KE30'!$F:$F,'06. BC BH THEO CUSTOMER-USD'!$H88,'01. KE30'!$A:$A,'06. BC BH THEO CUSTOMER-USD'!DD$4)/1000</f>
        <v>0</v>
      </c>
      <c r="DF88" s="112">
        <f t="shared" si="267"/>
        <v>198374.02555168408</v>
      </c>
      <c r="DG88" s="54" t="str">
        <f t="shared" si="640"/>
        <v>-</v>
      </c>
      <c r="DH88" s="54" t="str">
        <f t="shared" si="641"/>
        <v>-</v>
      </c>
      <c r="DI88" s="54" t="str">
        <f t="shared" si="642"/>
        <v>-</v>
      </c>
      <c r="DJ88" s="54">
        <f t="shared" si="643"/>
        <v>125912.31126596979</v>
      </c>
      <c r="DK88" s="54" t="str">
        <f t="shared" si="644"/>
        <v>-</v>
      </c>
      <c r="DL88" s="54" t="str">
        <f t="shared" si="645"/>
        <v>-</v>
      </c>
      <c r="DM88" s="54" t="str">
        <f t="shared" si="646"/>
        <v>-</v>
      </c>
      <c r="DN88" s="54" t="str">
        <f t="shared" si="647"/>
        <v>-</v>
      </c>
      <c r="DO88" s="54">
        <f t="shared" si="648"/>
        <v>72461.71428571429</v>
      </c>
      <c r="DP88" s="54" t="str">
        <f t="shared" si="649"/>
        <v>-</v>
      </c>
      <c r="DQ88" s="54" t="str">
        <f t="shared" si="650"/>
        <v>-</v>
      </c>
      <c r="DR88" s="54" t="str">
        <f t="shared" si="651"/>
        <v>-</v>
      </c>
      <c r="DT88" s="112">
        <f t="shared" si="652"/>
        <v>18561.50736786682</v>
      </c>
      <c r="DU88" s="114">
        <f>IFERROR(SUMIFS('01. KE30'!$X:$X,'01. KE30'!$C:$C,'06. BC BH THEO CUSTOMER-USD'!$D88,'01. KE30'!$F:$F,'06. BC BH THEO CUSTOMER-USD'!$H88,'01. KE30'!$A:$A,'06. BC BH THEO CUSTOMER-USD'!DU$4)-SUMIFS('01. KE30'!$AA:$AA,'01. KE30'!$C:$C,'06. BC BH THEO CUSTOMER-USD'!$D88,'01. KE30'!$F:$F,'06. BC BH THEO CUSTOMER-USD'!$H88,'01. KE30'!$A:$A,'06. BC BH THEO CUSTOMER-USD'!DU$4),"-")</f>
        <v>0</v>
      </c>
      <c r="DV88" s="114">
        <f>IFERROR(SUMIFS('01. KE30'!$X:$X,'01. KE30'!$C:$C,'06. BC BH THEO CUSTOMER-USD'!$D88,'01. KE30'!$F:$F,'06. BC BH THEO CUSTOMER-USD'!$H88,'01. KE30'!$A:$A,'06. BC BH THEO CUSTOMER-USD'!DV$4)-SUMIFS('01. KE30'!$AA:$AA,'01. KE30'!$C:$C,'06. BC BH THEO CUSTOMER-USD'!$D88,'01. KE30'!$F:$F,'06. BC BH THEO CUSTOMER-USD'!$H88,'01. KE30'!$A:$A,'06. BC BH THEO CUSTOMER-USD'!DV$4),"-")</f>
        <v>0</v>
      </c>
      <c r="DW88" s="114">
        <f>IFERROR(SUMIFS('01. KE30'!$X:$X,'01. KE30'!$C:$C,'06. BC BH THEO CUSTOMER-USD'!$D88,'01. KE30'!$F:$F,'06. BC BH THEO CUSTOMER-USD'!$H88,'01. KE30'!$A:$A,'06. BC BH THEO CUSTOMER-USD'!DW$4)-SUMIFS('01. KE30'!$AA:$AA,'01. KE30'!$C:$C,'06. BC BH THEO CUSTOMER-USD'!$D88,'01. KE30'!$F:$F,'06. BC BH THEO CUSTOMER-USD'!$H88,'01. KE30'!$A:$A,'06. BC BH THEO CUSTOMER-USD'!DW$4),"-")</f>
        <v>0</v>
      </c>
      <c r="DX88" s="114">
        <f>IFERROR(SUMIFS('01. KE30'!$X:$X,'01. KE30'!$C:$C,'06. BC BH THEO CUSTOMER-USD'!$D88,'01. KE30'!$F:$F,'06. BC BH THEO CUSTOMER-USD'!$H88,'01. KE30'!$A:$A,'06. BC BH THEO CUSTOMER-USD'!DX$4)-SUMIFS('01. KE30'!$AA:$AA,'01. KE30'!$C:$C,'06. BC BH THEO CUSTOMER-USD'!$D88,'01. KE30'!$F:$F,'06. BC BH THEO CUSTOMER-USD'!$H88,'01. KE30'!$A:$A,'06. BC BH THEO CUSTOMER-USD'!DX$4),"-")</f>
        <v>12114.686682152533</v>
      </c>
      <c r="DY88" s="114">
        <f>IFERROR(SUMIFS('01. KE30'!$X:$X,'01. KE30'!$C:$C,'06. BC BH THEO CUSTOMER-USD'!$D88,'01. KE30'!$F:$F,'06. BC BH THEO CUSTOMER-USD'!$H88,'01. KE30'!$A:$A,'06. BC BH THEO CUSTOMER-USD'!DY$4)-SUMIFS('01. KE30'!$AA:$AA,'01. KE30'!$C:$C,'06. BC BH THEO CUSTOMER-USD'!$D88,'01. KE30'!$F:$F,'06. BC BH THEO CUSTOMER-USD'!$H88,'01. KE30'!$A:$A,'06. BC BH THEO CUSTOMER-USD'!DY$4),"-")</f>
        <v>0</v>
      </c>
      <c r="DZ88" s="114">
        <f>IFERROR(SUMIFS('01. KE30'!$X:$X,'01. KE30'!$C:$C,'06. BC BH THEO CUSTOMER-USD'!$D88,'01. KE30'!$F:$F,'06. BC BH THEO CUSTOMER-USD'!$H88,'01. KE30'!$A:$A,'06. BC BH THEO CUSTOMER-USD'!DZ$4)-SUMIFS('01. KE30'!$AA:$AA,'01. KE30'!$C:$C,'06. BC BH THEO CUSTOMER-USD'!$D88,'01. KE30'!$F:$F,'06. BC BH THEO CUSTOMER-USD'!$H88,'01. KE30'!$A:$A,'06. BC BH THEO CUSTOMER-USD'!DZ$4),"-")</f>
        <v>0</v>
      </c>
      <c r="EA88" s="114">
        <f>IFERROR(SUMIFS('01. KE30'!$X:$X,'01. KE30'!$C:$C,'06. BC BH THEO CUSTOMER-USD'!$D88,'01. KE30'!$F:$F,'06. BC BH THEO CUSTOMER-USD'!$H88,'01. KE30'!$A:$A,'06. BC BH THEO CUSTOMER-USD'!EA$4)-SUMIFS('01. KE30'!$AA:$AA,'01. KE30'!$C:$C,'06. BC BH THEO CUSTOMER-USD'!$D88,'01. KE30'!$F:$F,'06. BC BH THEO CUSTOMER-USD'!$H88,'01. KE30'!$A:$A,'06. BC BH THEO CUSTOMER-USD'!EA$4),"-")</f>
        <v>0</v>
      </c>
      <c r="EB88" s="114">
        <f>IFERROR(SUMIFS('01. KE30'!$X:$X,'01. KE30'!$C:$C,'06. BC BH THEO CUSTOMER-USD'!$D88,'01. KE30'!$F:$F,'06. BC BH THEO CUSTOMER-USD'!$H88,'01. KE30'!$A:$A,'06. BC BH THEO CUSTOMER-USD'!EB$4)-SUMIFS('01. KE30'!$AA:$AA,'01. KE30'!$C:$C,'06. BC BH THEO CUSTOMER-USD'!$D88,'01. KE30'!$F:$F,'06. BC BH THEO CUSTOMER-USD'!$H88,'01. KE30'!$A:$A,'06. BC BH THEO CUSTOMER-USD'!EB$4),"-")</f>
        <v>0</v>
      </c>
      <c r="EC88" s="114">
        <f>IFERROR(SUMIFS('01. KE30'!$X:$X,'01. KE30'!$C:$C,'06. BC BH THEO CUSTOMER-USD'!$D88,'01. KE30'!$F:$F,'06. BC BH THEO CUSTOMER-USD'!$H88,'01. KE30'!$A:$A,'06. BC BH THEO CUSTOMER-USD'!EC$4)-SUMIFS('01. KE30'!$AA:$AA,'01. KE30'!$C:$C,'06. BC BH THEO CUSTOMER-USD'!$D88,'01. KE30'!$F:$F,'06. BC BH THEO CUSTOMER-USD'!$H88,'01. KE30'!$A:$A,'06. BC BH THEO CUSTOMER-USD'!EC$4),"-")</f>
        <v>6446.8206857142868</v>
      </c>
      <c r="ED88" s="114">
        <f>IFERROR(SUMIFS('01. KE30'!$X:$X,'01. KE30'!$C:$C,'06. BC BH THEO CUSTOMER-USD'!$D88,'01. KE30'!$F:$F,'06. BC BH THEO CUSTOMER-USD'!$H88,'01. KE30'!$A:$A,'06. BC BH THEO CUSTOMER-USD'!ED$4)-SUMIFS('01. KE30'!$AA:$AA,'01. KE30'!$C:$C,'06. BC BH THEO CUSTOMER-USD'!$D88,'01. KE30'!$F:$F,'06. BC BH THEO CUSTOMER-USD'!$H88,'01. KE30'!$A:$A,'06. BC BH THEO CUSTOMER-USD'!ED$4),"-")</f>
        <v>0</v>
      </c>
      <c r="EE88" s="114">
        <f>IFERROR(SUMIFS('01. KE30'!$X:$X,'01. KE30'!$C:$C,'06. BC BH THEO CUSTOMER-USD'!$D88,'01. KE30'!$F:$F,'06. BC BH THEO CUSTOMER-USD'!$H88,'01. KE30'!$A:$A,'06. BC BH THEO CUSTOMER-USD'!EE$4)-SUMIFS('01. KE30'!$AA:$AA,'01. KE30'!$C:$C,'06. BC BH THEO CUSTOMER-USD'!$D88,'01. KE30'!$F:$F,'06. BC BH THEO CUSTOMER-USD'!$H88,'01. KE30'!$A:$A,'06. BC BH THEO CUSTOMER-USD'!EE$4),"-")</f>
        <v>0</v>
      </c>
      <c r="EF88" s="114">
        <f>IFERROR(SUMIFS('01. KE30'!$X:$X,'01. KE30'!$C:$C,'06. BC BH THEO CUSTOMER-USD'!$D88,'01. KE30'!$F:$F,'06. BC BH THEO CUSTOMER-USD'!$H88,'01. KE30'!$A:$A,'06. BC BH THEO CUSTOMER-USD'!EF$4)-SUMIFS('01. KE30'!$AA:$AA,'01. KE30'!$C:$C,'06. BC BH THEO CUSTOMER-USD'!$D88,'01. KE30'!$F:$F,'06. BC BH THEO CUSTOMER-USD'!$H88,'01. KE30'!$A:$A,'06. BC BH THEO CUSTOMER-USD'!EF$4),"-")</f>
        <v>0</v>
      </c>
      <c r="EH88" s="571">
        <f t="shared" si="531"/>
        <v>9.3568234632768643E-2</v>
      </c>
      <c r="EI88" s="572" t="str">
        <f t="shared" si="532"/>
        <v>-</v>
      </c>
      <c r="EJ88" s="572" t="str">
        <f t="shared" si="533"/>
        <v>-</v>
      </c>
      <c r="EK88" s="572" t="str">
        <f t="shared" si="534"/>
        <v>-</v>
      </c>
      <c r="EL88" s="572">
        <f t="shared" si="535"/>
        <v>9.6215267278845967E-2</v>
      </c>
      <c r="EM88" s="572" t="str">
        <f t="shared" si="536"/>
        <v>-</v>
      </c>
      <c r="EN88" s="572" t="str">
        <f t="shared" si="537"/>
        <v>-</v>
      </c>
      <c r="EO88" s="572" t="str">
        <f t="shared" si="538"/>
        <v>-</v>
      </c>
      <c r="EP88" s="572" t="str">
        <f t="shared" si="539"/>
        <v>-</v>
      </c>
      <c r="EQ88" s="572">
        <f t="shared" si="540"/>
        <v>8.8968647088511779E-2</v>
      </c>
      <c r="ER88" s="572" t="str">
        <f t="shared" si="541"/>
        <v>-</v>
      </c>
      <c r="ES88" s="572" t="str">
        <f t="shared" si="542"/>
        <v>-</v>
      </c>
      <c r="ET88" s="572" t="str">
        <f t="shared" si="543"/>
        <v>-</v>
      </c>
    </row>
    <row r="89" spans="1:150" ht="15.5" hidden="1" outlineLevel="1" x14ac:dyDescent="0.35">
      <c r="A89" s="27">
        <f>A86+1</f>
        <v>73</v>
      </c>
      <c r="B89" s="27" t="s">
        <v>283</v>
      </c>
      <c r="C89" s="442" t="s">
        <v>489</v>
      </c>
      <c r="D89" s="9" t="s">
        <v>347</v>
      </c>
      <c r="E89" s="12" t="s">
        <v>925</v>
      </c>
      <c r="F89" s="12" t="s">
        <v>245</v>
      </c>
      <c r="G89" s="12" t="str">
        <f>_xlfn.XLOOKUP(F89,'Quy đổi'!$G$5:$G$32,'Quy đổi'!$H$5:$H$32,0)</f>
        <v>Nội địa</v>
      </c>
      <c r="H89" s="76" t="s">
        <v>110</v>
      </c>
      <c r="I89" s="28" t="s">
        <v>109</v>
      </c>
      <c r="J89" s="6" t="s">
        <v>22</v>
      </c>
      <c r="K89" s="11"/>
      <c r="L89" s="92">
        <f t="shared" si="633"/>
        <v>1357.9047619047619</v>
      </c>
      <c r="M89" s="106" t="str">
        <f>IFERROR(SUMIFS('01. KE30'!$K:$K,'01. KE30'!$C:$C,'06. BC BH THEO CUSTOMER-USD'!$D89,'01. KE30'!$F:$F,'06. BC BH THEO CUSTOMER-USD'!$H89,'01. KE30'!$A:$A,'06. BC BH THEO CUSTOMER-USD'!M$4)/'06. BC BH THEO CUSTOMER-USD'!CS89/'02. Tỷ giá'!B$5,"-")</f>
        <v>-</v>
      </c>
      <c r="N89" s="106" t="str">
        <f>IFERROR(SUMIFS('01. KE30'!$K:$K,'01. KE30'!$C:$C,'06. BC BH THEO CUSTOMER-USD'!$D89,'01. KE30'!$F:$F,'06. BC BH THEO CUSTOMER-USD'!$H89,'01. KE30'!$A:$A,'06. BC BH THEO CUSTOMER-USD'!N$4)/'06. BC BH THEO CUSTOMER-USD'!CT89/'02. Tỷ giá'!C$5,"-")</f>
        <v>-</v>
      </c>
      <c r="O89" s="106" t="str">
        <f>IFERROR(SUMIFS('01. KE30'!$K:$K,'01. KE30'!$C:$C,'06. BC BH THEO CUSTOMER-USD'!$D89,'01. KE30'!$F:$F,'06. BC BH THEO CUSTOMER-USD'!$H89,'01. KE30'!$A:$A,'06. BC BH THEO CUSTOMER-USD'!O$4)/'06. BC BH THEO CUSTOMER-USD'!CU89/'02. Tỷ giá'!D$5,"-")</f>
        <v>-</v>
      </c>
      <c r="P89" s="106" t="str">
        <f>IFERROR(SUMIFS('01. KE30'!$K:$K,'01. KE30'!$C:$C,'06. BC BH THEO CUSTOMER-USD'!$D89,'01. KE30'!$F:$F,'06. BC BH THEO CUSTOMER-USD'!$H89,'01. KE30'!$A:$A,'06. BC BH THEO CUSTOMER-USD'!P$4)/'06. BC BH THEO CUSTOMER-USD'!CV89/'02. Tỷ giá'!E$5,"-")</f>
        <v>-</v>
      </c>
      <c r="Q89" s="106" t="str">
        <f>IFERROR(SUMIFS('01. KE30'!$K:$K,'01. KE30'!$C:$C,'06. BC BH THEO CUSTOMER-USD'!$D89,'01. KE30'!$F:$F,'06. BC BH THEO CUSTOMER-USD'!$H89,'01. KE30'!$A:$A,'06. BC BH THEO CUSTOMER-USD'!Q$4)/'06. BC BH THEO CUSTOMER-USD'!CW89/'02. Tỷ giá'!F$5,"-")</f>
        <v>-</v>
      </c>
      <c r="R89" s="106" t="str">
        <f>IFERROR(SUMIFS('01. KE30'!$K:$K,'01. KE30'!$C:$C,'06. BC BH THEO CUSTOMER-USD'!$D89,'01. KE30'!$F:$F,'06. BC BH THEO CUSTOMER-USD'!$H89,'01. KE30'!$A:$A,'06. BC BH THEO CUSTOMER-USD'!R$4)/'06. BC BH THEO CUSTOMER-USD'!CX89/'02. Tỷ giá'!G$5,"-")</f>
        <v>-</v>
      </c>
      <c r="S89" s="106" t="str">
        <f>IFERROR(SUMIFS('01. KE30'!$K:$K,'01. KE30'!$C:$C,'06. BC BH THEO CUSTOMER-USD'!$D89,'01. KE30'!$F:$F,'06. BC BH THEO CUSTOMER-USD'!$H89,'01. KE30'!$A:$A,'06. BC BH THEO CUSTOMER-USD'!S$4)/'06. BC BH THEO CUSTOMER-USD'!CY89/'02. Tỷ giá'!H$5,"-")</f>
        <v>-</v>
      </c>
      <c r="T89" s="106" t="str">
        <f>IFERROR(SUMIFS('01. KE30'!$K:$K,'01. KE30'!$C:$C,'06. BC BH THEO CUSTOMER-USD'!$D89,'01. KE30'!$F:$F,'06. BC BH THEO CUSTOMER-USD'!$H89,'01. KE30'!$A:$A,'06. BC BH THEO CUSTOMER-USD'!T$4)/'06. BC BH THEO CUSTOMER-USD'!CZ89/'02. Tỷ giá'!I$5,"-")</f>
        <v>-</v>
      </c>
      <c r="U89" s="106">
        <f>IFERROR(SUMIFS('01. KE30'!$K:$K,'01. KE30'!$C:$C,'06. BC BH THEO CUSTOMER-USD'!$D89,'01. KE30'!$F:$F,'06. BC BH THEO CUSTOMER-USD'!$H89,'01. KE30'!$A:$A,'06. BC BH THEO CUSTOMER-USD'!U$4)/'06. BC BH THEO CUSTOMER-USD'!DA89/'02. Tỷ giá'!J$5,"-")</f>
        <v>1357.9047619047619</v>
      </c>
      <c r="V89" s="106" t="str">
        <f>IFERROR(SUMIFS('01. KE30'!$K:$K,'01. KE30'!$C:$C,'06. BC BH THEO CUSTOMER-USD'!$D89,'01. KE30'!$F:$F,'06. BC BH THEO CUSTOMER-USD'!$H89,'01. KE30'!$A:$A,'06. BC BH THEO CUSTOMER-USD'!V$4)/'06. BC BH THEO CUSTOMER-USD'!DB89/'02. Tỷ giá'!K$5,"-")</f>
        <v>-</v>
      </c>
      <c r="W89" s="106" t="str">
        <f>IFERROR(SUMIFS('01. KE30'!$K:$K,'01. KE30'!$C:$C,'06. BC BH THEO CUSTOMER-USD'!$D89,'01. KE30'!$F:$F,'06. BC BH THEO CUSTOMER-USD'!$H89,'01. KE30'!$A:$A,'06. BC BH THEO CUSTOMER-USD'!W$4)/'06. BC BH THEO CUSTOMER-USD'!DC89/'02. Tỷ giá'!L$5,"-")</f>
        <v>-</v>
      </c>
      <c r="X89" s="106" t="str">
        <f>IFERROR(SUMIFS('01. KE30'!$K:$K,'01. KE30'!$C:$C,'06. BC BH THEO CUSTOMER-USD'!$D89,'01. KE30'!$F:$F,'06. BC BH THEO CUSTOMER-USD'!$H89,'01. KE30'!$A:$A,'06. BC BH THEO CUSTOMER-USD'!X$4)/'06. BC BH THEO CUSTOMER-USD'!DD89/'02. Tỷ giá'!M$5,"-")</f>
        <v>-</v>
      </c>
      <c r="Z89" s="92">
        <f t="shared" si="634"/>
        <v>1266.4761904761904</v>
      </c>
      <c r="AA89" s="147" t="str">
        <f>IFERROR(SUMIFS('01. KE30'!$O:$O,'01. KE30'!$C:$C,'06. BC BH THEO CUSTOMER-USD'!$D89,'01. KE30'!$F:$F,'06. BC BH THEO CUSTOMER-USD'!$H89,'01. KE30'!$A:$A,'06. BC BH THEO CUSTOMER-USD'!M$4)/'06. BC BH THEO CUSTOMER-USD'!CS89/'02. Tỷ giá'!B$5,"-")</f>
        <v>-</v>
      </c>
      <c r="AB89" s="147" t="str">
        <f>IFERROR(SUMIFS('01. KE30'!$O:$O,'01. KE30'!$C:$C,'06. BC BH THEO CUSTOMER-USD'!$D89,'01. KE30'!$F:$F,'06. BC BH THEO CUSTOMER-USD'!$H89,'01. KE30'!$A:$A,'06. BC BH THEO CUSTOMER-USD'!N$4)/'06. BC BH THEO CUSTOMER-USD'!CT89/'02. Tỷ giá'!C$5,"-")</f>
        <v>-</v>
      </c>
      <c r="AC89" s="147" t="str">
        <f>IFERROR(SUMIFS('01. KE30'!$O:$O,'01. KE30'!$C:$C,'06. BC BH THEO CUSTOMER-USD'!$D89,'01. KE30'!$F:$F,'06. BC BH THEO CUSTOMER-USD'!$H89,'01. KE30'!$A:$A,'06. BC BH THEO CUSTOMER-USD'!O$4)/'06. BC BH THEO CUSTOMER-USD'!CU89/'02. Tỷ giá'!D$5,"-")</f>
        <v>-</v>
      </c>
      <c r="AD89" s="147" t="str">
        <f>IFERROR(SUMIFS('01. KE30'!$O:$O,'01. KE30'!$C:$C,'06. BC BH THEO CUSTOMER-USD'!$D89,'01. KE30'!$F:$F,'06. BC BH THEO CUSTOMER-USD'!$H89,'01. KE30'!$A:$A,'06. BC BH THEO CUSTOMER-USD'!P$4)/'06. BC BH THEO CUSTOMER-USD'!CV89/'02. Tỷ giá'!E$5,"-")</f>
        <v>-</v>
      </c>
      <c r="AE89" s="147" t="str">
        <f>IFERROR(SUMIFS('01. KE30'!$O:$O,'01. KE30'!$C:$C,'06. BC BH THEO CUSTOMER-USD'!$D89,'01. KE30'!$F:$F,'06. BC BH THEO CUSTOMER-USD'!$H89,'01. KE30'!$A:$A,'06. BC BH THEO CUSTOMER-USD'!Q$4)/'06. BC BH THEO CUSTOMER-USD'!CW89/'02. Tỷ giá'!F$5,"-")</f>
        <v>-</v>
      </c>
      <c r="AF89" s="147" t="str">
        <f>IFERROR(SUMIFS('01. KE30'!$O:$O,'01. KE30'!$C:$C,'06. BC BH THEO CUSTOMER-USD'!$D89,'01. KE30'!$F:$F,'06. BC BH THEO CUSTOMER-USD'!$H89,'01. KE30'!$A:$A,'06. BC BH THEO CUSTOMER-USD'!R$4)/'06. BC BH THEO CUSTOMER-USD'!CX89/'02. Tỷ giá'!G$5,"-")</f>
        <v>-</v>
      </c>
      <c r="AG89" s="147" t="str">
        <f>IFERROR(SUMIFS('01. KE30'!$O:$O,'01. KE30'!$C:$C,'06. BC BH THEO CUSTOMER-USD'!$D89,'01. KE30'!$F:$F,'06. BC BH THEO CUSTOMER-USD'!$H89,'01. KE30'!$A:$A,'06. BC BH THEO CUSTOMER-USD'!S$4)/'06. BC BH THEO CUSTOMER-USD'!CY89/'02. Tỷ giá'!H$5,"-")</f>
        <v>-</v>
      </c>
      <c r="AH89" s="147" t="str">
        <f>IFERROR(SUMIFS('01. KE30'!$O:$O,'01. KE30'!$C:$C,'06. BC BH THEO CUSTOMER-USD'!$D89,'01. KE30'!$F:$F,'06. BC BH THEO CUSTOMER-USD'!$H89,'01. KE30'!$A:$A,'06. BC BH THEO CUSTOMER-USD'!T$4)/'06. BC BH THEO CUSTOMER-USD'!CZ89/'02. Tỷ giá'!I$5,"-")</f>
        <v>-</v>
      </c>
      <c r="AI89" s="147">
        <f>IFERROR(SUMIFS('01. KE30'!$O:$O,'01. KE30'!$C:$C,'06. BC BH THEO CUSTOMER-USD'!$D89,'01. KE30'!$F:$F,'06. BC BH THEO CUSTOMER-USD'!$H89,'01. KE30'!$A:$A,'06. BC BH THEO CUSTOMER-USD'!U$4)/'06. BC BH THEO CUSTOMER-USD'!DA89/'02. Tỷ giá'!J$5,"-")</f>
        <v>1266.4761904761904</v>
      </c>
      <c r="AJ89" s="147" t="str">
        <f>IFERROR(SUMIFS('01. KE30'!$O:$O,'01. KE30'!$C:$C,'06. BC BH THEO CUSTOMER-USD'!$D89,'01. KE30'!$F:$F,'06. BC BH THEO CUSTOMER-USD'!$H89,'01. KE30'!$A:$A,'06. BC BH THEO CUSTOMER-USD'!V$4)/'06. BC BH THEO CUSTOMER-USD'!DB89/'02. Tỷ giá'!K$5,"-")</f>
        <v>-</v>
      </c>
      <c r="AK89" s="147" t="str">
        <f>IFERROR(SUMIFS('01. KE30'!$O:$O,'01. KE30'!$C:$C,'06. BC BH THEO CUSTOMER-USD'!$D89,'01. KE30'!$F:$F,'06. BC BH THEO CUSTOMER-USD'!$H89,'01. KE30'!$A:$A,'06. BC BH THEO CUSTOMER-USD'!W$4)/'06. BC BH THEO CUSTOMER-USD'!DC89/'02. Tỷ giá'!L$5,"-")</f>
        <v>-</v>
      </c>
      <c r="AL89" s="147" t="str">
        <f>IFERROR(SUMIFS('01. KE30'!$O:$O,'01. KE30'!$C:$C,'06. BC BH THEO CUSTOMER-USD'!$D89,'01. KE30'!$F:$F,'06. BC BH THEO CUSTOMER-USD'!$H89,'01. KE30'!$A:$A,'06. BC BH THEO CUSTOMER-USD'!X$4)/'06. BC BH THEO CUSTOMER-USD'!DD89/'02. Tỷ giá'!M$5,"-")</f>
        <v>-</v>
      </c>
      <c r="AN89" s="92">
        <f t="shared" si="635"/>
        <v>1298.8888888888889</v>
      </c>
      <c r="AO89" s="25">
        <v>1320</v>
      </c>
      <c r="AP89" s="25">
        <f>1320-40</f>
        <v>1280</v>
      </c>
      <c r="AQ89" s="4">
        <v>1320</v>
      </c>
      <c r="AR89" s="4">
        <f>AQ89+20</f>
        <v>1340</v>
      </c>
      <c r="AS89" s="4">
        <v>1340</v>
      </c>
      <c r="AT89" s="4">
        <v>1340</v>
      </c>
      <c r="AU89" s="4">
        <v>1280</v>
      </c>
      <c r="AV89" s="4">
        <f t="shared" ref="AV89" si="714">AU89-30</f>
        <v>1250</v>
      </c>
      <c r="AW89" s="25">
        <v>1220</v>
      </c>
      <c r="AX89" s="25"/>
      <c r="AY89" s="4"/>
      <c r="AZ89" s="4"/>
      <c r="BB89" s="95">
        <f t="shared" si="637"/>
        <v>-32.412698412698546</v>
      </c>
      <c r="BC89" s="95" t="str">
        <f t="shared" si="638"/>
        <v>-</v>
      </c>
      <c r="BD89" s="95" t="str">
        <f t="shared" si="516"/>
        <v>-</v>
      </c>
      <c r="BE89" s="95" t="str">
        <f t="shared" si="516"/>
        <v>-</v>
      </c>
      <c r="BF89" s="95" t="str">
        <f t="shared" si="516"/>
        <v>-</v>
      </c>
      <c r="BG89" s="95" t="str">
        <f t="shared" si="516"/>
        <v>-</v>
      </c>
      <c r="BH89" s="95" t="str">
        <f t="shared" si="516"/>
        <v>-</v>
      </c>
      <c r="BI89" s="95" t="str">
        <f t="shared" si="516"/>
        <v>-</v>
      </c>
      <c r="BJ89" s="95" t="str">
        <f t="shared" si="516"/>
        <v>-</v>
      </c>
      <c r="BK89" s="95">
        <f t="shared" si="516"/>
        <v>46.476190476190368</v>
      </c>
      <c r="BL89" s="95" t="str">
        <f t="shared" si="516"/>
        <v>-</v>
      </c>
      <c r="BM89" s="95" t="str">
        <f t="shared" si="516"/>
        <v>-</v>
      </c>
      <c r="BN89" s="95" t="str">
        <f t="shared" si="516"/>
        <v>-</v>
      </c>
      <c r="BP89" s="143">
        <f t="shared" si="639"/>
        <v>-2.4954173286081002E-2</v>
      </c>
      <c r="BQ89" s="143" t="str">
        <f t="shared" si="517"/>
        <v>-</v>
      </c>
      <c r="BR89" s="143" t="str">
        <f t="shared" si="518"/>
        <v>-</v>
      </c>
      <c r="BS89" s="143" t="str">
        <f t="shared" si="519"/>
        <v>-</v>
      </c>
      <c r="BT89" s="143" t="str">
        <f t="shared" si="520"/>
        <v>-</v>
      </c>
      <c r="BU89" s="143" t="str">
        <f t="shared" si="521"/>
        <v>-</v>
      </c>
      <c r="BV89" s="143" t="str">
        <f t="shared" si="522"/>
        <v>-</v>
      </c>
      <c r="BW89" s="143" t="str">
        <f t="shared" si="523"/>
        <v>-</v>
      </c>
      <c r="BX89" s="143" t="str">
        <f t="shared" si="524"/>
        <v>-</v>
      </c>
      <c r="BY89" s="143">
        <f t="shared" si="525"/>
        <v>3.8095238095238008E-2</v>
      </c>
      <c r="BZ89" s="143" t="str">
        <f t="shared" si="526"/>
        <v>-</v>
      </c>
      <c r="CA89" s="143" t="str">
        <f t="shared" si="527"/>
        <v>-</v>
      </c>
      <c r="CB89" s="143" t="str">
        <f t="shared" si="528"/>
        <v>-</v>
      </c>
      <c r="CD89" s="112">
        <f t="shared" si="529"/>
        <v>1021.1380571428572</v>
      </c>
      <c r="CE89" s="95" t="str">
        <f>IFERROR(SUMIFS('01. KE30'!$R:$R,'01. KE30'!$C:$C,'06. BC BH THEO CUSTOMER-USD'!$D89,'01. KE30'!$F:$F,'06. BC BH THEO CUSTOMER-USD'!$H89,'01. KE30'!$A:$A,'06. BC BH THEO CUSTOMER-USD'!CE$4)/CS89/'02. Tỷ giá'!B$5," -")</f>
        <v xml:space="preserve"> -</v>
      </c>
      <c r="CF89" s="95" t="str">
        <f>IFERROR(SUMIFS('01. KE30'!$R:$R,'01. KE30'!$C:$C,'06. BC BH THEO CUSTOMER-USD'!$D89,'01. KE30'!$F:$F,'06. BC BH THEO CUSTOMER-USD'!$H89,'01. KE30'!$A:$A,'06. BC BH THEO CUSTOMER-USD'!CF$4)/CT89/'02. Tỷ giá'!C$5," -")</f>
        <v xml:space="preserve"> -</v>
      </c>
      <c r="CG89" s="95" t="str">
        <f>IFERROR(SUMIFS('01. KE30'!$R:$R,'01. KE30'!$C:$C,'06. BC BH THEO CUSTOMER-USD'!$D89,'01. KE30'!$F:$F,'06. BC BH THEO CUSTOMER-USD'!$H89,'01. KE30'!$A:$A,'06. BC BH THEO CUSTOMER-USD'!CG$4)/CU89/'02. Tỷ giá'!D$5," -")</f>
        <v xml:space="preserve"> -</v>
      </c>
      <c r="CH89" s="95" t="str">
        <f>IFERROR(SUMIFS('01. KE30'!$R:$R,'01. KE30'!$C:$C,'06. BC BH THEO CUSTOMER-USD'!$D89,'01. KE30'!$F:$F,'06. BC BH THEO CUSTOMER-USD'!$H89,'01. KE30'!$A:$A,'06. BC BH THEO CUSTOMER-USD'!CH$4)/CV89/'02. Tỷ giá'!E$5," -")</f>
        <v xml:space="preserve"> -</v>
      </c>
      <c r="CI89" s="95" t="str">
        <f>IFERROR(SUMIFS('01. KE30'!$R:$R,'01. KE30'!$C:$C,'06. BC BH THEO CUSTOMER-USD'!$D89,'01. KE30'!$F:$F,'06. BC BH THEO CUSTOMER-USD'!$H89,'01. KE30'!$A:$A,'06. BC BH THEO CUSTOMER-USD'!CI$4)/CW89/'02. Tỷ giá'!F$5," -")</f>
        <v xml:space="preserve"> -</v>
      </c>
      <c r="CJ89" s="95" t="str">
        <f>IFERROR(SUMIFS('01. KE30'!$R:$R,'01. KE30'!$C:$C,'06. BC BH THEO CUSTOMER-USD'!$D89,'01. KE30'!$F:$F,'06. BC BH THEO CUSTOMER-USD'!$H89,'01. KE30'!$A:$A,'06. BC BH THEO CUSTOMER-USD'!CJ$4)/CX89/'02. Tỷ giá'!G$5," -")</f>
        <v xml:space="preserve"> -</v>
      </c>
      <c r="CK89" s="95" t="str">
        <f>IFERROR(SUMIFS('01. KE30'!$R:$R,'01. KE30'!$C:$C,'06. BC BH THEO CUSTOMER-USD'!$D89,'01. KE30'!$F:$F,'06. BC BH THEO CUSTOMER-USD'!$H89,'01. KE30'!$A:$A,'06. BC BH THEO CUSTOMER-USD'!CK$4)/CY89/'02. Tỷ giá'!H$5," -")</f>
        <v xml:space="preserve"> -</v>
      </c>
      <c r="CL89" s="95" t="str">
        <f>IFERROR(SUMIFS('01. KE30'!$R:$R,'01. KE30'!$C:$C,'06. BC BH THEO CUSTOMER-USD'!$D89,'01. KE30'!$F:$F,'06. BC BH THEO CUSTOMER-USD'!$H89,'01. KE30'!$A:$A,'06. BC BH THEO CUSTOMER-USD'!CL$4)/CZ89/'02. Tỷ giá'!I$5," -")</f>
        <v xml:space="preserve"> -</v>
      </c>
      <c r="CM89" s="95">
        <f>IFERROR(SUMIFS('01. KE30'!$R:$R,'01. KE30'!$C:$C,'06. BC BH THEO CUSTOMER-USD'!$D89,'01. KE30'!$F:$F,'06. BC BH THEO CUSTOMER-USD'!$H89,'01. KE30'!$A:$A,'06. BC BH THEO CUSTOMER-USD'!CM$4)/DA89/'02. Tỷ giá'!J$5," -")</f>
        <v>1021.1380571428572</v>
      </c>
      <c r="CN89" s="95" t="str">
        <f>IFERROR(SUMIFS('01. KE30'!$R:$R,'01. KE30'!$C:$C,'06. BC BH THEO CUSTOMER-USD'!$D89,'01. KE30'!$F:$F,'06. BC BH THEO CUSTOMER-USD'!$H89,'01. KE30'!$A:$A,'06. BC BH THEO CUSTOMER-USD'!CN$4)/DB89/'02. Tỷ giá'!K$5," -")</f>
        <v xml:space="preserve"> -</v>
      </c>
      <c r="CO89" s="95" t="str">
        <f>IFERROR(SUMIFS('01. KE30'!$R:$R,'01. KE30'!$C:$C,'06. BC BH THEO CUSTOMER-USD'!$D89,'01. KE30'!$F:$F,'06. BC BH THEO CUSTOMER-USD'!$H89,'01. KE30'!$A:$A,'06. BC BH THEO CUSTOMER-USD'!CO$4)/DC89/'02. Tỷ giá'!L$5," -")</f>
        <v xml:space="preserve"> -</v>
      </c>
      <c r="CP89" s="95" t="str">
        <f>IFERROR(SUMIFS('01. KE30'!$R:$R,'01. KE30'!$C:$C,'06. BC BH THEO CUSTOMER-USD'!$D89,'01. KE30'!$F:$F,'06. BC BH THEO CUSTOMER-USD'!$H89,'01. KE30'!$A:$A,'06. BC BH THEO CUSTOMER-USD'!CP$4)/DD89/'02. Tỷ giá'!M$5," -")</f>
        <v xml:space="preserve"> -</v>
      </c>
      <c r="CR89" s="112">
        <f t="shared" ref="CR89" si="715">SUM(CS89:DD89)</f>
        <v>0.5</v>
      </c>
      <c r="CS89" s="114">
        <f>SUMIFS('01. KE30'!$I:$I,'01. KE30'!$C:$C,'06. BC BH THEO CUSTOMER-USD'!$D89,'01. KE30'!$F:$F,'06. BC BH THEO CUSTOMER-USD'!$H89,'01. KE30'!$A:$A,'06. BC BH THEO CUSTOMER-USD'!CS$4)/1000</f>
        <v>0</v>
      </c>
      <c r="CT89" s="114">
        <f>SUMIFS('01. KE30'!$I:$I,'01. KE30'!$C:$C,'06. BC BH THEO CUSTOMER-USD'!$D89,'01. KE30'!$F:$F,'06. BC BH THEO CUSTOMER-USD'!$H89,'01. KE30'!$A:$A,'06. BC BH THEO CUSTOMER-USD'!CT$4)/1000</f>
        <v>0</v>
      </c>
      <c r="CU89" s="114">
        <f>SUMIFS('01. KE30'!$I:$I,'01. KE30'!$C:$C,'06. BC BH THEO CUSTOMER-USD'!$D89,'01. KE30'!$F:$F,'06. BC BH THEO CUSTOMER-USD'!$H89,'01. KE30'!$A:$A,'06. BC BH THEO CUSTOMER-USD'!CU$4)/1000</f>
        <v>0</v>
      </c>
      <c r="CV89" s="114">
        <f>SUMIFS('01. KE30'!$I:$I,'01. KE30'!$C:$C,'06. BC BH THEO CUSTOMER-USD'!$D89,'01. KE30'!$F:$F,'06. BC BH THEO CUSTOMER-USD'!$H89,'01. KE30'!$A:$A,'06. BC BH THEO CUSTOMER-USD'!CV$4)/1000</f>
        <v>0</v>
      </c>
      <c r="CW89" s="114">
        <f>SUMIFS('01. KE30'!$I:$I,'01. KE30'!$C:$C,'06. BC BH THEO CUSTOMER-USD'!$D89,'01. KE30'!$F:$F,'06. BC BH THEO CUSTOMER-USD'!$H89,'01. KE30'!$A:$A,'06. BC BH THEO CUSTOMER-USD'!CW$4)/1000</f>
        <v>0</v>
      </c>
      <c r="CX89" s="114">
        <f>SUMIFS('01. KE30'!$I:$I,'01. KE30'!$C:$C,'06. BC BH THEO CUSTOMER-USD'!$D89,'01. KE30'!$F:$F,'06. BC BH THEO CUSTOMER-USD'!$H89,'01. KE30'!$A:$A,'06. BC BH THEO CUSTOMER-USD'!CX$4)/1000</f>
        <v>0</v>
      </c>
      <c r="CY89" s="114">
        <f>SUMIFS('01. KE30'!$I:$I,'01. KE30'!$C:$C,'06. BC BH THEO CUSTOMER-USD'!$D89,'01. KE30'!$F:$F,'06. BC BH THEO CUSTOMER-USD'!$H89,'01. KE30'!$A:$A,'06. BC BH THEO CUSTOMER-USD'!CY$4)/1000</f>
        <v>0</v>
      </c>
      <c r="CZ89" s="114">
        <f>SUMIFS('01. KE30'!$I:$I,'01. KE30'!$C:$C,'06. BC BH THEO CUSTOMER-USD'!$D89,'01. KE30'!$F:$F,'06. BC BH THEO CUSTOMER-USD'!$H89,'01. KE30'!$A:$A,'06. BC BH THEO CUSTOMER-USD'!CZ$4)/1000</f>
        <v>0</v>
      </c>
      <c r="DA89" s="114">
        <f>SUMIFS('01. KE30'!$I:$I,'01. KE30'!$C:$C,'06. BC BH THEO CUSTOMER-USD'!$D89,'01. KE30'!$F:$F,'06. BC BH THEO CUSTOMER-USD'!$H89,'01. KE30'!$A:$A,'06. BC BH THEO CUSTOMER-USD'!DA$4)/1000</f>
        <v>0.5</v>
      </c>
      <c r="DB89" s="114">
        <f>SUMIFS('01. KE30'!$I:$I,'01. KE30'!$C:$C,'06. BC BH THEO CUSTOMER-USD'!$D89,'01. KE30'!$F:$F,'06. BC BH THEO CUSTOMER-USD'!$H89,'01. KE30'!$A:$A,'06. BC BH THEO CUSTOMER-USD'!DB$4)/1000</f>
        <v>0</v>
      </c>
      <c r="DC89" s="114">
        <f>SUMIFS('01. KE30'!$I:$I,'01. KE30'!$C:$C,'06. BC BH THEO CUSTOMER-USD'!$D89,'01. KE30'!$F:$F,'06. BC BH THEO CUSTOMER-USD'!$H89,'01. KE30'!$A:$A,'06. BC BH THEO CUSTOMER-USD'!DC$4)/1000</f>
        <v>0</v>
      </c>
      <c r="DD89" s="114">
        <f>SUMIFS('01. KE30'!$I:$I,'01. KE30'!$C:$C,'06. BC BH THEO CUSTOMER-USD'!$D89,'01. KE30'!$F:$F,'06. BC BH THEO CUSTOMER-USD'!$H89,'01. KE30'!$A:$A,'06. BC BH THEO CUSTOMER-USD'!DD$4)/1000</f>
        <v>0</v>
      </c>
      <c r="DF89" s="120">
        <f t="shared" ref="DF89" si="716">SUM(DG89:DR89)</f>
        <v>678.95238095238096</v>
      </c>
      <c r="DG89" s="54" t="str">
        <f t="shared" ref="DG89" si="717">IFERROR(M89*CS89,"-")</f>
        <v>-</v>
      </c>
      <c r="DH89" s="54" t="str">
        <f t="shared" ref="DH89" si="718">IFERROR(N89*CT89,"-")</f>
        <v>-</v>
      </c>
      <c r="DI89" s="54" t="str">
        <f t="shared" ref="DI89" si="719">IFERROR(O89*CU89,"-")</f>
        <v>-</v>
      </c>
      <c r="DJ89" s="54" t="str">
        <f t="shared" ref="DJ89" si="720">IFERROR(P89*CV89,"-")</f>
        <v>-</v>
      </c>
      <c r="DK89" s="54" t="str">
        <f t="shared" ref="DK89" si="721">IFERROR(Q89*CW89,"-")</f>
        <v>-</v>
      </c>
      <c r="DL89" s="54" t="str">
        <f t="shared" ref="DL89" si="722">IFERROR(R89*CX89,"-")</f>
        <v>-</v>
      </c>
      <c r="DM89" s="54" t="str">
        <f t="shared" ref="DM89" si="723">IFERROR(S89*CY89,"-")</f>
        <v>-</v>
      </c>
      <c r="DN89" s="54" t="str">
        <f t="shared" ref="DN89" si="724">IFERROR(T89*CZ89,"-")</f>
        <v>-</v>
      </c>
      <c r="DO89" s="54">
        <f t="shared" ref="DO89" si="725">IFERROR(U89*DA89,"-")</f>
        <v>678.95238095238096</v>
      </c>
      <c r="DP89" s="54" t="str">
        <f t="shared" ref="DP89" si="726">IFERROR(V89*DB89,"-")</f>
        <v>-</v>
      </c>
      <c r="DQ89" s="54" t="str">
        <f t="shared" ref="DQ89" si="727">IFERROR(W89*DC89,"-")</f>
        <v>-</v>
      </c>
      <c r="DR89" s="54" t="str">
        <f t="shared" ref="DR89" si="728">IFERROR(X89*DD89,"-")</f>
        <v>-</v>
      </c>
      <c r="DT89" s="112">
        <f t="shared" ref="DT89" si="729">SUM(DU89:EF89)</f>
        <v>122.66906666666659</v>
      </c>
      <c r="DU89" s="114">
        <f>IFERROR(SUMIFS('01. KE30'!$X:$X,'01. KE30'!$C:$C,'06. BC BH THEO CUSTOMER-USD'!$D89,'01. KE30'!$F:$F,'06. BC BH THEO CUSTOMER-USD'!$H89,'01. KE30'!$A:$A,'06. BC BH THEO CUSTOMER-USD'!DU$4)-SUMIFS('01. KE30'!$AA:$AA,'01. KE30'!$C:$C,'06. BC BH THEO CUSTOMER-USD'!$D89,'01. KE30'!$F:$F,'06. BC BH THEO CUSTOMER-USD'!$H89,'01. KE30'!$A:$A,'06. BC BH THEO CUSTOMER-USD'!DU$4),"-")</f>
        <v>0</v>
      </c>
      <c r="DV89" s="114">
        <f>IFERROR(SUMIFS('01. KE30'!$X:$X,'01. KE30'!$C:$C,'06. BC BH THEO CUSTOMER-USD'!$D89,'01. KE30'!$F:$F,'06. BC BH THEO CUSTOMER-USD'!$H89,'01. KE30'!$A:$A,'06. BC BH THEO CUSTOMER-USD'!DV$4)-SUMIFS('01. KE30'!$AA:$AA,'01. KE30'!$C:$C,'06. BC BH THEO CUSTOMER-USD'!$D89,'01. KE30'!$F:$F,'06. BC BH THEO CUSTOMER-USD'!$H89,'01. KE30'!$A:$A,'06. BC BH THEO CUSTOMER-USD'!DV$4),"-")</f>
        <v>0</v>
      </c>
      <c r="DW89" s="114">
        <f>IFERROR(SUMIFS('01. KE30'!$X:$X,'01. KE30'!$C:$C,'06. BC BH THEO CUSTOMER-USD'!$D89,'01. KE30'!$F:$F,'06. BC BH THEO CUSTOMER-USD'!$H89,'01. KE30'!$A:$A,'06. BC BH THEO CUSTOMER-USD'!DW$4)-SUMIFS('01. KE30'!$AA:$AA,'01. KE30'!$C:$C,'06. BC BH THEO CUSTOMER-USD'!$D89,'01. KE30'!$F:$F,'06. BC BH THEO CUSTOMER-USD'!$H89,'01. KE30'!$A:$A,'06. BC BH THEO CUSTOMER-USD'!DW$4),"-")</f>
        <v>0</v>
      </c>
      <c r="DX89" s="114">
        <f>IFERROR(SUMIFS('01. KE30'!$X:$X,'01. KE30'!$C:$C,'06. BC BH THEO CUSTOMER-USD'!$D89,'01. KE30'!$F:$F,'06. BC BH THEO CUSTOMER-USD'!$H89,'01. KE30'!$A:$A,'06. BC BH THEO CUSTOMER-USD'!DX$4)-SUMIFS('01. KE30'!$AA:$AA,'01. KE30'!$C:$C,'06. BC BH THEO CUSTOMER-USD'!$D89,'01. KE30'!$F:$F,'06. BC BH THEO CUSTOMER-USD'!$H89,'01. KE30'!$A:$A,'06. BC BH THEO CUSTOMER-USD'!DX$4),"-")</f>
        <v>0</v>
      </c>
      <c r="DY89" s="114">
        <f>IFERROR(SUMIFS('01. KE30'!$X:$X,'01. KE30'!$C:$C,'06. BC BH THEO CUSTOMER-USD'!$D89,'01. KE30'!$F:$F,'06. BC BH THEO CUSTOMER-USD'!$H89,'01. KE30'!$A:$A,'06. BC BH THEO CUSTOMER-USD'!DY$4)-SUMIFS('01. KE30'!$AA:$AA,'01. KE30'!$C:$C,'06. BC BH THEO CUSTOMER-USD'!$D89,'01. KE30'!$F:$F,'06. BC BH THEO CUSTOMER-USD'!$H89,'01. KE30'!$A:$A,'06. BC BH THEO CUSTOMER-USD'!DY$4),"-")</f>
        <v>0</v>
      </c>
      <c r="DZ89" s="114">
        <f>IFERROR(SUMIFS('01. KE30'!$X:$X,'01. KE30'!$C:$C,'06. BC BH THEO CUSTOMER-USD'!$D89,'01. KE30'!$F:$F,'06. BC BH THEO CUSTOMER-USD'!$H89,'01. KE30'!$A:$A,'06. BC BH THEO CUSTOMER-USD'!DZ$4)-SUMIFS('01. KE30'!$AA:$AA,'01. KE30'!$C:$C,'06. BC BH THEO CUSTOMER-USD'!$D89,'01. KE30'!$F:$F,'06. BC BH THEO CUSTOMER-USD'!$H89,'01. KE30'!$A:$A,'06. BC BH THEO CUSTOMER-USD'!DZ$4),"-")</f>
        <v>0</v>
      </c>
      <c r="EA89" s="114">
        <f>IFERROR(SUMIFS('01. KE30'!$X:$X,'01. KE30'!$C:$C,'06. BC BH THEO CUSTOMER-USD'!$D89,'01. KE30'!$F:$F,'06. BC BH THEO CUSTOMER-USD'!$H89,'01. KE30'!$A:$A,'06. BC BH THEO CUSTOMER-USD'!EA$4)-SUMIFS('01. KE30'!$AA:$AA,'01. KE30'!$C:$C,'06. BC BH THEO CUSTOMER-USD'!$D89,'01. KE30'!$F:$F,'06. BC BH THEO CUSTOMER-USD'!$H89,'01. KE30'!$A:$A,'06. BC BH THEO CUSTOMER-USD'!EA$4),"-")</f>
        <v>0</v>
      </c>
      <c r="EB89" s="114">
        <f>IFERROR(SUMIFS('01. KE30'!$X:$X,'01. KE30'!$C:$C,'06. BC BH THEO CUSTOMER-USD'!$D89,'01. KE30'!$F:$F,'06. BC BH THEO CUSTOMER-USD'!$H89,'01. KE30'!$A:$A,'06. BC BH THEO CUSTOMER-USD'!EB$4)-SUMIFS('01. KE30'!$AA:$AA,'01. KE30'!$C:$C,'06. BC BH THEO CUSTOMER-USD'!$D89,'01. KE30'!$F:$F,'06. BC BH THEO CUSTOMER-USD'!$H89,'01. KE30'!$A:$A,'06. BC BH THEO CUSTOMER-USD'!EB$4),"-")</f>
        <v>0</v>
      </c>
      <c r="EC89" s="114">
        <f>IFERROR(SUMIFS('01. KE30'!$X:$X,'01. KE30'!$C:$C,'06. BC BH THEO CUSTOMER-USD'!$D89,'01. KE30'!$F:$F,'06. BC BH THEO CUSTOMER-USD'!$H89,'01. KE30'!$A:$A,'06. BC BH THEO CUSTOMER-USD'!EC$4)-SUMIFS('01. KE30'!$AA:$AA,'01. KE30'!$C:$C,'06. BC BH THEO CUSTOMER-USD'!$D89,'01. KE30'!$F:$F,'06. BC BH THEO CUSTOMER-USD'!$H89,'01. KE30'!$A:$A,'06. BC BH THEO CUSTOMER-USD'!EC$4),"-")</f>
        <v>122.66906666666659</v>
      </c>
      <c r="ED89" s="114">
        <f>IFERROR(SUMIFS('01. KE30'!$X:$X,'01. KE30'!$C:$C,'06. BC BH THEO CUSTOMER-USD'!$D89,'01. KE30'!$F:$F,'06. BC BH THEO CUSTOMER-USD'!$H89,'01. KE30'!$A:$A,'06. BC BH THEO CUSTOMER-USD'!ED$4)-SUMIFS('01. KE30'!$AA:$AA,'01. KE30'!$C:$C,'06. BC BH THEO CUSTOMER-USD'!$D89,'01. KE30'!$F:$F,'06. BC BH THEO CUSTOMER-USD'!$H89,'01. KE30'!$A:$A,'06. BC BH THEO CUSTOMER-USD'!ED$4),"-")</f>
        <v>0</v>
      </c>
      <c r="EE89" s="114">
        <f>IFERROR(SUMIFS('01. KE30'!$X:$X,'01. KE30'!$C:$C,'06. BC BH THEO CUSTOMER-USD'!$D89,'01. KE30'!$F:$F,'06. BC BH THEO CUSTOMER-USD'!$H89,'01. KE30'!$A:$A,'06. BC BH THEO CUSTOMER-USD'!EE$4)-SUMIFS('01. KE30'!$AA:$AA,'01. KE30'!$C:$C,'06. BC BH THEO CUSTOMER-USD'!$D89,'01. KE30'!$F:$F,'06. BC BH THEO CUSTOMER-USD'!$H89,'01. KE30'!$A:$A,'06. BC BH THEO CUSTOMER-USD'!EE$4),"-")</f>
        <v>0</v>
      </c>
      <c r="EF89" s="114">
        <f>IFERROR(SUMIFS('01. KE30'!$X:$X,'01. KE30'!$C:$C,'06. BC BH THEO CUSTOMER-USD'!$D89,'01. KE30'!$F:$F,'06. BC BH THEO CUSTOMER-USD'!$H89,'01. KE30'!$A:$A,'06. BC BH THEO CUSTOMER-USD'!EF$4)-SUMIFS('01. KE30'!$AA:$AA,'01. KE30'!$C:$C,'06. BC BH THEO CUSTOMER-USD'!$D89,'01. KE30'!$F:$F,'06. BC BH THEO CUSTOMER-USD'!$H89,'01. KE30'!$A:$A,'06. BC BH THEO CUSTOMER-USD'!EF$4),"-")</f>
        <v>0</v>
      </c>
      <c r="EH89" s="571">
        <f t="shared" si="531"/>
        <v>0.18067403562912038</v>
      </c>
      <c r="EI89" s="572" t="str">
        <f t="shared" si="532"/>
        <v>-</v>
      </c>
      <c r="EJ89" s="572" t="str">
        <f t="shared" si="533"/>
        <v>-</v>
      </c>
      <c r="EK89" s="572" t="str">
        <f t="shared" si="534"/>
        <v>-</v>
      </c>
      <c r="EL89" s="572" t="str">
        <f t="shared" si="535"/>
        <v>-</v>
      </c>
      <c r="EM89" s="572" t="str">
        <f t="shared" si="536"/>
        <v>-</v>
      </c>
      <c r="EN89" s="572" t="str">
        <f t="shared" si="537"/>
        <v>-</v>
      </c>
      <c r="EO89" s="572" t="str">
        <f t="shared" si="538"/>
        <v>-</v>
      </c>
      <c r="EP89" s="572" t="str">
        <f t="shared" si="539"/>
        <v>-</v>
      </c>
      <c r="EQ89" s="572">
        <f t="shared" si="540"/>
        <v>0.18067403562912038</v>
      </c>
      <c r="ER89" s="572" t="str">
        <f t="shared" si="541"/>
        <v>-</v>
      </c>
      <c r="ES89" s="572" t="str">
        <f t="shared" si="542"/>
        <v>-</v>
      </c>
      <c r="ET89" s="572" t="str">
        <f t="shared" si="543"/>
        <v>-</v>
      </c>
    </row>
    <row r="90" spans="1:150" ht="15.5" hidden="1" outlineLevel="1" x14ac:dyDescent="0.35">
      <c r="A90" s="27">
        <f>A87+1</f>
        <v>74</v>
      </c>
      <c r="B90" s="27" t="s">
        <v>283</v>
      </c>
      <c r="C90" s="442" t="s">
        <v>489</v>
      </c>
      <c r="D90" s="9" t="s">
        <v>347</v>
      </c>
      <c r="E90" s="12" t="s">
        <v>925</v>
      </c>
      <c r="F90" s="12" t="s">
        <v>245</v>
      </c>
      <c r="G90" s="12" t="str">
        <f>_xlfn.XLOOKUP(F90,'Quy đổi'!$G$5:$G$32,'Quy đổi'!$H$5:$H$32,0)</f>
        <v>Nội địa</v>
      </c>
      <c r="H90" s="76" t="s">
        <v>100</v>
      </c>
      <c r="I90" s="28" t="s">
        <v>99</v>
      </c>
      <c r="J90" s="6" t="s">
        <v>22</v>
      </c>
      <c r="K90" s="11"/>
      <c r="L90" s="92">
        <f t="shared" ref="L90" si="730">IFERROR(AVERAGE(M90:X90),"-")</f>
        <v>1384.1782190577437</v>
      </c>
      <c r="M90" s="106">
        <f>IFERROR(SUMIFS('01. KE30'!$K:$K,'01. KE30'!$C:$C,'06. BC BH THEO CUSTOMER-USD'!$D90,'01. KE30'!$F:$F,'06. BC BH THEO CUSTOMER-USD'!$H90,'01. KE30'!$A:$A,'06. BC BH THEO CUSTOMER-USD'!M$4)/'06. BC BH THEO CUSTOMER-USD'!CS90/'02. Tỷ giá'!B$5,"-")</f>
        <v>1411.682055399438</v>
      </c>
      <c r="N90" s="106" t="str">
        <f>IFERROR(SUMIFS('01. KE30'!$K:$K,'01. KE30'!$C:$C,'06. BC BH THEO CUSTOMER-USD'!$D90,'01. KE30'!$F:$F,'06. BC BH THEO CUSTOMER-USD'!$H90,'01. KE30'!$A:$A,'06. BC BH THEO CUSTOMER-USD'!N$4)/'06. BC BH THEO CUSTOMER-USD'!CT90/'02. Tỷ giá'!C$5,"-")</f>
        <v>-</v>
      </c>
      <c r="O90" s="106" t="str">
        <f>IFERROR(SUMIFS('01. KE30'!$K:$K,'01. KE30'!$C:$C,'06. BC BH THEO CUSTOMER-USD'!$D90,'01. KE30'!$F:$F,'06. BC BH THEO CUSTOMER-USD'!$H90,'01. KE30'!$A:$A,'06. BC BH THEO CUSTOMER-USD'!O$4)/'06. BC BH THEO CUSTOMER-USD'!CU90/'02. Tỷ giá'!D$5,"-")</f>
        <v>-</v>
      </c>
      <c r="P90" s="106" t="str">
        <f>IFERROR(SUMIFS('01. KE30'!$K:$K,'01. KE30'!$C:$C,'06. BC BH THEO CUSTOMER-USD'!$D90,'01. KE30'!$F:$F,'06. BC BH THEO CUSTOMER-USD'!$H90,'01. KE30'!$A:$A,'06. BC BH THEO CUSTOMER-USD'!P$4)/'06. BC BH THEO CUSTOMER-USD'!CV90/'02. Tỷ giá'!E$5,"-")</f>
        <v>-</v>
      </c>
      <c r="Q90" s="106" t="str">
        <f>IFERROR(SUMIFS('01. KE30'!$K:$K,'01. KE30'!$C:$C,'06. BC BH THEO CUSTOMER-USD'!$D90,'01. KE30'!$F:$F,'06. BC BH THEO CUSTOMER-USD'!$H90,'01. KE30'!$A:$A,'06. BC BH THEO CUSTOMER-USD'!Q$4)/'06. BC BH THEO CUSTOMER-USD'!CW90/'02. Tỷ giá'!F$5,"-")</f>
        <v>-</v>
      </c>
      <c r="R90" s="106">
        <f>IFERROR(SUMIFS('01. KE30'!$K:$K,'01. KE30'!$C:$C,'06. BC BH THEO CUSTOMER-USD'!$D90,'01. KE30'!$F:$F,'06. BC BH THEO CUSTOMER-USD'!$H90,'01. KE30'!$A:$A,'06. BC BH THEO CUSTOMER-USD'!R$4)/'06. BC BH THEO CUSTOMER-USD'!CX90/'02. Tỷ giá'!G$5,"-")</f>
        <v>1356.6743827160494</v>
      </c>
      <c r="S90" s="106" t="str">
        <f>IFERROR(SUMIFS('01. KE30'!$K:$K,'01. KE30'!$C:$C,'06. BC BH THEO CUSTOMER-USD'!$D90,'01. KE30'!$F:$F,'06. BC BH THEO CUSTOMER-USD'!$H90,'01. KE30'!$A:$A,'06. BC BH THEO CUSTOMER-USD'!S$4)/'06. BC BH THEO CUSTOMER-USD'!CY90/'02. Tỷ giá'!H$5,"-")</f>
        <v>-</v>
      </c>
      <c r="T90" s="106" t="str">
        <f>IFERROR(SUMIFS('01. KE30'!$K:$K,'01. KE30'!$C:$C,'06. BC BH THEO CUSTOMER-USD'!$D90,'01. KE30'!$F:$F,'06. BC BH THEO CUSTOMER-USD'!$H90,'01. KE30'!$A:$A,'06. BC BH THEO CUSTOMER-USD'!T$4)/'06. BC BH THEO CUSTOMER-USD'!CZ90/'02. Tỷ giá'!I$5,"-")</f>
        <v>-</v>
      </c>
      <c r="U90" s="106" t="str">
        <f>IFERROR(SUMIFS('01. KE30'!$K:$K,'01. KE30'!$C:$C,'06. BC BH THEO CUSTOMER-USD'!$D90,'01. KE30'!$F:$F,'06. BC BH THEO CUSTOMER-USD'!$H90,'01. KE30'!$A:$A,'06. BC BH THEO CUSTOMER-USD'!U$4)/'06. BC BH THEO CUSTOMER-USD'!DA90/'02. Tỷ giá'!J$5,"-")</f>
        <v>-</v>
      </c>
      <c r="V90" s="106" t="str">
        <f>IFERROR(SUMIFS('01. KE30'!$K:$K,'01. KE30'!$C:$C,'06. BC BH THEO CUSTOMER-USD'!$D90,'01. KE30'!$F:$F,'06. BC BH THEO CUSTOMER-USD'!$H90,'01. KE30'!$A:$A,'06. BC BH THEO CUSTOMER-USD'!V$4)/'06. BC BH THEO CUSTOMER-USD'!DB90/'02. Tỷ giá'!K$5,"-")</f>
        <v>-</v>
      </c>
      <c r="W90" s="106" t="str">
        <f>IFERROR(SUMIFS('01. KE30'!$K:$K,'01. KE30'!$C:$C,'06. BC BH THEO CUSTOMER-USD'!$D90,'01. KE30'!$F:$F,'06. BC BH THEO CUSTOMER-USD'!$H90,'01. KE30'!$A:$A,'06. BC BH THEO CUSTOMER-USD'!W$4)/'06. BC BH THEO CUSTOMER-USD'!DC90/'02. Tỷ giá'!L$5,"-")</f>
        <v>-</v>
      </c>
      <c r="X90" s="106" t="str">
        <f>IFERROR(SUMIFS('01. KE30'!$K:$K,'01. KE30'!$C:$C,'06. BC BH THEO CUSTOMER-USD'!$D90,'01. KE30'!$F:$F,'06. BC BH THEO CUSTOMER-USD'!$H90,'01. KE30'!$A:$A,'06. BC BH THEO CUSTOMER-USD'!X$4)/'06. BC BH THEO CUSTOMER-USD'!DD90/'02. Tỷ giá'!M$5,"-")</f>
        <v>-</v>
      </c>
      <c r="Z90" s="92">
        <f t="shared" ref="Z90" si="731">IFERROR(AVERAGE(AA90:AL90),"-")</f>
        <v>1384.1782190577437</v>
      </c>
      <c r="AA90" s="147">
        <f>IFERROR(SUMIFS('01. KE30'!$O:$O,'01. KE30'!$C:$C,'06. BC BH THEO CUSTOMER-USD'!$D90,'01. KE30'!$F:$F,'06. BC BH THEO CUSTOMER-USD'!$H90,'01. KE30'!$A:$A,'06. BC BH THEO CUSTOMER-USD'!M$4)/'06. BC BH THEO CUSTOMER-USD'!CS90/'02. Tỷ giá'!B$5,"-")</f>
        <v>1411.682055399438</v>
      </c>
      <c r="AB90" s="147" t="str">
        <f>IFERROR(SUMIFS('01. KE30'!$O:$O,'01. KE30'!$C:$C,'06. BC BH THEO CUSTOMER-USD'!$D90,'01. KE30'!$F:$F,'06. BC BH THEO CUSTOMER-USD'!$H90,'01. KE30'!$A:$A,'06. BC BH THEO CUSTOMER-USD'!N$4)/'06. BC BH THEO CUSTOMER-USD'!CT90/'02. Tỷ giá'!C$5,"-")</f>
        <v>-</v>
      </c>
      <c r="AC90" s="147" t="str">
        <f>IFERROR(SUMIFS('01. KE30'!$O:$O,'01. KE30'!$C:$C,'06. BC BH THEO CUSTOMER-USD'!$D90,'01. KE30'!$F:$F,'06. BC BH THEO CUSTOMER-USD'!$H90,'01. KE30'!$A:$A,'06. BC BH THEO CUSTOMER-USD'!O$4)/'06. BC BH THEO CUSTOMER-USD'!CU90/'02. Tỷ giá'!D$5,"-")</f>
        <v>-</v>
      </c>
      <c r="AD90" s="147" t="str">
        <f>IFERROR(SUMIFS('01. KE30'!$O:$O,'01. KE30'!$C:$C,'06. BC BH THEO CUSTOMER-USD'!$D90,'01. KE30'!$F:$F,'06. BC BH THEO CUSTOMER-USD'!$H90,'01. KE30'!$A:$A,'06. BC BH THEO CUSTOMER-USD'!P$4)/'06. BC BH THEO CUSTOMER-USD'!CV90/'02. Tỷ giá'!E$5,"-")</f>
        <v>-</v>
      </c>
      <c r="AE90" s="147" t="str">
        <f>IFERROR(SUMIFS('01. KE30'!$O:$O,'01. KE30'!$C:$C,'06. BC BH THEO CUSTOMER-USD'!$D90,'01. KE30'!$F:$F,'06. BC BH THEO CUSTOMER-USD'!$H90,'01. KE30'!$A:$A,'06. BC BH THEO CUSTOMER-USD'!Q$4)/'06. BC BH THEO CUSTOMER-USD'!CW90/'02. Tỷ giá'!F$5,"-")</f>
        <v>-</v>
      </c>
      <c r="AF90" s="147">
        <f>IFERROR(SUMIFS('01. KE30'!$O:$O,'01. KE30'!$C:$C,'06. BC BH THEO CUSTOMER-USD'!$D90,'01. KE30'!$F:$F,'06. BC BH THEO CUSTOMER-USD'!$H90,'01. KE30'!$A:$A,'06. BC BH THEO CUSTOMER-USD'!R$4)/'06. BC BH THEO CUSTOMER-USD'!CX90/'02. Tỷ giá'!G$5,"-")</f>
        <v>1356.6743827160494</v>
      </c>
      <c r="AG90" s="147" t="str">
        <f>IFERROR(SUMIFS('01. KE30'!$O:$O,'01. KE30'!$C:$C,'06. BC BH THEO CUSTOMER-USD'!$D90,'01. KE30'!$F:$F,'06. BC BH THEO CUSTOMER-USD'!$H90,'01. KE30'!$A:$A,'06. BC BH THEO CUSTOMER-USD'!S$4)/'06. BC BH THEO CUSTOMER-USD'!CY90/'02. Tỷ giá'!H$5,"-")</f>
        <v>-</v>
      </c>
      <c r="AH90" s="147" t="str">
        <f>IFERROR(SUMIFS('01. KE30'!$O:$O,'01. KE30'!$C:$C,'06. BC BH THEO CUSTOMER-USD'!$D90,'01. KE30'!$F:$F,'06. BC BH THEO CUSTOMER-USD'!$H90,'01. KE30'!$A:$A,'06. BC BH THEO CUSTOMER-USD'!T$4)/'06. BC BH THEO CUSTOMER-USD'!CZ90/'02. Tỷ giá'!I$5,"-")</f>
        <v>-</v>
      </c>
      <c r="AI90" s="147" t="str">
        <f>IFERROR(SUMIFS('01. KE30'!$O:$O,'01. KE30'!$C:$C,'06. BC BH THEO CUSTOMER-USD'!$D90,'01. KE30'!$F:$F,'06. BC BH THEO CUSTOMER-USD'!$H90,'01. KE30'!$A:$A,'06. BC BH THEO CUSTOMER-USD'!U$4)/'06. BC BH THEO CUSTOMER-USD'!DA90/'02. Tỷ giá'!J$5,"-")</f>
        <v>-</v>
      </c>
      <c r="AJ90" s="147" t="str">
        <f>IFERROR(SUMIFS('01. KE30'!$O:$O,'01. KE30'!$C:$C,'06. BC BH THEO CUSTOMER-USD'!$D90,'01. KE30'!$F:$F,'06. BC BH THEO CUSTOMER-USD'!$H90,'01. KE30'!$A:$A,'06. BC BH THEO CUSTOMER-USD'!V$4)/'06. BC BH THEO CUSTOMER-USD'!DB90/'02. Tỷ giá'!K$5,"-")</f>
        <v>-</v>
      </c>
      <c r="AK90" s="147" t="str">
        <f>IFERROR(SUMIFS('01. KE30'!$O:$O,'01. KE30'!$C:$C,'06. BC BH THEO CUSTOMER-USD'!$D90,'01. KE30'!$F:$F,'06. BC BH THEO CUSTOMER-USD'!$H90,'01. KE30'!$A:$A,'06. BC BH THEO CUSTOMER-USD'!W$4)/'06. BC BH THEO CUSTOMER-USD'!DC90/'02. Tỷ giá'!L$5,"-")</f>
        <v>-</v>
      </c>
      <c r="AL90" s="147" t="str">
        <f>IFERROR(SUMIFS('01. KE30'!$O:$O,'01. KE30'!$C:$C,'06. BC BH THEO CUSTOMER-USD'!$D90,'01. KE30'!$F:$F,'06. BC BH THEO CUSTOMER-USD'!$H90,'01. KE30'!$A:$A,'06. BC BH THEO CUSTOMER-USD'!X$4)/'06. BC BH THEO CUSTOMER-USD'!DD90/'02. Tỷ giá'!M$5,"-")</f>
        <v>-</v>
      </c>
      <c r="AN90" s="92">
        <f t="shared" ref="AN90" si="732">IFERROR(AVERAGE(AO90:AZ90),"-")</f>
        <v>1302.2222222222222</v>
      </c>
      <c r="AO90" s="25">
        <v>1320</v>
      </c>
      <c r="AP90" s="25">
        <f>1320-40</f>
        <v>1280</v>
      </c>
      <c r="AQ90" s="4">
        <v>1320</v>
      </c>
      <c r="AR90" s="4">
        <f>AQ90+20</f>
        <v>1340</v>
      </c>
      <c r="AS90" s="4">
        <v>1340</v>
      </c>
      <c r="AT90" s="4">
        <v>1340</v>
      </c>
      <c r="AU90" s="4">
        <v>1280</v>
      </c>
      <c r="AV90" s="4">
        <f t="shared" si="205"/>
        <v>1250</v>
      </c>
      <c r="AW90" s="25">
        <v>1250</v>
      </c>
      <c r="AX90" s="25"/>
      <c r="AY90" s="4"/>
      <c r="AZ90" s="4"/>
      <c r="BB90" s="95">
        <f t="shared" ref="BB90" si="733">IF(L90&lt;&gt;"-",Z90-AN90,"-")</f>
        <v>81.955996835521546</v>
      </c>
      <c r="BC90" s="95">
        <f t="shared" ref="BC90" si="734">IF(M90&lt;&gt;"-",AA90-AO90,"-")</f>
        <v>91.682055399438013</v>
      </c>
      <c r="BD90" s="95" t="str">
        <f t="shared" ref="BD90" si="735">IF(N90&lt;&gt;"-",AB90-AP90,"-")</f>
        <v>-</v>
      </c>
      <c r="BE90" s="95" t="str">
        <f t="shared" ref="BE90" si="736">IF(O90&lt;&gt;"-",AC90-AQ90,"-")</f>
        <v>-</v>
      </c>
      <c r="BF90" s="95" t="str">
        <f t="shared" ref="BF90" si="737">IF(P90&lt;&gt;"-",AD90-AR90,"-")</f>
        <v>-</v>
      </c>
      <c r="BG90" s="95" t="str">
        <f t="shared" ref="BG90" si="738">IF(Q90&lt;&gt;"-",AE90-AS90,"-")</f>
        <v>-</v>
      </c>
      <c r="BH90" s="95">
        <f t="shared" ref="BH90" si="739">IF(R90&lt;&gt;"-",AF90-AT90,"-")</f>
        <v>16.674382716049422</v>
      </c>
      <c r="BI90" s="95" t="str">
        <f t="shared" ref="BI90" si="740">IF(S90&lt;&gt;"-",AG90-AU90,"-")</f>
        <v>-</v>
      </c>
      <c r="BJ90" s="95" t="str">
        <f t="shared" ref="BJ90" si="741">IF(T90&lt;&gt;"-",AH90-AV90,"-")</f>
        <v>-</v>
      </c>
      <c r="BK90" s="95" t="str">
        <f t="shared" ref="BK90" si="742">IF(U90&lt;&gt;"-",AI90-AW90,"-")</f>
        <v>-</v>
      </c>
      <c r="BL90" s="95" t="str">
        <f t="shared" ref="BL90" si="743">IF(V90&lt;&gt;"-",AJ90-AX90,"-")</f>
        <v>-</v>
      </c>
      <c r="BM90" s="95" t="str">
        <f t="shared" ref="BM90" si="744">IF(W90&lt;&gt;"-",AK90-AY90,"-")</f>
        <v>-</v>
      </c>
      <c r="BN90" s="95" t="str">
        <f t="shared" ref="BN90" si="745">IF(X90&lt;&gt;"-",AL90-AZ90,"-")</f>
        <v>-</v>
      </c>
      <c r="BP90" s="143">
        <f t="shared" ref="BP90" si="746">IFERROR(IF(BB90&lt;&gt;"-",BB90/AN90,"-"),"-")</f>
        <v>6.2935492450485825E-2</v>
      </c>
      <c r="BQ90" s="143">
        <f t="shared" ref="BQ90" si="747">IFERROR(IF(BC90&lt;&gt;"-",BC90/AO90,"-"),"-")</f>
        <v>6.945610257533183E-2</v>
      </c>
      <c r="BR90" s="143" t="str">
        <f t="shared" ref="BR90" si="748">IFERROR(IF(BD90&lt;&gt;"-",BD90/AP90,"-"),"-")</f>
        <v>-</v>
      </c>
      <c r="BS90" s="143" t="str">
        <f t="shared" ref="BS90" si="749">IFERROR(IF(BE90&lt;&gt;"-",BE90/AQ90,"-"),"-")</f>
        <v>-</v>
      </c>
      <c r="BT90" s="143" t="str">
        <f t="shared" ref="BT90" si="750">IFERROR(IF(BF90&lt;&gt;"-",BF90/AR90,"-"),"-")</f>
        <v>-</v>
      </c>
      <c r="BU90" s="143" t="str">
        <f t="shared" ref="BU90" si="751">IFERROR(IF(BG90&lt;&gt;"-",BG90/AS90,"-"),"-")</f>
        <v>-</v>
      </c>
      <c r="BV90" s="143">
        <f t="shared" ref="BV90" si="752">IFERROR(IF(BH90&lt;&gt;"-",BH90/AT90,"-"),"-")</f>
        <v>1.2443569191081659E-2</v>
      </c>
      <c r="BW90" s="143" t="str">
        <f t="shared" ref="BW90" si="753">IFERROR(IF(BI90&lt;&gt;"-",BI90/AU90,"-"),"-")</f>
        <v>-</v>
      </c>
      <c r="BX90" s="143" t="str">
        <f t="shared" ref="BX90" si="754">IFERROR(IF(BJ90&lt;&gt;"-",BJ90/AV90,"-"),"-")</f>
        <v>-</v>
      </c>
      <c r="BY90" s="143" t="str">
        <f t="shared" ref="BY90" si="755">IFERROR(IF(BK90&lt;&gt;"-",BK90/AW90,"-"),"-")</f>
        <v>-</v>
      </c>
      <c r="BZ90" s="143" t="str">
        <f t="shared" ref="BZ90" si="756">IFERROR(IF(BL90&lt;&gt;"-",BL90/AX90,"-"),"-")</f>
        <v>-</v>
      </c>
      <c r="CA90" s="143" t="str">
        <f t="shared" ref="CA90" si="757">IFERROR(IF(BM90&lt;&gt;"-",BM90/AY90,"-"),"-")</f>
        <v>-</v>
      </c>
      <c r="CB90" s="143" t="str">
        <f t="shared" ref="CB90" si="758">IFERROR(IF(BN90&lt;&gt;"-",BN90/AZ90,"-"),"-")</f>
        <v>-</v>
      </c>
      <c r="CD90" s="112">
        <f t="shared" ref="CD90" si="759">IFERROR(AVERAGE(CE90:CP90),"-")</f>
        <v>1038.1607298244389</v>
      </c>
      <c r="CE90" s="95">
        <f>IFERROR(SUMIFS('01. KE30'!$R:$R,'01. KE30'!$C:$C,'06. BC BH THEO CUSTOMER-USD'!$D90,'01. KE30'!$F:$F,'06. BC BH THEO CUSTOMER-USD'!$H90,'01. KE30'!$A:$A,'06. BC BH THEO CUSTOMER-USD'!CE$4)/CS90/'02. Tỷ giá'!B$5," -")</f>
        <v>1038.2315852219506</v>
      </c>
      <c r="CF90" s="95" t="str">
        <f>IFERROR(SUMIFS('01. KE30'!$R:$R,'01. KE30'!$C:$C,'06. BC BH THEO CUSTOMER-USD'!$D90,'01. KE30'!$F:$F,'06. BC BH THEO CUSTOMER-USD'!$H90,'01. KE30'!$A:$A,'06. BC BH THEO CUSTOMER-USD'!CF$4)/CT90/'02. Tỷ giá'!C$5," -")</f>
        <v xml:space="preserve"> -</v>
      </c>
      <c r="CG90" s="95" t="str">
        <f>IFERROR(SUMIFS('01. KE30'!$R:$R,'01. KE30'!$C:$C,'06. BC BH THEO CUSTOMER-USD'!$D90,'01. KE30'!$F:$F,'06. BC BH THEO CUSTOMER-USD'!$H90,'01. KE30'!$A:$A,'06. BC BH THEO CUSTOMER-USD'!CG$4)/CU90/'02. Tỷ giá'!D$5," -")</f>
        <v xml:space="preserve"> -</v>
      </c>
      <c r="CH90" s="95" t="str">
        <f>IFERROR(SUMIFS('01. KE30'!$R:$R,'01. KE30'!$C:$C,'06. BC BH THEO CUSTOMER-USD'!$D90,'01. KE30'!$F:$F,'06. BC BH THEO CUSTOMER-USD'!$H90,'01. KE30'!$A:$A,'06. BC BH THEO CUSTOMER-USD'!CH$4)/CV90/'02. Tỷ giá'!E$5," -")</f>
        <v xml:space="preserve"> -</v>
      </c>
      <c r="CI90" s="95" t="str">
        <f>IFERROR(SUMIFS('01. KE30'!$R:$R,'01. KE30'!$C:$C,'06. BC BH THEO CUSTOMER-USD'!$D90,'01. KE30'!$F:$F,'06. BC BH THEO CUSTOMER-USD'!$H90,'01. KE30'!$A:$A,'06. BC BH THEO CUSTOMER-USD'!CI$4)/CW90/'02. Tỷ giá'!F$5," -")</f>
        <v xml:space="preserve"> -</v>
      </c>
      <c r="CJ90" s="95">
        <f>IFERROR(SUMIFS('01. KE30'!$R:$R,'01. KE30'!$C:$C,'06. BC BH THEO CUSTOMER-USD'!$D90,'01. KE30'!$F:$F,'06. BC BH THEO CUSTOMER-USD'!$H90,'01. KE30'!$A:$A,'06. BC BH THEO CUSTOMER-USD'!CJ$4)/CX90/'02. Tỷ giá'!G$5," -")</f>
        <v>1038.0898744269275</v>
      </c>
      <c r="CK90" s="95" t="str">
        <f>IFERROR(SUMIFS('01. KE30'!$R:$R,'01. KE30'!$C:$C,'06. BC BH THEO CUSTOMER-USD'!$D90,'01. KE30'!$F:$F,'06. BC BH THEO CUSTOMER-USD'!$H90,'01. KE30'!$A:$A,'06. BC BH THEO CUSTOMER-USD'!CK$4)/CY90/'02. Tỷ giá'!H$5," -")</f>
        <v xml:space="preserve"> -</v>
      </c>
      <c r="CL90" s="95" t="str">
        <f>IFERROR(SUMIFS('01. KE30'!$R:$R,'01. KE30'!$C:$C,'06. BC BH THEO CUSTOMER-USD'!$D90,'01. KE30'!$F:$F,'06. BC BH THEO CUSTOMER-USD'!$H90,'01. KE30'!$A:$A,'06. BC BH THEO CUSTOMER-USD'!CL$4)/CZ90/'02. Tỷ giá'!I$5," -")</f>
        <v xml:space="preserve"> -</v>
      </c>
      <c r="CM90" s="95" t="str">
        <f>IFERROR(SUMIFS('01. KE30'!$R:$R,'01. KE30'!$C:$C,'06. BC BH THEO CUSTOMER-USD'!$D90,'01. KE30'!$F:$F,'06. BC BH THEO CUSTOMER-USD'!$H90,'01. KE30'!$A:$A,'06. BC BH THEO CUSTOMER-USD'!CM$4)/DA90/'02. Tỷ giá'!J$5," -")</f>
        <v xml:space="preserve"> -</v>
      </c>
      <c r="CN90" s="95" t="str">
        <f>IFERROR(SUMIFS('01. KE30'!$R:$R,'01. KE30'!$C:$C,'06. BC BH THEO CUSTOMER-USD'!$D90,'01. KE30'!$F:$F,'06. BC BH THEO CUSTOMER-USD'!$H90,'01. KE30'!$A:$A,'06. BC BH THEO CUSTOMER-USD'!CN$4)/DB90/'02. Tỷ giá'!K$5," -")</f>
        <v xml:space="preserve"> -</v>
      </c>
      <c r="CO90" s="95" t="str">
        <f>IFERROR(SUMIFS('01. KE30'!$R:$R,'01. KE30'!$C:$C,'06. BC BH THEO CUSTOMER-USD'!$D90,'01. KE30'!$F:$F,'06. BC BH THEO CUSTOMER-USD'!$H90,'01. KE30'!$A:$A,'06. BC BH THEO CUSTOMER-USD'!CO$4)/DC90/'02. Tỷ giá'!L$5," -")</f>
        <v xml:space="preserve"> -</v>
      </c>
      <c r="CP90" s="95" t="str">
        <f>IFERROR(SUMIFS('01. KE30'!$R:$R,'01. KE30'!$C:$C,'06. BC BH THEO CUSTOMER-USD'!$D90,'01. KE30'!$F:$F,'06. BC BH THEO CUSTOMER-USD'!$H90,'01. KE30'!$A:$A,'06. BC BH THEO CUSTOMER-USD'!CP$4)/DD90/'02. Tỷ giá'!M$5," -")</f>
        <v xml:space="preserve"> -</v>
      </c>
      <c r="CR90" s="112">
        <f t="shared" si="266"/>
        <v>2.7107999999999999</v>
      </c>
      <c r="CS90" s="114">
        <f>SUMIFS('01. KE30'!$I:$I,'01. KE30'!$C:$C,'06. BC BH THEO CUSTOMER-USD'!$D90,'01. KE30'!$F:$F,'06. BC BH THEO CUSTOMER-USD'!$H90,'01. KE30'!$A:$A,'06. BC BH THEO CUSTOMER-USD'!CS$4)/1000</f>
        <v>3.3</v>
      </c>
      <c r="CT90" s="114">
        <f>SUMIFS('01. KE30'!$I:$I,'01. KE30'!$C:$C,'06. BC BH THEO CUSTOMER-USD'!$D90,'01. KE30'!$F:$F,'06. BC BH THEO CUSTOMER-USD'!$H90,'01. KE30'!$A:$A,'06. BC BH THEO CUSTOMER-USD'!CT$4)/1000</f>
        <v>0</v>
      </c>
      <c r="CU90" s="114">
        <f>SUMIFS('01. KE30'!$I:$I,'01. KE30'!$C:$C,'06. BC BH THEO CUSTOMER-USD'!$D90,'01. KE30'!$F:$F,'06. BC BH THEO CUSTOMER-USD'!$H90,'01. KE30'!$A:$A,'06. BC BH THEO CUSTOMER-USD'!CU$4)/1000</f>
        <v>0</v>
      </c>
      <c r="CV90" s="114">
        <f>SUMIFS('01. KE30'!$I:$I,'01. KE30'!$C:$C,'06. BC BH THEO CUSTOMER-USD'!$D90,'01. KE30'!$F:$F,'06. BC BH THEO CUSTOMER-USD'!$H90,'01. KE30'!$A:$A,'06. BC BH THEO CUSTOMER-USD'!CV$4)/1000</f>
        <v>0</v>
      </c>
      <c r="CW90" s="114">
        <f>SUMIFS('01. KE30'!$I:$I,'01. KE30'!$C:$C,'06. BC BH THEO CUSTOMER-USD'!$D90,'01. KE30'!$F:$F,'06. BC BH THEO CUSTOMER-USD'!$H90,'01. KE30'!$A:$A,'06. BC BH THEO CUSTOMER-USD'!CW$4)/1000</f>
        <v>0</v>
      </c>
      <c r="CX90" s="114">
        <f>SUMIFS('01. KE30'!$I:$I,'01. KE30'!$C:$C,'06. BC BH THEO CUSTOMER-USD'!$D90,'01. KE30'!$F:$F,'06. BC BH THEO CUSTOMER-USD'!$H90,'01. KE30'!$A:$A,'06. BC BH THEO CUSTOMER-USD'!CX$4)/1000</f>
        <v>-0.58920000000000006</v>
      </c>
      <c r="CY90" s="114">
        <f>SUMIFS('01. KE30'!$I:$I,'01. KE30'!$C:$C,'06. BC BH THEO CUSTOMER-USD'!$D90,'01. KE30'!$F:$F,'06. BC BH THEO CUSTOMER-USD'!$H90,'01. KE30'!$A:$A,'06. BC BH THEO CUSTOMER-USD'!CY$4)/1000</f>
        <v>0</v>
      </c>
      <c r="CZ90" s="114">
        <f>SUMIFS('01. KE30'!$I:$I,'01. KE30'!$C:$C,'06. BC BH THEO CUSTOMER-USD'!$D90,'01. KE30'!$F:$F,'06. BC BH THEO CUSTOMER-USD'!$H90,'01. KE30'!$A:$A,'06. BC BH THEO CUSTOMER-USD'!CZ$4)/1000</f>
        <v>0</v>
      </c>
      <c r="DA90" s="114">
        <f>SUMIFS('01. KE30'!$I:$I,'01. KE30'!$C:$C,'06. BC BH THEO CUSTOMER-USD'!$D90,'01. KE30'!$F:$F,'06. BC BH THEO CUSTOMER-USD'!$H90,'01. KE30'!$A:$A,'06. BC BH THEO CUSTOMER-USD'!DA$4)/1000</f>
        <v>0</v>
      </c>
      <c r="DB90" s="114">
        <f>SUMIFS('01. KE30'!$I:$I,'01. KE30'!$C:$C,'06. BC BH THEO CUSTOMER-USD'!$D90,'01. KE30'!$F:$F,'06. BC BH THEO CUSTOMER-USD'!$H90,'01. KE30'!$A:$A,'06. BC BH THEO CUSTOMER-USD'!DB$4)/1000</f>
        <v>0</v>
      </c>
      <c r="DC90" s="114">
        <f>SUMIFS('01. KE30'!$I:$I,'01. KE30'!$C:$C,'06. BC BH THEO CUSTOMER-USD'!$D90,'01. KE30'!$F:$F,'06. BC BH THEO CUSTOMER-USD'!$H90,'01. KE30'!$A:$A,'06. BC BH THEO CUSTOMER-USD'!DC$4)/1000</f>
        <v>0</v>
      </c>
      <c r="DD90" s="114">
        <f>SUMIFS('01. KE30'!$I:$I,'01. KE30'!$C:$C,'06. BC BH THEO CUSTOMER-USD'!$D90,'01. KE30'!$F:$F,'06. BC BH THEO CUSTOMER-USD'!$H90,'01. KE30'!$A:$A,'06. BC BH THEO CUSTOMER-USD'!DD$4)/1000</f>
        <v>0</v>
      </c>
      <c r="DF90" s="120">
        <f t="shared" si="267"/>
        <v>3859.1982365218491</v>
      </c>
      <c r="DG90" s="54">
        <f t="shared" si="640"/>
        <v>4658.5507828181453</v>
      </c>
      <c r="DH90" s="54" t="str">
        <f t="shared" si="641"/>
        <v>-</v>
      </c>
      <c r="DI90" s="54" t="str">
        <f t="shared" si="642"/>
        <v>-</v>
      </c>
      <c r="DJ90" s="54" t="str">
        <f t="shared" si="643"/>
        <v>-</v>
      </c>
      <c r="DK90" s="54" t="str">
        <f t="shared" si="644"/>
        <v>-</v>
      </c>
      <c r="DL90" s="54">
        <f t="shared" si="645"/>
        <v>-799.3525462962964</v>
      </c>
      <c r="DM90" s="54" t="str">
        <f t="shared" si="646"/>
        <v>-</v>
      </c>
      <c r="DN90" s="54" t="str">
        <f t="shared" si="647"/>
        <v>-</v>
      </c>
      <c r="DO90" s="54" t="str">
        <f t="shared" si="648"/>
        <v>-</v>
      </c>
      <c r="DP90" s="54" t="str">
        <f t="shared" si="649"/>
        <v>-</v>
      </c>
      <c r="DQ90" s="54" t="str">
        <f t="shared" si="650"/>
        <v>-</v>
      </c>
      <c r="DR90" s="54" t="str">
        <f t="shared" si="651"/>
        <v>-</v>
      </c>
      <c r="DT90" s="112">
        <f t="shared" si="652"/>
        <v>1044.6765593017581</v>
      </c>
      <c r="DU90" s="114">
        <f>IFERROR(SUMIFS('01. KE30'!$X:$X,'01. KE30'!$C:$C,'06. BC BH THEO CUSTOMER-USD'!$D90,'01. KE30'!$F:$F,'06. BC BH THEO CUSTOMER-USD'!$H90,'01. KE30'!$A:$A,'06. BC BH THEO CUSTOMER-USD'!DU$4)-SUMIFS('01. KE30'!$AA:$AA,'01. KE30'!$C:$C,'06. BC BH THEO CUSTOMER-USD'!$D90,'01. KE30'!$F:$F,'06. BC BH THEO CUSTOMER-USD'!$H90,'01. KE30'!$A:$A,'06. BC BH THEO CUSTOMER-USD'!DU$4),"-")</f>
        <v>1232.3865515857087</v>
      </c>
      <c r="DV90" s="114">
        <f>IFERROR(SUMIFS('01. KE30'!$X:$X,'01. KE30'!$C:$C,'06. BC BH THEO CUSTOMER-USD'!$D90,'01. KE30'!$F:$F,'06. BC BH THEO CUSTOMER-USD'!$H90,'01. KE30'!$A:$A,'06. BC BH THEO CUSTOMER-USD'!DV$4)-SUMIFS('01. KE30'!$AA:$AA,'01. KE30'!$C:$C,'06. BC BH THEO CUSTOMER-USD'!$D90,'01. KE30'!$F:$F,'06. BC BH THEO CUSTOMER-USD'!$H90,'01. KE30'!$A:$A,'06. BC BH THEO CUSTOMER-USD'!DV$4),"-")</f>
        <v>0</v>
      </c>
      <c r="DW90" s="114">
        <f>IFERROR(SUMIFS('01. KE30'!$X:$X,'01. KE30'!$C:$C,'06. BC BH THEO CUSTOMER-USD'!$D90,'01. KE30'!$F:$F,'06. BC BH THEO CUSTOMER-USD'!$H90,'01. KE30'!$A:$A,'06. BC BH THEO CUSTOMER-USD'!DW$4)-SUMIFS('01. KE30'!$AA:$AA,'01. KE30'!$C:$C,'06. BC BH THEO CUSTOMER-USD'!$D90,'01. KE30'!$F:$F,'06. BC BH THEO CUSTOMER-USD'!$H90,'01. KE30'!$A:$A,'06. BC BH THEO CUSTOMER-USD'!DW$4),"-")</f>
        <v>0</v>
      </c>
      <c r="DX90" s="114">
        <f>IFERROR(SUMIFS('01. KE30'!$X:$X,'01. KE30'!$C:$C,'06. BC BH THEO CUSTOMER-USD'!$D90,'01. KE30'!$F:$F,'06. BC BH THEO CUSTOMER-USD'!$H90,'01. KE30'!$A:$A,'06. BC BH THEO CUSTOMER-USD'!DX$4)-SUMIFS('01. KE30'!$AA:$AA,'01. KE30'!$C:$C,'06. BC BH THEO CUSTOMER-USD'!$D90,'01. KE30'!$F:$F,'06. BC BH THEO CUSTOMER-USD'!$H90,'01. KE30'!$A:$A,'06. BC BH THEO CUSTOMER-USD'!DX$4),"-")</f>
        <v>0</v>
      </c>
      <c r="DY90" s="114">
        <f>IFERROR(SUMIFS('01. KE30'!$X:$X,'01. KE30'!$C:$C,'06. BC BH THEO CUSTOMER-USD'!$D90,'01. KE30'!$F:$F,'06. BC BH THEO CUSTOMER-USD'!$H90,'01. KE30'!$A:$A,'06. BC BH THEO CUSTOMER-USD'!DY$4)-SUMIFS('01. KE30'!$AA:$AA,'01. KE30'!$C:$C,'06. BC BH THEO CUSTOMER-USD'!$D90,'01. KE30'!$F:$F,'06. BC BH THEO CUSTOMER-USD'!$H90,'01. KE30'!$A:$A,'06. BC BH THEO CUSTOMER-USD'!DY$4),"-")</f>
        <v>0</v>
      </c>
      <c r="DZ90" s="114">
        <f>IFERROR(SUMIFS('01. KE30'!$X:$X,'01. KE30'!$C:$C,'06. BC BH THEO CUSTOMER-USD'!$D90,'01. KE30'!$F:$F,'06. BC BH THEO CUSTOMER-USD'!$H90,'01. KE30'!$A:$A,'06. BC BH THEO CUSTOMER-USD'!DZ$4)-SUMIFS('01. KE30'!$AA:$AA,'01. KE30'!$C:$C,'06. BC BH THEO CUSTOMER-USD'!$D90,'01. KE30'!$F:$F,'06. BC BH THEO CUSTOMER-USD'!$H90,'01. KE30'!$A:$A,'06. BC BH THEO CUSTOMER-USD'!DZ$4),"-")</f>
        <v>-187.70999228395056</v>
      </c>
      <c r="EA90" s="114">
        <f>IFERROR(SUMIFS('01. KE30'!$X:$X,'01. KE30'!$C:$C,'06. BC BH THEO CUSTOMER-USD'!$D90,'01. KE30'!$F:$F,'06. BC BH THEO CUSTOMER-USD'!$H90,'01. KE30'!$A:$A,'06. BC BH THEO CUSTOMER-USD'!EA$4)-SUMIFS('01. KE30'!$AA:$AA,'01. KE30'!$C:$C,'06. BC BH THEO CUSTOMER-USD'!$D90,'01. KE30'!$F:$F,'06. BC BH THEO CUSTOMER-USD'!$H90,'01. KE30'!$A:$A,'06. BC BH THEO CUSTOMER-USD'!EA$4),"-")</f>
        <v>0</v>
      </c>
      <c r="EB90" s="114">
        <f>IFERROR(SUMIFS('01. KE30'!$X:$X,'01. KE30'!$C:$C,'06. BC BH THEO CUSTOMER-USD'!$D90,'01. KE30'!$F:$F,'06. BC BH THEO CUSTOMER-USD'!$H90,'01. KE30'!$A:$A,'06. BC BH THEO CUSTOMER-USD'!EB$4)-SUMIFS('01. KE30'!$AA:$AA,'01. KE30'!$C:$C,'06. BC BH THEO CUSTOMER-USD'!$D90,'01. KE30'!$F:$F,'06. BC BH THEO CUSTOMER-USD'!$H90,'01. KE30'!$A:$A,'06. BC BH THEO CUSTOMER-USD'!EB$4),"-")</f>
        <v>0</v>
      </c>
      <c r="EC90" s="114">
        <f>IFERROR(SUMIFS('01. KE30'!$X:$X,'01. KE30'!$C:$C,'06. BC BH THEO CUSTOMER-USD'!$D90,'01. KE30'!$F:$F,'06. BC BH THEO CUSTOMER-USD'!$H90,'01. KE30'!$A:$A,'06. BC BH THEO CUSTOMER-USD'!EC$4)-SUMIFS('01. KE30'!$AA:$AA,'01. KE30'!$C:$C,'06. BC BH THEO CUSTOMER-USD'!$D90,'01. KE30'!$F:$F,'06. BC BH THEO CUSTOMER-USD'!$H90,'01. KE30'!$A:$A,'06. BC BH THEO CUSTOMER-USD'!EC$4),"-")</f>
        <v>0</v>
      </c>
      <c r="ED90" s="114">
        <f>IFERROR(SUMIFS('01. KE30'!$X:$X,'01. KE30'!$C:$C,'06. BC BH THEO CUSTOMER-USD'!$D90,'01. KE30'!$F:$F,'06. BC BH THEO CUSTOMER-USD'!$H90,'01. KE30'!$A:$A,'06. BC BH THEO CUSTOMER-USD'!ED$4)-SUMIFS('01. KE30'!$AA:$AA,'01. KE30'!$C:$C,'06. BC BH THEO CUSTOMER-USD'!$D90,'01. KE30'!$F:$F,'06. BC BH THEO CUSTOMER-USD'!$H90,'01. KE30'!$A:$A,'06. BC BH THEO CUSTOMER-USD'!ED$4),"-")</f>
        <v>0</v>
      </c>
      <c r="EE90" s="114">
        <f>IFERROR(SUMIFS('01. KE30'!$X:$X,'01. KE30'!$C:$C,'06. BC BH THEO CUSTOMER-USD'!$D90,'01. KE30'!$F:$F,'06. BC BH THEO CUSTOMER-USD'!$H90,'01. KE30'!$A:$A,'06. BC BH THEO CUSTOMER-USD'!EE$4)-SUMIFS('01. KE30'!$AA:$AA,'01. KE30'!$C:$C,'06. BC BH THEO CUSTOMER-USD'!$D90,'01. KE30'!$F:$F,'06. BC BH THEO CUSTOMER-USD'!$H90,'01. KE30'!$A:$A,'06. BC BH THEO CUSTOMER-USD'!EE$4),"-")</f>
        <v>0</v>
      </c>
      <c r="EF90" s="114">
        <f>IFERROR(SUMIFS('01. KE30'!$X:$X,'01. KE30'!$C:$C,'06. BC BH THEO CUSTOMER-USD'!$D90,'01. KE30'!$F:$F,'06. BC BH THEO CUSTOMER-USD'!$H90,'01. KE30'!$A:$A,'06. BC BH THEO CUSTOMER-USD'!EF$4)-SUMIFS('01. KE30'!$AA:$AA,'01. KE30'!$C:$C,'06. BC BH THEO CUSTOMER-USD'!$D90,'01. KE30'!$F:$F,'06. BC BH THEO CUSTOMER-USD'!$H90,'01. KE30'!$A:$A,'06. BC BH THEO CUSTOMER-USD'!EF$4),"-")</f>
        <v>0</v>
      </c>
      <c r="EH90" s="571">
        <f t="shared" ref="EH90" si="760">IFERROR(DT90/DF90,"-")</f>
        <v>0.27069782252058811</v>
      </c>
      <c r="EI90" s="572">
        <f t="shared" ref="EI90" si="761">IFERROR(DU90/DG90,"-")</f>
        <v>0.26454290379983547</v>
      </c>
      <c r="EJ90" s="572" t="str">
        <f t="shared" ref="EJ90" si="762">IFERROR(DV90/DH90,"-")</f>
        <v>-</v>
      </c>
      <c r="EK90" s="572" t="str">
        <f t="shared" ref="EK90" si="763">IFERROR(DW90/DI90,"-")</f>
        <v>-</v>
      </c>
      <c r="EL90" s="572" t="str">
        <f t="shared" ref="EL90" si="764">IFERROR(DX90/DJ90,"-")</f>
        <v>-</v>
      </c>
      <c r="EM90" s="572" t="str">
        <f t="shared" ref="EM90" si="765">IFERROR(DY90/DK90,"-")</f>
        <v>-</v>
      </c>
      <c r="EN90" s="572">
        <f t="shared" ref="EN90" si="766">IFERROR(DZ90/DL90,"-")</f>
        <v>0.23482754030581646</v>
      </c>
      <c r="EO90" s="572" t="str">
        <f t="shared" ref="EO90" si="767">IFERROR(EA90/DM90,"-")</f>
        <v>-</v>
      </c>
      <c r="EP90" s="572" t="str">
        <f t="shared" ref="EP90" si="768">IFERROR(EB90/DN90,"-")</f>
        <v>-</v>
      </c>
      <c r="EQ90" s="572" t="str">
        <f t="shared" ref="EQ90" si="769">IFERROR(EC90/DO90,"-")</f>
        <v>-</v>
      </c>
      <c r="ER90" s="572" t="str">
        <f t="shared" ref="ER90" si="770">IFERROR(ED90/DP90,"-")</f>
        <v>-</v>
      </c>
      <c r="ES90" s="572" t="str">
        <f t="shared" ref="ES90" si="771">IFERROR(EE90/DQ90,"-")</f>
        <v>-</v>
      </c>
      <c r="ET90" s="572" t="str">
        <f t="shared" ref="ET90" si="772">IFERROR(EF90/DR90,"-")</f>
        <v>-</v>
      </c>
    </row>
    <row r="91" spans="1:150" ht="15.5" hidden="1" outlineLevel="1" x14ac:dyDescent="0.35">
      <c r="A91" s="27">
        <f>A88+1</f>
        <v>75</v>
      </c>
      <c r="B91" s="27" t="s">
        <v>283</v>
      </c>
      <c r="C91" s="442" t="s">
        <v>489</v>
      </c>
      <c r="D91" s="9" t="s">
        <v>347</v>
      </c>
      <c r="E91" s="12" t="s">
        <v>348</v>
      </c>
      <c r="F91" s="12" t="s">
        <v>245</v>
      </c>
      <c r="G91" s="12" t="str">
        <f>_xlfn.XLOOKUP(F91,'Quy đổi'!$G$5:$G$32,'Quy đổi'!$H$5:$H$32,0)</f>
        <v>Nội địa</v>
      </c>
      <c r="H91" s="76" t="s">
        <v>127</v>
      </c>
      <c r="I91" s="28" t="s">
        <v>114</v>
      </c>
      <c r="J91" s="6" t="s">
        <v>22</v>
      </c>
      <c r="K91" s="11"/>
      <c r="L91" s="92">
        <f t="shared" si="633"/>
        <v>1390.9999028439504</v>
      </c>
      <c r="M91" s="106" t="str">
        <f>IFERROR(SUMIFS('01. KE30'!$K:$K,'01. KE30'!$C:$C,'06. BC BH THEO CUSTOMER-USD'!$D91,'01. KE30'!$F:$F,'06. BC BH THEO CUSTOMER-USD'!$H91,'01. KE30'!$A:$A,'06. BC BH THEO CUSTOMER-USD'!M$4)/'06. BC BH THEO CUSTOMER-USD'!CS91/'02. Tỷ giá'!B$5,"-")</f>
        <v>-</v>
      </c>
      <c r="N91" s="106" t="str">
        <f>IFERROR(SUMIFS('01. KE30'!$K:$K,'01. KE30'!$C:$C,'06. BC BH THEO CUSTOMER-USD'!$D91,'01. KE30'!$F:$F,'06. BC BH THEO CUSTOMER-USD'!$H91,'01. KE30'!$A:$A,'06. BC BH THEO CUSTOMER-USD'!N$4)/'06. BC BH THEO CUSTOMER-USD'!CT91/'02. Tỷ giá'!C$5,"-")</f>
        <v>-</v>
      </c>
      <c r="O91" s="106" t="str">
        <f>IFERROR(SUMIFS('01. KE30'!$K:$K,'01. KE30'!$C:$C,'06. BC BH THEO CUSTOMER-USD'!$D91,'01. KE30'!$F:$F,'06. BC BH THEO CUSTOMER-USD'!$H91,'01. KE30'!$A:$A,'06. BC BH THEO CUSTOMER-USD'!O$4)/'06. BC BH THEO CUSTOMER-USD'!CU91/'02. Tỷ giá'!D$5,"-")</f>
        <v>-</v>
      </c>
      <c r="P91" s="106" t="str">
        <f>IFERROR(SUMIFS('01. KE30'!$K:$K,'01. KE30'!$C:$C,'06. BC BH THEO CUSTOMER-USD'!$D91,'01. KE30'!$F:$F,'06. BC BH THEO CUSTOMER-USD'!$H91,'01. KE30'!$A:$A,'06. BC BH THEO CUSTOMER-USD'!P$4)/'06. BC BH THEO CUSTOMER-USD'!CV91/'02. Tỷ giá'!E$5,"-")</f>
        <v>-</v>
      </c>
      <c r="Q91" s="106" t="str">
        <f>IFERROR(SUMIFS('01. KE30'!$K:$K,'01. KE30'!$C:$C,'06. BC BH THEO CUSTOMER-USD'!$D91,'01. KE30'!$F:$F,'06. BC BH THEO CUSTOMER-USD'!$H91,'01. KE30'!$A:$A,'06. BC BH THEO CUSTOMER-USD'!Q$4)/'06. BC BH THEO CUSTOMER-USD'!CW91/'02. Tỷ giá'!F$5,"-")</f>
        <v>-</v>
      </c>
      <c r="R91" s="106">
        <f>IFERROR(SUMIFS('01. KE30'!$K:$K,'01. KE30'!$C:$C,'06. BC BH THEO CUSTOMER-USD'!$D91,'01. KE30'!$F:$F,'06. BC BH THEO CUSTOMER-USD'!$H91,'01. KE30'!$A:$A,'06. BC BH THEO CUSTOMER-USD'!R$4)/'06. BC BH THEO CUSTOMER-USD'!CX91/'02. Tỷ giá'!G$5,"-")</f>
        <v>1390.9999028439504</v>
      </c>
      <c r="S91" s="106" t="str">
        <f>IFERROR(SUMIFS('01. KE30'!$K:$K,'01. KE30'!$C:$C,'06. BC BH THEO CUSTOMER-USD'!$D91,'01. KE30'!$F:$F,'06. BC BH THEO CUSTOMER-USD'!$H91,'01. KE30'!$A:$A,'06. BC BH THEO CUSTOMER-USD'!S$4)/'06. BC BH THEO CUSTOMER-USD'!CY91/'02. Tỷ giá'!H$5,"-")</f>
        <v>-</v>
      </c>
      <c r="T91" s="106" t="str">
        <f>IFERROR(SUMIFS('01. KE30'!$K:$K,'01. KE30'!$C:$C,'06. BC BH THEO CUSTOMER-USD'!$D91,'01. KE30'!$F:$F,'06. BC BH THEO CUSTOMER-USD'!$H91,'01. KE30'!$A:$A,'06. BC BH THEO CUSTOMER-USD'!T$4)/'06. BC BH THEO CUSTOMER-USD'!CZ91/'02. Tỷ giá'!I$5,"-")</f>
        <v>-</v>
      </c>
      <c r="U91" s="106" t="str">
        <f>IFERROR(SUMIFS('01. KE30'!$K:$K,'01. KE30'!$C:$C,'06. BC BH THEO CUSTOMER-USD'!$D91,'01. KE30'!$F:$F,'06. BC BH THEO CUSTOMER-USD'!$H91,'01. KE30'!$A:$A,'06. BC BH THEO CUSTOMER-USD'!U$4)/'06. BC BH THEO CUSTOMER-USD'!DA91/'02. Tỷ giá'!J$5,"-")</f>
        <v>-</v>
      </c>
      <c r="V91" s="106" t="str">
        <f>IFERROR(SUMIFS('01. KE30'!$K:$K,'01. KE30'!$C:$C,'06. BC BH THEO CUSTOMER-USD'!$D91,'01. KE30'!$F:$F,'06. BC BH THEO CUSTOMER-USD'!$H91,'01. KE30'!$A:$A,'06. BC BH THEO CUSTOMER-USD'!V$4)/'06. BC BH THEO CUSTOMER-USD'!DB91/'02. Tỷ giá'!K$5,"-")</f>
        <v>-</v>
      </c>
      <c r="W91" s="106" t="str">
        <f>IFERROR(SUMIFS('01. KE30'!$K:$K,'01. KE30'!$C:$C,'06. BC BH THEO CUSTOMER-USD'!$D91,'01. KE30'!$F:$F,'06. BC BH THEO CUSTOMER-USD'!$H91,'01. KE30'!$A:$A,'06. BC BH THEO CUSTOMER-USD'!W$4)/'06. BC BH THEO CUSTOMER-USD'!DC91/'02. Tỷ giá'!L$5,"-")</f>
        <v>-</v>
      </c>
      <c r="X91" s="106" t="str">
        <f>IFERROR(SUMIFS('01. KE30'!$K:$K,'01. KE30'!$C:$C,'06. BC BH THEO CUSTOMER-USD'!$D91,'01. KE30'!$F:$F,'06. BC BH THEO CUSTOMER-USD'!$H91,'01. KE30'!$A:$A,'06. BC BH THEO CUSTOMER-USD'!X$4)/'06. BC BH THEO CUSTOMER-USD'!DD91/'02. Tỷ giá'!M$5,"-")</f>
        <v>-</v>
      </c>
      <c r="Z91" s="92">
        <f t="shared" si="634"/>
        <v>1390.9999028439504</v>
      </c>
      <c r="AA91" s="147" t="str">
        <f>IFERROR(SUMIFS('01. KE30'!$O:$O,'01. KE30'!$C:$C,'06. BC BH THEO CUSTOMER-USD'!$D91,'01. KE30'!$F:$F,'06. BC BH THEO CUSTOMER-USD'!$H91,'01. KE30'!$A:$A,'06. BC BH THEO CUSTOMER-USD'!M$4)/'06. BC BH THEO CUSTOMER-USD'!CS91/'02. Tỷ giá'!B$5,"-")</f>
        <v>-</v>
      </c>
      <c r="AB91" s="147" t="str">
        <f>IFERROR(SUMIFS('01. KE30'!$O:$O,'01. KE30'!$C:$C,'06. BC BH THEO CUSTOMER-USD'!$D91,'01. KE30'!$F:$F,'06. BC BH THEO CUSTOMER-USD'!$H91,'01. KE30'!$A:$A,'06. BC BH THEO CUSTOMER-USD'!N$4)/'06. BC BH THEO CUSTOMER-USD'!CT91/'02. Tỷ giá'!C$5,"-")</f>
        <v>-</v>
      </c>
      <c r="AC91" s="147" t="str">
        <f>IFERROR(SUMIFS('01. KE30'!$O:$O,'01. KE30'!$C:$C,'06. BC BH THEO CUSTOMER-USD'!$D91,'01. KE30'!$F:$F,'06. BC BH THEO CUSTOMER-USD'!$H91,'01. KE30'!$A:$A,'06. BC BH THEO CUSTOMER-USD'!O$4)/'06. BC BH THEO CUSTOMER-USD'!CU91/'02. Tỷ giá'!D$5,"-")</f>
        <v>-</v>
      </c>
      <c r="AD91" s="147" t="str">
        <f>IFERROR(SUMIFS('01. KE30'!$O:$O,'01. KE30'!$C:$C,'06. BC BH THEO CUSTOMER-USD'!$D91,'01. KE30'!$F:$F,'06. BC BH THEO CUSTOMER-USD'!$H91,'01. KE30'!$A:$A,'06. BC BH THEO CUSTOMER-USD'!P$4)/'06. BC BH THEO CUSTOMER-USD'!CV91/'02. Tỷ giá'!E$5,"-")</f>
        <v>-</v>
      </c>
      <c r="AE91" s="147" t="str">
        <f>IFERROR(SUMIFS('01. KE30'!$O:$O,'01. KE30'!$C:$C,'06. BC BH THEO CUSTOMER-USD'!$D91,'01. KE30'!$F:$F,'06. BC BH THEO CUSTOMER-USD'!$H91,'01. KE30'!$A:$A,'06. BC BH THEO CUSTOMER-USD'!Q$4)/'06. BC BH THEO CUSTOMER-USD'!CW91/'02. Tỷ giá'!F$5,"-")</f>
        <v>-</v>
      </c>
      <c r="AF91" s="147">
        <f>IFERROR(SUMIFS('01. KE30'!$O:$O,'01. KE30'!$C:$C,'06. BC BH THEO CUSTOMER-USD'!$D91,'01. KE30'!$F:$F,'06. BC BH THEO CUSTOMER-USD'!$H91,'01. KE30'!$A:$A,'06. BC BH THEO CUSTOMER-USD'!R$4)/'06. BC BH THEO CUSTOMER-USD'!CX91/'02. Tỷ giá'!G$5,"-")</f>
        <v>1390.9999028439504</v>
      </c>
      <c r="AG91" s="147" t="str">
        <f>IFERROR(SUMIFS('01. KE30'!$O:$O,'01. KE30'!$C:$C,'06. BC BH THEO CUSTOMER-USD'!$D91,'01. KE30'!$F:$F,'06. BC BH THEO CUSTOMER-USD'!$H91,'01. KE30'!$A:$A,'06. BC BH THEO CUSTOMER-USD'!S$4)/'06. BC BH THEO CUSTOMER-USD'!CY91/'02. Tỷ giá'!H$5,"-")</f>
        <v>-</v>
      </c>
      <c r="AH91" s="147" t="str">
        <f>IFERROR(SUMIFS('01. KE30'!$O:$O,'01. KE30'!$C:$C,'06. BC BH THEO CUSTOMER-USD'!$D91,'01. KE30'!$F:$F,'06. BC BH THEO CUSTOMER-USD'!$H91,'01. KE30'!$A:$A,'06. BC BH THEO CUSTOMER-USD'!T$4)/'06. BC BH THEO CUSTOMER-USD'!CZ91/'02. Tỷ giá'!I$5,"-")</f>
        <v>-</v>
      </c>
      <c r="AI91" s="147" t="str">
        <f>IFERROR(SUMIFS('01. KE30'!$O:$O,'01. KE30'!$C:$C,'06. BC BH THEO CUSTOMER-USD'!$D91,'01. KE30'!$F:$F,'06. BC BH THEO CUSTOMER-USD'!$H91,'01. KE30'!$A:$A,'06. BC BH THEO CUSTOMER-USD'!U$4)/'06. BC BH THEO CUSTOMER-USD'!DA91/'02. Tỷ giá'!J$5,"-")</f>
        <v>-</v>
      </c>
      <c r="AJ91" s="147" t="str">
        <f>IFERROR(SUMIFS('01. KE30'!$O:$O,'01. KE30'!$C:$C,'06. BC BH THEO CUSTOMER-USD'!$D91,'01. KE30'!$F:$F,'06. BC BH THEO CUSTOMER-USD'!$H91,'01. KE30'!$A:$A,'06. BC BH THEO CUSTOMER-USD'!V$4)/'06. BC BH THEO CUSTOMER-USD'!DB91/'02. Tỷ giá'!K$5,"-")</f>
        <v>-</v>
      </c>
      <c r="AK91" s="147" t="str">
        <f>IFERROR(SUMIFS('01. KE30'!$O:$O,'01. KE30'!$C:$C,'06. BC BH THEO CUSTOMER-USD'!$D91,'01. KE30'!$F:$F,'06. BC BH THEO CUSTOMER-USD'!$H91,'01. KE30'!$A:$A,'06. BC BH THEO CUSTOMER-USD'!W$4)/'06. BC BH THEO CUSTOMER-USD'!DC91/'02. Tỷ giá'!L$5,"-")</f>
        <v>-</v>
      </c>
      <c r="AL91" s="147" t="str">
        <f>IFERROR(SUMIFS('01. KE30'!$O:$O,'01. KE30'!$C:$C,'06. BC BH THEO CUSTOMER-USD'!$D91,'01. KE30'!$F:$F,'06. BC BH THEO CUSTOMER-USD'!$H91,'01. KE30'!$A:$A,'06. BC BH THEO CUSTOMER-USD'!X$4)/'06. BC BH THEO CUSTOMER-USD'!DD91/'02. Tỷ giá'!M$5,"-")</f>
        <v>-</v>
      </c>
      <c r="AN91" s="92">
        <f t="shared" si="635"/>
        <v>1286.6666666666667</v>
      </c>
      <c r="AO91" s="25">
        <v>1260</v>
      </c>
      <c r="AP91" s="25">
        <v>1260</v>
      </c>
      <c r="AQ91" s="25">
        <v>1260</v>
      </c>
      <c r="AR91" s="4">
        <f t="shared" ref="AR91:AR95" si="773">AQ91+20</f>
        <v>1280</v>
      </c>
      <c r="AS91" s="4">
        <v>1280</v>
      </c>
      <c r="AT91" s="4">
        <v>1280</v>
      </c>
      <c r="AU91" s="4">
        <v>1340</v>
      </c>
      <c r="AV91" s="4">
        <f t="shared" si="205"/>
        <v>1310</v>
      </c>
      <c r="AW91" s="25">
        <v>1310</v>
      </c>
      <c r="AX91" s="25"/>
      <c r="AY91" s="4"/>
      <c r="AZ91" s="4"/>
      <c r="BB91" s="95">
        <f t="shared" si="637"/>
        <v>104.33323617728365</v>
      </c>
      <c r="BC91" s="95" t="str">
        <f t="shared" si="638"/>
        <v>-</v>
      </c>
      <c r="BD91" s="95" t="str">
        <f t="shared" si="516"/>
        <v>-</v>
      </c>
      <c r="BE91" s="95" t="str">
        <f t="shared" si="516"/>
        <v>-</v>
      </c>
      <c r="BF91" s="95" t="str">
        <f t="shared" si="516"/>
        <v>-</v>
      </c>
      <c r="BG91" s="95" t="str">
        <f t="shared" si="516"/>
        <v>-</v>
      </c>
      <c r="BH91" s="95">
        <f t="shared" si="516"/>
        <v>110.99990284395039</v>
      </c>
      <c r="BI91" s="95" t="str">
        <f t="shared" si="516"/>
        <v>-</v>
      </c>
      <c r="BJ91" s="95" t="str">
        <f t="shared" si="516"/>
        <v>-</v>
      </c>
      <c r="BK91" s="95" t="str">
        <f t="shared" si="516"/>
        <v>-</v>
      </c>
      <c r="BL91" s="95" t="str">
        <f t="shared" si="516"/>
        <v>-</v>
      </c>
      <c r="BM91" s="95" t="str">
        <f t="shared" si="516"/>
        <v>-</v>
      </c>
      <c r="BN91" s="95" t="str">
        <f t="shared" si="516"/>
        <v>-</v>
      </c>
      <c r="BP91" s="143">
        <f t="shared" si="639"/>
        <v>8.1088007391671227E-2</v>
      </c>
      <c r="BQ91" s="143" t="str">
        <f t="shared" si="517"/>
        <v>-</v>
      </c>
      <c r="BR91" s="143" t="str">
        <f t="shared" si="518"/>
        <v>-</v>
      </c>
      <c r="BS91" s="143" t="str">
        <f t="shared" si="519"/>
        <v>-</v>
      </c>
      <c r="BT91" s="143" t="str">
        <f t="shared" si="520"/>
        <v>-</v>
      </c>
      <c r="BU91" s="143" t="str">
        <f t="shared" si="521"/>
        <v>-</v>
      </c>
      <c r="BV91" s="143">
        <f t="shared" si="522"/>
        <v>8.6718674096836243E-2</v>
      </c>
      <c r="BW91" s="143" t="str">
        <f t="shared" si="523"/>
        <v>-</v>
      </c>
      <c r="BX91" s="143" t="str">
        <f t="shared" si="524"/>
        <v>-</v>
      </c>
      <c r="BY91" s="143" t="str">
        <f t="shared" si="525"/>
        <v>-</v>
      </c>
      <c r="BZ91" s="143" t="str">
        <f t="shared" si="526"/>
        <v>-</v>
      </c>
      <c r="CA91" s="143" t="str">
        <f t="shared" si="527"/>
        <v>-</v>
      </c>
      <c r="CB91" s="143" t="str">
        <f t="shared" si="528"/>
        <v>-</v>
      </c>
      <c r="CD91" s="112">
        <f t="shared" si="529"/>
        <v>1079.8145663918856</v>
      </c>
      <c r="CE91" s="95" t="str">
        <f>IFERROR(SUMIFS('01. KE30'!$R:$R,'01. KE30'!$C:$C,'06. BC BH THEO CUSTOMER-USD'!$D91,'01. KE30'!$F:$F,'06. BC BH THEO CUSTOMER-USD'!$H91,'01. KE30'!$A:$A,'06. BC BH THEO CUSTOMER-USD'!CE$4)/CS91/'02. Tỷ giá'!B$5," -")</f>
        <v xml:space="preserve"> -</v>
      </c>
      <c r="CF91" s="95" t="str">
        <f>IFERROR(SUMIFS('01. KE30'!$R:$R,'01. KE30'!$C:$C,'06. BC BH THEO CUSTOMER-USD'!$D91,'01. KE30'!$F:$F,'06. BC BH THEO CUSTOMER-USD'!$H91,'01. KE30'!$A:$A,'06. BC BH THEO CUSTOMER-USD'!CF$4)/CT91/'02. Tỷ giá'!C$5," -")</f>
        <v xml:space="preserve"> -</v>
      </c>
      <c r="CG91" s="95" t="str">
        <f>IFERROR(SUMIFS('01. KE30'!$R:$R,'01. KE30'!$C:$C,'06. BC BH THEO CUSTOMER-USD'!$D91,'01. KE30'!$F:$F,'06. BC BH THEO CUSTOMER-USD'!$H91,'01. KE30'!$A:$A,'06. BC BH THEO CUSTOMER-USD'!CG$4)/CU91/'02. Tỷ giá'!D$5," -")</f>
        <v xml:space="preserve"> -</v>
      </c>
      <c r="CH91" s="95" t="str">
        <f>IFERROR(SUMIFS('01. KE30'!$R:$R,'01. KE30'!$C:$C,'06. BC BH THEO CUSTOMER-USD'!$D91,'01. KE30'!$F:$F,'06. BC BH THEO CUSTOMER-USD'!$H91,'01. KE30'!$A:$A,'06. BC BH THEO CUSTOMER-USD'!CH$4)/CV91/'02. Tỷ giá'!E$5," -")</f>
        <v xml:space="preserve"> -</v>
      </c>
      <c r="CI91" s="95" t="str">
        <f>IFERROR(SUMIFS('01. KE30'!$R:$R,'01. KE30'!$C:$C,'06. BC BH THEO CUSTOMER-USD'!$D91,'01. KE30'!$F:$F,'06. BC BH THEO CUSTOMER-USD'!$H91,'01. KE30'!$A:$A,'06. BC BH THEO CUSTOMER-USD'!CI$4)/CW91/'02. Tỷ giá'!F$5," -")</f>
        <v xml:space="preserve"> -</v>
      </c>
      <c r="CJ91" s="95">
        <f>IFERROR(SUMIFS('01. KE30'!$R:$R,'01. KE30'!$C:$C,'06. BC BH THEO CUSTOMER-USD'!$D91,'01. KE30'!$F:$F,'06. BC BH THEO CUSTOMER-USD'!$H91,'01. KE30'!$A:$A,'06. BC BH THEO CUSTOMER-USD'!CJ$4)/CX91/'02. Tỷ giá'!G$5," -")</f>
        <v>1079.8145663918856</v>
      </c>
      <c r="CK91" s="95" t="str">
        <f>IFERROR(SUMIFS('01. KE30'!$R:$R,'01. KE30'!$C:$C,'06. BC BH THEO CUSTOMER-USD'!$D91,'01. KE30'!$F:$F,'06. BC BH THEO CUSTOMER-USD'!$H91,'01. KE30'!$A:$A,'06. BC BH THEO CUSTOMER-USD'!CK$4)/CY91/'02. Tỷ giá'!H$5," -")</f>
        <v xml:space="preserve"> -</v>
      </c>
      <c r="CL91" s="95" t="str">
        <f>IFERROR(SUMIFS('01. KE30'!$R:$R,'01. KE30'!$C:$C,'06. BC BH THEO CUSTOMER-USD'!$D91,'01. KE30'!$F:$F,'06. BC BH THEO CUSTOMER-USD'!$H91,'01. KE30'!$A:$A,'06. BC BH THEO CUSTOMER-USD'!CL$4)/CZ91/'02. Tỷ giá'!I$5," -")</f>
        <v xml:space="preserve"> -</v>
      </c>
      <c r="CM91" s="95" t="str">
        <f>IFERROR(SUMIFS('01. KE30'!$R:$R,'01. KE30'!$C:$C,'06. BC BH THEO CUSTOMER-USD'!$D91,'01. KE30'!$F:$F,'06. BC BH THEO CUSTOMER-USD'!$H91,'01. KE30'!$A:$A,'06. BC BH THEO CUSTOMER-USD'!CM$4)/DA91/'02. Tỷ giá'!J$5," -")</f>
        <v xml:space="preserve"> -</v>
      </c>
      <c r="CN91" s="95" t="str">
        <f>IFERROR(SUMIFS('01. KE30'!$R:$R,'01. KE30'!$C:$C,'06. BC BH THEO CUSTOMER-USD'!$D91,'01. KE30'!$F:$F,'06. BC BH THEO CUSTOMER-USD'!$H91,'01. KE30'!$A:$A,'06. BC BH THEO CUSTOMER-USD'!CN$4)/DB91/'02. Tỷ giá'!K$5," -")</f>
        <v xml:space="preserve"> -</v>
      </c>
      <c r="CO91" s="95" t="str">
        <f>IFERROR(SUMIFS('01. KE30'!$R:$R,'01. KE30'!$C:$C,'06. BC BH THEO CUSTOMER-USD'!$D91,'01. KE30'!$F:$F,'06. BC BH THEO CUSTOMER-USD'!$H91,'01. KE30'!$A:$A,'06. BC BH THEO CUSTOMER-USD'!CO$4)/DC91/'02. Tỷ giá'!L$5," -")</f>
        <v xml:space="preserve"> -</v>
      </c>
      <c r="CP91" s="95" t="str">
        <f>IFERROR(SUMIFS('01. KE30'!$R:$R,'01. KE30'!$C:$C,'06. BC BH THEO CUSTOMER-USD'!$D91,'01. KE30'!$F:$F,'06. BC BH THEO CUSTOMER-USD'!$H91,'01. KE30'!$A:$A,'06. BC BH THEO CUSTOMER-USD'!CP$4)/DD91/'02. Tỷ giá'!M$5," -")</f>
        <v xml:space="preserve"> -</v>
      </c>
      <c r="CR91" s="112">
        <f t="shared" ref="CR91" si="774">SUM(CS91:DD91)</f>
        <v>2.7891999999999997</v>
      </c>
      <c r="CS91" s="114">
        <f>SUMIFS('01. KE30'!$I:$I,'01. KE30'!$C:$C,'06. BC BH THEO CUSTOMER-USD'!$D91,'01. KE30'!$F:$F,'06. BC BH THEO CUSTOMER-USD'!$H91,'01. KE30'!$A:$A,'06. BC BH THEO CUSTOMER-USD'!CS$4)/1000</f>
        <v>0</v>
      </c>
      <c r="CT91" s="114">
        <f>SUMIFS('01. KE30'!$I:$I,'01. KE30'!$C:$C,'06. BC BH THEO CUSTOMER-USD'!$D91,'01. KE30'!$F:$F,'06. BC BH THEO CUSTOMER-USD'!$H91,'01. KE30'!$A:$A,'06. BC BH THEO CUSTOMER-USD'!CT$4)/1000</f>
        <v>0</v>
      </c>
      <c r="CU91" s="114">
        <f>SUMIFS('01. KE30'!$I:$I,'01. KE30'!$C:$C,'06. BC BH THEO CUSTOMER-USD'!$D91,'01. KE30'!$F:$F,'06. BC BH THEO CUSTOMER-USD'!$H91,'01. KE30'!$A:$A,'06. BC BH THEO CUSTOMER-USD'!CU$4)/1000</f>
        <v>0</v>
      </c>
      <c r="CV91" s="114">
        <f>SUMIFS('01. KE30'!$I:$I,'01. KE30'!$C:$C,'06. BC BH THEO CUSTOMER-USD'!$D91,'01. KE30'!$F:$F,'06. BC BH THEO CUSTOMER-USD'!$H91,'01. KE30'!$A:$A,'06. BC BH THEO CUSTOMER-USD'!CV$4)/1000</f>
        <v>0</v>
      </c>
      <c r="CW91" s="114">
        <f>SUMIFS('01. KE30'!$I:$I,'01. KE30'!$C:$C,'06. BC BH THEO CUSTOMER-USD'!$D91,'01. KE30'!$F:$F,'06. BC BH THEO CUSTOMER-USD'!$H91,'01. KE30'!$A:$A,'06. BC BH THEO CUSTOMER-USD'!CW$4)/1000</f>
        <v>0</v>
      </c>
      <c r="CX91" s="114">
        <f>SUMIFS('01. KE30'!$I:$I,'01. KE30'!$C:$C,'06. BC BH THEO CUSTOMER-USD'!$D91,'01. KE30'!$F:$F,'06. BC BH THEO CUSTOMER-USD'!$H91,'01. KE30'!$A:$A,'06. BC BH THEO CUSTOMER-USD'!CX$4)/1000</f>
        <v>2.7891999999999997</v>
      </c>
      <c r="CY91" s="114">
        <f>SUMIFS('01. KE30'!$I:$I,'01. KE30'!$C:$C,'06. BC BH THEO CUSTOMER-USD'!$D91,'01. KE30'!$F:$F,'06. BC BH THEO CUSTOMER-USD'!$H91,'01. KE30'!$A:$A,'06. BC BH THEO CUSTOMER-USD'!CY$4)/1000</f>
        <v>0</v>
      </c>
      <c r="CZ91" s="114">
        <f>SUMIFS('01. KE30'!$I:$I,'01. KE30'!$C:$C,'06. BC BH THEO CUSTOMER-USD'!$D91,'01. KE30'!$F:$F,'06. BC BH THEO CUSTOMER-USD'!$H91,'01. KE30'!$A:$A,'06. BC BH THEO CUSTOMER-USD'!CZ$4)/1000</f>
        <v>0</v>
      </c>
      <c r="DA91" s="114">
        <f>SUMIFS('01. KE30'!$I:$I,'01. KE30'!$C:$C,'06. BC BH THEO CUSTOMER-USD'!$D91,'01. KE30'!$F:$F,'06. BC BH THEO CUSTOMER-USD'!$H91,'01. KE30'!$A:$A,'06. BC BH THEO CUSTOMER-USD'!DA$4)/1000</f>
        <v>0</v>
      </c>
      <c r="DB91" s="114">
        <f>SUMIFS('01. KE30'!$I:$I,'01. KE30'!$C:$C,'06. BC BH THEO CUSTOMER-USD'!$D91,'01. KE30'!$F:$F,'06. BC BH THEO CUSTOMER-USD'!$H91,'01. KE30'!$A:$A,'06. BC BH THEO CUSTOMER-USD'!DB$4)/1000</f>
        <v>0</v>
      </c>
      <c r="DC91" s="114">
        <f>SUMIFS('01. KE30'!$I:$I,'01. KE30'!$C:$C,'06. BC BH THEO CUSTOMER-USD'!$D91,'01. KE30'!$F:$F,'06. BC BH THEO CUSTOMER-USD'!$H91,'01. KE30'!$A:$A,'06. BC BH THEO CUSTOMER-USD'!DC$4)/1000</f>
        <v>0</v>
      </c>
      <c r="DD91" s="114">
        <f>SUMIFS('01. KE30'!$I:$I,'01. KE30'!$C:$C,'06. BC BH THEO CUSTOMER-USD'!$D91,'01. KE30'!$F:$F,'06. BC BH THEO CUSTOMER-USD'!$H91,'01. KE30'!$A:$A,'06. BC BH THEO CUSTOMER-USD'!DD$4)/1000</f>
        <v>0</v>
      </c>
      <c r="DF91" s="120">
        <f t="shared" ref="DF91" si="775">SUM(DG91:DR91)</f>
        <v>3879.776929012346</v>
      </c>
      <c r="DG91" s="54" t="str">
        <f t="shared" ref="DG91" si="776">IFERROR(M91*CS91,"-")</f>
        <v>-</v>
      </c>
      <c r="DH91" s="54" t="str">
        <f t="shared" ref="DH91" si="777">IFERROR(N91*CT91,"-")</f>
        <v>-</v>
      </c>
      <c r="DI91" s="54" t="str">
        <f t="shared" ref="DI91" si="778">IFERROR(O91*CU91,"-")</f>
        <v>-</v>
      </c>
      <c r="DJ91" s="54" t="str">
        <f t="shared" ref="DJ91" si="779">IFERROR(P91*CV91,"-")</f>
        <v>-</v>
      </c>
      <c r="DK91" s="54" t="str">
        <f t="shared" ref="DK91" si="780">IFERROR(Q91*CW91,"-")</f>
        <v>-</v>
      </c>
      <c r="DL91" s="54">
        <f t="shared" ref="DL91" si="781">IFERROR(R91*CX91,"-")</f>
        <v>3879.776929012346</v>
      </c>
      <c r="DM91" s="54" t="str">
        <f t="shared" ref="DM91" si="782">IFERROR(S91*CY91,"-")</f>
        <v>-</v>
      </c>
      <c r="DN91" s="54" t="str">
        <f t="shared" ref="DN91" si="783">IFERROR(T91*CZ91,"-")</f>
        <v>-</v>
      </c>
      <c r="DO91" s="54" t="str">
        <f t="shared" ref="DO91" si="784">IFERROR(U91*DA91,"-")</f>
        <v>-</v>
      </c>
      <c r="DP91" s="54" t="str">
        <f t="shared" ref="DP91" si="785">IFERROR(V91*DB91,"-")</f>
        <v>-</v>
      </c>
      <c r="DQ91" s="54" t="str">
        <f t="shared" ref="DQ91" si="786">IFERROR(W91*DC91,"-")</f>
        <v>-</v>
      </c>
      <c r="DR91" s="54" t="str">
        <f t="shared" ref="DR91" si="787">IFERROR(X91*DD91,"-")</f>
        <v>-</v>
      </c>
      <c r="DT91" s="112">
        <f t="shared" ref="DT91" si="788">SUM(DU91:EF91)</f>
        <v>867.95814043209884</v>
      </c>
      <c r="DU91" s="114">
        <f>IFERROR(SUMIFS('01. KE30'!$X:$X,'01. KE30'!$C:$C,'06. BC BH THEO CUSTOMER-USD'!$D91,'01. KE30'!$F:$F,'06. BC BH THEO CUSTOMER-USD'!$H91,'01. KE30'!$A:$A,'06. BC BH THEO CUSTOMER-USD'!DU$4)-SUMIFS('01. KE30'!$AA:$AA,'01. KE30'!$C:$C,'06. BC BH THEO CUSTOMER-USD'!$D91,'01. KE30'!$F:$F,'06. BC BH THEO CUSTOMER-USD'!$H91,'01. KE30'!$A:$A,'06. BC BH THEO CUSTOMER-USD'!DU$4),"-")</f>
        <v>0</v>
      </c>
      <c r="DV91" s="114">
        <f>IFERROR(SUMIFS('01. KE30'!$X:$X,'01. KE30'!$C:$C,'06. BC BH THEO CUSTOMER-USD'!$D91,'01. KE30'!$F:$F,'06. BC BH THEO CUSTOMER-USD'!$H91,'01. KE30'!$A:$A,'06. BC BH THEO CUSTOMER-USD'!DV$4)-SUMIFS('01. KE30'!$AA:$AA,'01. KE30'!$C:$C,'06. BC BH THEO CUSTOMER-USD'!$D91,'01. KE30'!$F:$F,'06. BC BH THEO CUSTOMER-USD'!$H91,'01. KE30'!$A:$A,'06. BC BH THEO CUSTOMER-USD'!DV$4),"-")</f>
        <v>0</v>
      </c>
      <c r="DW91" s="114">
        <f>IFERROR(SUMIFS('01. KE30'!$X:$X,'01. KE30'!$C:$C,'06. BC BH THEO CUSTOMER-USD'!$D91,'01. KE30'!$F:$F,'06. BC BH THEO CUSTOMER-USD'!$H91,'01. KE30'!$A:$A,'06. BC BH THEO CUSTOMER-USD'!DW$4)-SUMIFS('01. KE30'!$AA:$AA,'01. KE30'!$C:$C,'06. BC BH THEO CUSTOMER-USD'!$D91,'01. KE30'!$F:$F,'06. BC BH THEO CUSTOMER-USD'!$H91,'01. KE30'!$A:$A,'06. BC BH THEO CUSTOMER-USD'!DW$4),"-")</f>
        <v>0</v>
      </c>
      <c r="DX91" s="114">
        <f>IFERROR(SUMIFS('01. KE30'!$X:$X,'01. KE30'!$C:$C,'06. BC BH THEO CUSTOMER-USD'!$D91,'01. KE30'!$F:$F,'06. BC BH THEO CUSTOMER-USD'!$H91,'01. KE30'!$A:$A,'06. BC BH THEO CUSTOMER-USD'!DX$4)-SUMIFS('01. KE30'!$AA:$AA,'01. KE30'!$C:$C,'06. BC BH THEO CUSTOMER-USD'!$D91,'01. KE30'!$F:$F,'06. BC BH THEO CUSTOMER-USD'!$H91,'01. KE30'!$A:$A,'06. BC BH THEO CUSTOMER-USD'!DX$4),"-")</f>
        <v>0</v>
      </c>
      <c r="DY91" s="114">
        <f>IFERROR(SUMIFS('01. KE30'!$X:$X,'01. KE30'!$C:$C,'06. BC BH THEO CUSTOMER-USD'!$D91,'01. KE30'!$F:$F,'06. BC BH THEO CUSTOMER-USD'!$H91,'01. KE30'!$A:$A,'06. BC BH THEO CUSTOMER-USD'!DY$4)-SUMIFS('01. KE30'!$AA:$AA,'01. KE30'!$C:$C,'06. BC BH THEO CUSTOMER-USD'!$D91,'01. KE30'!$F:$F,'06. BC BH THEO CUSTOMER-USD'!$H91,'01. KE30'!$A:$A,'06. BC BH THEO CUSTOMER-USD'!DY$4),"-")</f>
        <v>0</v>
      </c>
      <c r="DZ91" s="114">
        <f>IFERROR(SUMIFS('01. KE30'!$X:$X,'01. KE30'!$C:$C,'06. BC BH THEO CUSTOMER-USD'!$D91,'01. KE30'!$F:$F,'06. BC BH THEO CUSTOMER-USD'!$H91,'01. KE30'!$A:$A,'06. BC BH THEO CUSTOMER-USD'!DZ$4)-SUMIFS('01. KE30'!$AA:$AA,'01. KE30'!$C:$C,'06. BC BH THEO CUSTOMER-USD'!$D91,'01. KE30'!$F:$F,'06. BC BH THEO CUSTOMER-USD'!$H91,'01. KE30'!$A:$A,'06. BC BH THEO CUSTOMER-USD'!DZ$4),"-")</f>
        <v>867.95814043209884</v>
      </c>
      <c r="EA91" s="114">
        <f>IFERROR(SUMIFS('01. KE30'!$X:$X,'01. KE30'!$C:$C,'06. BC BH THEO CUSTOMER-USD'!$D91,'01. KE30'!$F:$F,'06. BC BH THEO CUSTOMER-USD'!$H91,'01. KE30'!$A:$A,'06. BC BH THEO CUSTOMER-USD'!EA$4)-SUMIFS('01. KE30'!$AA:$AA,'01. KE30'!$C:$C,'06. BC BH THEO CUSTOMER-USD'!$D91,'01. KE30'!$F:$F,'06. BC BH THEO CUSTOMER-USD'!$H91,'01. KE30'!$A:$A,'06. BC BH THEO CUSTOMER-USD'!EA$4),"-")</f>
        <v>0</v>
      </c>
      <c r="EB91" s="114">
        <f>IFERROR(SUMIFS('01. KE30'!$X:$X,'01. KE30'!$C:$C,'06. BC BH THEO CUSTOMER-USD'!$D91,'01. KE30'!$F:$F,'06. BC BH THEO CUSTOMER-USD'!$H91,'01. KE30'!$A:$A,'06. BC BH THEO CUSTOMER-USD'!EB$4)-SUMIFS('01. KE30'!$AA:$AA,'01. KE30'!$C:$C,'06. BC BH THEO CUSTOMER-USD'!$D91,'01. KE30'!$F:$F,'06. BC BH THEO CUSTOMER-USD'!$H91,'01. KE30'!$A:$A,'06. BC BH THEO CUSTOMER-USD'!EB$4),"-")</f>
        <v>0</v>
      </c>
      <c r="EC91" s="114">
        <f>IFERROR(SUMIFS('01. KE30'!$X:$X,'01. KE30'!$C:$C,'06. BC BH THEO CUSTOMER-USD'!$D91,'01. KE30'!$F:$F,'06. BC BH THEO CUSTOMER-USD'!$H91,'01. KE30'!$A:$A,'06. BC BH THEO CUSTOMER-USD'!EC$4)-SUMIFS('01. KE30'!$AA:$AA,'01. KE30'!$C:$C,'06. BC BH THEO CUSTOMER-USD'!$D91,'01. KE30'!$F:$F,'06. BC BH THEO CUSTOMER-USD'!$H91,'01. KE30'!$A:$A,'06. BC BH THEO CUSTOMER-USD'!EC$4),"-")</f>
        <v>0</v>
      </c>
      <c r="ED91" s="114">
        <f>IFERROR(SUMIFS('01. KE30'!$X:$X,'01. KE30'!$C:$C,'06. BC BH THEO CUSTOMER-USD'!$D91,'01. KE30'!$F:$F,'06. BC BH THEO CUSTOMER-USD'!$H91,'01. KE30'!$A:$A,'06. BC BH THEO CUSTOMER-USD'!ED$4)-SUMIFS('01. KE30'!$AA:$AA,'01. KE30'!$C:$C,'06. BC BH THEO CUSTOMER-USD'!$D91,'01. KE30'!$F:$F,'06. BC BH THEO CUSTOMER-USD'!$H91,'01. KE30'!$A:$A,'06. BC BH THEO CUSTOMER-USD'!ED$4),"-")</f>
        <v>0</v>
      </c>
      <c r="EE91" s="114">
        <f>IFERROR(SUMIFS('01. KE30'!$X:$X,'01. KE30'!$C:$C,'06. BC BH THEO CUSTOMER-USD'!$D91,'01. KE30'!$F:$F,'06. BC BH THEO CUSTOMER-USD'!$H91,'01. KE30'!$A:$A,'06. BC BH THEO CUSTOMER-USD'!EE$4)-SUMIFS('01. KE30'!$AA:$AA,'01. KE30'!$C:$C,'06. BC BH THEO CUSTOMER-USD'!$D91,'01. KE30'!$F:$F,'06. BC BH THEO CUSTOMER-USD'!$H91,'01. KE30'!$A:$A,'06. BC BH THEO CUSTOMER-USD'!EE$4),"-")</f>
        <v>0</v>
      </c>
      <c r="EF91" s="114">
        <f>IFERROR(SUMIFS('01. KE30'!$X:$X,'01. KE30'!$C:$C,'06. BC BH THEO CUSTOMER-USD'!$D91,'01. KE30'!$F:$F,'06. BC BH THEO CUSTOMER-USD'!$H91,'01. KE30'!$A:$A,'06. BC BH THEO CUSTOMER-USD'!EF$4)-SUMIFS('01. KE30'!$AA:$AA,'01. KE30'!$C:$C,'06. BC BH THEO CUSTOMER-USD'!$D91,'01. KE30'!$F:$F,'06. BC BH THEO CUSTOMER-USD'!$H91,'01. KE30'!$A:$A,'06. BC BH THEO CUSTOMER-USD'!EF$4),"-")</f>
        <v>0</v>
      </c>
      <c r="EH91" s="571">
        <f t="shared" si="531"/>
        <v>0.22371341350623741</v>
      </c>
      <c r="EI91" s="572" t="str">
        <f t="shared" si="532"/>
        <v>-</v>
      </c>
      <c r="EJ91" s="572" t="str">
        <f t="shared" si="533"/>
        <v>-</v>
      </c>
      <c r="EK91" s="572" t="str">
        <f t="shared" si="534"/>
        <v>-</v>
      </c>
      <c r="EL91" s="572" t="str">
        <f t="shared" si="535"/>
        <v>-</v>
      </c>
      <c r="EM91" s="572" t="str">
        <f t="shared" si="536"/>
        <v>-</v>
      </c>
      <c r="EN91" s="572">
        <f t="shared" si="537"/>
        <v>0.22371341350623741</v>
      </c>
      <c r="EO91" s="572" t="str">
        <f t="shared" si="538"/>
        <v>-</v>
      </c>
      <c r="EP91" s="572" t="str">
        <f t="shared" si="539"/>
        <v>-</v>
      </c>
      <c r="EQ91" s="572" t="str">
        <f t="shared" si="540"/>
        <v>-</v>
      </c>
      <c r="ER91" s="572" t="str">
        <f t="shared" si="541"/>
        <v>-</v>
      </c>
      <c r="ES91" s="572" t="str">
        <f t="shared" si="542"/>
        <v>-</v>
      </c>
      <c r="ET91" s="572" t="str">
        <f t="shared" si="543"/>
        <v>-</v>
      </c>
    </row>
    <row r="92" spans="1:150" ht="15.5" hidden="1" outlineLevel="1" x14ac:dyDescent="0.35">
      <c r="A92" s="27">
        <f t="shared" si="653"/>
        <v>76</v>
      </c>
      <c r="B92" s="27" t="s">
        <v>283</v>
      </c>
      <c r="C92" s="442" t="s">
        <v>489</v>
      </c>
      <c r="D92" s="9" t="s">
        <v>351</v>
      </c>
      <c r="E92" s="12" t="s">
        <v>352</v>
      </c>
      <c r="F92" s="12" t="s">
        <v>245</v>
      </c>
      <c r="G92" s="12" t="str">
        <f>_xlfn.XLOOKUP(F92,'Quy đổi'!$G$5:$G$32,'Quy đổi'!$H$5:$H$32,0)</f>
        <v>Nội địa</v>
      </c>
      <c r="H92" s="76" t="s">
        <v>100</v>
      </c>
      <c r="I92" s="28" t="s">
        <v>99</v>
      </c>
      <c r="J92" s="6" t="s">
        <v>22</v>
      </c>
      <c r="K92" s="11"/>
      <c r="L92" s="92">
        <f t="shared" ref="L92:L114" si="789">IFERROR(AVERAGE(M92:X92),"-")</f>
        <v>1300.6850035344128</v>
      </c>
      <c r="M92" s="106" t="str">
        <f>IFERROR(SUMIFS('01. KE30'!$K:$K,'01. KE30'!$C:$C,'06. BC BH THEO CUSTOMER-USD'!$D92,'01. KE30'!$F:$F,'06. BC BH THEO CUSTOMER-USD'!$H92,'01. KE30'!$A:$A,'06. BC BH THEO CUSTOMER-USD'!M$4)/'06. BC BH THEO CUSTOMER-USD'!CS92/'02. Tỷ giá'!B$5,"-")</f>
        <v>-</v>
      </c>
      <c r="N92" s="106">
        <f>IFERROR(SUMIFS('01. KE30'!$K:$K,'01. KE30'!$C:$C,'06. BC BH THEO CUSTOMER-USD'!$D92,'01. KE30'!$F:$F,'06. BC BH THEO CUSTOMER-USD'!$H92,'01. KE30'!$A:$A,'06. BC BH THEO CUSTOMER-USD'!N$4)/'06. BC BH THEO CUSTOMER-USD'!CT92/'02. Tỷ giá'!C$5,"-")</f>
        <v>1298.5868452146512</v>
      </c>
      <c r="O92" s="106">
        <f>IFERROR(SUMIFS('01. KE30'!$K:$K,'01. KE30'!$C:$C,'06. BC BH THEO CUSTOMER-USD'!$D92,'01. KE30'!$F:$F,'06. BC BH THEO CUSTOMER-USD'!$H92,'01. KE30'!$A:$A,'06. BC BH THEO CUSTOMER-USD'!O$4)/'06. BC BH THEO CUSTOMER-USD'!CU92/'02. Tỷ giá'!D$5,"-")</f>
        <v>1298.075590551181</v>
      </c>
      <c r="P92" s="106">
        <f>IFERROR(SUMIFS('01. KE30'!$K:$K,'01. KE30'!$C:$C,'06. BC BH THEO CUSTOMER-USD'!$D92,'01. KE30'!$F:$F,'06. BC BH THEO CUSTOMER-USD'!$H92,'01. KE30'!$A:$A,'06. BC BH THEO CUSTOMER-USD'!P$4)/'06. BC BH THEO CUSTOMER-USD'!CV92/'02. Tỷ giá'!E$5,"-")</f>
        <v>1295.6673119112145</v>
      </c>
      <c r="Q92" s="106">
        <f>IFERROR(SUMIFS('01. KE30'!$K:$K,'01. KE30'!$C:$C,'06. BC BH THEO CUSTOMER-USD'!$D92,'01. KE30'!$F:$F,'06. BC BH THEO CUSTOMER-USD'!$H92,'01. KE30'!$A:$A,'06. BC BH THEO CUSTOMER-USD'!Q$4)/'06. BC BH THEO CUSTOMER-USD'!CW92/'02. Tỷ giá'!F$5,"-")</f>
        <v>1314.0216550657385</v>
      </c>
      <c r="R92" s="106">
        <f>IFERROR(SUMIFS('01. KE30'!$K:$K,'01. KE30'!$C:$C,'06. BC BH THEO CUSTOMER-USD'!$D92,'01. KE30'!$F:$F,'06. BC BH THEO CUSTOMER-USD'!$H92,'01. KE30'!$A:$A,'06. BC BH THEO CUSTOMER-USD'!R$4)/'06. BC BH THEO CUSTOMER-USD'!CX92/'02. Tỷ giá'!G$5,"-")</f>
        <v>1310.9799382716049</v>
      </c>
      <c r="S92" s="106">
        <f>IFERROR(SUMIFS('01. KE30'!$K:$K,'01. KE30'!$C:$C,'06. BC BH THEO CUSTOMER-USD'!$D92,'01. KE30'!$F:$F,'06. BC BH THEO CUSTOMER-USD'!$H92,'01. KE30'!$A:$A,'06. BC BH THEO CUSTOMER-USD'!S$4)/'06. BC BH THEO CUSTOMER-USD'!CY92/'02. Tỷ giá'!H$5,"-")</f>
        <v>1307.3485721603279</v>
      </c>
      <c r="T92" s="106">
        <f>IFERROR(SUMIFS('01. KE30'!$K:$K,'01. KE30'!$C:$C,'06. BC BH THEO CUSTOMER-USD'!$D92,'01. KE30'!$F:$F,'06. BC BH THEO CUSTOMER-USD'!$H92,'01. KE30'!$A:$A,'06. BC BH THEO CUSTOMER-USD'!T$4)/'06. BC BH THEO CUSTOMER-USD'!CZ92/'02. Tỷ giá'!I$5,"-")</f>
        <v>1303.6535523300229</v>
      </c>
      <c r="U92" s="106">
        <f>IFERROR(SUMIFS('01. KE30'!$K:$K,'01. KE30'!$C:$C,'06. BC BH THEO CUSTOMER-USD'!$D92,'01. KE30'!$F:$F,'06. BC BH THEO CUSTOMER-USD'!$H92,'01. KE30'!$A:$A,'06. BC BH THEO CUSTOMER-USD'!U$4)/'06. BC BH THEO CUSTOMER-USD'!DA92/'02. Tỷ giá'!J$5,"-")</f>
        <v>1277.1465627705627</v>
      </c>
      <c r="V92" s="106" t="str">
        <f>IFERROR(SUMIFS('01. KE30'!$K:$K,'01. KE30'!$C:$C,'06. BC BH THEO CUSTOMER-USD'!$D92,'01. KE30'!$F:$F,'06. BC BH THEO CUSTOMER-USD'!$H92,'01. KE30'!$A:$A,'06. BC BH THEO CUSTOMER-USD'!V$4)/'06. BC BH THEO CUSTOMER-USD'!DB92/'02. Tỷ giá'!K$5,"-")</f>
        <v>-</v>
      </c>
      <c r="W92" s="106" t="str">
        <f>IFERROR(SUMIFS('01. KE30'!$K:$K,'01. KE30'!$C:$C,'06. BC BH THEO CUSTOMER-USD'!$D92,'01. KE30'!$F:$F,'06. BC BH THEO CUSTOMER-USD'!$H92,'01. KE30'!$A:$A,'06. BC BH THEO CUSTOMER-USD'!W$4)/'06. BC BH THEO CUSTOMER-USD'!DC92/'02. Tỷ giá'!L$5,"-")</f>
        <v>-</v>
      </c>
      <c r="X92" s="106" t="str">
        <f>IFERROR(SUMIFS('01. KE30'!$K:$K,'01. KE30'!$C:$C,'06. BC BH THEO CUSTOMER-USD'!$D92,'01. KE30'!$F:$F,'06. BC BH THEO CUSTOMER-USD'!$H92,'01. KE30'!$A:$A,'06. BC BH THEO CUSTOMER-USD'!X$4)/'06. BC BH THEO CUSTOMER-USD'!DD92/'02. Tỷ giá'!M$5,"-")</f>
        <v>-</v>
      </c>
      <c r="Z92" s="92">
        <f t="shared" ref="Z92:Z114" si="790">IFERROR(AVERAGE(AA92:AL92),"-")</f>
        <v>1299.1671518196729</v>
      </c>
      <c r="AA92" s="147" t="str">
        <f>IFERROR(SUMIFS('01. KE30'!$O:$O,'01. KE30'!$C:$C,'06. BC BH THEO CUSTOMER-USD'!$D92,'01. KE30'!$F:$F,'06. BC BH THEO CUSTOMER-USD'!$H92,'01. KE30'!$A:$A,'06. BC BH THEO CUSTOMER-USD'!M$4)/'06. BC BH THEO CUSTOMER-USD'!CS92/'02. Tỷ giá'!B$5,"-")</f>
        <v>-</v>
      </c>
      <c r="AB92" s="147">
        <f>IFERROR(SUMIFS('01. KE30'!$O:$O,'01. KE30'!$C:$C,'06. BC BH THEO CUSTOMER-USD'!$D92,'01. KE30'!$F:$F,'06. BC BH THEO CUSTOMER-USD'!$H92,'01. KE30'!$A:$A,'06. BC BH THEO CUSTOMER-USD'!N$4)/'06. BC BH THEO CUSTOMER-USD'!CT92/'02. Tỷ giá'!C$5,"-")</f>
        <v>1298.5868452146512</v>
      </c>
      <c r="AC92" s="147">
        <f>IFERROR(SUMIFS('01. KE30'!$O:$O,'01. KE30'!$C:$C,'06. BC BH THEO CUSTOMER-USD'!$D92,'01. KE30'!$F:$F,'06. BC BH THEO CUSTOMER-USD'!$H92,'01. KE30'!$A:$A,'06. BC BH THEO CUSTOMER-USD'!O$4)/'06. BC BH THEO CUSTOMER-USD'!CU92/'02. Tỷ giá'!D$5,"-")</f>
        <v>1298.075590551181</v>
      </c>
      <c r="AD92" s="147">
        <f>IFERROR(SUMIFS('01. KE30'!$O:$O,'01. KE30'!$C:$C,'06. BC BH THEO CUSTOMER-USD'!$D92,'01. KE30'!$F:$F,'06. BC BH THEO CUSTOMER-USD'!$H92,'01. KE30'!$A:$A,'06. BC BH THEO CUSTOMER-USD'!P$4)/'06. BC BH THEO CUSTOMER-USD'!CV92/'02. Tỷ giá'!E$5,"-")</f>
        <v>1295.6673119112145</v>
      </c>
      <c r="AE92" s="147">
        <f>IFERROR(SUMIFS('01. KE30'!$O:$O,'01. KE30'!$C:$C,'06. BC BH THEO CUSTOMER-USD'!$D92,'01. KE30'!$F:$F,'06. BC BH THEO CUSTOMER-USD'!$H92,'01. KE30'!$A:$A,'06. BC BH THEO CUSTOMER-USD'!Q$4)/'06. BC BH THEO CUSTOMER-USD'!CW92/'02. Tỷ giá'!F$5,"-")</f>
        <v>1314.0216550657385</v>
      </c>
      <c r="AF92" s="147">
        <f>IFERROR(SUMIFS('01. KE30'!$O:$O,'01. KE30'!$C:$C,'06. BC BH THEO CUSTOMER-USD'!$D92,'01. KE30'!$F:$F,'06. BC BH THEO CUSTOMER-USD'!$H92,'01. KE30'!$A:$A,'06. BC BH THEO CUSTOMER-USD'!R$4)/'06. BC BH THEO CUSTOMER-USD'!CX92/'02. Tỷ giá'!G$5,"-")</f>
        <v>1302.5624298540965</v>
      </c>
      <c r="AG92" s="147">
        <f>IFERROR(SUMIFS('01. KE30'!$O:$O,'01. KE30'!$C:$C,'06. BC BH THEO CUSTOMER-USD'!$D92,'01. KE30'!$F:$F,'06. BC BH THEO CUSTOMER-USD'!$H92,'01. KE30'!$A:$A,'06. BC BH THEO CUSTOMER-USD'!S$4)/'06. BC BH THEO CUSTOMER-USD'!CY92/'02. Tỷ giá'!H$5,"-")</f>
        <v>1303.6232668599168</v>
      </c>
      <c r="AH92" s="147">
        <f>IFERROR(SUMIFS('01. KE30'!$O:$O,'01. KE30'!$C:$C,'06. BC BH THEO CUSTOMER-USD'!$D92,'01. KE30'!$F:$F,'06. BC BH THEO CUSTOMER-USD'!$H92,'01. KE30'!$A:$A,'06. BC BH THEO CUSTOMER-USD'!T$4)/'06. BC BH THEO CUSTOMER-USD'!CZ92/'02. Tỷ giá'!I$5,"-")</f>
        <v>1303.6535523300229</v>
      </c>
      <c r="AI92" s="147">
        <f>IFERROR(SUMIFS('01. KE30'!$O:$O,'01. KE30'!$C:$C,'06. BC BH THEO CUSTOMER-USD'!$D92,'01. KE30'!$F:$F,'06. BC BH THEO CUSTOMER-USD'!$H92,'01. KE30'!$A:$A,'06. BC BH THEO CUSTOMER-USD'!U$4)/'06. BC BH THEO CUSTOMER-USD'!DA92/'02. Tỷ giá'!J$5,"-")</f>
        <v>1277.1465627705627</v>
      </c>
      <c r="AJ92" s="147" t="str">
        <f>IFERROR(SUMIFS('01. KE30'!$O:$O,'01. KE30'!$C:$C,'06. BC BH THEO CUSTOMER-USD'!$D92,'01. KE30'!$F:$F,'06. BC BH THEO CUSTOMER-USD'!$H92,'01. KE30'!$A:$A,'06. BC BH THEO CUSTOMER-USD'!V$4)/'06. BC BH THEO CUSTOMER-USD'!DB92/'02. Tỷ giá'!K$5,"-")</f>
        <v>-</v>
      </c>
      <c r="AK92" s="147" t="str">
        <f>IFERROR(SUMIFS('01. KE30'!$O:$O,'01. KE30'!$C:$C,'06. BC BH THEO CUSTOMER-USD'!$D92,'01. KE30'!$F:$F,'06. BC BH THEO CUSTOMER-USD'!$H92,'01. KE30'!$A:$A,'06. BC BH THEO CUSTOMER-USD'!W$4)/'06. BC BH THEO CUSTOMER-USD'!DC92/'02. Tỷ giá'!L$5,"-")</f>
        <v>-</v>
      </c>
      <c r="AL92" s="147" t="str">
        <f>IFERROR(SUMIFS('01. KE30'!$O:$O,'01. KE30'!$C:$C,'06. BC BH THEO CUSTOMER-USD'!$D92,'01. KE30'!$F:$F,'06. BC BH THEO CUSTOMER-USD'!$H92,'01. KE30'!$A:$A,'06. BC BH THEO CUSTOMER-USD'!X$4)/'06. BC BH THEO CUSTOMER-USD'!DD92/'02. Tỷ giá'!M$5,"-")</f>
        <v>-</v>
      </c>
      <c r="AN92" s="92">
        <f t="shared" ref="AN92:AN114" si="791">IFERROR(AVERAGE(AO92:AZ92),"-")</f>
        <v>1266.6666666666667</v>
      </c>
      <c r="AO92" s="25">
        <v>1260</v>
      </c>
      <c r="AP92" s="25">
        <v>1260</v>
      </c>
      <c r="AQ92" s="25">
        <v>1260</v>
      </c>
      <c r="AR92" s="4">
        <f t="shared" si="773"/>
        <v>1280</v>
      </c>
      <c r="AS92" s="4">
        <v>1280</v>
      </c>
      <c r="AT92" s="4">
        <v>1280</v>
      </c>
      <c r="AU92" s="4">
        <v>1280</v>
      </c>
      <c r="AV92" s="4">
        <f t="shared" si="205"/>
        <v>1250</v>
      </c>
      <c r="AW92" s="25">
        <v>1250</v>
      </c>
      <c r="AX92" s="25"/>
      <c r="AY92" s="4"/>
      <c r="AZ92" s="4"/>
      <c r="BB92" s="95">
        <f t="shared" ref="BB92:BB114" si="792">IF(L92&lt;&gt;"-",Z92-AN92,"-")</f>
        <v>32.500485153006139</v>
      </c>
      <c r="BC92" s="95" t="str">
        <f t="shared" ref="BC92:BC114" si="793">IF(M92&lt;&gt;"-",AA92-AO92,"-")</f>
        <v>-</v>
      </c>
      <c r="BD92" s="95">
        <f t="shared" ref="BD92:BD114" si="794">IF(N92&lt;&gt;"-",AB92-AP92,"-")</f>
        <v>38.586845214651248</v>
      </c>
      <c r="BE92" s="95">
        <f t="shared" ref="BE92:BE114" si="795">IF(O92&lt;&gt;"-",AC92-AQ92,"-")</f>
        <v>38.075590551180994</v>
      </c>
      <c r="BF92" s="95">
        <f t="shared" ref="BF92:BF114" si="796">IF(P92&lt;&gt;"-",AD92-AR92,"-")</f>
        <v>15.667311911214483</v>
      </c>
      <c r="BG92" s="95">
        <f t="shared" ref="BG92:BG114" si="797">IF(Q92&lt;&gt;"-",AE92-AS92,"-")</f>
        <v>34.021655065738514</v>
      </c>
      <c r="BH92" s="95">
        <f t="shared" ref="BH92:BH114" si="798">IF(R92&lt;&gt;"-",AF92-AT92,"-")</f>
        <v>22.562429854096536</v>
      </c>
      <c r="BI92" s="95">
        <f t="shared" ref="BI92:BI114" si="799">IF(S92&lt;&gt;"-",AG92-AU92,"-")</f>
        <v>23.623266859916839</v>
      </c>
      <c r="BJ92" s="95">
        <f t="shared" ref="BJ92:BJ114" si="800">IF(T92&lt;&gt;"-",AH92-AV92,"-")</f>
        <v>53.653552330022876</v>
      </c>
      <c r="BK92" s="95">
        <f t="shared" ref="BK92:BK114" si="801">IF(U92&lt;&gt;"-",AI92-AW92,"-")</f>
        <v>27.146562770562696</v>
      </c>
      <c r="BL92" s="95" t="str">
        <f t="shared" ref="BL92:BL114" si="802">IF(V92&lt;&gt;"-",AJ92-AX92,"-")</f>
        <v>-</v>
      </c>
      <c r="BM92" s="95" t="str">
        <f t="shared" ref="BM92:BM114" si="803">IF(W92&lt;&gt;"-",AK92-AY92,"-")</f>
        <v>-</v>
      </c>
      <c r="BN92" s="95" t="str">
        <f t="shared" ref="BN92:BN114" si="804">IF(X92&lt;&gt;"-",AL92-AZ92,"-")</f>
        <v>-</v>
      </c>
      <c r="BP92" s="143">
        <f t="shared" ref="BP92:BP114" si="805">IFERROR(IF(BB92&lt;&gt;"-",BB92/AN92,"-"),"-")</f>
        <v>2.5658277752373265E-2</v>
      </c>
      <c r="BQ92" s="143" t="str">
        <f t="shared" ref="BQ92:BQ114" si="806">IFERROR(IF(BC92&lt;&gt;"-",BC92/AO92,"-"),"-")</f>
        <v>-</v>
      </c>
      <c r="BR92" s="143">
        <f t="shared" ref="BR92:BR114" si="807">IFERROR(IF(BD92&lt;&gt;"-",BD92/AP92,"-"),"-")</f>
        <v>3.0624480329088294E-2</v>
      </c>
      <c r="BS92" s="143">
        <f t="shared" ref="BS92:BS114" si="808">IFERROR(IF(BE92&lt;&gt;"-",BE92/AQ92,"-"),"-")</f>
        <v>3.0218722659667456E-2</v>
      </c>
      <c r="BT92" s="143">
        <f t="shared" ref="BT92:BT114" si="809">IFERROR(IF(BF92&lt;&gt;"-",BF92/AR92,"-"),"-")</f>
        <v>1.2240087430636315E-2</v>
      </c>
      <c r="BU92" s="143">
        <f t="shared" ref="BU92:BU114" si="810">IFERROR(IF(BG92&lt;&gt;"-",BG92/AS92,"-"),"-")</f>
        <v>2.6579418020108214E-2</v>
      </c>
      <c r="BV92" s="143">
        <f t="shared" ref="BV92:BV114" si="811">IFERROR(IF(BH92&lt;&gt;"-",BH92/AT92,"-"),"-")</f>
        <v>1.762689832351292E-2</v>
      </c>
      <c r="BW92" s="143">
        <f t="shared" ref="BW92:BW114" si="812">IFERROR(IF(BI92&lt;&gt;"-",BI92/AU92,"-"),"-")</f>
        <v>1.845567723431003E-2</v>
      </c>
      <c r="BX92" s="143">
        <f t="shared" ref="BX92:BX114" si="813">IFERROR(IF(BJ92&lt;&gt;"-",BJ92/AV92,"-"),"-")</f>
        <v>4.2922841864018298E-2</v>
      </c>
      <c r="BY92" s="143">
        <f t="shared" ref="BY92:BY114" si="814">IFERROR(IF(BK92&lt;&gt;"-",BK92/AW92,"-"),"-")</f>
        <v>2.1717250216450157E-2</v>
      </c>
      <c r="BZ92" s="143" t="str">
        <f t="shared" ref="BZ92:BZ114" si="815">IFERROR(IF(BL92&lt;&gt;"-",BL92/AX92,"-"),"-")</f>
        <v>-</v>
      </c>
      <c r="CA92" s="143" t="str">
        <f t="shared" ref="CA92:CA114" si="816">IFERROR(IF(BM92&lt;&gt;"-",BM92/AY92,"-"),"-")</f>
        <v>-</v>
      </c>
      <c r="CB92" s="143" t="str">
        <f t="shared" ref="CB92:CB114" si="817">IFERROR(IF(BN92&lt;&gt;"-",BN92/AZ92,"-"),"-")</f>
        <v>-</v>
      </c>
      <c r="CD92" s="112">
        <f t="shared" si="529"/>
        <v>1002.737863638798</v>
      </c>
      <c r="CE92" s="95" t="str">
        <f>IFERROR(SUMIFS('01. KE30'!$R:$R,'01. KE30'!$C:$C,'06. BC BH THEO CUSTOMER-USD'!$D92,'01. KE30'!$F:$F,'06. BC BH THEO CUSTOMER-USD'!$H92,'01. KE30'!$A:$A,'06. BC BH THEO CUSTOMER-USD'!CE$4)/CS92/'02. Tỷ giá'!B$5," -")</f>
        <v xml:space="preserve"> -</v>
      </c>
      <c r="CF92" s="95">
        <f>IFERROR(SUMIFS('01. KE30'!$R:$R,'01. KE30'!$C:$C,'06. BC BH THEO CUSTOMER-USD'!$D92,'01. KE30'!$F:$F,'06. BC BH THEO CUSTOMER-USD'!$H92,'01. KE30'!$A:$A,'06. BC BH THEO CUSTOMER-USD'!CF$4)/CT92/'02. Tỷ giá'!C$5," -")</f>
        <v>989.75530810268879</v>
      </c>
      <c r="CG92" s="95">
        <f>IFERROR(SUMIFS('01. KE30'!$R:$R,'01. KE30'!$C:$C,'06. BC BH THEO CUSTOMER-USD'!$D92,'01. KE30'!$F:$F,'06. BC BH THEO CUSTOMER-USD'!$H92,'01. KE30'!$A:$A,'06. BC BH THEO CUSTOMER-USD'!CG$4)/CU92/'02. Tỷ giá'!D$5," -")</f>
        <v>997.67758833864775</v>
      </c>
      <c r="CH92" s="95">
        <f>IFERROR(SUMIFS('01. KE30'!$R:$R,'01. KE30'!$C:$C,'06. BC BH THEO CUSTOMER-USD'!$D92,'01. KE30'!$F:$F,'06. BC BH THEO CUSTOMER-USD'!$H92,'01. KE30'!$A:$A,'06. BC BH THEO CUSTOMER-USD'!CH$4)/CV92/'02. Tỷ giá'!E$5," -")</f>
        <v>973.57142857142856</v>
      </c>
      <c r="CI92" s="95">
        <f>IFERROR(SUMIFS('01. KE30'!$R:$R,'01. KE30'!$C:$C,'06. BC BH THEO CUSTOMER-USD'!$D92,'01. KE30'!$F:$F,'06. BC BH THEO CUSTOMER-USD'!$H92,'01. KE30'!$A:$A,'06. BC BH THEO CUSTOMER-USD'!CI$4)/CW92/'02. Tỷ giá'!F$5," -")</f>
        <v>996.76039161920835</v>
      </c>
      <c r="CJ92" s="95">
        <f>IFERROR(SUMIFS('01. KE30'!$R:$R,'01. KE30'!$C:$C,'06. BC BH THEO CUSTOMER-USD'!$D92,'01. KE30'!$F:$F,'06. BC BH THEO CUSTOMER-USD'!$H92,'01. KE30'!$A:$A,'06. BC BH THEO CUSTOMER-USD'!CJ$4)/CX92/'02. Tỷ giá'!G$5," -")</f>
        <v>1038.0898639169473</v>
      </c>
      <c r="CK92" s="95">
        <f>IFERROR(SUMIFS('01. KE30'!$R:$R,'01. KE30'!$C:$C,'06. BC BH THEO CUSTOMER-USD'!$D92,'01. KE30'!$F:$F,'06. BC BH THEO CUSTOMER-USD'!$H92,'01. KE30'!$A:$A,'06. BC BH THEO CUSTOMER-USD'!CK$4)/CY92/'02. Tỷ giá'!H$5," -")</f>
        <v>1017.9182796074459</v>
      </c>
      <c r="CL92" s="95">
        <f>IFERROR(SUMIFS('01. KE30'!$R:$R,'01. KE30'!$C:$C,'06. BC BH THEO CUSTOMER-USD'!$D92,'01. KE30'!$F:$F,'06. BC BH THEO CUSTOMER-USD'!$H92,'01. KE30'!$A:$A,'06. BC BH THEO CUSTOMER-USD'!CL$4)/CZ92/'02. Tỷ giá'!I$5," -")</f>
        <v>1006.6354573234253</v>
      </c>
      <c r="CM92" s="95">
        <f>IFERROR(SUMIFS('01. KE30'!$R:$R,'01. KE30'!$C:$C,'06. BC BH THEO CUSTOMER-USD'!$D92,'01. KE30'!$F:$F,'06. BC BH THEO CUSTOMER-USD'!$H92,'01. KE30'!$A:$A,'06. BC BH THEO CUSTOMER-USD'!CM$4)/DA92/'02. Tỷ giá'!J$5," -")</f>
        <v>1001.4945916305917</v>
      </c>
      <c r="CN92" s="95" t="str">
        <f>IFERROR(SUMIFS('01. KE30'!$R:$R,'01. KE30'!$C:$C,'06. BC BH THEO CUSTOMER-USD'!$D92,'01. KE30'!$F:$F,'06. BC BH THEO CUSTOMER-USD'!$H92,'01. KE30'!$A:$A,'06. BC BH THEO CUSTOMER-USD'!CN$4)/DB92/'02. Tỷ giá'!K$5," -")</f>
        <v xml:space="preserve"> -</v>
      </c>
      <c r="CO92" s="95" t="str">
        <f>IFERROR(SUMIFS('01. KE30'!$R:$R,'01. KE30'!$C:$C,'06. BC BH THEO CUSTOMER-USD'!$D92,'01. KE30'!$F:$F,'06. BC BH THEO CUSTOMER-USD'!$H92,'01. KE30'!$A:$A,'06. BC BH THEO CUSTOMER-USD'!CO$4)/DC92/'02. Tỷ giá'!L$5," -")</f>
        <v xml:space="preserve"> -</v>
      </c>
      <c r="CP92" s="95" t="str">
        <f>IFERROR(SUMIFS('01. KE30'!$R:$R,'01. KE30'!$C:$C,'06. BC BH THEO CUSTOMER-USD'!$D92,'01. KE30'!$F:$F,'06. BC BH THEO CUSTOMER-USD'!$H92,'01. KE30'!$A:$A,'06. BC BH THEO CUSTOMER-USD'!CP$4)/DD92/'02. Tỷ giá'!M$5," -")</f>
        <v xml:space="preserve"> -</v>
      </c>
      <c r="CR92" s="112">
        <f t="shared" ref="CR92:CR114" si="818">SUM(CS92:DD92)</f>
        <v>125.39999999999999</v>
      </c>
      <c r="CS92" s="114">
        <f>SUMIFS('01. KE30'!$I:$I,'01. KE30'!$C:$C,'06. BC BH THEO CUSTOMER-USD'!$D92,'01. KE30'!$F:$F,'06. BC BH THEO CUSTOMER-USD'!$H92,'01. KE30'!$A:$A,'06. BC BH THEO CUSTOMER-USD'!CS$4)/1000</f>
        <v>0</v>
      </c>
      <c r="CT92" s="114">
        <f>SUMIFS('01. KE30'!$I:$I,'01. KE30'!$C:$C,'06. BC BH THEO CUSTOMER-USD'!$D92,'01. KE30'!$F:$F,'06. BC BH THEO CUSTOMER-USD'!$H92,'01. KE30'!$A:$A,'06. BC BH THEO CUSTOMER-USD'!CT$4)/1000</f>
        <v>4.4000000000000004</v>
      </c>
      <c r="CU92" s="114">
        <f>SUMIFS('01. KE30'!$I:$I,'01. KE30'!$C:$C,'06. BC BH THEO CUSTOMER-USD'!$D92,'01. KE30'!$F:$F,'06. BC BH THEO CUSTOMER-USD'!$H92,'01. KE30'!$A:$A,'06. BC BH THEO CUSTOMER-USD'!CU$4)/1000</f>
        <v>12.1</v>
      </c>
      <c r="CV92" s="725">
        <f>SUMIFS('01. KE30'!$I:$I,'01. KE30'!$C:$C,'06. BC BH THEO CUSTOMER-USD'!$D92,'01. KE30'!$F:$F,'06. BC BH THEO CUSTOMER-USD'!$H92,'01. KE30'!$A:$A,'06. BC BH THEO CUSTOMER-USD'!CV$4)/1000</f>
        <v>6.6</v>
      </c>
      <c r="CW92" s="114">
        <f>SUMIFS('01. KE30'!$I:$I,'01. KE30'!$C:$C,'06. BC BH THEO CUSTOMER-USD'!$D92,'01. KE30'!$F:$F,'06. BC BH THEO CUSTOMER-USD'!$H92,'01. KE30'!$A:$A,'06. BC BH THEO CUSTOMER-USD'!CW$4)/1000</f>
        <v>11</v>
      </c>
      <c r="CX92" s="114">
        <f>SUMIFS('01. KE30'!$I:$I,'01. KE30'!$C:$C,'06. BC BH THEO CUSTOMER-USD'!$D92,'01. KE30'!$F:$F,'06. BC BH THEO CUSTOMER-USD'!$H92,'01. KE30'!$A:$A,'06. BC BH THEO CUSTOMER-USD'!CX$4)/1000</f>
        <v>44</v>
      </c>
      <c r="CY92" s="114">
        <f>SUMIFS('01. KE30'!$I:$I,'01. KE30'!$C:$C,'06. BC BH THEO CUSTOMER-USD'!$D92,'01. KE30'!$F:$F,'06. BC BH THEO CUSTOMER-USD'!$H92,'01. KE30'!$A:$A,'06. BC BH THEO CUSTOMER-USD'!CY$4)/1000</f>
        <v>33</v>
      </c>
      <c r="CZ92" s="114">
        <f>SUMIFS('01. KE30'!$I:$I,'01. KE30'!$C:$C,'06. BC BH THEO CUSTOMER-USD'!$D92,'01. KE30'!$F:$F,'06. BC BH THEO CUSTOMER-USD'!$H92,'01. KE30'!$A:$A,'06. BC BH THEO CUSTOMER-USD'!CZ$4)/1000</f>
        <v>11</v>
      </c>
      <c r="DA92" s="114">
        <f>SUMIFS('01. KE30'!$I:$I,'01. KE30'!$C:$C,'06. BC BH THEO CUSTOMER-USD'!$D92,'01. KE30'!$F:$F,'06. BC BH THEO CUSTOMER-USD'!$H92,'01. KE30'!$A:$A,'06. BC BH THEO CUSTOMER-USD'!DA$4)/1000</f>
        <v>3.3</v>
      </c>
      <c r="DB92" s="114">
        <f>SUMIFS('01. KE30'!$I:$I,'01. KE30'!$C:$C,'06. BC BH THEO CUSTOMER-USD'!$D92,'01. KE30'!$F:$F,'06. BC BH THEO CUSTOMER-USD'!$H92,'01. KE30'!$A:$A,'06. BC BH THEO CUSTOMER-USD'!DB$4)/1000</f>
        <v>0</v>
      </c>
      <c r="DC92" s="114">
        <f>SUMIFS('01. KE30'!$I:$I,'01. KE30'!$C:$C,'06. BC BH THEO CUSTOMER-USD'!$D92,'01. KE30'!$F:$F,'06. BC BH THEO CUSTOMER-USD'!$H92,'01. KE30'!$A:$A,'06. BC BH THEO CUSTOMER-USD'!DC$4)/1000</f>
        <v>0</v>
      </c>
      <c r="DD92" s="114">
        <f>SUMIFS('01. KE30'!$I:$I,'01. KE30'!$C:$C,'06. BC BH THEO CUSTOMER-USD'!$D92,'01. KE30'!$F:$F,'06. BC BH THEO CUSTOMER-USD'!$H92,'01. KE30'!$A:$A,'06. BC BH THEO CUSTOMER-USD'!DD$4)/1000</f>
        <v>0</v>
      </c>
      <c r="DF92" s="120">
        <f t="shared" ref="DF92:DF114" si="819">SUM(DG92:DR92)</f>
        <v>163806.53212696544</v>
      </c>
      <c r="DG92" s="54" t="str">
        <f t="shared" ref="DG92:DG114" si="820">IFERROR(M92*CS92,"-")</f>
        <v>-</v>
      </c>
      <c r="DH92" s="54">
        <f t="shared" ref="DH92:DH114" si="821">IFERROR(N92*CT92,"-")</f>
        <v>5713.7821189444658</v>
      </c>
      <c r="DI92" s="54">
        <f t="shared" ref="DI92:DI114" si="822">IFERROR(O92*CU92,"-")</f>
        <v>15706.71464566929</v>
      </c>
      <c r="DJ92" s="54">
        <f t="shared" ref="DJ92:DJ114" si="823">IFERROR(P92*CV92,"-")</f>
        <v>8551.4042586140149</v>
      </c>
      <c r="DK92" s="54">
        <f t="shared" ref="DK92:DK114" si="824">IFERROR(Q92*CW92,"-")</f>
        <v>14454.238205723124</v>
      </c>
      <c r="DL92" s="54">
        <f t="shared" ref="DL92:DL114" si="825">IFERROR(R92*CX92,"-")</f>
        <v>57683.117283950611</v>
      </c>
      <c r="DM92" s="54">
        <f t="shared" ref="DM92:DM114" si="826">IFERROR(S92*CY92,"-")</f>
        <v>43142.50288129082</v>
      </c>
      <c r="DN92" s="54">
        <f t="shared" ref="DN92:DN114" si="827">IFERROR(T92*CZ92,"-")</f>
        <v>14340.189075630251</v>
      </c>
      <c r="DO92" s="54">
        <f t="shared" ref="DO92:DO114" si="828">IFERROR(U92*DA92,"-")</f>
        <v>4214.5836571428563</v>
      </c>
      <c r="DP92" s="54" t="str">
        <f t="shared" ref="DP92:DP114" si="829">IFERROR(V92*DB92,"-")</f>
        <v>-</v>
      </c>
      <c r="DQ92" s="54" t="str">
        <f t="shared" ref="DQ92:DQ114" si="830">IFERROR(W92*DC92,"-")</f>
        <v>-</v>
      </c>
      <c r="DR92" s="54" t="str">
        <f t="shared" ref="DR92:DR114" si="831">IFERROR(X92*DD92,"-")</f>
        <v>-</v>
      </c>
      <c r="DT92" s="112">
        <f t="shared" ref="DT92:DT114" si="832">SUM(DU92:EF92)</f>
        <v>35851.289348419297</v>
      </c>
      <c r="DU92" s="114">
        <f>IFERROR(SUMIFS('01. KE30'!$X:$X,'01. KE30'!$C:$C,'06. BC BH THEO CUSTOMER-USD'!$D92,'01. KE30'!$F:$F,'06. BC BH THEO CUSTOMER-USD'!$H92,'01. KE30'!$A:$A,'06. BC BH THEO CUSTOMER-USD'!DU$4)-SUMIFS('01. KE30'!$AA:$AA,'01. KE30'!$C:$C,'06. BC BH THEO CUSTOMER-USD'!$D92,'01. KE30'!$F:$F,'06. BC BH THEO CUSTOMER-USD'!$H92,'01. KE30'!$A:$A,'06. BC BH THEO CUSTOMER-USD'!DU$4),"-")</f>
        <v>0</v>
      </c>
      <c r="DV92" s="114">
        <f>IFERROR(SUMIFS('01. KE30'!$X:$X,'01. KE30'!$C:$C,'06. BC BH THEO CUSTOMER-USD'!$D92,'01. KE30'!$F:$F,'06. BC BH THEO CUSTOMER-USD'!$H92,'01. KE30'!$A:$A,'06. BC BH THEO CUSTOMER-USD'!DV$4)-SUMIFS('01. KE30'!$AA:$AA,'01. KE30'!$C:$C,'06. BC BH THEO CUSTOMER-USD'!$D92,'01. KE30'!$F:$F,'06. BC BH THEO CUSTOMER-USD'!$H92,'01. KE30'!$A:$A,'06. BC BH THEO CUSTOMER-USD'!DV$4),"-")</f>
        <v>1358.8587632926356</v>
      </c>
      <c r="DW92" s="114">
        <f>IFERROR(SUMIFS('01. KE30'!$X:$X,'01. KE30'!$C:$C,'06. BC BH THEO CUSTOMER-USD'!$D92,'01. KE30'!$F:$F,'06. BC BH THEO CUSTOMER-USD'!$H92,'01. KE30'!$A:$A,'06. BC BH THEO CUSTOMER-USD'!DW$4)-SUMIFS('01. KE30'!$AA:$AA,'01. KE30'!$C:$C,'06. BC BH THEO CUSTOMER-USD'!$D92,'01. KE30'!$F:$F,'06. BC BH THEO CUSTOMER-USD'!$H92,'01. KE30'!$A:$A,'06. BC BH THEO CUSTOMER-USD'!DW$4),"-")</f>
        <v>3634.8158267716535</v>
      </c>
      <c r="DX92" s="114">
        <f>IFERROR(SUMIFS('01. KE30'!$X:$X,'01. KE30'!$C:$C,'06. BC BH THEO CUSTOMER-USD'!$D92,'01. KE30'!$F:$F,'06. BC BH THEO CUSTOMER-USD'!$H92,'01. KE30'!$A:$A,'06. BC BH THEO CUSTOMER-USD'!DX$4)-SUMIFS('01. KE30'!$AA:$AA,'01. KE30'!$C:$C,'06. BC BH THEO CUSTOMER-USD'!$D92,'01. KE30'!$F:$F,'06. BC BH THEO CUSTOMER-USD'!$H92,'01. KE30'!$A:$A,'06. BC BH THEO CUSTOMER-USD'!DX$4),"-")</f>
        <v>2125.8328300425865</v>
      </c>
      <c r="DY92" s="114">
        <f>IFERROR(SUMIFS('01. KE30'!$X:$X,'01. KE30'!$C:$C,'06. BC BH THEO CUSTOMER-USD'!$D92,'01. KE30'!$F:$F,'06. BC BH THEO CUSTOMER-USD'!$H92,'01. KE30'!$A:$A,'06. BC BH THEO CUSTOMER-USD'!DY$4)-SUMIFS('01. KE30'!$AA:$AA,'01. KE30'!$C:$C,'06. BC BH THEO CUSTOMER-USD'!$D92,'01. KE30'!$F:$F,'06. BC BH THEO CUSTOMER-USD'!$H92,'01. KE30'!$A:$A,'06. BC BH THEO CUSTOMER-USD'!DY$4),"-")</f>
        <v>3489.8738979118334</v>
      </c>
      <c r="DZ92" s="114">
        <f>IFERROR(SUMIFS('01. KE30'!$X:$X,'01. KE30'!$C:$C,'06. BC BH THEO CUSTOMER-USD'!$D92,'01. KE30'!$F:$F,'06. BC BH THEO CUSTOMER-USD'!$H92,'01. KE30'!$A:$A,'06. BC BH THEO CUSTOMER-USD'!DZ$4)-SUMIFS('01. KE30'!$AA:$AA,'01. KE30'!$C:$C,'06. BC BH THEO CUSTOMER-USD'!$D92,'01. KE30'!$F:$F,'06. BC BH THEO CUSTOMER-USD'!$H92,'01. KE30'!$A:$A,'06. BC BH THEO CUSTOMER-USD'!DZ$4),"-")</f>
        <v>11636.79290123457</v>
      </c>
      <c r="EA92" s="114">
        <f>IFERROR(SUMIFS('01. KE30'!$X:$X,'01. KE30'!$C:$C,'06. BC BH THEO CUSTOMER-USD'!$D92,'01. KE30'!$F:$F,'06. BC BH THEO CUSTOMER-USD'!$H92,'01. KE30'!$A:$A,'06. BC BH THEO CUSTOMER-USD'!EA$4)-SUMIFS('01. KE30'!$AA:$AA,'01. KE30'!$C:$C,'06. BC BH THEO CUSTOMER-USD'!$D92,'01. KE30'!$F:$F,'06. BC BH THEO CUSTOMER-USD'!$H92,'01. KE30'!$A:$A,'06. BC BH THEO CUSTOMER-USD'!EA$4),"-")</f>
        <v>9428.2645793315387</v>
      </c>
      <c r="EB92" s="114">
        <f>IFERROR(SUMIFS('01. KE30'!$X:$X,'01. KE30'!$C:$C,'06. BC BH THEO CUSTOMER-USD'!$D92,'01. KE30'!$F:$F,'06. BC BH THEO CUSTOMER-USD'!$H92,'01. KE30'!$A:$A,'06. BC BH THEO CUSTOMER-USD'!EB$4)-SUMIFS('01. KE30'!$AA:$AA,'01. KE30'!$C:$C,'06. BC BH THEO CUSTOMER-USD'!$D92,'01. KE30'!$F:$F,'06. BC BH THEO CUSTOMER-USD'!$H92,'01. KE30'!$A:$A,'06. BC BH THEO CUSTOMER-USD'!EB$4),"-")</f>
        <v>3267.1990450725752</v>
      </c>
      <c r="EC92" s="114">
        <f>IFERROR(SUMIFS('01. KE30'!$X:$X,'01. KE30'!$C:$C,'06. BC BH THEO CUSTOMER-USD'!$D92,'01. KE30'!$F:$F,'06. BC BH THEO CUSTOMER-USD'!$H92,'01. KE30'!$A:$A,'06. BC BH THEO CUSTOMER-USD'!EC$4)-SUMIFS('01. KE30'!$AA:$AA,'01. KE30'!$C:$C,'06. BC BH THEO CUSTOMER-USD'!$D92,'01. KE30'!$F:$F,'06. BC BH THEO CUSTOMER-USD'!$H92,'01. KE30'!$A:$A,'06. BC BH THEO CUSTOMER-USD'!EC$4),"-")</f>
        <v>909.65150476190502</v>
      </c>
      <c r="ED92" s="114">
        <f>IFERROR(SUMIFS('01. KE30'!$X:$X,'01. KE30'!$C:$C,'06. BC BH THEO CUSTOMER-USD'!$D92,'01. KE30'!$F:$F,'06. BC BH THEO CUSTOMER-USD'!$H92,'01. KE30'!$A:$A,'06. BC BH THEO CUSTOMER-USD'!ED$4)-SUMIFS('01. KE30'!$AA:$AA,'01. KE30'!$C:$C,'06. BC BH THEO CUSTOMER-USD'!$D92,'01. KE30'!$F:$F,'06. BC BH THEO CUSTOMER-USD'!$H92,'01. KE30'!$A:$A,'06. BC BH THEO CUSTOMER-USD'!ED$4),"-")</f>
        <v>0</v>
      </c>
      <c r="EE92" s="114">
        <f>IFERROR(SUMIFS('01. KE30'!$X:$X,'01. KE30'!$C:$C,'06. BC BH THEO CUSTOMER-USD'!$D92,'01. KE30'!$F:$F,'06. BC BH THEO CUSTOMER-USD'!$H92,'01. KE30'!$A:$A,'06. BC BH THEO CUSTOMER-USD'!EE$4)-SUMIFS('01. KE30'!$AA:$AA,'01. KE30'!$C:$C,'06. BC BH THEO CUSTOMER-USD'!$D92,'01. KE30'!$F:$F,'06. BC BH THEO CUSTOMER-USD'!$H92,'01. KE30'!$A:$A,'06. BC BH THEO CUSTOMER-USD'!EE$4),"-")</f>
        <v>0</v>
      </c>
      <c r="EF92" s="114">
        <f>IFERROR(SUMIFS('01. KE30'!$X:$X,'01. KE30'!$C:$C,'06. BC BH THEO CUSTOMER-USD'!$D92,'01. KE30'!$F:$F,'06. BC BH THEO CUSTOMER-USD'!$H92,'01. KE30'!$A:$A,'06. BC BH THEO CUSTOMER-USD'!EF$4)-SUMIFS('01. KE30'!$AA:$AA,'01. KE30'!$C:$C,'06. BC BH THEO CUSTOMER-USD'!$D92,'01. KE30'!$F:$F,'06. BC BH THEO CUSTOMER-USD'!$H92,'01. KE30'!$A:$A,'06. BC BH THEO CUSTOMER-USD'!EF$4),"-")</f>
        <v>0</v>
      </c>
      <c r="EH92" s="571">
        <f t="shared" si="531"/>
        <v>0.21886361235357318</v>
      </c>
      <c r="EI92" s="572" t="str">
        <f t="shared" si="532"/>
        <v>-</v>
      </c>
      <c r="EJ92" s="572">
        <f t="shared" si="533"/>
        <v>0.23782124256842752</v>
      </c>
      <c r="EK92" s="572">
        <f t="shared" si="534"/>
        <v>0.23141795778239707</v>
      </c>
      <c r="EL92" s="572">
        <f t="shared" si="535"/>
        <v>0.24859458935077114</v>
      </c>
      <c r="EM92" s="572">
        <f t="shared" si="536"/>
        <v>0.24144294899817173</v>
      </c>
      <c r="EN92" s="572">
        <f t="shared" si="537"/>
        <v>0.20173654700302265</v>
      </c>
      <c r="EO92" s="572">
        <f t="shared" si="538"/>
        <v>0.21853772845015443</v>
      </c>
      <c r="EP92" s="572">
        <f t="shared" si="539"/>
        <v>0.22783514414219688</v>
      </c>
      <c r="EQ92" s="572">
        <f t="shared" si="540"/>
        <v>0.21583425048883109</v>
      </c>
      <c r="ER92" s="572" t="str">
        <f t="shared" si="541"/>
        <v>-</v>
      </c>
      <c r="ES92" s="572" t="str">
        <f t="shared" si="542"/>
        <v>-</v>
      </c>
      <c r="ET92" s="572" t="str">
        <f t="shared" si="543"/>
        <v>-</v>
      </c>
    </row>
    <row r="93" spans="1:150" ht="15.5" hidden="1" outlineLevel="1" x14ac:dyDescent="0.35">
      <c r="A93" s="27">
        <f t="shared" si="653"/>
        <v>77</v>
      </c>
      <c r="B93" s="27" t="s">
        <v>283</v>
      </c>
      <c r="C93" s="442" t="s">
        <v>489</v>
      </c>
      <c r="D93" s="9" t="s">
        <v>532</v>
      </c>
      <c r="E93" s="12" t="s">
        <v>533</v>
      </c>
      <c r="F93" s="12" t="s">
        <v>733</v>
      </c>
      <c r="G93" s="12" t="str">
        <f>_xlfn.XLOOKUP(F93,'Quy đổi'!$G$5:$G$32,'Quy đổi'!$H$5:$H$32,0)</f>
        <v>Châu Âu</v>
      </c>
      <c r="H93" s="76" t="s">
        <v>100</v>
      </c>
      <c r="I93" s="28" t="s">
        <v>99</v>
      </c>
      <c r="J93" s="6" t="s">
        <v>26</v>
      </c>
      <c r="K93" s="11" t="s">
        <v>1031</v>
      </c>
      <c r="L93" s="92">
        <f t="shared" si="789"/>
        <v>1236.6640409610084</v>
      </c>
      <c r="M93" s="106" t="str">
        <f>IFERROR(SUMIFS('01. KE30'!$K:$K,'01. KE30'!$C:$C,'06. BC BH THEO CUSTOMER-USD'!$D93,'01. KE30'!$F:$F,'06. BC BH THEO CUSTOMER-USD'!$H93,'01. KE30'!$A:$A,'06. BC BH THEO CUSTOMER-USD'!M$4)/'06. BC BH THEO CUSTOMER-USD'!CS93/'02. Tỷ giá'!B$5,"-")</f>
        <v>-</v>
      </c>
      <c r="N93" s="106">
        <f>IFERROR(SUMIFS('01. KE30'!$K:$K,'01. KE30'!$C:$C,'06. BC BH THEO CUSTOMER-USD'!$D93,'01. KE30'!$F:$F,'06. BC BH THEO CUSTOMER-USD'!$H93,'01. KE30'!$A:$A,'06. BC BH THEO CUSTOMER-USD'!N$4)/'06. BC BH THEO CUSTOMER-USD'!CT93/'02. Tỷ giá'!C$5,"-")</f>
        <v>1236.6640409610084</v>
      </c>
      <c r="O93" s="106" t="str">
        <f>IFERROR(SUMIFS('01. KE30'!$K:$K,'01. KE30'!$C:$C,'06. BC BH THEO CUSTOMER-USD'!$D93,'01. KE30'!$F:$F,'06. BC BH THEO CUSTOMER-USD'!$H93,'01. KE30'!$A:$A,'06. BC BH THEO CUSTOMER-USD'!O$4)/'06. BC BH THEO CUSTOMER-USD'!CU93/'02. Tỷ giá'!D$5,"-")</f>
        <v>-</v>
      </c>
      <c r="P93" s="106" t="str">
        <f>IFERROR(SUMIFS('01. KE30'!$K:$K,'01. KE30'!$C:$C,'06. BC BH THEO CUSTOMER-USD'!$D93,'01. KE30'!$F:$F,'06. BC BH THEO CUSTOMER-USD'!$H93,'01. KE30'!$A:$A,'06. BC BH THEO CUSTOMER-USD'!P$4)/'06. BC BH THEO CUSTOMER-USD'!CV93/'02. Tỷ giá'!E$5,"-")</f>
        <v>-</v>
      </c>
      <c r="Q93" s="106" t="str">
        <f>IFERROR(SUMIFS('01. KE30'!$K:$K,'01. KE30'!$C:$C,'06. BC BH THEO CUSTOMER-USD'!$D93,'01. KE30'!$F:$F,'06. BC BH THEO CUSTOMER-USD'!$H93,'01. KE30'!$A:$A,'06. BC BH THEO CUSTOMER-USD'!Q$4)/'06. BC BH THEO CUSTOMER-USD'!CW93/'02. Tỷ giá'!F$5,"-")</f>
        <v>-</v>
      </c>
      <c r="R93" s="106" t="str">
        <f>IFERROR(SUMIFS('01. KE30'!$K:$K,'01. KE30'!$C:$C,'06. BC BH THEO CUSTOMER-USD'!$D93,'01. KE30'!$F:$F,'06. BC BH THEO CUSTOMER-USD'!$H93,'01. KE30'!$A:$A,'06. BC BH THEO CUSTOMER-USD'!R$4)/'06. BC BH THEO CUSTOMER-USD'!CX93/'02. Tỷ giá'!G$5,"-")</f>
        <v>-</v>
      </c>
      <c r="S93" s="106" t="str">
        <f>IFERROR(SUMIFS('01. KE30'!$K:$K,'01. KE30'!$C:$C,'06. BC BH THEO CUSTOMER-USD'!$D93,'01. KE30'!$F:$F,'06. BC BH THEO CUSTOMER-USD'!$H93,'01. KE30'!$A:$A,'06. BC BH THEO CUSTOMER-USD'!S$4)/'06. BC BH THEO CUSTOMER-USD'!CY93/'02. Tỷ giá'!H$5,"-")</f>
        <v>-</v>
      </c>
      <c r="T93" s="106" t="str">
        <f>IFERROR(SUMIFS('01. KE30'!$K:$K,'01. KE30'!$C:$C,'06. BC BH THEO CUSTOMER-USD'!$D93,'01. KE30'!$F:$F,'06. BC BH THEO CUSTOMER-USD'!$H93,'01. KE30'!$A:$A,'06. BC BH THEO CUSTOMER-USD'!T$4)/'06. BC BH THEO CUSTOMER-USD'!CZ93/'02. Tỷ giá'!I$5,"-")</f>
        <v>-</v>
      </c>
      <c r="U93" s="106" t="str">
        <f>IFERROR(SUMIFS('01. KE30'!$K:$K,'01. KE30'!$C:$C,'06. BC BH THEO CUSTOMER-USD'!$D93,'01. KE30'!$F:$F,'06. BC BH THEO CUSTOMER-USD'!$H93,'01. KE30'!$A:$A,'06. BC BH THEO CUSTOMER-USD'!U$4)/'06. BC BH THEO CUSTOMER-USD'!DA93/'02. Tỷ giá'!J$5,"-")</f>
        <v>-</v>
      </c>
      <c r="V93" s="106" t="str">
        <f>IFERROR(SUMIFS('01. KE30'!$K:$K,'01. KE30'!$C:$C,'06. BC BH THEO CUSTOMER-USD'!$D93,'01. KE30'!$F:$F,'06. BC BH THEO CUSTOMER-USD'!$H93,'01. KE30'!$A:$A,'06. BC BH THEO CUSTOMER-USD'!V$4)/'06. BC BH THEO CUSTOMER-USD'!DB93/'02. Tỷ giá'!K$5,"-")</f>
        <v>-</v>
      </c>
      <c r="W93" s="106" t="str">
        <f>IFERROR(SUMIFS('01. KE30'!$K:$K,'01. KE30'!$C:$C,'06. BC BH THEO CUSTOMER-USD'!$D93,'01. KE30'!$F:$F,'06. BC BH THEO CUSTOMER-USD'!$H93,'01. KE30'!$A:$A,'06. BC BH THEO CUSTOMER-USD'!W$4)/'06. BC BH THEO CUSTOMER-USD'!DC93/'02. Tỷ giá'!L$5,"-")</f>
        <v>-</v>
      </c>
      <c r="X93" s="106" t="str">
        <f>IFERROR(SUMIFS('01. KE30'!$K:$K,'01. KE30'!$C:$C,'06. BC BH THEO CUSTOMER-USD'!$D93,'01. KE30'!$F:$F,'06. BC BH THEO CUSTOMER-USD'!$H93,'01. KE30'!$A:$A,'06. BC BH THEO CUSTOMER-USD'!X$4)/'06. BC BH THEO CUSTOMER-USD'!DD93/'02. Tỷ giá'!M$5,"-")</f>
        <v>-</v>
      </c>
      <c r="Z93" s="92">
        <f t="shared" si="790"/>
        <v>1220.0299171112463</v>
      </c>
      <c r="AA93" s="147" t="str">
        <f>IFERROR(SUMIFS('01. KE30'!$O:$O,'01. KE30'!$C:$C,'06. BC BH THEO CUSTOMER-USD'!$D93,'01. KE30'!$F:$F,'06. BC BH THEO CUSTOMER-USD'!$H93,'01. KE30'!$A:$A,'06. BC BH THEO CUSTOMER-USD'!M$4)/'06. BC BH THEO CUSTOMER-USD'!CS93/'02. Tỷ giá'!B$5,"-")</f>
        <v>-</v>
      </c>
      <c r="AB93" s="147">
        <f>IFERROR(SUMIFS('01. KE30'!$O:$O,'01. KE30'!$C:$C,'06. BC BH THEO CUSTOMER-USD'!$D93,'01. KE30'!$F:$F,'06. BC BH THEO CUSTOMER-USD'!$H93,'01. KE30'!$A:$A,'06. BC BH THEO CUSTOMER-USD'!N$4)/'06. BC BH THEO CUSTOMER-USD'!CT93/'02. Tỷ giá'!C$5,"-")</f>
        <v>1220.0299171112463</v>
      </c>
      <c r="AC93" s="147" t="str">
        <f>IFERROR(SUMIFS('01. KE30'!$O:$O,'01. KE30'!$C:$C,'06. BC BH THEO CUSTOMER-USD'!$D93,'01. KE30'!$F:$F,'06. BC BH THEO CUSTOMER-USD'!$H93,'01. KE30'!$A:$A,'06. BC BH THEO CUSTOMER-USD'!O$4)/'06. BC BH THEO CUSTOMER-USD'!CU93/'02. Tỷ giá'!D$5,"-")</f>
        <v>-</v>
      </c>
      <c r="AD93" s="147" t="str">
        <f>IFERROR(SUMIFS('01. KE30'!$O:$O,'01. KE30'!$C:$C,'06. BC BH THEO CUSTOMER-USD'!$D93,'01. KE30'!$F:$F,'06. BC BH THEO CUSTOMER-USD'!$H93,'01. KE30'!$A:$A,'06. BC BH THEO CUSTOMER-USD'!P$4)/'06. BC BH THEO CUSTOMER-USD'!CV93/'02. Tỷ giá'!E$5,"-")</f>
        <v>-</v>
      </c>
      <c r="AE93" s="147" t="str">
        <f>IFERROR(SUMIFS('01. KE30'!$O:$O,'01. KE30'!$C:$C,'06. BC BH THEO CUSTOMER-USD'!$D93,'01. KE30'!$F:$F,'06. BC BH THEO CUSTOMER-USD'!$H93,'01. KE30'!$A:$A,'06. BC BH THEO CUSTOMER-USD'!Q$4)/'06. BC BH THEO CUSTOMER-USD'!CW93/'02. Tỷ giá'!F$5,"-")</f>
        <v>-</v>
      </c>
      <c r="AF93" s="147" t="str">
        <f>IFERROR(SUMIFS('01. KE30'!$O:$O,'01. KE30'!$C:$C,'06. BC BH THEO CUSTOMER-USD'!$D93,'01. KE30'!$F:$F,'06. BC BH THEO CUSTOMER-USD'!$H93,'01. KE30'!$A:$A,'06. BC BH THEO CUSTOMER-USD'!R$4)/'06. BC BH THEO CUSTOMER-USD'!CX93/'02. Tỷ giá'!G$5,"-")</f>
        <v>-</v>
      </c>
      <c r="AG93" s="147" t="str">
        <f>IFERROR(SUMIFS('01. KE30'!$O:$O,'01. KE30'!$C:$C,'06. BC BH THEO CUSTOMER-USD'!$D93,'01. KE30'!$F:$F,'06. BC BH THEO CUSTOMER-USD'!$H93,'01. KE30'!$A:$A,'06. BC BH THEO CUSTOMER-USD'!S$4)/'06. BC BH THEO CUSTOMER-USD'!CY93/'02. Tỷ giá'!H$5,"-")</f>
        <v>-</v>
      </c>
      <c r="AH93" s="147" t="str">
        <f>IFERROR(SUMIFS('01. KE30'!$O:$O,'01. KE30'!$C:$C,'06. BC BH THEO CUSTOMER-USD'!$D93,'01. KE30'!$F:$F,'06. BC BH THEO CUSTOMER-USD'!$H93,'01. KE30'!$A:$A,'06. BC BH THEO CUSTOMER-USD'!T$4)/'06. BC BH THEO CUSTOMER-USD'!CZ93/'02. Tỷ giá'!I$5,"-")</f>
        <v>-</v>
      </c>
      <c r="AI93" s="147" t="str">
        <f>IFERROR(SUMIFS('01. KE30'!$O:$O,'01. KE30'!$C:$C,'06. BC BH THEO CUSTOMER-USD'!$D93,'01. KE30'!$F:$F,'06. BC BH THEO CUSTOMER-USD'!$H93,'01. KE30'!$A:$A,'06. BC BH THEO CUSTOMER-USD'!U$4)/'06. BC BH THEO CUSTOMER-USD'!DA93/'02. Tỷ giá'!J$5,"-")</f>
        <v>-</v>
      </c>
      <c r="AJ93" s="147" t="str">
        <f>IFERROR(SUMIFS('01. KE30'!$O:$O,'01. KE30'!$C:$C,'06. BC BH THEO CUSTOMER-USD'!$D93,'01. KE30'!$F:$F,'06. BC BH THEO CUSTOMER-USD'!$H93,'01. KE30'!$A:$A,'06. BC BH THEO CUSTOMER-USD'!V$4)/'06. BC BH THEO CUSTOMER-USD'!DB93/'02. Tỷ giá'!K$5,"-")</f>
        <v>-</v>
      </c>
      <c r="AK93" s="147" t="str">
        <f>IFERROR(SUMIFS('01. KE30'!$O:$O,'01. KE30'!$C:$C,'06. BC BH THEO CUSTOMER-USD'!$D93,'01. KE30'!$F:$F,'06. BC BH THEO CUSTOMER-USD'!$H93,'01. KE30'!$A:$A,'06. BC BH THEO CUSTOMER-USD'!W$4)/'06. BC BH THEO CUSTOMER-USD'!DC93/'02. Tỷ giá'!L$5,"-")</f>
        <v>-</v>
      </c>
      <c r="AL93" s="147" t="str">
        <f>IFERROR(SUMIFS('01. KE30'!$O:$O,'01. KE30'!$C:$C,'06. BC BH THEO CUSTOMER-USD'!$D93,'01. KE30'!$F:$F,'06. BC BH THEO CUSTOMER-USD'!$H93,'01. KE30'!$A:$A,'06. BC BH THEO CUSTOMER-USD'!X$4)/'06. BC BH THEO CUSTOMER-USD'!DD93/'02. Tỷ giá'!M$5,"-")</f>
        <v>-</v>
      </c>
      <c r="AN93" s="92">
        <f t="shared" si="791"/>
        <v>1266.6666666666667</v>
      </c>
      <c r="AO93" s="25">
        <v>1260</v>
      </c>
      <c r="AP93" s="25">
        <v>1260</v>
      </c>
      <c r="AQ93" s="25">
        <v>1260</v>
      </c>
      <c r="AR93" s="4">
        <f t="shared" si="773"/>
        <v>1280</v>
      </c>
      <c r="AS93" s="4">
        <v>1280</v>
      </c>
      <c r="AT93" s="4">
        <v>1280</v>
      </c>
      <c r="AU93" s="4">
        <v>1280</v>
      </c>
      <c r="AV93" s="4">
        <f t="shared" si="205"/>
        <v>1250</v>
      </c>
      <c r="AW93" s="25">
        <v>1250</v>
      </c>
      <c r="AX93" s="25"/>
      <c r="AY93" s="4"/>
      <c r="AZ93" s="4"/>
      <c r="BB93" s="95">
        <f t="shared" si="792"/>
        <v>-46.636749555420465</v>
      </c>
      <c r="BC93" s="95" t="str">
        <f t="shared" si="793"/>
        <v>-</v>
      </c>
      <c r="BD93" s="95">
        <f t="shared" si="794"/>
        <v>-39.970082888753723</v>
      </c>
      <c r="BE93" s="95" t="str">
        <f t="shared" si="795"/>
        <v>-</v>
      </c>
      <c r="BF93" s="95" t="str">
        <f t="shared" si="796"/>
        <v>-</v>
      </c>
      <c r="BG93" s="95" t="str">
        <f t="shared" si="797"/>
        <v>-</v>
      </c>
      <c r="BH93" s="95" t="str">
        <f t="shared" si="798"/>
        <v>-</v>
      </c>
      <c r="BI93" s="95" t="str">
        <f t="shared" si="799"/>
        <v>-</v>
      </c>
      <c r="BJ93" s="95" t="str">
        <f t="shared" si="800"/>
        <v>-</v>
      </c>
      <c r="BK93" s="95" t="str">
        <f t="shared" si="801"/>
        <v>-</v>
      </c>
      <c r="BL93" s="95" t="str">
        <f t="shared" si="802"/>
        <v>-</v>
      </c>
      <c r="BM93" s="95" t="str">
        <f t="shared" si="803"/>
        <v>-</v>
      </c>
      <c r="BN93" s="95" t="str">
        <f t="shared" si="804"/>
        <v>-</v>
      </c>
      <c r="BP93" s="143">
        <f t="shared" si="805"/>
        <v>-3.6818486491121419E-2</v>
      </c>
      <c r="BQ93" s="143" t="str">
        <f t="shared" si="806"/>
        <v>-</v>
      </c>
      <c r="BR93" s="143">
        <f t="shared" si="807"/>
        <v>-3.1722288006947402E-2</v>
      </c>
      <c r="BS93" s="143" t="str">
        <f t="shared" si="808"/>
        <v>-</v>
      </c>
      <c r="BT93" s="143" t="str">
        <f t="shared" si="809"/>
        <v>-</v>
      </c>
      <c r="BU93" s="143" t="str">
        <f t="shared" si="810"/>
        <v>-</v>
      </c>
      <c r="BV93" s="143" t="str">
        <f t="shared" si="811"/>
        <v>-</v>
      </c>
      <c r="BW93" s="143" t="str">
        <f t="shared" si="812"/>
        <v>-</v>
      </c>
      <c r="BX93" s="143" t="str">
        <f t="shared" si="813"/>
        <v>-</v>
      </c>
      <c r="BY93" s="143" t="str">
        <f t="shared" si="814"/>
        <v>-</v>
      </c>
      <c r="BZ93" s="143" t="str">
        <f t="shared" si="815"/>
        <v>-</v>
      </c>
      <c r="CA93" s="143" t="str">
        <f t="shared" si="816"/>
        <v>-</v>
      </c>
      <c r="CB93" s="143" t="str">
        <f t="shared" si="817"/>
        <v>-</v>
      </c>
      <c r="CD93" s="112">
        <f t="shared" si="529"/>
        <v>989.75531526370435</v>
      </c>
      <c r="CE93" s="95" t="str">
        <f>IFERROR(SUMIFS('01. KE30'!$R:$R,'01. KE30'!$C:$C,'06. BC BH THEO CUSTOMER-USD'!$D93,'01. KE30'!$F:$F,'06. BC BH THEO CUSTOMER-USD'!$H93,'01. KE30'!$A:$A,'06. BC BH THEO CUSTOMER-USD'!CE$4)/CS93/'02. Tỷ giá'!B$5," -")</f>
        <v xml:space="preserve"> -</v>
      </c>
      <c r="CF93" s="95">
        <f>IFERROR(SUMIFS('01. KE30'!$R:$R,'01. KE30'!$C:$C,'06. BC BH THEO CUSTOMER-USD'!$D93,'01. KE30'!$F:$F,'06. BC BH THEO CUSTOMER-USD'!$H93,'01. KE30'!$A:$A,'06. BC BH THEO CUSTOMER-USD'!CF$4)/CT93/'02. Tỷ giá'!C$5," -")</f>
        <v>989.75531526370435</v>
      </c>
      <c r="CG93" s="95" t="str">
        <f>IFERROR(SUMIFS('01. KE30'!$R:$R,'01. KE30'!$C:$C,'06. BC BH THEO CUSTOMER-USD'!$D93,'01. KE30'!$F:$F,'06. BC BH THEO CUSTOMER-USD'!$H93,'01. KE30'!$A:$A,'06. BC BH THEO CUSTOMER-USD'!CG$4)/CU93/'02. Tỷ giá'!D$5," -")</f>
        <v xml:space="preserve"> -</v>
      </c>
      <c r="CH93" s="95" t="str">
        <f>IFERROR(SUMIFS('01. KE30'!$R:$R,'01. KE30'!$C:$C,'06. BC BH THEO CUSTOMER-USD'!$D93,'01. KE30'!$F:$F,'06. BC BH THEO CUSTOMER-USD'!$H93,'01. KE30'!$A:$A,'06. BC BH THEO CUSTOMER-USD'!CH$4)/CV93/'02. Tỷ giá'!E$5," -")</f>
        <v xml:space="preserve"> -</v>
      </c>
      <c r="CI93" s="95" t="str">
        <f>IFERROR(SUMIFS('01. KE30'!$R:$R,'01. KE30'!$C:$C,'06. BC BH THEO CUSTOMER-USD'!$D93,'01. KE30'!$F:$F,'06. BC BH THEO CUSTOMER-USD'!$H93,'01. KE30'!$A:$A,'06. BC BH THEO CUSTOMER-USD'!CI$4)/CW93/'02. Tỷ giá'!F$5," -")</f>
        <v xml:space="preserve"> -</v>
      </c>
      <c r="CJ93" s="95" t="str">
        <f>IFERROR(SUMIFS('01. KE30'!$R:$R,'01. KE30'!$C:$C,'06. BC BH THEO CUSTOMER-USD'!$D93,'01. KE30'!$F:$F,'06. BC BH THEO CUSTOMER-USD'!$H93,'01. KE30'!$A:$A,'06. BC BH THEO CUSTOMER-USD'!CJ$4)/CX93/'02. Tỷ giá'!G$5," -")</f>
        <v xml:space="preserve"> -</v>
      </c>
      <c r="CK93" s="95" t="str">
        <f>IFERROR(SUMIFS('01. KE30'!$R:$R,'01. KE30'!$C:$C,'06. BC BH THEO CUSTOMER-USD'!$D93,'01. KE30'!$F:$F,'06. BC BH THEO CUSTOMER-USD'!$H93,'01. KE30'!$A:$A,'06. BC BH THEO CUSTOMER-USD'!CK$4)/CY93/'02. Tỷ giá'!H$5," -")</f>
        <v xml:space="preserve"> -</v>
      </c>
      <c r="CL93" s="95" t="str">
        <f>IFERROR(SUMIFS('01. KE30'!$R:$R,'01. KE30'!$C:$C,'06. BC BH THEO CUSTOMER-USD'!$D93,'01. KE30'!$F:$F,'06. BC BH THEO CUSTOMER-USD'!$H93,'01. KE30'!$A:$A,'06. BC BH THEO CUSTOMER-USD'!CL$4)/CZ93/'02. Tỷ giá'!I$5," -")</f>
        <v xml:space="preserve"> -</v>
      </c>
      <c r="CM93" s="95" t="str">
        <f>IFERROR(SUMIFS('01. KE30'!$R:$R,'01. KE30'!$C:$C,'06. BC BH THEO CUSTOMER-USD'!$D93,'01. KE30'!$F:$F,'06. BC BH THEO CUSTOMER-USD'!$H93,'01. KE30'!$A:$A,'06. BC BH THEO CUSTOMER-USD'!CM$4)/DA93/'02. Tỷ giá'!J$5," -")</f>
        <v xml:space="preserve"> -</v>
      </c>
      <c r="CN93" s="95" t="str">
        <f>IFERROR(SUMIFS('01. KE30'!$R:$R,'01. KE30'!$C:$C,'06. BC BH THEO CUSTOMER-USD'!$D93,'01. KE30'!$F:$F,'06. BC BH THEO CUSTOMER-USD'!$H93,'01. KE30'!$A:$A,'06. BC BH THEO CUSTOMER-USD'!CN$4)/DB93/'02. Tỷ giá'!K$5," -")</f>
        <v xml:space="preserve"> -</v>
      </c>
      <c r="CO93" s="95" t="str">
        <f>IFERROR(SUMIFS('01. KE30'!$R:$R,'01. KE30'!$C:$C,'06. BC BH THEO CUSTOMER-USD'!$D93,'01. KE30'!$F:$F,'06. BC BH THEO CUSTOMER-USD'!$H93,'01. KE30'!$A:$A,'06. BC BH THEO CUSTOMER-USD'!CO$4)/DC93/'02. Tỷ giá'!L$5," -")</f>
        <v xml:space="preserve"> -</v>
      </c>
      <c r="CP93" s="95" t="str">
        <f>IFERROR(SUMIFS('01. KE30'!$R:$R,'01. KE30'!$C:$C,'06. BC BH THEO CUSTOMER-USD'!$D93,'01. KE30'!$F:$F,'06. BC BH THEO CUSTOMER-USD'!$H93,'01. KE30'!$A:$A,'06. BC BH THEO CUSTOMER-USD'!CP$4)/DD93/'02. Tỷ giá'!M$5," -")</f>
        <v xml:space="preserve"> -</v>
      </c>
      <c r="CR93" s="112">
        <f t="shared" si="818"/>
        <v>220</v>
      </c>
      <c r="CS93" s="114">
        <f>SUMIFS('01. KE30'!$I:$I,'01. KE30'!$C:$C,'06. BC BH THEO CUSTOMER-USD'!$D93,'01. KE30'!$F:$F,'06. BC BH THEO CUSTOMER-USD'!$H93,'01. KE30'!$A:$A,'06. BC BH THEO CUSTOMER-USD'!CS$4)/1000</f>
        <v>0</v>
      </c>
      <c r="CT93" s="114">
        <f>SUMIFS('01. KE30'!$I:$I,'01. KE30'!$C:$C,'06. BC BH THEO CUSTOMER-USD'!$D93,'01. KE30'!$F:$F,'06. BC BH THEO CUSTOMER-USD'!$H93,'01. KE30'!$A:$A,'06. BC BH THEO CUSTOMER-USD'!CT$4)/1000</f>
        <v>220</v>
      </c>
      <c r="CU93" s="114">
        <f>SUMIFS('01. KE30'!$I:$I,'01. KE30'!$C:$C,'06. BC BH THEO CUSTOMER-USD'!$D93,'01. KE30'!$F:$F,'06. BC BH THEO CUSTOMER-USD'!$H93,'01. KE30'!$A:$A,'06. BC BH THEO CUSTOMER-USD'!CU$4)/1000</f>
        <v>0</v>
      </c>
      <c r="CV93" s="114">
        <f>SUMIFS('01. KE30'!$I:$I,'01. KE30'!$C:$C,'06. BC BH THEO CUSTOMER-USD'!$D93,'01. KE30'!$F:$F,'06. BC BH THEO CUSTOMER-USD'!$H93,'01. KE30'!$A:$A,'06. BC BH THEO CUSTOMER-USD'!CV$4)/1000</f>
        <v>0</v>
      </c>
      <c r="CW93" s="114">
        <f>SUMIFS('01. KE30'!$I:$I,'01. KE30'!$C:$C,'06. BC BH THEO CUSTOMER-USD'!$D93,'01. KE30'!$F:$F,'06. BC BH THEO CUSTOMER-USD'!$H93,'01. KE30'!$A:$A,'06. BC BH THEO CUSTOMER-USD'!CW$4)/1000</f>
        <v>0</v>
      </c>
      <c r="CX93" s="114">
        <f>SUMIFS('01. KE30'!$I:$I,'01. KE30'!$C:$C,'06. BC BH THEO CUSTOMER-USD'!$D93,'01. KE30'!$F:$F,'06. BC BH THEO CUSTOMER-USD'!$H93,'01. KE30'!$A:$A,'06. BC BH THEO CUSTOMER-USD'!CX$4)/1000</f>
        <v>0</v>
      </c>
      <c r="CY93" s="114">
        <f>SUMIFS('01. KE30'!$I:$I,'01. KE30'!$C:$C,'06. BC BH THEO CUSTOMER-USD'!$D93,'01. KE30'!$F:$F,'06. BC BH THEO CUSTOMER-USD'!$H93,'01. KE30'!$A:$A,'06. BC BH THEO CUSTOMER-USD'!CY$4)/1000</f>
        <v>0</v>
      </c>
      <c r="CZ93" s="114">
        <f>SUMIFS('01. KE30'!$I:$I,'01. KE30'!$C:$C,'06. BC BH THEO CUSTOMER-USD'!$D93,'01. KE30'!$F:$F,'06. BC BH THEO CUSTOMER-USD'!$H93,'01. KE30'!$A:$A,'06. BC BH THEO CUSTOMER-USD'!CZ$4)/1000</f>
        <v>0</v>
      </c>
      <c r="DA93" s="114">
        <f>SUMIFS('01. KE30'!$I:$I,'01. KE30'!$C:$C,'06. BC BH THEO CUSTOMER-USD'!$D93,'01. KE30'!$F:$F,'06. BC BH THEO CUSTOMER-USD'!$H93,'01. KE30'!$A:$A,'06. BC BH THEO CUSTOMER-USD'!DA$4)/1000</f>
        <v>0</v>
      </c>
      <c r="DB93" s="114">
        <f>SUMIFS('01. KE30'!$I:$I,'01. KE30'!$C:$C,'06. BC BH THEO CUSTOMER-USD'!$D93,'01. KE30'!$F:$F,'06. BC BH THEO CUSTOMER-USD'!$H93,'01. KE30'!$A:$A,'06. BC BH THEO CUSTOMER-USD'!DB$4)/1000</f>
        <v>0</v>
      </c>
      <c r="DC93" s="114">
        <f>SUMIFS('01. KE30'!$I:$I,'01. KE30'!$C:$C,'06. BC BH THEO CUSTOMER-USD'!$D93,'01. KE30'!$F:$F,'06. BC BH THEO CUSTOMER-USD'!$H93,'01. KE30'!$A:$A,'06. BC BH THEO CUSTOMER-USD'!DC$4)/1000</f>
        <v>0</v>
      </c>
      <c r="DD93" s="114">
        <f>SUMIFS('01. KE30'!$I:$I,'01. KE30'!$C:$C,'06. BC BH THEO CUSTOMER-USD'!$D93,'01. KE30'!$F:$F,'06. BC BH THEO CUSTOMER-USD'!$H93,'01. KE30'!$A:$A,'06. BC BH THEO CUSTOMER-USD'!DD$4)/1000</f>
        <v>0</v>
      </c>
      <c r="DF93" s="120">
        <f t="shared" si="819"/>
        <v>272066.08901142183</v>
      </c>
      <c r="DG93" s="54" t="str">
        <f t="shared" si="820"/>
        <v>-</v>
      </c>
      <c r="DH93" s="54">
        <f t="shared" si="821"/>
        <v>272066.08901142183</v>
      </c>
      <c r="DI93" s="54" t="str">
        <f t="shared" si="822"/>
        <v>-</v>
      </c>
      <c r="DJ93" s="54" t="str">
        <f t="shared" si="823"/>
        <v>-</v>
      </c>
      <c r="DK93" s="54" t="str">
        <f t="shared" si="824"/>
        <v>-</v>
      </c>
      <c r="DL93" s="54" t="str">
        <f t="shared" si="825"/>
        <v>-</v>
      </c>
      <c r="DM93" s="54" t="str">
        <f t="shared" si="826"/>
        <v>-</v>
      </c>
      <c r="DN93" s="54" t="str">
        <f t="shared" si="827"/>
        <v>-</v>
      </c>
      <c r="DO93" s="54" t="str">
        <f t="shared" si="828"/>
        <v>-</v>
      </c>
      <c r="DP93" s="54" t="str">
        <f t="shared" si="829"/>
        <v>-</v>
      </c>
      <c r="DQ93" s="54" t="str">
        <f t="shared" si="830"/>
        <v>-</v>
      </c>
      <c r="DR93" s="54" t="str">
        <f t="shared" si="831"/>
        <v>-</v>
      </c>
      <c r="DT93" s="112">
        <f t="shared" si="832"/>
        <v>50660.412406459247</v>
      </c>
      <c r="DU93" s="114">
        <f>IFERROR(SUMIFS('01. KE30'!$X:$X,'01. KE30'!$C:$C,'06. BC BH THEO CUSTOMER-USD'!$D93,'01. KE30'!$F:$F,'06. BC BH THEO CUSTOMER-USD'!$H93,'01. KE30'!$A:$A,'06. BC BH THEO CUSTOMER-USD'!DU$4)-SUMIFS('01. KE30'!$AA:$AA,'01. KE30'!$C:$C,'06. BC BH THEO CUSTOMER-USD'!$D93,'01. KE30'!$F:$F,'06. BC BH THEO CUSTOMER-USD'!$H93,'01. KE30'!$A:$A,'06. BC BH THEO CUSTOMER-USD'!DU$4),"-")</f>
        <v>0</v>
      </c>
      <c r="DV93" s="114">
        <f>IFERROR(SUMIFS('01. KE30'!$X:$X,'01. KE30'!$C:$C,'06. BC BH THEO CUSTOMER-USD'!$D93,'01. KE30'!$F:$F,'06. BC BH THEO CUSTOMER-USD'!$H93,'01. KE30'!$A:$A,'06. BC BH THEO CUSTOMER-USD'!DV$4)-SUMIFS('01. KE30'!$AA:$AA,'01. KE30'!$C:$C,'06. BC BH THEO CUSTOMER-USD'!$D93,'01. KE30'!$F:$F,'06. BC BH THEO CUSTOMER-USD'!$H93,'01. KE30'!$A:$A,'06. BC BH THEO CUSTOMER-USD'!DV$4),"-")</f>
        <v>50660.412406459247</v>
      </c>
      <c r="DW93" s="114">
        <f>IFERROR(SUMIFS('01. KE30'!$X:$X,'01. KE30'!$C:$C,'06. BC BH THEO CUSTOMER-USD'!$D93,'01. KE30'!$F:$F,'06. BC BH THEO CUSTOMER-USD'!$H93,'01. KE30'!$A:$A,'06. BC BH THEO CUSTOMER-USD'!DW$4)-SUMIFS('01. KE30'!$AA:$AA,'01. KE30'!$C:$C,'06. BC BH THEO CUSTOMER-USD'!$D93,'01. KE30'!$F:$F,'06. BC BH THEO CUSTOMER-USD'!$H93,'01. KE30'!$A:$A,'06. BC BH THEO CUSTOMER-USD'!DW$4),"-")</f>
        <v>0</v>
      </c>
      <c r="DX93" s="114">
        <f>IFERROR(SUMIFS('01. KE30'!$X:$X,'01. KE30'!$C:$C,'06. BC BH THEO CUSTOMER-USD'!$D93,'01. KE30'!$F:$F,'06. BC BH THEO CUSTOMER-USD'!$H93,'01. KE30'!$A:$A,'06. BC BH THEO CUSTOMER-USD'!DX$4)-SUMIFS('01. KE30'!$AA:$AA,'01. KE30'!$C:$C,'06. BC BH THEO CUSTOMER-USD'!$D93,'01. KE30'!$F:$F,'06. BC BH THEO CUSTOMER-USD'!$H93,'01. KE30'!$A:$A,'06. BC BH THEO CUSTOMER-USD'!DX$4),"-")</f>
        <v>0</v>
      </c>
      <c r="DY93" s="114">
        <f>IFERROR(SUMIFS('01. KE30'!$X:$X,'01. KE30'!$C:$C,'06. BC BH THEO CUSTOMER-USD'!$D93,'01. KE30'!$F:$F,'06. BC BH THEO CUSTOMER-USD'!$H93,'01. KE30'!$A:$A,'06. BC BH THEO CUSTOMER-USD'!DY$4)-SUMIFS('01. KE30'!$AA:$AA,'01. KE30'!$C:$C,'06. BC BH THEO CUSTOMER-USD'!$D93,'01. KE30'!$F:$F,'06. BC BH THEO CUSTOMER-USD'!$H93,'01. KE30'!$A:$A,'06. BC BH THEO CUSTOMER-USD'!DY$4),"-")</f>
        <v>0</v>
      </c>
      <c r="DZ93" s="114">
        <f>IFERROR(SUMIFS('01. KE30'!$X:$X,'01. KE30'!$C:$C,'06. BC BH THEO CUSTOMER-USD'!$D93,'01. KE30'!$F:$F,'06. BC BH THEO CUSTOMER-USD'!$H93,'01. KE30'!$A:$A,'06. BC BH THEO CUSTOMER-USD'!DZ$4)-SUMIFS('01. KE30'!$AA:$AA,'01. KE30'!$C:$C,'06. BC BH THEO CUSTOMER-USD'!$D93,'01. KE30'!$F:$F,'06. BC BH THEO CUSTOMER-USD'!$H93,'01. KE30'!$A:$A,'06. BC BH THEO CUSTOMER-USD'!DZ$4),"-")</f>
        <v>0</v>
      </c>
      <c r="EA93" s="114">
        <f>IFERROR(SUMIFS('01. KE30'!$X:$X,'01. KE30'!$C:$C,'06. BC BH THEO CUSTOMER-USD'!$D93,'01. KE30'!$F:$F,'06. BC BH THEO CUSTOMER-USD'!$H93,'01. KE30'!$A:$A,'06. BC BH THEO CUSTOMER-USD'!EA$4)-SUMIFS('01. KE30'!$AA:$AA,'01. KE30'!$C:$C,'06. BC BH THEO CUSTOMER-USD'!$D93,'01. KE30'!$F:$F,'06. BC BH THEO CUSTOMER-USD'!$H93,'01. KE30'!$A:$A,'06. BC BH THEO CUSTOMER-USD'!EA$4),"-")</f>
        <v>0</v>
      </c>
      <c r="EB93" s="114">
        <f>IFERROR(SUMIFS('01. KE30'!$X:$X,'01. KE30'!$C:$C,'06. BC BH THEO CUSTOMER-USD'!$D93,'01. KE30'!$F:$F,'06. BC BH THEO CUSTOMER-USD'!$H93,'01. KE30'!$A:$A,'06. BC BH THEO CUSTOMER-USD'!EB$4)-SUMIFS('01. KE30'!$AA:$AA,'01. KE30'!$C:$C,'06. BC BH THEO CUSTOMER-USD'!$D93,'01. KE30'!$F:$F,'06. BC BH THEO CUSTOMER-USD'!$H93,'01. KE30'!$A:$A,'06. BC BH THEO CUSTOMER-USD'!EB$4),"-")</f>
        <v>0</v>
      </c>
      <c r="EC93" s="114">
        <f>IFERROR(SUMIFS('01. KE30'!$X:$X,'01. KE30'!$C:$C,'06. BC BH THEO CUSTOMER-USD'!$D93,'01. KE30'!$F:$F,'06. BC BH THEO CUSTOMER-USD'!$H93,'01. KE30'!$A:$A,'06. BC BH THEO CUSTOMER-USD'!EC$4)-SUMIFS('01. KE30'!$AA:$AA,'01. KE30'!$C:$C,'06. BC BH THEO CUSTOMER-USD'!$D93,'01. KE30'!$F:$F,'06. BC BH THEO CUSTOMER-USD'!$H93,'01. KE30'!$A:$A,'06. BC BH THEO CUSTOMER-USD'!EC$4),"-")</f>
        <v>0</v>
      </c>
      <c r="ED93" s="114">
        <f>IFERROR(SUMIFS('01. KE30'!$X:$X,'01. KE30'!$C:$C,'06. BC BH THEO CUSTOMER-USD'!$D93,'01. KE30'!$F:$F,'06. BC BH THEO CUSTOMER-USD'!$H93,'01. KE30'!$A:$A,'06. BC BH THEO CUSTOMER-USD'!ED$4)-SUMIFS('01. KE30'!$AA:$AA,'01. KE30'!$C:$C,'06. BC BH THEO CUSTOMER-USD'!$D93,'01. KE30'!$F:$F,'06. BC BH THEO CUSTOMER-USD'!$H93,'01. KE30'!$A:$A,'06. BC BH THEO CUSTOMER-USD'!ED$4),"-")</f>
        <v>0</v>
      </c>
      <c r="EE93" s="114">
        <f>IFERROR(SUMIFS('01. KE30'!$X:$X,'01. KE30'!$C:$C,'06. BC BH THEO CUSTOMER-USD'!$D93,'01. KE30'!$F:$F,'06. BC BH THEO CUSTOMER-USD'!$H93,'01. KE30'!$A:$A,'06. BC BH THEO CUSTOMER-USD'!EE$4)-SUMIFS('01. KE30'!$AA:$AA,'01. KE30'!$C:$C,'06. BC BH THEO CUSTOMER-USD'!$D93,'01. KE30'!$F:$F,'06. BC BH THEO CUSTOMER-USD'!$H93,'01. KE30'!$A:$A,'06. BC BH THEO CUSTOMER-USD'!EE$4),"-")</f>
        <v>0</v>
      </c>
      <c r="EF93" s="114">
        <f>IFERROR(SUMIFS('01. KE30'!$X:$X,'01. KE30'!$C:$C,'06. BC BH THEO CUSTOMER-USD'!$D93,'01. KE30'!$F:$F,'06. BC BH THEO CUSTOMER-USD'!$H93,'01. KE30'!$A:$A,'06. BC BH THEO CUSTOMER-USD'!EF$4)-SUMIFS('01. KE30'!$AA:$AA,'01. KE30'!$C:$C,'06. BC BH THEO CUSTOMER-USD'!$D93,'01. KE30'!$F:$F,'06. BC BH THEO CUSTOMER-USD'!$H93,'01. KE30'!$A:$A,'06. BC BH THEO CUSTOMER-USD'!EF$4),"-")</f>
        <v>0</v>
      </c>
      <c r="EH93" s="571">
        <f t="shared" si="531"/>
        <v>0.1862062728601668</v>
      </c>
      <c r="EI93" s="572" t="str">
        <f t="shared" si="532"/>
        <v>-</v>
      </c>
      <c r="EJ93" s="572">
        <f t="shared" si="533"/>
        <v>0.1862062728601668</v>
      </c>
      <c r="EK93" s="572" t="str">
        <f t="shared" si="534"/>
        <v>-</v>
      </c>
      <c r="EL93" s="572" t="str">
        <f t="shared" si="535"/>
        <v>-</v>
      </c>
      <c r="EM93" s="572" t="str">
        <f t="shared" si="536"/>
        <v>-</v>
      </c>
      <c r="EN93" s="572" t="str">
        <f t="shared" si="537"/>
        <v>-</v>
      </c>
      <c r="EO93" s="572" t="str">
        <f t="shared" si="538"/>
        <v>-</v>
      </c>
      <c r="EP93" s="572" t="str">
        <f t="shared" si="539"/>
        <v>-</v>
      </c>
      <c r="EQ93" s="572" t="str">
        <f t="shared" si="540"/>
        <v>-</v>
      </c>
      <c r="ER93" s="572" t="str">
        <f t="shared" si="541"/>
        <v>-</v>
      </c>
      <c r="ES93" s="572" t="str">
        <f t="shared" si="542"/>
        <v>-</v>
      </c>
      <c r="ET93" s="572" t="str">
        <f t="shared" si="543"/>
        <v>-</v>
      </c>
    </row>
    <row r="94" spans="1:150" ht="15.5" hidden="1" outlineLevel="1" x14ac:dyDescent="0.35">
      <c r="A94" s="27">
        <f t="shared" si="653"/>
        <v>78</v>
      </c>
      <c r="B94" s="27" t="s">
        <v>283</v>
      </c>
      <c r="C94" s="442" t="s">
        <v>489</v>
      </c>
      <c r="D94" s="9" t="s">
        <v>362</v>
      </c>
      <c r="E94" s="12" t="s">
        <v>363</v>
      </c>
      <c r="F94" s="12" t="s">
        <v>175</v>
      </c>
      <c r="G94" s="12" t="str">
        <f>_xlfn.XLOOKUP(F94,'Quy đổi'!$G$5:$G$32,'Quy đổi'!$H$5:$H$32,0)</f>
        <v>Bắc Mỹ</v>
      </c>
      <c r="H94" s="76" t="s">
        <v>100</v>
      </c>
      <c r="I94" s="28" t="s">
        <v>99</v>
      </c>
      <c r="J94" s="6" t="s">
        <v>26</v>
      </c>
      <c r="K94" s="11" t="s">
        <v>113</v>
      </c>
      <c r="L94" s="92">
        <f t="shared" si="789"/>
        <v>1267.7794233855457</v>
      </c>
      <c r="M94" s="106" t="str">
        <f>IFERROR(SUMIFS('01. KE30'!$K:$K,'01. KE30'!$C:$C,'06. BC BH THEO CUSTOMER-USD'!$D94,'01. KE30'!$F:$F,'06. BC BH THEO CUSTOMER-USD'!$H94,'01. KE30'!$A:$A,'06. BC BH THEO CUSTOMER-USD'!M$4)/'06. BC BH THEO CUSTOMER-USD'!CS94/'02. Tỷ giá'!B$5,"-")</f>
        <v>-</v>
      </c>
      <c r="N94" s="106">
        <f>IFERROR(SUMIFS('01. KE30'!$K:$K,'01. KE30'!$C:$C,'06. BC BH THEO CUSTOMER-USD'!$D94,'01. KE30'!$F:$F,'06. BC BH THEO CUSTOMER-USD'!$H94,'01. KE30'!$A:$A,'06. BC BH THEO CUSTOMER-USD'!N$4)/'06. BC BH THEO CUSTOMER-USD'!CT94/'02. Tỷ giá'!C$5,"-")</f>
        <v>1244.0370224497833</v>
      </c>
      <c r="O94" s="106">
        <f>IFERROR(SUMIFS('01. KE30'!$K:$K,'01. KE30'!$C:$C,'06. BC BH THEO CUSTOMER-USD'!$D94,'01. KE30'!$F:$F,'06. BC BH THEO CUSTOMER-USD'!$H94,'01. KE30'!$A:$A,'06. BC BH THEO CUSTOMER-USD'!O$4)/'06. BC BH THEO CUSTOMER-USD'!CU94/'02. Tỷ giá'!D$5,"-")</f>
        <v>1244.2997750281215</v>
      </c>
      <c r="P94" s="106" t="str">
        <f>IFERROR(SUMIFS('01. KE30'!$K:$K,'01. KE30'!$C:$C,'06. BC BH THEO CUSTOMER-USD'!$D94,'01. KE30'!$F:$F,'06. BC BH THEO CUSTOMER-USD'!$H94,'01. KE30'!$A:$A,'06. BC BH THEO CUSTOMER-USD'!P$4)/'06. BC BH THEO CUSTOMER-USD'!CV94/'02. Tỷ giá'!E$5,"-")</f>
        <v>-</v>
      </c>
      <c r="Q94" s="106">
        <f>IFERROR(SUMIFS('01. KE30'!$K:$K,'01. KE30'!$C:$C,'06. BC BH THEO CUSTOMER-USD'!$D94,'01. KE30'!$F:$F,'06. BC BH THEO CUSTOMER-USD'!$H94,'01. KE30'!$A:$A,'06. BC BH THEO CUSTOMER-USD'!Q$4)/'06. BC BH THEO CUSTOMER-USD'!CW94/'02. Tỷ giá'!F$5,"-")</f>
        <v>1299.2970997679815</v>
      </c>
      <c r="R94" s="106">
        <f>IFERROR(SUMIFS('01. KE30'!$K:$K,'01. KE30'!$C:$C,'06. BC BH THEO CUSTOMER-USD'!$D94,'01. KE30'!$F:$F,'06. BC BH THEO CUSTOMER-USD'!$H94,'01. KE30'!$A:$A,'06. BC BH THEO CUSTOMER-USD'!R$4)/'06. BC BH THEO CUSTOMER-USD'!CX94/'02. Tỷ giá'!G$5,"-")</f>
        <v>1283.4837962962963</v>
      </c>
      <c r="S94" s="106" t="str">
        <f>IFERROR(SUMIFS('01. KE30'!$K:$K,'01. KE30'!$C:$C,'06. BC BH THEO CUSTOMER-USD'!$D94,'01. KE30'!$F:$F,'06. BC BH THEO CUSTOMER-USD'!$H94,'01. KE30'!$A:$A,'06. BC BH THEO CUSTOMER-USD'!S$4)/'06. BC BH THEO CUSTOMER-USD'!CY94/'02. Tỷ giá'!H$5,"-")</f>
        <v>-</v>
      </c>
      <c r="T94" s="106" t="str">
        <f>IFERROR(SUMIFS('01. KE30'!$K:$K,'01. KE30'!$C:$C,'06. BC BH THEO CUSTOMER-USD'!$D94,'01. KE30'!$F:$F,'06. BC BH THEO CUSTOMER-USD'!$H94,'01. KE30'!$A:$A,'06. BC BH THEO CUSTOMER-USD'!T$4)/'06. BC BH THEO CUSTOMER-USD'!CZ94/'02. Tỷ giá'!I$5,"-")</f>
        <v>-</v>
      </c>
      <c r="U94" s="106" t="str">
        <f>IFERROR(SUMIFS('01. KE30'!$K:$K,'01. KE30'!$C:$C,'06. BC BH THEO CUSTOMER-USD'!$D94,'01. KE30'!$F:$F,'06. BC BH THEO CUSTOMER-USD'!$H94,'01. KE30'!$A:$A,'06. BC BH THEO CUSTOMER-USD'!U$4)/'06. BC BH THEO CUSTOMER-USD'!DA94/'02. Tỷ giá'!J$5,"-")</f>
        <v>-</v>
      </c>
      <c r="V94" s="106" t="str">
        <f>IFERROR(SUMIFS('01. KE30'!$K:$K,'01. KE30'!$C:$C,'06. BC BH THEO CUSTOMER-USD'!$D94,'01. KE30'!$F:$F,'06. BC BH THEO CUSTOMER-USD'!$H94,'01. KE30'!$A:$A,'06. BC BH THEO CUSTOMER-USD'!V$4)/'06. BC BH THEO CUSTOMER-USD'!DB94/'02. Tỷ giá'!K$5,"-")</f>
        <v>-</v>
      </c>
      <c r="W94" s="106" t="str">
        <f>IFERROR(SUMIFS('01. KE30'!$K:$K,'01. KE30'!$C:$C,'06. BC BH THEO CUSTOMER-USD'!$D94,'01. KE30'!$F:$F,'06. BC BH THEO CUSTOMER-USD'!$H94,'01. KE30'!$A:$A,'06. BC BH THEO CUSTOMER-USD'!W$4)/'06. BC BH THEO CUSTOMER-USD'!DC94/'02. Tỷ giá'!L$5,"-")</f>
        <v>-</v>
      </c>
      <c r="X94" s="106" t="str">
        <f>IFERROR(SUMIFS('01. KE30'!$K:$K,'01. KE30'!$C:$C,'06. BC BH THEO CUSTOMER-USD'!$D94,'01. KE30'!$F:$F,'06. BC BH THEO CUSTOMER-USD'!$H94,'01. KE30'!$A:$A,'06. BC BH THEO CUSTOMER-USD'!X$4)/'06. BC BH THEO CUSTOMER-USD'!DD94/'02. Tỷ giá'!M$5,"-")</f>
        <v>-</v>
      </c>
      <c r="Z94" s="92">
        <f t="shared" si="790"/>
        <v>1251.8234388968481</v>
      </c>
      <c r="AA94" s="147" t="str">
        <f>IFERROR(SUMIFS('01. KE30'!$O:$O,'01. KE30'!$C:$C,'06. BC BH THEO CUSTOMER-USD'!$D94,'01. KE30'!$F:$F,'06. BC BH THEO CUSTOMER-USD'!$H94,'01. KE30'!$A:$A,'06. BC BH THEO CUSTOMER-USD'!M$4)/'06. BC BH THEO CUSTOMER-USD'!CS94/'02. Tỷ giá'!B$5,"-")</f>
        <v>-</v>
      </c>
      <c r="AB94" s="147">
        <f>IFERROR(SUMIFS('01. KE30'!$O:$O,'01. KE30'!$C:$C,'06. BC BH THEO CUSTOMER-USD'!$D94,'01. KE30'!$F:$F,'06. BC BH THEO CUSTOMER-USD'!$H94,'01. KE30'!$A:$A,'06. BC BH THEO CUSTOMER-USD'!N$4)/'06. BC BH THEO CUSTOMER-USD'!CT94/'02. Tỷ giá'!C$5,"-")</f>
        <v>1227.0848169763806</v>
      </c>
      <c r="AC94" s="147">
        <f>IFERROR(SUMIFS('01. KE30'!$O:$O,'01. KE30'!$C:$C,'06. BC BH THEO CUSTOMER-USD'!$D94,'01. KE30'!$F:$F,'06. BC BH THEO CUSTOMER-USD'!$H94,'01. KE30'!$A:$A,'06. BC BH THEO CUSTOMER-USD'!O$4)/'06. BC BH THEO CUSTOMER-USD'!CU94/'02. Tỷ giá'!D$5,"-")</f>
        <v>1229.0600116555884</v>
      </c>
      <c r="AD94" s="147" t="str">
        <f>IFERROR(SUMIFS('01. KE30'!$O:$O,'01. KE30'!$C:$C,'06. BC BH THEO CUSTOMER-USD'!$D94,'01. KE30'!$F:$F,'06. BC BH THEO CUSTOMER-USD'!$H94,'01. KE30'!$A:$A,'06. BC BH THEO CUSTOMER-USD'!P$4)/'06. BC BH THEO CUSTOMER-USD'!CV94/'02. Tỷ giá'!E$5,"-")</f>
        <v>-</v>
      </c>
      <c r="AE94" s="147">
        <f>IFERROR(SUMIFS('01. KE30'!$O:$O,'01. KE30'!$C:$C,'06. BC BH THEO CUSTOMER-USD'!$D94,'01. KE30'!$F:$F,'06. BC BH THEO CUSTOMER-USD'!$H94,'01. KE30'!$A:$A,'06. BC BH THEO CUSTOMER-USD'!Q$4)/'06. BC BH THEO CUSTOMER-USD'!CW94/'02. Tỷ giá'!F$5,"-")</f>
        <v>1283.6606601103847</v>
      </c>
      <c r="AF94" s="147">
        <f>IFERROR(SUMIFS('01. KE30'!$O:$O,'01. KE30'!$C:$C,'06. BC BH THEO CUSTOMER-USD'!$D94,'01. KE30'!$F:$F,'06. BC BH THEO CUSTOMER-USD'!$H94,'01. KE30'!$A:$A,'06. BC BH THEO CUSTOMER-USD'!R$4)/'06. BC BH THEO CUSTOMER-USD'!CX94/'02. Tỷ giá'!G$5,"-")</f>
        <v>1267.4882668450377</v>
      </c>
      <c r="AG94" s="147" t="str">
        <f>IFERROR(SUMIFS('01. KE30'!$O:$O,'01. KE30'!$C:$C,'06. BC BH THEO CUSTOMER-USD'!$D94,'01. KE30'!$F:$F,'06. BC BH THEO CUSTOMER-USD'!$H94,'01. KE30'!$A:$A,'06. BC BH THEO CUSTOMER-USD'!S$4)/'06. BC BH THEO CUSTOMER-USD'!CY94/'02. Tỷ giá'!H$5,"-")</f>
        <v>-</v>
      </c>
      <c r="AH94" s="147" t="str">
        <f>IFERROR(SUMIFS('01. KE30'!$O:$O,'01. KE30'!$C:$C,'06. BC BH THEO CUSTOMER-USD'!$D94,'01. KE30'!$F:$F,'06. BC BH THEO CUSTOMER-USD'!$H94,'01. KE30'!$A:$A,'06. BC BH THEO CUSTOMER-USD'!T$4)/'06. BC BH THEO CUSTOMER-USD'!CZ94/'02. Tỷ giá'!I$5,"-")</f>
        <v>-</v>
      </c>
      <c r="AI94" s="147" t="str">
        <f>IFERROR(SUMIFS('01. KE30'!$O:$O,'01. KE30'!$C:$C,'06. BC BH THEO CUSTOMER-USD'!$D94,'01. KE30'!$F:$F,'06. BC BH THEO CUSTOMER-USD'!$H94,'01. KE30'!$A:$A,'06. BC BH THEO CUSTOMER-USD'!U$4)/'06. BC BH THEO CUSTOMER-USD'!DA94/'02. Tỷ giá'!J$5,"-")</f>
        <v>-</v>
      </c>
      <c r="AJ94" s="147" t="str">
        <f>IFERROR(SUMIFS('01. KE30'!$O:$O,'01. KE30'!$C:$C,'06. BC BH THEO CUSTOMER-USD'!$D94,'01. KE30'!$F:$F,'06. BC BH THEO CUSTOMER-USD'!$H94,'01. KE30'!$A:$A,'06. BC BH THEO CUSTOMER-USD'!V$4)/'06. BC BH THEO CUSTOMER-USD'!DB94/'02. Tỷ giá'!K$5,"-")</f>
        <v>-</v>
      </c>
      <c r="AK94" s="147" t="str">
        <f>IFERROR(SUMIFS('01. KE30'!$O:$O,'01. KE30'!$C:$C,'06. BC BH THEO CUSTOMER-USD'!$D94,'01. KE30'!$F:$F,'06. BC BH THEO CUSTOMER-USD'!$H94,'01. KE30'!$A:$A,'06. BC BH THEO CUSTOMER-USD'!W$4)/'06. BC BH THEO CUSTOMER-USD'!DC94/'02. Tỷ giá'!L$5,"-")</f>
        <v>-</v>
      </c>
      <c r="AL94" s="147" t="str">
        <f>IFERROR(SUMIFS('01. KE30'!$O:$O,'01. KE30'!$C:$C,'06. BC BH THEO CUSTOMER-USD'!$D94,'01. KE30'!$F:$F,'06. BC BH THEO CUSTOMER-USD'!$H94,'01. KE30'!$A:$A,'06. BC BH THEO CUSTOMER-USD'!X$4)/'06. BC BH THEO CUSTOMER-USD'!DD94/'02. Tỷ giá'!M$5,"-")</f>
        <v>-</v>
      </c>
      <c r="AN94" s="92">
        <f t="shared" si="791"/>
        <v>1266.6666666666667</v>
      </c>
      <c r="AO94" s="25">
        <v>1260</v>
      </c>
      <c r="AP94" s="25">
        <v>1260</v>
      </c>
      <c r="AQ94" s="25">
        <v>1260</v>
      </c>
      <c r="AR94" s="4">
        <f t="shared" si="773"/>
        <v>1280</v>
      </c>
      <c r="AS94" s="4">
        <v>1280</v>
      </c>
      <c r="AT94" s="4">
        <v>1280</v>
      </c>
      <c r="AU94" s="4">
        <v>1280</v>
      </c>
      <c r="AV94" s="4">
        <f t="shared" si="205"/>
        <v>1250</v>
      </c>
      <c r="AW94" s="25">
        <v>1250</v>
      </c>
      <c r="AX94" s="25"/>
      <c r="AY94" s="4"/>
      <c r="AZ94" s="4"/>
      <c r="BB94" s="95">
        <f t="shared" si="792"/>
        <v>-14.843227769818668</v>
      </c>
      <c r="BC94" s="95" t="str">
        <f t="shared" si="793"/>
        <v>-</v>
      </c>
      <c r="BD94" s="95">
        <f t="shared" si="794"/>
        <v>-32.91518302361942</v>
      </c>
      <c r="BE94" s="95">
        <f t="shared" si="795"/>
        <v>-30.939988344411631</v>
      </c>
      <c r="BF94" s="95" t="str">
        <f t="shared" si="796"/>
        <v>-</v>
      </c>
      <c r="BG94" s="95">
        <f t="shared" si="797"/>
        <v>3.660660110384697</v>
      </c>
      <c r="BH94" s="95">
        <f t="shared" si="798"/>
        <v>-12.511733154962258</v>
      </c>
      <c r="BI94" s="95" t="str">
        <f t="shared" si="799"/>
        <v>-</v>
      </c>
      <c r="BJ94" s="95" t="str">
        <f t="shared" si="800"/>
        <v>-</v>
      </c>
      <c r="BK94" s="95" t="str">
        <f t="shared" si="801"/>
        <v>-</v>
      </c>
      <c r="BL94" s="95" t="str">
        <f t="shared" si="802"/>
        <v>-</v>
      </c>
      <c r="BM94" s="95" t="str">
        <f t="shared" si="803"/>
        <v>-</v>
      </c>
      <c r="BN94" s="95" t="str">
        <f t="shared" si="804"/>
        <v>-</v>
      </c>
      <c r="BP94" s="143">
        <f t="shared" si="805"/>
        <v>-1.1718337713014738E-2</v>
      </c>
      <c r="BQ94" s="143" t="str">
        <f t="shared" si="806"/>
        <v>-</v>
      </c>
      <c r="BR94" s="143">
        <f t="shared" si="807"/>
        <v>-2.6123161129856683E-2</v>
      </c>
      <c r="BS94" s="143">
        <f t="shared" si="808"/>
        <v>-2.4555546305088598E-2</v>
      </c>
      <c r="BT94" s="143" t="str">
        <f t="shared" si="809"/>
        <v>-</v>
      </c>
      <c r="BU94" s="143">
        <f t="shared" si="810"/>
        <v>2.8598907112380445E-3</v>
      </c>
      <c r="BV94" s="143">
        <f t="shared" si="811"/>
        <v>-9.7747915273142631E-3</v>
      </c>
      <c r="BW94" s="143" t="str">
        <f t="shared" si="812"/>
        <v>-</v>
      </c>
      <c r="BX94" s="143" t="str">
        <f t="shared" si="813"/>
        <v>-</v>
      </c>
      <c r="BY94" s="143" t="str">
        <f t="shared" si="814"/>
        <v>-</v>
      </c>
      <c r="BZ94" s="143" t="str">
        <f t="shared" si="815"/>
        <v>-</v>
      </c>
      <c r="CA94" s="143" t="str">
        <f t="shared" si="816"/>
        <v>-</v>
      </c>
      <c r="CB94" s="143" t="str">
        <f t="shared" si="817"/>
        <v>-</v>
      </c>
      <c r="CD94" s="112">
        <f t="shared" si="529"/>
        <v>1005.5707896229578</v>
      </c>
      <c r="CE94" s="95" t="str">
        <f>IFERROR(SUMIFS('01. KE30'!$R:$R,'01. KE30'!$C:$C,'06. BC BH THEO CUSTOMER-USD'!$D94,'01. KE30'!$F:$F,'06. BC BH THEO CUSTOMER-USD'!$H94,'01. KE30'!$A:$A,'06. BC BH THEO CUSTOMER-USD'!CE$4)/CS94/'02. Tỷ giá'!B$5," -")</f>
        <v xml:space="preserve"> -</v>
      </c>
      <c r="CF94" s="95">
        <f>IFERROR(SUMIFS('01. KE30'!$R:$R,'01. KE30'!$C:$C,'06. BC BH THEO CUSTOMER-USD'!$D94,'01. KE30'!$F:$F,'06. BC BH THEO CUSTOMER-USD'!$H94,'01. KE30'!$A:$A,'06. BC BH THEO CUSTOMER-USD'!CF$4)/CT94/'02. Tỷ giá'!C$5," -")</f>
        <v>989.75531526370435</v>
      </c>
      <c r="CG94" s="95">
        <f>IFERROR(SUMIFS('01. KE30'!$R:$R,'01. KE30'!$C:$C,'06. BC BH THEO CUSTOMER-USD'!$D94,'01. KE30'!$F:$F,'06. BC BH THEO CUSTOMER-USD'!$H94,'01. KE30'!$A:$A,'06. BC BH THEO CUSTOMER-USD'!CG$4)/CU94/'02. Tỷ giá'!D$5," -")</f>
        <v>997.67758768790259</v>
      </c>
      <c r="CH94" s="95" t="str">
        <f>IFERROR(SUMIFS('01. KE30'!$R:$R,'01. KE30'!$C:$C,'06. BC BH THEO CUSTOMER-USD'!$D94,'01. KE30'!$F:$F,'06. BC BH THEO CUSTOMER-USD'!$H94,'01. KE30'!$A:$A,'06. BC BH THEO CUSTOMER-USD'!CH$4)/CV94/'02. Tỷ giá'!E$5," -")</f>
        <v xml:space="preserve"> -</v>
      </c>
      <c r="CI94" s="95">
        <f>IFERROR(SUMIFS('01. KE30'!$R:$R,'01. KE30'!$C:$C,'06. BC BH THEO CUSTOMER-USD'!$D94,'01. KE30'!$F:$F,'06. BC BH THEO CUSTOMER-USD'!$H94,'01. KE30'!$A:$A,'06. BC BH THEO CUSTOMER-USD'!CI$4)/CW94/'02. Tỷ giá'!F$5," -")</f>
        <v>996.76039337692475</v>
      </c>
      <c r="CJ94" s="95">
        <f>IFERROR(SUMIFS('01. KE30'!$R:$R,'01. KE30'!$C:$C,'06. BC BH THEO CUSTOMER-USD'!$D94,'01. KE30'!$F:$F,'06. BC BH THEO CUSTOMER-USD'!$H94,'01. KE30'!$A:$A,'06. BC BH THEO CUSTOMER-USD'!CJ$4)/CX94/'02. Tỷ giá'!G$5," -")</f>
        <v>1038.0898621632996</v>
      </c>
      <c r="CK94" s="95" t="str">
        <f>IFERROR(SUMIFS('01. KE30'!$R:$R,'01. KE30'!$C:$C,'06. BC BH THEO CUSTOMER-USD'!$D94,'01. KE30'!$F:$F,'06. BC BH THEO CUSTOMER-USD'!$H94,'01. KE30'!$A:$A,'06. BC BH THEO CUSTOMER-USD'!CK$4)/CY94/'02. Tỷ giá'!H$5," -")</f>
        <v xml:space="preserve"> -</v>
      </c>
      <c r="CL94" s="95" t="str">
        <f>IFERROR(SUMIFS('01. KE30'!$R:$R,'01. KE30'!$C:$C,'06. BC BH THEO CUSTOMER-USD'!$D94,'01. KE30'!$F:$F,'06. BC BH THEO CUSTOMER-USD'!$H94,'01. KE30'!$A:$A,'06. BC BH THEO CUSTOMER-USD'!CL$4)/CZ94/'02. Tỷ giá'!I$5," -")</f>
        <v xml:space="preserve"> -</v>
      </c>
      <c r="CM94" s="95" t="str">
        <f>IFERROR(SUMIFS('01. KE30'!$R:$R,'01. KE30'!$C:$C,'06. BC BH THEO CUSTOMER-USD'!$D94,'01. KE30'!$F:$F,'06. BC BH THEO CUSTOMER-USD'!$H94,'01. KE30'!$A:$A,'06. BC BH THEO CUSTOMER-USD'!CM$4)/DA94/'02. Tỷ giá'!J$5," -")</f>
        <v xml:space="preserve"> -</v>
      </c>
      <c r="CN94" s="95" t="str">
        <f>IFERROR(SUMIFS('01. KE30'!$R:$R,'01. KE30'!$C:$C,'06. BC BH THEO CUSTOMER-USD'!$D94,'01. KE30'!$F:$F,'06. BC BH THEO CUSTOMER-USD'!$H94,'01. KE30'!$A:$A,'06. BC BH THEO CUSTOMER-USD'!CN$4)/DB94/'02. Tỷ giá'!K$5," -")</f>
        <v xml:space="preserve"> -</v>
      </c>
      <c r="CO94" s="95" t="str">
        <f>IFERROR(SUMIFS('01. KE30'!$R:$R,'01. KE30'!$C:$C,'06. BC BH THEO CUSTOMER-USD'!$D94,'01. KE30'!$F:$F,'06. BC BH THEO CUSTOMER-USD'!$H94,'01. KE30'!$A:$A,'06. BC BH THEO CUSTOMER-USD'!CO$4)/DC94/'02. Tỷ giá'!L$5," -")</f>
        <v xml:space="preserve"> -</v>
      </c>
      <c r="CP94" s="95" t="str">
        <f>IFERROR(SUMIFS('01. KE30'!$R:$R,'01. KE30'!$C:$C,'06. BC BH THEO CUSTOMER-USD'!$D94,'01. KE30'!$F:$F,'06. BC BH THEO CUSTOMER-USD'!$H94,'01. KE30'!$A:$A,'06. BC BH THEO CUSTOMER-USD'!CP$4)/DD94/'02. Tỷ giá'!M$5," -")</f>
        <v xml:space="preserve"> -</v>
      </c>
      <c r="CR94" s="112">
        <f t="shared" si="818"/>
        <v>1694</v>
      </c>
      <c r="CS94" s="114">
        <f>SUMIFS('01. KE30'!$I:$I,'01. KE30'!$C:$C,'06. BC BH THEO CUSTOMER-USD'!$D94,'01. KE30'!$F:$F,'06. BC BH THEO CUSTOMER-USD'!$H94,'01. KE30'!$A:$A,'06. BC BH THEO CUSTOMER-USD'!CS$4)/1000</f>
        <v>0</v>
      </c>
      <c r="CT94" s="114">
        <f>SUMIFS('01. KE30'!$I:$I,'01. KE30'!$C:$C,'06. BC BH THEO CUSTOMER-USD'!$D94,'01. KE30'!$F:$F,'06. BC BH THEO CUSTOMER-USD'!$H94,'01. KE30'!$A:$A,'06. BC BH THEO CUSTOMER-USD'!CT$4)/1000</f>
        <v>330</v>
      </c>
      <c r="CU94" s="114">
        <f>SUMIFS('01. KE30'!$I:$I,'01. KE30'!$C:$C,'06. BC BH THEO CUSTOMER-USD'!$D94,'01. KE30'!$F:$F,'06. BC BH THEO CUSTOMER-USD'!$H94,'01. KE30'!$A:$A,'06. BC BH THEO CUSTOMER-USD'!CU$4)/1000</f>
        <v>770</v>
      </c>
      <c r="CV94" s="114">
        <f>SUMIFS('01. KE30'!$I:$I,'01. KE30'!$C:$C,'06. BC BH THEO CUSTOMER-USD'!$D94,'01. KE30'!$F:$F,'06. BC BH THEO CUSTOMER-USD'!$H94,'01. KE30'!$A:$A,'06. BC BH THEO CUSTOMER-USD'!CV$4)/1000</f>
        <v>0</v>
      </c>
      <c r="CW94" s="114">
        <f>SUMIFS('01. KE30'!$I:$I,'01. KE30'!$C:$C,'06. BC BH THEO CUSTOMER-USD'!$D94,'01. KE30'!$F:$F,'06. BC BH THEO CUSTOMER-USD'!$H94,'01. KE30'!$A:$A,'06. BC BH THEO CUSTOMER-USD'!CW$4)/1000</f>
        <v>440</v>
      </c>
      <c r="CX94" s="114">
        <f>SUMIFS('01. KE30'!$I:$I,'01. KE30'!$C:$C,'06. BC BH THEO CUSTOMER-USD'!$D94,'01. KE30'!$F:$F,'06. BC BH THEO CUSTOMER-USD'!$H94,'01. KE30'!$A:$A,'06. BC BH THEO CUSTOMER-USD'!CX$4)/1000</f>
        <v>154</v>
      </c>
      <c r="CY94" s="114">
        <f>SUMIFS('01. KE30'!$I:$I,'01. KE30'!$C:$C,'06. BC BH THEO CUSTOMER-USD'!$D94,'01. KE30'!$F:$F,'06. BC BH THEO CUSTOMER-USD'!$H94,'01. KE30'!$A:$A,'06. BC BH THEO CUSTOMER-USD'!CY$4)/1000</f>
        <v>0</v>
      </c>
      <c r="CZ94" s="114">
        <f>SUMIFS('01. KE30'!$I:$I,'01. KE30'!$C:$C,'06. BC BH THEO CUSTOMER-USD'!$D94,'01. KE30'!$F:$F,'06. BC BH THEO CUSTOMER-USD'!$H94,'01. KE30'!$A:$A,'06. BC BH THEO CUSTOMER-USD'!CZ$4)/1000</f>
        <v>0</v>
      </c>
      <c r="DA94" s="114">
        <f>SUMIFS('01. KE30'!$I:$I,'01. KE30'!$C:$C,'06. BC BH THEO CUSTOMER-USD'!$D94,'01. KE30'!$F:$F,'06. BC BH THEO CUSTOMER-USD'!$H94,'01. KE30'!$A:$A,'06. BC BH THEO CUSTOMER-USD'!DA$4)/1000</f>
        <v>0</v>
      </c>
      <c r="DB94" s="114">
        <f>SUMIFS('01. KE30'!$I:$I,'01. KE30'!$C:$C,'06. BC BH THEO CUSTOMER-USD'!$D94,'01. KE30'!$F:$F,'06. BC BH THEO CUSTOMER-USD'!$H94,'01. KE30'!$A:$A,'06. BC BH THEO CUSTOMER-USD'!DB$4)/1000</f>
        <v>0</v>
      </c>
      <c r="DC94" s="114">
        <f>SUMIFS('01. KE30'!$I:$I,'01. KE30'!$C:$C,'06. BC BH THEO CUSTOMER-USD'!$D94,'01. KE30'!$F:$F,'06. BC BH THEO CUSTOMER-USD'!$H94,'01. KE30'!$A:$A,'06. BC BH THEO CUSTOMER-USD'!DC$4)/1000</f>
        <v>0</v>
      </c>
      <c r="DD94" s="114">
        <f>SUMIFS('01. KE30'!$I:$I,'01. KE30'!$C:$C,'06. BC BH THEO CUSTOMER-USD'!$D94,'01. KE30'!$F:$F,'06. BC BH THEO CUSTOMER-USD'!$H94,'01. KE30'!$A:$A,'06. BC BH THEO CUSTOMER-USD'!DD$4)/1000</f>
        <v>0</v>
      </c>
      <c r="DF94" s="120">
        <f t="shared" si="819"/>
        <v>2137990.2727076234</v>
      </c>
      <c r="DG94" s="54" t="str">
        <f t="shared" si="820"/>
        <v>-</v>
      </c>
      <c r="DH94" s="54">
        <f t="shared" si="821"/>
        <v>410532.21740842849</v>
      </c>
      <c r="DI94" s="54">
        <f t="shared" si="822"/>
        <v>958110.82677165361</v>
      </c>
      <c r="DJ94" s="54" t="str">
        <f t="shared" si="823"/>
        <v>-</v>
      </c>
      <c r="DK94" s="54">
        <f t="shared" si="824"/>
        <v>571690.72389791184</v>
      </c>
      <c r="DL94" s="54">
        <f t="shared" si="825"/>
        <v>197656.50462962964</v>
      </c>
      <c r="DM94" s="54" t="str">
        <f t="shared" si="826"/>
        <v>-</v>
      </c>
      <c r="DN94" s="54" t="str">
        <f t="shared" si="827"/>
        <v>-</v>
      </c>
      <c r="DO94" s="54" t="str">
        <f t="shared" si="828"/>
        <v>-</v>
      </c>
      <c r="DP94" s="54" t="str">
        <f t="shared" si="829"/>
        <v>-</v>
      </c>
      <c r="DQ94" s="54" t="str">
        <f t="shared" si="830"/>
        <v>-</v>
      </c>
      <c r="DR94" s="54" t="str">
        <f t="shared" si="831"/>
        <v>-</v>
      </c>
      <c r="DT94" s="112">
        <f t="shared" si="832"/>
        <v>418046.67370401125</v>
      </c>
      <c r="DU94" s="114">
        <f>IFERROR(SUMIFS('01. KE30'!$X:$X,'01. KE30'!$C:$C,'06. BC BH THEO CUSTOMER-USD'!$D94,'01. KE30'!$F:$F,'06. BC BH THEO CUSTOMER-USD'!$H94,'01. KE30'!$A:$A,'06. BC BH THEO CUSTOMER-USD'!DU$4)-SUMIFS('01. KE30'!$AA:$AA,'01. KE30'!$C:$C,'06. BC BH THEO CUSTOMER-USD'!$D94,'01. KE30'!$F:$F,'06. BC BH THEO CUSTOMER-USD'!$H94,'01. KE30'!$A:$A,'06. BC BH THEO CUSTOMER-USD'!DU$4),"-")</f>
        <v>0</v>
      </c>
      <c r="DV94" s="114">
        <f>IFERROR(SUMIFS('01. KE30'!$X:$X,'01. KE30'!$C:$C,'06. BC BH THEO CUSTOMER-USD'!$D94,'01. KE30'!$F:$F,'06. BC BH THEO CUSTOMER-USD'!$H94,'01. KE30'!$A:$A,'06. BC BH THEO CUSTOMER-USD'!DV$4)-SUMIFS('01. KE30'!$AA:$AA,'01. KE30'!$C:$C,'06. BC BH THEO CUSTOMER-USD'!$D94,'01. KE30'!$F:$F,'06. BC BH THEO CUSTOMER-USD'!$H94,'01. KE30'!$A:$A,'06. BC BH THEO CUSTOMER-USD'!DV$4),"-")</f>
        <v>78318.735565183102</v>
      </c>
      <c r="DW94" s="114">
        <f>IFERROR(SUMIFS('01. KE30'!$X:$X,'01. KE30'!$C:$C,'06. BC BH THEO CUSTOMER-USD'!$D94,'01. KE30'!$F:$F,'06. BC BH THEO CUSTOMER-USD'!$H94,'01. KE30'!$A:$A,'06. BC BH THEO CUSTOMER-USD'!DW$4)-SUMIFS('01. KE30'!$AA:$AA,'01. KE30'!$C:$C,'06. BC BH THEO CUSTOMER-USD'!$D94,'01. KE30'!$F:$F,'06. BC BH THEO CUSTOMER-USD'!$H94,'01. KE30'!$A:$A,'06. BC BH THEO CUSTOMER-USD'!DW$4),"-")</f>
        <v>178164.46645511803</v>
      </c>
      <c r="DX94" s="114">
        <f>IFERROR(SUMIFS('01. KE30'!$X:$X,'01. KE30'!$C:$C,'06. BC BH THEO CUSTOMER-USD'!$D94,'01. KE30'!$F:$F,'06. BC BH THEO CUSTOMER-USD'!$H94,'01. KE30'!$A:$A,'06. BC BH THEO CUSTOMER-USD'!DX$4)-SUMIFS('01. KE30'!$AA:$AA,'01. KE30'!$C:$C,'06. BC BH THEO CUSTOMER-USD'!$D94,'01. KE30'!$F:$F,'06. BC BH THEO CUSTOMER-USD'!$H94,'01. KE30'!$A:$A,'06. BC BH THEO CUSTOMER-USD'!DX$4),"-")</f>
        <v>0</v>
      </c>
      <c r="DY94" s="114">
        <f>IFERROR(SUMIFS('01. KE30'!$X:$X,'01. KE30'!$C:$C,'06. BC BH THEO CUSTOMER-USD'!$D94,'01. KE30'!$F:$F,'06. BC BH THEO CUSTOMER-USD'!$H94,'01. KE30'!$A:$A,'06. BC BH THEO CUSTOMER-USD'!DY$4)-SUMIFS('01. KE30'!$AA:$AA,'01. KE30'!$C:$C,'06. BC BH THEO CUSTOMER-USD'!$D94,'01. KE30'!$F:$F,'06. BC BH THEO CUSTOMER-USD'!$H94,'01. KE30'!$A:$A,'06. BC BH THEO CUSTOMER-USD'!DY$4),"-")</f>
        <v>126236.11736272241</v>
      </c>
      <c r="DZ94" s="114">
        <f>IFERROR(SUMIFS('01. KE30'!$X:$X,'01. KE30'!$C:$C,'06. BC BH THEO CUSTOMER-USD'!$D94,'01. KE30'!$F:$F,'06. BC BH THEO CUSTOMER-USD'!$H94,'01. KE30'!$A:$A,'06. BC BH THEO CUSTOMER-USD'!DZ$4)-SUMIFS('01. KE30'!$AA:$AA,'01. KE30'!$C:$C,'06. BC BH THEO CUSTOMER-USD'!$D94,'01. KE30'!$F:$F,'06. BC BH THEO CUSTOMER-USD'!$H94,'01. KE30'!$A:$A,'06. BC BH THEO CUSTOMER-USD'!DZ$4),"-")</f>
        <v>35327.354320987681</v>
      </c>
      <c r="EA94" s="114">
        <f>IFERROR(SUMIFS('01. KE30'!$X:$X,'01. KE30'!$C:$C,'06. BC BH THEO CUSTOMER-USD'!$D94,'01. KE30'!$F:$F,'06. BC BH THEO CUSTOMER-USD'!$H94,'01. KE30'!$A:$A,'06. BC BH THEO CUSTOMER-USD'!EA$4)-SUMIFS('01. KE30'!$AA:$AA,'01. KE30'!$C:$C,'06. BC BH THEO CUSTOMER-USD'!$D94,'01. KE30'!$F:$F,'06. BC BH THEO CUSTOMER-USD'!$H94,'01. KE30'!$A:$A,'06. BC BH THEO CUSTOMER-USD'!EA$4),"-")</f>
        <v>0</v>
      </c>
      <c r="EB94" s="114">
        <f>IFERROR(SUMIFS('01. KE30'!$X:$X,'01. KE30'!$C:$C,'06. BC BH THEO CUSTOMER-USD'!$D94,'01. KE30'!$F:$F,'06. BC BH THEO CUSTOMER-USD'!$H94,'01. KE30'!$A:$A,'06. BC BH THEO CUSTOMER-USD'!EB$4)-SUMIFS('01. KE30'!$AA:$AA,'01. KE30'!$C:$C,'06. BC BH THEO CUSTOMER-USD'!$D94,'01. KE30'!$F:$F,'06. BC BH THEO CUSTOMER-USD'!$H94,'01. KE30'!$A:$A,'06. BC BH THEO CUSTOMER-USD'!EB$4),"-")</f>
        <v>0</v>
      </c>
      <c r="EC94" s="114">
        <f>IFERROR(SUMIFS('01. KE30'!$X:$X,'01. KE30'!$C:$C,'06. BC BH THEO CUSTOMER-USD'!$D94,'01. KE30'!$F:$F,'06. BC BH THEO CUSTOMER-USD'!$H94,'01. KE30'!$A:$A,'06. BC BH THEO CUSTOMER-USD'!EC$4)-SUMIFS('01. KE30'!$AA:$AA,'01. KE30'!$C:$C,'06. BC BH THEO CUSTOMER-USD'!$D94,'01. KE30'!$F:$F,'06. BC BH THEO CUSTOMER-USD'!$H94,'01. KE30'!$A:$A,'06. BC BH THEO CUSTOMER-USD'!EC$4),"-")</f>
        <v>0</v>
      </c>
      <c r="ED94" s="114">
        <f>IFERROR(SUMIFS('01. KE30'!$X:$X,'01. KE30'!$C:$C,'06. BC BH THEO CUSTOMER-USD'!$D94,'01. KE30'!$F:$F,'06. BC BH THEO CUSTOMER-USD'!$H94,'01. KE30'!$A:$A,'06. BC BH THEO CUSTOMER-USD'!ED$4)-SUMIFS('01. KE30'!$AA:$AA,'01. KE30'!$C:$C,'06. BC BH THEO CUSTOMER-USD'!$D94,'01. KE30'!$F:$F,'06. BC BH THEO CUSTOMER-USD'!$H94,'01. KE30'!$A:$A,'06. BC BH THEO CUSTOMER-USD'!ED$4),"-")</f>
        <v>0</v>
      </c>
      <c r="EE94" s="114">
        <f>IFERROR(SUMIFS('01. KE30'!$X:$X,'01. KE30'!$C:$C,'06. BC BH THEO CUSTOMER-USD'!$D94,'01. KE30'!$F:$F,'06. BC BH THEO CUSTOMER-USD'!$H94,'01. KE30'!$A:$A,'06. BC BH THEO CUSTOMER-USD'!EE$4)-SUMIFS('01. KE30'!$AA:$AA,'01. KE30'!$C:$C,'06. BC BH THEO CUSTOMER-USD'!$D94,'01. KE30'!$F:$F,'06. BC BH THEO CUSTOMER-USD'!$H94,'01. KE30'!$A:$A,'06. BC BH THEO CUSTOMER-USD'!EE$4),"-")</f>
        <v>0</v>
      </c>
      <c r="EF94" s="114">
        <f>IFERROR(SUMIFS('01. KE30'!$X:$X,'01. KE30'!$C:$C,'06. BC BH THEO CUSTOMER-USD'!$D94,'01. KE30'!$F:$F,'06. BC BH THEO CUSTOMER-USD'!$H94,'01. KE30'!$A:$A,'06. BC BH THEO CUSTOMER-USD'!EF$4)-SUMIFS('01. KE30'!$AA:$AA,'01. KE30'!$C:$C,'06. BC BH THEO CUSTOMER-USD'!$D94,'01. KE30'!$F:$F,'06. BC BH THEO CUSTOMER-USD'!$H94,'01. KE30'!$A:$A,'06. BC BH THEO CUSTOMER-USD'!EF$4),"-")</f>
        <v>0</v>
      </c>
      <c r="EH94" s="571">
        <f t="shared" si="531"/>
        <v>0.19553254242573459</v>
      </c>
      <c r="EI94" s="572" t="str">
        <f t="shared" si="532"/>
        <v>-</v>
      </c>
      <c r="EJ94" s="572">
        <f t="shared" si="533"/>
        <v>0.19077366463364726</v>
      </c>
      <c r="EK94" s="572">
        <f t="shared" si="534"/>
        <v>0.18595392252840071</v>
      </c>
      <c r="EL94" s="572" t="str">
        <f t="shared" si="535"/>
        <v>-</v>
      </c>
      <c r="EM94" s="572">
        <f t="shared" si="536"/>
        <v>0.22081190420935479</v>
      </c>
      <c r="EN94" s="572">
        <f t="shared" si="537"/>
        <v>0.17873104852878161</v>
      </c>
      <c r="EO94" s="572" t="str">
        <f t="shared" si="538"/>
        <v>-</v>
      </c>
      <c r="EP94" s="572" t="str">
        <f t="shared" si="539"/>
        <v>-</v>
      </c>
      <c r="EQ94" s="572" t="str">
        <f t="shared" si="540"/>
        <v>-</v>
      </c>
      <c r="ER94" s="572" t="str">
        <f t="shared" si="541"/>
        <v>-</v>
      </c>
      <c r="ES94" s="572" t="str">
        <f t="shared" si="542"/>
        <v>-</v>
      </c>
      <c r="ET94" s="572" t="str">
        <f t="shared" si="543"/>
        <v>-</v>
      </c>
    </row>
    <row r="95" spans="1:150" ht="15.5" hidden="1" outlineLevel="1" x14ac:dyDescent="0.35">
      <c r="A95" s="27">
        <f t="shared" si="653"/>
        <v>79</v>
      </c>
      <c r="B95" s="27" t="s">
        <v>283</v>
      </c>
      <c r="C95" s="442" t="s">
        <v>489</v>
      </c>
      <c r="D95" s="9" t="s">
        <v>364</v>
      </c>
      <c r="E95" s="12" t="s">
        <v>365</v>
      </c>
      <c r="F95" s="12" t="s">
        <v>253</v>
      </c>
      <c r="G95" s="12" t="str">
        <f>_xlfn.XLOOKUP(F95,'Quy đổi'!$G$5:$G$32,'Quy đổi'!$H$5:$H$32,0)</f>
        <v>Châu á</v>
      </c>
      <c r="H95" s="76" t="s">
        <v>100</v>
      </c>
      <c r="I95" s="28" t="s">
        <v>99</v>
      </c>
      <c r="J95" s="6" t="s">
        <v>26</v>
      </c>
      <c r="K95" s="11" t="s">
        <v>113</v>
      </c>
      <c r="L95" s="92">
        <f>IFERROR(AVERAGE(M95:X95),"-")</f>
        <v>1388.1825621404689</v>
      </c>
      <c r="M95" s="106">
        <f>IFERROR(SUMIFS('01. KE30'!$K:$K,'01. KE30'!$C:$C,'06. BC BH THEO CUSTOMER-USD'!$D95,'01. KE30'!$F:$F,'06. BC BH THEO CUSTOMER-USD'!$H95,'01. KE30'!$A:$A,'06. BC BH THEO CUSTOMER-USD'!M$4)/'06. BC BH THEO CUSTOMER-USD'!CS95/'02. Tỷ giá'!B$5,"-")</f>
        <v>1432.5906597082833</v>
      </c>
      <c r="N95" s="106" t="str">
        <f>IFERROR(SUMIFS('01. KE30'!$K:$K,'01. KE30'!$C:$C,'06. BC BH THEO CUSTOMER-USD'!$D95,'01. KE30'!$F:$F,'06. BC BH THEO CUSTOMER-USD'!$H95,'01. KE30'!$A:$A,'06. BC BH THEO CUSTOMER-USD'!N$4)/'06. BC BH THEO CUSTOMER-USD'!CT95/'02. Tỷ giá'!C$5,"-")</f>
        <v>-</v>
      </c>
      <c r="O95" s="106">
        <f>IFERROR(SUMIFS('01. KE30'!$K:$K,'01. KE30'!$C:$C,'06. BC BH THEO CUSTOMER-USD'!$D95,'01. KE30'!$F:$F,'06. BC BH THEO CUSTOMER-USD'!$H95,'01. KE30'!$A:$A,'06. BC BH THEO CUSTOMER-USD'!O$4)/'06. BC BH THEO CUSTOMER-USD'!CU95/'02. Tỷ giá'!D$5,"-")</f>
        <v>1425</v>
      </c>
      <c r="P95" s="106">
        <f>IFERROR(SUMIFS('01. KE30'!$K:$K,'01. KE30'!$C:$C,'06. BC BH THEO CUSTOMER-USD'!$D95,'01. KE30'!$F:$F,'06. BC BH THEO CUSTOMER-USD'!$H95,'01. KE30'!$A:$A,'06. BC BH THEO CUSTOMER-USD'!P$4)/'06. BC BH THEO CUSTOMER-USD'!CV95/'02. Tỷ giá'!E$5,"-")</f>
        <v>1306.9570267131244</v>
      </c>
      <c r="Q95" s="106" t="str">
        <f>IFERROR(SUMIFS('01. KE30'!$K:$K,'01. KE30'!$C:$C,'06. BC BH THEO CUSTOMER-USD'!$D95,'01. KE30'!$F:$F,'06. BC BH THEO CUSTOMER-USD'!$H95,'01. KE30'!$A:$A,'06. BC BH THEO CUSTOMER-USD'!Q$4)/'06. BC BH THEO CUSTOMER-USD'!CW95/'02. Tỷ giá'!F$5,"-")</f>
        <v>-</v>
      </c>
      <c r="R95" s="106" t="str">
        <f>IFERROR(SUMIFS('01. KE30'!$K:$K,'01. KE30'!$C:$C,'06. BC BH THEO CUSTOMER-USD'!$D95,'01. KE30'!$F:$F,'06. BC BH THEO CUSTOMER-USD'!$H95,'01. KE30'!$A:$A,'06. BC BH THEO CUSTOMER-USD'!R$4)/'06. BC BH THEO CUSTOMER-USD'!CX95/'02. Tỷ giá'!G$5,"-")</f>
        <v>-</v>
      </c>
      <c r="S95" s="106" t="str">
        <f>IFERROR(SUMIFS('01. KE30'!$K:$K,'01. KE30'!$C:$C,'06. BC BH THEO CUSTOMER-USD'!$D95,'01. KE30'!$F:$F,'06. BC BH THEO CUSTOMER-USD'!$H95,'01. KE30'!$A:$A,'06. BC BH THEO CUSTOMER-USD'!S$4)/'06. BC BH THEO CUSTOMER-USD'!CY95/'02. Tỷ giá'!H$5,"-")</f>
        <v>-</v>
      </c>
      <c r="T95" s="106" t="str">
        <f>IFERROR(SUMIFS('01. KE30'!$K:$K,'01. KE30'!$C:$C,'06. BC BH THEO CUSTOMER-USD'!$D95,'01. KE30'!$F:$F,'06. BC BH THEO CUSTOMER-USD'!$H95,'01. KE30'!$A:$A,'06. BC BH THEO CUSTOMER-USD'!T$4)/'06. BC BH THEO CUSTOMER-USD'!CZ95/'02. Tỷ giá'!I$5,"-")</f>
        <v>-</v>
      </c>
      <c r="U95" s="106" t="str">
        <f>IFERROR(SUMIFS('01. KE30'!$K:$K,'01. KE30'!$C:$C,'06. BC BH THEO CUSTOMER-USD'!$D95,'01. KE30'!$F:$F,'06. BC BH THEO CUSTOMER-USD'!$H95,'01. KE30'!$A:$A,'06. BC BH THEO CUSTOMER-USD'!U$4)/'06. BC BH THEO CUSTOMER-USD'!DA95/'02. Tỷ giá'!J$5,"-")</f>
        <v>-</v>
      </c>
      <c r="V95" s="106" t="str">
        <f>IFERROR(SUMIFS('01. KE30'!$K:$K,'01. KE30'!$C:$C,'06. BC BH THEO CUSTOMER-USD'!$D95,'01. KE30'!$F:$F,'06. BC BH THEO CUSTOMER-USD'!$H95,'01. KE30'!$A:$A,'06. BC BH THEO CUSTOMER-USD'!V$4)/'06. BC BH THEO CUSTOMER-USD'!DB95/'02. Tỷ giá'!K$5,"-")</f>
        <v>-</v>
      </c>
      <c r="W95" s="106" t="str">
        <f>IFERROR(SUMIFS('01. KE30'!$K:$K,'01. KE30'!$C:$C,'06. BC BH THEO CUSTOMER-USD'!$D95,'01. KE30'!$F:$F,'06. BC BH THEO CUSTOMER-USD'!$H95,'01. KE30'!$A:$A,'06. BC BH THEO CUSTOMER-USD'!W$4)/'06. BC BH THEO CUSTOMER-USD'!DC95/'02. Tỷ giá'!L$5,"-")</f>
        <v>-</v>
      </c>
      <c r="X95" s="106" t="str">
        <f>IFERROR(SUMIFS('01. KE30'!$K:$K,'01. KE30'!$C:$C,'06. BC BH THEO CUSTOMER-USD'!$D95,'01. KE30'!$F:$F,'06. BC BH THEO CUSTOMER-USD'!$H95,'01. KE30'!$A:$A,'06. BC BH THEO CUSTOMER-USD'!X$4)/'06. BC BH THEO CUSTOMER-USD'!DD95/'02. Tỷ giá'!M$5,"-")</f>
        <v>-</v>
      </c>
      <c r="Z95" s="92">
        <f>IFERROR(AVERAGE(AA95:AL95),"-")</f>
        <v>1285.0739579332867</v>
      </c>
      <c r="AA95" s="147">
        <f>IFERROR(SUMIFS('01. KE30'!$O:$O,'01. KE30'!$C:$C,'06. BC BH THEO CUSTOMER-USD'!$D95,'01. KE30'!$F:$F,'06. BC BH THEO CUSTOMER-USD'!$H95,'01. KE30'!$A:$A,'06. BC BH THEO CUSTOMER-USD'!M$4)/'06. BC BH THEO CUSTOMER-USD'!CS95/'02. Tỷ giá'!B$5,"-")</f>
        <v>1278.2248418549202</v>
      </c>
      <c r="AB95" s="147" t="str">
        <f>IFERROR(SUMIFS('01. KE30'!$O:$O,'01. KE30'!$C:$C,'06. BC BH THEO CUSTOMER-USD'!$D95,'01. KE30'!$F:$F,'06. BC BH THEO CUSTOMER-USD'!$H95,'01. KE30'!$A:$A,'06. BC BH THEO CUSTOMER-USD'!N$4)/'06. BC BH THEO CUSTOMER-USD'!CT95/'02. Tỷ giá'!C$5,"-")</f>
        <v>-</v>
      </c>
      <c r="AC95" s="147">
        <f>IFERROR(SUMIFS('01. KE30'!$O:$O,'01. KE30'!$C:$C,'06. BC BH THEO CUSTOMER-USD'!$D95,'01. KE30'!$F:$F,'06. BC BH THEO CUSTOMER-USD'!$H95,'01. KE30'!$A:$A,'06. BC BH THEO CUSTOMER-USD'!O$4)/'06. BC BH THEO CUSTOMER-USD'!CU95/'02. Tỷ giá'!D$5,"-")</f>
        <v>1287.534077487473</v>
      </c>
      <c r="AD95" s="147">
        <f>IFERROR(SUMIFS('01. KE30'!$O:$O,'01. KE30'!$C:$C,'06. BC BH THEO CUSTOMER-USD'!$D95,'01. KE30'!$F:$F,'06. BC BH THEO CUSTOMER-USD'!$H95,'01. KE30'!$A:$A,'06. BC BH THEO CUSTOMER-USD'!P$4)/'06. BC BH THEO CUSTOMER-USD'!CV95/'02. Tỷ giá'!E$5,"-")</f>
        <v>1289.4629544574666</v>
      </c>
      <c r="AE95" s="147" t="str">
        <f>IFERROR(SUMIFS('01. KE30'!$O:$O,'01. KE30'!$C:$C,'06. BC BH THEO CUSTOMER-USD'!$D95,'01. KE30'!$F:$F,'06. BC BH THEO CUSTOMER-USD'!$H95,'01. KE30'!$A:$A,'06. BC BH THEO CUSTOMER-USD'!Q$4)/'06. BC BH THEO CUSTOMER-USD'!CW95/'02. Tỷ giá'!F$5,"-")</f>
        <v>-</v>
      </c>
      <c r="AF95" s="147" t="str">
        <f>IFERROR(SUMIFS('01. KE30'!$O:$O,'01. KE30'!$C:$C,'06. BC BH THEO CUSTOMER-USD'!$D95,'01. KE30'!$F:$F,'06. BC BH THEO CUSTOMER-USD'!$H95,'01. KE30'!$A:$A,'06. BC BH THEO CUSTOMER-USD'!R$4)/'06. BC BH THEO CUSTOMER-USD'!CX95/'02. Tỷ giá'!G$5,"-")</f>
        <v>-</v>
      </c>
      <c r="AG95" s="147" t="str">
        <f>IFERROR(SUMIFS('01. KE30'!$O:$O,'01. KE30'!$C:$C,'06. BC BH THEO CUSTOMER-USD'!$D95,'01. KE30'!$F:$F,'06. BC BH THEO CUSTOMER-USD'!$H95,'01. KE30'!$A:$A,'06. BC BH THEO CUSTOMER-USD'!S$4)/'06. BC BH THEO CUSTOMER-USD'!CY95/'02. Tỷ giá'!H$5,"-")</f>
        <v>-</v>
      </c>
      <c r="AH95" s="147" t="str">
        <f>IFERROR(SUMIFS('01. KE30'!$O:$O,'01. KE30'!$C:$C,'06. BC BH THEO CUSTOMER-USD'!$D95,'01. KE30'!$F:$F,'06. BC BH THEO CUSTOMER-USD'!$H95,'01. KE30'!$A:$A,'06. BC BH THEO CUSTOMER-USD'!T$4)/'06. BC BH THEO CUSTOMER-USD'!CZ95/'02. Tỷ giá'!I$5,"-")</f>
        <v>-</v>
      </c>
      <c r="AI95" s="147" t="str">
        <f>IFERROR(SUMIFS('01. KE30'!$O:$O,'01. KE30'!$C:$C,'06. BC BH THEO CUSTOMER-USD'!$D95,'01. KE30'!$F:$F,'06. BC BH THEO CUSTOMER-USD'!$H95,'01. KE30'!$A:$A,'06. BC BH THEO CUSTOMER-USD'!U$4)/'06. BC BH THEO CUSTOMER-USD'!DA95/'02. Tỷ giá'!J$5,"-")</f>
        <v>-</v>
      </c>
      <c r="AJ95" s="147" t="str">
        <f>IFERROR(SUMIFS('01. KE30'!$O:$O,'01. KE30'!$C:$C,'06. BC BH THEO CUSTOMER-USD'!$D95,'01. KE30'!$F:$F,'06. BC BH THEO CUSTOMER-USD'!$H95,'01. KE30'!$A:$A,'06. BC BH THEO CUSTOMER-USD'!V$4)/'06. BC BH THEO CUSTOMER-USD'!DB95/'02. Tỷ giá'!K$5,"-")</f>
        <v>-</v>
      </c>
      <c r="AK95" s="147" t="str">
        <f>IFERROR(SUMIFS('01. KE30'!$O:$O,'01. KE30'!$C:$C,'06. BC BH THEO CUSTOMER-USD'!$D95,'01. KE30'!$F:$F,'06. BC BH THEO CUSTOMER-USD'!$H95,'01. KE30'!$A:$A,'06. BC BH THEO CUSTOMER-USD'!W$4)/'06. BC BH THEO CUSTOMER-USD'!DC95/'02. Tỷ giá'!L$5,"-")</f>
        <v>-</v>
      </c>
      <c r="AL95" s="147" t="str">
        <f>IFERROR(SUMIFS('01. KE30'!$O:$O,'01. KE30'!$C:$C,'06. BC BH THEO CUSTOMER-USD'!$D95,'01. KE30'!$F:$F,'06. BC BH THEO CUSTOMER-USD'!$H95,'01. KE30'!$A:$A,'06. BC BH THEO CUSTOMER-USD'!X$4)/'06. BC BH THEO CUSTOMER-USD'!DD95/'02. Tỷ giá'!M$5,"-")</f>
        <v>-</v>
      </c>
      <c r="AN95" s="92">
        <f>IFERROR(AVERAGE(AO95:AZ95),"-")</f>
        <v>1266.6666666666667</v>
      </c>
      <c r="AO95" s="25">
        <v>1260</v>
      </c>
      <c r="AP95" s="25">
        <v>1260</v>
      </c>
      <c r="AQ95" s="25">
        <v>1260</v>
      </c>
      <c r="AR95" s="4">
        <f t="shared" si="773"/>
        <v>1280</v>
      </c>
      <c r="AS95" s="4">
        <v>1280</v>
      </c>
      <c r="AT95" s="4">
        <v>1280</v>
      </c>
      <c r="AU95" s="4">
        <v>1280</v>
      </c>
      <c r="AV95" s="4">
        <f t="shared" si="205"/>
        <v>1250</v>
      </c>
      <c r="AW95" s="25">
        <v>1250</v>
      </c>
      <c r="AX95" s="25"/>
      <c r="AY95" s="4"/>
      <c r="AZ95" s="4"/>
      <c r="BB95" s="95">
        <f t="shared" ref="BB95:BN95" si="833">IF(L95&lt;&gt;"-",Z95-AN95,"-")</f>
        <v>18.40729126661995</v>
      </c>
      <c r="BC95" s="95">
        <f t="shared" si="833"/>
        <v>18.224841854920214</v>
      </c>
      <c r="BD95" s="95" t="str">
        <f t="shared" si="833"/>
        <v>-</v>
      </c>
      <c r="BE95" s="95">
        <f t="shared" si="833"/>
        <v>27.534077487473041</v>
      </c>
      <c r="BF95" s="95">
        <f t="shared" si="833"/>
        <v>9.4629544574665942</v>
      </c>
      <c r="BG95" s="95" t="str">
        <f t="shared" si="833"/>
        <v>-</v>
      </c>
      <c r="BH95" s="95" t="str">
        <f t="shared" si="833"/>
        <v>-</v>
      </c>
      <c r="BI95" s="95" t="str">
        <f t="shared" si="833"/>
        <v>-</v>
      </c>
      <c r="BJ95" s="95" t="str">
        <f t="shared" si="833"/>
        <v>-</v>
      </c>
      <c r="BK95" s="95" t="str">
        <f t="shared" si="833"/>
        <v>-</v>
      </c>
      <c r="BL95" s="95" t="str">
        <f t="shared" si="833"/>
        <v>-</v>
      </c>
      <c r="BM95" s="95" t="str">
        <f t="shared" si="833"/>
        <v>-</v>
      </c>
      <c r="BN95" s="95" t="str">
        <f t="shared" si="833"/>
        <v>-</v>
      </c>
      <c r="BP95" s="143">
        <f t="shared" ref="BP95:BZ95" si="834">IFERROR(IF(BB95&lt;&gt;"-",BB95/AN95,"-"),"-")</f>
        <v>1.4532072052594696E-2</v>
      </c>
      <c r="BQ95" s="143">
        <f t="shared" si="834"/>
        <v>1.446416020231763E-2</v>
      </c>
      <c r="BR95" s="143" t="str">
        <f t="shared" si="834"/>
        <v>-</v>
      </c>
      <c r="BS95" s="143">
        <f t="shared" si="834"/>
        <v>2.1852442450375431E-2</v>
      </c>
      <c r="BT95" s="143">
        <f t="shared" si="834"/>
        <v>7.3929331698957771E-3</v>
      </c>
      <c r="BU95" s="143" t="str">
        <f t="shared" si="834"/>
        <v>-</v>
      </c>
      <c r="BV95" s="143" t="str">
        <f t="shared" si="834"/>
        <v>-</v>
      </c>
      <c r="BW95" s="143" t="str">
        <f t="shared" si="834"/>
        <v>-</v>
      </c>
      <c r="BX95" s="143" t="str">
        <f t="shared" si="834"/>
        <v>-</v>
      </c>
      <c r="BY95" s="143" t="str">
        <f t="shared" si="834"/>
        <v>-</v>
      </c>
      <c r="BZ95" s="143" t="str">
        <f t="shared" si="834"/>
        <v>-</v>
      </c>
      <c r="CA95" s="143" t="str">
        <f t="shared" si="816"/>
        <v>-</v>
      </c>
      <c r="CB95" s="143" t="str">
        <f t="shared" si="817"/>
        <v>-</v>
      </c>
      <c r="CD95" s="112">
        <f t="shared" si="529"/>
        <v>1003.1601997910819</v>
      </c>
      <c r="CE95" s="95">
        <f>IFERROR(SUMIFS('01. KE30'!$R:$R,'01. KE30'!$C:$C,'06. BC BH THEO CUSTOMER-USD'!$D95,'01. KE30'!$F:$F,'06. BC BH THEO CUSTOMER-USD'!$H95,'01. KE30'!$A:$A,'06. BC BH THEO CUSTOMER-USD'!CE$4)/CS95/'02. Tỷ giá'!B$5," -")</f>
        <v>1038.2315919127038</v>
      </c>
      <c r="CF95" s="95" t="str">
        <f>IFERROR(SUMIFS('01. KE30'!$R:$R,'01. KE30'!$C:$C,'06. BC BH THEO CUSTOMER-USD'!$D95,'01. KE30'!$F:$F,'06. BC BH THEO CUSTOMER-USD'!$H95,'01. KE30'!$A:$A,'06. BC BH THEO CUSTOMER-USD'!CF$4)/CT95/'02. Tỷ giá'!C$5," -")</f>
        <v xml:space="preserve"> -</v>
      </c>
      <c r="CG95" s="95">
        <f>IFERROR(SUMIFS('01. KE30'!$R:$R,'01. KE30'!$C:$C,'06. BC BH THEO CUSTOMER-USD'!$D95,'01. KE30'!$F:$F,'06. BC BH THEO CUSTOMER-USD'!$H95,'01. KE30'!$A:$A,'06. BC BH THEO CUSTOMER-USD'!CG$4)/CU95/'02. Tỷ giá'!D$5," -")</f>
        <v>997.67758768790259</v>
      </c>
      <c r="CH95" s="95">
        <f>IFERROR(SUMIFS('01. KE30'!$R:$R,'01. KE30'!$C:$C,'06. BC BH THEO CUSTOMER-USD'!$D95,'01. KE30'!$F:$F,'06. BC BH THEO CUSTOMER-USD'!$H95,'01. KE30'!$A:$A,'06. BC BH THEO CUSTOMER-USD'!CH$4)/CV95/'02. Tỷ giá'!E$5," -")</f>
        <v>973.57141977263927</v>
      </c>
      <c r="CI95" s="95" t="str">
        <f>IFERROR(SUMIFS('01. KE30'!$R:$R,'01. KE30'!$C:$C,'06. BC BH THEO CUSTOMER-USD'!$D95,'01. KE30'!$F:$F,'06. BC BH THEO CUSTOMER-USD'!$H95,'01. KE30'!$A:$A,'06. BC BH THEO CUSTOMER-USD'!CI$4)/CW95/'02. Tỷ giá'!F$5," -")</f>
        <v xml:space="preserve"> -</v>
      </c>
      <c r="CJ95" s="95" t="str">
        <f>IFERROR(SUMIFS('01. KE30'!$R:$R,'01. KE30'!$C:$C,'06. BC BH THEO CUSTOMER-USD'!$D95,'01. KE30'!$F:$F,'06. BC BH THEO CUSTOMER-USD'!$H95,'01. KE30'!$A:$A,'06. BC BH THEO CUSTOMER-USD'!CJ$4)/CX95/'02. Tỷ giá'!G$5," -")</f>
        <v xml:space="preserve"> -</v>
      </c>
      <c r="CK95" s="95" t="str">
        <f>IFERROR(SUMIFS('01. KE30'!$R:$R,'01. KE30'!$C:$C,'06. BC BH THEO CUSTOMER-USD'!$D95,'01. KE30'!$F:$F,'06. BC BH THEO CUSTOMER-USD'!$H95,'01. KE30'!$A:$A,'06. BC BH THEO CUSTOMER-USD'!CK$4)/CY95/'02. Tỷ giá'!H$5," -")</f>
        <v xml:space="preserve"> -</v>
      </c>
      <c r="CL95" s="95" t="str">
        <f>IFERROR(SUMIFS('01. KE30'!$R:$R,'01. KE30'!$C:$C,'06. BC BH THEO CUSTOMER-USD'!$D95,'01. KE30'!$F:$F,'06. BC BH THEO CUSTOMER-USD'!$H95,'01. KE30'!$A:$A,'06. BC BH THEO CUSTOMER-USD'!CL$4)/CZ95/'02. Tỷ giá'!I$5," -")</f>
        <v xml:space="preserve"> -</v>
      </c>
      <c r="CM95" s="95" t="str">
        <f>IFERROR(SUMIFS('01. KE30'!$R:$R,'01. KE30'!$C:$C,'06. BC BH THEO CUSTOMER-USD'!$D95,'01. KE30'!$F:$F,'06. BC BH THEO CUSTOMER-USD'!$H95,'01. KE30'!$A:$A,'06. BC BH THEO CUSTOMER-USD'!CM$4)/DA95/'02. Tỷ giá'!J$5," -")</f>
        <v xml:space="preserve"> -</v>
      </c>
      <c r="CN95" s="95" t="str">
        <f>IFERROR(SUMIFS('01. KE30'!$R:$R,'01. KE30'!$C:$C,'06. BC BH THEO CUSTOMER-USD'!$D95,'01. KE30'!$F:$F,'06. BC BH THEO CUSTOMER-USD'!$H95,'01. KE30'!$A:$A,'06. BC BH THEO CUSTOMER-USD'!CN$4)/DB95/'02. Tỷ giá'!K$5," -")</f>
        <v xml:space="preserve"> -</v>
      </c>
      <c r="CO95" s="95" t="str">
        <f>IFERROR(SUMIFS('01. KE30'!$R:$R,'01. KE30'!$C:$C,'06. BC BH THEO CUSTOMER-USD'!$D95,'01. KE30'!$F:$F,'06. BC BH THEO CUSTOMER-USD'!$H95,'01. KE30'!$A:$A,'06. BC BH THEO CUSTOMER-USD'!CO$4)/DC95/'02. Tỷ giá'!L$5," -")</f>
        <v xml:space="preserve"> -</v>
      </c>
      <c r="CP95" s="95" t="str">
        <f>IFERROR(SUMIFS('01. KE30'!$R:$R,'01. KE30'!$C:$C,'06. BC BH THEO CUSTOMER-USD'!$D95,'01. KE30'!$F:$F,'06. BC BH THEO CUSTOMER-USD'!$H95,'01. KE30'!$A:$A,'06. BC BH THEO CUSTOMER-USD'!CP$4)/DD95/'02. Tỷ giá'!M$5," -")</f>
        <v xml:space="preserve"> -</v>
      </c>
      <c r="CR95" s="112">
        <f t="shared" si="818"/>
        <v>264</v>
      </c>
      <c r="CS95" s="114">
        <f>SUMIFS('01. KE30'!$I:$I,'01. KE30'!$C:$C,'06. BC BH THEO CUSTOMER-USD'!$D95,'01. KE30'!$F:$F,'06. BC BH THEO CUSTOMER-USD'!$H95,'01. KE30'!$A:$A,'06. BC BH THEO CUSTOMER-USD'!CS$4)/1000</f>
        <v>132</v>
      </c>
      <c r="CT95" s="114">
        <f>SUMIFS('01. KE30'!$I:$I,'01. KE30'!$C:$C,'06. BC BH THEO CUSTOMER-USD'!$D95,'01. KE30'!$F:$F,'06. BC BH THEO CUSTOMER-USD'!$H95,'01. KE30'!$A:$A,'06. BC BH THEO CUSTOMER-USD'!CT$4)/1000</f>
        <v>0</v>
      </c>
      <c r="CU95" s="114">
        <f>SUMIFS('01. KE30'!$I:$I,'01. KE30'!$C:$C,'06. BC BH THEO CUSTOMER-USD'!$D95,'01. KE30'!$F:$F,'06. BC BH THEO CUSTOMER-USD'!$H95,'01. KE30'!$A:$A,'06. BC BH THEO CUSTOMER-USD'!CU$4)/1000</f>
        <v>44</v>
      </c>
      <c r="CV95" s="725">
        <f>SUMIFS('01. KE30'!$I:$I,'01. KE30'!$C:$C,'06. BC BH THEO CUSTOMER-USD'!$D95,'01. KE30'!$F:$F,'06. BC BH THEO CUSTOMER-USD'!$H95,'01. KE30'!$A:$A,'06. BC BH THEO CUSTOMER-USD'!CV$4)/1000</f>
        <v>88</v>
      </c>
      <c r="CW95" s="114">
        <f>SUMIFS('01. KE30'!$I:$I,'01. KE30'!$C:$C,'06. BC BH THEO CUSTOMER-USD'!$D95,'01. KE30'!$F:$F,'06. BC BH THEO CUSTOMER-USD'!$H95,'01. KE30'!$A:$A,'06. BC BH THEO CUSTOMER-USD'!CW$4)/1000</f>
        <v>0</v>
      </c>
      <c r="CX95" s="114">
        <f>SUMIFS('01. KE30'!$I:$I,'01. KE30'!$C:$C,'06. BC BH THEO CUSTOMER-USD'!$D95,'01. KE30'!$F:$F,'06. BC BH THEO CUSTOMER-USD'!$H95,'01. KE30'!$A:$A,'06. BC BH THEO CUSTOMER-USD'!CX$4)/1000</f>
        <v>0</v>
      </c>
      <c r="CY95" s="114">
        <f>SUMIFS('01. KE30'!$I:$I,'01. KE30'!$C:$C,'06. BC BH THEO CUSTOMER-USD'!$D95,'01. KE30'!$F:$F,'06. BC BH THEO CUSTOMER-USD'!$H95,'01. KE30'!$A:$A,'06. BC BH THEO CUSTOMER-USD'!CY$4)/1000</f>
        <v>0</v>
      </c>
      <c r="CZ95" s="114">
        <f>SUMIFS('01. KE30'!$I:$I,'01. KE30'!$C:$C,'06. BC BH THEO CUSTOMER-USD'!$D95,'01. KE30'!$F:$F,'06. BC BH THEO CUSTOMER-USD'!$H95,'01. KE30'!$A:$A,'06. BC BH THEO CUSTOMER-USD'!CZ$4)/1000</f>
        <v>0</v>
      </c>
      <c r="DA95" s="114">
        <f>SUMIFS('01. KE30'!$I:$I,'01. KE30'!$C:$C,'06. BC BH THEO CUSTOMER-USD'!$D95,'01. KE30'!$F:$F,'06. BC BH THEO CUSTOMER-USD'!$H95,'01. KE30'!$A:$A,'06. BC BH THEO CUSTOMER-USD'!DA$4)/1000</f>
        <v>0</v>
      </c>
      <c r="DB95" s="114">
        <f>SUMIFS('01. KE30'!$I:$I,'01. KE30'!$C:$C,'06. BC BH THEO CUSTOMER-USD'!$D95,'01. KE30'!$F:$F,'06. BC BH THEO CUSTOMER-USD'!$H95,'01. KE30'!$A:$A,'06. BC BH THEO CUSTOMER-USD'!DB$4)/1000</f>
        <v>0</v>
      </c>
      <c r="DC95" s="114">
        <f>SUMIFS('01. KE30'!$I:$I,'01. KE30'!$C:$C,'06. BC BH THEO CUSTOMER-USD'!$D95,'01. KE30'!$F:$F,'06. BC BH THEO CUSTOMER-USD'!$H95,'01. KE30'!$A:$A,'06. BC BH THEO CUSTOMER-USD'!DC$4)/1000</f>
        <v>0</v>
      </c>
      <c r="DD95" s="114">
        <f>SUMIFS('01. KE30'!$I:$I,'01. KE30'!$C:$C,'06. BC BH THEO CUSTOMER-USD'!$D95,'01. KE30'!$F:$F,'06. BC BH THEO CUSTOMER-USD'!$H95,'01. KE30'!$A:$A,'06. BC BH THEO CUSTOMER-USD'!DD$4)/1000</f>
        <v>0</v>
      </c>
      <c r="DF95" s="120">
        <f t="shared" si="819"/>
        <v>366814.18543224834</v>
      </c>
      <c r="DG95" s="54">
        <f t="shared" si="820"/>
        <v>189101.96708149341</v>
      </c>
      <c r="DH95" s="54" t="str">
        <f t="shared" si="821"/>
        <v>-</v>
      </c>
      <c r="DI95" s="54">
        <f t="shared" si="822"/>
        <v>62700</v>
      </c>
      <c r="DJ95" s="54">
        <f t="shared" si="823"/>
        <v>115012.21835075495</v>
      </c>
      <c r="DK95" s="54" t="str">
        <f t="shared" si="824"/>
        <v>-</v>
      </c>
      <c r="DL95" s="54" t="str">
        <f t="shared" si="825"/>
        <v>-</v>
      </c>
      <c r="DM95" s="54" t="str">
        <f t="shared" si="826"/>
        <v>-</v>
      </c>
      <c r="DN95" s="54" t="str">
        <f t="shared" si="827"/>
        <v>-</v>
      </c>
      <c r="DO95" s="54" t="str">
        <f t="shared" si="828"/>
        <v>-</v>
      </c>
      <c r="DP95" s="54" t="str">
        <f t="shared" si="829"/>
        <v>-</v>
      </c>
      <c r="DQ95" s="54" t="str">
        <f t="shared" si="830"/>
        <v>-</v>
      </c>
      <c r="DR95" s="54" t="str">
        <f t="shared" si="831"/>
        <v>-</v>
      </c>
      <c r="DT95" s="112">
        <f t="shared" si="832"/>
        <v>72231.249595818459</v>
      </c>
      <c r="DU95" s="114">
        <f>IFERROR(SUMIFS('01. KE30'!$X:$X,'01. KE30'!$C:$C,'06. BC BH THEO CUSTOMER-USD'!$D95,'01. KE30'!$F:$F,'06. BC BH THEO CUSTOMER-USD'!$H95,'01. KE30'!$A:$A,'06. BC BH THEO CUSTOMER-USD'!DU$4)-SUMIFS('01. KE30'!$AA:$AA,'01. KE30'!$C:$C,'06. BC BH THEO CUSTOMER-USD'!$D95,'01. KE30'!$F:$F,'06. BC BH THEO CUSTOMER-USD'!$H95,'01. KE30'!$A:$A,'06. BC BH THEO CUSTOMER-USD'!DU$4),"-")</f>
        <v>31679.108992372552</v>
      </c>
      <c r="DV95" s="114">
        <f>IFERROR(SUMIFS('01. KE30'!$X:$X,'01. KE30'!$C:$C,'06. BC BH THEO CUSTOMER-USD'!$D95,'01. KE30'!$F:$F,'06. BC BH THEO CUSTOMER-USD'!$H95,'01. KE30'!$A:$A,'06. BC BH THEO CUSTOMER-USD'!DV$4)-SUMIFS('01. KE30'!$AA:$AA,'01. KE30'!$C:$C,'06. BC BH THEO CUSTOMER-USD'!$D95,'01. KE30'!$F:$F,'06. BC BH THEO CUSTOMER-USD'!$H95,'01. KE30'!$A:$A,'06. BC BH THEO CUSTOMER-USD'!DV$4),"-")</f>
        <v>0</v>
      </c>
      <c r="DW95" s="114">
        <f>IFERROR(SUMIFS('01. KE30'!$X:$X,'01. KE30'!$C:$C,'06. BC BH THEO CUSTOMER-USD'!$D95,'01. KE30'!$F:$F,'06. BC BH THEO CUSTOMER-USD'!$H95,'01. KE30'!$A:$A,'06. BC BH THEO CUSTOMER-USD'!DW$4)-SUMIFS('01. KE30'!$AA:$AA,'01. KE30'!$C:$C,'06. BC BH THEO CUSTOMER-USD'!$D95,'01. KE30'!$F:$F,'06. BC BH THEO CUSTOMER-USD'!$H95,'01. KE30'!$A:$A,'06. BC BH THEO CUSTOMER-USD'!DW$4),"-")</f>
        <v>12753.685551181108</v>
      </c>
      <c r="DX95" s="114">
        <f>IFERROR(SUMIFS('01. KE30'!$X:$X,'01. KE30'!$C:$C,'06. BC BH THEO CUSTOMER-USD'!$D95,'01. KE30'!$F:$F,'06. BC BH THEO CUSTOMER-USD'!$H95,'01. KE30'!$A:$A,'06. BC BH THEO CUSTOMER-USD'!DX$4)-SUMIFS('01. KE30'!$AA:$AA,'01. KE30'!$C:$C,'06. BC BH THEO CUSTOMER-USD'!$D95,'01. KE30'!$F:$F,'06. BC BH THEO CUSTOMER-USD'!$H95,'01. KE30'!$A:$A,'06. BC BH THEO CUSTOMER-USD'!DX$4),"-")</f>
        <v>27798.455052264806</v>
      </c>
      <c r="DY95" s="114">
        <f>IFERROR(SUMIFS('01. KE30'!$X:$X,'01. KE30'!$C:$C,'06. BC BH THEO CUSTOMER-USD'!$D95,'01. KE30'!$F:$F,'06. BC BH THEO CUSTOMER-USD'!$H95,'01. KE30'!$A:$A,'06. BC BH THEO CUSTOMER-USD'!DY$4)-SUMIFS('01. KE30'!$AA:$AA,'01. KE30'!$C:$C,'06. BC BH THEO CUSTOMER-USD'!$D95,'01. KE30'!$F:$F,'06. BC BH THEO CUSTOMER-USD'!$H95,'01. KE30'!$A:$A,'06. BC BH THEO CUSTOMER-USD'!DY$4),"-")</f>
        <v>0</v>
      </c>
      <c r="DZ95" s="114">
        <f>IFERROR(SUMIFS('01. KE30'!$X:$X,'01. KE30'!$C:$C,'06. BC BH THEO CUSTOMER-USD'!$D95,'01. KE30'!$F:$F,'06. BC BH THEO CUSTOMER-USD'!$H95,'01. KE30'!$A:$A,'06. BC BH THEO CUSTOMER-USD'!DZ$4)-SUMIFS('01. KE30'!$AA:$AA,'01. KE30'!$C:$C,'06. BC BH THEO CUSTOMER-USD'!$D95,'01. KE30'!$F:$F,'06. BC BH THEO CUSTOMER-USD'!$H95,'01. KE30'!$A:$A,'06. BC BH THEO CUSTOMER-USD'!DZ$4),"-")</f>
        <v>0</v>
      </c>
      <c r="EA95" s="114">
        <f>IFERROR(SUMIFS('01. KE30'!$X:$X,'01. KE30'!$C:$C,'06. BC BH THEO CUSTOMER-USD'!$D95,'01. KE30'!$F:$F,'06. BC BH THEO CUSTOMER-USD'!$H95,'01. KE30'!$A:$A,'06. BC BH THEO CUSTOMER-USD'!EA$4)-SUMIFS('01. KE30'!$AA:$AA,'01. KE30'!$C:$C,'06. BC BH THEO CUSTOMER-USD'!$D95,'01. KE30'!$F:$F,'06. BC BH THEO CUSTOMER-USD'!$H95,'01. KE30'!$A:$A,'06. BC BH THEO CUSTOMER-USD'!EA$4),"-")</f>
        <v>0</v>
      </c>
      <c r="EB95" s="114">
        <f>IFERROR(SUMIFS('01. KE30'!$X:$X,'01. KE30'!$C:$C,'06. BC BH THEO CUSTOMER-USD'!$D95,'01. KE30'!$F:$F,'06. BC BH THEO CUSTOMER-USD'!$H95,'01. KE30'!$A:$A,'06. BC BH THEO CUSTOMER-USD'!EB$4)-SUMIFS('01. KE30'!$AA:$AA,'01. KE30'!$C:$C,'06. BC BH THEO CUSTOMER-USD'!$D95,'01. KE30'!$F:$F,'06. BC BH THEO CUSTOMER-USD'!$H95,'01. KE30'!$A:$A,'06. BC BH THEO CUSTOMER-USD'!EB$4),"-")</f>
        <v>0</v>
      </c>
      <c r="EC95" s="114">
        <f>IFERROR(SUMIFS('01. KE30'!$X:$X,'01. KE30'!$C:$C,'06. BC BH THEO CUSTOMER-USD'!$D95,'01. KE30'!$F:$F,'06. BC BH THEO CUSTOMER-USD'!$H95,'01. KE30'!$A:$A,'06. BC BH THEO CUSTOMER-USD'!EC$4)-SUMIFS('01. KE30'!$AA:$AA,'01. KE30'!$C:$C,'06. BC BH THEO CUSTOMER-USD'!$D95,'01. KE30'!$F:$F,'06. BC BH THEO CUSTOMER-USD'!$H95,'01. KE30'!$A:$A,'06. BC BH THEO CUSTOMER-USD'!EC$4),"-")</f>
        <v>0</v>
      </c>
      <c r="ED95" s="114">
        <f>IFERROR(SUMIFS('01. KE30'!$X:$X,'01. KE30'!$C:$C,'06. BC BH THEO CUSTOMER-USD'!$D95,'01. KE30'!$F:$F,'06. BC BH THEO CUSTOMER-USD'!$H95,'01. KE30'!$A:$A,'06. BC BH THEO CUSTOMER-USD'!ED$4)-SUMIFS('01. KE30'!$AA:$AA,'01. KE30'!$C:$C,'06. BC BH THEO CUSTOMER-USD'!$D95,'01. KE30'!$F:$F,'06. BC BH THEO CUSTOMER-USD'!$H95,'01. KE30'!$A:$A,'06. BC BH THEO CUSTOMER-USD'!ED$4),"-")</f>
        <v>0</v>
      </c>
      <c r="EE95" s="114">
        <f>IFERROR(SUMIFS('01. KE30'!$X:$X,'01. KE30'!$C:$C,'06. BC BH THEO CUSTOMER-USD'!$D95,'01. KE30'!$F:$F,'06. BC BH THEO CUSTOMER-USD'!$H95,'01. KE30'!$A:$A,'06. BC BH THEO CUSTOMER-USD'!EE$4)-SUMIFS('01. KE30'!$AA:$AA,'01. KE30'!$C:$C,'06. BC BH THEO CUSTOMER-USD'!$D95,'01. KE30'!$F:$F,'06. BC BH THEO CUSTOMER-USD'!$H95,'01. KE30'!$A:$A,'06. BC BH THEO CUSTOMER-USD'!EE$4),"-")</f>
        <v>0</v>
      </c>
      <c r="EF95" s="114">
        <f>IFERROR(SUMIFS('01. KE30'!$X:$X,'01. KE30'!$C:$C,'06. BC BH THEO CUSTOMER-USD'!$D95,'01. KE30'!$F:$F,'06. BC BH THEO CUSTOMER-USD'!$H95,'01. KE30'!$A:$A,'06. BC BH THEO CUSTOMER-USD'!EF$4)-SUMIFS('01. KE30'!$AA:$AA,'01. KE30'!$C:$C,'06. BC BH THEO CUSTOMER-USD'!$D95,'01. KE30'!$F:$F,'06. BC BH THEO CUSTOMER-USD'!$H95,'01. KE30'!$A:$A,'06. BC BH THEO CUSTOMER-USD'!EF$4),"-")</f>
        <v>0</v>
      </c>
      <c r="EH95" s="571">
        <f t="shared" si="531"/>
        <v>0.19691509342993985</v>
      </c>
      <c r="EI95" s="572">
        <f t="shared" si="532"/>
        <v>0.16752395271869622</v>
      </c>
      <c r="EJ95" s="572" t="str">
        <f t="shared" si="533"/>
        <v>-</v>
      </c>
      <c r="EK95" s="572">
        <f t="shared" si="534"/>
        <v>0.20340806301724254</v>
      </c>
      <c r="EL95" s="572">
        <f t="shared" si="535"/>
        <v>0.2417000163190256</v>
      </c>
      <c r="EM95" s="572" t="str">
        <f t="shared" si="536"/>
        <v>-</v>
      </c>
      <c r="EN95" s="572" t="str">
        <f t="shared" si="537"/>
        <v>-</v>
      </c>
      <c r="EO95" s="572" t="str">
        <f t="shared" si="538"/>
        <v>-</v>
      </c>
      <c r="EP95" s="572" t="str">
        <f t="shared" si="539"/>
        <v>-</v>
      </c>
      <c r="EQ95" s="572" t="str">
        <f t="shared" si="540"/>
        <v>-</v>
      </c>
      <c r="ER95" s="572" t="str">
        <f t="shared" si="541"/>
        <v>-</v>
      </c>
      <c r="ES95" s="572" t="str">
        <f t="shared" si="542"/>
        <v>-</v>
      </c>
      <c r="ET95" s="572" t="str">
        <f t="shared" si="543"/>
        <v>-</v>
      </c>
    </row>
    <row r="96" spans="1:150" ht="15.5" hidden="1" outlineLevel="1" x14ac:dyDescent="0.35">
      <c r="A96" s="27">
        <f t="shared" si="653"/>
        <v>80</v>
      </c>
      <c r="B96" s="27" t="s">
        <v>283</v>
      </c>
      <c r="C96" s="442" t="s">
        <v>489</v>
      </c>
      <c r="D96" s="9" t="s">
        <v>631</v>
      </c>
      <c r="E96" s="12" t="s">
        <v>632</v>
      </c>
      <c r="F96" s="12" t="s">
        <v>250</v>
      </c>
      <c r="G96" s="12" t="str">
        <f>_xlfn.XLOOKUP(F96,'Quy đổi'!$G$5:$G$32,'Quy đổi'!$H$5:$H$32,0)</f>
        <v>Châu Âu</v>
      </c>
      <c r="H96" s="76" t="s">
        <v>127</v>
      </c>
      <c r="I96" s="28" t="s">
        <v>114</v>
      </c>
      <c r="J96" s="6" t="s">
        <v>26</v>
      </c>
      <c r="K96" s="11" t="s">
        <v>113</v>
      </c>
      <c r="L96" s="92">
        <f t="shared" ref="L96:L113" si="835">IFERROR(AVERAGE(M96:X96),"-")</f>
        <v>1343.1653543307086</v>
      </c>
      <c r="M96" s="106" t="str">
        <f>IFERROR(SUMIFS('01. KE30'!$K:$K,'01. KE30'!$C:$C,'06. BC BH THEO CUSTOMER-USD'!$D96,'01. KE30'!$F:$F,'06. BC BH THEO CUSTOMER-USD'!$H96,'01. KE30'!$A:$A,'06. BC BH THEO CUSTOMER-USD'!M$4)/'06. BC BH THEO CUSTOMER-USD'!CS96/'02. Tỷ giá'!B$5,"-")</f>
        <v>-</v>
      </c>
      <c r="N96" s="106" t="str">
        <f>IFERROR(SUMIFS('01. KE30'!$K:$K,'01. KE30'!$C:$C,'06. BC BH THEO CUSTOMER-USD'!$D96,'01. KE30'!$F:$F,'06. BC BH THEO CUSTOMER-USD'!$H96,'01. KE30'!$A:$A,'06. BC BH THEO CUSTOMER-USD'!N$4)/'06. BC BH THEO CUSTOMER-USD'!CT96/'02. Tỷ giá'!C$5,"-")</f>
        <v>-</v>
      </c>
      <c r="O96" s="106">
        <f>IFERROR(SUMIFS('01. KE30'!$K:$K,'01. KE30'!$C:$C,'06. BC BH THEO CUSTOMER-USD'!$D96,'01. KE30'!$F:$F,'06. BC BH THEO CUSTOMER-USD'!$H96,'01. KE30'!$A:$A,'06. BC BH THEO CUSTOMER-USD'!O$4)/'06. BC BH THEO CUSTOMER-USD'!CU96/'02. Tỷ giá'!D$5,"-")</f>
        <v>1343.1653543307086</v>
      </c>
      <c r="P96" s="106" t="str">
        <f>IFERROR(SUMIFS('01. KE30'!$K:$K,'01. KE30'!$C:$C,'06. BC BH THEO CUSTOMER-USD'!$D96,'01. KE30'!$F:$F,'06. BC BH THEO CUSTOMER-USD'!$H96,'01. KE30'!$A:$A,'06. BC BH THEO CUSTOMER-USD'!P$4)/'06. BC BH THEO CUSTOMER-USD'!CV96/'02. Tỷ giá'!E$5,"-")</f>
        <v>-</v>
      </c>
      <c r="Q96" s="106" t="str">
        <f>IFERROR(SUMIFS('01. KE30'!$K:$K,'01. KE30'!$C:$C,'06. BC BH THEO CUSTOMER-USD'!$D96,'01. KE30'!$F:$F,'06. BC BH THEO CUSTOMER-USD'!$H96,'01. KE30'!$A:$A,'06. BC BH THEO CUSTOMER-USD'!Q$4)/'06. BC BH THEO CUSTOMER-USD'!CW96/'02. Tỷ giá'!F$5,"-")</f>
        <v>-</v>
      </c>
      <c r="R96" s="106" t="str">
        <f>IFERROR(SUMIFS('01. KE30'!$K:$K,'01. KE30'!$C:$C,'06. BC BH THEO CUSTOMER-USD'!$D96,'01. KE30'!$F:$F,'06. BC BH THEO CUSTOMER-USD'!$H96,'01. KE30'!$A:$A,'06. BC BH THEO CUSTOMER-USD'!R$4)/'06. BC BH THEO CUSTOMER-USD'!CX96/'02. Tỷ giá'!G$5,"-")</f>
        <v>-</v>
      </c>
      <c r="S96" s="106" t="str">
        <f>IFERROR(SUMIFS('01. KE30'!$K:$K,'01. KE30'!$C:$C,'06. BC BH THEO CUSTOMER-USD'!$D96,'01. KE30'!$F:$F,'06. BC BH THEO CUSTOMER-USD'!$H96,'01. KE30'!$A:$A,'06. BC BH THEO CUSTOMER-USD'!S$4)/'06. BC BH THEO CUSTOMER-USD'!CY96/'02. Tỷ giá'!H$5,"-")</f>
        <v>-</v>
      </c>
      <c r="T96" s="106" t="str">
        <f>IFERROR(SUMIFS('01. KE30'!$K:$K,'01. KE30'!$C:$C,'06. BC BH THEO CUSTOMER-USD'!$D96,'01. KE30'!$F:$F,'06. BC BH THEO CUSTOMER-USD'!$H96,'01. KE30'!$A:$A,'06. BC BH THEO CUSTOMER-USD'!T$4)/'06. BC BH THEO CUSTOMER-USD'!CZ96/'02. Tỷ giá'!I$5,"-")</f>
        <v>-</v>
      </c>
      <c r="U96" s="106" t="str">
        <f>IFERROR(SUMIFS('01. KE30'!$K:$K,'01. KE30'!$C:$C,'06. BC BH THEO CUSTOMER-USD'!$D96,'01. KE30'!$F:$F,'06. BC BH THEO CUSTOMER-USD'!$H96,'01. KE30'!$A:$A,'06. BC BH THEO CUSTOMER-USD'!U$4)/'06. BC BH THEO CUSTOMER-USD'!DA96/'02. Tỷ giá'!J$5,"-")</f>
        <v>-</v>
      </c>
      <c r="V96" s="106" t="str">
        <f>IFERROR(SUMIFS('01. KE30'!$K:$K,'01. KE30'!$C:$C,'06. BC BH THEO CUSTOMER-USD'!$D96,'01. KE30'!$F:$F,'06. BC BH THEO CUSTOMER-USD'!$H96,'01. KE30'!$A:$A,'06. BC BH THEO CUSTOMER-USD'!V$4)/'06. BC BH THEO CUSTOMER-USD'!DB96/'02. Tỷ giá'!K$5,"-")</f>
        <v>-</v>
      </c>
      <c r="W96" s="106" t="str">
        <f>IFERROR(SUMIFS('01. KE30'!$K:$K,'01. KE30'!$C:$C,'06. BC BH THEO CUSTOMER-USD'!$D96,'01. KE30'!$F:$F,'06. BC BH THEO CUSTOMER-USD'!$H96,'01. KE30'!$A:$A,'06. BC BH THEO CUSTOMER-USD'!W$4)/'06. BC BH THEO CUSTOMER-USD'!DC96/'02. Tỷ giá'!L$5,"-")</f>
        <v>-</v>
      </c>
      <c r="X96" s="106" t="str">
        <f>IFERROR(SUMIFS('01. KE30'!$K:$K,'01. KE30'!$C:$C,'06. BC BH THEO CUSTOMER-USD'!$D96,'01. KE30'!$F:$F,'06. BC BH THEO CUSTOMER-USD'!$H96,'01. KE30'!$A:$A,'06. BC BH THEO CUSTOMER-USD'!X$4)/'06. BC BH THEO CUSTOMER-USD'!DD96/'02. Tỷ giá'!M$5,"-")</f>
        <v>-</v>
      </c>
      <c r="Z96" s="92">
        <f t="shared" ref="Z96:Z113" si="836">IFERROR(AVERAGE(AA96:AL96),"-")</f>
        <v>1318.0037759484608</v>
      </c>
      <c r="AA96" s="147" t="str">
        <f>IFERROR(SUMIFS('01. KE30'!$O:$O,'01. KE30'!$C:$C,'06. BC BH THEO CUSTOMER-USD'!$D96,'01. KE30'!$F:$F,'06. BC BH THEO CUSTOMER-USD'!$H96,'01. KE30'!$A:$A,'06. BC BH THEO CUSTOMER-USD'!M$4)/'06. BC BH THEO CUSTOMER-USD'!CS96/'02. Tỷ giá'!B$5,"-")</f>
        <v>-</v>
      </c>
      <c r="AB96" s="147" t="str">
        <f>IFERROR(SUMIFS('01. KE30'!$O:$O,'01. KE30'!$C:$C,'06. BC BH THEO CUSTOMER-USD'!$D96,'01. KE30'!$F:$F,'06. BC BH THEO CUSTOMER-USD'!$H96,'01. KE30'!$A:$A,'06. BC BH THEO CUSTOMER-USD'!N$4)/'06. BC BH THEO CUSTOMER-USD'!CT96/'02. Tỷ giá'!C$5,"-")</f>
        <v>-</v>
      </c>
      <c r="AC96" s="147">
        <f>IFERROR(SUMIFS('01. KE30'!$O:$O,'01. KE30'!$C:$C,'06. BC BH THEO CUSTOMER-USD'!$D96,'01. KE30'!$F:$F,'06. BC BH THEO CUSTOMER-USD'!$H96,'01. KE30'!$A:$A,'06. BC BH THEO CUSTOMER-USD'!O$4)/'06. BC BH THEO CUSTOMER-USD'!CU96/'02. Tỷ giá'!D$5,"-")</f>
        <v>1318.0037759484608</v>
      </c>
      <c r="AD96" s="147" t="str">
        <f>IFERROR(SUMIFS('01. KE30'!$O:$O,'01. KE30'!$C:$C,'06. BC BH THEO CUSTOMER-USD'!$D96,'01. KE30'!$F:$F,'06. BC BH THEO CUSTOMER-USD'!$H96,'01. KE30'!$A:$A,'06. BC BH THEO CUSTOMER-USD'!P$4)/'06. BC BH THEO CUSTOMER-USD'!CV96/'02. Tỷ giá'!E$5,"-")</f>
        <v>-</v>
      </c>
      <c r="AE96" s="147" t="str">
        <f>IFERROR(SUMIFS('01. KE30'!$O:$O,'01. KE30'!$C:$C,'06. BC BH THEO CUSTOMER-USD'!$D96,'01. KE30'!$F:$F,'06. BC BH THEO CUSTOMER-USD'!$H96,'01. KE30'!$A:$A,'06. BC BH THEO CUSTOMER-USD'!Q$4)/'06. BC BH THEO CUSTOMER-USD'!CW96/'02. Tỷ giá'!F$5,"-")</f>
        <v>-</v>
      </c>
      <c r="AF96" s="147" t="str">
        <f>IFERROR(SUMIFS('01. KE30'!$O:$O,'01. KE30'!$C:$C,'06. BC BH THEO CUSTOMER-USD'!$D96,'01. KE30'!$F:$F,'06. BC BH THEO CUSTOMER-USD'!$H96,'01. KE30'!$A:$A,'06. BC BH THEO CUSTOMER-USD'!R$4)/'06. BC BH THEO CUSTOMER-USD'!CX96/'02. Tỷ giá'!G$5,"-")</f>
        <v>-</v>
      </c>
      <c r="AG96" s="147" t="str">
        <f>IFERROR(SUMIFS('01. KE30'!$O:$O,'01. KE30'!$C:$C,'06. BC BH THEO CUSTOMER-USD'!$D96,'01. KE30'!$F:$F,'06. BC BH THEO CUSTOMER-USD'!$H96,'01. KE30'!$A:$A,'06. BC BH THEO CUSTOMER-USD'!S$4)/'06. BC BH THEO CUSTOMER-USD'!CY96/'02. Tỷ giá'!H$5,"-")</f>
        <v>-</v>
      </c>
      <c r="AH96" s="147" t="str">
        <f>IFERROR(SUMIFS('01. KE30'!$O:$O,'01. KE30'!$C:$C,'06. BC BH THEO CUSTOMER-USD'!$D96,'01. KE30'!$F:$F,'06. BC BH THEO CUSTOMER-USD'!$H96,'01. KE30'!$A:$A,'06. BC BH THEO CUSTOMER-USD'!T$4)/'06. BC BH THEO CUSTOMER-USD'!CZ96/'02. Tỷ giá'!I$5,"-")</f>
        <v>-</v>
      </c>
      <c r="AI96" s="147" t="str">
        <f>IFERROR(SUMIFS('01. KE30'!$O:$O,'01. KE30'!$C:$C,'06. BC BH THEO CUSTOMER-USD'!$D96,'01. KE30'!$F:$F,'06. BC BH THEO CUSTOMER-USD'!$H96,'01. KE30'!$A:$A,'06. BC BH THEO CUSTOMER-USD'!U$4)/'06. BC BH THEO CUSTOMER-USD'!DA96/'02. Tỷ giá'!J$5,"-")</f>
        <v>-</v>
      </c>
      <c r="AJ96" s="147" t="str">
        <f>IFERROR(SUMIFS('01. KE30'!$O:$O,'01. KE30'!$C:$C,'06. BC BH THEO CUSTOMER-USD'!$D96,'01. KE30'!$F:$F,'06. BC BH THEO CUSTOMER-USD'!$H96,'01. KE30'!$A:$A,'06. BC BH THEO CUSTOMER-USD'!V$4)/'06. BC BH THEO CUSTOMER-USD'!DB96/'02. Tỷ giá'!K$5,"-")</f>
        <v>-</v>
      </c>
      <c r="AK96" s="147" t="str">
        <f>IFERROR(SUMIFS('01. KE30'!$O:$O,'01. KE30'!$C:$C,'06. BC BH THEO CUSTOMER-USD'!$D96,'01. KE30'!$F:$F,'06. BC BH THEO CUSTOMER-USD'!$H96,'01. KE30'!$A:$A,'06. BC BH THEO CUSTOMER-USD'!W$4)/'06. BC BH THEO CUSTOMER-USD'!DC96/'02. Tỷ giá'!L$5,"-")</f>
        <v>-</v>
      </c>
      <c r="AL96" s="147" t="str">
        <f>IFERROR(SUMIFS('01. KE30'!$O:$O,'01. KE30'!$C:$C,'06. BC BH THEO CUSTOMER-USD'!$D96,'01. KE30'!$F:$F,'06. BC BH THEO CUSTOMER-USD'!$H96,'01. KE30'!$A:$A,'06. BC BH THEO CUSTOMER-USD'!X$4)/'06. BC BH THEO CUSTOMER-USD'!DD96/'02. Tỷ giá'!M$5,"-")</f>
        <v>-</v>
      </c>
      <c r="AN96" s="92">
        <f t="shared" ref="AN96:AN113" si="837">IFERROR(AVERAGE(AO96:AZ96),"-")</f>
        <v>1322.2222222222222</v>
      </c>
      <c r="AO96" s="25">
        <v>1320</v>
      </c>
      <c r="AP96" s="25">
        <f>1320-40</f>
        <v>1280</v>
      </c>
      <c r="AQ96" s="4">
        <v>1320</v>
      </c>
      <c r="AR96" s="4">
        <f>AQ96+20</f>
        <v>1340</v>
      </c>
      <c r="AS96" s="4">
        <v>1340</v>
      </c>
      <c r="AT96" s="4">
        <v>1340</v>
      </c>
      <c r="AU96" s="4">
        <v>1340</v>
      </c>
      <c r="AV96" s="4">
        <f t="shared" si="205"/>
        <v>1310</v>
      </c>
      <c r="AW96" s="25">
        <v>1310</v>
      </c>
      <c r="AX96" s="25"/>
      <c r="AY96" s="4"/>
      <c r="AZ96" s="4"/>
      <c r="BB96" s="95">
        <f t="shared" ref="BB96:BB113" si="838">IF(L96&lt;&gt;"-",Z96-AN96,"-")</f>
        <v>-4.2184462737614012</v>
      </c>
      <c r="BC96" s="95" t="str">
        <f t="shared" ref="BC96:BC113" si="839">IF(M96&lt;&gt;"-",AA96-AO96,"-")</f>
        <v>-</v>
      </c>
      <c r="BD96" s="95" t="str">
        <f t="shared" ref="BD96:BD113" si="840">IF(N96&lt;&gt;"-",AB96-AP96,"-")</f>
        <v>-</v>
      </c>
      <c r="BE96" s="95">
        <f t="shared" ref="BE96:BE113" si="841">IF(O96&lt;&gt;"-",AC96-AQ96,"-")</f>
        <v>-1.9962240515392295</v>
      </c>
      <c r="BF96" s="95" t="str">
        <f t="shared" ref="BF96:BF113" si="842">IF(P96&lt;&gt;"-",AD96-AR96,"-")</f>
        <v>-</v>
      </c>
      <c r="BG96" s="95" t="str">
        <f t="shared" ref="BG96:BG113" si="843">IF(Q96&lt;&gt;"-",AE96-AS96,"-")</f>
        <v>-</v>
      </c>
      <c r="BH96" s="95" t="str">
        <f t="shared" ref="BH96:BH113" si="844">IF(R96&lt;&gt;"-",AF96-AT96,"-")</f>
        <v>-</v>
      </c>
      <c r="BI96" s="95" t="str">
        <f t="shared" ref="BI96:BI113" si="845">IF(S96&lt;&gt;"-",AG96-AU96,"-")</f>
        <v>-</v>
      </c>
      <c r="BJ96" s="95" t="str">
        <f t="shared" ref="BJ96:BJ113" si="846">IF(T96&lt;&gt;"-",AH96-AV96,"-")</f>
        <v>-</v>
      </c>
      <c r="BK96" s="95" t="str">
        <f t="shared" ref="BK96:BK113" si="847">IF(U96&lt;&gt;"-",AI96-AW96,"-")</f>
        <v>-</v>
      </c>
      <c r="BL96" s="95" t="str">
        <f t="shared" ref="BL96:BL113" si="848">IF(V96&lt;&gt;"-",AJ96-AX96,"-")</f>
        <v>-</v>
      </c>
      <c r="BM96" s="95" t="str">
        <f t="shared" ref="BM96:BM113" si="849">IF(W96&lt;&gt;"-",AK96-AY96,"-")</f>
        <v>-</v>
      </c>
      <c r="BN96" s="95" t="str">
        <f t="shared" ref="BN96:BN113" si="850">IF(X96&lt;&gt;"-",AL96-AZ96,"-")</f>
        <v>-</v>
      </c>
      <c r="BP96" s="143">
        <f t="shared" ref="BP96:BP113" si="851">IFERROR(IF(BB96&lt;&gt;"-",BB96/AN96,"-"),"-")</f>
        <v>-3.1904215515842532E-3</v>
      </c>
      <c r="BQ96" s="143" t="str">
        <f t="shared" ref="BQ96:BQ113" si="852">IFERROR(IF(BC96&lt;&gt;"-",BC96/AO96,"-"),"-")</f>
        <v>-</v>
      </c>
      <c r="BR96" s="143" t="str">
        <f t="shared" ref="BR96:BR113" si="853">IFERROR(IF(BD96&lt;&gt;"-",BD96/AP96,"-"),"-")</f>
        <v>-</v>
      </c>
      <c r="BS96" s="143">
        <f t="shared" ref="BS96:BS113" si="854">IFERROR(IF(BE96&lt;&gt;"-",BE96/AQ96,"-"),"-")</f>
        <v>-1.5122909481357799E-3</v>
      </c>
      <c r="BT96" s="143" t="str">
        <f t="shared" ref="BT96:BT113" si="855">IFERROR(IF(BF96&lt;&gt;"-",BF96/AR96,"-"),"-")</f>
        <v>-</v>
      </c>
      <c r="BU96" s="143" t="str">
        <f t="shared" ref="BU96:BU113" si="856">IFERROR(IF(BG96&lt;&gt;"-",BG96/AS96,"-"),"-")</f>
        <v>-</v>
      </c>
      <c r="BV96" s="143" t="str">
        <f t="shared" ref="BV96:BV113" si="857">IFERROR(IF(BH96&lt;&gt;"-",BH96/AT96,"-"),"-")</f>
        <v>-</v>
      </c>
      <c r="BW96" s="143" t="str">
        <f t="shared" ref="BW96:BW113" si="858">IFERROR(IF(BI96&lt;&gt;"-",BI96/AU96,"-"),"-")</f>
        <v>-</v>
      </c>
      <c r="BX96" s="143" t="str">
        <f t="shared" ref="BX96:BX113" si="859">IFERROR(IF(BJ96&lt;&gt;"-",BJ96/AV96,"-"),"-")</f>
        <v>-</v>
      </c>
      <c r="BY96" s="143" t="str">
        <f t="shared" ref="BY96:BY113" si="860">IFERROR(IF(BK96&lt;&gt;"-",BK96/AW96,"-"),"-")</f>
        <v>-</v>
      </c>
      <c r="BZ96" s="143" t="str">
        <f t="shared" ref="BZ96:BZ113" si="861">IFERROR(IF(BL96&lt;&gt;"-",BL96/AX96,"-"),"-")</f>
        <v>-</v>
      </c>
      <c r="CA96" s="143" t="str">
        <f t="shared" ref="CA96:CA113" si="862">IFERROR(IF(BM96&lt;&gt;"-",BM96/AY96,"-"),"-")</f>
        <v>-</v>
      </c>
      <c r="CB96" s="143" t="str">
        <f t="shared" ref="CB96:CB113" si="863">IFERROR(IF(BN96&lt;&gt;"-",BN96/AZ96,"-"),"-")</f>
        <v>-</v>
      </c>
      <c r="CD96" s="112">
        <f t="shared" ref="CD96:CD113" si="864">IFERROR(AVERAGE(CE96:CP96),"-")</f>
        <v>1038.5799570508232</v>
      </c>
      <c r="CE96" s="95" t="str">
        <f>IFERROR(SUMIFS('01. KE30'!$R:$R,'01. KE30'!$C:$C,'06. BC BH THEO CUSTOMER-USD'!$D96,'01. KE30'!$F:$F,'06. BC BH THEO CUSTOMER-USD'!$H96,'01. KE30'!$A:$A,'06. BC BH THEO CUSTOMER-USD'!CE$4)/CS96/'02. Tỷ giá'!B$5," -")</f>
        <v xml:space="preserve"> -</v>
      </c>
      <c r="CF96" s="95" t="str">
        <f>IFERROR(SUMIFS('01. KE30'!$R:$R,'01. KE30'!$C:$C,'06. BC BH THEO CUSTOMER-USD'!$D96,'01. KE30'!$F:$F,'06. BC BH THEO CUSTOMER-USD'!$H96,'01. KE30'!$A:$A,'06. BC BH THEO CUSTOMER-USD'!CF$4)/CT96/'02. Tỷ giá'!C$5," -")</f>
        <v xml:space="preserve"> -</v>
      </c>
      <c r="CG96" s="95">
        <f>IFERROR(SUMIFS('01. KE30'!$R:$R,'01. KE30'!$C:$C,'06. BC BH THEO CUSTOMER-USD'!$D96,'01. KE30'!$F:$F,'06. BC BH THEO CUSTOMER-USD'!$H96,'01. KE30'!$A:$A,'06. BC BH THEO CUSTOMER-USD'!CG$4)/CU96/'02. Tỷ giá'!D$5," -")</f>
        <v>1038.5799570508232</v>
      </c>
      <c r="CH96" s="95" t="str">
        <f>IFERROR(SUMIFS('01. KE30'!$R:$R,'01. KE30'!$C:$C,'06. BC BH THEO CUSTOMER-USD'!$D96,'01. KE30'!$F:$F,'06. BC BH THEO CUSTOMER-USD'!$H96,'01. KE30'!$A:$A,'06. BC BH THEO CUSTOMER-USD'!CH$4)/CV96/'02. Tỷ giá'!E$5," -")</f>
        <v xml:space="preserve"> -</v>
      </c>
      <c r="CI96" s="95" t="str">
        <f>IFERROR(SUMIFS('01. KE30'!$R:$R,'01. KE30'!$C:$C,'06. BC BH THEO CUSTOMER-USD'!$D96,'01. KE30'!$F:$F,'06. BC BH THEO CUSTOMER-USD'!$H96,'01. KE30'!$A:$A,'06. BC BH THEO CUSTOMER-USD'!CI$4)/CW96/'02. Tỷ giá'!F$5," -")</f>
        <v xml:space="preserve"> -</v>
      </c>
      <c r="CJ96" s="95" t="str">
        <f>IFERROR(SUMIFS('01. KE30'!$R:$R,'01. KE30'!$C:$C,'06. BC BH THEO CUSTOMER-USD'!$D96,'01. KE30'!$F:$F,'06. BC BH THEO CUSTOMER-USD'!$H96,'01. KE30'!$A:$A,'06. BC BH THEO CUSTOMER-USD'!CJ$4)/CX96/'02. Tỷ giá'!G$5," -")</f>
        <v xml:space="preserve"> -</v>
      </c>
      <c r="CK96" s="95" t="str">
        <f>IFERROR(SUMIFS('01. KE30'!$R:$R,'01. KE30'!$C:$C,'06. BC BH THEO CUSTOMER-USD'!$D96,'01. KE30'!$F:$F,'06. BC BH THEO CUSTOMER-USD'!$H96,'01. KE30'!$A:$A,'06. BC BH THEO CUSTOMER-USD'!CK$4)/CY96/'02. Tỷ giá'!H$5," -")</f>
        <v xml:space="preserve"> -</v>
      </c>
      <c r="CL96" s="95" t="str">
        <f>IFERROR(SUMIFS('01. KE30'!$R:$R,'01. KE30'!$C:$C,'06. BC BH THEO CUSTOMER-USD'!$D96,'01. KE30'!$F:$F,'06. BC BH THEO CUSTOMER-USD'!$H96,'01. KE30'!$A:$A,'06. BC BH THEO CUSTOMER-USD'!CL$4)/CZ96/'02. Tỷ giá'!I$5," -")</f>
        <v xml:space="preserve"> -</v>
      </c>
      <c r="CM96" s="95" t="str">
        <f>IFERROR(SUMIFS('01. KE30'!$R:$R,'01. KE30'!$C:$C,'06. BC BH THEO CUSTOMER-USD'!$D96,'01. KE30'!$F:$F,'06. BC BH THEO CUSTOMER-USD'!$H96,'01. KE30'!$A:$A,'06. BC BH THEO CUSTOMER-USD'!CM$4)/DA96/'02. Tỷ giá'!J$5," -")</f>
        <v xml:space="preserve"> -</v>
      </c>
      <c r="CN96" s="95" t="str">
        <f>IFERROR(SUMIFS('01. KE30'!$R:$R,'01. KE30'!$C:$C,'06. BC BH THEO CUSTOMER-USD'!$D96,'01. KE30'!$F:$F,'06. BC BH THEO CUSTOMER-USD'!$H96,'01. KE30'!$A:$A,'06. BC BH THEO CUSTOMER-USD'!CN$4)/DB96/'02. Tỷ giá'!K$5," -")</f>
        <v xml:space="preserve"> -</v>
      </c>
      <c r="CO96" s="95" t="str">
        <f>IFERROR(SUMIFS('01. KE30'!$R:$R,'01. KE30'!$C:$C,'06. BC BH THEO CUSTOMER-USD'!$D96,'01. KE30'!$F:$F,'06. BC BH THEO CUSTOMER-USD'!$H96,'01. KE30'!$A:$A,'06. BC BH THEO CUSTOMER-USD'!CO$4)/DC96/'02. Tỷ giá'!L$5," -")</f>
        <v xml:space="preserve"> -</v>
      </c>
      <c r="CP96" s="95" t="str">
        <f>IFERROR(SUMIFS('01. KE30'!$R:$R,'01. KE30'!$C:$C,'06. BC BH THEO CUSTOMER-USD'!$D96,'01. KE30'!$F:$F,'06. BC BH THEO CUSTOMER-USD'!$H96,'01. KE30'!$A:$A,'06. BC BH THEO CUSTOMER-USD'!CP$4)/DD96/'02. Tỷ giá'!M$5," -")</f>
        <v xml:space="preserve"> -</v>
      </c>
      <c r="CR96" s="112">
        <f t="shared" ref="CR96:CR113" si="865">SUM(CS96:DD96)</f>
        <v>1.1000000000000001</v>
      </c>
      <c r="CS96" s="114">
        <f>SUMIFS('01. KE30'!$I:$I,'01. KE30'!$C:$C,'06. BC BH THEO CUSTOMER-USD'!$D96,'01. KE30'!$F:$F,'06. BC BH THEO CUSTOMER-USD'!$H96,'01. KE30'!$A:$A,'06. BC BH THEO CUSTOMER-USD'!CS$4)/1000</f>
        <v>0</v>
      </c>
      <c r="CT96" s="114">
        <f>SUMIFS('01. KE30'!$I:$I,'01. KE30'!$C:$C,'06. BC BH THEO CUSTOMER-USD'!$D96,'01. KE30'!$F:$F,'06. BC BH THEO CUSTOMER-USD'!$H96,'01. KE30'!$A:$A,'06. BC BH THEO CUSTOMER-USD'!CT$4)/1000</f>
        <v>0</v>
      </c>
      <c r="CU96" s="114">
        <f>SUMIFS('01. KE30'!$I:$I,'01. KE30'!$C:$C,'06. BC BH THEO CUSTOMER-USD'!$D96,'01. KE30'!$F:$F,'06. BC BH THEO CUSTOMER-USD'!$H96,'01. KE30'!$A:$A,'06. BC BH THEO CUSTOMER-USD'!CU$4)/1000</f>
        <v>1.1000000000000001</v>
      </c>
      <c r="CV96" s="114">
        <f>SUMIFS('01. KE30'!$I:$I,'01. KE30'!$C:$C,'06. BC BH THEO CUSTOMER-USD'!$D96,'01. KE30'!$F:$F,'06. BC BH THEO CUSTOMER-USD'!$H96,'01. KE30'!$A:$A,'06. BC BH THEO CUSTOMER-USD'!CV$4)/1000</f>
        <v>0</v>
      </c>
      <c r="CW96" s="114">
        <f>SUMIFS('01. KE30'!$I:$I,'01. KE30'!$C:$C,'06. BC BH THEO CUSTOMER-USD'!$D96,'01. KE30'!$F:$F,'06. BC BH THEO CUSTOMER-USD'!$H96,'01. KE30'!$A:$A,'06. BC BH THEO CUSTOMER-USD'!CW$4)/1000</f>
        <v>0</v>
      </c>
      <c r="CX96" s="114">
        <f>SUMIFS('01. KE30'!$I:$I,'01. KE30'!$C:$C,'06. BC BH THEO CUSTOMER-USD'!$D96,'01. KE30'!$F:$F,'06. BC BH THEO CUSTOMER-USD'!$H96,'01. KE30'!$A:$A,'06. BC BH THEO CUSTOMER-USD'!CX$4)/1000</f>
        <v>0</v>
      </c>
      <c r="CY96" s="114">
        <f>SUMIFS('01. KE30'!$I:$I,'01. KE30'!$C:$C,'06. BC BH THEO CUSTOMER-USD'!$D96,'01. KE30'!$F:$F,'06. BC BH THEO CUSTOMER-USD'!$H96,'01. KE30'!$A:$A,'06. BC BH THEO CUSTOMER-USD'!CY$4)/1000</f>
        <v>0</v>
      </c>
      <c r="CZ96" s="114">
        <f>SUMIFS('01. KE30'!$I:$I,'01. KE30'!$C:$C,'06. BC BH THEO CUSTOMER-USD'!$D96,'01. KE30'!$F:$F,'06. BC BH THEO CUSTOMER-USD'!$H96,'01. KE30'!$A:$A,'06. BC BH THEO CUSTOMER-USD'!CZ$4)/1000</f>
        <v>0</v>
      </c>
      <c r="DA96" s="114">
        <f>SUMIFS('01. KE30'!$I:$I,'01. KE30'!$C:$C,'06. BC BH THEO CUSTOMER-USD'!$D96,'01. KE30'!$F:$F,'06. BC BH THEO CUSTOMER-USD'!$H96,'01. KE30'!$A:$A,'06. BC BH THEO CUSTOMER-USD'!DA$4)/1000</f>
        <v>0</v>
      </c>
      <c r="DB96" s="114">
        <f>SUMIFS('01. KE30'!$I:$I,'01. KE30'!$C:$C,'06. BC BH THEO CUSTOMER-USD'!$D96,'01. KE30'!$F:$F,'06. BC BH THEO CUSTOMER-USD'!$H96,'01. KE30'!$A:$A,'06. BC BH THEO CUSTOMER-USD'!DB$4)/1000</f>
        <v>0</v>
      </c>
      <c r="DC96" s="114">
        <f>SUMIFS('01. KE30'!$I:$I,'01. KE30'!$C:$C,'06. BC BH THEO CUSTOMER-USD'!$D96,'01. KE30'!$F:$F,'06. BC BH THEO CUSTOMER-USD'!$H96,'01. KE30'!$A:$A,'06. BC BH THEO CUSTOMER-USD'!DC$4)/1000</f>
        <v>0</v>
      </c>
      <c r="DD96" s="114">
        <f>SUMIFS('01. KE30'!$I:$I,'01. KE30'!$C:$C,'06. BC BH THEO CUSTOMER-USD'!$D96,'01. KE30'!$F:$F,'06. BC BH THEO CUSTOMER-USD'!$H96,'01. KE30'!$A:$A,'06. BC BH THEO CUSTOMER-USD'!DD$4)/1000</f>
        <v>0</v>
      </c>
      <c r="DF96" s="120">
        <f t="shared" ref="DF96:DF113" si="866">SUM(DG96:DR96)</f>
        <v>1477.4818897637797</v>
      </c>
      <c r="DG96" s="54" t="str">
        <f t="shared" ref="DG96:DG113" si="867">IFERROR(M96*CS96,"-")</f>
        <v>-</v>
      </c>
      <c r="DH96" s="54" t="str">
        <f t="shared" ref="DH96:DH113" si="868">IFERROR(N96*CT96,"-")</f>
        <v>-</v>
      </c>
      <c r="DI96" s="54">
        <f t="shared" ref="DI96:DI113" si="869">IFERROR(O96*CU96,"-")</f>
        <v>1477.4818897637797</v>
      </c>
      <c r="DJ96" s="54" t="str">
        <f t="shared" ref="DJ96:DJ113" si="870">IFERROR(P96*CV96,"-")</f>
        <v>-</v>
      </c>
      <c r="DK96" s="54" t="str">
        <f t="shared" ref="DK96:DK113" si="871">IFERROR(Q96*CW96,"-")</f>
        <v>-</v>
      </c>
      <c r="DL96" s="54" t="str">
        <f t="shared" ref="DL96:DL113" si="872">IFERROR(R96*CX96,"-")</f>
        <v>-</v>
      </c>
      <c r="DM96" s="54" t="str">
        <f t="shared" ref="DM96:DM113" si="873">IFERROR(S96*CY96,"-")</f>
        <v>-</v>
      </c>
      <c r="DN96" s="54" t="str">
        <f t="shared" ref="DN96:DN113" si="874">IFERROR(T96*CZ96,"-")</f>
        <v>-</v>
      </c>
      <c r="DO96" s="54" t="str">
        <f t="shared" ref="DO96:DO113" si="875">IFERROR(U96*DA96,"-")</f>
        <v>-</v>
      </c>
      <c r="DP96" s="54" t="str">
        <f t="shared" ref="DP96:DP113" si="876">IFERROR(V96*DB96,"-")</f>
        <v>-</v>
      </c>
      <c r="DQ96" s="54" t="str">
        <f t="shared" ref="DQ96:DQ113" si="877">IFERROR(W96*DC96,"-")</f>
        <v>-</v>
      </c>
      <c r="DR96" s="54" t="str">
        <f t="shared" ref="DR96:DR113" si="878">IFERROR(X96*DD96,"-")</f>
        <v>-</v>
      </c>
      <c r="DT96" s="112">
        <f t="shared" ref="DT96:DT113" si="879">SUM(DU96:EF96)</f>
        <v>307.36620078740157</v>
      </c>
      <c r="DU96" s="114">
        <f>IFERROR(SUMIFS('01. KE30'!$X:$X,'01. KE30'!$C:$C,'06. BC BH THEO CUSTOMER-USD'!$D96,'01. KE30'!$F:$F,'06. BC BH THEO CUSTOMER-USD'!$H96,'01. KE30'!$A:$A,'06. BC BH THEO CUSTOMER-USD'!DU$4)-SUMIFS('01. KE30'!$AA:$AA,'01. KE30'!$C:$C,'06. BC BH THEO CUSTOMER-USD'!$D96,'01. KE30'!$F:$F,'06. BC BH THEO CUSTOMER-USD'!$H96,'01. KE30'!$A:$A,'06. BC BH THEO CUSTOMER-USD'!DU$4),"-")</f>
        <v>0</v>
      </c>
      <c r="DV96" s="114">
        <f>IFERROR(SUMIFS('01. KE30'!$X:$X,'01. KE30'!$C:$C,'06. BC BH THEO CUSTOMER-USD'!$D96,'01. KE30'!$F:$F,'06. BC BH THEO CUSTOMER-USD'!$H96,'01. KE30'!$A:$A,'06. BC BH THEO CUSTOMER-USD'!DV$4)-SUMIFS('01. KE30'!$AA:$AA,'01. KE30'!$C:$C,'06. BC BH THEO CUSTOMER-USD'!$D96,'01. KE30'!$F:$F,'06. BC BH THEO CUSTOMER-USD'!$H96,'01. KE30'!$A:$A,'06. BC BH THEO CUSTOMER-USD'!DV$4),"-")</f>
        <v>0</v>
      </c>
      <c r="DW96" s="114">
        <f>IFERROR(SUMIFS('01. KE30'!$X:$X,'01. KE30'!$C:$C,'06. BC BH THEO CUSTOMER-USD'!$D96,'01. KE30'!$F:$F,'06. BC BH THEO CUSTOMER-USD'!$H96,'01. KE30'!$A:$A,'06. BC BH THEO CUSTOMER-USD'!DW$4)-SUMIFS('01. KE30'!$AA:$AA,'01. KE30'!$C:$C,'06. BC BH THEO CUSTOMER-USD'!$D96,'01. KE30'!$F:$F,'06. BC BH THEO CUSTOMER-USD'!$H96,'01. KE30'!$A:$A,'06. BC BH THEO CUSTOMER-USD'!DW$4),"-")</f>
        <v>307.36620078740157</v>
      </c>
      <c r="DX96" s="114">
        <f>IFERROR(SUMIFS('01. KE30'!$X:$X,'01. KE30'!$C:$C,'06. BC BH THEO CUSTOMER-USD'!$D96,'01. KE30'!$F:$F,'06. BC BH THEO CUSTOMER-USD'!$H96,'01. KE30'!$A:$A,'06. BC BH THEO CUSTOMER-USD'!DX$4)-SUMIFS('01. KE30'!$AA:$AA,'01. KE30'!$C:$C,'06. BC BH THEO CUSTOMER-USD'!$D96,'01. KE30'!$F:$F,'06. BC BH THEO CUSTOMER-USD'!$H96,'01. KE30'!$A:$A,'06. BC BH THEO CUSTOMER-USD'!DX$4),"-")</f>
        <v>0</v>
      </c>
      <c r="DY96" s="114">
        <f>IFERROR(SUMIFS('01. KE30'!$X:$X,'01. KE30'!$C:$C,'06. BC BH THEO CUSTOMER-USD'!$D96,'01. KE30'!$F:$F,'06. BC BH THEO CUSTOMER-USD'!$H96,'01. KE30'!$A:$A,'06. BC BH THEO CUSTOMER-USD'!DY$4)-SUMIFS('01. KE30'!$AA:$AA,'01. KE30'!$C:$C,'06. BC BH THEO CUSTOMER-USD'!$D96,'01. KE30'!$F:$F,'06. BC BH THEO CUSTOMER-USD'!$H96,'01. KE30'!$A:$A,'06. BC BH THEO CUSTOMER-USD'!DY$4),"-")</f>
        <v>0</v>
      </c>
      <c r="DZ96" s="114">
        <f>IFERROR(SUMIFS('01. KE30'!$X:$X,'01. KE30'!$C:$C,'06. BC BH THEO CUSTOMER-USD'!$D96,'01. KE30'!$F:$F,'06. BC BH THEO CUSTOMER-USD'!$H96,'01. KE30'!$A:$A,'06. BC BH THEO CUSTOMER-USD'!DZ$4)-SUMIFS('01. KE30'!$AA:$AA,'01. KE30'!$C:$C,'06. BC BH THEO CUSTOMER-USD'!$D96,'01. KE30'!$F:$F,'06. BC BH THEO CUSTOMER-USD'!$H96,'01. KE30'!$A:$A,'06. BC BH THEO CUSTOMER-USD'!DZ$4),"-")</f>
        <v>0</v>
      </c>
      <c r="EA96" s="114">
        <f>IFERROR(SUMIFS('01. KE30'!$X:$X,'01. KE30'!$C:$C,'06. BC BH THEO CUSTOMER-USD'!$D96,'01. KE30'!$F:$F,'06. BC BH THEO CUSTOMER-USD'!$H96,'01. KE30'!$A:$A,'06. BC BH THEO CUSTOMER-USD'!EA$4)-SUMIFS('01. KE30'!$AA:$AA,'01. KE30'!$C:$C,'06. BC BH THEO CUSTOMER-USD'!$D96,'01. KE30'!$F:$F,'06. BC BH THEO CUSTOMER-USD'!$H96,'01. KE30'!$A:$A,'06. BC BH THEO CUSTOMER-USD'!EA$4),"-")</f>
        <v>0</v>
      </c>
      <c r="EB96" s="114">
        <f>IFERROR(SUMIFS('01. KE30'!$X:$X,'01. KE30'!$C:$C,'06. BC BH THEO CUSTOMER-USD'!$D96,'01. KE30'!$F:$F,'06. BC BH THEO CUSTOMER-USD'!$H96,'01. KE30'!$A:$A,'06. BC BH THEO CUSTOMER-USD'!EB$4)-SUMIFS('01. KE30'!$AA:$AA,'01. KE30'!$C:$C,'06. BC BH THEO CUSTOMER-USD'!$D96,'01. KE30'!$F:$F,'06. BC BH THEO CUSTOMER-USD'!$H96,'01. KE30'!$A:$A,'06. BC BH THEO CUSTOMER-USD'!EB$4),"-")</f>
        <v>0</v>
      </c>
      <c r="EC96" s="114">
        <f>IFERROR(SUMIFS('01. KE30'!$X:$X,'01. KE30'!$C:$C,'06. BC BH THEO CUSTOMER-USD'!$D96,'01. KE30'!$F:$F,'06. BC BH THEO CUSTOMER-USD'!$H96,'01. KE30'!$A:$A,'06. BC BH THEO CUSTOMER-USD'!EC$4)-SUMIFS('01. KE30'!$AA:$AA,'01. KE30'!$C:$C,'06. BC BH THEO CUSTOMER-USD'!$D96,'01. KE30'!$F:$F,'06. BC BH THEO CUSTOMER-USD'!$H96,'01. KE30'!$A:$A,'06. BC BH THEO CUSTOMER-USD'!EC$4),"-")</f>
        <v>0</v>
      </c>
      <c r="ED96" s="114">
        <f>IFERROR(SUMIFS('01. KE30'!$X:$X,'01. KE30'!$C:$C,'06. BC BH THEO CUSTOMER-USD'!$D96,'01. KE30'!$F:$F,'06. BC BH THEO CUSTOMER-USD'!$H96,'01. KE30'!$A:$A,'06. BC BH THEO CUSTOMER-USD'!ED$4)-SUMIFS('01. KE30'!$AA:$AA,'01. KE30'!$C:$C,'06. BC BH THEO CUSTOMER-USD'!$D96,'01. KE30'!$F:$F,'06. BC BH THEO CUSTOMER-USD'!$H96,'01. KE30'!$A:$A,'06. BC BH THEO CUSTOMER-USD'!ED$4),"-")</f>
        <v>0</v>
      </c>
      <c r="EE96" s="114">
        <f>IFERROR(SUMIFS('01. KE30'!$X:$X,'01. KE30'!$C:$C,'06. BC BH THEO CUSTOMER-USD'!$D96,'01. KE30'!$F:$F,'06. BC BH THEO CUSTOMER-USD'!$H96,'01. KE30'!$A:$A,'06. BC BH THEO CUSTOMER-USD'!EE$4)-SUMIFS('01. KE30'!$AA:$AA,'01. KE30'!$C:$C,'06. BC BH THEO CUSTOMER-USD'!$D96,'01. KE30'!$F:$F,'06. BC BH THEO CUSTOMER-USD'!$H96,'01. KE30'!$A:$A,'06. BC BH THEO CUSTOMER-USD'!EE$4),"-")</f>
        <v>0</v>
      </c>
      <c r="EF96" s="114">
        <f>IFERROR(SUMIFS('01. KE30'!$X:$X,'01. KE30'!$C:$C,'06. BC BH THEO CUSTOMER-USD'!$D96,'01. KE30'!$F:$F,'06. BC BH THEO CUSTOMER-USD'!$H96,'01. KE30'!$A:$A,'06. BC BH THEO CUSTOMER-USD'!EF$4)-SUMIFS('01. KE30'!$AA:$AA,'01. KE30'!$C:$C,'06. BC BH THEO CUSTOMER-USD'!$D96,'01. KE30'!$F:$F,'06. BC BH THEO CUSTOMER-USD'!$H96,'01. KE30'!$A:$A,'06. BC BH THEO CUSTOMER-USD'!EF$4),"-")</f>
        <v>0</v>
      </c>
      <c r="EH96" s="571">
        <f t="shared" si="531"/>
        <v>0.20803381951202352</v>
      </c>
      <c r="EI96" s="572" t="str">
        <f t="shared" si="532"/>
        <v>-</v>
      </c>
      <c r="EJ96" s="572" t="str">
        <f t="shared" si="533"/>
        <v>-</v>
      </c>
      <c r="EK96" s="572">
        <f t="shared" si="534"/>
        <v>0.20803381951202352</v>
      </c>
      <c r="EL96" s="572" t="str">
        <f t="shared" si="535"/>
        <v>-</v>
      </c>
      <c r="EM96" s="572" t="str">
        <f t="shared" si="536"/>
        <v>-</v>
      </c>
      <c r="EN96" s="572" t="str">
        <f t="shared" si="537"/>
        <v>-</v>
      </c>
      <c r="EO96" s="572" t="str">
        <f t="shared" si="538"/>
        <v>-</v>
      </c>
      <c r="EP96" s="572" t="str">
        <f t="shared" si="539"/>
        <v>-</v>
      </c>
      <c r="EQ96" s="572" t="str">
        <f t="shared" si="540"/>
        <v>-</v>
      </c>
      <c r="ER96" s="572" t="str">
        <f t="shared" si="541"/>
        <v>-</v>
      </c>
      <c r="ES96" s="572" t="str">
        <f t="shared" si="542"/>
        <v>-</v>
      </c>
      <c r="ET96" s="572" t="str">
        <f t="shared" si="543"/>
        <v>-</v>
      </c>
    </row>
    <row r="97" spans="1:150" ht="15.5" hidden="1" outlineLevel="1" x14ac:dyDescent="0.35">
      <c r="A97" s="27">
        <f t="shared" si="653"/>
        <v>81</v>
      </c>
      <c r="B97" s="27" t="s">
        <v>283</v>
      </c>
      <c r="C97" s="442"/>
      <c r="D97" s="9" t="s">
        <v>631</v>
      </c>
      <c r="E97" s="12" t="s">
        <v>632</v>
      </c>
      <c r="F97" s="12" t="s">
        <v>250</v>
      </c>
      <c r="G97" s="12" t="str">
        <f>_xlfn.XLOOKUP(F97,'Quy đổi'!$G$5:$G$32,'Quy đổi'!$H$5:$H$32,0)</f>
        <v>Châu Âu</v>
      </c>
      <c r="H97" s="76" t="s">
        <v>110</v>
      </c>
      <c r="I97" s="28" t="s">
        <v>109</v>
      </c>
      <c r="J97" s="6" t="s">
        <v>26</v>
      </c>
      <c r="K97" s="11" t="s">
        <v>113</v>
      </c>
      <c r="L97" s="92">
        <f>IFERROR(AVERAGE(M97:X97),"-")</f>
        <v>1252.9527559055118</v>
      </c>
      <c r="M97" s="106" t="str">
        <f>IFERROR(SUMIFS('01. KE30'!$K:$K,'01. KE30'!$C:$C,'06. BC BH THEO CUSTOMER-USD'!$D97,'01. KE30'!$F:$F,'06. BC BH THEO CUSTOMER-USD'!$H97,'01. KE30'!$A:$A,'06. BC BH THEO CUSTOMER-USD'!M$4)/'06. BC BH THEO CUSTOMER-USD'!CS97/'02. Tỷ giá'!B$5,"-")</f>
        <v>-</v>
      </c>
      <c r="N97" s="106" t="str">
        <f>IFERROR(SUMIFS('01. KE30'!$K:$K,'01. KE30'!$C:$C,'06. BC BH THEO CUSTOMER-USD'!$D97,'01. KE30'!$F:$F,'06. BC BH THEO CUSTOMER-USD'!$H97,'01. KE30'!$A:$A,'06. BC BH THEO CUSTOMER-USD'!N$4)/'06. BC BH THEO CUSTOMER-USD'!CT97/'02. Tỷ giá'!C$5,"-")</f>
        <v>-</v>
      </c>
      <c r="O97" s="106">
        <f>IFERROR(SUMIFS('01. KE30'!$K:$K,'01. KE30'!$C:$C,'06. BC BH THEO CUSTOMER-USD'!$D97,'01. KE30'!$F:$F,'06. BC BH THEO CUSTOMER-USD'!$H97,'01. KE30'!$A:$A,'06. BC BH THEO CUSTOMER-USD'!O$4)/'06. BC BH THEO CUSTOMER-USD'!CU97/'02. Tỷ giá'!D$5,"-")</f>
        <v>1252.9527559055118</v>
      </c>
      <c r="P97" s="106" t="str">
        <f>IFERROR(SUMIFS('01. KE30'!$K:$K,'01. KE30'!$C:$C,'06. BC BH THEO CUSTOMER-USD'!$D97,'01. KE30'!$F:$F,'06. BC BH THEO CUSTOMER-USD'!$H97,'01. KE30'!$A:$A,'06. BC BH THEO CUSTOMER-USD'!P$4)/'06. BC BH THEO CUSTOMER-USD'!CV97/'02. Tỷ giá'!E$5,"-")</f>
        <v>-</v>
      </c>
      <c r="Q97" s="106" t="str">
        <f>IFERROR(SUMIFS('01. KE30'!$K:$K,'01. KE30'!$C:$C,'06. BC BH THEO CUSTOMER-USD'!$D97,'01. KE30'!$F:$F,'06. BC BH THEO CUSTOMER-USD'!$H97,'01. KE30'!$A:$A,'06. BC BH THEO CUSTOMER-USD'!Q$4)/'06. BC BH THEO CUSTOMER-USD'!CW97/'02. Tỷ giá'!F$5,"-")</f>
        <v>-</v>
      </c>
      <c r="R97" s="106" t="str">
        <f>IFERROR(SUMIFS('01. KE30'!$K:$K,'01. KE30'!$C:$C,'06. BC BH THEO CUSTOMER-USD'!$D97,'01. KE30'!$F:$F,'06. BC BH THEO CUSTOMER-USD'!$H97,'01. KE30'!$A:$A,'06. BC BH THEO CUSTOMER-USD'!R$4)/'06. BC BH THEO CUSTOMER-USD'!CX97/'02. Tỷ giá'!G$5,"-")</f>
        <v>-</v>
      </c>
      <c r="S97" s="106" t="str">
        <f>IFERROR(SUMIFS('01. KE30'!$K:$K,'01. KE30'!$C:$C,'06. BC BH THEO CUSTOMER-USD'!$D97,'01. KE30'!$F:$F,'06. BC BH THEO CUSTOMER-USD'!$H97,'01. KE30'!$A:$A,'06. BC BH THEO CUSTOMER-USD'!S$4)/'06. BC BH THEO CUSTOMER-USD'!CY97/'02. Tỷ giá'!H$5,"-")</f>
        <v>-</v>
      </c>
      <c r="T97" s="106" t="str">
        <f>IFERROR(SUMIFS('01. KE30'!$K:$K,'01. KE30'!$C:$C,'06. BC BH THEO CUSTOMER-USD'!$D97,'01. KE30'!$F:$F,'06. BC BH THEO CUSTOMER-USD'!$H97,'01. KE30'!$A:$A,'06. BC BH THEO CUSTOMER-USD'!T$4)/'06. BC BH THEO CUSTOMER-USD'!CZ97/'02. Tỷ giá'!I$5,"-")</f>
        <v>-</v>
      </c>
      <c r="U97" s="106" t="str">
        <f>IFERROR(SUMIFS('01. KE30'!$K:$K,'01. KE30'!$C:$C,'06. BC BH THEO CUSTOMER-USD'!$D97,'01. KE30'!$F:$F,'06. BC BH THEO CUSTOMER-USD'!$H97,'01. KE30'!$A:$A,'06. BC BH THEO CUSTOMER-USD'!U$4)/'06. BC BH THEO CUSTOMER-USD'!DA97/'02. Tỷ giá'!J$5,"-")</f>
        <v>-</v>
      </c>
      <c r="V97" s="106" t="str">
        <f>IFERROR(SUMIFS('01. KE30'!$K:$K,'01. KE30'!$C:$C,'06. BC BH THEO CUSTOMER-USD'!$D97,'01. KE30'!$F:$F,'06. BC BH THEO CUSTOMER-USD'!$H97,'01. KE30'!$A:$A,'06. BC BH THEO CUSTOMER-USD'!V$4)/'06. BC BH THEO CUSTOMER-USD'!DB97/'02. Tỷ giá'!K$5,"-")</f>
        <v>-</v>
      </c>
      <c r="W97" s="106" t="str">
        <f>IFERROR(SUMIFS('01. KE30'!$K:$K,'01. KE30'!$C:$C,'06. BC BH THEO CUSTOMER-USD'!$D97,'01. KE30'!$F:$F,'06. BC BH THEO CUSTOMER-USD'!$H97,'01. KE30'!$A:$A,'06. BC BH THEO CUSTOMER-USD'!W$4)/'06. BC BH THEO CUSTOMER-USD'!DC97/'02. Tỷ giá'!L$5,"-")</f>
        <v>-</v>
      </c>
      <c r="X97" s="106" t="str">
        <f>IFERROR(SUMIFS('01. KE30'!$K:$K,'01. KE30'!$C:$C,'06. BC BH THEO CUSTOMER-USD'!$D97,'01. KE30'!$F:$F,'06. BC BH THEO CUSTOMER-USD'!$H97,'01. KE30'!$A:$A,'06. BC BH THEO CUSTOMER-USD'!X$4)/'06. BC BH THEO CUSTOMER-USD'!DD97/'02. Tỷ giá'!M$5,"-")</f>
        <v>-</v>
      </c>
      <c r="Z97" s="92">
        <f>IFERROR(AVERAGE(AA97:AL97),"-")</f>
        <v>1227.7911775232642</v>
      </c>
      <c r="AA97" s="147" t="str">
        <f>IFERROR(SUMIFS('01. KE30'!$O:$O,'01. KE30'!$C:$C,'06. BC BH THEO CUSTOMER-USD'!$D97,'01. KE30'!$F:$F,'06. BC BH THEO CUSTOMER-USD'!$H97,'01. KE30'!$A:$A,'06. BC BH THEO CUSTOMER-USD'!M$4)/'06. BC BH THEO CUSTOMER-USD'!CS97/'02. Tỷ giá'!B$5,"-")</f>
        <v>-</v>
      </c>
      <c r="AB97" s="147" t="str">
        <f>IFERROR(SUMIFS('01. KE30'!$O:$O,'01. KE30'!$C:$C,'06. BC BH THEO CUSTOMER-USD'!$D97,'01. KE30'!$F:$F,'06. BC BH THEO CUSTOMER-USD'!$H97,'01. KE30'!$A:$A,'06. BC BH THEO CUSTOMER-USD'!N$4)/'06. BC BH THEO CUSTOMER-USD'!CT97/'02. Tỷ giá'!C$5,"-")</f>
        <v>-</v>
      </c>
      <c r="AC97" s="147">
        <f>IFERROR(SUMIFS('01. KE30'!$O:$O,'01. KE30'!$C:$C,'06. BC BH THEO CUSTOMER-USD'!$D97,'01. KE30'!$F:$F,'06. BC BH THEO CUSTOMER-USD'!$H97,'01. KE30'!$A:$A,'06. BC BH THEO CUSTOMER-USD'!O$4)/'06. BC BH THEO CUSTOMER-USD'!CU97/'02. Tỷ giá'!D$5,"-")</f>
        <v>1227.7911775232642</v>
      </c>
      <c r="AD97" s="147" t="str">
        <f>IFERROR(SUMIFS('01. KE30'!$O:$O,'01. KE30'!$C:$C,'06. BC BH THEO CUSTOMER-USD'!$D97,'01. KE30'!$F:$F,'06. BC BH THEO CUSTOMER-USD'!$H97,'01. KE30'!$A:$A,'06. BC BH THEO CUSTOMER-USD'!P$4)/'06. BC BH THEO CUSTOMER-USD'!CV97/'02. Tỷ giá'!E$5,"-")</f>
        <v>-</v>
      </c>
      <c r="AE97" s="147" t="str">
        <f>IFERROR(SUMIFS('01. KE30'!$O:$O,'01. KE30'!$C:$C,'06. BC BH THEO CUSTOMER-USD'!$D97,'01. KE30'!$F:$F,'06. BC BH THEO CUSTOMER-USD'!$H97,'01. KE30'!$A:$A,'06. BC BH THEO CUSTOMER-USD'!Q$4)/'06. BC BH THEO CUSTOMER-USD'!CW97/'02. Tỷ giá'!F$5,"-")</f>
        <v>-</v>
      </c>
      <c r="AF97" s="147" t="str">
        <f>IFERROR(SUMIFS('01. KE30'!$O:$O,'01. KE30'!$C:$C,'06. BC BH THEO CUSTOMER-USD'!$D97,'01. KE30'!$F:$F,'06. BC BH THEO CUSTOMER-USD'!$H97,'01. KE30'!$A:$A,'06. BC BH THEO CUSTOMER-USD'!R$4)/'06. BC BH THEO CUSTOMER-USD'!CX97/'02. Tỷ giá'!G$5,"-")</f>
        <v>-</v>
      </c>
      <c r="AG97" s="147" t="str">
        <f>IFERROR(SUMIFS('01. KE30'!$O:$O,'01. KE30'!$C:$C,'06. BC BH THEO CUSTOMER-USD'!$D97,'01. KE30'!$F:$F,'06. BC BH THEO CUSTOMER-USD'!$H97,'01. KE30'!$A:$A,'06. BC BH THEO CUSTOMER-USD'!S$4)/'06. BC BH THEO CUSTOMER-USD'!CY97/'02. Tỷ giá'!H$5,"-")</f>
        <v>-</v>
      </c>
      <c r="AH97" s="147" t="str">
        <f>IFERROR(SUMIFS('01. KE30'!$O:$O,'01. KE30'!$C:$C,'06. BC BH THEO CUSTOMER-USD'!$D97,'01. KE30'!$F:$F,'06. BC BH THEO CUSTOMER-USD'!$H97,'01. KE30'!$A:$A,'06. BC BH THEO CUSTOMER-USD'!T$4)/'06. BC BH THEO CUSTOMER-USD'!CZ97/'02. Tỷ giá'!I$5,"-")</f>
        <v>-</v>
      </c>
      <c r="AI97" s="147" t="str">
        <f>IFERROR(SUMIFS('01. KE30'!$O:$O,'01. KE30'!$C:$C,'06. BC BH THEO CUSTOMER-USD'!$D97,'01. KE30'!$F:$F,'06. BC BH THEO CUSTOMER-USD'!$H97,'01. KE30'!$A:$A,'06. BC BH THEO CUSTOMER-USD'!U$4)/'06. BC BH THEO CUSTOMER-USD'!DA97/'02. Tỷ giá'!J$5,"-")</f>
        <v>-</v>
      </c>
      <c r="AJ97" s="147" t="str">
        <f>IFERROR(SUMIFS('01. KE30'!$O:$O,'01. KE30'!$C:$C,'06. BC BH THEO CUSTOMER-USD'!$D97,'01. KE30'!$F:$F,'06. BC BH THEO CUSTOMER-USD'!$H97,'01. KE30'!$A:$A,'06. BC BH THEO CUSTOMER-USD'!V$4)/'06. BC BH THEO CUSTOMER-USD'!DB97/'02. Tỷ giá'!K$5,"-")</f>
        <v>-</v>
      </c>
      <c r="AK97" s="147" t="str">
        <f>IFERROR(SUMIFS('01. KE30'!$O:$O,'01. KE30'!$C:$C,'06. BC BH THEO CUSTOMER-USD'!$D97,'01. KE30'!$F:$F,'06. BC BH THEO CUSTOMER-USD'!$H97,'01. KE30'!$A:$A,'06. BC BH THEO CUSTOMER-USD'!W$4)/'06. BC BH THEO CUSTOMER-USD'!DC97/'02. Tỷ giá'!L$5,"-")</f>
        <v>-</v>
      </c>
      <c r="AL97" s="147" t="str">
        <f>IFERROR(SUMIFS('01. KE30'!$O:$O,'01. KE30'!$C:$C,'06. BC BH THEO CUSTOMER-USD'!$D97,'01. KE30'!$F:$F,'06. BC BH THEO CUSTOMER-USD'!$H97,'01. KE30'!$A:$A,'06. BC BH THEO CUSTOMER-USD'!X$4)/'06. BC BH THEO CUSTOMER-USD'!DD97/'02. Tỷ giá'!M$5,"-")</f>
        <v>-</v>
      </c>
      <c r="AN97" s="92">
        <f>IFERROR(AVERAGE(AO97:AZ97),"-")</f>
        <v>1236.6666666666667</v>
      </c>
      <c r="AO97" s="25">
        <v>1230</v>
      </c>
      <c r="AP97" s="25">
        <v>1230</v>
      </c>
      <c r="AQ97" s="25">
        <v>1230</v>
      </c>
      <c r="AR97" s="25">
        <f>AQ97+20</f>
        <v>1250</v>
      </c>
      <c r="AS97" s="25">
        <v>1250</v>
      </c>
      <c r="AT97" s="25">
        <v>1250</v>
      </c>
      <c r="AU97" s="25">
        <v>1250</v>
      </c>
      <c r="AV97" s="4">
        <f t="shared" si="205"/>
        <v>1220</v>
      </c>
      <c r="AW97" s="25">
        <v>1220</v>
      </c>
      <c r="AX97" s="25"/>
      <c r="AY97" s="4"/>
      <c r="AZ97" s="4"/>
      <c r="BB97" s="95">
        <f t="shared" ref="BB97:BN97" si="880">IF(L97&lt;&gt;"-",Z97-AN97,"-")</f>
        <v>-8.8754891434025467</v>
      </c>
      <c r="BC97" s="95" t="str">
        <f t="shared" si="880"/>
        <v>-</v>
      </c>
      <c r="BD97" s="95" t="str">
        <f t="shared" si="880"/>
        <v>-</v>
      </c>
      <c r="BE97" s="95">
        <f t="shared" si="880"/>
        <v>-2.2088224767358042</v>
      </c>
      <c r="BF97" s="95" t="str">
        <f t="shared" si="880"/>
        <v>-</v>
      </c>
      <c r="BG97" s="95" t="str">
        <f t="shared" si="880"/>
        <v>-</v>
      </c>
      <c r="BH97" s="95" t="str">
        <f t="shared" si="880"/>
        <v>-</v>
      </c>
      <c r="BI97" s="95" t="str">
        <f t="shared" si="880"/>
        <v>-</v>
      </c>
      <c r="BJ97" s="95" t="str">
        <f t="shared" si="880"/>
        <v>-</v>
      </c>
      <c r="BK97" s="95" t="str">
        <f t="shared" si="880"/>
        <v>-</v>
      </c>
      <c r="BL97" s="95" t="str">
        <f t="shared" si="880"/>
        <v>-</v>
      </c>
      <c r="BM97" s="95" t="str">
        <f t="shared" si="880"/>
        <v>-</v>
      </c>
      <c r="BN97" s="95" t="str">
        <f t="shared" si="880"/>
        <v>-</v>
      </c>
      <c r="BP97" s="143">
        <f t="shared" ref="BP97:CB97" si="881">IFERROR(IF(BB97&lt;&gt;"-",BB97/AN97,"-"),"-")</f>
        <v>-7.1769453989778001E-3</v>
      </c>
      <c r="BQ97" s="143" t="str">
        <f t="shared" si="881"/>
        <v>-</v>
      </c>
      <c r="BR97" s="143" t="str">
        <f t="shared" si="881"/>
        <v>-</v>
      </c>
      <c r="BS97" s="143">
        <f t="shared" si="881"/>
        <v>-1.7957906314925239E-3</v>
      </c>
      <c r="BT97" s="143" t="str">
        <f t="shared" si="881"/>
        <v>-</v>
      </c>
      <c r="BU97" s="143" t="str">
        <f t="shared" si="881"/>
        <v>-</v>
      </c>
      <c r="BV97" s="143" t="str">
        <f t="shared" si="881"/>
        <v>-</v>
      </c>
      <c r="BW97" s="143" t="str">
        <f t="shared" si="881"/>
        <v>-</v>
      </c>
      <c r="BX97" s="143" t="str">
        <f t="shared" si="881"/>
        <v>-</v>
      </c>
      <c r="BY97" s="143" t="str">
        <f t="shared" si="881"/>
        <v>-</v>
      </c>
      <c r="BZ97" s="143" t="str">
        <f t="shared" si="881"/>
        <v>-</v>
      </c>
      <c r="CA97" s="143" t="str">
        <f t="shared" si="881"/>
        <v>-</v>
      </c>
      <c r="CB97" s="143" t="str">
        <f t="shared" si="881"/>
        <v>-</v>
      </c>
      <c r="CD97" s="112">
        <f>IFERROR(AVERAGE(CE97:CP97),"-")</f>
        <v>1032.9728990694346</v>
      </c>
      <c r="CE97" s="95" t="str">
        <f>IFERROR(SUMIFS('01. KE30'!$R:$R,'01. KE30'!$C:$C,'06. BC BH THEO CUSTOMER-USD'!$D97,'01. KE30'!$F:$F,'06. BC BH THEO CUSTOMER-USD'!$H97,'01. KE30'!$A:$A,'06. BC BH THEO CUSTOMER-USD'!CE$4)/CS97/'02. Tỷ giá'!B$5," -")</f>
        <v xml:space="preserve"> -</v>
      </c>
      <c r="CF97" s="95" t="str">
        <f>IFERROR(SUMIFS('01. KE30'!$R:$R,'01. KE30'!$C:$C,'06. BC BH THEO CUSTOMER-USD'!$D97,'01. KE30'!$F:$F,'06. BC BH THEO CUSTOMER-USD'!$H97,'01. KE30'!$A:$A,'06. BC BH THEO CUSTOMER-USD'!CF$4)/CT97/'02. Tỷ giá'!C$5," -")</f>
        <v xml:space="preserve"> -</v>
      </c>
      <c r="CG97" s="95">
        <f>IFERROR(SUMIFS('01. KE30'!$R:$R,'01. KE30'!$C:$C,'06. BC BH THEO CUSTOMER-USD'!$D97,'01. KE30'!$F:$F,'06. BC BH THEO CUSTOMER-USD'!$H97,'01. KE30'!$A:$A,'06. BC BH THEO CUSTOMER-USD'!CG$4)/CU97/'02. Tỷ giá'!D$5," -")</f>
        <v>1032.9728990694346</v>
      </c>
      <c r="CH97" s="95" t="str">
        <f>IFERROR(SUMIFS('01. KE30'!$R:$R,'01. KE30'!$C:$C,'06. BC BH THEO CUSTOMER-USD'!$D97,'01. KE30'!$F:$F,'06. BC BH THEO CUSTOMER-USD'!$H97,'01. KE30'!$A:$A,'06. BC BH THEO CUSTOMER-USD'!CH$4)/CV97/'02. Tỷ giá'!E$5," -")</f>
        <v xml:space="preserve"> -</v>
      </c>
      <c r="CI97" s="95" t="str">
        <f>IFERROR(SUMIFS('01. KE30'!$R:$R,'01. KE30'!$C:$C,'06. BC BH THEO CUSTOMER-USD'!$D97,'01. KE30'!$F:$F,'06. BC BH THEO CUSTOMER-USD'!$H97,'01. KE30'!$A:$A,'06. BC BH THEO CUSTOMER-USD'!CI$4)/CW97/'02. Tỷ giá'!F$5," -")</f>
        <v xml:space="preserve"> -</v>
      </c>
      <c r="CJ97" s="95" t="str">
        <f>IFERROR(SUMIFS('01. KE30'!$R:$R,'01. KE30'!$C:$C,'06. BC BH THEO CUSTOMER-USD'!$D97,'01. KE30'!$F:$F,'06. BC BH THEO CUSTOMER-USD'!$H97,'01. KE30'!$A:$A,'06. BC BH THEO CUSTOMER-USD'!CJ$4)/CX97/'02. Tỷ giá'!G$5," -")</f>
        <v xml:space="preserve"> -</v>
      </c>
      <c r="CK97" s="95" t="str">
        <f>IFERROR(SUMIFS('01. KE30'!$R:$R,'01. KE30'!$C:$C,'06. BC BH THEO CUSTOMER-USD'!$D97,'01. KE30'!$F:$F,'06. BC BH THEO CUSTOMER-USD'!$H97,'01. KE30'!$A:$A,'06. BC BH THEO CUSTOMER-USD'!CK$4)/CY97/'02. Tỷ giá'!H$5," -")</f>
        <v xml:space="preserve"> -</v>
      </c>
      <c r="CL97" s="95" t="str">
        <f>IFERROR(SUMIFS('01. KE30'!$R:$R,'01. KE30'!$C:$C,'06. BC BH THEO CUSTOMER-USD'!$D97,'01. KE30'!$F:$F,'06. BC BH THEO CUSTOMER-USD'!$H97,'01. KE30'!$A:$A,'06. BC BH THEO CUSTOMER-USD'!CL$4)/CZ97/'02. Tỷ giá'!I$5," -")</f>
        <v xml:space="preserve"> -</v>
      </c>
      <c r="CM97" s="95" t="str">
        <f>IFERROR(SUMIFS('01. KE30'!$R:$R,'01. KE30'!$C:$C,'06. BC BH THEO CUSTOMER-USD'!$D97,'01. KE30'!$F:$F,'06. BC BH THEO CUSTOMER-USD'!$H97,'01. KE30'!$A:$A,'06. BC BH THEO CUSTOMER-USD'!CM$4)/DA97/'02. Tỷ giá'!J$5," -")</f>
        <v xml:space="preserve"> -</v>
      </c>
      <c r="CN97" s="95" t="str">
        <f>IFERROR(SUMIFS('01. KE30'!$R:$R,'01. KE30'!$C:$C,'06. BC BH THEO CUSTOMER-USD'!$D97,'01. KE30'!$F:$F,'06. BC BH THEO CUSTOMER-USD'!$H97,'01. KE30'!$A:$A,'06. BC BH THEO CUSTOMER-USD'!CN$4)/DB97/'02. Tỷ giá'!K$5," -")</f>
        <v xml:space="preserve"> -</v>
      </c>
      <c r="CO97" s="95" t="str">
        <f>IFERROR(SUMIFS('01. KE30'!$R:$R,'01. KE30'!$C:$C,'06. BC BH THEO CUSTOMER-USD'!$D97,'01. KE30'!$F:$F,'06. BC BH THEO CUSTOMER-USD'!$H97,'01. KE30'!$A:$A,'06. BC BH THEO CUSTOMER-USD'!CO$4)/DC97/'02. Tỷ giá'!L$5," -")</f>
        <v xml:space="preserve"> -</v>
      </c>
      <c r="CP97" s="95" t="str">
        <f>IFERROR(SUMIFS('01. KE30'!$R:$R,'01. KE30'!$C:$C,'06. BC BH THEO CUSTOMER-USD'!$D97,'01. KE30'!$F:$F,'06. BC BH THEO CUSTOMER-USD'!$H97,'01. KE30'!$A:$A,'06. BC BH THEO CUSTOMER-USD'!CP$4)/DD97/'02. Tỷ giá'!M$5," -")</f>
        <v xml:space="preserve"> -</v>
      </c>
      <c r="CR97" s="112">
        <f>SUM(CS97:DD97)</f>
        <v>11</v>
      </c>
      <c r="CS97" s="114">
        <f>SUMIFS('01. KE30'!$I:$I,'01. KE30'!$C:$C,'06. BC BH THEO CUSTOMER-USD'!$D97,'01. KE30'!$F:$F,'06. BC BH THEO CUSTOMER-USD'!$H97,'01. KE30'!$A:$A,'06. BC BH THEO CUSTOMER-USD'!CS$4)/1000</f>
        <v>0</v>
      </c>
      <c r="CT97" s="114">
        <f>SUMIFS('01. KE30'!$I:$I,'01. KE30'!$C:$C,'06. BC BH THEO CUSTOMER-USD'!$D97,'01. KE30'!$F:$F,'06. BC BH THEO CUSTOMER-USD'!$H97,'01. KE30'!$A:$A,'06. BC BH THEO CUSTOMER-USD'!CT$4)/1000</f>
        <v>0</v>
      </c>
      <c r="CU97" s="114">
        <f>SUMIFS('01. KE30'!$I:$I,'01. KE30'!$C:$C,'06. BC BH THEO CUSTOMER-USD'!$D97,'01. KE30'!$F:$F,'06. BC BH THEO CUSTOMER-USD'!$H97,'01. KE30'!$A:$A,'06. BC BH THEO CUSTOMER-USD'!CU$4)/1000</f>
        <v>11</v>
      </c>
      <c r="CV97" s="114">
        <f>SUMIFS('01. KE30'!$I:$I,'01. KE30'!$C:$C,'06. BC BH THEO CUSTOMER-USD'!$D97,'01. KE30'!$F:$F,'06. BC BH THEO CUSTOMER-USD'!$H97,'01. KE30'!$A:$A,'06. BC BH THEO CUSTOMER-USD'!CV$4)/1000</f>
        <v>0</v>
      </c>
      <c r="CW97" s="114">
        <f>SUMIFS('01. KE30'!$I:$I,'01. KE30'!$C:$C,'06. BC BH THEO CUSTOMER-USD'!$D97,'01. KE30'!$F:$F,'06. BC BH THEO CUSTOMER-USD'!$H97,'01. KE30'!$A:$A,'06. BC BH THEO CUSTOMER-USD'!CW$4)/1000</f>
        <v>0</v>
      </c>
      <c r="CX97" s="114">
        <f>SUMIFS('01. KE30'!$I:$I,'01. KE30'!$C:$C,'06. BC BH THEO CUSTOMER-USD'!$D97,'01. KE30'!$F:$F,'06. BC BH THEO CUSTOMER-USD'!$H97,'01. KE30'!$A:$A,'06. BC BH THEO CUSTOMER-USD'!CX$4)/1000</f>
        <v>0</v>
      </c>
      <c r="CY97" s="114">
        <f>SUMIFS('01. KE30'!$I:$I,'01. KE30'!$C:$C,'06. BC BH THEO CUSTOMER-USD'!$D97,'01. KE30'!$F:$F,'06. BC BH THEO CUSTOMER-USD'!$H97,'01. KE30'!$A:$A,'06. BC BH THEO CUSTOMER-USD'!CY$4)/1000</f>
        <v>0</v>
      </c>
      <c r="CZ97" s="114">
        <f>SUMIFS('01. KE30'!$I:$I,'01. KE30'!$C:$C,'06. BC BH THEO CUSTOMER-USD'!$D97,'01. KE30'!$F:$F,'06. BC BH THEO CUSTOMER-USD'!$H97,'01. KE30'!$A:$A,'06. BC BH THEO CUSTOMER-USD'!CZ$4)/1000</f>
        <v>0</v>
      </c>
      <c r="DA97" s="114">
        <f>SUMIFS('01. KE30'!$I:$I,'01. KE30'!$C:$C,'06. BC BH THEO CUSTOMER-USD'!$D97,'01. KE30'!$F:$F,'06. BC BH THEO CUSTOMER-USD'!$H97,'01. KE30'!$A:$A,'06. BC BH THEO CUSTOMER-USD'!DA$4)/1000</f>
        <v>0</v>
      </c>
      <c r="DB97" s="114">
        <f>SUMIFS('01. KE30'!$I:$I,'01. KE30'!$C:$C,'06. BC BH THEO CUSTOMER-USD'!$D97,'01. KE30'!$F:$F,'06. BC BH THEO CUSTOMER-USD'!$H97,'01. KE30'!$A:$A,'06. BC BH THEO CUSTOMER-USD'!DB$4)/1000</f>
        <v>0</v>
      </c>
      <c r="DC97" s="114">
        <f>SUMIFS('01. KE30'!$I:$I,'01. KE30'!$C:$C,'06. BC BH THEO CUSTOMER-USD'!$D97,'01. KE30'!$F:$F,'06. BC BH THEO CUSTOMER-USD'!$H97,'01. KE30'!$A:$A,'06. BC BH THEO CUSTOMER-USD'!DC$4)/1000</f>
        <v>0</v>
      </c>
      <c r="DD97" s="114">
        <f>SUMIFS('01. KE30'!$I:$I,'01. KE30'!$C:$C,'06. BC BH THEO CUSTOMER-USD'!$D97,'01. KE30'!$F:$F,'06. BC BH THEO CUSTOMER-USD'!$H97,'01. KE30'!$A:$A,'06. BC BH THEO CUSTOMER-USD'!DD$4)/1000</f>
        <v>0</v>
      </c>
      <c r="DF97" s="120">
        <f>SUM(DG97:DR97)</f>
        <v>13782.48031496063</v>
      </c>
      <c r="DG97" s="54" t="str">
        <f t="shared" ref="DG97:DR97" si="882">IFERROR(M97*CS97,"-")</f>
        <v>-</v>
      </c>
      <c r="DH97" s="54" t="str">
        <f t="shared" si="882"/>
        <v>-</v>
      </c>
      <c r="DI97" s="54">
        <f t="shared" si="882"/>
        <v>13782.48031496063</v>
      </c>
      <c r="DJ97" s="54" t="str">
        <f t="shared" si="882"/>
        <v>-</v>
      </c>
      <c r="DK97" s="54" t="str">
        <f t="shared" si="882"/>
        <v>-</v>
      </c>
      <c r="DL97" s="54" t="str">
        <f t="shared" si="882"/>
        <v>-</v>
      </c>
      <c r="DM97" s="54" t="str">
        <f t="shared" si="882"/>
        <v>-</v>
      </c>
      <c r="DN97" s="54" t="str">
        <f t="shared" si="882"/>
        <v>-</v>
      </c>
      <c r="DO97" s="54" t="str">
        <f t="shared" si="882"/>
        <v>-</v>
      </c>
      <c r="DP97" s="54" t="str">
        <f t="shared" si="882"/>
        <v>-</v>
      </c>
      <c r="DQ97" s="54" t="str">
        <f t="shared" si="882"/>
        <v>-</v>
      </c>
      <c r="DR97" s="54" t="str">
        <f t="shared" si="882"/>
        <v>-</v>
      </c>
      <c r="DT97" s="112">
        <f>SUM(DU97:EF97)</f>
        <v>2143.0010629921271</v>
      </c>
      <c r="DU97" s="114">
        <f>IFERROR(SUMIFS('01. KE30'!$X:$X,'01. KE30'!$C:$C,'06. BC BH THEO CUSTOMER-USD'!$D97,'01. KE30'!$F:$F,'06. BC BH THEO CUSTOMER-USD'!$H97,'01. KE30'!$A:$A,'06. BC BH THEO CUSTOMER-USD'!DU$4)-SUMIFS('01. KE30'!$AA:$AA,'01. KE30'!$C:$C,'06. BC BH THEO CUSTOMER-USD'!$D97,'01. KE30'!$F:$F,'06. BC BH THEO CUSTOMER-USD'!$H97,'01. KE30'!$A:$A,'06. BC BH THEO CUSTOMER-USD'!DU$4),"-")</f>
        <v>0</v>
      </c>
      <c r="DV97" s="114">
        <f>IFERROR(SUMIFS('01. KE30'!$X:$X,'01. KE30'!$C:$C,'06. BC BH THEO CUSTOMER-USD'!$D97,'01. KE30'!$F:$F,'06. BC BH THEO CUSTOMER-USD'!$H97,'01. KE30'!$A:$A,'06. BC BH THEO CUSTOMER-USD'!DV$4)-SUMIFS('01. KE30'!$AA:$AA,'01. KE30'!$C:$C,'06. BC BH THEO CUSTOMER-USD'!$D97,'01. KE30'!$F:$F,'06. BC BH THEO CUSTOMER-USD'!$H97,'01. KE30'!$A:$A,'06. BC BH THEO CUSTOMER-USD'!DV$4),"-")</f>
        <v>0</v>
      </c>
      <c r="DW97" s="114">
        <f>IFERROR(SUMIFS('01. KE30'!$X:$X,'01. KE30'!$C:$C,'06. BC BH THEO CUSTOMER-USD'!$D97,'01. KE30'!$F:$F,'06. BC BH THEO CUSTOMER-USD'!$H97,'01. KE30'!$A:$A,'06. BC BH THEO CUSTOMER-USD'!DW$4)-SUMIFS('01. KE30'!$AA:$AA,'01. KE30'!$C:$C,'06. BC BH THEO CUSTOMER-USD'!$D97,'01. KE30'!$F:$F,'06. BC BH THEO CUSTOMER-USD'!$H97,'01. KE30'!$A:$A,'06. BC BH THEO CUSTOMER-USD'!DW$4),"-")</f>
        <v>2143.0010629921271</v>
      </c>
      <c r="DX97" s="114">
        <f>IFERROR(SUMIFS('01. KE30'!$X:$X,'01. KE30'!$C:$C,'06. BC BH THEO CUSTOMER-USD'!$D97,'01. KE30'!$F:$F,'06. BC BH THEO CUSTOMER-USD'!$H97,'01. KE30'!$A:$A,'06. BC BH THEO CUSTOMER-USD'!DX$4)-SUMIFS('01. KE30'!$AA:$AA,'01. KE30'!$C:$C,'06. BC BH THEO CUSTOMER-USD'!$D97,'01. KE30'!$F:$F,'06. BC BH THEO CUSTOMER-USD'!$H97,'01. KE30'!$A:$A,'06. BC BH THEO CUSTOMER-USD'!DX$4),"-")</f>
        <v>0</v>
      </c>
      <c r="DY97" s="114">
        <f>IFERROR(SUMIFS('01. KE30'!$X:$X,'01. KE30'!$C:$C,'06. BC BH THEO CUSTOMER-USD'!$D97,'01. KE30'!$F:$F,'06. BC BH THEO CUSTOMER-USD'!$H97,'01. KE30'!$A:$A,'06. BC BH THEO CUSTOMER-USD'!DY$4)-SUMIFS('01. KE30'!$AA:$AA,'01. KE30'!$C:$C,'06. BC BH THEO CUSTOMER-USD'!$D97,'01. KE30'!$F:$F,'06. BC BH THEO CUSTOMER-USD'!$H97,'01. KE30'!$A:$A,'06. BC BH THEO CUSTOMER-USD'!DY$4),"-")</f>
        <v>0</v>
      </c>
      <c r="DZ97" s="114">
        <f>IFERROR(SUMIFS('01. KE30'!$X:$X,'01. KE30'!$C:$C,'06. BC BH THEO CUSTOMER-USD'!$D97,'01. KE30'!$F:$F,'06. BC BH THEO CUSTOMER-USD'!$H97,'01. KE30'!$A:$A,'06. BC BH THEO CUSTOMER-USD'!DZ$4)-SUMIFS('01. KE30'!$AA:$AA,'01. KE30'!$C:$C,'06. BC BH THEO CUSTOMER-USD'!$D97,'01. KE30'!$F:$F,'06. BC BH THEO CUSTOMER-USD'!$H97,'01. KE30'!$A:$A,'06. BC BH THEO CUSTOMER-USD'!DZ$4),"-")</f>
        <v>0</v>
      </c>
      <c r="EA97" s="114">
        <f>IFERROR(SUMIFS('01. KE30'!$X:$X,'01. KE30'!$C:$C,'06. BC BH THEO CUSTOMER-USD'!$D97,'01. KE30'!$F:$F,'06. BC BH THEO CUSTOMER-USD'!$H97,'01. KE30'!$A:$A,'06. BC BH THEO CUSTOMER-USD'!EA$4)-SUMIFS('01. KE30'!$AA:$AA,'01. KE30'!$C:$C,'06. BC BH THEO CUSTOMER-USD'!$D97,'01. KE30'!$F:$F,'06. BC BH THEO CUSTOMER-USD'!$H97,'01. KE30'!$A:$A,'06. BC BH THEO CUSTOMER-USD'!EA$4),"-")</f>
        <v>0</v>
      </c>
      <c r="EB97" s="114">
        <f>IFERROR(SUMIFS('01. KE30'!$X:$X,'01. KE30'!$C:$C,'06. BC BH THEO CUSTOMER-USD'!$D97,'01. KE30'!$F:$F,'06. BC BH THEO CUSTOMER-USD'!$H97,'01. KE30'!$A:$A,'06. BC BH THEO CUSTOMER-USD'!EB$4)-SUMIFS('01. KE30'!$AA:$AA,'01. KE30'!$C:$C,'06. BC BH THEO CUSTOMER-USD'!$D97,'01. KE30'!$F:$F,'06. BC BH THEO CUSTOMER-USD'!$H97,'01. KE30'!$A:$A,'06. BC BH THEO CUSTOMER-USD'!EB$4),"-")</f>
        <v>0</v>
      </c>
      <c r="EC97" s="114">
        <f>IFERROR(SUMIFS('01. KE30'!$X:$X,'01. KE30'!$C:$C,'06. BC BH THEO CUSTOMER-USD'!$D97,'01. KE30'!$F:$F,'06. BC BH THEO CUSTOMER-USD'!$H97,'01. KE30'!$A:$A,'06. BC BH THEO CUSTOMER-USD'!EC$4)-SUMIFS('01. KE30'!$AA:$AA,'01. KE30'!$C:$C,'06. BC BH THEO CUSTOMER-USD'!$D97,'01. KE30'!$F:$F,'06. BC BH THEO CUSTOMER-USD'!$H97,'01. KE30'!$A:$A,'06. BC BH THEO CUSTOMER-USD'!EC$4),"-")</f>
        <v>0</v>
      </c>
      <c r="ED97" s="114">
        <f>IFERROR(SUMIFS('01. KE30'!$X:$X,'01. KE30'!$C:$C,'06. BC BH THEO CUSTOMER-USD'!$D97,'01. KE30'!$F:$F,'06. BC BH THEO CUSTOMER-USD'!$H97,'01. KE30'!$A:$A,'06. BC BH THEO CUSTOMER-USD'!ED$4)-SUMIFS('01. KE30'!$AA:$AA,'01. KE30'!$C:$C,'06. BC BH THEO CUSTOMER-USD'!$D97,'01. KE30'!$F:$F,'06. BC BH THEO CUSTOMER-USD'!$H97,'01. KE30'!$A:$A,'06. BC BH THEO CUSTOMER-USD'!ED$4),"-")</f>
        <v>0</v>
      </c>
      <c r="EE97" s="114">
        <f>IFERROR(SUMIFS('01. KE30'!$X:$X,'01. KE30'!$C:$C,'06. BC BH THEO CUSTOMER-USD'!$D97,'01. KE30'!$F:$F,'06. BC BH THEO CUSTOMER-USD'!$H97,'01. KE30'!$A:$A,'06. BC BH THEO CUSTOMER-USD'!EE$4)-SUMIFS('01. KE30'!$AA:$AA,'01. KE30'!$C:$C,'06. BC BH THEO CUSTOMER-USD'!$D97,'01. KE30'!$F:$F,'06. BC BH THEO CUSTOMER-USD'!$H97,'01. KE30'!$A:$A,'06. BC BH THEO CUSTOMER-USD'!EE$4),"-")</f>
        <v>0</v>
      </c>
      <c r="EF97" s="114">
        <f>IFERROR(SUMIFS('01. KE30'!$X:$X,'01. KE30'!$C:$C,'06. BC BH THEO CUSTOMER-USD'!$D97,'01. KE30'!$F:$F,'06. BC BH THEO CUSTOMER-USD'!$H97,'01. KE30'!$A:$A,'06. BC BH THEO CUSTOMER-USD'!EF$4)-SUMIFS('01. KE30'!$AA:$AA,'01. KE30'!$C:$C,'06. BC BH THEO CUSTOMER-USD'!$D97,'01. KE30'!$F:$F,'06. BC BH THEO CUSTOMER-USD'!$H97,'01. KE30'!$A:$A,'06. BC BH THEO CUSTOMER-USD'!EF$4),"-")</f>
        <v>0</v>
      </c>
      <c r="EH97" s="571">
        <f t="shared" ref="EH97:ET97" si="883">IFERROR(DT97/DF97,"-")</f>
        <v>0.15548732985788769</v>
      </c>
      <c r="EI97" s="572" t="str">
        <f t="shared" si="883"/>
        <v>-</v>
      </c>
      <c r="EJ97" s="572" t="str">
        <f t="shared" si="883"/>
        <v>-</v>
      </c>
      <c r="EK97" s="572">
        <f t="shared" si="883"/>
        <v>0.15548732985788769</v>
      </c>
      <c r="EL97" s="572" t="str">
        <f t="shared" si="883"/>
        <v>-</v>
      </c>
      <c r="EM97" s="572" t="str">
        <f t="shared" si="883"/>
        <v>-</v>
      </c>
      <c r="EN97" s="572" t="str">
        <f t="shared" si="883"/>
        <v>-</v>
      </c>
      <c r="EO97" s="572" t="str">
        <f t="shared" si="883"/>
        <v>-</v>
      </c>
      <c r="EP97" s="572" t="str">
        <f t="shared" si="883"/>
        <v>-</v>
      </c>
      <c r="EQ97" s="572" t="str">
        <f t="shared" si="883"/>
        <v>-</v>
      </c>
      <c r="ER97" s="572" t="str">
        <f t="shared" si="883"/>
        <v>-</v>
      </c>
      <c r="ES97" s="572" t="str">
        <f t="shared" si="883"/>
        <v>-</v>
      </c>
      <c r="ET97" s="572" t="str">
        <f t="shared" si="883"/>
        <v>-</v>
      </c>
    </row>
    <row r="98" spans="1:150" ht="15.5" hidden="1" outlineLevel="1" x14ac:dyDescent="0.35">
      <c r="A98" s="27">
        <f t="shared" si="653"/>
        <v>82</v>
      </c>
      <c r="B98" s="27" t="s">
        <v>283</v>
      </c>
      <c r="C98" s="442" t="s">
        <v>489</v>
      </c>
      <c r="D98" s="9" t="s">
        <v>631</v>
      </c>
      <c r="E98" s="12" t="s">
        <v>632</v>
      </c>
      <c r="F98" s="12" t="s">
        <v>250</v>
      </c>
      <c r="G98" s="12" t="str">
        <f>_xlfn.XLOOKUP(F98,'Quy đổi'!$G$5:$G$32,'Quy đổi'!$H$5:$H$32,0)</f>
        <v>Châu Âu</v>
      </c>
      <c r="H98" s="76" t="s">
        <v>100</v>
      </c>
      <c r="I98" s="28" t="s">
        <v>99</v>
      </c>
      <c r="J98" s="6" t="s">
        <v>26</v>
      </c>
      <c r="K98" s="11" t="s">
        <v>113</v>
      </c>
      <c r="L98" s="92">
        <f t="shared" si="835"/>
        <v>1293.0472440944882</v>
      </c>
      <c r="M98" s="106" t="str">
        <f>IFERROR(SUMIFS('01. KE30'!$K:$K,'01. KE30'!$C:$C,'06. BC BH THEO CUSTOMER-USD'!$D98,'01. KE30'!$F:$F,'06. BC BH THEO CUSTOMER-USD'!$H98,'01. KE30'!$A:$A,'06. BC BH THEO CUSTOMER-USD'!M$4)/'06. BC BH THEO CUSTOMER-USD'!CS98/'02. Tỷ giá'!B$5,"-")</f>
        <v>-</v>
      </c>
      <c r="N98" s="106" t="str">
        <f>IFERROR(SUMIFS('01. KE30'!$K:$K,'01. KE30'!$C:$C,'06. BC BH THEO CUSTOMER-USD'!$D98,'01. KE30'!$F:$F,'06. BC BH THEO CUSTOMER-USD'!$H98,'01. KE30'!$A:$A,'06. BC BH THEO CUSTOMER-USD'!N$4)/'06. BC BH THEO CUSTOMER-USD'!CT98/'02. Tỷ giá'!C$5,"-")</f>
        <v>-</v>
      </c>
      <c r="O98" s="106">
        <f>IFERROR(SUMIFS('01. KE30'!$K:$K,'01. KE30'!$C:$C,'06. BC BH THEO CUSTOMER-USD'!$D98,'01. KE30'!$F:$F,'06. BC BH THEO CUSTOMER-USD'!$H98,'01. KE30'!$A:$A,'06. BC BH THEO CUSTOMER-USD'!O$4)/'06. BC BH THEO CUSTOMER-USD'!CU98/'02. Tỷ giá'!D$5,"-")</f>
        <v>1293.0472440944882</v>
      </c>
      <c r="P98" s="106" t="str">
        <f>IFERROR(SUMIFS('01. KE30'!$K:$K,'01. KE30'!$C:$C,'06. BC BH THEO CUSTOMER-USD'!$D98,'01. KE30'!$F:$F,'06. BC BH THEO CUSTOMER-USD'!$H98,'01. KE30'!$A:$A,'06. BC BH THEO CUSTOMER-USD'!P$4)/'06. BC BH THEO CUSTOMER-USD'!CV98/'02. Tỷ giá'!E$5,"-")</f>
        <v>-</v>
      </c>
      <c r="Q98" s="106" t="str">
        <f>IFERROR(SUMIFS('01. KE30'!$K:$K,'01. KE30'!$C:$C,'06. BC BH THEO CUSTOMER-USD'!$D98,'01. KE30'!$F:$F,'06. BC BH THEO CUSTOMER-USD'!$H98,'01. KE30'!$A:$A,'06. BC BH THEO CUSTOMER-USD'!Q$4)/'06. BC BH THEO CUSTOMER-USD'!CW98/'02. Tỷ giá'!F$5,"-")</f>
        <v>-</v>
      </c>
      <c r="R98" s="106" t="str">
        <f>IFERROR(SUMIFS('01. KE30'!$K:$K,'01. KE30'!$C:$C,'06. BC BH THEO CUSTOMER-USD'!$D98,'01. KE30'!$F:$F,'06. BC BH THEO CUSTOMER-USD'!$H98,'01. KE30'!$A:$A,'06. BC BH THEO CUSTOMER-USD'!R$4)/'06. BC BH THEO CUSTOMER-USD'!CX98/'02. Tỷ giá'!G$5,"-")</f>
        <v>-</v>
      </c>
      <c r="S98" s="106" t="str">
        <f>IFERROR(SUMIFS('01. KE30'!$K:$K,'01. KE30'!$C:$C,'06. BC BH THEO CUSTOMER-USD'!$D98,'01. KE30'!$F:$F,'06. BC BH THEO CUSTOMER-USD'!$H98,'01. KE30'!$A:$A,'06. BC BH THEO CUSTOMER-USD'!S$4)/'06. BC BH THEO CUSTOMER-USD'!CY98/'02. Tỷ giá'!H$5,"-")</f>
        <v>-</v>
      </c>
      <c r="T98" s="106" t="str">
        <f>IFERROR(SUMIFS('01. KE30'!$K:$K,'01. KE30'!$C:$C,'06. BC BH THEO CUSTOMER-USD'!$D98,'01. KE30'!$F:$F,'06. BC BH THEO CUSTOMER-USD'!$H98,'01. KE30'!$A:$A,'06. BC BH THEO CUSTOMER-USD'!T$4)/'06. BC BH THEO CUSTOMER-USD'!CZ98/'02. Tỷ giá'!I$5,"-")</f>
        <v>-</v>
      </c>
      <c r="U98" s="106" t="str">
        <f>IFERROR(SUMIFS('01. KE30'!$K:$K,'01. KE30'!$C:$C,'06. BC BH THEO CUSTOMER-USD'!$D98,'01. KE30'!$F:$F,'06. BC BH THEO CUSTOMER-USD'!$H98,'01. KE30'!$A:$A,'06. BC BH THEO CUSTOMER-USD'!U$4)/'06. BC BH THEO CUSTOMER-USD'!DA98/'02. Tỷ giá'!J$5,"-")</f>
        <v>-</v>
      </c>
      <c r="V98" s="106" t="str">
        <f>IFERROR(SUMIFS('01. KE30'!$K:$K,'01. KE30'!$C:$C,'06. BC BH THEO CUSTOMER-USD'!$D98,'01. KE30'!$F:$F,'06. BC BH THEO CUSTOMER-USD'!$H98,'01. KE30'!$A:$A,'06. BC BH THEO CUSTOMER-USD'!V$4)/'06. BC BH THEO CUSTOMER-USD'!DB98/'02. Tỷ giá'!K$5,"-")</f>
        <v>-</v>
      </c>
      <c r="W98" s="106" t="str">
        <f>IFERROR(SUMIFS('01. KE30'!$K:$K,'01. KE30'!$C:$C,'06. BC BH THEO CUSTOMER-USD'!$D98,'01. KE30'!$F:$F,'06. BC BH THEO CUSTOMER-USD'!$H98,'01. KE30'!$A:$A,'06. BC BH THEO CUSTOMER-USD'!W$4)/'06. BC BH THEO CUSTOMER-USD'!DC98/'02. Tỷ giá'!L$5,"-")</f>
        <v>-</v>
      </c>
      <c r="X98" s="106" t="str">
        <f>IFERROR(SUMIFS('01. KE30'!$K:$K,'01. KE30'!$C:$C,'06. BC BH THEO CUSTOMER-USD'!$D98,'01. KE30'!$F:$F,'06. BC BH THEO CUSTOMER-USD'!$H98,'01. KE30'!$A:$A,'06. BC BH THEO CUSTOMER-USD'!X$4)/'06. BC BH THEO CUSTOMER-USD'!DD98/'02. Tỷ giá'!M$5,"-")</f>
        <v>-</v>
      </c>
      <c r="Z98" s="92">
        <f t="shared" si="836"/>
        <v>1267.8856657122403</v>
      </c>
      <c r="AA98" s="147" t="str">
        <f>IFERROR(SUMIFS('01. KE30'!$O:$O,'01. KE30'!$C:$C,'06. BC BH THEO CUSTOMER-USD'!$D98,'01. KE30'!$F:$F,'06. BC BH THEO CUSTOMER-USD'!$H98,'01. KE30'!$A:$A,'06. BC BH THEO CUSTOMER-USD'!M$4)/'06. BC BH THEO CUSTOMER-USD'!CS98/'02. Tỷ giá'!B$5,"-")</f>
        <v>-</v>
      </c>
      <c r="AB98" s="147" t="str">
        <f>IFERROR(SUMIFS('01. KE30'!$O:$O,'01. KE30'!$C:$C,'06. BC BH THEO CUSTOMER-USD'!$D98,'01. KE30'!$F:$F,'06. BC BH THEO CUSTOMER-USD'!$H98,'01. KE30'!$A:$A,'06. BC BH THEO CUSTOMER-USD'!N$4)/'06. BC BH THEO CUSTOMER-USD'!CT98/'02. Tỷ giá'!C$5,"-")</f>
        <v>-</v>
      </c>
      <c r="AC98" s="147">
        <f>IFERROR(SUMIFS('01. KE30'!$O:$O,'01. KE30'!$C:$C,'06. BC BH THEO CUSTOMER-USD'!$D98,'01. KE30'!$F:$F,'06. BC BH THEO CUSTOMER-USD'!$H98,'01. KE30'!$A:$A,'06. BC BH THEO CUSTOMER-USD'!O$4)/'06. BC BH THEO CUSTOMER-USD'!CU98/'02. Tỷ giá'!D$5,"-")</f>
        <v>1267.8856657122403</v>
      </c>
      <c r="AD98" s="147" t="str">
        <f>IFERROR(SUMIFS('01. KE30'!$O:$O,'01. KE30'!$C:$C,'06. BC BH THEO CUSTOMER-USD'!$D98,'01. KE30'!$F:$F,'06. BC BH THEO CUSTOMER-USD'!$H98,'01. KE30'!$A:$A,'06. BC BH THEO CUSTOMER-USD'!P$4)/'06. BC BH THEO CUSTOMER-USD'!CV98/'02. Tỷ giá'!E$5,"-")</f>
        <v>-</v>
      </c>
      <c r="AE98" s="147" t="str">
        <f>IFERROR(SUMIFS('01. KE30'!$O:$O,'01. KE30'!$C:$C,'06. BC BH THEO CUSTOMER-USD'!$D98,'01. KE30'!$F:$F,'06. BC BH THEO CUSTOMER-USD'!$H98,'01. KE30'!$A:$A,'06. BC BH THEO CUSTOMER-USD'!Q$4)/'06. BC BH THEO CUSTOMER-USD'!CW98/'02. Tỷ giá'!F$5,"-")</f>
        <v>-</v>
      </c>
      <c r="AF98" s="147" t="str">
        <f>IFERROR(SUMIFS('01. KE30'!$O:$O,'01. KE30'!$C:$C,'06. BC BH THEO CUSTOMER-USD'!$D98,'01. KE30'!$F:$F,'06. BC BH THEO CUSTOMER-USD'!$H98,'01. KE30'!$A:$A,'06. BC BH THEO CUSTOMER-USD'!R$4)/'06. BC BH THEO CUSTOMER-USD'!CX98/'02. Tỷ giá'!G$5,"-")</f>
        <v>-</v>
      </c>
      <c r="AG98" s="147" t="str">
        <f>IFERROR(SUMIFS('01. KE30'!$O:$O,'01. KE30'!$C:$C,'06. BC BH THEO CUSTOMER-USD'!$D98,'01. KE30'!$F:$F,'06. BC BH THEO CUSTOMER-USD'!$H98,'01. KE30'!$A:$A,'06. BC BH THEO CUSTOMER-USD'!S$4)/'06. BC BH THEO CUSTOMER-USD'!CY98/'02. Tỷ giá'!H$5,"-")</f>
        <v>-</v>
      </c>
      <c r="AH98" s="147" t="str">
        <f>IFERROR(SUMIFS('01. KE30'!$O:$O,'01. KE30'!$C:$C,'06. BC BH THEO CUSTOMER-USD'!$D98,'01. KE30'!$F:$F,'06. BC BH THEO CUSTOMER-USD'!$H98,'01. KE30'!$A:$A,'06. BC BH THEO CUSTOMER-USD'!T$4)/'06. BC BH THEO CUSTOMER-USD'!CZ98/'02. Tỷ giá'!I$5,"-")</f>
        <v>-</v>
      </c>
      <c r="AI98" s="147" t="str">
        <f>IFERROR(SUMIFS('01. KE30'!$O:$O,'01. KE30'!$C:$C,'06. BC BH THEO CUSTOMER-USD'!$D98,'01. KE30'!$F:$F,'06. BC BH THEO CUSTOMER-USD'!$H98,'01. KE30'!$A:$A,'06. BC BH THEO CUSTOMER-USD'!U$4)/'06. BC BH THEO CUSTOMER-USD'!DA98/'02. Tỷ giá'!J$5,"-")</f>
        <v>-</v>
      </c>
      <c r="AJ98" s="147" t="str">
        <f>IFERROR(SUMIFS('01. KE30'!$O:$O,'01. KE30'!$C:$C,'06. BC BH THEO CUSTOMER-USD'!$D98,'01. KE30'!$F:$F,'06. BC BH THEO CUSTOMER-USD'!$H98,'01. KE30'!$A:$A,'06. BC BH THEO CUSTOMER-USD'!V$4)/'06. BC BH THEO CUSTOMER-USD'!DB98/'02. Tỷ giá'!K$5,"-")</f>
        <v>-</v>
      </c>
      <c r="AK98" s="147" t="str">
        <f>IFERROR(SUMIFS('01. KE30'!$O:$O,'01. KE30'!$C:$C,'06. BC BH THEO CUSTOMER-USD'!$D98,'01. KE30'!$F:$F,'06. BC BH THEO CUSTOMER-USD'!$H98,'01. KE30'!$A:$A,'06. BC BH THEO CUSTOMER-USD'!W$4)/'06. BC BH THEO CUSTOMER-USD'!DC98/'02. Tỷ giá'!L$5,"-")</f>
        <v>-</v>
      </c>
      <c r="AL98" s="147" t="str">
        <f>IFERROR(SUMIFS('01. KE30'!$O:$O,'01. KE30'!$C:$C,'06. BC BH THEO CUSTOMER-USD'!$D98,'01. KE30'!$F:$F,'06. BC BH THEO CUSTOMER-USD'!$H98,'01. KE30'!$A:$A,'06. BC BH THEO CUSTOMER-USD'!X$4)/'06. BC BH THEO CUSTOMER-USD'!DD98/'02. Tỷ giá'!M$5,"-")</f>
        <v>-</v>
      </c>
      <c r="AN98" s="92">
        <f t="shared" si="837"/>
        <v>1266.6666666666667</v>
      </c>
      <c r="AO98" s="25">
        <v>1260</v>
      </c>
      <c r="AP98" s="25">
        <v>1260</v>
      </c>
      <c r="AQ98" s="25">
        <v>1260</v>
      </c>
      <c r="AR98" s="4">
        <f t="shared" ref="AR98:AR99" si="884">AQ98+20</f>
        <v>1280</v>
      </c>
      <c r="AS98" s="4">
        <v>1280</v>
      </c>
      <c r="AT98" s="4">
        <v>1280</v>
      </c>
      <c r="AU98" s="4">
        <v>1280</v>
      </c>
      <c r="AV98" s="4">
        <f t="shared" si="205"/>
        <v>1250</v>
      </c>
      <c r="AW98" s="25">
        <v>1250</v>
      </c>
      <c r="AX98" s="25"/>
      <c r="AY98" s="4"/>
      <c r="AZ98" s="4"/>
      <c r="BB98" s="95">
        <f t="shared" si="838"/>
        <v>1.2189990455735824</v>
      </c>
      <c r="BC98" s="95" t="str">
        <f t="shared" si="839"/>
        <v>-</v>
      </c>
      <c r="BD98" s="95" t="str">
        <f t="shared" si="840"/>
        <v>-</v>
      </c>
      <c r="BE98" s="95">
        <f t="shared" si="841"/>
        <v>7.8856657122403249</v>
      </c>
      <c r="BF98" s="95" t="str">
        <f t="shared" si="842"/>
        <v>-</v>
      </c>
      <c r="BG98" s="95" t="str">
        <f t="shared" si="843"/>
        <v>-</v>
      </c>
      <c r="BH98" s="95" t="str">
        <f t="shared" si="844"/>
        <v>-</v>
      </c>
      <c r="BI98" s="95" t="str">
        <f t="shared" si="845"/>
        <v>-</v>
      </c>
      <c r="BJ98" s="95" t="str">
        <f t="shared" si="846"/>
        <v>-</v>
      </c>
      <c r="BK98" s="95" t="str">
        <f t="shared" si="847"/>
        <v>-</v>
      </c>
      <c r="BL98" s="95" t="str">
        <f t="shared" si="848"/>
        <v>-</v>
      </c>
      <c r="BM98" s="95" t="str">
        <f t="shared" si="849"/>
        <v>-</v>
      </c>
      <c r="BN98" s="95" t="str">
        <f t="shared" si="850"/>
        <v>-</v>
      </c>
      <c r="BP98" s="143">
        <f t="shared" si="851"/>
        <v>9.6236766755809127E-4</v>
      </c>
      <c r="BQ98" s="143" t="str">
        <f t="shared" si="852"/>
        <v>-</v>
      </c>
      <c r="BR98" s="143" t="str">
        <f t="shared" si="853"/>
        <v>-</v>
      </c>
      <c r="BS98" s="143">
        <f t="shared" si="854"/>
        <v>6.2584648509843846E-3</v>
      </c>
      <c r="BT98" s="143" t="str">
        <f t="shared" si="855"/>
        <v>-</v>
      </c>
      <c r="BU98" s="143" t="str">
        <f t="shared" si="856"/>
        <v>-</v>
      </c>
      <c r="BV98" s="143" t="str">
        <f t="shared" si="857"/>
        <v>-</v>
      </c>
      <c r="BW98" s="143" t="str">
        <f t="shared" si="858"/>
        <v>-</v>
      </c>
      <c r="BX98" s="143" t="str">
        <f t="shared" si="859"/>
        <v>-</v>
      </c>
      <c r="BY98" s="143" t="str">
        <f t="shared" si="860"/>
        <v>-</v>
      </c>
      <c r="BZ98" s="143" t="str">
        <f t="shared" si="861"/>
        <v>-</v>
      </c>
      <c r="CA98" s="143" t="str">
        <f t="shared" si="862"/>
        <v>-</v>
      </c>
      <c r="CB98" s="143" t="str">
        <f t="shared" si="863"/>
        <v>-</v>
      </c>
      <c r="CD98" s="112">
        <f t="shared" si="864"/>
        <v>997.67758689254742</v>
      </c>
      <c r="CE98" s="95" t="str">
        <f>IFERROR(SUMIFS('01. KE30'!$R:$R,'01. KE30'!$C:$C,'06. BC BH THEO CUSTOMER-USD'!$D98,'01. KE30'!$F:$F,'06. BC BH THEO CUSTOMER-USD'!$H98,'01. KE30'!$A:$A,'06. BC BH THEO CUSTOMER-USD'!CE$4)/CS98/'02. Tỷ giá'!B$5," -")</f>
        <v xml:space="preserve"> -</v>
      </c>
      <c r="CF98" s="95" t="str">
        <f>IFERROR(SUMIFS('01. KE30'!$R:$R,'01. KE30'!$C:$C,'06. BC BH THEO CUSTOMER-USD'!$D98,'01. KE30'!$F:$F,'06. BC BH THEO CUSTOMER-USD'!$H98,'01. KE30'!$A:$A,'06. BC BH THEO CUSTOMER-USD'!CF$4)/CT98/'02. Tỷ giá'!C$5," -")</f>
        <v xml:space="preserve"> -</v>
      </c>
      <c r="CG98" s="95">
        <f>IFERROR(SUMIFS('01. KE30'!$R:$R,'01. KE30'!$C:$C,'06. BC BH THEO CUSTOMER-USD'!$D98,'01. KE30'!$F:$F,'06. BC BH THEO CUSTOMER-USD'!$H98,'01. KE30'!$A:$A,'06. BC BH THEO CUSTOMER-USD'!CG$4)/CU98/'02. Tỷ giá'!D$5," -")</f>
        <v>997.67758689254742</v>
      </c>
      <c r="CH98" s="95" t="str">
        <f>IFERROR(SUMIFS('01. KE30'!$R:$R,'01. KE30'!$C:$C,'06. BC BH THEO CUSTOMER-USD'!$D98,'01. KE30'!$F:$F,'06. BC BH THEO CUSTOMER-USD'!$H98,'01. KE30'!$A:$A,'06. BC BH THEO CUSTOMER-USD'!CH$4)/CV98/'02. Tỷ giá'!E$5," -")</f>
        <v xml:space="preserve"> -</v>
      </c>
      <c r="CI98" s="95" t="str">
        <f>IFERROR(SUMIFS('01. KE30'!$R:$R,'01. KE30'!$C:$C,'06. BC BH THEO CUSTOMER-USD'!$D98,'01. KE30'!$F:$F,'06. BC BH THEO CUSTOMER-USD'!$H98,'01. KE30'!$A:$A,'06. BC BH THEO CUSTOMER-USD'!CI$4)/CW98/'02. Tỷ giá'!F$5," -")</f>
        <v xml:space="preserve"> -</v>
      </c>
      <c r="CJ98" s="95" t="str">
        <f>IFERROR(SUMIFS('01. KE30'!$R:$R,'01. KE30'!$C:$C,'06. BC BH THEO CUSTOMER-USD'!$D98,'01. KE30'!$F:$F,'06. BC BH THEO CUSTOMER-USD'!$H98,'01. KE30'!$A:$A,'06. BC BH THEO CUSTOMER-USD'!CJ$4)/CX98/'02. Tỷ giá'!G$5," -")</f>
        <v xml:space="preserve"> -</v>
      </c>
      <c r="CK98" s="95" t="str">
        <f>IFERROR(SUMIFS('01. KE30'!$R:$R,'01. KE30'!$C:$C,'06. BC BH THEO CUSTOMER-USD'!$D98,'01. KE30'!$F:$F,'06. BC BH THEO CUSTOMER-USD'!$H98,'01. KE30'!$A:$A,'06. BC BH THEO CUSTOMER-USD'!CK$4)/CY98/'02. Tỷ giá'!H$5," -")</f>
        <v xml:space="preserve"> -</v>
      </c>
      <c r="CL98" s="95" t="str">
        <f>IFERROR(SUMIFS('01. KE30'!$R:$R,'01. KE30'!$C:$C,'06. BC BH THEO CUSTOMER-USD'!$D98,'01. KE30'!$F:$F,'06. BC BH THEO CUSTOMER-USD'!$H98,'01. KE30'!$A:$A,'06. BC BH THEO CUSTOMER-USD'!CL$4)/CZ98/'02. Tỷ giá'!I$5," -")</f>
        <v xml:space="preserve"> -</v>
      </c>
      <c r="CM98" s="95" t="str">
        <f>IFERROR(SUMIFS('01. KE30'!$R:$R,'01. KE30'!$C:$C,'06. BC BH THEO CUSTOMER-USD'!$D98,'01. KE30'!$F:$F,'06. BC BH THEO CUSTOMER-USD'!$H98,'01. KE30'!$A:$A,'06. BC BH THEO CUSTOMER-USD'!CM$4)/DA98/'02. Tỷ giá'!J$5," -")</f>
        <v xml:space="preserve"> -</v>
      </c>
      <c r="CN98" s="95" t="str">
        <f>IFERROR(SUMIFS('01. KE30'!$R:$R,'01. KE30'!$C:$C,'06. BC BH THEO CUSTOMER-USD'!$D98,'01. KE30'!$F:$F,'06. BC BH THEO CUSTOMER-USD'!$H98,'01. KE30'!$A:$A,'06. BC BH THEO CUSTOMER-USD'!CN$4)/DB98/'02. Tỷ giá'!K$5," -")</f>
        <v xml:space="preserve"> -</v>
      </c>
      <c r="CO98" s="95" t="str">
        <f>IFERROR(SUMIFS('01. KE30'!$R:$R,'01. KE30'!$C:$C,'06. BC BH THEO CUSTOMER-USD'!$D98,'01. KE30'!$F:$F,'06. BC BH THEO CUSTOMER-USD'!$H98,'01. KE30'!$A:$A,'06. BC BH THEO CUSTOMER-USD'!CO$4)/DC98/'02. Tỷ giá'!L$5," -")</f>
        <v xml:space="preserve"> -</v>
      </c>
      <c r="CP98" s="95" t="str">
        <f>IFERROR(SUMIFS('01. KE30'!$R:$R,'01. KE30'!$C:$C,'06. BC BH THEO CUSTOMER-USD'!$D98,'01. KE30'!$F:$F,'06. BC BH THEO CUSTOMER-USD'!$H98,'01. KE30'!$A:$A,'06. BC BH THEO CUSTOMER-USD'!CP$4)/DD98/'02. Tỷ giá'!M$5," -")</f>
        <v xml:space="preserve"> -</v>
      </c>
      <c r="CR98" s="112">
        <f t="shared" si="865"/>
        <v>9.9</v>
      </c>
      <c r="CS98" s="114">
        <f>SUMIFS('01. KE30'!$I:$I,'01. KE30'!$C:$C,'06. BC BH THEO CUSTOMER-USD'!$D98,'01. KE30'!$F:$F,'06. BC BH THEO CUSTOMER-USD'!$H98,'01. KE30'!$A:$A,'06. BC BH THEO CUSTOMER-USD'!CS$4)/1000</f>
        <v>0</v>
      </c>
      <c r="CT98" s="114">
        <f>SUMIFS('01. KE30'!$I:$I,'01. KE30'!$C:$C,'06. BC BH THEO CUSTOMER-USD'!$D98,'01. KE30'!$F:$F,'06. BC BH THEO CUSTOMER-USD'!$H98,'01. KE30'!$A:$A,'06. BC BH THEO CUSTOMER-USD'!CT$4)/1000</f>
        <v>0</v>
      </c>
      <c r="CU98" s="114">
        <f>SUMIFS('01. KE30'!$I:$I,'01. KE30'!$C:$C,'06. BC BH THEO CUSTOMER-USD'!$D98,'01. KE30'!$F:$F,'06. BC BH THEO CUSTOMER-USD'!$H98,'01. KE30'!$A:$A,'06. BC BH THEO CUSTOMER-USD'!CU$4)/1000</f>
        <v>9.9</v>
      </c>
      <c r="CV98" s="114">
        <f>SUMIFS('01. KE30'!$I:$I,'01. KE30'!$C:$C,'06. BC BH THEO CUSTOMER-USD'!$D98,'01. KE30'!$F:$F,'06. BC BH THEO CUSTOMER-USD'!$H98,'01. KE30'!$A:$A,'06. BC BH THEO CUSTOMER-USD'!CV$4)/1000</f>
        <v>0</v>
      </c>
      <c r="CW98" s="114">
        <f>SUMIFS('01. KE30'!$I:$I,'01. KE30'!$C:$C,'06. BC BH THEO CUSTOMER-USD'!$D98,'01. KE30'!$F:$F,'06. BC BH THEO CUSTOMER-USD'!$H98,'01. KE30'!$A:$A,'06. BC BH THEO CUSTOMER-USD'!CW$4)/1000</f>
        <v>0</v>
      </c>
      <c r="CX98" s="114">
        <f>SUMIFS('01. KE30'!$I:$I,'01. KE30'!$C:$C,'06. BC BH THEO CUSTOMER-USD'!$D98,'01. KE30'!$F:$F,'06. BC BH THEO CUSTOMER-USD'!$H98,'01. KE30'!$A:$A,'06. BC BH THEO CUSTOMER-USD'!CX$4)/1000</f>
        <v>0</v>
      </c>
      <c r="CY98" s="114">
        <f>SUMIFS('01. KE30'!$I:$I,'01. KE30'!$C:$C,'06. BC BH THEO CUSTOMER-USD'!$D98,'01. KE30'!$F:$F,'06. BC BH THEO CUSTOMER-USD'!$H98,'01. KE30'!$A:$A,'06. BC BH THEO CUSTOMER-USD'!CY$4)/1000</f>
        <v>0</v>
      </c>
      <c r="CZ98" s="114">
        <f>SUMIFS('01. KE30'!$I:$I,'01. KE30'!$C:$C,'06. BC BH THEO CUSTOMER-USD'!$D98,'01. KE30'!$F:$F,'06. BC BH THEO CUSTOMER-USD'!$H98,'01. KE30'!$A:$A,'06. BC BH THEO CUSTOMER-USD'!CZ$4)/1000</f>
        <v>0</v>
      </c>
      <c r="DA98" s="114">
        <f>SUMIFS('01. KE30'!$I:$I,'01. KE30'!$C:$C,'06. BC BH THEO CUSTOMER-USD'!$D98,'01. KE30'!$F:$F,'06. BC BH THEO CUSTOMER-USD'!$H98,'01. KE30'!$A:$A,'06. BC BH THEO CUSTOMER-USD'!DA$4)/1000</f>
        <v>0</v>
      </c>
      <c r="DB98" s="114">
        <f>SUMIFS('01. KE30'!$I:$I,'01. KE30'!$C:$C,'06. BC BH THEO CUSTOMER-USD'!$D98,'01. KE30'!$F:$F,'06. BC BH THEO CUSTOMER-USD'!$H98,'01. KE30'!$A:$A,'06. BC BH THEO CUSTOMER-USD'!DB$4)/1000</f>
        <v>0</v>
      </c>
      <c r="DC98" s="114">
        <f>SUMIFS('01. KE30'!$I:$I,'01. KE30'!$C:$C,'06. BC BH THEO CUSTOMER-USD'!$D98,'01. KE30'!$F:$F,'06. BC BH THEO CUSTOMER-USD'!$H98,'01. KE30'!$A:$A,'06. BC BH THEO CUSTOMER-USD'!DC$4)/1000</f>
        <v>0</v>
      </c>
      <c r="DD98" s="114">
        <f>SUMIFS('01. KE30'!$I:$I,'01. KE30'!$C:$C,'06. BC BH THEO CUSTOMER-USD'!$D98,'01. KE30'!$F:$F,'06. BC BH THEO CUSTOMER-USD'!$H98,'01. KE30'!$A:$A,'06. BC BH THEO CUSTOMER-USD'!DD$4)/1000</f>
        <v>0</v>
      </c>
      <c r="DF98" s="120">
        <f t="shared" si="866"/>
        <v>12801.167716535434</v>
      </c>
      <c r="DG98" s="54" t="str">
        <f t="shared" si="867"/>
        <v>-</v>
      </c>
      <c r="DH98" s="54" t="str">
        <f t="shared" si="868"/>
        <v>-</v>
      </c>
      <c r="DI98" s="54">
        <f t="shared" si="869"/>
        <v>12801.167716535434</v>
      </c>
      <c r="DJ98" s="54" t="str">
        <f t="shared" si="870"/>
        <v>-</v>
      </c>
      <c r="DK98" s="54" t="str">
        <f t="shared" si="871"/>
        <v>-</v>
      </c>
      <c r="DL98" s="54" t="str">
        <f t="shared" si="872"/>
        <v>-</v>
      </c>
      <c r="DM98" s="54" t="str">
        <f t="shared" si="873"/>
        <v>-</v>
      </c>
      <c r="DN98" s="54" t="str">
        <f t="shared" si="874"/>
        <v>-</v>
      </c>
      <c r="DO98" s="54" t="str">
        <f t="shared" si="875"/>
        <v>-</v>
      </c>
      <c r="DP98" s="54" t="str">
        <f t="shared" si="876"/>
        <v>-</v>
      </c>
      <c r="DQ98" s="54" t="str">
        <f t="shared" si="877"/>
        <v>-</v>
      </c>
      <c r="DR98" s="54" t="str">
        <f t="shared" si="878"/>
        <v>-</v>
      </c>
      <c r="DT98" s="112">
        <f t="shared" si="879"/>
        <v>2675.0599803149616</v>
      </c>
      <c r="DU98" s="114">
        <f>IFERROR(SUMIFS('01. KE30'!$X:$X,'01. KE30'!$C:$C,'06. BC BH THEO CUSTOMER-USD'!$D98,'01. KE30'!$F:$F,'06. BC BH THEO CUSTOMER-USD'!$H98,'01. KE30'!$A:$A,'06. BC BH THEO CUSTOMER-USD'!DU$4)-SUMIFS('01. KE30'!$AA:$AA,'01. KE30'!$C:$C,'06. BC BH THEO CUSTOMER-USD'!$D98,'01. KE30'!$F:$F,'06. BC BH THEO CUSTOMER-USD'!$H98,'01. KE30'!$A:$A,'06. BC BH THEO CUSTOMER-USD'!DU$4),"-")</f>
        <v>0</v>
      </c>
      <c r="DV98" s="114">
        <f>IFERROR(SUMIFS('01. KE30'!$X:$X,'01. KE30'!$C:$C,'06. BC BH THEO CUSTOMER-USD'!$D98,'01. KE30'!$F:$F,'06. BC BH THEO CUSTOMER-USD'!$H98,'01. KE30'!$A:$A,'06. BC BH THEO CUSTOMER-USD'!DV$4)-SUMIFS('01. KE30'!$AA:$AA,'01. KE30'!$C:$C,'06. BC BH THEO CUSTOMER-USD'!$D98,'01. KE30'!$F:$F,'06. BC BH THEO CUSTOMER-USD'!$H98,'01. KE30'!$A:$A,'06. BC BH THEO CUSTOMER-USD'!DV$4),"-")</f>
        <v>0</v>
      </c>
      <c r="DW98" s="114">
        <f>IFERROR(SUMIFS('01. KE30'!$X:$X,'01. KE30'!$C:$C,'06. BC BH THEO CUSTOMER-USD'!$D98,'01. KE30'!$F:$F,'06. BC BH THEO CUSTOMER-USD'!$H98,'01. KE30'!$A:$A,'06. BC BH THEO CUSTOMER-USD'!DW$4)-SUMIFS('01. KE30'!$AA:$AA,'01. KE30'!$C:$C,'06. BC BH THEO CUSTOMER-USD'!$D98,'01. KE30'!$F:$F,'06. BC BH THEO CUSTOMER-USD'!$H98,'01. KE30'!$A:$A,'06. BC BH THEO CUSTOMER-USD'!DW$4),"-")</f>
        <v>2675.0599803149616</v>
      </c>
      <c r="DX98" s="114">
        <f>IFERROR(SUMIFS('01. KE30'!$X:$X,'01. KE30'!$C:$C,'06. BC BH THEO CUSTOMER-USD'!$D98,'01. KE30'!$F:$F,'06. BC BH THEO CUSTOMER-USD'!$H98,'01. KE30'!$A:$A,'06. BC BH THEO CUSTOMER-USD'!DX$4)-SUMIFS('01. KE30'!$AA:$AA,'01. KE30'!$C:$C,'06. BC BH THEO CUSTOMER-USD'!$D98,'01. KE30'!$F:$F,'06. BC BH THEO CUSTOMER-USD'!$H98,'01. KE30'!$A:$A,'06. BC BH THEO CUSTOMER-USD'!DX$4),"-")</f>
        <v>0</v>
      </c>
      <c r="DY98" s="114">
        <f>IFERROR(SUMIFS('01. KE30'!$X:$X,'01. KE30'!$C:$C,'06. BC BH THEO CUSTOMER-USD'!$D98,'01. KE30'!$F:$F,'06. BC BH THEO CUSTOMER-USD'!$H98,'01. KE30'!$A:$A,'06. BC BH THEO CUSTOMER-USD'!DY$4)-SUMIFS('01. KE30'!$AA:$AA,'01. KE30'!$C:$C,'06. BC BH THEO CUSTOMER-USD'!$D98,'01. KE30'!$F:$F,'06. BC BH THEO CUSTOMER-USD'!$H98,'01. KE30'!$A:$A,'06. BC BH THEO CUSTOMER-USD'!DY$4),"-")</f>
        <v>0</v>
      </c>
      <c r="DZ98" s="114">
        <f>IFERROR(SUMIFS('01. KE30'!$X:$X,'01. KE30'!$C:$C,'06. BC BH THEO CUSTOMER-USD'!$D98,'01. KE30'!$F:$F,'06. BC BH THEO CUSTOMER-USD'!$H98,'01. KE30'!$A:$A,'06. BC BH THEO CUSTOMER-USD'!DZ$4)-SUMIFS('01. KE30'!$AA:$AA,'01. KE30'!$C:$C,'06. BC BH THEO CUSTOMER-USD'!$D98,'01. KE30'!$F:$F,'06. BC BH THEO CUSTOMER-USD'!$H98,'01. KE30'!$A:$A,'06. BC BH THEO CUSTOMER-USD'!DZ$4),"-")</f>
        <v>0</v>
      </c>
      <c r="EA98" s="114">
        <f>IFERROR(SUMIFS('01. KE30'!$X:$X,'01. KE30'!$C:$C,'06. BC BH THEO CUSTOMER-USD'!$D98,'01. KE30'!$F:$F,'06. BC BH THEO CUSTOMER-USD'!$H98,'01. KE30'!$A:$A,'06. BC BH THEO CUSTOMER-USD'!EA$4)-SUMIFS('01. KE30'!$AA:$AA,'01. KE30'!$C:$C,'06. BC BH THEO CUSTOMER-USD'!$D98,'01. KE30'!$F:$F,'06. BC BH THEO CUSTOMER-USD'!$H98,'01. KE30'!$A:$A,'06. BC BH THEO CUSTOMER-USD'!EA$4),"-")</f>
        <v>0</v>
      </c>
      <c r="EB98" s="114">
        <f>IFERROR(SUMIFS('01. KE30'!$X:$X,'01. KE30'!$C:$C,'06. BC BH THEO CUSTOMER-USD'!$D98,'01. KE30'!$F:$F,'06. BC BH THEO CUSTOMER-USD'!$H98,'01. KE30'!$A:$A,'06. BC BH THEO CUSTOMER-USD'!EB$4)-SUMIFS('01. KE30'!$AA:$AA,'01. KE30'!$C:$C,'06. BC BH THEO CUSTOMER-USD'!$D98,'01. KE30'!$F:$F,'06. BC BH THEO CUSTOMER-USD'!$H98,'01. KE30'!$A:$A,'06. BC BH THEO CUSTOMER-USD'!EB$4),"-")</f>
        <v>0</v>
      </c>
      <c r="EC98" s="114">
        <f>IFERROR(SUMIFS('01. KE30'!$X:$X,'01. KE30'!$C:$C,'06. BC BH THEO CUSTOMER-USD'!$D98,'01. KE30'!$F:$F,'06. BC BH THEO CUSTOMER-USD'!$H98,'01. KE30'!$A:$A,'06. BC BH THEO CUSTOMER-USD'!EC$4)-SUMIFS('01. KE30'!$AA:$AA,'01. KE30'!$C:$C,'06. BC BH THEO CUSTOMER-USD'!$D98,'01. KE30'!$F:$F,'06. BC BH THEO CUSTOMER-USD'!$H98,'01. KE30'!$A:$A,'06. BC BH THEO CUSTOMER-USD'!EC$4),"-")</f>
        <v>0</v>
      </c>
      <c r="ED98" s="114">
        <f>IFERROR(SUMIFS('01. KE30'!$X:$X,'01. KE30'!$C:$C,'06. BC BH THEO CUSTOMER-USD'!$D98,'01. KE30'!$F:$F,'06. BC BH THEO CUSTOMER-USD'!$H98,'01. KE30'!$A:$A,'06. BC BH THEO CUSTOMER-USD'!ED$4)-SUMIFS('01. KE30'!$AA:$AA,'01. KE30'!$C:$C,'06. BC BH THEO CUSTOMER-USD'!$D98,'01. KE30'!$F:$F,'06. BC BH THEO CUSTOMER-USD'!$H98,'01. KE30'!$A:$A,'06. BC BH THEO CUSTOMER-USD'!ED$4),"-")</f>
        <v>0</v>
      </c>
      <c r="EE98" s="114">
        <f>IFERROR(SUMIFS('01. KE30'!$X:$X,'01. KE30'!$C:$C,'06. BC BH THEO CUSTOMER-USD'!$D98,'01. KE30'!$F:$F,'06. BC BH THEO CUSTOMER-USD'!$H98,'01. KE30'!$A:$A,'06. BC BH THEO CUSTOMER-USD'!EE$4)-SUMIFS('01. KE30'!$AA:$AA,'01. KE30'!$C:$C,'06. BC BH THEO CUSTOMER-USD'!$D98,'01. KE30'!$F:$F,'06. BC BH THEO CUSTOMER-USD'!$H98,'01. KE30'!$A:$A,'06. BC BH THEO CUSTOMER-USD'!EE$4),"-")</f>
        <v>0</v>
      </c>
      <c r="EF98" s="114">
        <f>IFERROR(SUMIFS('01. KE30'!$X:$X,'01. KE30'!$C:$C,'06. BC BH THEO CUSTOMER-USD'!$D98,'01. KE30'!$F:$F,'06. BC BH THEO CUSTOMER-USD'!$H98,'01. KE30'!$A:$A,'06. BC BH THEO CUSTOMER-USD'!EF$4)-SUMIFS('01. KE30'!$AA:$AA,'01. KE30'!$C:$C,'06. BC BH THEO CUSTOMER-USD'!$D98,'01. KE30'!$F:$F,'06. BC BH THEO CUSTOMER-USD'!$H98,'01. KE30'!$A:$A,'06. BC BH THEO CUSTOMER-USD'!EF$4),"-")</f>
        <v>0</v>
      </c>
      <c r="EH98" s="571">
        <f t="shared" si="531"/>
        <v>0.20896999707765349</v>
      </c>
      <c r="EI98" s="572" t="str">
        <f t="shared" si="532"/>
        <v>-</v>
      </c>
      <c r="EJ98" s="572" t="str">
        <f t="shared" si="533"/>
        <v>-</v>
      </c>
      <c r="EK98" s="572">
        <f t="shared" si="534"/>
        <v>0.20896999707765349</v>
      </c>
      <c r="EL98" s="572" t="str">
        <f t="shared" si="535"/>
        <v>-</v>
      </c>
      <c r="EM98" s="572" t="str">
        <f t="shared" si="536"/>
        <v>-</v>
      </c>
      <c r="EN98" s="572" t="str">
        <f t="shared" si="537"/>
        <v>-</v>
      </c>
      <c r="EO98" s="572" t="str">
        <f t="shared" si="538"/>
        <v>-</v>
      </c>
      <c r="EP98" s="572" t="str">
        <f t="shared" si="539"/>
        <v>-</v>
      </c>
      <c r="EQ98" s="572" t="str">
        <f t="shared" si="540"/>
        <v>-</v>
      </c>
      <c r="ER98" s="572" t="str">
        <f t="shared" si="541"/>
        <v>-</v>
      </c>
      <c r="ES98" s="572" t="str">
        <f t="shared" si="542"/>
        <v>-</v>
      </c>
      <c r="ET98" s="572" t="str">
        <f t="shared" si="543"/>
        <v>-</v>
      </c>
    </row>
    <row r="99" spans="1:150" ht="15.5" hidden="1" outlineLevel="1" x14ac:dyDescent="0.35">
      <c r="A99" s="27">
        <f t="shared" si="653"/>
        <v>83</v>
      </c>
      <c r="B99" s="27" t="s">
        <v>283</v>
      </c>
      <c r="C99" s="442" t="s">
        <v>489</v>
      </c>
      <c r="D99" s="9" t="s">
        <v>530</v>
      </c>
      <c r="E99" s="12" t="s">
        <v>531</v>
      </c>
      <c r="F99" s="12" t="s">
        <v>671</v>
      </c>
      <c r="G99" s="12" t="str">
        <f>_xlfn.XLOOKUP(F99,'Quy đổi'!$G$5:$G$32,'Quy đổi'!$H$5:$H$32,0)</f>
        <v>Châu Âu</v>
      </c>
      <c r="H99" s="76" t="s">
        <v>100</v>
      </c>
      <c r="I99" s="28" t="s">
        <v>99</v>
      </c>
      <c r="J99" s="6" t="s">
        <v>26</v>
      </c>
      <c r="K99" s="30" t="s">
        <v>90</v>
      </c>
      <c r="L99" s="92">
        <f t="shared" si="835"/>
        <v>1401.6739350127189</v>
      </c>
      <c r="M99" s="106" t="str">
        <f>IFERROR(SUMIFS('01. KE30'!$K:$K,'01. KE30'!$C:$C,'06. BC BH THEO CUSTOMER-USD'!$D99,'01. KE30'!$F:$F,'06. BC BH THEO CUSTOMER-USD'!$H99,'01. KE30'!$A:$A,'06. BC BH THEO CUSTOMER-USD'!M$4)/'06. BC BH THEO CUSTOMER-USD'!CS99/'02. Tỷ giá'!B$5,"-")</f>
        <v>-</v>
      </c>
      <c r="N99" s="106">
        <f>IFERROR(SUMIFS('01. KE30'!$K:$K,'01. KE30'!$C:$C,'06. BC BH THEO CUSTOMER-USD'!$D99,'01. KE30'!$F:$F,'06. BC BH THEO CUSTOMER-USD'!$H99,'01. KE30'!$A:$A,'06. BC BH THEO CUSTOMER-USD'!N$4)/'06. BC BH THEO CUSTOMER-USD'!CT99/'02. Tỷ giá'!C$5,"-")</f>
        <v>1357.5887357227255</v>
      </c>
      <c r="O99" s="106">
        <f>IFERROR(SUMIFS('01. KE30'!$K:$K,'01. KE30'!$C:$C,'06. BC BH THEO CUSTOMER-USD'!$D99,'01. KE30'!$F:$F,'06. BC BH THEO CUSTOMER-USD'!$H99,'01. KE30'!$A:$A,'06. BC BH THEO CUSTOMER-USD'!O$4)/'06. BC BH THEO CUSTOMER-USD'!CU99/'02. Tỷ giá'!D$5,"-")</f>
        <v>1449</v>
      </c>
      <c r="P99" s="106">
        <f>IFERROR(SUMIFS('01. KE30'!$K:$K,'01. KE30'!$C:$C,'06. BC BH THEO CUSTOMER-USD'!$D99,'01. KE30'!$F:$F,'06. BC BH THEO CUSTOMER-USD'!$H99,'01. KE30'!$A:$A,'06. BC BH THEO CUSTOMER-USD'!P$4)/'06. BC BH THEO CUSTOMER-USD'!CV99/'02. Tỷ giá'!E$5,"-")</f>
        <v>1411.2965543941154</v>
      </c>
      <c r="Q99" s="106">
        <f>IFERROR(SUMIFS('01. KE30'!$K:$K,'01. KE30'!$C:$C,'06. BC BH THEO CUSTOMER-USD'!$D99,'01. KE30'!$F:$F,'06. BC BH THEO CUSTOMER-USD'!$H99,'01. KE30'!$A:$A,'06. BC BH THEO CUSTOMER-USD'!Q$4)/'06. BC BH THEO CUSTOMER-USD'!CW99/'02. Tỷ giá'!F$5,"-")</f>
        <v>1388.8104499340341</v>
      </c>
      <c r="R99" s="106" t="str">
        <f>IFERROR(SUMIFS('01. KE30'!$K:$K,'01. KE30'!$C:$C,'06. BC BH THEO CUSTOMER-USD'!$D99,'01. KE30'!$F:$F,'06. BC BH THEO CUSTOMER-USD'!$H99,'01. KE30'!$A:$A,'06. BC BH THEO CUSTOMER-USD'!R$4)/'06. BC BH THEO CUSTOMER-USD'!CX99/'02. Tỷ giá'!G$5,"-")</f>
        <v>-</v>
      </c>
      <c r="S99" s="106" t="str">
        <f>IFERROR(SUMIFS('01. KE30'!$K:$K,'01. KE30'!$C:$C,'06. BC BH THEO CUSTOMER-USD'!$D99,'01. KE30'!$F:$F,'06. BC BH THEO CUSTOMER-USD'!$H99,'01. KE30'!$A:$A,'06. BC BH THEO CUSTOMER-USD'!S$4)/'06. BC BH THEO CUSTOMER-USD'!CY99/'02. Tỷ giá'!H$5,"-")</f>
        <v>-</v>
      </c>
      <c r="T99" s="106" t="str">
        <f>IFERROR(SUMIFS('01. KE30'!$K:$K,'01. KE30'!$C:$C,'06. BC BH THEO CUSTOMER-USD'!$D99,'01. KE30'!$F:$F,'06. BC BH THEO CUSTOMER-USD'!$H99,'01. KE30'!$A:$A,'06. BC BH THEO CUSTOMER-USD'!T$4)/'06. BC BH THEO CUSTOMER-USD'!CZ99/'02. Tỷ giá'!I$5,"-")</f>
        <v>-</v>
      </c>
      <c r="U99" s="106" t="str">
        <f>IFERROR(SUMIFS('01. KE30'!$K:$K,'01. KE30'!$C:$C,'06. BC BH THEO CUSTOMER-USD'!$D99,'01. KE30'!$F:$F,'06. BC BH THEO CUSTOMER-USD'!$H99,'01. KE30'!$A:$A,'06. BC BH THEO CUSTOMER-USD'!U$4)/'06. BC BH THEO CUSTOMER-USD'!DA99/'02. Tỷ giá'!J$5,"-")</f>
        <v>-</v>
      </c>
      <c r="V99" s="106" t="str">
        <f>IFERROR(SUMIFS('01. KE30'!$K:$K,'01. KE30'!$C:$C,'06. BC BH THEO CUSTOMER-USD'!$D99,'01. KE30'!$F:$F,'06. BC BH THEO CUSTOMER-USD'!$H99,'01. KE30'!$A:$A,'06. BC BH THEO CUSTOMER-USD'!V$4)/'06. BC BH THEO CUSTOMER-USD'!DB99/'02. Tỷ giá'!K$5,"-")</f>
        <v>-</v>
      </c>
      <c r="W99" s="106" t="str">
        <f>IFERROR(SUMIFS('01. KE30'!$K:$K,'01. KE30'!$C:$C,'06. BC BH THEO CUSTOMER-USD'!$D99,'01. KE30'!$F:$F,'06. BC BH THEO CUSTOMER-USD'!$H99,'01. KE30'!$A:$A,'06. BC BH THEO CUSTOMER-USD'!W$4)/'06. BC BH THEO CUSTOMER-USD'!DC99/'02. Tỷ giá'!L$5,"-")</f>
        <v>-</v>
      </c>
      <c r="X99" s="106" t="str">
        <f>IFERROR(SUMIFS('01. KE30'!$K:$K,'01. KE30'!$C:$C,'06. BC BH THEO CUSTOMER-USD'!$D99,'01. KE30'!$F:$F,'06. BC BH THEO CUSTOMER-USD'!$H99,'01. KE30'!$A:$A,'06. BC BH THEO CUSTOMER-USD'!X$4)/'06. BC BH THEO CUSTOMER-USD'!DD99/'02. Tỷ giá'!M$5,"-")</f>
        <v>-</v>
      </c>
      <c r="Z99" s="92">
        <f t="shared" si="836"/>
        <v>1286.5985076074678</v>
      </c>
      <c r="AA99" s="147" t="str">
        <f>IFERROR(SUMIFS('01. KE30'!$O:$O,'01. KE30'!$C:$C,'06. BC BH THEO CUSTOMER-USD'!$D99,'01. KE30'!$F:$F,'06. BC BH THEO CUSTOMER-USD'!$H99,'01. KE30'!$A:$A,'06. BC BH THEO CUSTOMER-USD'!M$4)/'06. BC BH THEO CUSTOMER-USD'!CS99/'02. Tỷ giá'!B$5,"-")</f>
        <v>-</v>
      </c>
      <c r="AB99" s="147">
        <f>IFERROR(SUMIFS('01. KE30'!$O:$O,'01. KE30'!$C:$C,'06. BC BH THEO CUSTOMER-USD'!$D99,'01. KE30'!$F:$F,'06. BC BH THEO CUSTOMER-USD'!$H99,'01. KE30'!$A:$A,'06. BC BH THEO CUSTOMER-USD'!N$4)/'06. BC BH THEO CUSTOMER-USD'!CT99/'02. Tỷ giá'!C$5,"-")</f>
        <v>1246.6428886641124</v>
      </c>
      <c r="AC99" s="147">
        <f>IFERROR(SUMIFS('01. KE30'!$O:$O,'01. KE30'!$C:$C,'06. BC BH THEO CUSTOMER-USD'!$D99,'01. KE30'!$F:$F,'06. BC BH THEO CUSTOMER-USD'!$H99,'01. KE30'!$A:$A,'06. BC BH THEO CUSTOMER-USD'!O$4)/'06. BC BH THEO CUSTOMER-USD'!CU99/'02. Tỷ giá'!D$5,"-")</f>
        <v>1296.9849540682414</v>
      </c>
      <c r="AD99" s="147">
        <f>IFERROR(SUMIFS('01. KE30'!$O:$O,'01. KE30'!$C:$C,'06. BC BH THEO CUSTOMER-USD'!$D99,'01. KE30'!$F:$F,'06. BC BH THEO CUSTOMER-USD'!$H99,'01. KE30'!$A:$A,'06. BC BH THEO CUSTOMER-USD'!P$4)/'06. BC BH THEO CUSTOMER-USD'!CV99/'02. Tỷ giá'!E$5,"-")</f>
        <v>1303.103313975997</v>
      </c>
      <c r="AE99" s="147">
        <f>IFERROR(SUMIFS('01. KE30'!$O:$O,'01. KE30'!$C:$C,'06. BC BH THEO CUSTOMER-USD'!$D99,'01. KE30'!$F:$F,'06. BC BH THEO CUSTOMER-USD'!$H99,'01. KE30'!$A:$A,'06. BC BH THEO CUSTOMER-USD'!Q$4)/'06. BC BH THEO CUSTOMER-USD'!CW99/'02. Tỷ giá'!F$5,"-")</f>
        <v>1299.6628737215199</v>
      </c>
      <c r="AF99" s="147" t="str">
        <f>IFERROR(SUMIFS('01. KE30'!$O:$O,'01. KE30'!$C:$C,'06. BC BH THEO CUSTOMER-USD'!$D99,'01. KE30'!$F:$F,'06. BC BH THEO CUSTOMER-USD'!$H99,'01. KE30'!$A:$A,'06. BC BH THEO CUSTOMER-USD'!R$4)/'06. BC BH THEO CUSTOMER-USD'!CX99/'02. Tỷ giá'!G$5,"-")</f>
        <v>-</v>
      </c>
      <c r="AG99" s="147" t="str">
        <f>IFERROR(SUMIFS('01. KE30'!$O:$O,'01. KE30'!$C:$C,'06. BC BH THEO CUSTOMER-USD'!$D99,'01. KE30'!$F:$F,'06. BC BH THEO CUSTOMER-USD'!$H99,'01. KE30'!$A:$A,'06. BC BH THEO CUSTOMER-USD'!S$4)/'06. BC BH THEO CUSTOMER-USD'!CY99/'02. Tỷ giá'!H$5,"-")</f>
        <v>-</v>
      </c>
      <c r="AH99" s="147" t="str">
        <f>IFERROR(SUMIFS('01. KE30'!$O:$O,'01. KE30'!$C:$C,'06. BC BH THEO CUSTOMER-USD'!$D99,'01. KE30'!$F:$F,'06. BC BH THEO CUSTOMER-USD'!$H99,'01. KE30'!$A:$A,'06. BC BH THEO CUSTOMER-USD'!T$4)/'06. BC BH THEO CUSTOMER-USD'!CZ99/'02. Tỷ giá'!I$5,"-")</f>
        <v>-</v>
      </c>
      <c r="AI99" s="147" t="str">
        <f>IFERROR(SUMIFS('01. KE30'!$O:$O,'01. KE30'!$C:$C,'06. BC BH THEO CUSTOMER-USD'!$D99,'01. KE30'!$F:$F,'06. BC BH THEO CUSTOMER-USD'!$H99,'01. KE30'!$A:$A,'06. BC BH THEO CUSTOMER-USD'!U$4)/'06. BC BH THEO CUSTOMER-USD'!DA99/'02. Tỷ giá'!J$5,"-")</f>
        <v>-</v>
      </c>
      <c r="AJ99" s="147" t="str">
        <f>IFERROR(SUMIFS('01. KE30'!$O:$O,'01. KE30'!$C:$C,'06. BC BH THEO CUSTOMER-USD'!$D99,'01. KE30'!$F:$F,'06. BC BH THEO CUSTOMER-USD'!$H99,'01. KE30'!$A:$A,'06. BC BH THEO CUSTOMER-USD'!V$4)/'06. BC BH THEO CUSTOMER-USD'!DB99/'02. Tỷ giá'!K$5,"-")</f>
        <v>-</v>
      </c>
      <c r="AK99" s="147" t="str">
        <f>IFERROR(SUMIFS('01. KE30'!$O:$O,'01. KE30'!$C:$C,'06. BC BH THEO CUSTOMER-USD'!$D99,'01. KE30'!$F:$F,'06. BC BH THEO CUSTOMER-USD'!$H99,'01. KE30'!$A:$A,'06. BC BH THEO CUSTOMER-USD'!W$4)/'06. BC BH THEO CUSTOMER-USD'!DC99/'02. Tỷ giá'!L$5,"-")</f>
        <v>-</v>
      </c>
      <c r="AL99" s="147" t="str">
        <f>IFERROR(SUMIFS('01. KE30'!$O:$O,'01. KE30'!$C:$C,'06. BC BH THEO CUSTOMER-USD'!$D99,'01. KE30'!$F:$F,'06. BC BH THEO CUSTOMER-USD'!$H99,'01. KE30'!$A:$A,'06. BC BH THEO CUSTOMER-USD'!X$4)/'06. BC BH THEO CUSTOMER-USD'!DD99/'02. Tỷ giá'!M$5,"-")</f>
        <v>-</v>
      </c>
      <c r="AN99" s="92">
        <f t="shared" si="837"/>
        <v>1266.6666666666667</v>
      </c>
      <c r="AO99" s="25">
        <v>1260</v>
      </c>
      <c r="AP99" s="25">
        <v>1260</v>
      </c>
      <c r="AQ99" s="25">
        <v>1260</v>
      </c>
      <c r="AR99" s="4">
        <f t="shared" si="884"/>
        <v>1280</v>
      </c>
      <c r="AS99" s="4">
        <v>1280</v>
      </c>
      <c r="AT99" s="4">
        <v>1280</v>
      </c>
      <c r="AU99" s="4">
        <v>1280</v>
      </c>
      <c r="AV99" s="4">
        <f t="shared" si="205"/>
        <v>1250</v>
      </c>
      <c r="AW99" s="25">
        <v>1250</v>
      </c>
      <c r="AX99" s="25"/>
      <c r="AY99" s="4"/>
      <c r="AZ99" s="4"/>
      <c r="BB99" s="95">
        <f t="shared" si="838"/>
        <v>19.931840940801067</v>
      </c>
      <c r="BC99" s="95" t="str">
        <f t="shared" si="839"/>
        <v>-</v>
      </c>
      <c r="BD99" s="95">
        <f t="shared" si="840"/>
        <v>-13.357111335887566</v>
      </c>
      <c r="BE99" s="95">
        <f t="shared" si="841"/>
        <v>36.98495406824145</v>
      </c>
      <c r="BF99" s="95">
        <f t="shared" si="842"/>
        <v>23.103313975997025</v>
      </c>
      <c r="BG99" s="95">
        <f t="shared" si="843"/>
        <v>19.662873721519873</v>
      </c>
      <c r="BH99" s="95" t="str">
        <f t="shared" si="844"/>
        <v>-</v>
      </c>
      <c r="BI99" s="95" t="str">
        <f t="shared" si="845"/>
        <v>-</v>
      </c>
      <c r="BJ99" s="95" t="str">
        <f t="shared" si="846"/>
        <v>-</v>
      </c>
      <c r="BK99" s="95" t="str">
        <f t="shared" si="847"/>
        <v>-</v>
      </c>
      <c r="BL99" s="95" t="str">
        <f t="shared" si="848"/>
        <v>-</v>
      </c>
      <c r="BM99" s="95" t="str">
        <f t="shared" si="849"/>
        <v>-</v>
      </c>
      <c r="BN99" s="95" t="str">
        <f t="shared" si="850"/>
        <v>-</v>
      </c>
      <c r="BP99" s="143">
        <f t="shared" si="851"/>
        <v>1.573566390063242E-2</v>
      </c>
      <c r="BQ99" s="143" t="str">
        <f t="shared" si="852"/>
        <v>-</v>
      </c>
      <c r="BR99" s="143">
        <f t="shared" si="853"/>
        <v>-1.060088201260918E-2</v>
      </c>
      <c r="BS99" s="143">
        <f t="shared" si="854"/>
        <v>2.9353138149397977E-2</v>
      </c>
      <c r="BT99" s="143">
        <f t="shared" si="855"/>
        <v>1.8049464043747677E-2</v>
      </c>
      <c r="BU99" s="143">
        <f t="shared" si="856"/>
        <v>1.5361620094937401E-2</v>
      </c>
      <c r="BV99" s="143" t="str">
        <f t="shared" si="857"/>
        <v>-</v>
      </c>
      <c r="BW99" s="143" t="str">
        <f t="shared" si="858"/>
        <v>-</v>
      </c>
      <c r="BX99" s="143" t="str">
        <f t="shared" si="859"/>
        <v>-</v>
      </c>
      <c r="BY99" s="143" t="str">
        <f t="shared" si="860"/>
        <v>-</v>
      </c>
      <c r="BZ99" s="143" t="str">
        <f t="shared" si="861"/>
        <v>-</v>
      </c>
      <c r="CA99" s="143" t="str">
        <f t="shared" si="862"/>
        <v>-</v>
      </c>
      <c r="CB99" s="143" t="str">
        <f t="shared" si="863"/>
        <v>-</v>
      </c>
      <c r="CD99" s="112">
        <f t="shared" si="864"/>
        <v>989.44117902529274</v>
      </c>
      <c r="CE99" s="95" t="str">
        <f>IFERROR(SUMIFS('01. KE30'!$R:$R,'01. KE30'!$C:$C,'06. BC BH THEO CUSTOMER-USD'!$D99,'01. KE30'!$F:$F,'06. BC BH THEO CUSTOMER-USD'!$H99,'01. KE30'!$A:$A,'06. BC BH THEO CUSTOMER-USD'!CE$4)/CS99/'02. Tỷ giá'!B$5," -")</f>
        <v xml:space="preserve"> -</v>
      </c>
      <c r="CF99" s="95">
        <f>IFERROR(SUMIFS('01. KE30'!$R:$R,'01. KE30'!$C:$C,'06. BC BH THEO CUSTOMER-USD'!$D99,'01. KE30'!$F:$F,'06. BC BH THEO CUSTOMER-USD'!$H99,'01. KE30'!$A:$A,'06. BC BH THEO CUSTOMER-USD'!CF$4)/CT99/'02. Tỷ giá'!C$5," -")</f>
        <v>989.75531526370435</v>
      </c>
      <c r="CG99" s="95">
        <f>IFERROR(SUMIFS('01. KE30'!$R:$R,'01. KE30'!$C:$C,'06. BC BH THEO CUSTOMER-USD'!$D99,'01. KE30'!$F:$F,'06. BC BH THEO CUSTOMER-USD'!$H99,'01. KE30'!$A:$A,'06. BC BH THEO CUSTOMER-USD'!CG$4)/CU99/'02. Tỷ giá'!D$5," -")</f>
        <v>997.67758768790259</v>
      </c>
      <c r="CH99" s="95">
        <f>IFERROR(SUMIFS('01. KE30'!$R:$R,'01. KE30'!$C:$C,'06. BC BH THEO CUSTOMER-USD'!$D99,'01. KE30'!$F:$F,'06. BC BH THEO CUSTOMER-USD'!$H99,'01. KE30'!$A:$A,'06. BC BH THEO CUSTOMER-USD'!CH$4)/CV99/'02. Tỷ giá'!E$5," -")</f>
        <v>973.57141977263927</v>
      </c>
      <c r="CI99" s="95">
        <f>IFERROR(SUMIFS('01. KE30'!$R:$R,'01. KE30'!$C:$C,'06. BC BH THEO CUSTOMER-USD'!$D99,'01. KE30'!$F:$F,'06. BC BH THEO CUSTOMER-USD'!$H99,'01. KE30'!$A:$A,'06. BC BH THEO CUSTOMER-USD'!CI$4)/CW99/'02. Tỷ giá'!F$5," -")</f>
        <v>996.76039337692475</v>
      </c>
      <c r="CJ99" s="95" t="str">
        <f>IFERROR(SUMIFS('01. KE30'!$R:$R,'01. KE30'!$C:$C,'06. BC BH THEO CUSTOMER-USD'!$D99,'01. KE30'!$F:$F,'06. BC BH THEO CUSTOMER-USD'!$H99,'01. KE30'!$A:$A,'06. BC BH THEO CUSTOMER-USD'!CJ$4)/CX99/'02. Tỷ giá'!G$5," -")</f>
        <v xml:space="preserve"> -</v>
      </c>
      <c r="CK99" s="95" t="str">
        <f>IFERROR(SUMIFS('01. KE30'!$R:$R,'01. KE30'!$C:$C,'06. BC BH THEO CUSTOMER-USD'!$D99,'01. KE30'!$F:$F,'06. BC BH THEO CUSTOMER-USD'!$H99,'01. KE30'!$A:$A,'06. BC BH THEO CUSTOMER-USD'!CK$4)/CY99/'02. Tỷ giá'!H$5," -")</f>
        <v xml:space="preserve"> -</v>
      </c>
      <c r="CL99" s="95" t="str">
        <f>IFERROR(SUMIFS('01. KE30'!$R:$R,'01. KE30'!$C:$C,'06. BC BH THEO CUSTOMER-USD'!$D99,'01. KE30'!$F:$F,'06. BC BH THEO CUSTOMER-USD'!$H99,'01. KE30'!$A:$A,'06. BC BH THEO CUSTOMER-USD'!CL$4)/CZ99/'02. Tỷ giá'!I$5," -")</f>
        <v xml:space="preserve"> -</v>
      </c>
      <c r="CM99" s="95" t="str">
        <f>IFERROR(SUMIFS('01. KE30'!$R:$R,'01. KE30'!$C:$C,'06. BC BH THEO CUSTOMER-USD'!$D99,'01. KE30'!$F:$F,'06. BC BH THEO CUSTOMER-USD'!$H99,'01. KE30'!$A:$A,'06. BC BH THEO CUSTOMER-USD'!CM$4)/DA99/'02. Tỷ giá'!J$5," -")</f>
        <v xml:space="preserve"> -</v>
      </c>
      <c r="CN99" s="95" t="str">
        <f>IFERROR(SUMIFS('01. KE30'!$R:$R,'01. KE30'!$C:$C,'06. BC BH THEO CUSTOMER-USD'!$D99,'01. KE30'!$F:$F,'06. BC BH THEO CUSTOMER-USD'!$H99,'01. KE30'!$A:$A,'06. BC BH THEO CUSTOMER-USD'!CN$4)/DB99/'02. Tỷ giá'!K$5," -")</f>
        <v xml:space="preserve"> -</v>
      </c>
      <c r="CO99" s="95" t="str">
        <f>IFERROR(SUMIFS('01. KE30'!$R:$R,'01. KE30'!$C:$C,'06. BC BH THEO CUSTOMER-USD'!$D99,'01. KE30'!$F:$F,'06. BC BH THEO CUSTOMER-USD'!$H99,'01. KE30'!$A:$A,'06. BC BH THEO CUSTOMER-USD'!CO$4)/DC99/'02. Tỷ giá'!L$5," -")</f>
        <v xml:space="preserve"> -</v>
      </c>
      <c r="CP99" s="95" t="str">
        <f>IFERROR(SUMIFS('01. KE30'!$R:$R,'01. KE30'!$C:$C,'06. BC BH THEO CUSTOMER-USD'!$D99,'01. KE30'!$F:$F,'06. BC BH THEO CUSTOMER-USD'!$H99,'01. KE30'!$A:$A,'06. BC BH THEO CUSTOMER-USD'!CP$4)/DD99/'02. Tỷ giá'!M$5," -")</f>
        <v xml:space="preserve"> -</v>
      </c>
      <c r="CR99" s="112">
        <f t="shared" si="865"/>
        <v>968</v>
      </c>
      <c r="CS99" s="114">
        <f>SUMIFS('01. KE30'!$I:$I,'01. KE30'!$C:$C,'06. BC BH THEO CUSTOMER-USD'!$D99,'01. KE30'!$F:$F,'06. BC BH THEO CUSTOMER-USD'!$H99,'01. KE30'!$A:$A,'06. BC BH THEO CUSTOMER-USD'!CS$4)/1000</f>
        <v>0</v>
      </c>
      <c r="CT99" s="114">
        <f>SUMIFS('01. KE30'!$I:$I,'01. KE30'!$C:$C,'06. BC BH THEO CUSTOMER-USD'!$D99,'01. KE30'!$F:$F,'06. BC BH THEO CUSTOMER-USD'!$H99,'01. KE30'!$A:$A,'06. BC BH THEO CUSTOMER-USD'!CT$4)/1000</f>
        <v>440</v>
      </c>
      <c r="CU99" s="114">
        <f>SUMIFS('01. KE30'!$I:$I,'01. KE30'!$C:$C,'06. BC BH THEO CUSTOMER-USD'!$D99,'01. KE30'!$F:$F,'06. BC BH THEO CUSTOMER-USD'!$H99,'01. KE30'!$A:$A,'06. BC BH THEO CUSTOMER-USD'!CU$4)/1000</f>
        <v>66</v>
      </c>
      <c r="CV99" s="725">
        <f>SUMIFS('01. KE30'!$I:$I,'01. KE30'!$C:$C,'06. BC BH THEO CUSTOMER-USD'!$D99,'01. KE30'!$F:$F,'06. BC BH THEO CUSTOMER-USD'!$H99,'01. KE30'!$A:$A,'06. BC BH THEO CUSTOMER-USD'!CV$4)/1000</f>
        <v>88</v>
      </c>
      <c r="CW99" s="114">
        <f>SUMIFS('01. KE30'!$I:$I,'01. KE30'!$C:$C,'06. BC BH THEO CUSTOMER-USD'!$D99,'01. KE30'!$F:$F,'06. BC BH THEO CUSTOMER-USD'!$H99,'01. KE30'!$A:$A,'06. BC BH THEO CUSTOMER-USD'!CW$4)/1000</f>
        <v>374</v>
      </c>
      <c r="CX99" s="114">
        <f>SUMIFS('01. KE30'!$I:$I,'01. KE30'!$C:$C,'06. BC BH THEO CUSTOMER-USD'!$D99,'01. KE30'!$F:$F,'06. BC BH THEO CUSTOMER-USD'!$H99,'01. KE30'!$A:$A,'06. BC BH THEO CUSTOMER-USD'!CX$4)/1000</f>
        <v>0</v>
      </c>
      <c r="CY99" s="114">
        <f>SUMIFS('01. KE30'!$I:$I,'01. KE30'!$C:$C,'06. BC BH THEO CUSTOMER-USD'!$D99,'01. KE30'!$F:$F,'06. BC BH THEO CUSTOMER-USD'!$H99,'01. KE30'!$A:$A,'06. BC BH THEO CUSTOMER-USD'!CY$4)/1000</f>
        <v>0</v>
      </c>
      <c r="CZ99" s="114">
        <f>SUMIFS('01. KE30'!$I:$I,'01. KE30'!$C:$C,'06. BC BH THEO CUSTOMER-USD'!$D99,'01. KE30'!$F:$F,'06. BC BH THEO CUSTOMER-USD'!$H99,'01. KE30'!$A:$A,'06. BC BH THEO CUSTOMER-USD'!CZ$4)/1000</f>
        <v>0</v>
      </c>
      <c r="DA99" s="114">
        <f>SUMIFS('01. KE30'!$I:$I,'01. KE30'!$C:$C,'06. BC BH THEO CUSTOMER-USD'!$D99,'01. KE30'!$F:$F,'06. BC BH THEO CUSTOMER-USD'!$H99,'01. KE30'!$A:$A,'06. BC BH THEO CUSTOMER-USD'!DA$4)/1000</f>
        <v>0</v>
      </c>
      <c r="DB99" s="114">
        <f>SUMIFS('01. KE30'!$I:$I,'01. KE30'!$C:$C,'06. BC BH THEO CUSTOMER-USD'!$D99,'01. KE30'!$F:$F,'06. BC BH THEO CUSTOMER-USD'!$H99,'01. KE30'!$A:$A,'06. BC BH THEO CUSTOMER-USD'!DB$4)/1000</f>
        <v>0</v>
      </c>
      <c r="DC99" s="114">
        <f>SUMIFS('01. KE30'!$I:$I,'01. KE30'!$C:$C,'06. BC BH THEO CUSTOMER-USD'!$D99,'01. KE30'!$F:$F,'06. BC BH THEO CUSTOMER-USD'!$H99,'01. KE30'!$A:$A,'06. BC BH THEO CUSTOMER-USD'!DC$4)/1000</f>
        <v>0</v>
      </c>
      <c r="DD99" s="114">
        <f>SUMIFS('01. KE30'!$I:$I,'01. KE30'!$C:$C,'06. BC BH THEO CUSTOMER-USD'!$D99,'01. KE30'!$F:$F,'06. BC BH THEO CUSTOMER-USD'!$H99,'01. KE30'!$A:$A,'06. BC BH THEO CUSTOMER-USD'!DD$4)/1000</f>
        <v>0</v>
      </c>
      <c r="DF99" s="120">
        <f t="shared" si="866"/>
        <v>1336582.2487800103</v>
      </c>
      <c r="DG99" s="54" t="str">
        <f t="shared" si="867"/>
        <v>-</v>
      </c>
      <c r="DH99" s="54">
        <f t="shared" si="868"/>
        <v>597339.04371799924</v>
      </c>
      <c r="DI99" s="54">
        <f t="shared" si="869"/>
        <v>95634</v>
      </c>
      <c r="DJ99" s="54">
        <f t="shared" si="870"/>
        <v>124194.09678668216</v>
      </c>
      <c r="DK99" s="54">
        <f t="shared" si="871"/>
        <v>519415.10827532876</v>
      </c>
      <c r="DL99" s="54" t="str">
        <f t="shared" si="872"/>
        <v>-</v>
      </c>
      <c r="DM99" s="54" t="str">
        <f t="shared" si="873"/>
        <v>-</v>
      </c>
      <c r="DN99" s="54" t="str">
        <f t="shared" si="874"/>
        <v>-</v>
      </c>
      <c r="DO99" s="54" t="str">
        <f t="shared" si="875"/>
        <v>-</v>
      </c>
      <c r="DP99" s="54" t="str">
        <f t="shared" si="876"/>
        <v>-</v>
      </c>
      <c r="DQ99" s="54" t="str">
        <f t="shared" si="877"/>
        <v>-</v>
      </c>
      <c r="DR99" s="54" t="str">
        <f t="shared" si="878"/>
        <v>-</v>
      </c>
      <c r="DT99" s="112">
        <f t="shared" si="879"/>
        <v>275069.15281605604</v>
      </c>
      <c r="DU99" s="114">
        <f>IFERROR(SUMIFS('01. KE30'!$X:$X,'01. KE30'!$C:$C,'06. BC BH THEO CUSTOMER-USD'!$D99,'01. KE30'!$F:$F,'06. BC BH THEO CUSTOMER-USD'!$H99,'01. KE30'!$A:$A,'06. BC BH THEO CUSTOMER-USD'!DU$4)-SUMIFS('01. KE30'!$AA:$AA,'01. KE30'!$C:$C,'06. BC BH THEO CUSTOMER-USD'!$D99,'01. KE30'!$F:$F,'06. BC BH THEO CUSTOMER-USD'!$H99,'01. KE30'!$A:$A,'06. BC BH THEO CUSTOMER-USD'!DU$4),"-")</f>
        <v>0</v>
      </c>
      <c r="DV99" s="114">
        <f>IFERROR(SUMIFS('01. KE30'!$X:$X,'01. KE30'!$C:$C,'06. BC BH THEO CUSTOMER-USD'!$D99,'01. KE30'!$F:$F,'06. BC BH THEO CUSTOMER-USD'!$H99,'01. KE30'!$A:$A,'06. BC BH THEO CUSTOMER-USD'!DV$4)-SUMIFS('01. KE30'!$AA:$AA,'01. KE30'!$C:$C,'06. BC BH THEO CUSTOMER-USD'!$D99,'01. KE30'!$F:$F,'06. BC BH THEO CUSTOMER-USD'!$H99,'01. KE30'!$A:$A,'06. BC BH THEO CUSTOMER-USD'!DV$4),"-")</f>
        <v>113030.53229617962</v>
      </c>
      <c r="DW99" s="114">
        <f>IFERROR(SUMIFS('01. KE30'!$X:$X,'01. KE30'!$C:$C,'06. BC BH THEO CUSTOMER-USD'!$D99,'01. KE30'!$F:$F,'06. BC BH THEO CUSTOMER-USD'!$H99,'01. KE30'!$A:$A,'06. BC BH THEO CUSTOMER-USD'!DW$4)-SUMIFS('01. KE30'!$AA:$AA,'01. KE30'!$C:$C,'06. BC BH THEO CUSTOMER-USD'!$D99,'01. KE30'!$F:$F,'06. BC BH THEO CUSTOMER-USD'!$H99,'01. KE30'!$A:$A,'06. BC BH THEO CUSTOMER-USD'!DW$4),"-")</f>
        <v>19754.286181102361</v>
      </c>
      <c r="DX99" s="114">
        <f>IFERROR(SUMIFS('01. KE30'!$X:$X,'01. KE30'!$C:$C,'06. BC BH THEO CUSTOMER-USD'!$D99,'01. KE30'!$F:$F,'06. BC BH THEO CUSTOMER-USD'!$H99,'01. KE30'!$A:$A,'06. BC BH THEO CUSTOMER-USD'!DX$4)-SUMIFS('01. KE30'!$AA:$AA,'01. KE30'!$C:$C,'06. BC BH THEO CUSTOMER-USD'!$D99,'01. KE30'!$F:$F,'06. BC BH THEO CUSTOMER-USD'!$H99,'01. KE30'!$A:$A,'06. BC BH THEO CUSTOMER-USD'!DX$4),"-")</f>
        <v>28998.806689895486</v>
      </c>
      <c r="DY99" s="114">
        <f>IFERROR(SUMIFS('01. KE30'!$X:$X,'01. KE30'!$C:$C,'06. BC BH THEO CUSTOMER-USD'!$D99,'01. KE30'!$F:$F,'06. BC BH THEO CUSTOMER-USD'!$H99,'01. KE30'!$A:$A,'06. BC BH THEO CUSTOMER-USD'!DY$4)-SUMIFS('01. KE30'!$AA:$AA,'01. KE30'!$C:$C,'06. BC BH THEO CUSTOMER-USD'!$D99,'01. KE30'!$F:$F,'06. BC BH THEO CUSTOMER-USD'!$H99,'01. KE30'!$A:$A,'06. BC BH THEO CUSTOMER-USD'!DY$4),"-")</f>
        <v>113285.52764887857</v>
      </c>
      <c r="DZ99" s="114">
        <f>IFERROR(SUMIFS('01. KE30'!$X:$X,'01. KE30'!$C:$C,'06. BC BH THEO CUSTOMER-USD'!$D99,'01. KE30'!$F:$F,'06. BC BH THEO CUSTOMER-USD'!$H99,'01. KE30'!$A:$A,'06. BC BH THEO CUSTOMER-USD'!DZ$4)-SUMIFS('01. KE30'!$AA:$AA,'01. KE30'!$C:$C,'06. BC BH THEO CUSTOMER-USD'!$D99,'01. KE30'!$F:$F,'06. BC BH THEO CUSTOMER-USD'!$H99,'01. KE30'!$A:$A,'06. BC BH THEO CUSTOMER-USD'!DZ$4),"-")</f>
        <v>0</v>
      </c>
      <c r="EA99" s="114">
        <f>IFERROR(SUMIFS('01. KE30'!$X:$X,'01. KE30'!$C:$C,'06. BC BH THEO CUSTOMER-USD'!$D99,'01. KE30'!$F:$F,'06. BC BH THEO CUSTOMER-USD'!$H99,'01. KE30'!$A:$A,'06. BC BH THEO CUSTOMER-USD'!EA$4)-SUMIFS('01. KE30'!$AA:$AA,'01. KE30'!$C:$C,'06. BC BH THEO CUSTOMER-USD'!$D99,'01. KE30'!$F:$F,'06. BC BH THEO CUSTOMER-USD'!$H99,'01. KE30'!$A:$A,'06. BC BH THEO CUSTOMER-USD'!EA$4),"-")</f>
        <v>0</v>
      </c>
      <c r="EB99" s="114">
        <f>IFERROR(SUMIFS('01. KE30'!$X:$X,'01. KE30'!$C:$C,'06. BC BH THEO CUSTOMER-USD'!$D99,'01. KE30'!$F:$F,'06. BC BH THEO CUSTOMER-USD'!$H99,'01. KE30'!$A:$A,'06. BC BH THEO CUSTOMER-USD'!EB$4)-SUMIFS('01. KE30'!$AA:$AA,'01. KE30'!$C:$C,'06. BC BH THEO CUSTOMER-USD'!$D99,'01. KE30'!$F:$F,'06. BC BH THEO CUSTOMER-USD'!$H99,'01. KE30'!$A:$A,'06. BC BH THEO CUSTOMER-USD'!EB$4),"-")</f>
        <v>0</v>
      </c>
      <c r="EC99" s="114">
        <f>IFERROR(SUMIFS('01. KE30'!$X:$X,'01. KE30'!$C:$C,'06. BC BH THEO CUSTOMER-USD'!$D99,'01. KE30'!$F:$F,'06. BC BH THEO CUSTOMER-USD'!$H99,'01. KE30'!$A:$A,'06. BC BH THEO CUSTOMER-USD'!EC$4)-SUMIFS('01. KE30'!$AA:$AA,'01. KE30'!$C:$C,'06. BC BH THEO CUSTOMER-USD'!$D99,'01. KE30'!$F:$F,'06. BC BH THEO CUSTOMER-USD'!$H99,'01. KE30'!$A:$A,'06. BC BH THEO CUSTOMER-USD'!EC$4),"-")</f>
        <v>0</v>
      </c>
      <c r="ED99" s="114">
        <f>IFERROR(SUMIFS('01. KE30'!$X:$X,'01. KE30'!$C:$C,'06. BC BH THEO CUSTOMER-USD'!$D99,'01. KE30'!$F:$F,'06. BC BH THEO CUSTOMER-USD'!$H99,'01. KE30'!$A:$A,'06. BC BH THEO CUSTOMER-USD'!ED$4)-SUMIFS('01. KE30'!$AA:$AA,'01. KE30'!$C:$C,'06. BC BH THEO CUSTOMER-USD'!$D99,'01. KE30'!$F:$F,'06. BC BH THEO CUSTOMER-USD'!$H99,'01. KE30'!$A:$A,'06. BC BH THEO CUSTOMER-USD'!ED$4),"-")</f>
        <v>0</v>
      </c>
      <c r="EE99" s="114">
        <f>IFERROR(SUMIFS('01. KE30'!$X:$X,'01. KE30'!$C:$C,'06. BC BH THEO CUSTOMER-USD'!$D99,'01. KE30'!$F:$F,'06. BC BH THEO CUSTOMER-USD'!$H99,'01. KE30'!$A:$A,'06. BC BH THEO CUSTOMER-USD'!EE$4)-SUMIFS('01. KE30'!$AA:$AA,'01. KE30'!$C:$C,'06. BC BH THEO CUSTOMER-USD'!$D99,'01. KE30'!$F:$F,'06. BC BH THEO CUSTOMER-USD'!$H99,'01. KE30'!$A:$A,'06. BC BH THEO CUSTOMER-USD'!EE$4),"-")</f>
        <v>0</v>
      </c>
      <c r="EF99" s="114">
        <f>IFERROR(SUMIFS('01. KE30'!$X:$X,'01. KE30'!$C:$C,'06. BC BH THEO CUSTOMER-USD'!$D99,'01. KE30'!$F:$F,'06. BC BH THEO CUSTOMER-USD'!$H99,'01. KE30'!$A:$A,'06. BC BH THEO CUSTOMER-USD'!EF$4)-SUMIFS('01. KE30'!$AA:$AA,'01. KE30'!$C:$C,'06. BC BH THEO CUSTOMER-USD'!$D99,'01. KE30'!$F:$F,'06. BC BH THEO CUSTOMER-USD'!$H99,'01. KE30'!$A:$A,'06. BC BH THEO CUSTOMER-USD'!EF$4),"-")</f>
        <v>0</v>
      </c>
      <c r="EH99" s="571">
        <f t="shared" si="531"/>
        <v>0.20580039355388</v>
      </c>
      <c r="EI99" s="572" t="str">
        <f t="shared" si="532"/>
        <v>-</v>
      </c>
      <c r="EJ99" s="572">
        <f t="shared" si="533"/>
        <v>0.18922341254080283</v>
      </c>
      <c r="EK99" s="572">
        <f t="shared" si="534"/>
        <v>0.20656132945503022</v>
      </c>
      <c r="EL99" s="572">
        <f t="shared" si="535"/>
        <v>0.23349585399138831</v>
      </c>
      <c r="EM99" s="572">
        <f t="shared" si="536"/>
        <v>0.21810210339285854</v>
      </c>
      <c r="EN99" s="572" t="str">
        <f t="shared" si="537"/>
        <v>-</v>
      </c>
      <c r="EO99" s="572" t="str">
        <f t="shared" si="538"/>
        <v>-</v>
      </c>
      <c r="EP99" s="572" t="str">
        <f t="shared" si="539"/>
        <v>-</v>
      </c>
      <c r="EQ99" s="572" t="str">
        <f t="shared" si="540"/>
        <v>-</v>
      </c>
      <c r="ER99" s="572" t="str">
        <f t="shared" si="541"/>
        <v>-</v>
      </c>
      <c r="ES99" s="572" t="str">
        <f t="shared" si="542"/>
        <v>-</v>
      </c>
      <c r="ET99" s="572" t="str">
        <f t="shared" si="543"/>
        <v>-</v>
      </c>
    </row>
    <row r="100" spans="1:150" ht="15.5" hidden="1" outlineLevel="1" x14ac:dyDescent="0.35">
      <c r="A100" s="27">
        <f t="shared" si="653"/>
        <v>84</v>
      </c>
      <c r="B100" s="27" t="s">
        <v>283</v>
      </c>
      <c r="C100" s="442" t="s">
        <v>489</v>
      </c>
      <c r="D100" s="9" t="s">
        <v>530</v>
      </c>
      <c r="E100" s="12" t="s">
        <v>531</v>
      </c>
      <c r="F100" s="12" t="s">
        <v>671</v>
      </c>
      <c r="G100" s="12" t="str">
        <f>_xlfn.XLOOKUP(F100,'Quy đổi'!$G$5:$G$32,'Quy đổi'!$H$5:$H$32,0)</f>
        <v>Châu Âu</v>
      </c>
      <c r="H100" s="76" t="s">
        <v>127</v>
      </c>
      <c r="I100" s="28" t="s">
        <v>114</v>
      </c>
      <c r="J100" s="6" t="s">
        <v>26</v>
      </c>
      <c r="K100" s="11" t="s">
        <v>90</v>
      </c>
      <c r="L100" s="92">
        <f t="shared" ref="L100" si="885">IFERROR(AVERAGE(M100:X100),"-")</f>
        <v>1440.9248935346495</v>
      </c>
      <c r="M100" s="106" t="str">
        <f>IFERROR(SUMIFS('01. KE30'!$K:$K,'01. KE30'!$C:$C,'06. BC BH THEO CUSTOMER-USD'!$D100,'01. KE30'!$F:$F,'06. BC BH THEO CUSTOMER-USD'!$H100,'01. KE30'!$A:$A,'06. BC BH THEO CUSTOMER-USD'!M$4)/'06. BC BH THEO CUSTOMER-USD'!CS100/'02. Tỷ giá'!B$5,"-")</f>
        <v>-</v>
      </c>
      <c r="N100" s="106" t="str">
        <f>IFERROR(SUMIFS('01. KE30'!$K:$K,'01. KE30'!$C:$C,'06. BC BH THEO CUSTOMER-USD'!$D100,'01. KE30'!$F:$F,'06. BC BH THEO CUSTOMER-USD'!$H100,'01. KE30'!$A:$A,'06. BC BH THEO CUSTOMER-USD'!N$4)/'06. BC BH THEO CUSTOMER-USD'!CT100/'02. Tỷ giá'!C$5,"-")</f>
        <v>-</v>
      </c>
      <c r="O100" s="106" t="str">
        <f>IFERROR(SUMIFS('01. KE30'!$K:$K,'01. KE30'!$C:$C,'06. BC BH THEO CUSTOMER-USD'!$D100,'01. KE30'!$F:$F,'06. BC BH THEO CUSTOMER-USD'!$H100,'01. KE30'!$A:$A,'06. BC BH THEO CUSTOMER-USD'!O$4)/'06. BC BH THEO CUSTOMER-USD'!CU100/'02. Tỷ giá'!D$5,"-")</f>
        <v>-</v>
      </c>
      <c r="P100" s="106">
        <f>IFERROR(SUMIFS('01. KE30'!$K:$K,'01. KE30'!$C:$C,'06. BC BH THEO CUSTOMER-USD'!$D100,'01. KE30'!$F:$F,'06. BC BH THEO CUSTOMER-USD'!$H100,'01. KE30'!$A:$A,'06. BC BH THEO CUSTOMER-USD'!P$4)/'06. BC BH THEO CUSTOMER-USD'!CV100/'02. Tỷ giá'!E$5,"-")</f>
        <v>1440.9248935346495</v>
      </c>
      <c r="Q100" s="106" t="str">
        <f>IFERROR(SUMIFS('01. KE30'!$K:$K,'01. KE30'!$C:$C,'06. BC BH THEO CUSTOMER-USD'!$D100,'01. KE30'!$F:$F,'06. BC BH THEO CUSTOMER-USD'!$H100,'01. KE30'!$A:$A,'06. BC BH THEO CUSTOMER-USD'!Q$4)/'06. BC BH THEO CUSTOMER-USD'!CW100/'02. Tỷ giá'!F$5,"-")</f>
        <v>-</v>
      </c>
      <c r="R100" s="106" t="str">
        <f>IFERROR(SUMIFS('01. KE30'!$K:$K,'01. KE30'!$C:$C,'06. BC BH THEO CUSTOMER-USD'!$D100,'01. KE30'!$F:$F,'06. BC BH THEO CUSTOMER-USD'!$H100,'01. KE30'!$A:$A,'06. BC BH THEO CUSTOMER-USD'!R$4)/'06. BC BH THEO CUSTOMER-USD'!CX100/'02. Tỷ giá'!G$5,"-")</f>
        <v>-</v>
      </c>
      <c r="S100" s="106" t="str">
        <f>IFERROR(SUMIFS('01. KE30'!$K:$K,'01. KE30'!$C:$C,'06. BC BH THEO CUSTOMER-USD'!$D100,'01. KE30'!$F:$F,'06. BC BH THEO CUSTOMER-USD'!$H100,'01. KE30'!$A:$A,'06. BC BH THEO CUSTOMER-USD'!S$4)/'06. BC BH THEO CUSTOMER-USD'!CY100/'02. Tỷ giá'!H$5,"-")</f>
        <v>-</v>
      </c>
      <c r="T100" s="106" t="str">
        <f>IFERROR(SUMIFS('01. KE30'!$K:$K,'01. KE30'!$C:$C,'06. BC BH THEO CUSTOMER-USD'!$D100,'01. KE30'!$F:$F,'06. BC BH THEO CUSTOMER-USD'!$H100,'01. KE30'!$A:$A,'06. BC BH THEO CUSTOMER-USD'!T$4)/'06. BC BH THEO CUSTOMER-USD'!CZ100/'02. Tỷ giá'!I$5,"-")</f>
        <v>-</v>
      </c>
      <c r="U100" s="106" t="str">
        <f>IFERROR(SUMIFS('01. KE30'!$K:$K,'01. KE30'!$C:$C,'06. BC BH THEO CUSTOMER-USD'!$D100,'01. KE30'!$F:$F,'06. BC BH THEO CUSTOMER-USD'!$H100,'01. KE30'!$A:$A,'06. BC BH THEO CUSTOMER-USD'!U$4)/'06. BC BH THEO CUSTOMER-USD'!DA100/'02. Tỷ giá'!J$5,"-")</f>
        <v>-</v>
      </c>
      <c r="V100" s="106" t="str">
        <f>IFERROR(SUMIFS('01. KE30'!$K:$K,'01. KE30'!$C:$C,'06. BC BH THEO CUSTOMER-USD'!$D100,'01. KE30'!$F:$F,'06. BC BH THEO CUSTOMER-USD'!$H100,'01. KE30'!$A:$A,'06. BC BH THEO CUSTOMER-USD'!V$4)/'06. BC BH THEO CUSTOMER-USD'!DB100/'02. Tỷ giá'!K$5,"-")</f>
        <v>-</v>
      </c>
      <c r="W100" s="106" t="str">
        <f>IFERROR(SUMIFS('01. KE30'!$K:$K,'01. KE30'!$C:$C,'06. BC BH THEO CUSTOMER-USD'!$D100,'01. KE30'!$F:$F,'06. BC BH THEO CUSTOMER-USD'!$H100,'01. KE30'!$A:$A,'06. BC BH THEO CUSTOMER-USD'!W$4)/'06. BC BH THEO CUSTOMER-USD'!DC100/'02. Tỷ giá'!L$5,"-")</f>
        <v>-</v>
      </c>
      <c r="X100" s="106" t="str">
        <f>IFERROR(SUMIFS('01. KE30'!$K:$K,'01. KE30'!$C:$C,'06. BC BH THEO CUSTOMER-USD'!$D100,'01. KE30'!$F:$F,'06. BC BH THEO CUSTOMER-USD'!$H100,'01. KE30'!$A:$A,'06. BC BH THEO CUSTOMER-USD'!X$4)/'06. BC BH THEO CUSTOMER-USD'!DD100/'02. Tỷ giá'!M$5,"-")</f>
        <v>-</v>
      </c>
      <c r="Z100" s="92">
        <f t="shared" ref="Z100" si="886">IFERROR(AVERAGE(AA100:AL100),"-")</f>
        <v>1332.7316531165313</v>
      </c>
      <c r="AA100" s="147" t="str">
        <f>IFERROR(SUMIFS('01. KE30'!$O:$O,'01. KE30'!$C:$C,'06. BC BH THEO CUSTOMER-USD'!$D100,'01. KE30'!$F:$F,'06. BC BH THEO CUSTOMER-USD'!$H100,'01. KE30'!$A:$A,'06. BC BH THEO CUSTOMER-USD'!M$4)/'06. BC BH THEO CUSTOMER-USD'!CS100/'02. Tỷ giá'!B$5,"-")</f>
        <v>-</v>
      </c>
      <c r="AB100" s="147" t="str">
        <f>IFERROR(SUMIFS('01. KE30'!$O:$O,'01. KE30'!$C:$C,'06. BC BH THEO CUSTOMER-USD'!$D100,'01. KE30'!$F:$F,'06. BC BH THEO CUSTOMER-USD'!$H100,'01. KE30'!$A:$A,'06. BC BH THEO CUSTOMER-USD'!N$4)/'06. BC BH THEO CUSTOMER-USD'!CT100/'02. Tỷ giá'!C$5,"-")</f>
        <v>-</v>
      </c>
      <c r="AC100" s="147" t="str">
        <f>IFERROR(SUMIFS('01. KE30'!$O:$O,'01. KE30'!$C:$C,'06. BC BH THEO CUSTOMER-USD'!$D100,'01. KE30'!$F:$F,'06. BC BH THEO CUSTOMER-USD'!$H100,'01. KE30'!$A:$A,'06. BC BH THEO CUSTOMER-USD'!O$4)/'06. BC BH THEO CUSTOMER-USD'!CU100/'02. Tỷ giá'!D$5,"-")</f>
        <v>-</v>
      </c>
      <c r="AD100" s="147">
        <f>IFERROR(SUMIFS('01. KE30'!$O:$O,'01. KE30'!$C:$C,'06. BC BH THEO CUSTOMER-USD'!$D100,'01. KE30'!$F:$F,'06. BC BH THEO CUSTOMER-USD'!$H100,'01. KE30'!$A:$A,'06. BC BH THEO CUSTOMER-USD'!P$4)/'06. BC BH THEO CUSTOMER-USD'!CV100/'02. Tỷ giá'!E$5,"-")</f>
        <v>1332.7316531165313</v>
      </c>
      <c r="AE100" s="147" t="str">
        <f>IFERROR(SUMIFS('01. KE30'!$O:$O,'01. KE30'!$C:$C,'06. BC BH THEO CUSTOMER-USD'!$D100,'01. KE30'!$F:$F,'06. BC BH THEO CUSTOMER-USD'!$H100,'01. KE30'!$A:$A,'06. BC BH THEO CUSTOMER-USD'!Q$4)/'06. BC BH THEO CUSTOMER-USD'!CW100/'02. Tỷ giá'!F$5,"-")</f>
        <v>-</v>
      </c>
      <c r="AF100" s="147" t="str">
        <f>IFERROR(SUMIFS('01. KE30'!$O:$O,'01. KE30'!$C:$C,'06. BC BH THEO CUSTOMER-USD'!$D100,'01. KE30'!$F:$F,'06. BC BH THEO CUSTOMER-USD'!$H100,'01. KE30'!$A:$A,'06. BC BH THEO CUSTOMER-USD'!R$4)/'06. BC BH THEO CUSTOMER-USD'!CX100/'02. Tỷ giá'!G$5,"-")</f>
        <v>-</v>
      </c>
      <c r="AG100" s="147" t="str">
        <f>IFERROR(SUMIFS('01. KE30'!$O:$O,'01. KE30'!$C:$C,'06. BC BH THEO CUSTOMER-USD'!$D100,'01. KE30'!$F:$F,'06. BC BH THEO CUSTOMER-USD'!$H100,'01. KE30'!$A:$A,'06. BC BH THEO CUSTOMER-USD'!S$4)/'06. BC BH THEO CUSTOMER-USD'!CY100/'02. Tỷ giá'!H$5,"-")</f>
        <v>-</v>
      </c>
      <c r="AH100" s="147" t="str">
        <f>IFERROR(SUMIFS('01. KE30'!$O:$O,'01. KE30'!$C:$C,'06. BC BH THEO CUSTOMER-USD'!$D100,'01. KE30'!$F:$F,'06. BC BH THEO CUSTOMER-USD'!$H100,'01. KE30'!$A:$A,'06. BC BH THEO CUSTOMER-USD'!T$4)/'06. BC BH THEO CUSTOMER-USD'!CZ100/'02. Tỷ giá'!I$5,"-")</f>
        <v>-</v>
      </c>
      <c r="AI100" s="147" t="str">
        <f>IFERROR(SUMIFS('01. KE30'!$O:$O,'01. KE30'!$C:$C,'06. BC BH THEO CUSTOMER-USD'!$D100,'01. KE30'!$F:$F,'06. BC BH THEO CUSTOMER-USD'!$H100,'01. KE30'!$A:$A,'06. BC BH THEO CUSTOMER-USD'!U$4)/'06. BC BH THEO CUSTOMER-USD'!DA100/'02. Tỷ giá'!J$5,"-")</f>
        <v>-</v>
      </c>
      <c r="AJ100" s="147" t="str">
        <f>IFERROR(SUMIFS('01. KE30'!$O:$O,'01. KE30'!$C:$C,'06. BC BH THEO CUSTOMER-USD'!$D100,'01. KE30'!$F:$F,'06. BC BH THEO CUSTOMER-USD'!$H100,'01. KE30'!$A:$A,'06. BC BH THEO CUSTOMER-USD'!V$4)/'06. BC BH THEO CUSTOMER-USD'!DB100/'02. Tỷ giá'!K$5,"-")</f>
        <v>-</v>
      </c>
      <c r="AK100" s="147" t="str">
        <f>IFERROR(SUMIFS('01. KE30'!$O:$O,'01. KE30'!$C:$C,'06. BC BH THEO CUSTOMER-USD'!$D100,'01. KE30'!$F:$F,'06. BC BH THEO CUSTOMER-USD'!$H100,'01. KE30'!$A:$A,'06. BC BH THEO CUSTOMER-USD'!W$4)/'06. BC BH THEO CUSTOMER-USD'!DC100/'02. Tỷ giá'!L$5,"-")</f>
        <v>-</v>
      </c>
      <c r="AL100" s="147" t="str">
        <f>IFERROR(SUMIFS('01. KE30'!$O:$O,'01. KE30'!$C:$C,'06. BC BH THEO CUSTOMER-USD'!$D100,'01. KE30'!$F:$F,'06. BC BH THEO CUSTOMER-USD'!$H100,'01. KE30'!$A:$A,'06. BC BH THEO CUSTOMER-USD'!X$4)/'06. BC BH THEO CUSTOMER-USD'!DD100/'02. Tỷ giá'!M$5,"-")</f>
        <v>-</v>
      </c>
      <c r="AN100" s="92">
        <f t="shared" ref="AN100" si="887">IFERROR(AVERAGE(AO100:AZ100),"-")</f>
        <v>1322.2222222222222</v>
      </c>
      <c r="AO100" s="25">
        <v>1320</v>
      </c>
      <c r="AP100" s="25">
        <f>1320-40</f>
        <v>1280</v>
      </c>
      <c r="AQ100" s="4">
        <v>1320</v>
      </c>
      <c r="AR100" s="4">
        <f t="shared" ref="AR100:AR114" si="888">AQ100+20</f>
        <v>1340</v>
      </c>
      <c r="AS100" s="4">
        <v>1340</v>
      </c>
      <c r="AT100" s="4">
        <v>1340</v>
      </c>
      <c r="AU100" s="4">
        <v>1340</v>
      </c>
      <c r="AV100" s="4">
        <f t="shared" si="205"/>
        <v>1310</v>
      </c>
      <c r="AW100" s="25">
        <v>1310</v>
      </c>
      <c r="AX100" s="25"/>
      <c r="AY100" s="4"/>
      <c r="AZ100" s="4"/>
      <c r="BB100" s="95">
        <f t="shared" ref="BB100" si="889">IF(L100&lt;&gt;"-",Z100-AN100,"-")</f>
        <v>10.509430894309162</v>
      </c>
      <c r="BC100" s="95" t="str">
        <f t="shared" ref="BC100" si="890">IF(M100&lt;&gt;"-",AA100-AO100,"-")</f>
        <v>-</v>
      </c>
      <c r="BD100" s="95" t="str">
        <f t="shared" ref="BD100" si="891">IF(N100&lt;&gt;"-",AB100-AP100,"-")</f>
        <v>-</v>
      </c>
      <c r="BE100" s="95" t="str">
        <f t="shared" ref="BE100" si="892">IF(O100&lt;&gt;"-",AC100-AQ100,"-")</f>
        <v>-</v>
      </c>
      <c r="BF100" s="95">
        <f t="shared" ref="BF100" si="893">IF(P100&lt;&gt;"-",AD100-AR100,"-")</f>
        <v>-7.2683468834686664</v>
      </c>
      <c r="BG100" s="95" t="str">
        <f t="shared" ref="BG100" si="894">IF(Q100&lt;&gt;"-",AE100-AS100,"-")</f>
        <v>-</v>
      </c>
      <c r="BH100" s="95" t="str">
        <f t="shared" ref="BH100" si="895">IF(R100&lt;&gt;"-",AF100-AT100,"-")</f>
        <v>-</v>
      </c>
      <c r="BI100" s="95" t="str">
        <f t="shared" ref="BI100" si="896">IF(S100&lt;&gt;"-",AG100-AU100,"-")</f>
        <v>-</v>
      </c>
      <c r="BJ100" s="95" t="str">
        <f t="shared" ref="BJ100" si="897">IF(T100&lt;&gt;"-",AH100-AV100,"-")</f>
        <v>-</v>
      </c>
      <c r="BK100" s="95" t="str">
        <f t="shared" ref="BK100" si="898">IF(U100&lt;&gt;"-",AI100-AW100,"-")</f>
        <v>-</v>
      </c>
      <c r="BL100" s="95" t="str">
        <f t="shared" ref="BL100" si="899">IF(V100&lt;&gt;"-",AJ100-AX100,"-")</f>
        <v>-</v>
      </c>
      <c r="BM100" s="95" t="str">
        <f t="shared" ref="BM100" si="900">IF(W100&lt;&gt;"-",AK100-AY100,"-")</f>
        <v>-</v>
      </c>
      <c r="BN100" s="95" t="str">
        <f t="shared" ref="BN100" si="901">IF(X100&lt;&gt;"-",AL100-AZ100,"-")</f>
        <v>-</v>
      </c>
      <c r="BP100" s="143">
        <f t="shared" ref="BP100" si="902">IFERROR(IF(BB100&lt;&gt;"-",BB100/AN100,"-"),"-")</f>
        <v>7.9483090797296194E-3</v>
      </c>
      <c r="BQ100" s="143" t="str">
        <f t="shared" ref="BQ100" si="903">IFERROR(IF(BC100&lt;&gt;"-",BC100/AO100,"-"),"-")</f>
        <v>-</v>
      </c>
      <c r="BR100" s="143" t="str">
        <f t="shared" ref="BR100" si="904">IFERROR(IF(BD100&lt;&gt;"-",BD100/AP100,"-"),"-")</f>
        <v>-</v>
      </c>
      <c r="BS100" s="143" t="str">
        <f t="shared" ref="BS100" si="905">IFERROR(IF(BE100&lt;&gt;"-",BE100/AQ100,"-"),"-")</f>
        <v>-</v>
      </c>
      <c r="BT100" s="143">
        <f t="shared" ref="BT100" si="906">IFERROR(IF(BF100&lt;&gt;"-",BF100/AR100,"-"),"-")</f>
        <v>-5.4241394652751245E-3</v>
      </c>
      <c r="BU100" s="143" t="str">
        <f t="shared" ref="BU100" si="907">IFERROR(IF(BG100&lt;&gt;"-",BG100/AS100,"-"),"-")</f>
        <v>-</v>
      </c>
      <c r="BV100" s="143" t="str">
        <f t="shared" ref="BV100" si="908">IFERROR(IF(BH100&lt;&gt;"-",BH100/AT100,"-"),"-")</f>
        <v>-</v>
      </c>
      <c r="BW100" s="143" t="str">
        <f t="shared" ref="BW100" si="909">IFERROR(IF(BI100&lt;&gt;"-",BI100/AU100,"-"),"-")</f>
        <v>-</v>
      </c>
      <c r="BX100" s="143" t="str">
        <f t="shared" ref="BX100" si="910">IFERROR(IF(BJ100&lt;&gt;"-",BJ100/AV100,"-"),"-")</f>
        <v>-</v>
      </c>
      <c r="BY100" s="143" t="str">
        <f t="shared" ref="BY100" si="911">IFERROR(IF(BK100&lt;&gt;"-",BK100/AW100,"-"),"-")</f>
        <v>-</v>
      </c>
      <c r="BZ100" s="143" t="str">
        <f t="shared" ref="BZ100" si="912">IFERROR(IF(BL100&lt;&gt;"-",BL100/AX100,"-"),"-")</f>
        <v>-</v>
      </c>
      <c r="CA100" s="143" t="str">
        <f t="shared" ref="CA100" si="913">IFERROR(IF(BM100&lt;&gt;"-",BM100/AY100,"-"),"-")</f>
        <v>-</v>
      </c>
      <c r="CB100" s="143" t="str">
        <f t="shared" ref="CB100" si="914">IFERROR(IF(BN100&lt;&gt;"-",BN100/AZ100,"-"),"-")</f>
        <v>-</v>
      </c>
      <c r="CD100" s="112">
        <f t="shared" ref="CD100" si="915">IFERROR(AVERAGE(CE100:CP100),"-")</f>
        <v>1028.8379878928658</v>
      </c>
      <c r="CE100" s="95" t="str">
        <f>IFERROR(SUMIFS('01. KE30'!$R:$R,'01. KE30'!$C:$C,'06. BC BH THEO CUSTOMER-USD'!$D100,'01. KE30'!$F:$F,'06. BC BH THEO CUSTOMER-USD'!$H100,'01. KE30'!$A:$A,'06. BC BH THEO CUSTOMER-USD'!CE$4)/CS100/'02. Tỷ giá'!B$5," -")</f>
        <v xml:space="preserve"> -</v>
      </c>
      <c r="CF100" s="95" t="str">
        <f>IFERROR(SUMIFS('01. KE30'!$R:$R,'01. KE30'!$C:$C,'06. BC BH THEO CUSTOMER-USD'!$D100,'01. KE30'!$F:$F,'06. BC BH THEO CUSTOMER-USD'!$H100,'01. KE30'!$A:$A,'06. BC BH THEO CUSTOMER-USD'!CF$4)/CT100/'02. Tỷ giá'!C$5," -")</f>
        <v xml:space="preserve"> -</v>
      </c>
      <c r="CG100" s="95" t="str">
        <f>IFERROR(SUMIFS('01. KE30'!$R:$R,'01. KE30'!$C:$C,'06. BC BH THEO CUSTOMER-USD'!$D100,'01. KE30'!$F:$F,'06. BC BH THEO CUSTOMER-USD'!$H100,'01. KE30'!$A:$A,'06. BC BH THEO CUSTOMER-USD'!CG$4)/CU100/'02. Tỷ giá'!D$5," -")</f>
        <v xml:space="preserve"> -</v>
      </c>
      <c r="CH100" s="95">
        <f>IFERROR(SUMIFS('01. KE30'!$R:$R,'01. KE30'!$C:$C,'06. BC BH THEO CUSTOMER-USD'!$D100,'01. KE30'!$F:$F,'06. BC BH THEO CUSTOMER-USD'!$H100,'01. KE30'!$A:$A,'06. BC BH THEO CUSTOMER-USD'!CH$4)/CV100/'02. Tỷ giá'!E$5," -")</f>
        <v>1028.8379878928658</v>
      </c>
      <c r="CI100" s="95" t="str">
        <f>IFERROR(SUMIFS('01. KE30'!$R:$R,'01. KE30'!$C:$C,'06. BC BH THEO CUSTOMER-USD'!$D100,'01. KE30'!$F:$F,'06. BC BH THEO CUSTOMER-USD'!$H100,'01. KE30'!$A:$A,'06. BC BH THEO CUSTOMER-USD'!CI$4)/CW100/'02. Tỷ giá'!F$5," -")</f>
        <v xml:space="preserve"> -</v>
      </c>
      <c r="CJ100" s="95" t="str">
        <f>IFERROR(SUMIFS('01. KE30'!$R:$R,'01. KE30'!$C:$C,'06. BC BH THEO CUSTOMER-USD'!$D100,'01. KE30'!$F:$F,'06. BC BH THEO CUSTOMER-USD'!$H100,'01. KE30'!$A:$A,'06. BC BH THEO CUSTOMER-USD'!CJ$4)/CX100/'02. Tỷ giá'!G$5," -")</f>
        <v xml:space="preserve"> -</v>
      </c>
      <c r="CK100" s="95" t="str">
        <f>IFERROR(SUMIFS('01. KE30'!$R:$R,'01. KE30'!$C:$C,'06. BC BH THEO CUSTOMER-USD'!$D100,'01. KE30'!$F:$F,'06. BC BH THEO CUSTOMER-USD'!$H100,'01. KE30'!$A:$A,'06. BC BH THEO CUSTOMER-USD'!CK$4)/CY100/'02. Tỷ giá'!H$5," -")</f>
        <v xml:space="preserve"> -</v>
      </c>
      <c r="CL100" s="95" t="str">
        <f>IFERROR(SUMIFS('01. KE30'!$R:$R,'01. KE30'!$C:$C,'06. BC BH THEO CUSTOMER-USD'!$D100,'01. KE30'!$F:$F,'06. BC BH THEO CUSTOMER-USD'!$H100,'01. KE30'!$A:$A,'06. BC BH THEO CUSTOMER-USD'!CL$4)/CZ100/'02. Tỷ giá'!I$5," -")</f>
        <v xml:space="preserve"> -</v>
      </c>
      <c r="CM100" s="95" t="str">
        <f>IFERROR(SUMIFS('01. KE30'!$R:$R,'01. KE30'!$C:$C,'06. BC BH THEO CUSTOMER-USD'!$D100,'01. KE30'!$F:$F,'06. BC BH THEO CUSTOMER-USD'!$H100,'01. KE30'!$A:$A,'06. BC BH THEO CUSTOMER-USD'!CM$4)/DA100/'02. Tỷ giá'!J$5," -")</f>
        <v xml:space="preserve"> -</v>
      </c>
      <c r="CN100" s="95" t="str">
        <f>IFERROR(SUMIFS('01. KE30'!$R:$R,'01. KE30'!$C:$C,'06. BC BH THEO CUSTOMER-USD'!$D100,'01. KE30'!$F:$F,'06. BC BH THEO CUSTOMER-USD'!$H100,'01. KE30'!$A:$A,'06. BC BH THEO CUSTOMER-USD'!CN$4)/DB100/'02. Tỷ giá'!K$5," -")</f>
        <v xml:space="preserve"> -</v>
      </c>
      <c r="CO100" s="95" t="str">
        <f>IFERROR(SUMIFS('01. KE30'!$R:$R,'01. KE30'!$C:$C,'06. BC BH THEO CUSTOMER-USD'!$D100,'01. KE30'!$F:$F,'06. BC BH THEO CUSTOMER-USD'!$H100,'01. KE30'!$A:$A,'06. BC BH THEO CUSTOMER-USD'!CO$4)/DC100/'02. Tỷ giá'!L$5," -")</f>
        <v xml:space="preserve"> -</v>
      </c>
      <c r="CP100" s="95" t="str">
        <f>IFERROR(SUMIFS('01. KE30'!$R:$R,'01. KE30'!$C:$C,'06. BC BH THEO CUSTOMER-USD'!$D100,'01. KE30'!$F:$F,'06. BC BH THEO CUSTOMER-USD'!$H100,'01. KE30'!$A:$A,'06. BC BH THEO CUSTOMER-USD'!CP$4)/DD100/'02. Tỷ giá'!M$5," -")</f>
        <v xml:space="preserve"> -</v>
      </c>
      <c r="CR100" s="112">
        <f t="shared" ref="CR100" si="916">SUM(CS100:DD100)</f>
        <v>22</v>
      </c>
      <c r="CS100" s="114">
        <f>SUMIFS('01. KE30'!$I:$I,'01. KE30'!$C:$C,'06. BC BH THEO CUSTOMER-USD'!$D100,'01. KE30'!$F:$F,'06. BC BH THEO CUSTOMER-USD'!$H100,'01. KE30'!$A:$A,'06. BC BH THEO CUSTOMER-USD'!CS$4)/1000</f>
        <v>0</v>
      </c>
      <c r="CT100" s="114">
        <f>SUMIFS('01. KE30'!$I:$I,'01. KE30'!$C:$C,'06. BC BH THEO CUSTOMER-USD'!$D100,'01. KE30'!$F:$F,'06. BC BH THEO CUSTOMER-USD'!$H100,'01. KE30'!$A:$A,'06. BC BH THEO CUSTOMER-USD'!CT$4)/1000</f>
        <v>0</v>
      </c>
      <c r="CU100" s="114">
        <f>SUMIFS('01. KE30'!$I:$I,'01. KE30'!$C:$C,'06. BC BH THEO CUSTOMER-USD'!$D100,'01. KE30'!$F:$F,'06. BC BH THEO CUSTOMER-USD'!$H100,'01. KE30'!$A:$A,'06. BC BH THEO CUSTOMER-USD'!CU$4)/1000</f>
        <v>0</v>
      </c>
      <c r="CV100" s="725">
        <f>SUMIFS('01. KE30'!$I:$I,'01. KE30'!$C:$C,'06. BC BH THEO CUSTOMER-USD'!$D100,'01. KE30'!$F:$F,'06. BC BH THEO CUSTOMER-USD'!$H100,'01. KE30'!$A:$A,'06. BC BH THEO CUSTOMER-USD'!CV$4)/1000</f>
        <v>22</v>
      </c>
      <c r="CW100" s="114">
        <f>SUMIFS('01. KE30'!$I:$I,'01. KE30'!$C:$C,'06. BC BH THEO CUSTOMER-USD'!$D100,'01. KE30'!$F:$F,'06. BC BH THEO CUSTOMER-USD'!$H100,'01. KE30'!$A:$A,'06. BC BH THEO CUSTOMER-USD'!CW$4)/1000</f>
        <v>0</v>
      </c>
      <c r="CX100" s="114">
        <f>SUMIFS('01. KE30'!$I:$I,'01. KE30'!$C:$C,'06. BC BH THEO CUSTOMER-USD'!$D100,'01. KE30'!$F:$F,'06. BC BH THEO CUSTOMER-USD'!$H100,'01. KE30'!$A:$A,'06. BC BH THEO CUSTOMER-USD'!CX$4)/1000</f>
        <v>0</v>
      </c>
      <c r="CY100" s="114">
        <f>SUMIFS('01. KE30'!$I:$I,'01. KE30'!$C:$C,'06. BC BH THEO CUSTOMER-USD'!$D100,'01. KE30'!$F:$F,'06. BC BH THEO CUSTOMER-USD'!$H100,'01. KE30'!$A:$A,'06. BC BH THEO CUSTOMER-USD'!CY$4)/1000</f>
        <v>0</v>
      </c>
      <c r="CZ100" s="114">
        <f>SUMIFS('01. KE30'!$I:$I,'01. KE30'!$C:$C,'06. BC BH THEO CUSTOMER-USD'!$D100,'01. KE30'!$F:$F,'06. BC BH THEO CUSTOMER-USD'!$H100,'01. KE30'!$A:$A,'06. BC BH THEO CUSTOMER-USD'!CZ$4)/1000</f>
        <v>0</v>
      </c>
      <c r="DA100" s="114">
        <f>SUMIFS('01. KE30'!$I:$I,'01. KE30'!$C:$C,'06. BC BH THEO CUSTOMER-USD'!$D100,'01. KE30'!$F:$F,'06. BC BH THEO CUSTOMER-USD'!$H100,'01. KE30'!$A:$A,'06. BC BH THEO CUSTOMER-USD'!DA$4)/1000</f>
        <v>0</v>
      </c>
      <c r="DB100" s="114">
        <f>SUMIFS('01. KE30'!$I:$I,'01. KE30'!$C:$C,'06. BC BH THEO CUSTOMER-USD'!$D100,'01. KE30'!$F:$F,'06. BC BH THEO CUSTOMER-USD'!$H100,'01. KE30'!$A:$A,'06. BC BH THEO CUSTOMER-USD'!DB$4)/1000</f>
        <v>0</v>
      </c>
      <c r="DC100" s="114">
        <f>SUMIFS('01. KE30'!$I:$I,'01. KE30'!$C:$C,'06. BC BH THEO CUSTOMER-USD'!$D100,'01. KE30'!$F:$F,'06. BC BH THEO CUSTOMER-USD'!$H100,'01. KE30'!$A:$A,'06. BC BH THEO CUSTOMER-USD'!DC$4)/1000</f>
        <v>0</v>
      </c>
      <c r="DD100" s="114">
        <f>SUMIFS('01. KE30'!$I:$I,'01. KE30'!$C:$C,'06. BC BH THEO CUSTOMER-USD'!$D100,'01. KE30'!$F:$F,'06. BC BH THEO CUSTOMER-USD'!$H100,'01. KE30'!$A:$A,'06. BC BH THEO CUSTOMER-USD'!DD$4)/1000</f>
        <v>0</v>
      </c>
      <c r="DF100" s="120">
        <f t="shared" ref="DF100" si="917">SUM(DG100:DR100)</f>
        <v>31700.34765776229</v>
      </c>
      <c r="DG100" s="54" t="str">
        <f t="shared" ref="DG100" si="918">IFERROR(M100*CS100,"-")</f>
        <v>-</v>
      </c>
      <c r="DH100" s="54" t="str">
        <f t="shared" ref="DH100" si="919">IFERROR(N100*CT100,"-")</f>
        <v>-</v>
      </c>
      <c r="DI100" s="54" t="str">
        <f t="shared" ref="DI100" si="920">IFERROR(O100*CU100,"-")</f>
        <v>-</v>
      </c>
      <c r="DJ100" s="54">
        <f t="shared" ref="DJ100" si="921">IFERROR(P100*CV100,"-")</f>
        <v>31700.34765776229</v>
      </c>
      <c r="DK100" s="54" t="str">
        <f t="shared" ref="DK100" si="922">IFERROR(Q100*CW100,"-")</f>
        <v>-</v>
      </c>
      <c r="DL100" s="54" t="str">
        <f t="shared" ref="DL100" si="923">IFERROR(R100*CX100,"-")</f>
        <v>-</v>
      </c>
      <c r="DM100" s="54" t="str">
        <f t="shared" ref="DM100" si="924">IFERROR(S100*CY100,"-")</f>
        <v>-</v>
      </c>
      <c r="DN100" s="54" t="str">
        <f t="shared" ref="DN100" si="925">IFERROR(T100*CZ100,"-")</f>
        <v>-</v>
      </c>
      <c r="DO100" s="54" t="str">
        <f t="shared" ref="DO100" si="926">IFERROR(U100*DA100,"-")</f>
        <v>-</v>
      </c>
      <c r="DP100" s="54" t="str">
        <f t="shared" ref="DP100" si="927">IFERROR(V100*DB100,"-")</f>
        <v>-</v>
      </c>
      <c r="DQ100" s="54" t="str">
        <f t="shared" ref="DQ100" si="928">IFERROR(W100*DC100,"-")</f>
        <v>-</v>
      </c>
      <c r="DR100" s="54" t="str">
        <f t="shared" ref="DR100" si="929">IFERROR(X100*DD100,"-")</f>
        <v>-</v>
      </c>
      <c r="DT100" s="112">
        <f t="shared" ref="DT100" si="930">SUM(DU100:EF100)</f>
        <v>6685.6606349206377</v>
      </c>
      <c r="DU100" s="114">
        <f>IFERROR(SUMIFS('01. KE30'!$X:$X,'01. KE30'!$C:$C,'06. BC BH THEO CUSTOMER-USD'!$D100,'01. KE30'!$F:$F,'06. BC BH THEO CUSTOMER-USD'!$H100,'01. KE30'!$A:$A,'06. BC BH THEO CUSTOMER-USD'!DU$4)-SUMIFS('01. KE30'!$AA:$AA,'01. KE30'!$C:$C,'06. BC BH THEO CUSTOMER-USD'!$D100,'01. KE30'!$F:$F,'06. BC BH THEO CUSTOMER-USD'!$H100,'01. KE30'!$A:$A,'06. BC BH THEO CUSTOMER-USD'!DU$4),"-")</f>
        <v>0</v>
      </c>
      <c r="DV100" s="114">
        <f>IFERROR(SUMIFS('01. KE30'!$X:$X,'01. KE30'!$C:$C,'06. BC BH THEO CUSTOMER-USD'!$D100,'01. KE30'!$F:$F,'06. BC BH THEO CUSTOMER-USD'!$H100,'01. KE30'!$A:$A,'06. BC BH THEO CUSTOMER-USD'!DV$4)-SUMIFS('01. KE30'!$AA:$AA,'01. KE30'!$C:$C,'06. BC BH THEO CUSTOMER-USD'!$D100,'01. KE30'!$F:$F,'06. BC BH THEO CUSTOMER-USD'!$H100,'01. KE30'!$A:$A,'06. BC BH THEO CUSTOMER-USD'!DV$4),"-")</f>
        <v>0</v>
      </c>
      <c r="DW100" s="114">
        <f>IFERROR(SUMIFS('01. KE30'!$X:$X,'01. KE30'!$C:$C,'06. BC BH THEO CUSTOMER-USD'!$D100,'01. KE30'!$F:$F,'06. BC BH THEO CUSTOMER-USD'!$H100,'01. KE30'!$A:$A,'06. BC BH THEO CUSTOMER-USD'!DW$4)-SUMIFS('01. KE30'!$AA:$AA,'01. KE30'!$C:$C,'06. BC BH THEO CUSTOMER-USD'!$D100,'01. KE30'!$F:$F,'06. BC BH THEO CUSTOMER-USD'!$H100,'01. KE30'!$A:$A,'06. BC BH THEO CUSTOMER-USD'!DW$4),"-")</f>
        <v>0</v>
      </c>
      <c r="DX100" s="114">
        <f>IFERROR(SUMIFS('01. KE30'!$X:$X,'01. KE30'!$C:$C,'06. BC BH THEO CUSTOMER-USD'!$D100,'01. KE30'!$F:$F,'06. BC BH THEO CUSTOMER-USD'!$H100,'01. KE30'!$A:$A,'06. BC BH THEO CUSTOMER-USD'!DX$4)-SUMIFS('01. KE30'!$AA:$AA,'01. KE30'!$C:$C,'06. BC BH THEO CUSTOMER-USD'!$D100,'01. KE30'!$F:$F,'06. BC BH THEO CUSTOMER-USD'!$H100,'01. KE30'!$A:$A,'06. BC BH THEO CUSTOMER-USD'!DX$4),"-")</f>
        <v>6685.6606349206377</v>
      </c>
      <c r="DY100" s="114">
        <f>IFERROR(SUMIFS('01. KE30'!$X:$X,'01. KE30'!$C:$C,'06. BC BH THEO CUSTOMER-USD'!$D100,'01. KE30'!$F:$F,'06. BC BH THEO CUSTOMER-USD'!$H100,'01. KE30'!$A:$A,'06. BC BH THEO CUSTOMER-USD'!DY$4)-SUMIFS('01. KE30'!$AA:$AA,'01. KE30'!$C:$C,'06. BC BH THEO CUSTOMER-USD'!$D100,'01. KE30'!$F:$F,'06. BC BH THEO CUSTOMER-USD'!$H100,'01. KE30'!$A:$A,'06. BC BH THEO CUSTOMER-USD'!DY$4),"-")</f>
        <v>0</v>
      </c>
      <c r="DZ100" s="114">
        <f>IFERROR(SUMIFS('01. KE30'!$X:$X,'01. KE30'!$C:$C,'06. BC BH THEO CUSTOMER-USD'!$D100,'01. KE30'!$F:$F,'06. BC BH THEO CUSTOMER-USD'!$H100,'01. KE30'!$A:$A,'06. BC BH THEO CUSTOMER-USD'!DZ$4)-SUMIFS('01. KE30'!$AA:$AA,'01. KE30'!$C:$C,'06. BC BH THEO CUSTOMER-USD'!$D100,'01. KE30'!$F:$F,'06. BC BH THEO CUSTOMER-USD'!$H100,'01. KE30'!$A:$A,'06. BC BH THEO CUSTOMER-USD'!DZ$4),"-")</f>
        <v>0</v>
      </c>
      <c r="EA100" s="114">
        <f>IFERROR(SUMIFS('01. KE30'!$X:$X,'01. KE30'!$C:$C,'06. BC BH THEO CUSTOMER-USD'!$D100,'01. KE30'!$F:$F,'06. BC BH THEO CUSTOMER-USD'!$H100,'01. KE30'!$A:$A,'06. BC BH THEO CUSTOMER-USD'!EA$4)-SUMIFS('01. KE30'!$AA:$AA,'01. KE30'!$C:$C,'06. BC BH THEO CUSTOMER-USD'!$D100,'01. KE30'!$F:$F,'06. BC BH THEO CUSTOMER-USD'!$H100,'01. KE30'!$A:$A,'06. BC BH THEO CUSTOMER-USD'!EA$4),"-")</f>
        <v>0</v>
      </c>
      <c r="EB100" s="114">
        <f>IFERROR(SUMIFS('01. KE30'!$X:$X,'01. KE30'!$C:$C,'06. BC BH THEO CUSTOMER-USD'!$D100,'01. KE30'!$F:$F,'06. BC BH THEO CUSTOMER-USD'!$H100,'01. KE30'!$A:$A,'06. BC BH THEO CUSTOMER-USD'!EB$4)-SUMIFS('01. KE30'!$AA:$AA,'01. KE30'!$C:$C,'06. BC BH THEO CUSTOMER-USD'!$D100,'01. KE30'!$F:$F,'06. BC BH THEO CUSTOMER-USD'!$H100,'01. KE30'!$A:$A,'06. BC BH THEO CUSTOMER-USD'!EB$4),"-")</f>
        <v>0</v>
      </c>
      <c r="EC100" s="114">
        <f>IFERROR(SUMIFS('01. KE30'!$X:$X,'01. KE30'!$C:$C,'06. BC BH THEO CUSTOMER-USD'!$D100,'01. KE30'!$F:$F,'06. BC BH THEO CUSTOMER-USD'!$H100,'01. KE30'!$A:$A,'06. BC BH THEO CUSTOMER-USD'!EC$4)-SUMIFS('01. KE30'!$AA:$AA,'01. KE30'!$C:$C,'06. BC BH THEO CUSTOMER-USD'!$D100,'01. KE30'!$F:$F,'06. BC BH THEO CUSTOMER-USD'!$H100,'01. KE30'!$A:$A,'06. BC BH THEO CUSTOMER-USD'!EC$4),"-")</f>
        <v>0</v>
      </c>
      <c r="ED100" s="114">
        <f>IFERROR(SUMIFS('01. KE30'!$X:$X,'01. KE30'!$C:$C,'06. BC BH THEO CUSTOMER-USD'!$D100,'01. KE30'!$F:$F,'06. BC BH THEO CUSTOMER-USD'!$H100,'01. KE30'!$A:$A,'06. BC BH THEO CUSTOMER-USD'!ED$4)-SUMIFS('01. KE30'!$AA:$AA,'01. KE30'!$C:$C,'06. BC BH THEO CUSTOMER-USD'!$D100,'01. KE30'!$F:$F,'06. BC BH THEO CUSTOMER-USD'!$H100,'01. KE30'!$A:$A,'06. BC BH THEO CUSTOMER-USD'!ED$4),"-")</f>
        <v>0</v>
      </c>
      <c r="EE100" s="114">
        <f>IFERROR(SUMIFS('01. KE30'!$X:$X,'01. KE30'!$C:$C,'06. BC BH THEO CUSTOMER-USD'!$D100,'01. KE30'!$F:$F,'06. BC BH THEO CUSTOMER-USD'!$H100,'01. KE30'!$A:$A,'06. BC BH THEO CUSTOMER-USD'!EE$4)-SUMIFS('01. KE30'!$AA:$AA,'01. KE30'!$C:$C,'06. BC BH THEO CUSTOMER-USD'!$D100,'01. KE30'!$F:$F,'06. BC BH THEO CUSTOMER-USD'!$H100,'01. KE30'!$A:$A,'06. BC BH THEO CUSTOMER-USD'!EE$4),"-")</f>
        <v>0</v>
      </c>
      <c r="EF100" s="114">
        <f>IFERROR(SUMIFS('01. KE30'!$X:$X,'01. KE30'!$C:$C,'06. BC BH THEO CUSTOMER-USD'!$D100,'01. KE30'!$F:$F,'06. BC BH THEO CUSTOMER-USD'!$H100,'01. KE30'!$A:$A,'06. BC BH THEO CUSTOMER-USD'!EF$4)-SUMIFS('01. KE30'!$AA:$AA,'01. KE30'!$C:$C,'06. BC BH THEO CUSTOMER-USD'!$D100,'01. KE30'!$F:$F,'06. BC BH THEO CUSTOMER-USD'!$H100,'01. KE30'!$A:$A,'06. BC BH THEO CUSTOMER-USD'!EF$4),"-")</f>
        <v>0</v>
      </c>
      <c r="EH100" s="571">
        <f t="shared" ref="EH100" si="931">IFERROR(DT100/DF100,"-")</f>
        <v>0.21090180798959018</v>
      </c>
      <c r="EI100" s="572" t="str">
        <f t="shared" ref="EI100" si="932">IFERROR(DU100/DG100,"-")</f>
        <v>-</v>
      </c>
      <c r="EJ100" s="572" t="str">
        <f t="shared" ref="EJ100" si="933">IFERROR(DV100/DH100,"-")</f>
        <v>-</v>
      </c>
      <c r="EK100" s="572" t="str">
        <f t="shared" ref="EK100" si="934">IFERROR(DW100/DI100,"-")</f>
        <v>-</v>
      </c>
      <c r="EL100" s="572">
        <f t="shared" ref="EL100" si="935">IFERROR(DX100/DJ100,"-")</f>
        <v>0.21090180798959018</v>
      </c>
      <c r="EM100" s="572" t="str">
        <f t="shared" ref="EM100" si="936">IFERROR(DY100/DK100,"-")</f>
        <v>-</v>
      </c>
      <c r="EN100" s="572" t="str">
        <f t="shared" ref="EN100" si="937">IFERROR(DZ100/DL100,"-")</f>
        <v>-</v>
      </c>
      <c r="EO100" s="572" t="str">
        <f t="shared" ref="EO100" si="938">IFERROR(EA100/DM100,"-")</f>
        <v>-</v>
      </c>
      <c r="EP100" s="572" t="str">
        <f t="shared" ref="EP100" si="939">IFERROR(EB100/DN100,"-")</f>
        <v>-</v>
      </c>
      <c r="EQ100" s="572" t="str">
        <f t="shared" ref="EQ100" si="940">IFERROR(EC100/DO100,"-")</f>
        <v>-</v>
      </c>
      <c r="ER100" s="572" t="str">
        <f t="shared" ref="ER100" si="941">IFERROR(ED100/DP100,"-")</f>
        <v>-</v>
      </c>
      <c r="ES100" s="572" t="str">
        <f t="shared" ref="ES100" si="942">IFERROR(EE100/DQ100,"-")</f>
        <v>-</v>
      </c>
      <c r="ET100" s="572" t="str">
        <f t="shared" ref="ET100" si="943">IFERROR(EF100/DR100,"-")</f>
        <v>-</v>
      </c>
    </row>
    <row r="101" spans="1:150" ht="15.5" hidden="1" outlineLevel="1" x14ac:dyDescent="0.35">
      <c r="A101" s="27">
        <f t="shared" si="653"/>
        <v>85</v>
      </c>
      <c r="B101" s="27" t="s">
        <v>283</v>
      </c>
      <c r="C101" s="442" t="s">
        <v>489</v>
      </c>
      <c r="D101" s="9" t="s">
        <v>884</v>
      </c>
      <c r="E101" s="12" t="s">
        <v>885</v>
      </c>
      <c r="F101" s="12" t="s">
        <v>250</v>
      </c>
      <c r="G101" s="12" t="str">
        <f>_xlfn.XLOOKUP(F101,'Quy đổi'!$G$5:$G$32,'Quy đổi'!$H$5:$H$32,0)</f>
        <v>Châu Âu</v>
      </c>
      <c r="H101" s="76" t="s">
        <v>102</v>
      </c>
      <c r="I101" s="28" t="s">
        <v>101</v>
      </c>
      <c r="J101" s="6" t="s">
        <v>26</v>
      </c>
      <c r="K101" s="11" t="s">
        <v>113</v>
      </c>
      <c r="L101" s="92">
        <f t="shared" ref="L101:L109" si="944">IFERROR(AVERAGE(M101:X101),"-")</f>
        <v>1112.5559723047468</v>
      </c>
      <c r="M101" s="106" t="str">
        <f>IFERROR(SUMIFS('01. KE30'!$K:$K,'01. KE30'!$C:$C,'06. BC BH THEO CUSTOMER-USD'!$D101,'01. KE30'!$F:$F,'06. BC BH THEO CUSTOMER-USD'!$H101,'01. KE30'!$A:$A,'06. BC BH THEO CUSTOMER-USD'!M$4)/'06. BC BH THEO CUSTOMER-USD'!CS101/'02. Tỷ giá'!B$5,"-")</f>
        <v>-</v>
      </c>
      <c r="N101" s="106" t="str">
        <f>IFERROR(SUMIFS('01. KE30'!$K:$K,'01. KE30'!$C:$C,'06. BC BH THEO CUSTOMER-USD'!$D101,'01. KE30'!$F:$F,'06. BC BH THEO CUSTOMER-USD'!$H101,'01. KE30'!$A:$A,'06. BC BH THEO CUSTOMER-USD'!N$4)/'06. BC BH THEO CUSTOMER-USD'!CT101/'02. Tỷ giá'!C$5,"-")</f>
        <v>-</v>
      </c>
      <c r="O101" s="106" t="str">
        <f>IFERROR(SUMIFS('01. KE30'!$K:$K,'01. KE30'!$C:$C,'06. BC BH THEO CUSTOMER-USD'!$D101,'01. KE30'!$F:$F,'06. BC BH THEO CUSTOMER-USD'!$H101,'01. KE30'!$A:$A,'06. BC BH THEO CUSTOMER-USD'!O$4)/'06. BC BH THEO CUSTOMER-USD'!CU101/'02. Tỷ giá'!D$5,"-")</f>
        <v>-</v>
      </c>
      <c r="P101" s="106" t="str">
        <f>IFERROR(SUMIFS('01. KE30'!$K:$K,'01. KE30'!$C:$C,'06. BC BH THEO CUSTOMER-USD'!$D101,'01. KE30'!$F:$F,'06. BC BH THEO CUSTOMER-USD'!$H101,'01. KE30'!$A:$A,'06. BC BH THEO CUSTOMER-USD'!P$4)/'06. BC BH THEO CUSTOMER-USD'!CV101/'02. Tỷ giá'!E$5,"-")</f>
        <v>-</v>
      </c>
      <c r="Q101" s="106" t="str">
        <f>IFERROR(SUMIFS('01. KE30'!$K:$K,'01. KE30'!$C:$C,'06. BC BH THEO CUSTOMER-USD'!$D101,'01. KE30'!$F:$F,'06. BC BH THEO CUSTOMER-USD'!$H101,'01. KE30'!$A:$A,'06. BC BH THEO CUSTOMER-USD'!Q$4)/'06. BC BH THEO CUSTOMER-USD'!CW101/'02. Tỷ giá'!F$5,"-")</f>
        <v>-</v>
      </c>
      <c r="R101" s="106">
        <f>IFERROR(SUMIFS('01. KE30'!$K:$K,'01. KE30'!$C:$C,'06. BC BH THEO CUSTOMER-USD'!$D101,'01. KE30'!$F:$F,'06. BC BH THEO CUSTOMER-USD'!$H101,'01. KE30'!$A:$A,'06. BC BH THEO CUSTOMER-USD'!R$4)/'06. BC BH THEO CUSTOMER-USD'!CX101/'02. Tỷ giá'!G$5,"-")</f>
        <v>1150.8873456790122</v>
      </c>
      <c r="S101" s="106" t="str">
        <f>IFERROR(SUMIFS('01. KE30'!$K:$K,'01. KE30'!$C:$C,'06. BC BH THEO CUSTOMER-USD'!$D101,'01. KE30'!$F:$F,'06. BC BH THEO CUSTOMER-USD'!$H101,'01. KE30'!$A:$A,'06. BC BH THEO CUSTOMER-USD'!S$4)/'06. BC BH THEO CUSTOMER-USD'!CY101/'02. Tỷ giá'!H$5,"-")</f>
        <v>-</v>
      </c>
      <c r="T101" s="106">
        <f>IFERROR(SUMIFS('01. KE30'!$K:$K,'01. KE30'!$C:$C,'06. BC BH THEO CUSTOMER-USD'!$D101,'01. KE30'!$F:$F,'06. BC BH THEO CUSTOMER-USD'!$H101,'01. KE30'!$A:$A,'06. BC BH THEO CUSTOMER-USD'!T$4)/'06. BC BH THEO CUSTOMER-USD'!CZ101/'02. Tỷ giá'!I$5,"-")</f>
        <v>1074.2245989304813</v>
      </c>
      <c r="U101" s="106" t="str">
        <f>IFERROR(SUMIFS('01. KE30'!$K:$K,'01. KE30'!$C:$C,'06. BC BH THEO CUSTOMER-USD'!$D101,'01. KE30'!$F:$F,'06. BC BH THEO CUSTOMER-USD'!$H101,'01. KE30'!$A:$A,'06. BC BH THEO CUSTOMER-USD'!U$4)/'06. BC BH THEO CUSTOMER-USD'!DA101/'02. Tỷ giá'!J$5,"-")</f>
        <v>-</v>
      </c>
      <c r="V101" s="106" t="str">
        <f>IFERROR(SUMIFS('01. KE30'!$K:$K,'01. KE30'!$C:$C,'06. BC BH THEO CUSTOMER-USD'!$D101,'01. KE30'!$F:$F,'06. BC BH THEO CUSTOMER-USD'!$H101,'01. KE30'!$A:$A,'06. BC BH THEO CUSTOMER-USD'!V$4)/'06. BC BH THEO CUSTOMER-USD'!DB101/'02. Tỷ giá'!K$5,"-")</f>
        <v>-</v>
      </c>
      <c r="W101" s="106" t="str">
        <f>IFERROR(SUMIFS('01. KE30'!$K:$K,'01. KE30'!$C:$C,'06. BC BH THEO CUSTOMER-USD'!$D101,'01. KE30'!$F:$F,'06. BC BH THEO CUSTOMER-USD'!$H101,'01. KE30'!$A:$A,'06. BC BH THEO CUSTOMER-USD'!W$4)/'06. BC BH THEO CUSTOMER-USD'!DC101/'02. Tỷ giá'!L$5,"-")</f>
        <v>-</v>
      </c>
      <c r="X101" s="106" t="str">
        <f>IFERROR(SUMIFS('01. KE30'!$K:$K,'01. KE30'!$C:$C,'06. BC BH THEO CUSTOMER-USD'!$D101,'01. KE30'!$F:$F,'06. BC BH THEO CUSTOMER-USD'!$H101,'01. KE30'!$A:$A,'06. BC BH THEO CUSTOMER-USD'!X$4)/'06. BC BH THEO CUSTOMER-USD'!DD101/'02. Tỷ giá'!M$5,"-")</f>
        <v>-</v>
      </c>
      <c r="Z101" s="92">
        <f t="shared" ref="Z101:Z109" si="945">IFERROR(AVERAGE(AA101:AL101),"-")</f>
        <v>1092.4788600891457</v>
      </c>
      <c r="AA101" s="147" t="str">
        <f>IFERROR(SUMIFS('01. KE30'!$O:$O,'01. KE30'!$C:$C,'06. BC BH THEO CUSTOMER-USD'!$D101,'01. KE30'!$F:$F,'06. BC BH THEO CUSTOMER-USD'!$H101,'01. KE30'!$A:$A,'06. BC BH THEO CUSTOMER-USD'!M$4)/'06. BC BH THEO CUSTOMER-USD'!CS101/'02. Tỷ giá'!B$5,"-")</f>
        <v>-</v>
      </c>
      <c r="AB101" s="147" t="str">
        <f>IFERROR(SUMIFS('01. KE30'!$O:$O,'01. KE30'!$C:$C,'06. BC BH THEO CUSTOMER-USD'!$D101,'01. KE30'!$F:$F,'06. BC BH THEO CUSTOMER-USD'!$H101,'01. KE30'!$A:$A,'06. BC BH THEO CUSTOMER-USD'!N$4)/'06. BC BH THEO CUSTOMER-USD'!CT101/'02. Tỷ giá'!C$5,"-")</f>
        <v>-</v>
      </c>
      <c r="AC101" s="147" t="str">
        <f>IFERROR(SUMIFS('01. KE30'!$O:$O,'01. KE30'!$C:$C,'06. BC BH THEO CUSTOMER-USD'!$D101,'01. KE30'!$F:$F,'06. BC BH THEO CUSTOMER-USD'!$H101,'01. KE30'!$A:$A,'06. BC BH THEO CUSTOMER-USD'!O$4)/'06. BC BH THEO CUSTOMER-USD'!CU101/'02. Tỷ giá'!D$5,"-")</f>
        <v>-</v>
      </c>
      <c r="AD101" s="147" t="str">
        <f>IFERROR(SUMIFS('01. KE30'!$O:$O,'01. KE30'!$C:$C,'06. BC BH THEO CUSTOMER-USD'!$D101,'01. KE30'!$F:$F,'06. BC BH THEO CUSTOMER-USD'!$H101,'01. KE30'!$A:$A,'06. BC BH THEO CUSTOMER-USD'!P$4)/'06. BC BH THEO CUSTOMER-USD'!CV101/'02. Tỷ giá'!E$5,"-")</f>
        <v>-</v>
      </c>
      <c r="AE101" s="147" t="str">
        <f>IFERROR(SUMIFS('01. KE30'!$O:$O,'01. KE30'!$C:$C,'06. BC BH THEO CUSTOMER-USD'!$D101,'01. KE30'!$F:$F,'06. BC BH THEO CUSTOMER-USD'!$H101,'01. KE30'!$A:$A,'06. BC BH THEO CUSTOMER-USD'!Q$4)/'06. BC BH THEO CUSTOMER-USD'!CW101/'02. Tỷ giá'!F$5,"-")</f>
        <v>-</v>
      </c>
      <c r="AF101" s="147">
        <f>IFERROR(SUMIFS('01. KE30'!$O:$O,'01. KE30'!$C:$C,'06. BC BH THEO CUSTOMER-USD'!$D101,'01. KE30'!$F:$F,'06. BC BH THEO CUSTOMER-USD'!$H101,'01. KE30'!$A:$A,'06. BC BH THEO CUSTOMER-USD'!R$4)/'06. BC BH THEO CUSTOMER-USD'!CX101/'02. Tỷ giá'!G$5,"-")</f>
        <v>1132.1030618686868</v>
      </c>
      <c r="AG101" s="147" t="str">
        <f>IFERROR(SUMIFS('01. KE30'!$O:$O,'01. KE30'!$C:$C,'06. BC BH THEO CUSTOMER-USD'!$D101,'01. KE30'!$F:$F,'06. BC BH THEO CUSTOMER-USD'!$H101,'01. KE30'!$A:$A,'06. BC BH THEO CUSTOMER-USD'!S$4)/'06. BC BH THEO CUSTOMER-USD'!CY101/'02. Tỷ giá'!H$5,"-")</f>
        <v>-</v>
      </c>
      <c r="AH101" s="147">
        <f>IFERROR(SUMIFS('01. KE30'!$O:$O,'01. KE30'!$C:$C,'06. BC BH THEO CUSTOMER-USD'!$D101,'01. KE30'!$F:$F,'06. BC BH THEO CUSTOMER-USD'!$H101,'01. KE30'!$A:$A,'06. BC BH THEO CUSTOMER-USD'!T$4)/'06. BC BH THEO CUSTOMER-USD'!CZ101/'02. Tỷ giá'!I$5,"-")</f>
        <v>1052.8546583096047</v>
      </c>
      <c r="AI101" s="147" t="str">
        <f>IFERROR(SUMIFS('01. KE30'!$O:$O,'01. KE30'!$C:$C,'06. BC BH THEO CUSTOMER-USD'!$D101,'01. KE30'!$F:$F,'06. BC BH THEO CUSTOMER-USD'!$H101,'01. KE30'!$A:$A,'06. BC BH THEO CUSTOMER-USD'!U$4)/'06. BC BH THEO CUSTOMER-USD'!DA101/'02. Tỷ giá'!J$5,"-")</f>
        <v>-</v>
      </c>
      <c r="AJ101" s="147" t="str">
        <f>IFERROR(SUMIFS('01. KE30'!$O:$O,'01. KE30'!$C:$C,'06. BC BH THEO CUSTOMER-USD'!$D101,'01. KE30'!$F:$F,'06. BC BH THEO CUSTOMER-USD'!$H101,'01. KE30'!$A:$A,'06. BC BH THEO CUSTOMER-USD'!V$4)/'06. BC BH THEO CUSTOMER-USD'!DB101/'02. Tỷ giá'!K$5,"-")</f>
        <v>-</v>
      </c>
      <c r="AK101" s="147" t="str">
        <f>IFERROR(SUMIFS('01. KE30'!$O:$O,'01. KE30'!$C:$C,'06. BC BH THEO CUSTOMER-USD'!$D101,'01. KE30'!$F:$F,'06. BC BH THEO CUSTOMER-USD'!$H101,'01. KE30'!$A:$A,'06. BC BH THEO CUSTOMER-USD'!W$4)/'06. BC BH THEO CUSTOMER-USD'!DC101/'02. Tỷ giá'!L$5,"-")</f>
        <v>-</v>
      </c>
      <c r="AL101" s="147" t="str">
        <f>IFERROR(SUMIFS('01. KE30'!$O:$O,'01. KE30'!$C:$C,'06. BC BH THEO CUSTOMER-USD'!$D101,'01. KE30'!$F:$F,'06. BC BH THEO CUSTOMER-USD'!$H101,'01. KE30'!$A:$A,'06. BC BH THEO CUSTOMER-USD'!X$4)/'06. BC BH THEO CUSTOMER-USD'!DD101/'02. Tỷ giá'!M$5,"-")</f>
        <v>-</v>
      </c>
      <c r="AN101" s="92">
        <f t="shared" ref="AN101:AN109" si="946">IFERROR(AVERAGE(AO101:AZ101),"-")</f>
        <v>1184.4444444444443</v>
      </c>
      <c r="AO101" s="25">
        <v>1320</v>
      </c>
      <c r="AP101" s="25">
        <v>1160</v>
      </c>
      <c r="AQ101" s="25">
        <v>1160</v>
      </c>
      <c r="AR101" s="4">
        <f t="shared" si="888"/>
        <v>1180</v>
      </c>
      <c r="AS101" s="4">
        <v>1180</v>
      </c>
      <c r="AT101" s="4">
        <v>1180</v>
      </c>
      <c r="AU101" s="4">
        <v>1180</v>
      </c>
      <c r="AV101" s="4">
        <f t="shared" si="205"/>
        <v>1150</v>
      </c>
      <c r="AW101" s="25">
        <v>1150</v>
      </c>
      <c r="AX101" s="25"/>
      <c r="AY101" s="4"/>
      <c r="AZ101" s="4"/>
      <c r="BB101" s="95">
        <f t="shared" ref="BB101:BB109" si="947">IF(L101&lt;&gt;"-",Z101-AN101,"-")</f>
        <v>-91.965584355298688</v>
      </c>
      <c r="BC101" s="95" t="str">
        <f t="shared" ref="BC101:BC109" si="948">IF(M101&lt;&gt;"-",AA101-AO101,"-")</f>
        <v>-</v>
      </c>
      <c r="BD101" s="95" t="str">
        <f t="shared" ref="BD101:BD109" si="949">IF(N101&lt;&gt;"-",AB101-AP101,"-")</f>
        <v>-</v>
      </c>
      <c r="BE101" s="95" t="str">
        <f t="shared" ref="BE101:BE109" si="950">IF(O101&lt;&gt;"-",AC101-AQ101,"-")</f>
        <v>-</v>
      </c>
      <c r="BF101" s="95" t="str">
        <f t="shared" ref="BF101:BF109" si="951">IF(P101&lt;&gt;"-",AD101-AR101,"-")</f>
        <v>-</v>
      </c>
      <c r="BG101" s="95" t="str">
        <f t="shared" ref="BG101:BG109" si="952">IF(Q101&lt;&gt;"-",AE101-AS101,"-")</f>
        <v>-</v>
      </c>
      <c r="BH101" s="95">
        <f t="shared" ref="BH101:BH109" si="953">IF(R101&lt;&gt;"-",AF101-AT101,"-")</f>
        <v>-47.896938131313163</v>
      </c>
      <c r="BI101" s="95" t="str">
        <f t="shared" ref="BI101:BI109" si="954">IF(S101&lt;&gt;"-",AG101-AU101,"-")</f>
        <v>-</v>
      </c>
      <c r="BJ101" s="95">
        <f t="shared" ref="BJ101:BJ109" si="955">IF(T101&lt;&gt;"-",AH101-AV101,"-")</f>
        <v>-97.145341690395298</v>
      </c>
      <c r="BK101" s="95" t="str">
        <f t="shared" ref="BK101:BK109" si="956">IF(U101&lt;&gt;"-",AI101-AW101,"-")</f>
        <v>-</v>
      </c>
      <c r="BL101" s="95" t="str">
        <f t="shared" ref="BL101:BL109" si="957">IF(V101&lt;&gt;"-",AJ101-AX101,"-")</f>
        <v>-</v>
      </c>
      <c r="BM101" s="95" t="str">
        <f t="shared" ref="BM101:BM109" si="958">IF(W101&lt;&gt;"-",AK101-AY101,"-")</f>
        <v>-</v>
      </c>
      <c r="BN101" s="95" t="str">
        <f t="shared" ref="BN101:BN109" si="959">IF(X101&lt;&gt;"-",AL101-AZ101,"-")</f>
        <v>-</v>
      </c>
      <c r="BP101" s="143">
        <f t="shared" ref="BP101:BP109" si="960">IFERROR(IF(BB101&lt;&gt;"-",BB101/AN101,"-"),"-")</f>
        <v>-7.764448960578689E-2</v>
      </c>
      <c r="BQ101" s="143" t="str">
        <f t="shared" ref="BQ101:BQ109" si="961">IFERROR(IF(BC101&lt;&gt;"-",BC101/AO101,"-"),"-")</f>
        <v>-</v>
      </c>
      <c r="BR101" s="143" t="str">
        <f t="shared" ref="BR101:BR109" si="962">IFERROR(IF(BD101&lt;&gt;"-",BD101/AP101,"-"),"-")</f>
        <v>-</v>
      </c>
      <c r="BS101" s="143" t="str">
        <f t="shared" ref="BS101:BS109" si="963">IFERROR(IF(BE101&lt;&gt;"-",BE101/AQ101,"-"),"-")</f>
        <v>-</v>
      </c>
      <c r="BT101" s="143" t="str">
        <f t="shared" ref="BT101:BT109" si="964">IFERROR(IF(BF101&lt;&gt;"-",BF101/AR101,"-"),"-")</f>
        <v>-</v>
      </c>
      <c r="BU101" s="143" t="str">
        <f t="shared" ref="BU101:BU109" si="965">IFERROR(IF(BG101&lt;&gt;"-",BG101/AS101,"-"),"-")</f>
        <v>-</v>
      </c>
      <c r="BV101" s="143">
        <f t="shared" ref="BV101:BV109" si="966">IFERROR(IF(BH101&lt;&gt;"-",BH101/AT101,"-"),"-")</f>
        <v>-4.0590625535011159E-2</v>
      </c>
      <c r="BW101" s="143" t="str">
        <f t="shared" ref="BW101:BW109" si="967">IFERROR(IF(BI101&lt;&gt;"-",BI101/AU101,"-"),"-")</f>
        <v>-</v>
      </c>
      <c r="BX101" s="143">
        <f t="shared" ref="BX101:BX109" si="968">IFERROR(IF(BJ101&lt;&gt;"-",BJ101/AV101,"-"),"-")</f>
        <v>-8.4474210165561128E-2</v>
      </c>
      <c r="BY101" s="143" t="str">
        <f t="shared" ref="BY101:BY109" si="969">IFERROR(IF(BK101&lt;&gt;"-",BK101/AW101,"-"),"-")</f>
        <v>-</v>
      </c>
      <c r="BZ101" s="143" t="str">
        <f t="shared" ref="BZ101:BZ109" si="970">IFERROR(IF(BL101&lt;&gt;"-",BL101/AX101,"-"),"-")</f>
        <v>-</v>
      </c>
      <c r="CA101" s="143" t="str">
        <f t="shared" ref="CA101:CA109" si="971">IFERROR(IF(BM101&lt;&gt;"-",BM101/AY101,"-"),"-")</f>
        <v>-</v>
      </c>
      <c r="CB101" s="143" t="str">
        <f t="shared" ref="CB101:CB109" si="972">IFERROR(IF(BN101&lt;&gt;"-",BN101/AZ101,"-"),"-")</f>
        <v>-</v>
      </c>
      <c r="CD101" s="112">
        <f t="shared" ref="CD101:CD109" si="973">IFERROR(AVERAGE(CE101:CP101),"-")</f>
        <v>970.89818041780927</v>
      </c>
      <c r="CE101" s="95" t="str">
        <f>IFERROR(SUMIFS('01. KE30'!$R:$R,'01. KE30'!$C:$C,'06. BC BH THEO CUSTOMER-USD'!$D101,'01. KE30'!$F:$F,'06. BC BH THEO CUSTOMER-USD'!$H101,'01. KE30'!$A:$A,'06. BC BH THEO CUSTOMER-USD'!CE$4)/CS101/'02. Tỷ giá'!B$5," -")</f>
        <v xml:space="preserve"> -</v>
      </c>
      <c r="CF101" s="95" t="str">
        <f>IFERROR(SUMIFS('01. KE30'!$R:$R,'01. KE30'!$C:$C,'06. BC BH THEO CUSTOMER-USD'!$D101,'01. KE30'!$F:$F,'06. BC BH THEO CUSTOMER-USD'!$H101,'01. KE30'!$A:$A,'06. BC BH THEO CUSTOMER-USD'!CF$4)/CT101/'02. Tỷ giá'!C$5," -")</f>
        <v xml:space="preserve"> -</v>
      </c>
      <c r="CG101" s="95" t="str">
        <f>IFERROR(SUMIFS('01. KE30'!$R:$R,'01. KE30'!$C:$C,'06. BC BH THEO CUSTOMER-USD'!$D101,'01. KE30'!$F:$F,'06. BC BH THEO CUSTOMER-USD'!$H101,'01. KE30'!$A:$A,'06. BC BH THEO CUSTOMER-USD'!CG$4)/CU101/'02. Tỷ giá'!D$5," -")</f>
        <v xml:space="preserve"> -</v>
      </c>
      <c r="CH101" s="95" t="str">
        <f>IFERROR(SUMIFS('01. KE30'!$R:$R,'01. KE30'!$C:$C,'06. BC BH THEO CUSTOMER-USD'!$D101,'01. KE30'!$F:$F,'06. BC BH THEO CUSTOMER-USD'!$H101,'01. KE30'!$A:$A,'06. BC BH THEO CUSTOMER-USD'!CH$4)/CV101/'02. Tỷ giá'!E$5," -")</f>
        <v xml:space="preserve"> -</v>
      </c>
      <c r="CI101" s="95" t="str">
        <f>IFERROR(SUMIFS('01. KE30'!$R:$R,'01. KE30'!$C:$C,'06. BC BH THEO CUSTOMER-USD'!$D101,'01. KE30'!$F:$F,'06. BC BH THEO CUSTOMER-USD'!$H101,'01. KE30'!$A:$A,'06. BC BH THEO CUSTOMER-USD'!CI$4)/CW101/'02. Tỷ giá'!F$5," -")</f>
        <v xml:space="preserve"> -</v>
      </c>
      <c r="CJ101" s="95">
        <f>IFERROR(SUMIFS('01. KE30'!$R:$R,'01. KE30'!$C:$C,'06. BC BH THEO CUSTOMER-USD'!$D101,'01. KE30'!$F:$F,'06. BC BH THEO CUSTOMER-USD'!$H101,'01. KE30'!$A:$A,'06. BC BH THEO CUSTOMER-USD'!CJ$4)/CX101/'02. Tỷ giá'!G$5," -")</f>
        <v>960.35891379068471</v>
      </c>
      <c r="CK101" s="95" t="str">
        <f>IFERROR(SUMIFS('01. KE30'!$R:$R,'01. KE30'!$C:$C,'06. BC BH THEO CUSTOMER-USD'!$D101,'01. KE30'!$F:$F,'06. BC BH THEO CUSTOMER-USD'!$H101,'01. KE30'!$A:$A,'06. BC BH THEO CUSTOMER-USD'!CK$4)/CY101/'02. Tỷ giá'!H$5," -")</f>
        <v xml:space="preserve"> -</v>
      </c>
      <c r="CL101" s="95">
        <f>IFERROR(SUMIFS('01. KE30'!$R:$R,'01. KE30'!$C:$C,'06. BC BH THEO CUSTOMER-USD'!$D101,'01. KE30'!$F:$F,'06. BC BH THEO CUSTOMER-USD'!$H101,'01. KE30'!$A:$A,'06. BC BH THEO CUSTOMER-USD'!CL$4)/CZ101/'02. Tỷ giá'!I$5," -")</f>
        <v>981.43744704493372</v>
      </c>
      <c r="CM101" s="95" t="str">
        <f>IFERROR(SUMIFS('01. KE30'!$R:$R,'01. KE30'!$C:$C,'06. BC BH THEO CUSTOMER-USD'!$D101,'01. KE30'!$F:$F,'06. BC BH THEO CUSTOMER-USD'!$H101,'01. KE30'!$A:$A,'06. BC BH THEO CUSTOMER-USD'!CM$4)/DA101/'02. Tỷ giá'!J$5," -")</f>
        <v xml:space="preserve"> -</v>
      </c>
      <c r="CN101" s="95" t="str">
        <f>IFERROR(SUMIFS('01. KE30'!$R:$R,'01. KE30'!$C:$C,'06. BC BH THEO CUSTOMER-USD'!$D101,'01. KE30'!$F:$F,'06. BC BH THEO CUSTOMER-USD'!$H101,'01. KE30'!$A:$A,'06. BC BH THEO CUSTOMER-USD'!CN$4)/DB101/'02. Tỷ giá'!K$5," -")</f>
        <v xml:space="preserve"> -</v>
      </c>
      <c r="CO101" s="95" t="str">
        <f>IFERROR(SUMIFS('01. KE30'!$R:$R,'01. KE30'!$C:$C,'06. BC BH THEO CUSTOMER-USD'!$D101,'01. KE30'!$F:$F,'06. BC BH THEO CUSTOMER-USD'!$H101,'01. KE30'!$A:$A,'06. BC BH THEO CUSTOMER-USD'!CO$4)/DC101/'02. Tỷ giá'!L$5," -")</f>
        <v xml:space="preserve"> -</v>
      </c>
      <c r="CP101" s="95" t="str">
        <f>IFERROR(SUMIFS('01. KE30'!$R:$R,'01. KE30'!$C:$C,'06. BC BH THEO CUSTOMER-USD'!$D101,'01. KE30'!$F:$F,'06. BC BH THEO CUSTOMER-USD'!$H101,'01. KE30'!$A:$A,'06. BC BH THEO CUSTOMER-USD'!CP$4)/DD101/'02. Tỷ giá'!M$5," -")</f>
        <v xml:space="preserve"> -</v>
      </c>
      <c r="CR101" s="112">
        <f t="shared" ref="CR101:CR109" si="974">SUM(CS101:DD101)</f>
        <v>66</v>
      </c>
      <c r="CS101" s="114">
        <f>SUMIFS('01. KE30'!$I:$I,'01. KE30'!$C:$C,'06. BC BH THEO CUSTOMER-USD'!$D101,'01. KE30'!$F:$F,'06. BC BH THEO CUSTOMER-USD'!$H101,'01. KE30'!$A:$A,'06. BC BH THEO CUSTOMER-USD'!CS$4)/1000</f>
        <v>0</v>
      </c>
      <c r="CT101" s="114">
        <f>SUMIFS('01. KE30'!$I:$I,'01. KE30'!$C:$C,'06. BC BH THEO CUSTOMER-USD'!$D101,'01. KE30'!$F:$F,'06. BC BH THEO CUSTOMER-USD'!$H101,'01. KE30'!$A:$A,'06. BC BH THEO CUSTOMER-USD'!CT$4)/1000</f>
        <v>0</v>
      </c>
      <c r="CU101" s="114">
        <f>SUMIFS('01. KE30'!$I:$I,'01. KE30'!$C:$C,'06. BC BH THEO CUSTOMER-USD'!$D101,'01. KE30'!$F:$F,'06. BC BH THEO CUSTOMER-USD'!$H101,'01. KE30'!$A:$A,'06. BC BH THEO CUSTOMER-USD'!CU$4)/1000</f>
        <v>0</v>
      </c>
      <c r="CV101" s="725">
        <f>SUMIFS('01. KE30'!$I:$I,'01. KE30'!$C:$C,'06. BC BH THEO CUSTOMER-USD'!$D101,'01. KE30'!$F:$F,'06. BC BH THEO CUSTOMER-USD'!$H101,'01. KE30'!$A:$A,'06. BC BH THEO CUSTOMER-USD'!CV$4)/1000</f>
        <v>0</v>
      </c>
      <c r="CW101" s="114">
        <f>SUMIFS('01. KE30'!$I:$I,'01. KE30'!$C:$C,'06. BC BH THEO CUSTOMER-USD'!$D101,'01. KE30'!$F:$F,'06. BC BH THEO CUSTOMER-USD'!$H101,'01. KE30'!$A:$A,'06. BC BH THEO CUSTOMER-USD'!CW$4)/1000</f>
        <v>0</v>
      </c>
      <c r="CX101" s="114">
        <f>SUMIFS('01. KE30'!$I:$I,'01. KE30'!$C:$C,'06. BC BH THEO CUSTOMER-USD'!$D101,'01. KE30'!$F:$F,'06. BC BH THEO CUSTOMER-USD'!$H101,'01. KE30'!$A:$A,'06. BC BH THEO CUSTOMER-USD'!CX$4)/1000</f>
        <v>22</v>
      </c>
      <c r="CY101" s="114">
        <f>SUMIFS('01. KE30'!$I:$I,'01. KE30'!$C:$C,'06. BC BH THEO CUSTOMER-USD'!$D101,'01. KE30'!$F:$F,'06. BC BH THEO CUSTOMER-USD'!$H101,'01. KE30'!$A:$A,'06. BC BH THEO CUSTOMER-USD'!CY$4)/1000</f>
        <v>0</v>
      </c>
      <c r="CZ101" s="114">
        <f>SUMIFS('01. KE30'!$I:$I,'01. KE30'!$C:$C,'06. BC BH THEO CUSTOMER-USD'!$D101,'01. KE30'!$F:$F,'06. BC BH THEO CUSTOMER-USD'!$H101,'01. KE30'!$A:$A,'06. BC BH THEO CUSTOMER-USD'!CZ$4)/1000</f>
        <v>44</v>
      </c>
      <c r="DA101" s="114">
        <f>SUMIFS('01. KE30'!$I:$I,'01. KE30'!$C:$C,'06. BC BH THEO CUSTOMER-USD'!$D101,'01. KE30'!$F:$F,'06. BC BH THEO CUSTOMER-USD'!$H101,'01. KE30'!$A:$A,'06. BC BH THEO CUSTOMER-USD'!DA$4)/1000</f>
        <v>0</v>
      </c>
      <c r="DB101" s="114">
        <f>SUMIFS('01. KE30'!$I:$I,'01. KE30'!$C:$C,'06. BC BH THEO CUSTOMER-USD'!$D101,'01. KE30'!$F:$F,'06. BC BH THEO CUSTOMER-USD'!$H101,'01. KE30'!$A:$A,'06. BC BH THEO CUSTOMER-USD'!DB$4)/1000</f>
        <v>0</v>
      </c>
      <c r="DC101" s="114">
        <f>SUMIFS('01. KE30'!$I:$I,'01. KE30'!$C:$C,'06. BC BH THEO CUSTOMER-USD'!$D101,'01. KE30'!$F:$F,'06. BC BH THEO CUSTOMER-USD'!$H101,'01. KE30'!$A:$A,'06. BC BH THEO CUSTOMER-USD'!DC$4)/1000</f>
        <v>0</v>
      </c>
      <c r="DD101" s="114">
        <f>SUMIFS('01. KE30'!$I:$I,'01. KE30'!$C:$C,'06. BC BH THEO CUSTOMER-USD'!$D101,'01. KE30'!$F:$F,'06. BC BH THEO CUSTOMER-USD'!$H101,'01. KE30'!$A:$A,'06. BC BH THEO CUSTOMER-USD'!DD$4)/1000</f>
        <v>0</v>
      </c>
      <c r="DF101" s="120">
        <f t="shared" ref="DF101:DF109" si="975">SUM(DG101:DR101)</f>
        <v>72585.403957879447</v>
      </c>
      <c r="DG101" s="54" t="str">
        <f t="shared" ref="DG101:DG109" si="976">IFERROR(M101*CS101,"-")</f>
        <v>-</v>
      </c>
      <c r="DH101" s="54" t="str">
        <f t="shared" ref="DH101:DH109" si="977">IFERROR(N101*CT101,"-")</f>
        <v>-</v>
      </c>
      <c r="DI101" s="54" t="str">
        <f t="shared" ref="DI101:DI109" si="978">IFERROR(O101*CU101,"-")</f>
        <v>-</v>
      </c>
      <c r="DJ101" s="54" t="str">
        <f t="shared" ref="DJ101:DJ109" si="979">IFERROR(P101*CV101,"-")</f>
        <v>-</v>
      </c>
      <c r="DK101" s="54" t="str">
        <f t="shared" ref="DK101:DK109" si="980">IFERROR(Q101*CW101,"-")</f>
        <v>-</v>
      </c>
      <c r="DL101" s="54">
        <f t="shared" ref="DL101:DL109" si="981">IFERROR(R101*CX101,"-")</f>
        <v>25319.521604938269</v>
      </c>
      <c r="DM101" s="54" t="str">
        <f t="shared" ref="DM101:DM109" si="982">IFERROR(S101*CY101,"-")</f>
        <v>-</v>
      </c>
      <c r="DN101" s="54">
        <f t="shared" ref="DN101:DN109" si="983">IFERROR(T101*CZ101,"-")</f>
        <v>47265.882352941175</v>
      </c>
      <c r="DO101" s="54" t="str">
        <f t="shared" ref="DO101:DO109" si="984">IFERROR(U101*DA101,"-")</f>
        <v>-</v>
      </c>
      <c r="DP101" s="54" t="str">
        <f t="shared" ref="DP101:DP109" si="985">IFERROR(V101*DB101,"-")</f>
        <v>-</v>
      </c>
      <c r="DQ101" s="54" t="str">
        <f t="shared" ref="DQ101:DQ109" si="986">IFERROR(W101*DC101,"-")</f>
        <v>-</v>
      </c>
      <c r="DR101" s="54" t="str">
        <f t="shared" ref="DR101:DR109" si="987">IFERROR(X101*DD101,"-")</f>
        <v>-</v>
      </c>
      <c r="DT101" s="112">
        <f t="shared" ref="DT101:DT109" si="988">SUM(DU101:EF101)</f>
        <v>6920.7285533615723</v>
      </c>
      <c r="DU101" s="114">
        <f>IFERROR(SUMIFS('01. KE30'!$X:$X,'01. KE30'!$C:$C,'06. BC BH THEO CUSTOMER-USD'!$D101,'01. KE30'!$F:$F,'06. BC BH THEO CUSTOMER-USD'!$H101,'01. KE30'!$A:$A,'06. BC BH THEO CUSTOMER-USD'!DU$4)-SUMIFS('01. KE30'!$AA:$AA,'01. KE30'!$C:$C,'06. BC BH THEO CUSTOMER-USD'!$D101,'01. KE30'!$F:$F,'06. BC BH THEO CUSTOMER-USD'!$H101,'01. KE30'!$A:$A,'06. BC BH THEO CUSTOMER-USD'!DU$4),"-")</f>
        <v>0</v>
      </c>
      <c r="DV101" s="114">
        <f>IFERROR(SUMIFS('01. KE30'!$X:$X,'01. KE30'!$C:$C,'06. BC BH THEO CUSTOMER-USD'!$D101,'01. KE30'!$F:$F,'06. BC BH THEO CUSTOMER-USD'!$H101,'01. KE30'!$A:$A,'06. BC BH THEO CUSTOMER-USD'!DV$4)-SUMIFS('01. KE30'!$AA:$AA,'01. KE30'!$C:$C,'06. BC BH THEO CUSTOMER-USD'!$D101,'01. KE30'!$F:$F,'06. BC BH THEO CUSTOMER-USD'!$H101,'01. KE30'!$A:$A,'06. BC BH THEO CUSTOMER-USD'!DV$4),"-")</f>
        <v>0</v>
      </c>
      <c r="DW101" s="114">
        <f>IFERROR(SUMIFS('01. KE30'!$X:$X,'01. KE30'!$C:$C,'06. BC BH THEO CUSTOMER-USD'!$D101,'01. KE30'!$F:$F,'06. BC BH THEO CUSTOMER-USD'!$H101,'01. KE30'!$A:$A,'06. BC BH THEO CUSTOMER-USD'!DW$4)-SUMIFS('01. KE30'!$AA:$AA,'01. KE30'!$C:$C,'06. BC BH THEO CUSTOMER-USD'!$D101,'01. KE30'!$F:$F,'06. BC BH THEO CUSTOMER-USD'!$H101,'01. KE30'!$A:$A,'06. BC BH THEO CUSTOMER-USD'!DW$4),"-")</f>
        <v>0</v>
      </c>
      <c r="DX101" s="114">
        <f>IFERROR(SUMIFS('01. KE30'!$X:$X,'01. KE30'!$C:$C,'06. BC BH THEO CUSTOMER-USD'!$D101,'01. KE30'!$F:$F,'06. BC BH THEO CUSTOMER-USD'!$H101,'01. KE30'!$A:$A,'06. BC BH THEO CUSTOMER-USD'!DX$4)-SUMIFS('01. KE30'!$AA:$AA,'01. KE30'!$C:$C,'06. BC BH THEO CUSTOMER-USD'!$D101,'01. KE30'!$F:$F,'06. BC BH THEO CUSTOMER-USD'!$H101,'01. KE30'!$A:$A,'06. BC BH THEO CUSTOMER-USD'!DX$4),"-")</f>
        <v>0</v>
      </c>
      <c r="DY101" s="114">
        <f>IFERROR(SUMIFS('01. KE30'!$X:$X,'01. KE30'!$C:$C,'06. BC BH THEO CUSTOMER-USD'!$D101,'01. KE30'!$F:$F,'06. BC BH THEO CUSTOMER-USD'!$H101,'01. KE30'!$A:$A,'06. BC BH THEO CUSTOMER-USD'!DY$4)-SUMIFS('01. KE30'!$AA:$AA,'01. KE30'!$C:$C,'06. BC BH THEO CUSTOMER-USD'!$D101,'01. KE30'!$F:$F,'06. BC BH THEO CUSTOMER-USD'!$H101,'01. KE30'!$A:$A,'06. BC BH THEO CUSTOMER-USD'!DY$4),"-")</f>
        <v>0</v>
      </c>
      <c r="DZ101" s="114">
        <f>IFERROR(SUMIFS('01. KE30'!$X:$X,'01. KE30'!$C:$C,'06. BC BH THEO CUSTOMER-USD'!$D101,'01. KE30'!$F:$F,'06. BC BH THEO CUSTOMER-USD'!$H101,'01. KE30'!$A:$A,'06. BC BH THEO CUSTOMER-USD'!DZ$4)-SUMIFS('01. KE30'!$AA:$AA,'01. KE30'!$C:$C,'06. BC BH THEO CUSTOMER-USD'!$D101,'01. KE30'!$F:$F,'06. BC BH THEO CUSTOMER-USD'!$H101,'01. KE30'!$A:$A,'06. BC BH THEO CUSTOMER-USD'!DZ$4),"-")</f>
        <v>3778.3712577160477</v>
      </c>
      <c r="EA101" s="114">
        <f>IFERROR(SUMIFS('01. KE30'!$X:$X,'01. KE30'!$C:$C,'06. BC BH THEO CUSTOMER-USD'!$D101,'01. KE30'!$F:$F,'06. BC BH THEO CUSTOMER-USD'!$H101,'01. KE30'!$A:$A,'06. BC BH THEO CUSTOMER-USD'!EA$4)-SUMIFS('01. KE30'!$AA:$AA,'01. KE30'!$C:$C,'06. BC BH THEO CUSTOMER-USD'!$D101,'01. KE30'!$F:$F,'06. BC BH THEO CUSTOMER-USD'!$H101,'01. KE30'!$A:$A,'06. BC BH THEO CUSTOMER-USD'!EA$4),"-")</f>
        <v>0</v>
      </c>
      <c r="EB101" s="114">
        <f>IFERROR(SUMIFS('01. KE30'!$X:$X,'01. KE30'!$C:$C,'06. BC BH THEO CUSTOMER-USD'!$D101,'01. KE30'!$F:$F,'06. BC BH THEO CUSTOMER-USD'!$H101,'01. KE30'!$A:$A,'06. BC BH THEO CUSTOMER-USD'!EB$4)-SUMIFS('01. KE30'!$AA:$AA,'01. KE30'!$C:$C,'06. BC BH THEO CUSTOMER-USD'!$D101,'01. KE30'!$F:$F,'06. BC BH THEO CUSTOMER-USD'!$H101,'01. KE30'!$A:$A,'06. BC BH THEO CUSTOMER-USD'!EB$4),"-")</f>
        <v>3142.3572956455246</v>
      </c>
      <c r="EC101" s="114">
        <f>IFERROR(SUMIFS('01. KE30'!$X:$X,'01. KE30'!$C:$C,'06. BC BH THEO CUSTOMER-USD'!$D101,'01. KE30'!$F:$F,'06. BC BH THEO CUSTOMER-USD'!$H101,'01. KE30'!$A:$A,'06. BC BH THEO CUSTOMER-USD'!EC$4)-SUMIFS('01. KE30'!$AA:$AA,'01. KE30'!$C:$C,'06. BC BH THEO CUSTOMER-USD'!$D101,'01. KE30'!$F:$F,'06. BC BH THEO CUSTOMER-USD'!$H101,'01. KE30'!$A:$A,'06. BC BH THEO CUSTOMER-USD'!EC$4),"-")</f>
        <v>0</v>
      </c>
      <c r="ED101" s="114">
        <f>IFERROR(SUMIFS('01. KE30'!$X:$X,'01. KE30'!$C:$C,'06. BC BH THEO CUSTOMER-USD'!$D101,'01. KE30'!$F:$F,'06. BC BH THEO CUSTOMER-USD'!$H101,'01. KE30'!$A:$A,'06. BC BH THEO CUSTOMER-USD'!ED$4)-SUMIFS('01. KE30'!$AA:$AA,'01. KE30'!$C:$C,'06. BC BH THEO CUSTOMER-USD'!$D101,'01. KE30'!$F:$F,'06. BC BH THEO CUSTOMER-USD'!$H101,'01. KE30'!$A:$A,'06. BC BH THEO CUSTOMER-USD'!ED$4),"-")</f>
        <v>0</v>
      </c>
      <c r="EE101" s="114">
        <f>IFERROR(SUMIFS('01. KE30'!$X:$X,'01. KE30'!$C:$C,'06. BC BH THEO CUSTOMER-USD'!$D101,'01. KE30'!$F:$F,'06. BC BH THEO CUSTOMER-USD'!$H101,'01. KE30'!$A:$A,'06. BC BH THEO CUSTOMER-USD'!EE$4)-SUMIFS('01. KE30'!$AA:$AA,'01. KE30'!$C:$C,'06. BC BH THEO CUSTOMER-USD'!$D101,'01. KE30'!$F:$F,'06. BC BH THEO CUSTOMER-USD'!$H101,'01. KE30'!$A:$A,'06. BC BH THEO CUSTOMER-USD'!EE$4),"-")</f>
        <v>0</v>
      </c>
      <c r="EF101" s="114">
        <f>IFERROR(SUMIFS('01. KE30'!$X:$X,'01. KE30'!$C:$C,'06. BC BH THEO CUSTOMER-USD'!$D101,'01. KE30'!$F:$F,'06. BC BH THEO CUSTOMER-USD'!$H101,'01. KE30'!$A:$A,'06. BC BH THEO CUSTOMER-USD'!EF$4)-SUMIFS('01. KE30'!$AA:$AA,'01. KE30'!$C:$C,'06. BC BH THEO CUSTOMER-USD'!$D101,'01. KE30'!$F:$F,'06. BC BH THEO CUSTOMER-USD'!$H101,'01. KE30'!$A:$A,'06. BC BH THEO CUSTOMER-USD'!EF$4),"-")</f>
        <v>0</v>
      </c>
      <c r="EH101" s="571">
        <f t="shared" ref="EH101:EH109" si="989">IFERROR(DT101/DF101,"-")</f>
        <v>9.5346008646278235E-2</v>
      </c>
      <c r="EI101" s="572" t="str">
        <f t="shared" ref="EI101:EI109" si="990">IFERROR(DU101/DG101,"-")</f>
        <v>-</v>
      </c>
      <c r="EJ101" s="572" t="str">
        <f t="shared" ref="EJ101:EJ109" si="991">IFERROR(DV101/DH101,"-")</f>
        <v>-</v>
      </c>
      <c r="EK101" s="572" t="str">
        <f t="shared" ref="EK101:EK109" si="992">IFERROR(DW101/DI101,"-")</f>
        <v>-</v>
      </c>
      <c r="EL101" s="572" t="str">
        <f t="shared" ref="EL101:EL109" si="993">IFERROR(DX101/DJ101,"-")</f>
        <v>-</v>
      </c>
      <c r="EM101" s="572" t="str">
        <f t="shared" ref="EM101:EM109" si="994">IFERROR(DY101/DK101,"-")</f>
        <v>-</v>
      </c>
      <c r="EN101" s="572">
        <f t="shared" ref="EN101:EN109" si="995">IFERROR(DZ101/DL101,"-")</f>
        <v>0.14922759271166963</v>
      </c>
      <c r="EO101" s="572" t="str">
        <f t="shared" ref="EO101:EO109" si="996">IFERROR(EA101/DM101,"-")</f>
        <v>-</v>
      </c>
      <c r="EP101" s="572">
        <f t="shared" ref="EP101:EP109" si="997">IFERROR(EB101/DN101,"-")</f>
        <v>6.6482569227864788E-2</v>
      </c>
      <c r="EQ101" s="572" t="str">
        <f t="shared" ref="EQ101:EQ109" si="998">IFERROR(EC101/DO101,"-")</f>
        <v>-</v>
      </c>
      <c r="ER101" s="572" t="str">
        <f t="shared" ref="ER101:ER109" si="999">IFERROR(ED101/DP101,"-")</f>
        <v>-</v>
      </c>
      <c r="ES101" s="572" t="str">
        <f t="shared" ref="ES101:ES109" si="1000">IFERROR(EE101/DQ101,"-")</f>
        <v>-</v>
      </c>
      <c r="ET101" s="572" t="str">
        <f t="shared" ref="ET101:ET109" si="1001">IFERROR(EF101/DR101,"-")</f>
        <v>-</v>
      </c>
    </row>
    <row r="102" spans="1:150" ht="15.5" hidden="1" outlineLevel="1" x14ac:dyDescent="0.35">
      <c r="A102" s="27">
        <f t="shared" si="653"/>
        <v>86</v>
      </c>
      <c r="B102" s="27" t="s">
        <v>283</v>
      </c>
      <c r="C102" s="442" t="s">
        <v>489</v>
      </c>
      <c r="D102" s="9" t="s">
        <v>893</v>
      </c>
      <c r="E102" s="12" t="s">
        <v>894</v>
      </c>
      <c r="F102" s="12" t="s">
        <v>923</v>
      </c>
      <c r="G102" s="12" t="str">
        <f>_xlfn.XLOOKUP(F102,'Quy đổi'!$G$5:$G$32,'Quy đổi'!$H$5:$H$32,0)</f>
        <v>Châu á</v>
      </c>
      <c r="H102" s="76" t="s">
        <v>127</v>
      </c>
      <c r="I102" s="28" t="s">
        <v>114</v>
      </c>
      <c r="J102" s="6" t="s">
        <v>26</v>
      </c>
      <c r="K102" s="11" t="s">
        <v>1031</v>
      </c>
      <c r="L102" s="92">
        <f t="shared" si="944"/>
        <v>1487</v>
      </c>
      <c r="M102" s="106" t="str">
        <f>IFERROR(SUMIFS('01. KE30'!$K:$K,'01. KE30'!$C:$C,'06. BC BH THEO CUSTOMER-USD'!$D102,'01. KE30'!$F:$F,'06. BC BH THEO CUSTOMER-USD'!$H102,'01. KE30'!$A:$A,'06. BC BH THEO CUSTOMER-USD'!M$4)/'06. BC BH THEO CUSTOMER-USD'!CS102/'02. Tỷ giá'!B$5,"-")</f>
        <v>-</v>
      </c>
      <c r="N102" s="106" t="str">
        <f>IFERROR(SUMIFS('01. KE30'!$K:$K,'01. KE30'!$C:$C,'06. BC BH THEO CUSTOMER-USD'!$D102,'01. KE30'!$F:$F,'06. BC BH THEO CUSTOMER-USD'!$H102,'01. KE30'!$A:$A,'06. BC BH THEO CUSTOMER-USD'!N$4)/'06. BC BH THEO CUSTOMER-USD'!CT102/'02. Tỷ giá'!C$5,"-")</f>
        <v>-</v>
      </c>
      <c r="O102" s="106" t="str">
        <f>IFERROR(SUMIFS('01. KE30'!$K:$K,'01. KE30'!$C:$C,'06. BC BH THEO CUSTOMER-USD'!$D102,'01. KE30'!$F:$F,'06. BC BH THEO CUSTOMER-USD'!$H102,'01. KE30'!$A:$A,'06. BC BH THEO CUSTOMER-USD'!O$4)/'06. BC BH THEO CUSTOMER-USD'!CU102/'02. Tỷ giá'!D$5,"-")</f>
        <v>-</v>
      </c>
      <c r="P102" s="106" t="str">
        <f>IFERROR(SUMIFS('01. KE30'!$K:$K,'01. KE30'!$C:$C,'06. BC BH THEO CUSTOMER-USD'!$D102,'01. KE30'!$F:$F,'06. BC BH THEO CUSTOMER-USD'!$H102,'01. KE30'!$A:$A,'06. BC BH THEO CUSTOMER-USD'!P$4)/'06. BC BH THEO CUSTOMER-USD'!CV102/'02. Tỷ giá'!E$5,"-")</f>
        <v>-</v>
      </c>
      <c r="Q102" s="106" t="str">
        <f>IFERROR(SUMIFS('01. KE30'!$K:$K,'01. KE30'!$C:$C,'06. BC BH THEO CUSTOMER-USD'!$D102,'01. KE30'!$F:$F,'06. BC BH THEO CUSTOMER-USD'!$H102,'01. KE30'!$A:$A,'06. BC BH THEO CUSTOMER-USD'!Q$4)/'06. BC BH THEO CUSTOMER-USD'!CW102/'02. Tỷ giá'!F$5,"-")</f>
        <v>-</v>
      </c>
      <c r="R102" s="106">
        <f>IFERROR(SUMIFS('01. KE30'!$K:$K,'01. KE30'!$C:$C,'06. BC BH THEO CUSTOMER-USD'!$D102,'01. KE30'!$F:$F,'06. BC BH THEO CUSTOMER-USD'!$H102,'01. KE30'!$A:$A,'06. BC BH THEO CUSTOMER-USD'!R$4)/'06. BC BH THEO CUSTOMER-USD'!CX102/'02. Tỷ giá'!G$5,"-")</f>
        <v>1487</v>
      </c>
      <c r="S102" s="106" t="str">
        <f>IFERROR(SUMIFS('01. KE30'!$K:$K,'01. KE30'!$C:$C,'06. BC BH THEO CUSTOMER-USD'!$D102,'01. KE30'!$F:$F,'06. BC BH THEO CUSTOMER-USD'!$H102,'01. KE30'!$A:$A,'06. BC BH THEO CUSTOMER-USD'!S$4)/'06. BC BH THEO CUSTOMER-USD'!CY102/'02. Tỷ giá'!H$5,"-")</f>
        <v>-</v>
      </c>
      <c r="T102" s="106" t="str">
        <f>IFERROR(SUMIFS('01. KE30'!$K:$K,'01. KE30'!$C:$C,'06. BC BH THEO CUSTOMER-USD'!$D102,'01. KE30'!$F:$F,'06. BC BH THEO CUSTOMER-USD'!$H102,'01. KE30'!$A:$A,'06. BC BH THEO CUSTOMER-USD'!T$4)/'06. BC BH THEO CUSTOMER-USD'!CZ102/'02. Tỷ giá'!I$5,"-")</f>
        <v>-</v>
      </c>
      <c r="U102" s="106" t="str">
        <f>IFERROR(SUMIFS('01. KE30'!$K:$K,'01. KE30'!$C:$C,'06. BC BH THEO CUSTOMER-USD'!$D102,'01. KE30'!$F:$F,'06. BC BH THEO CUSTOMER-USD'!$H102,'01. KE30'!$A:$A,'06. BC BH THEO CUSTOMER-USD'!U$4)/'06. BC BH THEO CUSTOMER-USD'!DA102/'02. Tỷ giá'!J$5,"-")</f>
        <v>-</v>
      </c>
      <c r="V102" s="106" t="str">
        <f>IFERROR(SUMIFS('01. KE30'!$K:$K,'01. KE30'!$C:$C,'06. BC BH THEO CUSTOMER-USD'!$D102,'01. KE30'!$F:$F,'06. BC BH THEO CUSTOMER-USD'!$H102,'01. KE30'!$A:$A,'06. BC BH THEO CUSTOMER-USD'!V$4)/'06. BC BH THEO CUSTOMER-USD'!DB102/'02. Tỷ giá'!K$5,"-")</f>
        <v>-</v>
      </c>
      <c r="W102" s="106" t="str">
        <f>IFERROR(SUMIFS('01. KE30'!$K:$K,'01. KE30'!$C:$C,'06. BC BH THEO CUSTOMER-USD'!$D102,'01. KE30'!$F:$F,'06. BC BH THEO CUSTOMER-USD'!$H102,'01. KE30'!$A:$A,'06. BC BH THEO CUSTOMER-USD'!W$4)/'06. BC BH THEO CUSTOMER-USD'!DC102/'02. Tỷ giá'!L$5,"-")</f>
        <v>-</v>
      </c>
      <c r="X102" s="106" t="str">
        <f>IFERROR(SUMIFS('01. KE30'!$K:$K,'01. KE30'!$C:$C,'06. BC BH THEO CUSTOMER-USD'!$D102,'01. KE30'!$F:$F,'06. BC BH THEO CUSTOMER-USD'!$H102,'01. KE30'!$A:$A,'06. BC BH THEO CUSTOMER-USD'!X$4)/'06. BC BH THEO CUSTOMER-USD'!DD102/'02. Tỷ giá'!M$5,"-")</f>
        <v>-</v>
      </c>
      <c r="Z102" s="92">
        <f t="shared" si="945"/>
        <v>1324.3866179152635</v>
      </c>
      <c r="AA102" s="147" t="str">
        <f>IFERROR(SUMIFS('01. KE30'!$O:$O,'01. KE30'!$C:$C,'06. BC BH THEO CUSTOMER-USD'!$D102,'01. KE30'!$F:$F,'06. BC BH THEO CUSTOMER-USD'!$H102,'01. KE30'!$A:$A,'06. BC BH THEO CUSTOMER-USD'!M$4)/'06. BC BH THEO CUSTOMER-USD'!CS102/'02. Tỷ giá'!B$5,"-")</f>
        <v>-</v>
      </c>
      <c r="AB102" s="147" t="str">
        <f>IFERROR(SUMIFS('01. KE30'!$O:$O,'01. KE30'!$C:$C,'06. BC BH THEO CUSTOMER-USD'!$D102,'01. KE30'!$F:$F,'06. BC BH THEO CUSTOMER-USD'!$H102,'01. KE30'!$A:$A,'06. BC BH THEO CUSTOMER-USD'!N$4)/'06. BC BH THEO CUSTOMER-USD'!CT102/'02. Tỷ giá'!C$5,"-")</f>
        <v>-</v>
      </c>
      <c r="AC102" s="147" t="str">
        <f>IFERROR(SUMIFS('01. KE30'!$O:$O,'01. KE30'!$C:$C,'06. BC BH THEO CUSTOMER-USD'!$D102,'01. KE30'!$F:$F,'06. BC BH THEO CUSTOMER-USD'!$H102,'01. KE30'!$A:$A,'06. BC BH THEO CUSTOMER-USD'!O$4)/'06. BC BH THEO CUSTOMER-USD'!CU102/'02. Tỷ giá'!D$5,"-")</f>
        <v>-</v>
      </c>
      <c r="AD102" s="147" t="str">
        <f>IFERROR(SUMIFS('01. KE30'!$O:$O,'01. KE30'!$C:$C,'06. BC BH THEO CUSTOMER-USD'!$D102,'01. KE30'!$F:$F,'06. BC BH THEO CUSTOMER-USD'!$H102,'01. KE30'!$A:$A,'06. BC BH THEO CUSTOMER-USD'!P$4)/'06. BC BH THEO CUSTOMER-USD'!CV102/'02. Tỷ giá'!E$5,"-")</f>
        <v>-</v>
      </c>
      <c r="AE102" s="147" t="str">
        <f>IFERROR(SUMIFS('01. KE30'!$O:$O,'01. KE30'!$C:$C,'06. BC BH THEO CUSTOMER-USD'!$D102,'01. KE30'!$F:$F,'06. BC BH THEO CUSTOMER-USD'!$H102,'01. KE30'!$A:$A,'06. BC BH THEO CUSTOMER-USD'!Q$4)/'06. BC BH THEO CUSTOMER-USD'!CW102/'02. Tỷ giá'!F$5,"-")</f>
        <v>-</v>
      </c>
      <c r="AF102" s="147">
        <f>IFERROR(SUMIFS('01. KE30'!$O:$O,'01. KE30'!$C:$C,'06. BC BH THEO CUSTOMER-USD'!$D102,'01. KE30'!$F:$F,'06. BC BH THEO CUSTOMER-USD'!$H102,'01. KE30'!$A:$A,'06. BC BH THEO CUSTOMER-USD'!R$4)/'06. BC BH THEO CUSTOMER-USD'!CX102/'02. Tỷ giá'!G$5,"-")</f>
        <v>1324.3866179152635</v>
      </c>
      <c r="AG102" s="147" t="str">
        <f>IFERROR(SUMIFS('01. KE30'!$O:$O,'01. KE30'!$C:$C,'06. BC BH THEO CUSTOMER-USD'!$D102,'01. KE30'!$F:$F,'06. BC BH THEO CUSTOMER-USD'!$H102,'01. KE30'!$A:$A,'06. BC BH THEO CUSTOMER-USD'!S$4)/'06. BC BH THEO CUSTOMER-USD'!CY102/'02. Tỷ giá'!H$5,"-")</f>
        <v>-</v>
      </c>
      <c r="AH102" s="147" t="str">
        <f>IFERROR(SUMIFS('01. KE30'!$O:$O,'01. KE30'!$C:$C,'06. BC BH THEO CUSTOMER-USD'!$D102,'01. KE30'!$F:$F,'06. BC BH THEO CUSTOMER-USD'!$H102,'01. KE30'!$A:$A,'06. BC BH THEO CUSTOMER-USD'!T$4)/'06. BC BH THEO CUSTOMER-USD'!CZ102/'02. Tỷ giá'!I$5,"-")</f>
        <v>-</v>
      </c>
      <c r="AI102" s="147" t="str">
        <f>IFERROR(SUMIFS('01. KE30'!$O:$O,'01. KE30'!$C:$C,'06. BC BH THEO CUSTOMER-USD'!$D102,'01. KE30'!$F:$F,'06. BC BH THEO CUSTOMER-USD'!$H102,'01. KE30'!$A:$A,'06. BC BH THEO CUSTOMER-USD'!U$4)/'06. BC BH THEO CUSTOMER-USD'!DA102/'02. Tỷ giá'!J$5,"-")</f>
        <v>-</v>
      </c>
      <c r="AJ102" s="147" t="str">
        <f>IFERROR(SUMIFS('01. KE30'!$O:$O,'01. KE30'!$C:$C,'06. BC BH THEO CUSTOMER-USD'!$D102,'01. KE30'!$F:$F,'06. BC BH THEO CUSTOMER-USD'!$H102,'01. KE30'!$A:$A,'06. BC BH THEO CUSTOMER-USD'!V$4)/'06. BC BH THEO CUSTOMER-USD'!DB102/'02. Tỷ giá'!K$5,"-")</f>
        <v>-</v>
      </c>
      <c r="AK102" s="147" t="str">
        <f>IFERROR(SUMIFS('01. KE30'!$O:$O,'01. KE30'!$C:$C,'06. BC BH THEO CUSTOMER-USD'!$D102,'01. KE30'!$F:$F,'06. BC BH THEO CUSTOMER-USD'!$H102,'01. KE30'!$A:$A,'06. BC BH THEO CUSTOMER-USD'!W$4)/'06. BC BH THEO CUSTOMER-USD'!DC102/'02. Tỷ giá'!L$5,"-")</f>
        <v>-</v>
      </c>
      <c r="AL102" s="147" t="str">
        <f>IFERROR(SUMIFS('01. KE30'!$O:$O,'01. KE30'!$C:$C,'06. BC BH THEO CUSTOMER-USD'!$D102,'01. KE30'!$F:$F,'06. BC BH THEO CUSTOMER-USD'!$H102,'01. KE30'!$A:$A,'06. BC BH THEO CUSTOMER-USD'!X$4)/'06. BC BH THEO CUSTOMER-USD'!DD102/'02. Tỷ giá'!M$5,"-")</f>
        <v>-</v>
      </c>
      <c r="AN102" s="92">
        <f t="shared" si="946"/>
        <v>1322.2222222222222</v>
      </c>
      <c r="AO102" s="25">
        <v>1320</v>
      </c>
      <c r="AP102" s="25">
        <f t="shared" ref="AP102" si="1002">1320-40</f>
        <v>1280</v>
      </c>
      <c r="AQ102" s="4">
        <v>1320</v>
      </c>
      <c r="AR102" s="4">
        <f t="shared" ref="AR102:AR106" si="1003">AQ102+20</f>
        <v>1340</v>
      </c>
      <c r="AS102" s="4">
        <v>1340</v>
      </c>
      <c r="AT102" s="4">
        <v>1340</v>
      </c>
      <c r="AU102" s="4">
        <v>1340</v>
      </c>
      <c r="AV102" s="4">
        <f t="shared" si="205"/>
        <v>1310</v>
      </c>
      <c r="AW102" s="25">
        <v>1310</v>
      </c>
      <c r="AX102" s="25"/>
      <c r="AY102" s="4"/>
      <c r="AZ102" s="4"/>
      <c r="BB102" s="95">
        <f t="shared" si="947"/>
        <v>2.1643956930413424</v>
      </c>
      <c r="BC102" s="95" t="str">
        <f t="shared" si="948"/>
        <v>-</v>
      </c>
      <c r="BD102" s="95" t="str">
        <f t="shared" si="949"/>
        <v>-</v>
      </c>
      <c r="BE102" s="95" t="str">
        <f t="shared" si="950"/>
        <v>-</v>
      </c>
      <c r="BF102" s="95" t="str">
        <f t="shared" si="951"/>
        <v>-</v>
      </c>
      <c r="BG102" s="95" t="str">
        <f t="shared" si="952"/>
        <v>-</v>
      </c>
      <c r="BH102" s="95">
        <f t="shared" si="953"/>
        <v>-15.613382084736486</v>
      </c>
      <c r="BI102" s="95" t="str">
        <f t="shared" si="954"/>
        <v>-</v>
      </c>
      <c r="BJ102" s="95" t="str">
        <f t="shared" si="955"/>
        <v>-</v>
      </c>
      <c r="BK102" s="95" t="str">
        <f t="shared" si="956"/>
        <v>-</v>
      </c>
      <c r="BL102" s="95" t="str">
        <f t="shared" si="957"/>
        <v>-</v>
      </c>
      <c r="BM102" s="95" t="str">
        <f t="shared" si="958"/>
        <v>-</v>
      </c>
      <c r="BN102" s="95" t="str">
        <f t="shared" si="959"/>
        <v>-</v>
      </c>
      <c r="BP102" s="143">
        <f t="shared" si="960"/>
        <v>1.6369379191068976E-3</v>
      </c>
      <c r="BQ102" s="143" t="str">
        <f t="shared" si="961"/>
        <v>-</v>
      </c>
      <c r="BR102" s="143" t="str">
        <f t="shared" si="962"/>
        <v>-</v>
      </c>
      <c r="BS102" s="143" t="str">
        <f t="shared" si="963"/>
        <v>-</v>
      </c>
      <c r="BT102" s="143" t="str">
        <f t="shared" si="964"/>
        <v>-</v>
      </c>
      <c r="BU102" s="143" t="str">
        <f t="shared" si="965"/>
        <v>-</v>
      </c>
      <c r="BV102" s="143">
        <f t="shared" si="966"/>
        <v>-1.1651777675176483E-2</v>
      </c>
      <c r="BW102" s="143" t="str">
        <f t="shared" si="967"/>
        <v>-</v>
      </c>
      <c r="BX102" s="143" t="str">
        <f t="shared" si="968"/>
        <v>-</v>
      </c>
      <c r="BY102" s="143" t="str">
        <f t="shared" si="969"/>
        <v>-</v>
      </c>
      <c r="BZ102" s="143" t="str">
        <f t="shared" si="970"/>
        <v>-</v>
      </c>
      <c r="CA102" s="143" t="str">
        <f t="shared" si="971"/>
        <v>-</v>
      </c>
      <c r="CB102" s="143" t="str">
        <f t="shared" si="972"/>
        <v>-</v>
      </c>
      <c r="CD102" s="112">
        <f t="shared" si="973"/>
        <v>1079.8145693041527</v>
      </c>
      <c r="CE102" s="95" t="str">
        <f>IFERROR(SUMIFS('01. KE30'!$R:$R,'01. KE30'!$C:$C,'06. BC BH THEO CUSTOMER-USD'!$D102,'01. KE30'!$F:$F,'06. BC BH THEO CUSTOMER-USD'!$H102,'01. KE30'!$A:$A,'06. BC BH THEO CUSTOMER-USD'!CE$4)/CS102/'02. Tỷ giá'!B$5," -")</f>
        <v xml:space="preserve"> -</v>
      </c>
      <c r="CF102" s="95" t="str">
        <f>IFERROR(SUMIFS('01. KE30'!$R:$R,'01. KE30'!$C:$C,'06. BC BH THEO CUSTOMER-USD'!$D102,'01. KE30'!$F:$F,'06. BC BH THEO CUSTOMER-USD'!$H102,'01. KE30'!$A:$A,'06. BC BH THEO CUSTOMER-USD'!CF$4)/CT102/'02. Tỷ giá'!C$5," -")</f>
        <v xml:space="preserve"> -</v>
      </c>
      <c r="CG102" s="95" t="str">
        <f>IFERROR(SUMIFS('01. KE30'!$R:$R,'01. KE30'!$C:$C,'06. BC BH THEO CUSTOMER-USD'!$D102,'01. KE30'!$F:$F,'06. BC BH THEO CUSTOMER-USD'!$H102,'01. KE30'!$A:$A,'06. BC BH THEO CUSTOMER-USD'!CG$4)/CU102/'02. Tỷ giá'!D$5," -")</f>
        <v xml:space="preserve"> -</v>
      </c>
      <c r="CH102" s="95" t="str">
        <f>IFERROR(SUMIFS('01. KE30'!$R:$R,'01. KE30'!$C:$C,'06. BC BH THEO CUSTOMER-USD'!$D102,'01. KE30'!$F:$F,'06. BC BH THEO CUSTOMER-USD'!$H102,'01. KE30'!$A:$A,'06. BC BH THEO CUSTOMER-USD'!CH$4)/CV102/'02. Tỷ giá'!E$5," -")</f>
        <v xml:space="preserve"> -</v>
      </c>
      <c r="CI102" s="95" t="str">
        <f>IFERROR(SUMIFS('01. KE30'!$R:$R,'01. KE30'!$C:$C,'06. BC BH THEO CUSTOMER-USD'!$D102,'01. KE30'!$F:$F,'06. BC BH THEO CUSTOMER-USD'!$H102,'01. KE30'!$A:$A,'06. BC BH THEO CUSTOMER-USD'!CI$4)/CW102/'02. Tỷ giá'!F$5," -")</f>
        <v xml:space="preserve"> -</v>
      </c>
      <c r="CJ102" s="95">
        <f>IFERROR(SUMIFS('01. KE30'!$R:$R,'01. KE30'!$C:$C,'06. BC BH THEO CUSTOMER-USD'!$D102,'01. KE30'!$F:$F,'06. BC BH THEO CUSTOMER-USD'!$H102,'01. KE30'!$A:$A,'06. BC BH THEO CUSTOMER-USD'!CJ$4)/CX102/'02. Tỷ giá'!G$5," -")</f>
        <v>1079.8145693041527</v>
      </c>
      <c r="CK102" s="95" t="str">
        <f>IFERROR(SUMIFS('01. KE30'!$R:$R,'01. KE30'!$C:$C,'06. BC BH THEO CUSTOMER-USD'!$D102,'01. KE30'!$F:$F,'06. BC BH THEO CUSTOMER-USD'!$H102,'01. KE30'!$A:$A,'06. BC BH THEO CUSTOMER-USD'!CK$4)/CY102/'02. Tỷ giá'!H$5," -")</f>
        <v xml:space="preserve"> -</v>
      </c>
      <c r="CL102" s="95" t="str">
        <f>IFERROR(SUMIFS('01. KE30'!$R:$R,'01. KE30'!$C:$C,'06. BC BH THEO CUSTOMER-USD'!$D102,'01. KE30'!$F:$F,'06. BC BH THEO CUSTOMER-USD'!$H102,'01. KE30'!$A:$A,'06. BC BH THEO CUSTOMER-USD'!CL$4)/CZ102/'02. Tỷ giá'!I$5," -")</f>
        <v xml:space="preserve"> -</v>
      </c>
      <c r="CM102" s="95" t="str">
        <f>IFERROR(SUMIFS('01. KE30'!$R:$R,'01. KE30'!$C:$C,'06. BC BH THEO CUSTOMER-USD'!$D102,'01. KE30'!$F:$F,'06. BC BH THEO CUSTOMER-USD'!$H102,'01. KE30'!$A:$A,'06. BC BH THEO CUSTOMER-USD'!CM$4)/DA102/'02. Tỷ giá'!J$5," -")</f>
        <v xml:space="preserve"> -</v>
      </c>
      <c r="CN102" s="95" t="str">
        <f>IFERROR(SUMIFS('01. KE30'!$R:$R,'01. KE30'!$C:$C,'06. BC BH THEO CUSTOMER-USD'!$D102,'01. KE30'!$F:$F,'06. BC BH THEO CUSTOMER-USD'!$H102,'01. KE30'!$A:$A,'06. BC BH THEO CUSTOMER-USD'!CN$4)/DB102/'02. Tỷ giá'!K$5," -")</f>
        <v xml:space="preserve"> -</v>
      </c>
      <c r="CO102" s="95" t="str">
        <f>IFERROR(SUMIFS('01. KE30'!$R:$R,'01. KE30'!$C:$C,'06. BC BH THEO CUSTOMER-USD'!$D102,'01. KE30'!$F:$F,'06. BC BH THEO CUSTOMER-USD'!$H102,'01. KE30'!$A:$A,'06. BC BH THEO CUSTOMER-USD'!CO$4)/DC102/'02. Tỷ giá'!L$5," -")</f>
        <v xml:space="preserve"> -</v>
      </c>
      <c r="CP102" s="95" t="str">
        <f>IFERROR(SUMIFS('01. KE30'!$R:$R,'01. KE30'!$C:$C,'06. BC BH THEO CUSTOMER-USD'!$D102,'01. KE30'!$F:$F,'06. BC BH THEO CUSTOMER-USD'!$H102,'01. KE30'!$A:$A,'06. BC BH THEO CUSTOMER-USD'!CP$4)/DD102/'02. Tỷ giá'!M$5," -")</f>
        <v xml:space="preserve"> -</v>
      </c>
      <c r="CR102" s="112">
        <f t="shared" si="974"/>
        <v>22</v>
      </c>
      <c r="CS102" s="114">
        <f>SUMIFS('01. KE30'!$I:$I,'01. KE30'!$C:$C,'06. BC BH THEO CUSTOMER-USD'!$D102,'01. KE30'!$F:$F,'06. BC BH THEO CUSTOMER-USD'!$H102,'01. KE30'!$A:$A,'06. BC BH THEO CUSTOMER-USD'!CS$4)/1000</f>
        <v>0</v>
      </c>
      <c r="CT102" s="114">
        <f>SUMIFS('01. KE30'!$I:$I,'01. KE30'!$C:$C,'06. BC BH THEO CUSTOMER-USD'!$D102,'01. KE30'!$F:$F,'06. BC BH THEO CUSTOMER-USD'!$H102,'01. KE30'!$A:$A,'06. BC BH THEO CUSTOMER-USD'!CT$4)/1000</f>
        <v>0</v>
      </c>
      <c r="CU102" s="114">
        <f>SUMIFS('01. KE30'!$I:$I,'01. KE30'!$C:$C,'06. BC BH THEO CUSTOMER-USD'!$D102,'01. KE30'!$F:$F,'06. BC BH THEO CUSTOMER-USD'!$H102,'01. KE30'!$A:$A,'06. BC BH THEO CUSTOMER-USD'!CU$4)/1000</f>
        <v>0</v>
      </c>
      <c r="CV102" s="725">
        <f>SUMIFS('01. KE30'!$I:$I,'01. KE30'!$C:$C,'06. BC BH THEO CUSTOMER-USD'!$D102,'01. KE30'!$F:$F,'06. BC BH THEO CUSTOMER-USD'!$H102,'01. KE30'!$A:$A,'06. BC BH THEO CUSTOMER-USD'!CV$4)/1000</f>
        <v>0</v>
      </c>
      <c r="CW102" s="114">
        <f>SUMIFS('01. KE30'!$I:$I,'01. KE30'!$C:$C,'06. BC BH THEO CUSTOMER-USD'!$D102,'01. KE30'!$F:$F,'06. BC BH THEO CUSTOMER-USD'!$H102,'01. KE30'!$A:$A,'06. BC BH THEO CUSTOMER-USD'!CW$4)/1000</f>
        <v>0</v>
      </c>
      <c r="CX102" s="114">
        <f>SUMIFS('01. KE30'!$I:$I,'01. KE30'!$C:$C,'06. BC BH THEO CUSTOMER-USD'!$D102,'01. KE30'!$F:$F,'06. BC BH THEO CUSTOMER-USD'!$H102,'01. KE30'!$A:$A,'06. BC BH THEO CUSTOMER-USD'!CX$4)/1000</f>
        <v>22</v>
      </c>
      <c r="CY102" s="114">
        <f>SUMIFS('01. KE30'!$I:$I,'01. KE30'!$C:$C,'06. BC BH THEO CUSTOMER-USD'!$D102,'01. KE30'!$F:$F,'06. BC BH THEO CUSTOMER-USD'!$H102,'01. KE30'!$A:$A,'06. BC BH THEO CUSTOMER-USD'!CY$4)/1000</f>
        <v>0</v>
      </c>
      <c r="CZ102" s="114">
        <f>SUMIFS('01. KE30'!$I:$I,'01. KE30'!$C:$C,'06. BC BH THEO CUSTOMER-USD'!$D102,'01. KE30'!$F:$F,'06. BC BH THEO CUSTOMER-USD'!$H102,'01. KE30'!$A:$A,'06. BC BH THEO CUSTOMER-USD'!CZ$4)/1000</f>
        <v>0</v>
      </c>
      <c r="DA102" s="114">
        <f>SUMIFS('01. KE30'!$I:$I,'01. KE30'!$C:$C,'06. BC BH THEO CUSTOMER-USD'!$D102,'01. KE30'!$F:$F,'06. BC BH THEO CUSTOMER-USD'!$H102,'01. KE30'!$A:$A,'06. BC BH THEO CUSTOMER-USD'!DA$4)/1000</f>
        <v>0</v>
      </c>
      <c r="DB102" s="114">
        <f>SUMIFS('01. KE30'!$I:$I,'01. KE30'!$C:$C,'06. BC BH THEO CUSTOMER-USD'!$D102,'01. KE30'!$F:$F,'06. BC BH THEO CUSTOMER-USD'!$H102,'01. KE30'!$A:$A,'06. BC BH THEO CUSTOMER-USD'!DB$4)/1000</f>
        <v>0</v>
      </c>
      <c r="DC102" s="114">
        <f>SUMIFS('01. KE30'!$I:$I,'01. KE30'!$C:$C,'06. BC BH THEO CUSTOMER-USD'!$D102,'01. KE30'!$F:$F,'06. BC BH THEO CUSTOMER-USD'!$H102,'01. KE30'!$A:$A,'06. BC BH THEO CUSTOMER-USD'!DC$4)/1000</f>
        <v>0</v>
      </c>
      <c r="DD102" s="114">
        <f>SUMIFS('01. KE30'!$I:$I,'01. KE30'!$C:$C,'06. BC BH THEO CUSTOMER-USD'!$D102,'01. KE30'!$F:$F,'06. BC BH THEO CUSTOMER-USD'!$H102,'01. KE30'!$A:$A,'06. BC BH THEO CUSTOMER-USD'!DD$4)/1000</f>
        <v>0</v>
      </c>
      <c r="DF102" s="120">
        <f t="shared" si="975"/>
        <v>32714</v>
      </c>
      <c r="DG102" s="54" t="str">
        <f t="shared" si="976"/>
        <v>-</v>
      </c>
      <c r="DH102" s="54" t="str">
        <f t="shared" si="977"/>
        <v>-</v>
      </c>
      <c r="DI102" s="54" t="str">
        <f t="shared" si="978"/>
        <v>-</v>
      </c>
      <c r="DJ102" s="54" t="str">
        <f t="shared" si="979"/>
        <v>-</v>
      </c>
      <c r="DK102" s="54" t="str">
        <f t="shared" si="980"/>
        <v>-</v>
      </c>
      <c r="DL102" s="54">
        <f t="shared" si="981"/>
        <v>32714</v>
      </c>
      <c r="DM102" s="54" t="str">
        <f t="shared" si="982"/>
        <v>-</v>
      </c>
      <c r="DN102" s="54" t="str">
        <f t="shared" si="983"/>
        <v>-</v>
      </c>
      <c r="DO102" s="54" t="str">
        <f t="shared" si="984"/>
        <v>-</v>
      </c>
      <c r="DP102" s="54" t="str">
        <f t="shared" si="985"/>
        <v>-</v>
      </c>
      <c r="DQ102" s="54" t="str">
        <f t="shared" si="986"/>
        <v>-</v>
      </c>
      <c r="DR102" s="54" t="str">
        <f t="shared" si="987"/>
        <v>-</v>
      </c>
      <c r="DT102" s="112">
        <f t="shared" si="988"/>
        <v>5380.5850694444453</v>
      </c>
      <c r="DU102" s="114">
        <f>IFERROR(SUMIFS('01. KE30'!$X:$X,'01. KE30'!$C:$C,'06. BC BH THEO CUSTOMER-USD'!$D102,'01. KE30'!$F:$F,'06. BC BH THEO CUSTOMER-USD'!$H102,'01. KE30'!$A:$A,'06. BC BH THEO CUSTOMER-USD'!DU$4)-SUMIFS('01. KE30'!$AA:$AA,'01. KE30'!$C:$C,'06. BC BH THEO CUSTOMER-USD'!$D102,'01. KE30'!$F:$F,'06. BC BH THEO CUSTOMER-USD'!$H102,'01. KE30'!$A:$A,'06. BC BH THEO CUSTOMER-USD'!DU$4),"-")</f>
        <v>0</v>
      </c>
      <c r="DV102" s="114">
        <f>IFERROR(SUMIFS('01. KE30'!$X:$X,'01. KE30'!$C:$C,'06. BC BH THEO CUSTOMER-USD'!$D102,'01. KE30'!$F:$F,'06. BC BH THEO CUSTOMER-USD'!$H102,'01. KE30'!$A:$A,'06. BC BH THEO CUSTOMER-USD'!DV$4)-SUMIFS('01. KE30'!$AA:$AA,'01. KE30'!$C:$C,'06. BC BH THEO CUSTOMER-USD'!$D102,'01. KE30'!$F:$F,'06. BC BH THEO CUSTOMER-USD'!$H102,'01. KE30'!$A:$A,'06. BC BH THEO CUSTOMER-USD'!DV$4),"-")</f>
        <v>0</v>
      </c>
      <c r="DW102" s="114">
        <f>IFERROR(SUMIFS('01. KE30'!$X:$X,'01. KE30'!$C:$C,'06. BC BH THEO CUSTOMER-USD'!$D102,'01. KE30'!$F:$F,'06. BC BH THEO CUSTOMER-USD'!$H102,'01. KE30'!$A:$A,'06. BC BH THEO CUSTOMER-USD'!DW$4)-SUMIFS('01. KE30'!$AA:$AA,'01. KE30'!$C:$C,'06. BC BH THEO CUSTOMER-USD'!$D102,'01. KE30'!$F:$F,'06. BC BH THEO CUSTOMER-USD'!$H102,'01. KE30'!$A:$A,'06. BC BH THEO CUSTOMER-USD'!DW$4),"-")</f>
        <v>0</v>
      </c>
      <c r="DX102" s="114">
        <f>IFERROR(SUMIFS('01. KE30'!$X:$X,'01. KE30'!$C:$C,'06. BC BH THEO CUSTOMER-USD'!$D102,'01. KE30'!$F:$F,'06. BC BH THEO CUSTOMER-USD'!$H102,'01. KE30'!$A:$A,'06. BC BH THEO CUSTOMER-USD'!DX$4)-SUMIFS('01. KE30'!$AA:$AA,'01. KE30'!$C:$C,'06. BC BH THEO CUSTOMER-USD'!$D102,'01. KE30'!$F:$F,'06. BC BH THEO CUSTOMER-USD'!$H102,'01. KE30'!$A:$A,'06. BC BH THEO CUSTOMER-USD'!DX$4),"-")</f>
        <v>0</v>
      </c>
      <c r="DY102" s="114">
        <f>IFERROR(SUMIFS('01. KE30'!$X:$X,'01. KE30'!$C:$C,'06. BC BH THEO CUSTOMER-USD'!$D102,'01. KE30'!$F:$F,'06. BC BH THEO CUSTOMER-USD'!$H102,'01. KE30'!$A:$A,'06. BC BH THEO CUSTOMER-USD'!DY$4)-SUMIFS('01. KE30'!$AA:$AA,'01. KE30'!$C:$C,'06. BC BH THEO CUSTOMER-USD'!$D102,'01. KE30'!$F:$F,'06. BC BH THEO CUSTOMER-USD'!$H102,'01. KE30'!$A:$A,'06. BC BH THEO CUSTOMER-USD'!DY$4),"-")</f>
        <v>0</v>
      </c>
      <c r="DZ102" s="114">
        <f>IFERROR(SUMIFS('01. KE30'!$X:$X,'01. KE30'!$C:$C,'06. BC BH THEO CUSTOMER-USD'!$D102,'01. KE30'!$F:$F,'06. BC BH THEO CUSTOMER-USD'!$H102,'01. KE30'!$A:$A,'06. BC BH THEO CUSTOMER-USD'!DZ$4)-SUMIFS('01. KE30'!$AA:$AA,'01. KE30'!$C:$C,'06. BC BH THEO CUSTOMER-USD'!$D102,'01. KE30'!$F:$F,'06. BC BH THEO CUSTOMER-USD'!$H102,'01. KE30'!$A:$A,'06. BC BH THEO CUSTOMER-USD'!DZ$4),"-")</f>
        <v>5380.5850694444453</v>
      </c>
      <c r="EA102" s="114">
        <f>IFERROR(SUMIFS('01. KE30'!$X:$X,'01. KE30'!$C:$C,'06. BC BH THEO CUSTOMER-USD'!$D102,'01. KE30'!$F:$F,'06. BC BH THEO CUSTOMER-USD'!$H102,'01. KE30'!$A:$A,'06. BC BH THEO CUSTOMER-USD'!EA$4)-SUMIFS('01. KE30'!$AA:$AA,'01. KE30'!$C:$C,'06. BC BH THEO CUSTOMER-USD'!$D102,'01. KE30'!$F:$F,'06. BC BH THEO CUSTOMER-USD'!$H102,'01. KE30'!$A:$A,'06. BC BH THEO CUSTOMER-USD'!EA$4),"-")</f>
        <v>0</v>
      </c>
      <c r="EB102" s="114">
        <f>IFERROR(SUMIFS('01. KE30'!$X:$X,'01. KE30'!$C:$C,'06. BC BH THEO CUSTOMER-USD'!$D102,'01. KE30'!$F:$F,'06. BC BH THEO CUSTOMER-USD'!$H102,'01. KE30'!$A:$A,'06. BC BH THEO CUSTOMER-USD'!EB$4)-SUMIFS('01. KE30'!$AA:$AA,'01. KE30'!$C:$C,'06. BC BH THEO CUSTOMER-USD'!$D102,'01. KE30'!$F:$F,'06. BC BH THEO CUSTOMER-USD'!$H102,'01. KE30'!$A:$A,'06. BC BH THEO CUSTOMER-USD'!EB$4),"-")</f>
        <v>0</v>
      </c>
      <c r="EC102" s="114">
        <f>IFERROR(SUMIFS('01. KE30'!$X:$X,'01. KE30'!$C:$C,'06. BC BH THEO CUSTOMER-USD'!$D102,'01. KE30'!$F:$F,'06. BC BH THEO CUSTOMER-USD'!$H102,'01. KE30'!$A:$A,'06. BC BH THEO CUSTOMER-USD'!EC$4)-SUMIFS('01. KE30'!$AA:$AA,'01. KE30'!$C:$C,'06. BC BH THEO CUSTOMER-USD'!$D102,'01. KE30'!$F:$F,'06. BC BH THEO CUSTOMER-USD'!$H102,'01. KE30'!$A:$A,'06. BC BH THEO CUSTOMER-USD'!EC$4),"-")</f>
        <v>0</v>
      </c>
      <c r="ED102" s="114">
        <f>IFERROR(SUMIFS('01. KE30'!$X:$X,'01. KE30'!$C:$C,'06. BC BH THEO CUSTOMER-USD'!$D102,'01. KE30'!$F:$F,'06. BC BH THEO CUSTOMER-USD'!$H102,'01. KE30'!$A:$A,'06. BC BH THEO CUSTOMER-USD'!ED$4)-SUMIFS('01. KE30'!$AA:$AA,'01. KE30'!$C:$C,'06. BC BH THEO CUSTOMER-USD'!$D102,'01. KE30'!$F:$F,'06. BC BH THEO CUSTOMER-USD'!$H102,'01. KE30'!$A:$A,'06. BC BH THEO CUSTOMER-USD'!ED$4),"-")</f>
        <v>0</v>
      </c>
      <c r="EE102" s="114">
        <f>IFERROR(SUMIFS('01. KE30'!$X:$X,'01. KE30'!$C:$C,'06. BC BH THEO CUSTOMER-USD'!$D102,'01. KE30'!$F:$F,'06. BC BH THEO CUSTOMER-USD'!$H102,'01. KE30'!$A:$A,'06. BC BH THEO CUSTOMER-USD'!EE$4)-SUMIFS('01. KE30'!$AA:$AA,'01. KE30'!$C:$C,'06. BC BH THEO CUSTOMER-USD'!$D102,'01. KE30'!$F:$F,'06. BC BH THEO CUSTOMER-USD'!$H102,'01. KE30'!$A:$A,'06. BC BH THEO CUSTOMER-USD'!EE$4),"-")</f>
        <v>0</v>
      </c>
      <c r="EF102" s="114">
        <f>IFERROR(SUMIFS('01. KE30'!$X:$X,'01. KE30'!$C:$C,'06. BC BH THEO CUSTOMER-USD'!$D102,'01. KE30'!$F:$F,'06. BC BH THEO CUSTOMER-USD'!$H102,'01. KE30'!$A:$A,'06. BC BH THEO CUSTOMER-USD'!EF$4)-SUMIFS('01. KE30'!$AA:$AA,'01. KE30'!$C:$C,'06. BC BH THEO CUSTOMER-USD'!$D102,'01. KE30'!$F:$F,'06. BC BH THEO CUSTOMER-USD'!$H102,'01. KE30'!$A:$A,'06. BC BH THEO CUSTOMER-USD'!EF$4),"-")</f>
        <v>0</v>
      </c>
      <c r="EH102" s="571">
        <f t="shared" si="989"/>
        <v>0.1644734691399537</v>
      </c>
      <c r="EI102" s="572" t="str">
        <f t="shared" si="990"/>
        <v>-</v>
      </c>
      <c r="EJ102" s="572" t="str">
        <f t="shared" si="991"/>
        <v>-</v>
      </c>
      <c r="EK102" s="572" t="str">
        <f t="shared" si="992"/>
        <v>-</v>
      </c>
      <c r="EL102" s="572" t="str">
        <f t="shared" si="993"/>
        <v>-</v>
      </c>
      <c r="EM102" s="572" t="str">
        <f t="shared" si="994"/>
        <v>-</v>
      </c>
      <c r="EN102" s="572">
        <f t="shared" si="995"/>
        <v>0.1644734691399537</v>
      </c>
      <c r="EO102" s="572" t="str">
        <f t="shared" si="996"/>
        <v>-</v>
      </c>
      <c r="EP102" s="572" t="str">
        <f t="shared" si="997"/>
        <v>-</v>
      </c>
      <c r="EQ102" s="572" t="str">
        <f t="shared" si="998"/>
        <v>-</v>
      </c>
      <c r="ER102" s="572" t="str">
        <f t="shared" si="999"/>
        <v>-</v>
      </c>
      <c r="ES102" s="572" t="str">
        <f t="shared" si="1000"/>
        <v>-</v>
      </c>
      <c r="ET102" s="572" t="str">
        <f t="shared" si="1001"/>
        <v>-</v>
      </c>
    </row>
    <row r="103" spans="1:150" ht="15.5" hidden="1" outlineLevel="1" x14ac:dyDescent="0.35">
      <c r="A103" s="27">
        <f t="shared" si="653"/>
        <v>87</v>
      </c>
      <c r="B103" s="27" t="s">
        <v>283</v>
      </c>
      <c r="C103" s="442" t="s">
        <v>489</v>
      </c>
      <c r="D103" s="9" t="s">
        <v>895</v>
      </c>
      <c r="E103" s="12" t="s">
        <v>896</v>
      </c>
      <c r="F103" s="12" t="s">
        <v>245</v>
      </c>
      <c r="G103" s="12" t="str">
        <f>_xlfn.XLOOKUP(F103,'Quy đổi'!$G$5:$G$32,'Quy đổi'!$H$5:$H$32,0)</f>
        <v>Nội địa</v>
      </c>
      <c r="H103" s="76" t="s">
        <v>918</v>
      </c>
      <c r="I103" s="28" t="s">
        <v>921</v>
      </c>
      <c r="J103" s="6" t="s">
        <v>22</v>
      </c>
      <c r="K103" s="11"/>
      <c r="L103" s="92">
        <f t="shared" si="944"/>
        <v>1271.5529183053691</v>
      </c>
      <c r="M103" s="106" t="str">
        <f>IFERROR(SUMIFS('01. KE30'!$K:$K,'01. KE30'!$C:$C,'06. BC BH THEO CUSTOMER-USD'!$D103,'01. KE30'!$F:$F,'06. BC BH THEO CUSTOMER-USD'!$H103,'01. KE30'!$A:$A,'06. BC BH THEO CUSTOMER-USD'!M$4)/'06. BC BH THEO CUSTOMER-USD'!CS103/'02. Tỷ giá'!B$5,"-")</f>
        <v>-</v>
      </c>
      <c r="N103" s="106" t="str">
        <f>IFERROR(SUMIFS('01. KE30'!$K:$K,'01. KE30'!$C:$C,'06. BC BH THEO CUSTOMER-USD'!$D103,'01. KE30'!$F:$F,'06. BC BH THEO CUSTOMER-USD'!$H103,'01. KE30'!$A:$A,'06. BC BH THEO CUSTOMER-USD'!N$4)/'06. BC BH THEO CUSTOMER-USD'!CT103/'02. Tỷ giá'!C$5,"-")</f>
        <v>-</v>
      </c>
      <c r="O103" s="106" t="str">
        <f>IFERROR(SUMIFS('01. KE30'!$K:$K,'01. KE30'!$C:$C,'06. BC BH THEO CUSTOMER-USD'!$D103,'01. KE30'!$F:$F,'06. BC BH THEO CUSTOMER-USD'!$H103,'01. KE30'!$A:$A,'06. BC BH THEO CUSTOMER-USD'!O$4)/'06. BC BH THEO CUSTOMER-USD'!CU103/'02. Tỷ giá'!D$5,"-")</f>
        <v>-</v>
      </c>
      <c r="P103" s="106" t="str">
        <f>IFERROR(SUMIFS('01. KE30'!$K:$K,'01. KE30'!$C:$C,'06. BC BH THEO CUSTOMER-USD'!$D103,'01. KE30'!$F:$F,'06. BC BH THEO CUSTOMER-USD'!$H103,'01. KE30'!$A:$A,'06. BC BH THEO CUSTOMER-USD'!P$4)/'06. BC BH THEO CUSTOMER-USD'!CV103/'02. Tỷ giá'!E$5,"-")</f>
        <v>-</v>
      </c>
      <c r="Q103" s="106" t="str">
        <f>IFERROR(SUMIFS('01. KE30'!$K:$K,'01. KE30'!$C:$C,'06. BC BH THEO CUSTOMER-USD'!$D103,'01. KE30'!$F:$F,'06. BC BH THEO CUSTOMER-USD'!$H103,'01. KE30'!$A:$A,'06. BC BH THEO CUSTOMER-USD'!Q$4)/'06. BC BH THEO CUSTOMER-USD'!CW103/'02. Tỷ giá'!F$5,"-")</f>
        <v>-</v>
      </c>
      <c r="R103" s="106">
        <f>IFERROR(SUMIFS('01. KE30'!$K:$K,'01. KE30'!$C:$C,'06. BC BH THEO CUSTOMER-USD'!$D103,'01. KE30'!$F:$F,'06. BC BH THEO CUSTOMER-USD'!$H103,'01. KE30'!$A:$A,'06. BC BH THEO CUSTOMER-USD'!R$4)/'06. BC BH THEO CUSTOMER-USD'!CX103/'02. Tỷ giá'!G$5,"-")</f>
        <v>1263.5030864197531</v>
      </c>
      <c r="S103" s="106" t="str">
        <f>IFERROR(SUMIFS('01. KE30'!$K:$K,'01. KE30'!$C:$C,'06. BC BH THEO CUSTOMER-USD'!$D103,'01. KE30'!$F:$F,'06. BC BH THEO CUSTOMER-USD'!$H103,'01. KE30'!$A:$A,'06. BC BH THEO CUSTOMER-USD'!S$4)/'06. BC BH THEO CUSTOMER-USD'!CY103/'02. Tỷ giá'!H$5,"-")</f>
        <v>-</v>
      </c>
      <c r="T103" s="106">
        <f>IFERROR(SUMIFS('01. KE30'!$K:$K,'01. KE30'!$C:$C,'06. BC BH THEO CUSTOMER-USD'!$D103,'01. KE30'!$F:$F,'06. BC BH THEO CUSTOMER-USD'!$H103,'01. KE30'!$A:$A,'06. BC BH THEO CUSTOMER-USD'!T$4)/'06. BC BH THEO CUSTOMER-USD'!CZ103/'02. Tỷ giá'!I$5,"-")</f>
        <v>1279.6027501909853</v>
      </c>
      <c r="U103" s="106" t="str">
        <f>IFERROR(SUMIFS('01. KE30'!$K:$K,'01. KE30'!$C:$C,'06. BC BH THEO CUSTOMER-USD'!$D103,'01. KE30'!$F:$F,'06. BC BH THEO CUSTOMER-USD'!$H103,'01. KE30'!$A:$A,'06. BC BH THEO CUSTOMER-USD'!U$4)/'06. BC BH THEO CUSTOMER-USD'!DA103/'02. Tỷ giá'!J$5,"-")</f>
        <v>-</v>
      </c>
      <c r="V103" s="106" t="str">
        <f>IFERROR(SUMIFS('01. KE30'!$K:$K,'01. KE30'!$C:$C,'06. BC BH THEO CUSTOMER-USD'!$D103,'01. KE30'!$F:$F,'06. BC BH THEO CUSTOMER-USD'!$H103,'01. KE30'!$A:$A,'06. BC BH THEO CUSTOMER-USD'!V$4)/'06. BC BH THEO CUSTOMER-USD'!DB103/'02. Tỷ giá'!K$5,"-")</f>
        <v>-</v>
      </c>
      <c r="W103" s="106" t="str">
        <f>IFERROR(SUMIFS('01. KE30'!$K:$K,'01. KE30'!$C:$C,'06. BC BH THEO CUSTOMER-USD'!$D103,'01. KE30'!$F:$F,'06. BC BH THEO CUSTOMER-USD'!$H103,'01. KE30'!$A:$A,'06. BC BH THEO CUSTOMER-USD'!W$4)/'06. BC BH THEO CUSTOMER-USD'!DC103/'02. Tỷ giá'!L$5,"-")</f>
        <v>-</v>
      </c>
      <c r="X103" s="106" t="str">
        <f>IFERROR(SUMIFS('01. KE30'!$K:$K,'01. KE30'!$C:$C,'06. BC BH THEO CUSTOMER-USD'!$D103,'01. KE30'!$F:$F,'06. BC BH THEO CUSTOMER-USD'!$H103,'01. KE30'!$A:$A,'06. BC BH THEO CUSTOMER-USD'!X$4)/'06. BC BH THEO CUSTOMER-USD'!DD103/'02. Tỷ giá'!M$5,"-")</f>
        <v>-</v>
      </c>
      <c r="Z103" s="92">
        <f t="shared" si="945"/>
        <v>1271.5529183053691</v>
      </c>
      <c r="AA103" s="147" t="str">
        <f>IFERROR(SUMIFS('01. KE30'!$O:$O,'01. KE30'!$C:$C,'06. BC BH THEO CUSTOMER-USD'!$D103,'01. KE30'!$F:$F,'06. BC BH THEO CUSTOMER-USD'!$H103,'01. KE30'!$A:$A,'06. BC BH THEO CUSTOMER-USD'!M$4)/'06. BC BH THEO CUSTOMER-USD'!CS103/'02. Tỷ giá'!B$5,"-")</f>
        <v>-</v>
      </c>
      <c r="AB103" s="147" t="str">
        <f>IFERROR(SUMIFS('01. KE30'!$O:$O,'01. KE30'!$C:$C,'06. BC BH THEO CUSTOMER-USD'!$D103,'01. KE30'!$F:$F,'06. BC BH THEO CUSTOMER-USD'!$H103,'01. KE30'!$A:$A,'06. BC BH THEO CUSTOMER-USD'!N$4)/'06. BC BH THEO CUSTOMER-USD'!CT103/'02. Tỷ giá'!C$5,"-")</f>
        <v>-</v>
      </c>
      <c r="AC103" s="147" t="str">
        <f>IFERROR(SUMIFS('01. KE30'!$O:$O,'01. KE30'!$C:$C,'06. BC BH THEO CUSTOMER-USD'!$D103,'01. KE30'!$F:$F,'06. BC BH THEO CUSTOMER-USD'!$H103,'01. KE30'!$A:$A,'06. BC BH THEO CUSTOMER-USD'!O$4)/'06. BC BH THEO CUSTOMER-USD'!CU103/'02. Tỷ giá'!D$5,"-")</f>
        <v>-</v>
      </c>
      <c r="AD103" s="147" t="str">
        <f>IFERROR(SUMIFS('01. KE30'!$O:$O,'01. KE30'!$C:$C,'06. BC BH THEO CUSTOMER-USD'!$D103,'01. KE30'!$F:$F,'06. BC BH THEO CUSTOMER-USD'!$H103,'01. KE30'!$A:$A,'06. BC BH THEO CUSTOMER-USD'!P$4)/'06. BC BH THEO CUSTOMER-USD'!CV103/'02. Tỷ giá'!E$5,"-")</f>
        <v>-</v>
      </c>
      <c r="AE103" s="147" t="str">
        <f>IFERROR(SUMIFS('01. KE30'!$O:$O,'01. KE30'!$C:$C,'06. BC BH THEO CUSTOMER-USD'!$D103,'01. KE30'!$F:$F,'06. BC BH THEO CUSTOMER-USD'!$H103,'01. KE30'!$A:$A,'06. BC BH THEO CUSTOMER-USD'!Q$4)/'06. BC BH THEO CUSTOMER-USD'!CW103/'02. Tỷ giá'!F$5,"-")</f>
        <v>-</v>
      </c>
      <c r="AF103" s="147">
        <f>IFERROR(SUMIFS('01. KE30'!$O:$O,'01. KE30'!$C:$C,'06. BC BH THEO CUSTOMER-USD'!$D103,'01. KE30'!$F:$F,'06. BC BH THEO CUSTOMER-USD'!$H103,'01. KE30'!$A:$A,'06. BC BH THEO CUSTOMER-USD'!R$4)/'06. BC BH THEO CUSTOMER-USD'!CX103/'02. Tỷ giá'!G$5,"-")</f>
        <v>1263.5030864197531</v>
      </c>
      <c r="AG103" s="147" t="str">
        <f>IFERROR(SUMIFS('01. KE30'!$O:$O,'01. KE30'!$C:$C,'06. BC BH THEO CUSTOMER-USD'!$D103,'01. KE30'!$F:$F,'06. BC BH THEO CUSTOMER-USD'!$H103,'01. KE30'!$A:$A,'06. BC BH THEO CUSTOMER-USD'!S$4)/'06. BC BH THEO CUSTOMER-USD'!CY103/'02. Tỷ giá'!H$5,"-")</f>
        <v>-</v>
      </c>
      <c r="AH103" s="147">
        <f>IFERROR(SUMIFS('01. KE30'!$O:$O,'01. KE30'!$C:$C,'06. BC BH THEO CUSTOMER-USD'!$D103,'01. KE30'!$F:$F,'06. BC BH THEO CUSTOMER-USD'!$H103,'01. KE30'!$A:$A,'06. BC BH THEO CUSTOMER-USD'!T$4)/'06. BC BH THEO CUSTOMER-USD'!CZ103/'02. Tỷ giá'!I$5,"-")</f>
        <v>1279.6027501909853</v>
      </c>
      <c r="AI103" s="147" t="str">
        <f>IFERROR(SUMIFS('01. KE30'!$O:$O,'01. KE30'!$C:$C,'06. BC BH THEO CUSTOMER-USD'!$D103,'01. KE30'!$F:$F,'06. BC BH THEO CUSTOMER-USD'!$H103,'01. KE30'!$A:$A,'06. BC BH THEO CUSTOMER-USD'!U$4)/'06. BC BH THEO CUSTOMER-USD'!DA103/'02. Tỷ giá'!J$5,"-")</f>
        <v>-</v>
      </c>
      <c r="AJ103" s="147" t="str">
        <f>IFERROR(SUMIFS('01. KE30'!$O:$O,'01. KE30'!$C:$C,'06. BC BH THEO CUSTOMER-USD'!$D103,'01. KE30'!$F:$F,'06. BC BH THEO CUSTOMER-USD'!$H103,'01. KE30'!$A:$A,'06. BC BH THEO CUSTOMER-USD'!V$4)/'06. BC BH THEO CUSTOMER-USD'!DB103/'02. Tỷ giá'!K$5,"-")</f>
        <v>-</v>
      </c>
      <c r="AK103" s="147" t="str">
        <f>IFERROR(SUMIFS('01. KE30'!$O:$O,'01. KE30'!$C:$C,'06. BC BH THEO CUSTOMER-USD'!$D103,'01. KE30'!$F:$F,'06. BC BH THEO CUSTOMER-USD'!$H103,'01. KE30'!$A:$A,'06. BC BH THEO CUSTOMER-USD'!W$4)/'06. BC BH THEO CUSTOMER-USD'!DC103/'02. Tỷ giá'!L$5,"-")</f>
        <v>-</v>
      </c>
      <c r="AL103" s="147" t="str">
        <f>IFERROR(SUMIFS('01. KE30'!$O:$O,'01. KE30'!$C:$C,'06. BC BH THEO CUSTOMER-USD'!$D103,'01. KE30'!$F:$F,'06. BC BH THEO CUSTOMER-USD'!$H103,'01. KE30'!$A:$A,'06. BC BH THEO CUSTOMER-USD'!X$4)/'06. BC BH THEO CUSTOMER-USD'!DD103/'02. Tỷ giá'!M$5,"-")</f>
        <v>-</v>
      </c>
      <c r="AN103" s="92">
        <f t="shared" si="946"/>
        <v>1260</v>
      </c>
      <c r="AO103" s="25"/>
      <c r="AP103" s="25"/>
      <c r="AQ103" s="4"/>
      <c r="AR103" s="4"/>
      <c r="AS103" s="4"/>
      <c r="AT103" s="4"/>
      <c r="AU103" s="4">
        <v>1280</v>
      </c>
      <c r="AV103" s="4">
        <f t="shared" si="205"/>
        <v>1250</v>
      </c>
      <c r="AW103" s="25">
        <v>1250</v>
      </c>
      <c r="AX103" s="25"/>
      <c r="AY103" s="4"/>
      <c r="AZ103" s="4"/>
      <c r="BB103" s="95">
        <f t="shared" si="947"/>
        <v>11.552918305369076</v>
      </c>
      <c r="BC103" s="95" t="str">
        <f t="shared" si="948"/>
        <v>-</v>
      </c>
      <c r="BD103" s="95" t="str">
        <f t="shared" si="949"/>
        <v>-</v>
      </c>
      <c r="BE103" s="95" t="str">
        <f t="shared" si="950"/>
        <v>-</v>
      </c>
      <c r="BF103" s="95" t="str">
        <f t="shared" si="951"/>
        <v>-</v>
      </c>
      <c r="BG103" s="95" t="str">
        <f t="shared" si="952"/>
        <v>-</v>
      </c>
      <c r="BH103" s="95">
        <f t="shared" si="953"/>
        <v>1263.5030864197531</v>
      </c>
      <c r="BI103" s="95" t="str">
        <f t="shared" si="954"/>
        <v>-</v>
      </c>
      <c r="BJ103" s="95">
        <f t="shared" si="955"/>
        <v>29.602750190985262</v>
      </c>
      <c r="BK103" s="95" t="str">
        <f t="shared" si="956"/>
        <v>-</v>
      </c>
      <c r="BL103" s="95" t="str">
        <f t="shared" si="957"/>
        <v>-</v>
      </c>
      <c r="BM103" s="95" t="str">
        <f t="shared" si="958"/>
        <v>-</v>
      </c>
      <c r="BN103" s="95" t="str">
        <f t="shared" si="959"/>
        <v>-</v>
      </c>
      <c r="BP103" s="143">
        <f t="shared" si="960"/>
        <v>9.1689827820389484E-3</v>
      </c>
      <c r="BQ103" s="143" t="str">
        <f t="shared" si="961"/>
        <v>-</v>
      </c>
      <c r="BR103" s="143" t="str">
        <f t="shared" si="962"/>
        <v>-</v>
      </c>
      <c r="BS103" s="143" t="str">
        <f t="shared" si="963"/>
        <v>-</v>
      </c>
      <c r="BT103" s="143" t="str">
        <f t="shared" si="964"/>
        <v>-</v>
      </c>
      <c r="BU103" s="143" t="str">
        <f t="shared" si="965"/>
        <v>-</v>
      </c>
      <c r="BV103" s="143" t="str">
        <f t="shared" si="966"/>
        <v>-</v>
      </c>
      <c r="BW103" s="143" t="str">
        <f t="shared" si="967"/>
        <v>-</v>
      </c>
      <c r="BX103" s="143">
        <f t="shared" si="968"/>
        <v>2.368220015278821E-2</v>
      </c>
      <c r="BY103" s="143" t="str">
        <f t="shared" si="969"/>
        <v>-</v>
      </c>
      <c r="BZ103" s="143" t="str">
        <f t="shared" si="970"/>
        <v>-</v>
      </c>
      <c r="CA103" s="143" t="str">
        <f t="shared" si="971"/>
        <v>-</v>
      </c>
      <c r="CB103" s="143" t="str">
        <f t="shared" si="972"/>
        <v>-</v>
      </c>
      <c r="CD103" s="112">
        <f t="shared" si="973"/>
        <v>1136.510462189161</v>
      </c>
      <c r="CE103" s="95" t="str">
        <f>IFERROR(SUMIFS('01. KE30'!$R:$R,'01. KE30'!$C:$C,'06. BC BH THEO CUSTOMER-USD'!$D103,'01. KE30'!$F:$F,'06. BC BH THEO CUSTOMER-USD'!$H103,'01. KE30'!$A:$A,'06. BC BH THEO CUSTOMER-USD'!CE$4)/CS103/'02. Tỷ giá'!B$5," -")</f>
        <v xml:space="preserve"> -</v>
      </c>
      <c r="CF103" s="95" t="str">
        <f>IFERROR(SUMIFS('01. KE30'!$R:$R,'01. KE30'!$C:$C,'06. BC BH THEO CUSTOMER-USD'!$D103,'01. KE30'!$F:$F,'06. BC BH THEO CUSTOMER-USD'!$H103,'01. KE30'!$A:$A,'06. BC BH THEO CUSTOMER-USD'!CF$4)/CT103/'02. Tỷ giá'!C$5," -")</f>
        <v xml:space="preserve"> -</v>
      </c>
      <c r="CG103" s="95" t="str">
        <f>IFERROR(SUMIFS('01. KE30'!$R:$R,'01. KE30'!$C:$C,'06. BC BH THEO CUSTOMER-USD'!$D103,'01. KE30'!$F:$F,'06. BC BH THEO CUSTOMER-USD'!$H103,'01. KE30'!$A:$A,'06. BC BH THEO CUSTOMER-USD'!CG$4)/CU103/'02. Tỷ giá'!D$5," -")</f>
        <v xml:space="preserve"> -</v>
      </c>
      <c r="CH103" s="95" t="str">
        <f>IFERROR(SUMIFS('01. KE30'!$R:$R,'01. KE30'!$C:$C,'06. BC BH THEO CUSTOMER-USD'!$D103,'01. KE30'!$F:$F,'06. BC BH THEO CUSTOMER-USD'!$H103,'01. KE30'!$A:$A,'06. BC BH THEO CUSTOMER-USD'!CH$4)/CV103/'02. Tỷ giá'!E$5," -")</f>
        <v xml:space="preserve"> -</v>
      </c>
      <c r="CI103" s="95" t="str">
        <f>IFERROR(SUMIFS('01. KE30'!$R:$R,'01. KE30'!$C:$C,'06. BC BH THEO CUSTOMER-USD'!$D103,'01. KE30'!$F:$F,'06. BC BH THEO CUSTOMER-USD'!$H103,'01. KE30'!$A:$A,'06. BC BH THEO CUSTOMER-USD'!CI$4)/CW103/'02. Tỷ giá'!F$5," -")</f>
        <v xml:space="preserve"> -</v>
      </c>
      <c r="CJ103" s="95">
        <f>IFERROR(SUMIFS('01. KE30'!$R:$R,'01. KE30'!$C:$C,'06. BC BH THEO CUSTOMER-USD'!$D103,'01. KE30'!$F:$F,'06. BC BH THEO CUSTOMER-USD'!$H103,'01. KE30'!$A:$A,'06. BC BH THEO CUSTOMER-USD'!CJ$4)/CX103/'02. Tỷ giá'!G$5," -")</f>
        <v>1142.1820987654321</v>
      </c>
      <c r="CK103" s="95" t="str">
        <f>IFERROR(SUMIFS('01. KE30'!$R:$R,'01. KE30'!$C:$C,'06. BC BH THEO CUSTOMER-USD'!$D103,'01. KE30'!$F:$F,'06. BC BH THEO CUSTOMER-USD'!$H103,'01. KE30'!$A:$A,'06. BC BH THEO CUSTOMER-USD'!CK$4)/CY103/'02. Tỷ giá'!H$5," -")</f>
        <v xml:space="preserve"> -</v>
      </c>
      <c r="CL103" s="95">
        <f>IFERROR(SUMIFS('01. KE30'!$R:$R,'01. KE30'!$C:$C,'06. BC BH THEO CUSTOMER-USD'!$D103,'01. KE30'!$F:$F,'06. BC BH THEO CUSTOMER-USD'!$H103,'01. KE30'!$A:$A,'06. BC BH THEO CUSTOMER-USD'!CL$4)/CZ103/'02. Tỷ giá'!I$5," -")</f>
        <v>1130.8388256128897</v>
      </c>
      <c r="CM103" s="95" t="str">
        <f>IFERROR(SUMIFS('01. KE30'!$R:$R,'01. KE30'!$C:$C,'06. BC BH THEO CUSTOMER-USD'!$D103,'01. KE30'!$F:$F,'06. BC BH THEO CUSTOMER-USD'!$H103,'01. KE30'!$A:$A,'06. BC BH THEO CUSTOMER-USD'!CM$4)/DA103/'02. Tỷ giá'!J$5," -")</f>
        <v xml:space="preserve"> -</v>
      </c>
      <c r="CN103" s="95" t="str">
        <f>IFERROR(SUMIFS('01. KE30'!$R:$R,'01. KE30'!$C:$C,'06. BC BH THEO CUSTOMER-USD'!$D103,'01. KE30'!$F:$F,'06. BC BH THEO CUSTOMER-USD'!$H103,'01. KE30'!$A:$A,'06. BC BH THEO CUSTOMER-USD'!CN$4)/DB103/'02. Tỷ giá'!K$5," -")</f>
        <v xml:space="preserve"> -</v>
      </c>
      <c r="CO103" s="95" t="str">
        <f>IFERROR(SUMIFS('01. KE30'!$R:$R,'01. KE30'!$C:$C,'06. BC BH THEO CUSTOMER-USD'!$D103,'01. KE30'!$F:$F,'06. BC BH THEO CUSTOMER-USD'!$H103,'01. KE30'!$A:$A,'06. BC BH THEO CUSTOMER-USD'!CO$4)/DC103/'02. Tỷ giá'!L$5," -")</f>
        <v xml:space="preserve"> -</v>
      </c>
      <c r="CP103" s="95" t="str">
        <f>IFERROR(SUMIFS('01. KE30'!$R:$R,'01. KE30'!$C:$C,'06. BC BH THEO CUSTOMER-USD'!$D103,'01. KE30'!$F:$F,'06. BC BH THEO CUSTOMER-USD'!$H103,'01. KE30'!$A:$A,'06. BC BH THEO CUSTOMER-USD'!CP$4)/DD103/'02. Tỷ giá'!M$5," -")</f>
        <v xml:space="preserve"> -</v>
      </c>
      <c r="CR103" s="112">
        <f t="shared" si="974"/>
        <v>2.7</v>
      </c>
      <c r="CS103" s="114">
        <f>SUMIFS('01. KE30'!$I:$I,'01. KE30'!$C:$C,'06. BC BH THEO CUSTOMER-USD'!$D103,'01. KE30'!$F:$F,'06. BC BH THEO CUSTOMER-USD'!$H103,'01. KE30'!$A:$A,'06. BC BH THEO CUSTOMER-USD'!CS$4)/1000</f>
        <v>0</v>
      </c>
      <c r="CT103" s="114">
        <f>SUMIFS('01. KE30'!$I:$I,'01. KE30'!$C:$C,'06. BC BH THEO CUSTOMER-USD'!$D103,'01. KE30'!$F:$F,'06. BC BH THEO CUSTOMER-USD'!$H103,'01. KE30'!$A:$A,'06. BC BH THEO CUSTOMER-USD'!CT$4)/1000</f>
        <v>0</v>
      </c>
      <c r="CU103" s="114">
        <f>SUMIFS('01. KE30'!$I:$I,'01. KE30'!$C:$C,'06. BC BH THEO CUSTOMER-USD'!$D103,'01. KE30'!$F:$F,'06. BC BH THEO CUSTOMER-USD'!$H103,'01. KE30'!$A:$A,'06. BC BH THEO CUSTOMER-USD'!CU$4)/1000</f>
        <v>0</v>
      </c>
      <c r="CV103" s="725">
        <f>SUMIFS('01. KE30'!$I:$I,'01. KE30'!$C:$C,'06. BC BH THEO CUSTOMER-USD'!$D103,'01. KE30'!$F:$F,'06. BC BH THEO CUSTOMER-USD'!$H103,'01. KE30'!$A:$A,'06. BC BH THEO CUSTOMER-USD'!CV$4)/1000</f>
        <v>0</v>
      </c>
      <c r="CW103" s="114">
        <f>SUMIFS('01. KE30'!$I:$I,'01. KE30'!$C:$C,'06. BC BH THEO CUSTOMER-USD'!$D103,'01. KE30'!$F:$F,'06. BC BH THEO CUSTOMER-USD'!$H103,'01. KE30'!$A:$A,'06. BC BH THEO CUSTOMER-USD'!CW$4)/1000</f>
        <v>0</v>
      </c>
      <c r="CX103" s="114">
        <f>SUMIFS('01. KE30'!$I:$I,'01. KE30'!$C:$C,'06. BC BH THEO CUSTOMER-USD'!$D103,'01. KE30'!$F:$F,'06. BC BH THEO CUSTOMER-USD'!$H103,'01. KE30'!$A:$A,'06. BC BH THEO CUSTOMER-USD'!CX$4)/1000</f>
        <v>0.5</v>
      </c>
      <c r="CY103" s="114">
        <f>SUMIFS('01. KE30'!$I:$I,'01. KE30'!$C:$C,'06. BC BH THEO CUSTOMER-USD'!$D103,'01. KE30'!$F:$F,'06. BC BH THEO CUSTOMER-USD'!$H103,'01. KE30'!$A:$A,'06. BC BH THEO CUSTOMER-USD'!CY$4)/1000</f>
        <v>0</v>
      </c>
      <c r="CZ103" s="114">
        <f>SUMIFS('01. KE30'!$I:$I,'01. KE30'!$C:$C,'06. BC BH THEO CUSTOMER-USD'!$D103,'01. KE30'!$F:$F,'06. BC BH THEO CUSTOMER-USD'!$H103,'01. KE30'!$A:$A,'06. BC BH THEO CUSTOMER-USD'!CZ$4)/1000</f>
        <v>2.2000000000000002</v>
      </c>
      <c r="DA103" s="114">
        <f>SUMIFS('01. KE30'!$I:$I,'01. KE30'!$C:$C,'06. BC BH THEO CUSTOMER-USD'!$D103,'01. KE30'!$F:$F,'06. BC BH THEO CUSTOMER-USD'!$H103,'01. KE30'!$A:$A,'06. BC BH THEO CUSTOMER-USD'!DA$4)/1000</f>
        <v>0</v>
      </c>
      <c r="DB103" s="114">
        <f>SUMIFS('01. KE30'!$I:$I,'01. KE30'!$C:$C,'06. BC BH THEO CUSTOMER-USD'!$D103,'01. KE30'!$F:$F,'06. BC BH THEO CUSTOMER-USD'!$H103,'01. KE30'!$A:$A,'06. BC BH THEO CUSTOMER-USD'!DB$4)/1000</f>
        <v>0</v>
      </c>
      <c r="DC103" s="114">
        <f>SUMIFS('01. KE30'!$I:$I,'01. KE30'!$C:$C,'06. BC BH THEO CUSTOMER-USD'!$D103,'01. KE30'!$F:$F,'06. BC BH THEO CUSTOMER-USD'!$H103,'01. KE30'!$A:$A,'06. BC BH THEO CUSTOMER-USD'!DC$4)/1000</f>
        <v>0</v>
      </c>
      <c r="DD103" s="114">
        <f>SUMIFS('01. KE30'!$I:$I,'01. KE30'!$C:$C,'06. BC BH THEO CUSTOMER-USD'!$D103,'01. KE30'!$F:$F,'06. BC BH THEO CUSTOMER-USD'!$H103,'01. KE30'!$A:$A,'06. BC BH THEO CUSTOMER-USD'!DD$4)/1000</f>
        <v>0</v>
      </c>
      <c r="DF103" s="120">
        <f t="shared" si="975"/>
        <v>3446.8775936300444</v>
      </c>
      <c r="DG103" s="54" t="str">
        <f t="shared" si="976"/>
        <v>-</v>
      </c>
      <c r="DH103" s="54" t="str">
        <f t="shared" si="977"/>
        <v>-</v>
      </c>
      <c r="DI103" s="54" t="str">
        <f t="shared" si="978"/>
        <v>-</v>
      </c>
      <c r="DJ103" s="54" t="str">
        <f t="shared" si="979"/>
        <v>-</v>
      </c>
      <c r="DK103" s="54" t="str">
        <f t="shared" si="980"/>
        <v>-</v>
      </c>
      <c r="DL103" s="54">
        <f t="shared" si="981"/>
        <v>631.75154320987656</v>
      </c>
      <c r="DM103" s="54" t="str">
        <f t="shared" si="982"/>
        <v>-</v>
      </c>
      <c r="DN103" s="54">
        <f t="shared" si="983"/>
        <v>2815.1260504201678</v>
      </c>
      <c r="DO103" s="54" t="str">
        <f t="shared" si="984"/>
        <v>-</v>
      </c>
      <c r="DP103" s="54" t="str">
        <f t="shared" si="985"/>
        <v>-</v>
      </c>
      <c r="DQ103" s="54" t="str">
        <f t="shared" si="986"/>
        <v>-</v>
      </c>
      <c r="DR103" s="54" t="str">
        <f t="shared" si="987"/>
        <v>-</v>
      </c>
      <c r="DT103" s="112">
        <f t="shared" si="988"/>
        <v>387.94112789897122</v>
      </c>
      <c r="DU103" s="114">
        <f>IFERROR(SUMIFS('01. KE30'!$X:$X,'01. KE30'!$C:$C,'06. BC BH THEO CUSTOMER-USD'!$D103,'01. KE30'!$F:$F,'06. BC BH THEO CUSTOMER-USD'!$H103,'01. KE30'!$A:$A,'06. BC BH THEO CUSTOMER-USD'!DU$4)-SUMIFS('01. KE30'!$AA:$AA,'01. KE30'!$C:$C,'06. BC BH THEO CUSTOMER-USD'!$D103,'01. KE30'!$F:$F,'06. BC BH THEO CUSTOMER-USD'!$H103,'01. KE30'!$A:$A,'06. BC BH THEO CUSTOMER-USD'!DU$4),"-")</f>
        <v>0</v>
      </c>
      <c r="DV103" s="114">
        <f>IFERROR(SUMIFS('01. KE30'!$X:$X,'01. KE30'!$C:$C,'06. BC BH THEO CUSTOMER-USD'!$D103,'01. KE30'!$F:$F,'06. BC BH THEO CUSTOMER-USD'!$H103,'01. KE30'!$A:$A,'06. BC BH THEO CUSTOMER-USD'!DV$4)-SUMIFS('01. KE30'!$AA:$AA,'01. KE30'!$C:$C,'06. BC BH THEO CUSTOMER-USD'!$D103,'01. KE30'!$F:$F,'06. BC BH THEO CUSTOMER-USD'!$H103,'01. KE30'!$A:$A,'06. BC BH THEO CUSTOMER-USD'!DV$4),"-")</f>
        <v>0</v>
      </c>
      <c r="DW103" s="114">
        <f>IFERROR(SUMIFS('01. KE30'!$X:$X,'01. KE30'!$C:$C,'06. BC BH THEO CUSTOMER-USD'!$D103,'01. KE30'!$F:$F,'06. BC BH THEO CUSTOMER-USD'!$H103,'01. KE30'!$A:$A,'06. BC BH THEO CUSTOMER-USD'!DW$4)-SUMIFS('01. KE30'!$AA:$AA,'01. KE30'!$C:$C,'06. BC BH THEO CUSTOMER-USD'!$D103,'01. KE30'!$F:$F,'06. BC BH THEO CUSTOMER-USD'!$H103,'01. KE30'!$A:$A,'06. BC BH THEO CUSTOMER-USD'!DW$4),"-")</f>
        <v>0</v>
      </c>
      <c r="DX103" s="114">
        <f>IFERROR(SUMIFS('01. KE30'!$X:$X,'01. KE30'!$C:$C,'06. BC BH THEO CUSTOMER-USD'!$D103,'01. KE30'!$F:$F,'06. BC BH THEO CUSTOMER-USD'!$H103,'01. KE30'!$A:$A,'06. BC BH THEO CUSTOMER-USD'!DX$4)-SUMIFS('01. KE30'!$AA:$AA,'01. KE30'!$C:$C,'06. BC BH THEO CUSTOMER-USD'!$D103,'01. KE30'!$F:$F,'06. BC BH THEO CUSTOMER-USD'!$H103,'01. KE30'!$A:$A,'06. BC BH THEO CUSTOMER-USD'!DX$4),"-")</f>
        <v>0</v>
      </c>
      <c r="DY103" s="114">
        <f>IFERROR(SUMIFS('01. KE30'!$X:$X,'01. KE30'!$C:$C,'06. BC BH THEO CUSTOMER-USD'!$D103,'01. KE30'!$F:$F,'06. BC BH THEO CUSTOMER-USD'!$H103,'01. KE30'!$A:$A,'06. BC BH THEO CUSTOMER-USD'!DY$4)-SUMIFS('01. KE30'!$AA:$AA,'01. KE30'!$C:$C,'06. BC BH THEO CUSTOMER-USD'!$D103,'01. KE30'!$F:$F,'06. BC BH THEO CUSTOMER-USD'!$H103,'01. KE30'!$A:$A,'06. BC BH THEO CUSTOMER-USD'!DY$4),"-")</f>
        <v>0</v>
      </c>
      <c r="DZ103" s="114">
        <f>IFERROR(SUMIFS('01. KE30'!$X:$X,'01. KE30'!$C:$C,'06. BC BH THEO CUSTOMER-USD'!$D103,'01. KE30'!$F:$F,'06. BC BH THEO CUSTOMER-USD'!$H103,'01. KE30'!$A:$A,'06. BC BH THEO CUSTOMER-USD'!DZ$4)-SUMIFS('01. KE30'!$AA:$AA,'01. KE30'!$C:$C,'06. BC BH THEO CUSTOMER-USD'!$D103,'01. KE30'!$F:$F,'06. BC BH THEO CUSTOMER-USD'!$H103,'01. KE30'!$A:$A,'06. BC BH THEO CUSTOMER-USD'!DZ$4),"-")</f>
        <v>60.660493827160508</v>
      </c>
      <c r="EA103" s="114">
        <f>IFERROR(SUMIFS('01. KE30'!$X:$X,'01. KE30'!$C:$C,'06. BC BH THEO CUSTOMER-USD'!$D103,'01. KE30'!$F:$F,'06. BC BH THEO CUSTOMER-USD'!$H103,'01. KE30'!$A:$A,'06. BC BH THEO CUSTOMER-USD'!EA$4)-SUMIFS('01. KE30'!$AA:$AA,'01. KE30'!$C:$C,'06. BC BH THEO CUSTOMER-USD'!$D103,'01. KE30'!$F:$F,'06. BC BH THEO CUSTOMER-USD'!$H103,'01. KE30'!$A:$A,'06. BC BH THEO CUSTOMER-USD'!EA$4),"-")</f>
        <v>0</v>
      </c>
      <c r="EB103" s="114">
        <f>IFERROR(SUMIFS('01. KE30'!$X:$X,'01. KE30'!$C:$C,'06. BC BH THEO CUSTOMER-USD'!$D103,'01. KE30'!$F:$F,'06. BC BH THEO CUSTOMER-USD'!$H103,'01. KE30'!$A:$A,'06. BC BH THEO CUSTOMER-USD'!EB$4)-SUMIFS('01. KE30'!$AA:$AA,'01. KE30'!$C:$C,'06. BC BH THEO CUSTOMER-USD'!$D103,'01. KE30'!$F:$F,'06. BC BH THEO CUSTOMER-USD'!$H103,'01. KE30'!$A:$A,'06. BC BH THEO CUSTOMER-USD'!EB$4),"-")</f>
        <v>327.28063407181071</v>
      </c>
      <c r="EC103" s="114">
        <f>IFERROR(SUMIFS('01. KE30'!$X:$X,'01. KE30'!$C:$C,'06. BC BH THEO CUSTOMER-USD'!$D103,'01. KE30'!$F:$F,'06. BC BH THEO CUSTOMER-USD'!$H103,'01. KE30'!$A:$A,'06. BC BH THEO CUSTOMER-USD'!EC$4)-SUMIFS('01. KE30'!$AA:$AA,'01. KE30'!$C:$C,'06. BC BH THEO CUSTOMER-USD'!$D103,'01. KE30'!$F:$F,'06. BC BH THEO CUSTOMER-USD'!$H103,'01. KE30'!$A:$A,'06. BC BH THEO CUSTOMER-USD'!EC$4),"-")</f>
        <v>0</v>
      </c>
      <c r="ED103" s="114">
        <f>IFERROR(SUMIFS('01. KE30'!$X:$X,'01. KE30'!$C:$C,'06. BC BH THEO CUSTOMER-USD'!$D103,'01. KE30'!$F:$F,'06. BC BH THEO CUSTOMER-USD'!$H103,'01. KE30'!$A:$A,'06. BC BH THEO CUSTOMER-USD'!ED$4)-SUMIFS('01. KE30'!$AA:$AA,'01. KE30'!$C:$C,'06. BC BH THEO CUSTOMER-USD'!$D103,'01. KE30'!$F:$F,'06. BC BH THEO CUSTOMER-USD'!$H103,'01. KE30'!$A:$A,'06. BC BH THEO CUSTOMER-USD'!ED$4),"-")</f>
        <v>0</v>
      </c>
      <c r="EE103" s="114">
        <f>IFERROR(SUMIFS('01. KE30'!$X:$X,'01. KE30'!$C:$C,'06. BC BH THEO CUSTOMER-USD'!$D103,'01. KE30'!$F:$F,'06. BC BH THEO CUSTOMER-USD'!$H103,'01. KE30'!$A:$A,'06. BC BH THEO CUSTOMER-USD'!EE$4)-SUMIFS('01. KE30'!$AA:$AA,'01. KE30'!$C:$C,'06. BC BH THEO CUSTOMER-USD'!$D103,'01. KE30'!$F:$F,'06. BC BH THEO CUSTOMER-USD'!$H103,'01. KE30'!$A:$A,'06. BC BH THEO CUSTOMER-USD'!EE$4),"-")</f>
        <v>0</v>
      </c>
      <c r="EF103" s="114">
        <f>IFERROR(SUMIFS('01. KE30'!$X:$X,'01. KE30'!$C:$C,'06. BC BH THEO CUSTOMER-USD'!$D103,'01. KE30'!$F:$F,'06. BC BH THEO CUSTOMER-USD'!$H103,'01. KE30'!$A:$A,'06. BC BH THEO CUSTOMER-USD'!EF$4)-SUMIFS('01. KE30'!$AA:$AA,'01. KE30'!$C:$C,'06. BC BH THEO CUSTOMER-USD'!$D103,'01. KE30'!$F:$F,'06. BC BH THEO CUSTOMER-USD'!$H103,'01. KE30'!$A:$A,'06. BC BH THEO CUSTOMER-USD'!EF$4),"-")</f>
        <v>0</v>
      </c>
      <c r="EH103" s="571">
        <f t="shared" si="989"/>
        <v>0.11254856529164267</v>
      </c>
      <c r="EI103" s="572" t="str">
        <f t="shared" si="990"/>
        <v>-</v>
      </c>
      <c r="EJ103" s="572" t="str">
        <f t="shared" si="991"/>
        <v>-</v>
      </c>
      <c r="EK103" s="572" t="str">
        <f t="shared" si="992"/>
        <v>-</v>
      </c>
      <c r="EL103" s="572" t="str">
        <f t="shared" si="993"/>
        <v>-</v>
      </c>
      <c r="EM103" s="572" t="str">
        <f t="shared" si="994"/>
        <v>-</v>
      </c>
      <c r="EN103" s="572">
        <f t="shared" si="995"/>
        <v>9.6019541984732851E-2</v>
      </c>
      <c r="EO103" s="572" t="str">
        <f t="shared" si="996"/>
        <v>-</v>
      </c>
      <c r="EP103" s="572">
        <f t="shared" si="997"/>
        <v>0.11625789687924024</v>
      </c>
      <c r="EQ103" s="572" t="str">
        <f t="shared" si="998"/>
        <v>-</v>
      </c>
      <c r="ER103" s="572" t="str">
        <f t="shared" si="999"/>
        <v>-</v>
      </c>
      <c r="ES103" s="572" t="str">
        <f t="shared" si="1000"/>
        <v>-</v>
      </c>
      <c r="ET103" s="572" t="str">
        <f t="shared" si="1001"/>
        <v>-</v>
      </c>
    </row>
    <row r="104" spans="1:150" ht="15.5" hidden="1" outlineLevel="1" x14ac:dyDescent="0.35">
      <c r="A104" s="27">
        <f>A102+1</f>
        <v>87</v>
      </c>
      <c r="B104" s="27" t="s">
        <v>283</v>
      </c>
      <c r="C104" s="442" t="s">
        <v>489</v>
      </c>
      <c r="D104" s="9" t="s">
        <v>967</v>
      </c>
      <c r="E104" s="12" t="s">
        <v>968</v>
      </c>
      <c r="F104" s="12" t="s">
        <v>245</v>
      </c>
      <c r="G104" s="12" t="str">
        <f>_xlfn.XLOOKUP(F104,'Quy đổi'!$G$5:$G$32,'Quy đổi'!$H$5:$H$32,0)</f>
        <v>Nội địa</v>
      </c>
      <c r="H104" s="76" t="s">
        <v>918</v>
      </c>
      <c r="I104" s="28" t="s">
        <v>921</v>
      </c>
      <c r="J104" s="6" t="s">
        <v>22</v>
      </c>
      <c r="K104" s="11"/>
      <c r="L104" s="92">
        <f t="shared" ref="L104" si="1004">IFERROR(AVERAGE(M104:X104),"-")</f>
        <v>1306.1851709565885</v>
      </c>
      <c r="M104" s="106" t="str">
        <f>IFERROR(SUMIFS('01. KE30'!$K:$K,'01. KE30'!$C:$C,'06. BC BH THEO CUSTOMER-USD'!$D104,'01. KE30'!$F:$F,'06. BC BH THEO CUSTOMER-USD'!$H104,'01. KE30'!$A:$A,'06. BC BH THEO CUSTOMER-USD'!M$4)/'06. BC BH THEO CUSTOMER-USD'!CS104/'02. Tỷ giá'!B$5,"-")</f>
        <v>-</v>
      </c>
      <c r="N104" s="106" t="str">
        <f>IFERROR(SUMIFS('01. KE30'!$K:$K,'01. KE30'!$C:$C,'06. BC BH THEO CUSTOMER-USD'!$D104,'01. KE30'!$F:$F,'06. BC BH THEO CUSTOMER-USD'!$H104,'01. KE30'!$A:$A,'06. BC BH THEO CUSTOMER-USD'!N$4)/'06. BC BH THEO CUSTOMER-USD'!CT104/'02. Tỷ giá'!C$5,"-")</f>
        <v>-</v>
      </c>
      <c r="O104" s="106" t="str">
        <f>IFERROR(SUMIFS('01. KE30'!$K:$K,'01. KE30'!$C:$C,'06. BC BH THEO CUSTOMER-USD'!$D104,'01. KE30'!$F:$F,'06. BC BH THEO CUSTOMER-USD'!$H104,'01. KE30'!$A:$A,'06. BC BH THEO CUSTOMER-USD'!O$4)/'06. BC BH THEO CUSTOMER-USD'!CU104/'02. Tỷ giá'!D$5,"-")</f>
        <v>-</v>
      </c>
      <c r="P104" s="106" t="str">
        <f>IFERROR(SUMIFS('01. KE30'!$K:$K,'01. KE30'!$C:$C,'06. BC BH THEO CUSTOMER-USD'!$D104,'01. KE30'!$F:$F,'06. BC BH THEO CUSTOMER-USD'!$H104,'01. KE30'!$A:$A,'06. BC BH THEO CUSTOMER-USD'!P$4)/'06. BC BH THEO CUSTOMER-USD'!CV104/'02. Tỷ giá'!E$5,"-")</f>
        <v>-</v>
      </c>
      <c r="Q104" s="106" t="str">
        <f>IFERROR(SUMIFS('01. KE30'!$K:$K,'01. KE30'!$C:$C,'06. BC BH THEO CUSTOMER-USD'!$D104,'01. KE30'!$F:$F,'06. BC BH THEO CUSTOMER-USD'!$H104,'01. KE30'!$A:$A,'06. BC BH THEO CUSTOMER-USD'!Q$4)/'06. BC BH THEO CUSTOMER-USD'!CW104/'02. Tỷ giá'!F$5,"-")</f>
        <v>-</v>
      </c>
      <c r="R104" s="106" t="str">
        <f>IFERROR(SUMIFS('01. KE30'!$K:$K,'01. KE30'!$C:$C,'06. BC BH THEO CUSTOMER-USD'!$D104,'01. KE30'!$F:$F,'06. BC BH THEO CUSTOMER-USD'!$H104,'01. KE30'!$A:$A,'06. BC BH THEO CUSTOMER-USD'!R$4)/'06. BC BH THEO CUSTOMER-USD'!CX104/'02. Tỷ giá'!G$5,"-")</f>
        <v>-</v>
      </c>
      <c r="S104" s="106">
        <f>IFERROR(SUMIFS('01. KE30'!$K:$K,'01. KE30'!$C:$C,'06. BC BH THEO CUSTOMER-USD'!$D104,'01. KE30'!$F:$F,'06. BC BH THEO CUSTOMER-USD'!$H104,'01. KE30'!$A:$A,'06. BC BH THEO CUSTOMER-USD'!S$4)/'06. BC BH THEO CUSTOMER-USD'!CY104/'02. Tỷ giá'!H$5,"-")</f>
        <v>1306.1851709565885</v>
      </c>
      <c r="T104" s="106" t="str">
        <f>IFERROR(SUMIFS('01. KE30'!$K:$K,'01. KE30'!$C:$C,'06. BC BH THEO CUSTOMER-USD'!$D104,'01. KE30'!$F:$F,'06. BC BH THEO CUSTOMER-USD'!$H104,'01. KE30'!$A:$A,'06. BC BH THEO CUSTOMER-USD'!T$4)/'06. BC BH THEO CUSTOMER-USD'!CZ104/'02. Tỷ giá'!I$5,"-")</f>
        <v>-</v>
      </c>
      <c r="U104" s="106" t="str">
        <f>IFERROR(SUMIFS('01. KE30'!$K:$K,'01. KE30'!$C:$C,'06. BC BH THEO CUSTOMER-USD'!$D104,'01. KE30'!$F:$F,'06. BC BH THEO CUSTOMER-USD'!$H104,'01. KE30'!$A:$A,'06. BC BH THEO CUSTOMER-USD'!U$4)/'06. BC BH THEO CUSTOMER-USD'!DA104/'02. Tỷ giá'!J$5,"-")</f>
        <v>-</v>
      </c>
      <c r="V104" s="106" t="str">
        <f>IFERROR(SUMIFS('01. KE30'!$K:$K,'01. KE30'!$C:$C,'06. BC BH THEO CUSTOMER-USD'!$D104,'01. KE30'!$F:$F,'06. BC BH THEO CUSTOMER-USD'!$H104,'01. KE30'!$A:$A,'06. BC BH THEO CUSTOMER-USD'!V$4)/'06. BC BH THEO CUSTOMER-USD'!DB104/'02. Tỷ giá'!K$5,"-")</f>
        <v>-</v>
      </c>
      <c r="W104" s="106" t="str">
        <f>IFERROR(SUMIFS('01. KE30'!$K:$K,'01. KE30'!$C:$C,'06. BC BH THEO CUSTOMER-USD'!$D104,'01. KE30'!$F:$F,'06. BC BH THEO CUSTOMER-USD'!$H104,'01. KE30'!$A:$A,'06. BC BH THEO CUSTOMER-USD'!W$4)/'06. BC BH THEO CUSTOMER-USD'!DC104/'02. Tỷ giá'!L$5,"-")</f>
        <v>-</v>
      </c>
      <c r="X104" s="106" t="str">
        <f>IFERROR(SUMIFS('01. KE30'!$K:$K,'01. KE30'!$C:$C,'06. BC BH THEO CUSTOMER-USD'!$D104,'01. KE30'!$F:$F,'06. BC BH THEO CUSTOMER-USD'!$H104,'01. KE30'!$A:$A,'06. BC BH THEO CUSTOMER-USD'!X$4)/'06. BC BH THEO CUSTOMER-USD'!DD104/'02. Tỷ giá'!M$5,"-")</f>
        <v>-</v>
      </c>
      <c r="Z104" s="92">
        <f t="shared" ref="Z104" si="1005">IFERROR(AVERAGE(AA104:AL104),"-")</f>
        <v>1306.1851709565885</v>
      </c>
      <c r="AA104" s="147" t="str">
        <f>IFERROR(SUMIFS('01. KE30'!$O:$O,'01. KE30'!$C:$C,'06. BC BH THEO CUSTOMER-USD'!$D104,'01. KE30'!$F:$F,'06. BC BH THEO CUSTOMER-USD'!$H104,'01. KE30'!$A:$A,'06. BC BH THEO CUSTOMER-USD'!M$4)/'06. BC BH THEO CUSTOMER-USD'!CS104/'02. Tỷ giá'!B$5,"-")</f>
        <v>-</v>
      </c>
      <c r="AB104" s="147" t="str">
        <f>IFERROR(SUMIFS('01. KE30'!$O:$O,'01. KE30'!$C:$C,'06. BC BH THEO CUSTOMER-USD'!$D104,'01. KE30'!$F:$F,'06. BC BH THEO CUSTOMER-USD'!$H104,'01. KE30'!$A:$A,'06. BC BH THEO CUSTOMER-USD'!N$4)/'06. BC BH THEO CUSTOMER-USD'!CT104/'02. Tỷ giá'!C$5,"-")</f>
        <v>-</v>
      </c>
      <c r="AC104" s="147" t="str">
        <f>IFERROR(SUMIFS('01. KE30'!$O:$O,'01. KE30'!$C:$C,'06. BC BH THEO CUSTOMER-USD'!$D104,'01. KE30'!$F:$F,'06. BC BH THEO CUSTOMER-USD'!$H104,'01. KE30'!$A:$A,'06. BC BH THEO CUSTOMER-USD'!O$4)/'06. BC BH THEO CUSTOMER-USD'!CU104/'02. Tỷ giá'!D$5,"-")</f>
        <v>-</v>
      </c>
      <c r="AD104" s="147" t="str">
        <f>IFERROR(SUMIFS('01. KE30'!$O:$O,'01. KE30'!$C:$C,'06. BC BH THEO CUSTOMER-USD'!$D104,'01. KE30'!$F:$F,'06. BC BH THEO CUSTOMER-USD'!$H104,'01. KE30'!$A:$A,'06. BC BH THEO CUSTOMER-USD'!P$4)/'06. BC BH THEO CUSTOMER-USD'!CV104/'02. Tỷ giá'!E$5,"-")</f>
        <v>-</v>
      </c>
      <c r="AE104" s="147" t="str">
        <f>IFERROR(SUMIFS('01. KE30'!$O:$O,'01. KE30'!$C:$C,'06. BC BH THEO CUSTOMER-USD'!$D104,'01. KE30'!$F:$F,'06. BC BH THEO CUSTOMER-USD'!$H104,'01. KE30'!$A:$A,'06. BC BH THEO CUSTOMER-USD'!Q$4)/'06. BC BH THEO CUSTOMER-USD'!CW104/'02. Tỷ giá'!F$5,"-")</f>
        <v>-</v>
      </c>
      <c r="AF104" s="147" t="str">
        <f>IFERROR(SUMIFS('01. KE30'!$O:$O,'01. KE30'!$C:$C,'06. BC BH THEO CUSTOMER-USD'!$D104,'01. KE30'!$F:$F,'06. BC BH THEO CUSTOMER-USD'!$H104,'01. KE30'!$A:$A,'06. BC BH THEO CUSTOMER-USD'!R$4)/'06. BC BH THEO CUSTOMER-USD'!CX104/'02. Tỷ giá'!G$5,"-")</f>
        <v>-</v>
      </c>
      <c r="AG104" s="147">
        <f>IFERROR(SUMIFS('01. KE30'!$O:$O,'01. KE30'!$C:$C,'06. BC BH THEO CUSTOMER-USD'!$D104,'01. KE30'!$F:$F,'06. BC BH THEO CUSTOMER-USD'!$H104,'01. KE30'!$A:$A,'06. BC BH THEO CUSTOMER-USD'!S$4)/'06. BC BH THEO CUSTOMER-USD'!CY104/'02. Tỷ giá'!H$5,"-")</f>
        <v>1306.1851709565885</v>
      </c>
      <c r="AH104" s="147" t="str">
        <f>IFERROR(SUMIFS('01. KE30'!$O:$O,'01. KE30'!$C:$C,'06. BC BH THEO CUSTOMER-USD'!$D104,'01. KE30'!$F:$F,'06. BC BH THEO CUSTOMER-USD'!$H104,'01. KE30'!$A:$A,'06. BC BH THEO CUSTOMER-USD'!T$4)/'06. BC BH THEO CUSTOMER-USD'!CZ104/'02. Tỷ giá'!I$5,"-")</f>
        <v>-</v>
      </c>
      <c r="AI104" s="147" t="str">
        <f>IFERROR(SUMIFS('01. KE30'!$O:$O,'01. KE30'!$C:$C,'06. BC BH THEO CUSTOMER-USD'!$D104,'01. KE30'!$F:$F,'06. BC BH THEO CUSTOMER-USD'!$H104,'01. KE30'!$A:$A,'06. BC BH THEO CUSTOMER-USD'!U$4)/'06. BC BH THEO CUSTOMER-USD'!DA104/'02. Tỷ giá'!J$5,"-")</f>
        <v>-</v>
      </c>
      <c r="AJ104" s="147" t="str">
        <f>IFERROR(SUMIFS('01. KE30'!$O:$O,'01. KE30'!$C:$C,'06. BC BH THEO CUSTOMER-USD'!$D104,'01. KE30'!$F:$F,'06. BC BH THEO CUSTOMER-USD'!$H104,'01. KE30'!$A:$A,'06. BC BH THEO CUSTOMER-USD'!V$4)/'06. BC BH THEO CUSTOMER-USD'!DB104/'02. Tỷ giá'!K$5,"-")</f>
        <v>-</v>
      </c>
      <c r="AK104" s="147" t="str">
        <f>IFERROR(SUMIFS('01. KE30'!$O:$O,'01. KE30'!$C:$C,'06. BC BH THEO CUSTOMER-USD'!$D104,'01. KE30'!$F:$F,'06. BC BH THEO CUSTOMER-USD'!$H104,'01. KE30'!$A:$A,'06. BC BH THEO CUSTOMER-USD'!W$4)/'06. BC BH THEO CUSTOMER-USD'!DC104/'02. Tỷ giá'!L$5,"-")</f>
        <v>-</v>
      </c>
      <c r="AL104" s="147" t="str">
        <f>IFERROR(SUMIFS('01. KE30'!$O:$O,'01. KE30'!$C:$C,'06. BC BH THEO CUSTOMER-USD'!$D104,'01. KE30'!$F:$F,'06. BC BH THEO CUSTOMER-USD'!$H104,'01. KE30'!$A:$A,'06. BC BH THEO CUSTOMER-USD'!X$4)/'06. BC BH THEO CUSTOMER-USD'!DD104/'02. Tỷ giá'!M$5,"-")</f>
        <v>-</v>
      </c>
      <c r="AN104" s="92">
        <f t="shared" ref="AN104" si="1006">IFERROR(AVERAGE(AO104:AZ104),"-")</f>
        <v>1260</v>
      </c>
      <c r="AO104" s="25"/>
      <c r="AP104" s="25"/>
      <c r="AQ104" s="4"/>
      <c r="AR104" s="4"/>
      <c r="AS104" s="4"/>
      <c r="AT104" s="4"/>
      <c r="AU104" s="4">
        <v>1280</v>
      </c>
      <c r="AV104" s="4">
        <f t="shared" si="205"/>
        <v>1250</v>
      </c>
      <c r="AW104" s="25">
        <v>1250</v>
      </c>
      <c r="AX104" s="25"/>
      <c r="AY104" s="4"/>
      <c r="AZ104" s="4"/>
      <c r="BB104" s="95">
        <f t="shared" ref="BB104" si="1007">IF(L104&lt;&gt;"-",Z104-AN104,"-")</f>
        <v>46.185170956588536</v>
      </c>
      <c r="BC104" s="95" t="str">
        <f t="shared" ref="BC104" si="1008">IF(M104&lt;&gt;"-",AA104-AO104,"-")</f>
        <v>-</v>
      </c>
      <c r="BD104" s="95" t="str">
        <f t="shared" ref="BD104" si="1009">IF(N104&lt;&gt;"-",AB104-AP104,"-")</f>
        <v>-</v>
      </c>
      <c r="BE104" s="95" t="str">
        <f t="shared" ref="BE104" si="1010">IF(O104&lt;&gt;"-",AC104-AQ104,"-")</f>
        <v>-</v>
      </c>
      <c r="BF104" s="95" t="str">
        <f t="shared" ref="BF104" si="1011">IF(P104&lt;&gt;"-",AD104-AR104,"-")</f>
        <v>-</v>
      </c>
      <c r="BG104" s="95" t="str">
        <f t="shared" ref="BG104" si="1012">IF(Q104&lt;&gt;"-",AE104-AS104,"-")</f>
        <v>-</v>
      </c>
      <c r="BH104" s="95" t="str">
        <f t="shared" ref="BH104" si="1013">IF(R104&lt;&gt;"-",AF104-AT104,"-")</f>
        <v>-</v>
      </c>
      <c r="BI104" s="95">
        <f t="shared" ref="BI104" si="1014">IF(S104&lt;&gt;"-",AG104-AU104,"-")</f>
        <v>26.185170956588536</v>
      </c>
      <c r="BJ104" s="95" t="str">
        <f t="shared" ref="BJ104" si="1015">IF(T104&lt;&gt;"-",AH104-AV104,"-")</f>
        <v>-</v>
      </c>
      <c r="BK104" s="95" t="str">
        <f t="shared" ref="BK104" si="1016">IF(U104&lt;&gt;"-",AI104-AW104,"-")</f>
        <v>-</v>
      </c>
      <c r="BL104" s="95" t="str">
        <f t="shared" ref="BL104" si="1017">IF(V104&lt;&gt;"-",AJ104-AX104,"-")</f>
        <v>-</v>
      </c>
      <c r="BM104" s="95" t="str">
        <f t="shared" ref="BM104" si="1018">IF(W104&lt;&gt;"-",AK104-AY104,"-")</f>
        <v>-</v>
      </c>
      <c r="BN104" s="95" t="str">
        <f t="shared" ref="BN104" si="1019">IF(X104&lt;&gt;"-",AL104-AZ104,"-")</f>
        <v>-</v>
      </c>
      <c r="BP104" s="143">
        <f t="shared" ref="BP104" si="1020">IFERROR(IF(BB104&lt;&gt;"-",BB104/AN104,"-"),"-")</f>
        <v>3.6654897584594073E-2</v>
      </c>
      <c r="BQ104" s="143" t="str">
        <f t="shared" ref="BQ104" si="1021">IFERROR(IF(BC104&lt;&gt;"-",BC104/AO104,"-"),"-")</f>
        <v>-</v>
      </c>
      <c r="BR104" s="143" t="str">
        <f t="shared" ref="BR104" si="1022">IFERROR(IF(BD104&lt;&gt;"-",BD104/AP104,"-"),"-")</f>
        <v>-</v>
      </c>
      <c r="BS104" s="143" t="str">
        <f t="shared" ref="BS104" si="1023">IFERROR(IF(BE104&lt;&gt;"-",BE104/AQ104,"-"),"-")</f>
        <v>-</v>
      </c>
      <c r="BT104" s="143" t="str">
        <f t="shared" ref="BT104" si="1024">IFERROR(IF(BF104&lt;&gt;"-",BF104/AR104,"-"),"-")</f>
        <v>-</v>
      </c>
      <c r="BU104" s="143" t="str">
        <f t="shared" ref="BU104" si="1025">IFERROR(IF(BG104&lt;&gt;"-",BG104/AS104,"-"),"-")</f>
        <v>-</v>
      </c>
      <c r="BV104" s="143" t="str">
        <f t="shared" ref="BV104" si="1026">IFERROR(IF(BH104&lt;&gt;"-",BH104/AT104,"-"),"-")</f>
        <v>-</v>
      </c>
      <c r="BW104" s="143">
        <f t="shared" ref="BW104" si="1027">IFERROR(IF(BI104&lt;&gt;"-",BI104/AU104,"-"),"-")</f>
        <v>2.0457164809834793E-2</v>
      </c>
      <c r="BX104" s="143" t="str">
        <f t="shared" ref="BX104" si="1028">IFERROR(IF(BJ104&lt;&gt;"-",BJ104/AV104,"-"),"-")</f>
        <v>-</v>
      </c>
      <c r="BY104" s="143" t="str">
        <f t="shared" ref="BY104" si="1029">IFERROR(IF(BK104&lt;&gt;"-",BK104/AW104,"-"),"-")</f>
        <v>-</v>
      </c>
      <c r="BZ104" s="143" t="str">
        <f t="shared" ref="BZ104" si="1030">IFERROR(IF(BL104&lt;&gt;"-",BL104/AX104,"-"),"-")</f>
        <v>-</v>
      </c>
      <c r="CA104" s="143" t="str">
        <f t="shared" ref="CA104" si="1031">IFERROR(IF(BM104&lt;&gt;"-",BM104/AY104,"-"),"-")</f>
        <v>-</v>
      </c>
      <c r="CB104" s="143" t="str">
        <f t="shared" ref="CB104" si="1032">IFERROR(IF(BN104&lt;&gt;"-",BN104/AZ104,"-"),"-")</f>
        <v>-</v>
      </c>
      <c r="CD104" s="112">
        <f t="shared" ref="CD104" si="1033">IFERROR(AVERAGE(CE104:CP104),"-")</f>
        <v>1137.3556153156615</v>
      </c>
      <c r="CE104" s="95" t="str">
        <f>IFERROR(SUMIFS('01. KE30'!$R:$R,'01. KE30'!$C:$C,'06. BC BH THEO CUSTOMER-USD'!$D104,'01. KE30'!$F:$F,'06. BC BH THEO CUSTOMER-USD'!$H104,'01. KE30'!$A:$A,'06. BC BH THEO CUSTOMER-USD'!CE$4)/CS104/'02. Tỷ giá'!B$5," -")</f>
        <v xml:space="preserve"> -</v>
      </c>
      <c r="CF104" s="95" t="str">
        <f>IFERROR(SUMIFS('01. KE30'!$R:$R,'01. KE30'!$C:$C,'06. BC BH THEO CUSTOMER-USD'!$D104,'01. KE30'!$F:$F,'06. BC BH THEO CUSTOMER-USD'!$H104,'01. KE30'!$A:$A,'06. BC BH THEO CUSTOMER-USD'!CF$4)/CT104/'02. Tỷ giá'!C$5," -")</f>
        <v xml:space="preserve"> -</v>
      </c>
      <c r="CG104" s="95" t="str">
        <f>IFERROR(SUMIFS('01. KE30'!$R:$R,'01. KE30'!$C:$C,'06. BC BH THEO CUSTOMER-USD'!$D104,'01. KE30'!$F:$F,'06. BC BH THEO CUSTOMER-USD'!$H104,'01. KE30'!$A:$A,'06. BC BH THEO CUSTOMER-USD'!CG$4)/CU104/'02. Tỷ giá'!D$5," -")</f>
        <v xml:space="preserve"> -</v>
      </c>
      <c r="CH104" s="95" t="str">
        <f>IFERROR(SUMIFS('01. KE30'!$R:$R,'01. KE30'!$C:$C,'06. BC BH THEO CUSTOMER-USD'!$D104,'01. KE30'!$F:$F,'06. BC BH THEO CUSTOMER-USD'!$H104,'01. KE30'!$A:$A,'06. BC BH THEO CUSTOMER-USD'!CH$4)/CV104/'02. Tỷ giá'!E$5," -")</f>
        <v xml:space="preserve"> -</v>
      </c>
      <c r="CI104" s="95" t="str">
        <f>IFERROR(SUMIFS('01. KE30'!$R:$R,'01. KE30'!$C:$C,'06. BC BH THEO CUSTOMER-USD'!$D104,'01. KE30'!$F:$F,'06. BC BH THEO CUSTOMER-USD'!$H104,'01. KE30'!$A:$A,'06. BC BH THEO CUSTOMER-USD'!CI$4)/CW104/'02. Tỷ giá'!F$5," -")</f>
        <v xml:space="preserve"> -</v>
      </c>
      <c r="CJ104" s="95" t="str">
        <f>IFERROR(SUMIFS('01. KE30'!$R:$R,'01. KE30'!$C:$C,'06. BC BH THEO CUSTOMER-USD'!$D104,'01. KE30'!$F:$F,'06. BC BH THEO CUSTOMER-USD'!$H104,'01. KE30'!$A:$A,'06. BC BH THEO CUSTOMER-USD'!CJ$4)/CX104/'02. Tỷ giá'!G$5," -")</f>
        <v xml:space="preserve"> -</v>
      </c>
      <c r="CK104" s="95">
        <f>IFERROR(SUMIFS('01. KE30'!$R:$R,'01. KE30'!$C:$C,'06. BC BH THEO CUSTOMER-USD'!$D104,'01. KE30'!$F:$F,'06. BC BH THEO CUSTOMER-USD'!$H104,'01. KE30'!$A:$A,'06. BC BH THEO CUSTOMER-USD'!CK$4)/CY104/'02. Tỷ giá'!H$5," -")</f>
        <v>1137.3556153156615</v>
      </c>
      <c r="CL104" s="95" t="str">
        <f>IFERROR(SUMIFS('01. KE30'!$R:$R,'01. KE30'!$C:$C,'06. BC BH THEO CUSTOMER-USD'!$D104,'01. KE30'!$F:$F,'06. BC BH THEO CUSTOMER-USD'!$H104,'01. KE30'!$A:$A,'06. BC BH THEO CUSTOMER-USD'!CL$4)/CZ104/'02. Tỷ giá'!I$5," -")</f>
        <v xml:space="preserve"> -</v>
      </c>
      <c r="CM104" s="95" t="str">
        <f>IFERROR(SUMIFS('01. KE30'!$R:$R,'01. KE30'!$C:$C,'06. BC BH THEO CUSTOMER-USD'!$D104,'01. KE30'!$F:$F,'06. BC BH THEO CUSTOMER-USD'!$H104,'01. KE30'!$A:$A,'06. BC BH THEO CUSTOMER-USD'!CM$4)/DA104/'02. Tỷ giá'!J$5," -")</f>
        <v xml:space="preserve"> -</v>
      </c>
      <c r="CN104" s="95" t="str">
        <f>IFERROR(SUMIFS('01. KE30'!$R:$R,'01. KE30'!$C:$C,'06. BC BH THEO CUSTOMER-USD'!$D104,'01. KE30'!$F:$F,'06. BC BH THEO CUSTOMER-USD'!$H104,'01. KE30'!$A:$A,'06. BC BH THEO CUSTOMER-USD'!CN$4)/DB104/'02. Tỷ giá'!K$5," -")</f>
        <v xml:space="preserve"> -</v>
      </c>
      <c r="CO104" s="95" t="str">
        <f>IFERROR(SUMIFS('01. KE30'!$R:$R,'01. KE30'!$C:$C,'06. BC BH THEO CUSTOMER-USD'!$D104,'01. KE30'!$F:$F,'06. BC BH THEO CUSTOMER-USD'!$H104,'01. KE30'!$A:$A,'06. BC BH THEO CUSTOMER-USD'!CO$4)/DC104/'02. Tỷ giá'!L$5," -")</f>
        <v xml:space="preserve"> -</v>
      </c>
      <c r="CP104" s="95" t="str">
        <f>IFERROR(SUMIFS('01. KE30'!$R:$R,'01. KE30'!$C:$C,'06. BC BH THEO CUSTOMER-USD'!$D104,'01. KE30'!$F:$F,'06. BC BH THEO CUSTOMER-USD'!$H104,'01. KE30'!$A:$A,'06. BC BH THEO CUSTOMER-USD'!CP$4)/DD104/'02. Tỷ giá'!M$5," -")</f>
        <v xml:space="preserve"> -</v>
      </c>
      <c r="CR104" s="112">
        <f t="shared" ref="CR104" si="1034">SUM(CS104:DD104)</f>
        <v>0.03</v>
      </c>
      <c r="CS104" s="114">
        <f>SUMIFS('01. KE30'!$I:$I,'01. KE30'!$C:$C,'06. BC BH THEO CUSTOMER-USD'!$D104,'01. KE30'!$F:$F,'06. BC BH THEO CUSTOMER-USD'!$H104,'01. KE30'!$A:$A,'06. BC BH THEO CUSTOMER-USD'!CS$4)/1000</f>
        <v>0</v>
      </c>
      <c r="CT104" s="114">
        <f>SUMIFS('01. KE30'!$I:$I,'01. KE30'!$C:$C,'06. BC BH THEO CUSTOMER-USD'!$D104,'01. KE30'!$F:$F,'06. BC BH THEO CUSTOMER-USD'!$H104,'01. KE30'!$A:$A,'06. BC BH THEO CUSTOMER-USD'!CT$4)/1000</f>
        <v>0</v>
      </c>
      <c r="CU104" s="114">
        <f>SUMIFS('01. KE30'!$I:$I,'01. KE30'!$C:$C,'06. BC BH THEO CUSTOMER-USD'!$D104,'01. KE30'!$F:$F,'06. BC BH THEO CUSTOMER-USD'!$H104,'01. KE30'!$A:$A,'06. BC BH THEO CUSTOMER-USD'!CU$4)/1000</f>
        <v>0</v>
      </c>
      <c r="CV104" s="725">
        <f>SUMIFS('01. KE30'!$I:$I,'01. KE30'!$C:$C,'06. BC BH THEO CUSTOMER-USD'!$D104,'01. KE30'!$F:$F,'06. BC BH THEO CUSTOMER-USD'!$H104,'01. KE30'!$A:$A,'06. BC BH THEO CUSTOMER-USD'!CV$4)/1000</f>
        <v>0</v>
      </c>
      <c r="CW104" s="114">
        <f>SUMIFS('01. KE30'!$I:$I,'01. KE30'!$C:$C,'06. BC BH THEO CUSTOMER-USD'!$D104,'01. KE30'!$F:$F,'06. BC BH THEO CUSTOMER-USD'!$H104,'01. KE30'!$A:$A,'06. BC BH THEO CUSTOMER-USD'!CW$4)/1000</f>
        <v>0</v>
      </c>
      <c r="CX104" s="114">
        <f>SUMIFS('01. KE30'!$I:$I,'01. KE30'!$C:$C,'06. BC BH THEO CUSTOMER-USD'!$D104,'01. KE30'!$F:$F,'06. BC BH THEO CUSTOMER-USD'!$H104,'01. KE30'!$A:$A,'06. BC BH THEO CUSTOMER-USD'!CX$4)/1000</f>
        <v>0</v>
      </c>
      <c r="CY104" s="114">
        <f>SUMIFS('01. KE30'!$I:$I,'01. KE30'!$C:$C,'06. BC BH THEO CUSTOMER-USD'!$D104,'01. KE30'!$F:$F,'06. BC BH THEO CUSTOMER-USD'!$H104,'01. KE30'!$A:$A,'06. BC BH THEO CUSTOMER-USD'!CY$4)/1000</f>
        <v>0.03</v>
      </c>
      <c r="CZ104" s="114">
        <f>SUMIFS('01. KE30'!$I:$I,'01. KE30'!$C:$C,'06. BC BH THEO CUSTOMER-USD'!$D104,'01. KE30'!$F:$F,'06. BC BH THEO CUSTOMER-USD'!$H104,'01. KE30'!$A:$A,'06. BC BH THEO CUSTOMER-USD'!CZ$4)/1000</f>
        <v>0</v>
      </c>
      <c r="DA104" s="114">
        <f>SUMIFS('01. KE30'!$I:$I,'01. KE30'!$C:$C,'06. BC BH THEO CUSTOMER-USD'!$D104,'01. KE30'!$F:$F,'06. BC BH THEO CUSTOMER-USD'!$H104,'01. KE30'!$A:$A,'06. BC BH THEO CUSTOMER-USD'!DA$4)/1000</f>
        <v>0</v>
      </c>
      <c r="DB104" s="114">
        <f>SUMIFS('01. KE30'!$I:$I,'01. KE30'!$C:$C,'06. BC BH THEO CUSTOMER-USD'!$D104,'01. KE30'!$F:$F,'06. BC BH THEO CUSTOMER-USD'!$H104,'01. KE30'!$A:$A,'06. BC BH THEO CUSTOMER-USD'!DB$4)/1000</f>
        <v>0</v>
      </c>
      <c r="DC104" s="114">
        <f>SUMIFS('01. KE30'!$I:$I,'01. KE30'!$C:$C,'06. BC BH THEO CUSTOMER-USD'!$D104,'01. KE30'!$F:$F,'06. BC BH THEO CUSTOMER-USD'!$H104,'01. KE30'!$A:$A,'06. BC BH THEO CUSTOMER-USD'!DC$4)/1000</f>
        <v>0</v>
      </c>
      <c r="DD104" s="114">
        <f>SUMIFS('01. KE30'!$I:$I,'01. KE30'!$C:$C,'06. BC BH THEO CUSTOMER-USD'!$D104,'01. KE30'!$F:$F,'06. BC BH THEO CUSTOMER-USD'!$H104,'01. KE30'!$A:$A,'06. BC BH THEO CUSTOMER-USD'!DD$4)/1000</f>
        <v>0</v>
      </c>
      <c r="DF104" s="120">
        <f t="shared" ref="DF104" si="1035">SUM(DG104:DR104)</f>
        <v>39.185555128697658</v>
      </c>
      <c r="DG104" s="54" t="str">
        <f t="shared" ref="DG104" si="1036">IFERROR(M104*CS104,"-")</f>
        <v>-</v>
      </c>
      <c r="DH104" s="54" t="str">
        <f t="shared" ref="DH104" si="1037">IFERROR(N104*CT104,"-")</f>
        <v>-</v>
      </c>
      <c r="DI104" s="54" t="str">
        <f t="shared" ref="DI104" si="1038">IFERROR(O104*CU104,"-")</f>
        <v>-</v>
      </c>
      <c r="DJ104" s="54" t="str">
        <f t="shared" ref="DJ104" si="1039">IFERROR(P104*CV104,"-")</f>
        <v>-</v>
      </c>
      <c r="DK104" s="54" t="str">
        <f t="shared" ref="DK104" si="1040">IFERROR(Q104*CW104,"-")</f>
        <v>-</v>
      </c>
      <c r="DL104" s="54" t="str">
        <f t="shared" ref="DL104" si="1041">IFERROR(R104*CX104,"-")</f>
        <v>-</v>
      </c>
      <c r="DM104" s="54">
        <f t="shared" ref="DM104" si="1042">IFERROR(S104*CY104,"-")</f>
        <v>39.185555128697658</v>
      </c>
      <c r="DN104" s="54" t="str">
        <f t="shared" ref="DN104" si="1043">IFERROR(T104*CZ104,"-")</f>
        <v>-</v>
      </c>
      <c r="DO104" s="54" t="str">
        <f t="shared" ref="DO104" si="1044">IFERROR(U104*DA104,"-")</f>
        <v>-</v>
      </c>
      <c r="DP104" s="54" t="str">
        <f t="shared" ref="DP104" si="1045">IFERROR(V104*DB104,"-")</f>
        <v>-</v>
      </c>
      <c r="DQ104" s="54" t="str">
        <f t="shared" ref="DQ104" si="1046">IFERROR(W104*DC104,"-")</f>
        <v>-</v>
      </c>
      <c r="DR104" s="54" t="str">
        <f t="shared" ref="DR104" si="1047">IFERROR(X104*DD104,"-")</f>
        <v>-</v>
      </c>
      <c r="DT104" s="112">
        <f t="shared" ref="DT104" si="1048">SUM(DU104:EF104)</f>
        <v>5.0648866692278176</v>
      </c>
      <c r="DU104" s="114">
        <f>IFERROR(SUMIFS('01. KE30'!$X:$X,'01. KE30'!$C:$C,'06. BC BH THEO CUSTOMER-USD'!$D104,'01. KE30'!$F:$F,'06. BC BH THEO CUSTOMER-USD'!$H104,'01. KE30'!$A:$A,'06. BC BH THEO CUSTOMER-USD'!DU$4)-SUMIFS('01. KE30'!$AA:$AA,'01. KE30'!$C:$C,'06. BC BH THEO CUSTOMER-USD'!$D104,'01. KE30'!$F:$F,'06. BC BH THEO CUSTOMER-USD'!$H104,'01. KE30'!$A:$A,'06. BC BH THEO CUSTOMER-USD'!DU$4),"-")</f>
        <v>0</v>
      </c>
      <c r="DV104" s="114">
        <f>IFERROR(SUMIFS('01. KE30'!$X:$X,'01. KE30'!$C:$C,'06. BC BH THEO CUSTOMER-USD'!$D104,'01. KE30'!$F:$F,'06. BC BH THEO CUSTOMER-USD'!$H104,'01. KE30'!$A:$A,'06. BC BH THEO CUSTOMER-USD'!DV$4)-SUMIFS('01. KE30'!$AA:$AA,'01. KE30'!$C:$C,'06. BC BH THEO CUSTOMER-USD'!$D104,'01. KE30'!$F:$F,'06. BC BH THEO CUSTOMER-USD'!$H104,'01. KE30'!$A:$A,'06. BC BH THEO CUSTOMER-USD'!DV$4),"-")</f>
        <v>0</v>
      </c>
      <c r="DW104" s="114">
        <f>IFERROR(SUMIFS('01. KE30'!$X:$X,'01. KE30'!$C:$C,'06. BC BH THEO CUSTOMER-USD'!$D104,'01. KE30'!$F:$F,'06. BC BH THEO CUSTOMER-USD'!$H104,'01. KE30'!$A:$A,'06. BC BH THEO CUSTOMER-USD'!DW$4)-SUMIFS('01. KE30'!$AA:$AA,'01. KE30'!$C:$C,'06. BC BH THEO CUSTOMER-USD'!$D104,'01. KE30'!$F:$F,'06. BC BH THEO CUSTOMER-USD'!$H104,'01. KE30'!$A:$A,'06. BC BH THEO CUSTOMER-USD'!DW$4),"-")</f>
        <v>0</v>
      </c>
      <c r="DX104" s="114">
        <f>IFERROR(SUMIFS('01. KE30'!$X:$X,'01. KE30'!$C:$C,'06. BC BH THEO CUSTOMER-USD'!$D104,'01. KE30'!$F:$F,'06. BC BH THEO CUSTOMER-USD'!$H104,'01. KE30'!$A:$A,'06. BC BH THEO CUSTOMER-USD'!DX$4)-SUMIFS('01. KE30'!$AA:$AA,'01. KE30'!$C:$C,'06. BC BH THEO CUSTOMER-USD'!$D104,'01. KE30'!$F:$F,'06. BC BH THEO CUSTOMER-USD'!$H104,'01. KE30'!$A:$A,'06. BC BH THEO CUSTOMER-USD'!DX$4),"-")</f>
        <v>0</v>
      </c>
      <c r="DY104" s="114">
        <f>IFERROR(SUMIFS('01. KE30'!$X:$X,'01. KE30'!$C:$C,'06. BC BH THEO CUSTOMER-USD'!$D104,'01. KE30'!$F:$F,'06. BC BH THEO CUSTOMER-USD'!$H104,'01. KE30'!$A:$A,'06. BC BH THEO CUSTOMER-USD'!DY$4)-SUMIFS('01. KE30'!$AA:$AA,'01. KE30'!$C:$C,'06. BC BH THEO CUSTOMER-USD'!$D104,'01. KE30'!$F:$F,'06. BC BH THEO CUSTOMER-USD'!$H104,'01. KE30'!$A:$A,'06. BC BH THEO CUSTOMER-USD'!DY$4),"-")</f>
        <v>0</v>
      </c>
      <c r="DZ104" s="114">
        <f>IFERROR(SUMIFS('01. KE30'!$X:$X,'01. KE30'!$C:$C,'06. BC BH THEO CUSTOMER-USD'!$D104,'01. KE30'!$F:$F,'06. BC BH THEO CUSTOMER-USD'!$H104,'01. KE30'!$A:$A,'06. BC BH THEO CUSTOMER-USD'!DZ$4)-SUMIFS('01. KE30'!$AA:$AA,'01. KE30'!$C:$C,'06. BC BH THEO CUSTOMER-USD'!$D104,'01. KE30'!$F:$F,'06. BC BH THEO CUSTOMER-USD'!$H104,'01. KE30'!$A:$A,'06. BC BH THEO CUSTOMER-USD'!DZ$4),"-")</f>
        <v>0</v>
      </c>
      <c r="EA104" s="114">
        <f>IFERROR(SUMIFS('01. KE30'!$X:$X,'01. KE30'!$C:$C,'06. BC BH THEO CUSTOMER-USD'!$D104,'01. KE30'!$F:$F,'06. BC BH THEO CUSTOMER-USD'!$H104,'01. KE30'!$A:$A,'06. BC BH THEO CUSTOMER-USD'!EA$4)-SUMIFS('01. KE30'!$AA:$AA,'01. KE30'!$C:$C,'06. BC BH THEO CUSTOMER-USD'!$D104,'01. KE30'!$F:$F,'06. BC BH THEO CUSTOMER-USD'!$H104,'01. KE30'!$A:$A,'06. BC BH THEO CUSTOMER-USD'!EA$4),"-")</f>
        <v>5.0648866692278176</v>
      </c>
      <c r="EB104" s="114">
        <f>IFERROR(SUMIFS('01. KE30'!$X:$X,'01. KE30'!$C:$C,'06. BC BH THEO CUSTOMER-USD'!$D104,'01. KE30'!$F:$F,'06. BC BH THEO CUSTOMER-USD'!$H104,'01. KE30'!$A:$A,'06. BC BH THEO CUSTOMER-USD'!EB$4)-SUMIFS('01. KE30'!$AA:$AA,'01. KE30'!$C:$C,'06. BC BH THEO CUSTOMER-USD'!$D104,'01. KE30'!$F:$F,'06. BC BH THEO CUSTOMER-USD'!$H104,'01. KE30'!$A:$A,'06. BC BH THEO CUSTOMER-USD'!EB$4),"-")</f>
        <v>0</v>
      </c>
      <c r="EC104" s="114">
        <f>IFERROR(SUMIFS('01. KE30'!$X:$X,'01. KE30'!$C:$C,'06. BC BH THEO CUSTOMER-USD'!$D104,'01. KE30'!$F:$F,'06. BC BH THEO CUSTOMER-USD'!$H104,'01. KE30'!$A:$A,'06. BC BH THEO CUSTOMER-USD'!EC$4)-SUMIFS('01. KE30'!$AA:$AA,'01. KE30'!$C:$C,'06. BC BH THEO CUSTOMER-USD'!$D104,'01. KE30'!$F:$F,'06. BC BH THEO CUSTOMER-USD'!$H104,'01. KE30'!$A:$A,'06. BC BH THEO CUSTOMER-USD'!EC$4),"-")</f>
        <v>0</v>
      </c>
      <c r="ED104" s="114">
        <f>IFERROR(SUMIFS('01. KE30'!$X:$X,'01. KE30'!$C:$C,'06. BC BH THEO CUSTOMER-USD'!$D104,'01. KE30'!$F:$F,'06. BC BH THEO CUSTOMER-USD'!$H104,'01. KE30'!$A:$A,'06. BC BH THEO CUSTOMER-USD'!ED$4)-SUMIFS('01. KE30'!$AA:$AA,'01. KE30'!$C:$C,'06. BC BH THEO CUSTOMER-USD'!$D104,'01. KE30'!$F:$F,'06. BC BH THEO CUSTOMER-USD'!$H104,'01. KE30'!$A:$A,'06. BC BH THEO CUSTOMER-USD'!ED$4),"-")</f>
        <v>0</v>
      </c>
      <c r="EE104" s="114">
        <f>IFERROR(SUMIFS('01. KE30'!$X:$X,'01. KE30'!$C:$C,'06. BC BH THEO CUSTOMER-USD'!$D104,'01. KE30'!$F:$F,'06. BC BH THEO CUSTOMER-USD'!$H104,'01. KE30'!$A:$A,'06. BC BH THEO CUSTOMER-USD'!EE$4)-SUMIFS('01. KE30'!$AA:$AA,'01. KE30'!$C:$C,'06. BC BH THEO CUSTOMER-USD'!$D104,'01. KE30'!$F:$F,'06. BC BH THEO CUSTOMER-USD'!$H104,'01. KE30'!$A:$A,'06. BC BH THEO CUSTOMER-USD'!EE$4),"-")</f>
        <v>0</v>
      </c>
      <c r="EF104" s="114">
        <f>IFERROR(SUMIFS('01. KE30'!$X:$X,'01. KE30'!$C:$C,'06. BC BH THEO CUSTOMER-USD'!$D104,'01. KE30'!$F:$F,'06. BC BH THEO CUSTOMER-USD'!$H104,'01. KE30'!$A:$A,'06. BC BH THEO CUSTOMER-USD'!EF$4)-SUMIFS('01. KE30'!$AA:$AA,'01. KE30'!$C:$C,'06. BC BH THEO CUSTOMER-USD'!$D104,'01. KE30'!$F:$F,'06. BC BH THEO CUSTOMER-USD'!$H104,'01. KE30'!$A:$A,'06. BC BH THEO CUSTOMER-USD'!EF$4),"-")</f>
        <v>0</v>
      </c>
      <c r="EH104" s="571">
        <f t="shared" ref="EH104" si="1049">IFERROR(DT104/DF104,"-")</f>
        <v>0.12925392156862753</v>
      </c>
      <c r="EI104" s="572" t="str">
        <f t="shared" ref="EI104" si="1050">IFERROR(DU104/DG104,"-")</f>
        <v>-</v>
      </c>
      <c r="EJ104" s="572" t="str">
        <f t="shared" ref="EJ104" si="1051">IFERROR(DV104/DH104,"-")</f>
        <v>-</v>
      </c>
      <c r="EK104" s="572" t="str">
        <f t="shared" ref="EK104" si="1052">IFERROR(DW104/DI104,"-")</f>
        <v>-</v>
      </c>
      <c r="EL104" s="572" t="str">
        <f t="shared" ref="EL104" si="1053">IFERROR(DX104/DJ104,"-")</f>
        <v>-</v>
      </c>
      <c r="EM104" s="572" t="str">
        <f t="shared" ref="EM104" si="1054">IFERROR(DY104/DK104,"-")</f>
        <v>-</v>
      </c>
      <c r="EN104" s="572" t="str">
        <f t="shared" ref="EN104" si="1055">IFERROR(DZ104/DL104,"-")</f>
        <v>-</v>
      </c>
      <c r="EO104" s="572">
        <f t="shared" ref="EO104" si="1056">IFERROR(EA104/DM104,"-")</f>
        <v>0.12925392156862753</v>
      </c>
      <c r="EP104" s="572" t="str">
        <f t="shared" ref="EP104" si="1057">IFERROR(EB104/DN104,"-")</f>
        <v>-</v>
      </c>
      <c r="EQ104" s="572" t="str">
        <f t="shared" ref="EQ104" si="1058">IFERROR(EC104/DO104,"-")</f>
        <v>-</v>
      </c>
      <c r="ER104" s="572" t="str">
        <f t="shared" ref="ER104" si="1059">IFERROR(ED104/DP104,"-")</f>
        <v>-</v>
      </c>
      <c r="ES104" s="572" t="str">
        <f t="shared" ref="ES104" si="1060">IFERROR(EE104/DQ104,"-")</f>
        <v>-</v>
      </c>
      <c r="ET104" s="572" t="str">
        <f t="shared" ref="ET104" si="1061">IFERROR(EF104/DR104,"-")</f>
        <v>-</v>
      </c>
    </row>
    <row r="105" spans="1:150" ht="15.5" hidden="1" outlineLevel="1" x14ac:dyDescent="0.35">
      <c r="A105" s="27">
        <f>A103+1</f>
        <v>88</v>
      </c>
      <c r="B105" s="27" t="s">
        <v>283</v>
      </c>
      <c r="C105" s="442" t="s">
        <v>489</v>
      </c>
      <c r="D105" s="9" t="s">
        <v>897</v>
      </c>
      <c r="E105" s="12" t="s">
        <v>898</v>
      </c>
      <c r="F105" s="12" t="s">
        <v>245</v>
      </c>
      <c r="G105" s="12" t="str">
        <f>_xlfn.XLOOKUP(F105,'Quy đổi'!$G$5:$G$32,'Quy đổi'!$H$5:$H$32,0)</f>
        <v>Nội địa</v>
      </c>
      <c r="H105" s="76" t="s">
        <v>100</v>
      </c>
      <c r="I105" s="28" t="s">
        <v>99</v>
      </c>
      <c r="J105" s="6" t="s">
        <v>22</v>
      </c>
      <c r="K105" s="11"/>
      <c r="L105" s="92">
        <f t="shared" si="944"/>
        <v>1319.4444444444443</v>
      </c>
      <c r="M105" s="106" t="str">
        <f>IFERROR(SUMIFS('01. KE30'!$K:$K,'01. KE30'!$C:$C,'06. BC BH THEO CUSTOMER-USD'!$D105,'01. KE30'!$F:$F,'06. BC BH THEO CUSTOMER-USD'!$H105,'01. KE30'!$A:$A,'06. BC BH THEO CUSTOMER-USD'!M$4)/'06. BC BH THEO CUSTOMER-USD'!CS105/'02. Tỷ giá'!B$5,"-")</f>
        <v>-</v>
      </c>
      <c r="N105" s="106" t="str">
        <f>IFERROR(SUMIFS('01. KE30'!$K:$K,'01. KE30'!$C:$C,'06. BC BH THEO CUSTOMER-USD'!$D105,'01. KE30'!$F:$F,'06. BC BH THEO CUSTOMER-USD'!$H105,'01. KE30'!$A:$A,'06. BC BH THEO CUSTOMER-USD'!N$4)/'06. BC BH THEO CUSTOMER-USD'!CT105/'02. Tỷ giá'!C$5,"-")</f>
        <v>-</v>
      </c>
      <c r="O105" s="106" t="str">
        <f>IFERROR(SUMIFS('01. KE30'!$K:$K,'01. KE30'!$C:$C,'06. BC BH THEO CUSTOMER-USD'!$D105,'01. KE30'!$F:$F,'06. BC BH THEO CUSTOMER-USD'!$H105,'01. KE30'!$A:$A,'06. BC BH THEO CUSTOMER-USD'!O$4)/'06. BC BH THEO CUSTOMER-USD'!CU105/'02. Tỷ giá'!D$5,"-")</f>
        <v>-</v>
      </c>
      <c r="P105" s="106" t="str">
        <f>IFERROR(SUMIFS('01. KE30'!$K:$K,'01. KE30'!$C:$C,'06. BC BH THEO CUSTOMER-USD'!$D105,'01. KE30'!$F:$F,'06. BC BH THEO CUSTOMER-USD'!$H105,'01. KE30'!$A:$A,'06. BC BH THEO CUSTOMER-USD'!P$4)/'06. BC BH THEO CUSTOMER-USD'!CV105/'02. Tỷ giá'!E$5,"-")</f>
        <v>-</v>
      </c>
      <c r="Q105" s="106" t="str">
        <f>IFERROR(SUMIFS('01. KE30'!$K:$K,'01. KE30'!$C:$C,'06. BC BH THEO CUSTOMER-USD'!$D105,'01. KE30'!$F:$F,'06. BC BH THEO CUSTOMER-USD'!$H105,'01. KE30'!$A:$A,'06. BC BH THEO CUSTOMER-USD'!Q$4)/'06. BC BH THEO CUSTOMER-USD'!CW105/'02. Tỷ giá'!F$5,"-")</f>
        <v>-</v>
      </c>
      <c r="R105" s="106">
        <f>IFERROR(SUMIFS('01. KE30'!$K:$K,'01. KE30'!$C:$C,'06. BC BH THEO CUSTOMER-USD'!$D105,'01. KE30'!$F:$F,'06. BC BH THEO CUSTOMER-USD'!$H105,'01. KE30'!$A:$A,'06. BC BH THEO CUSTOMER-USD'!R$4)/'06. BC BH THEO CUSTOMER-USD'!CX105/'02. Tỷ giá'!G$5,"-")</f>
        <v>1319.4444444444443</v>
      </c>
      <c r="S105" s="106" t="str">
        <f>IFERROR(SUMIFS('01. KE30'!$K:$K,'01. KE30'!$C:$C,'06. BC BH THEO CUSTOMER-USD'!$D105,'01. KE30'!$F:$F,'06. BC BH THEO CUSTOMER-USD'!$H105,'01. KE30'!$A:$A,'06. BC BH THEO CUSTOMER-USD'!S$4)/'06. BC BH THEO CUSTOMER-USD'!CY105/'02. Tỷ giá'!H$5,"-")</f>
        <v>-</v>
      </c>
      <c r="T105" s="106" t="str">
        <f>IFERROR(SUMIFS('01. KE30'!$K:$K,'01. KE30'!$C:$C,'06. BC BH THEO CUSTOMER-USD'!$D105,'01. KE30'!$F:$F,'06. BC BH THEO CUSTOMER-USD'!$H105,'01. KE30'!$A:$A,'06. BC BH THEO CUSTOMER-USD'!T$4)/'06. BC BH THEO CUSTOMER-USD'!CZ105/'02. Tỷ giá'!I$5,"-")</f>
        <v>-</v>
      </c>
      <c r="U105" s="106" t="str">
        <f>IFERROR(SUMIFS('01. KE30'!$K:$K,'01. KE30'!$C:$C,'06. BC BH THEO CUSTOMER-USD'!$D105,'01. KE30'!$F:$F,'06. BC BH THEO CUSTOMER-USD'!$H105,'01. KE30'!$A:$A,'06. BC BH THEO CUSTOMER-USD'!U$4)/'06. BC BH THEO CUSTOMER-USD'!DA105/'02. Tỷ giá'!J$5,"-")</f>
        <v>-</v>
      </c>
      <c r="V105" s="106" t="str">
        <f>IFERROR(SUMIFS('01. KE30'!$K:$K,'01. KE30'!$C:$C,'06. BC BH THEO CUSTOMER-USD'!$D105,'01. KE30'!$F:$F,'06. BC BH THEO CUSTOMER-USD'!$H105,'01. KE30'!$A:$A,'06. BC BH THEO CUSTOMER-USD'!V$4)/'06. BC BH THEO CUSTOMER-USD'!DB105/'02. Tỷ giá'!K$5,"-")</f>
        <v>-</v>
      </c>
      <c r="W105" s="106" t="str">
        <f>IFERROR(SUMIFS('01. KE30'!$K:$K,'01. KE30'!$C:$C,'06. BC BH THEO CUSTOMER-USD'!$D105,'01. KE30'!$F:$F,'06. BC BH THEO CUSTOMER-USD'!$H105,'01. KE30'!$A:$A,'06. BC BH THEO CUSTOMER-USD'!W$4)/'06. BC BH THEO CUSTOMER-USD'!DC105/'02. Tỷ giá'!L$5,"-")</f>
        <v>-</v>
      </c>
      <c r="X105" s="106" t="str">
        <f>IFERROR(SUMIFS('01. KE30'!$K:$K,'01. KE30'!$C:$C,'06. BC BH THEO CUSTOMER-USD'!$D105,'01. KE30'!$F:$F,'06. BC BH THEO CUSTOMER-USD'!$H105,'01. KE30'!$A:$A,'06. BC BH THEO CUSTOMER-USD'!X$4)/'06. BC BH THEO CUSTOMER-USD'!DD105/'02. Tỷ giá'!M$5,"-")</f>
        <v>-</v>
      </c>
      <c r="Z105" s="92">
        <f t="shared" si="945"/>
        <v>1319.4444444444443</v>
      </c>
      <c r="AA105" s="147" t="str">
        <f>IFERROR(SUMIFS('01. KE30'!$O:$O,'01. KE30'!$C:$C,'06. BC BH THEO CUSTOMER-USD'!$D105,'01. KE30'!$F:$F,'06. BC BH THEO CUSTOMER-USD'!$H105,'01. KE30'!$A:$A,'06. BC BH THEO CUSTOMER-USD'!M$4)/'06. BC BH THEO CUSTOMER-USD'!CS105/'02. Tỷ giá'!B$5,"-")</f>
        <v>-</v>
      </c>
      <c r="AB105" s="147" t="str">
        <f>IFERROR(SUMIFS('01. KE30'!$O:$O,'01. KE30'!$C:$C,'06. BC BH THEO CUSTOMER-USD'!$D105,'01. KE30'!$F:$F,'06. BC BH THEO CUSTOMER-USD'!$H105,'01. KE30'!$A:$A,'06. BC BH THEO CUSTOMER-USD'!N$4)/'06. BC BH THEO CUSTOMER-USD'!CT105/'02. Tỷ giá'!C$5,"-")</f>
        <v>-</v>
      </c>
      <c r="AC105" s="147" t="str">
        <f>IFERROR(SUMIFS('01. KE30'!$O:$O,'01. KE30'!$C:$C,'06. BC BH THEO CUSTOMER-USD'!$D105,'01. KE30'!$F:$F,'06. BC BH THEO CUSTOMER-USD'!$H105,'01. KE30'!$A:$A,'06. BC BH THEO CUSTOMER-USD'!O$4)/'06. BC BH THEO CUSTOMER-USD'!CU105/'02. Tỷ giá'!D$5,"-")</f>
        <v>-</v>
      </c>
      <c r="AD105" s="147" t="str">
        <f>IFERROR(SUMIFS('01. KE30'!$O:$O,'01. KE30'!$C:$C,'06. BC BH THEO CUSTOMER-USD'!$D105,'01. KE30'!$F:$F,'06. BC BH THEO CUSTOMER-USD'!$H105,'01. KE30'!$A:$A,'06. BC BH THEO CUSTOMER-USD'!P$4)/'06. BC BH THEO CUSTOMER-USD'!CV105/'02. Tỷ giá'!E$5,"-")</f>
        <v>-</v>
      </c>
      <c r="AE105" s="147" t="str">
        <f>IFERROR(SUMIFS('01. KE30'!$O:$O,'01. KE30'!$C:$C,'06. BC BH THEO CUSTOMER-USD'!$D105,'01. KE30'!$F:$F,'06. BC BH THEO CUSTOMER-USD'!$H105,'01. KE30'!$A:$A,'06. BC BH THEO CUSTOMER-USD'!Q$4)/'06. BC BH THEO CUSTOMER-USD'!CW105/'02. Tỷ giá'!F$5,"-")</f>
        <v>-</v>
      </c>
      <c r="AF105" s="147">
        <f>IFERROR(SUMIFS('01. KE30'!$O:$O,'01. KE30'!$C:$C,'06. BC BH THEO CUSTOMER-USD'!$D105,'01. KE30'!$F:$F,'06. BC BH THEO CUSTOMER-USD'!$H105,'01. KE30'!$A:$A,'06. BC BH THEO CUSTOMER-USD'!R$4)/'06. BC BH THEO CUSTOMER-USD'!CX105/'02. Tỷ giá'!G$5,"-")</f>
        <v>1319.4444444444443</v>
      </c>
      <c r="AG105" s="147" t="str">
        <f>IFERROR(SUMIFS('01. KE30'!$O:$O,'01. KE30'!$C:$C,'06. BC BH THEO CUSTOMER-USD'!$D105,'01. KE30'!$F:$F,'06. BC BH THEO CUSTOMER-USD'!$H105,'01. KE30'!$A:$A,'06. BC BH THEO CUSTOMER-USD'!S$4)/'06. BC BH THEO CUSTOMER-USD'!CY105/'02. Tỷ giá'!H$5,"-")</f>
        <v>-</v>
      </c>
      <c r="AH105" s="147" t="str">
        <f>IFERROR(SUMIFS('01. KE30'!$O:$O,'01. KE30'!$C:$C,'06. BC BH THEO CUSTOMER-USD'!$D105,'01. KE30'!$F:$F,'06. BC BH THEO CUSTOMER-USD'!$H105,'01. KE30'!$A:$A,'06. BC BH THEO CUSTOMER-USD'!T$4)/'06. BC BH THEO CUSTOMER-USD'!CZ105/'02. Tỷ giá'!I$5,"-")</f>
        <v>-</v>
      </c>
      <c r="AI105" s="147" t="str">
        <f>IFERROR(SUMIFS('01. KE30'!$O:$O,'01. KE30'!$C:$C,'06. BC BH THEO CUSTOMER-USD'!$D105,'01. KE30'!$F:$F,'06. BC BH THEO CUSTOMER-USD'!$H105,'01. KE30'!$A:$A,'06. BC BH THEO CUSTOMER-USD'!U$4)/'06. BC BH THEO CUSTOMER-USD'!DA105/'02. Tỷ giá'!J$5,"-")</f>
        <v>-</v>
      </c>
      <c r="AJ105" s="147" t="str">
        <f>IFERROR(SUMIFS('01. KE30'!$O:$O,'01. KE30'!$C:$C,'06. BC BH THEO CUSTOMER-USD'!$D105,'01. KE30'!$F:$F,'06. BC BH THEO CUSTOMER-USD'!$H105,'01. KE30'!$A:$A,'06. BC BH THEO CUSTOMER-USD'!V$4)/'06. BC BH THEO CUSTOMER-USD'!DB105/'02. Tỷ giá'!K$5,"-")</f>
        <v>-</v>
      </c>
      <c r="AK105" s="147" t="str">
        <f>IFERROR(SUMIFS('01. KE30'!$O:$O,'01. KE30'!$C:$C,'06. BC BH THEO CUSTOMER-USD'!$D105,'01. KE30'!$F:$F,'06. BC BH THEO CUSTOMER-USD'!$H105,'01. KE30'!$A:$A,'06. BC BH THEO CUSTOMER-USD'!W$4)/'06. BC BH THEO CUSTOMER-USD'!DC105/'02. Tỷ giá'!L$5,"-")</f>
        <v>-</v>
      </c>
      <c r="AL105" s="147" t="str">
        <f>IFERROR(SUMIFS('01. KE30'!$O:$O,'01. KE30'!$C:$C,'06. BC BH THEO CUSTOMER-USD'!$D105,'01. KE30'!$F:$F,'06. BC BH THEO CUSTOMER-USD'!$H105,'01. KE30'!$A:$A,'06. BC BH THEO CUSTOMER-USD'!X$4)/'06. BC BH THEO CUSTOMER-USD'!DD105/'02. Tỷ giá'!M$5,"-")</f>
        <v>-</v>
      </c>
      <c r="AN105" s="92">
        <f t="shared" si="946"/>
        <v>1246.6666666666667</v>
      </c>
      <c r="AO105" s="25">
        <v>1230</v>
      </c>
      <c r="AP105" s="25">
        <v>1230</v>
      </c>
      <c r="AQ105" s="4">
        <v>1230</v>
      </c>
      <c r="AR105" s="4">
        <f t="shared" si="1003"/>
        <v>1250</v>
      </c>
      <c r="AS105" s="4">
        <v>1250</v>
      </c>
      <c r="AT105" s="4">
        <v>1250</v>
      </c>
      <c r="AU105" s="4">
        <v>1280</v>
      </c>
      <c r="AV105" s="4">
        <f t="shared" si="205"/>
        <v>1250</v>
      </c>
      <c r="AW105" s="25">
        <v>1250</v>
      </c>
      <c r="AX105" s="25"/>
      <c r="AY105" s="4"/>
      <c r="AZ105" s="4"/>
      <c r="BB105" s="95">
        <f t="shared" si="947"/>
        <v>72.777777777777601</v>
      </c>
      <c r="BC105" s="95" t="str">
        <f t="shared" si="948"/>
        <v>-</v>
      </c>
      <c r="BD105" s="95" t="str">
        <f t="shared" si="949"/>
        <v>-</v>
      </c>
      <c r="BE105" s="95" t="str">
        <f t="shared" si="950"/>
        <v>-</v>
      </c>
      <c r="BF105" s="95" t="str">
        <f t="shared" si="951"/>
        <v>-</v>
      </c>
      <c r="BG105" s="95" t="str">
        <f t="shared" si="952"/>
        <v>-</v>
      </c>
      <c r="BH105" s="95">
        <f t="shared" si="953"/>
        <v>69.444444444444343</v>
      </c>
      <c r="BI105" s="95" t="str">
        <f t="shared" si="954"/>
        <v>-</v>
      </c>
      <c r="BJ105" s="95" t="str">
        <f t="shared" si="955"/>
        <v>-</v>
      </c>
      <c r="BK105" s="95" t="str">
        <f t="shared" si="956"/>
        <v>-</v>
      </c>
      <c r="BL105" s="95" t="str">
        <f t="shared" si="957"/>
        <v>-</v>
      </c>
      <c r="BM105" s="95" t="str">
        <f t="shared" si="958"/>
        <v>-</v>
      </c>
      <c r="BN105" s="95" t="str">
        <f t="shared" si="959"/>
        <v>-</v>
      </c>
      <c r="BP105" s="143">
        <f t="shared" si="960"/>
        <v>5.8377896613190587E-2</v>
      </c>
      <c r="BQ105" s="143" t="str">
        <f t="shared" si="961"/>
        <v>-</v>
      </c>
      <c r="BR105" s="143" t="str">
        <f t="shared" si="962"/>
        <v>-</v>
      </c>
      <c r="BS105" s="143" t="str">
        <f t="shared" si="963"/>
        <v>-</v>
      </c>
      <c r="BT105" s="143" t="str">
        <f t="shared" si="964"/>
        <v>-</v>
      </c>
      <c r="BU105" s="143" t="str">
        <f t="shared" si="965"/>
        <v>-</v>
      </c>
      <c r="BV105" s="143">
        <f t="shared" si="966"/>
        <v>5.5555555555555476E-2</v>
      </c>
      <c r="BW105" s="143" t="str">
        <f t="shared" si="967"/>
        <v>-</v>
      </c>
      <c r="BX105" s="143" t="str">
        <f t="shared" si="968"/>
        <v>-</v>
      </c>
      <c r="BY105" s="143" t="str">
        <f t="shared" si="969"/>
        <v>-</v>
      </c>
      <c r="BZ105" s="143" t="str">
        <f t="shared" si="970"/>
        <v>-</v>
      </c>
      <c r="CA105" s="143" t="str">
        <f t="shared" si="971"/>
        <v>-</v>
      </c>
      <c r="CB105" s="143" t="str">
        <f t="shared" si="972"/>
        <v>-</v>
      </c>
      <c r="CD105" s="112">
        <f t="shared" si="973"/>
        <v>1038.0895061728395</v>
      </c>
      <c r="CE105" s="95" t="str">
        <f>IFERROR(SUMIFS('01. KE30'!$R:$R,'01. KE30'!$C:$C,'06. BC BH THEO CUSTOMER-USD'!$D105,'01. KE30'!$F:$F,'06. BC BH THEO CUSTOMER-USD'!$H105,'01. KE30'!$A:$A,'06. BC BH THEO CUSTOMER-USD'!CE$4)/CS105/'02. Tỷ giá'!B$5," -")</f>
        <v xml:space="preserve"> -</v>
      </c>
      <c r="CF105" s="95" t="str">
        <f>IFERROR(SUMIFS('01. KE30'!$R:$R,'01. KE30'!$C:$C,'06. BC BH THEO CUSTOMER-USD'!$D105,'01. KE30'!$F:$F,'06. BC BH THEO CUSTOMER-USD'!$H105,'01. KE30'!$A:$A,'06. BC BH THEO CUSTOMER-USD'!CF$4)/CT105/'02. Tỷ giá'!C$5," -")</f>
        <v xml:space="preserve"> -</v>
      </c>
      <c r="CG105" s="95" t="str">
        <f>IFERROR(SUMIFS('01. KE30'!$R:$R,'01. KE30'!$C:$C,'06. BC BH THEO CUSTOMER-USD'!$D105,'01. KE30'!$F:$F,'06. BC BH THEO CUSTOMER-USD'!$H105,'01. KE30'!$A:$A,'06. BC BH THEO CUSTOMER-USD'!CG$4)/CU105/'02. Tỷ giá'!D$5," -")</f>
        <v xml:space="preserve"> -</v>
      </c>
      <c r="CH105" s="95" t="str">
        <f>IFERROR(SUMIFS('01. KE30'!$R:$R,'01. KE30'!$C:$C,'06. BC BH THEO CUSTOMER-USD'!$D105,'01. KE30'!$F:$F,'06. BC BH THEO CUSTOMER-USD'!$H105,'01. KE30'!$A:$A,'06. BC BH THEO CUSTOMER-USD'!CH$4)/CV105/'02. Tỷ giá'!E$5," -")</f>
        <v xml:space="preserve"> -</v>
      </c>
      <c r="CI105" s="95" t="str">
        <f>IFERROR(SUMIFS('01. KE30'!$R:$R,'01. KE30'!$C:$C,'06. BC BH THEO CUSTOMER-USD'!$D105,'01. KE30'!$F:$F,'06. BC BH THEO CUSTOMER-USD'!$H105,'01. KE30'!$A:$A,'06. BC BH THEO CUSTOMER-USD'!CI$4)/CW105/'02. Tỷ giá'!F$5," -")</f>
        <v xml:space="preserve"> -</v>
      </c>
      <c r="CJ105" s="95">
        <f>IFERROR(SUMIFS('01. KE30'!$R:$R,'01. KE30'!$C:$C,'06. BC BH THEO CUSTOMER-USD'!$D105,'01. KE30'!$F:$F,'06. BC BH THEO CUSTOMER-USD'!$H105,'01. KE30'!$A:$A,'06. BC BH THEO CUSTOMER-USD'!CJ$4)/CX105/'02. Tỷ giá'!G$5," -")</f>
        <v>1038.0895061728395</v>
      </c>
      <c r="CK105" s="95" t="str">
        <f>IFERROR(SUMIFS('01. KE30'!$R:$R,'01. KE30'!$C:$C,'06. BC BH THEO CUSTOMER-USD'!$D105,'01. KE30'!$F:$F,'06. BC BH THEO CUSTOMER-USD'!$H105,'01. KE30'!$A:$A,'06. BC BH THEO CUSTOMER-USD'!CK$4)/CY105/'02. Tỷ giá'!H$5," -")</f>
        <v xml:space="preserve"> -</v>
      </c>
      <c r="CL105" s="95" t="str">
        <f>IFERROR(SUMIFS('01. KE30'!$R:$R,'01. KE30'!$C:$C,'06. BC BH THEO CUSTOMER-USD'!$D105,'01. KE30'!$F:$F,'06. BC BH THEO CUSTOMER-USD'!$H105,'01. KE30'!$A:$A,'06. BC BH THEO CUSTOMER-USD'!CL$4)/CZ105/'02. Tỷ giá'!I$5," -")</f>
        <v xml:space="preserve"> -</v>
      </c>
      <c r="CM105" s="95" t="str">
        <f>IFERROR(SUMIFS('01. KE30'!$R:$R,'01. KE30'!$C:$C,'06. BC BH THEO CUSTOMER-USD'!$D105,'01. KE30'!$F:$F,'06. BC BH THEO CUSTOMER-USD'!$H105,'01. KE30'!$A:$A,'06. BC BH THEO CUSTOMER-USD'!CM$4)/DA105/'02. Tỷ giá'!J$5," -")</f>
        <v xml:space="preserve"> -</v>
      </c>
      <c r="CN105" s="95" t="str">
        <f>IFERROR(SUMIFS('01. KE30'!$R:$R,'01. KE30'!$C:$C,'06. BC BH THEO CUSTOMER-USD'!$D105,'01. KE30'!$F:$F,'06. BC BH THEO CUSTOMER-USD'!$H105,'01. KE30'!$A:$A,'06. BC BH THEO CUSTOMER-USD'!CN$4)/DB105/'02. Tỷ giá'!K$5," -")</f>
        <v xml:space="preserve"> -</v>
      </c>
      <c r="CO105" s="95" t="str">
        <f>IFERROR(SUMIFS('01. KE30'!$R:$R,'01. KE30'!$C:$C,'06. BC BH THEO CUSTOMER-USD'!$D105,'01. KE30'!$F:$F,'06. BC BH THEO CUSTOMER-USD'!$H105,'01. KE30'!$A:$A,'06. BC BH THEO CUSTOMER-USD'!CO$4)/DC105/'02. Tỷ giá'!L$5," -")</f>
        <v xml:space="preserve"> -</v>
      </c>
      <c r="CP105" s="95" t="str">
        <f>IFERROR(SUMIFS('01. KE30'!$R:$R,'01. KE30'!$C:$C,'06. BC BH THEO CUSTOMER-USD'!$D105,'01. KE30'!$F:$F,'06. BC BH THEO CUSTOMER-USD'!$H105,'01. KE30'!$A:$A,'06. BC BH THEO CUSTOMER-USD'!CP$4)/DD105/'02. Tỷ giá'!M$5," -")</f>
        <v xml:space="preserve"> -</v>
      </c>
      <c r="CR105" s="112">
        <f t="shared" si="974"/>
        <v>2.5000000000000001E-2</v>
      </c>
      <c r="CS105" s="114">
        <f>SUMIFS('01. KE30'!$I:$I,'01. KE30'!$C:$C,'06. BC BH THEO CUSTOMER-USD'!$D105,'01. KE30'!$F:$F,'06. BC BH THEO CUSTOMER-USD'!$H105,'01. KE30'!$A:$A,'06. BC BH THEO CUSTOMER-USD'!CS$4)/1000</f>
        <v>0</v>
      </c>
      <c r="CT105" s="114">
        <f>SUMIFS('01. KE30'!$I:$I,'01. KE30'!$C:$C,'06. BC BH THEO CUSTOMER-USD'!$D105,'01. KE30'!$F:$F,'06. BC BH THEO CUSTOMER-USD'!$H105,'01. KE30'!$A:$A,'06. BC BH THEO CUSTOMER-USD'!CT$4)/1000</f>
        <v>0</v>
      </c>
      <c r="CU105" s="114">
        <f>SUMIFS('01. KE30'!$I:$I,'01. KE30'!$C:$C,'06. BC BH THEO CUSTOMER-USD'!$D105,'01. KE30'!$F:$F,'06. BC BH THEO CUSTOMER-USD'!$H105,'01. KE30'!$A:$A,'06. BC BH THEO CUSTOMER-USD'!CU$4)/1000</f>
        <v>0</v>
      </c>
      <c r="CV105" s="725">
        <f>SUMIFS('01. KE30'!$I:$I,'01. KE30'!$C:$C,'06. BC BH THEO CUSTOMER-USD'!$D105,'01. KE30'!$F:$F,'06. BC BH THEO CUSTOMER-USD'!$H105,'01. KE30'!$A:$A,'06. BC BH THEO CUSTOMER-USD'!CV$4)/1000</f>
        <v>0</v>
      </c>
      <c r="CW105" s="114">
        <f>SUMIFS('01. KE30'!$I:$I,'01. KE30'!$C:$C,'06. BC BH THEO CUSTOMER-USD'!$D105,'01. KE30'!$F:$F,'06. BC BH THEO CUSTOMER-USD'!$H105,'01. KE30'!$A:$A,'06. BC BH THEO CUSTOMER-USD'!CW$4)/1000</f>
        <v>0</v>
      </c>
      <c r="CX105" s="114">
        <f>SUMIFS('01. KE30'!$I:$I,'01. KE30'!$C:$C,'06. BC BH THEO CUSTOMER-USD'!$D105,'01. KE30'!$F:$F,'06. BC BH THEO CUSTOMER-USD'!$H105,'01. KE30'!$A:$A,'06. BC BH THEO CUSTOMER-USD'!CX$4)/1000</f>
        <v>2.5000000000000001E-2</v>
      </c>
      <c r="CY105" s="114">
        <f>SUMIFS('01. KE30'!$I:$I,'01. KE30'!$C:$C,'06. BC BH THEO CUSTOMER-USD'!$D105,'01. KE30'!$F:$F,'06. BC BH THEO CUSTOMER-USD'!$H105,'01. KE30'!$A:$A,'06. BC BH THEO CUSTOMER-USD'!CY$4)/1000</f>
        <v>0</v>
      </c>
      <c r="CZ105" s="114">
        <f>SUMIFS('01. KE30'!$I:$I,'01. KE30'!$C:$C,'06. BC BH THEO CUSTOMER-USD'!$D105,'01. KE30'!$F:$F,'06. BC BH THEO CUSTOMER-USD'!$H105,'01. KE30'!$A:$A,'06. BC BH THEO CUSTOMER-USD'!CZ$4)/1000</f>
        <v>0</v>
      </c>
      <c r="DA105" s="114">
        <f>SUMIFS('01. KE30'!$I:$I,'01. KE30'!$C:$C,'06. BC BH THEO CUSTOMER-USD'!$D105,'01. KE30'!$F:$F,'06. BC BH THEO CUSTOMER-USD'!$H105,'01. KE30'!$A:$A,'06. BC BH THEO CUSTOMER-USD'!DA$4)/1000</f>
        <v>0</v>
      </c>
      <c r="DB105" s="114">
        <f>SUMIFS('01. KE30'!$I:$I,'01. KE30'!$C:$C,'06. BC BH THEO CUSTOMER-USD'!$D105,'01. KE30'!$F:$F,'06. BC BH THEO CUSTOMER-USD'!$H105,'01. KE30'!$A:$A,'06. BC BH THEO CUSTOMER-USD'!DB$4)/1000</f>
        <v>0</v>
      </c>
      <c r="DC105" s="114">
        <f>SUMIFS('01. KE30'!$I:$I,'01. KE30'!$C:$C,'06. BC BH THEO CUSTOMER-USD'!$D105,'01. KE30'!$F:$F,'06. BC BH THEO CUSTOMER-USD'!$H105,'01. KE30'!$A:$A,'06. BC BH THEO CUSTOMER-USD'!DC$4)/1000</f>
        <v>0</v>
      </c>
      <c r="DD105" s="114">
        <f>SUMIFS('01. KE30'!$I:$I,'01. KE30'!$C:$C,'06. BC BH THEO CUSTOMER-USD'!$D105,'01. KE30'!$F:$F,'06. BC BH THEO CUSTOMER-USD'!$H105,'01. KE30'!$A:$A,'06. BC BH THEO CUSTOMER-USD'!DD$4)/1000</f>
        <v>0</v>
      </c>
      <c r="DF105" s="120">
        <f t="shared" si="975"/>
        <v>32.986111111111107</v>
      </c>
      <c r="DG105" s="54" t="str">
        <f t="shared" si="976"/>
        <v>-</v>
      </c>
      <c r="DH105" s="54" t="str">
        <f t="shared" si="977"/>
        <v>-</v>
      </c>
      <c r="DI105" s="54" t="str">
        <f t="shared" si="978"/>
        <v>-</v>
      </c>
      <c r="DJ105" s="54" t="str">
        <f t="shared" si="979"/>
        <v>-</v>
      </c>
      <c r="DK105" s="54" t="str">
        <f t="shared" si="980"/>
        <v>-</v>
      </c>
      <c r="DL105" s="54">
        <f t="shared" si="981"/>
        <v>32.986111111111107</v>
      </c>
      <c r="DM105" s="54" t="str">
        <f t="shared" si="982"/>
        <v>-</v>
      </c>
      <c r="DN105" s="54" t="str">
        <f t="shared" si="983"/>
        <v>-</v>
      </c>
      <c r="DO105" s="54" t="str">
        <f t="shared" si="984"/>
        <v>-</v>
      </c>
      <c r="DP105" s="54" t="str">
        <f t="shared" si="985"/>
        <v>-</v>
      </c>
      <c r="DQ105" s="54" t="str">
        <f t="shared" si="986"/>
        <v>-</v>
      </c>
      <c r="DR105" s="54" t="str">
        <f t="shared" si="987"/>
        <v>-</v>
      </c>
      <c r="DT105" s="112">
        <f t="shared" si="988"/>
        <v>7.0338734567901255</v>
      </c>
      <c r="DU105" s="114">
        <f>IFERROR(SUMIFS('01. KE30'!$X:$X,'01. KE30'!$C:$C,'06. BC BH THEO CUSTOMER-USD'!$D105,'01. KE30'!$F:$F,'06. BC BH THEO CUSTOMER-USD'!$H105,'01. KE30'!$A:$A,'06. BC BH THEO CUSTOMER-USD'!DU$4)-SUMIFS('01. KE30'!$AA:$AA,'01. KE30'!$C:$C,'06. BC BH THEO CUSTOMER-USD'!$D105,'01. KE30'!$F:$F,'06. BC BH THEO CUSTOMER-USD'!$H105,'01. KE30'!$A:$A,'06. BC BH THEO CUSTOMER-USD'!DU$4),"-")</f>
        <v>0</v>
      </c>
      <c r="DV105" s="114">
        <f>IFERROR(SUMIFS('01. KE30'!$X:$X,'01. KE30'!$C:$C,'06. BC BH THEO CUSTOMER-USD'!$D105,'01. KE30'!$F:$F,'06. BC BH THEO CUSTOMER-USD'!$H105,'01. KE30'!$A:$A,'06. BC BH THEO CUSTOMER-USD'!DV$4)-SUMIFS('01. KE30'!$AA:$AA,'01. KE30'!$C:$C,'06. BC BH THEO CUSTOMER-USD'!$D105,'01. KE30'!$F:$F,'06. BC BH THEO CUSTOMER-USD'!$H105,'01. KE30'!$A:$A,'06. BC BH THEO CUSTOMER-USD'!DV$4),"-")</f>
        <v>0</v>
      </c>
      <c r="DW105" s="114">
        <f>IFERROR(SUMIFS('01. KE30'!$X:$X,'01. KE30'!$C:$C,'06. BC BH THEO CUSTOMER-USD'!$D105,'01. KE30'!$F:$F,'06. BC BH THEO CUSTOMER-USD'!$H105,'01. KE30'!$A:$A,'06. BC BH THEO CUSTOMER-USD'!DW$4)-SUMIFS('01. KE30'!$AA:$AA,'01. KE30'!$C:$C,'06. BC BH THEO CUSTOMER-USD'!$D105,'01. KE30'!$F:$F,'06. BC BH THEO CUSTOMER-USD'!$H105,'01. KE30'!$A:$A,'06. BC BH THEO CUSTOMER-USD'!DW$4),"-")</f>
        <v>0</v>
      </c>
      <c r="DX105" s="114">
        <f>IFERROR(SUMIFS('01. KE30'!$X:$X,'01. KE30'!$C:$C,'06. BC BH THEO CUSTOMER-USD'!$D105,'01. KE30'!$F:$F,'06. BC BH THEO CUSTOMER-USD'!$H105,'01. KE30'!$A:$A,'06. BC BH THEO CUSTOMER-USD'!DX$4)-SUMIFS('01. KE30'!$AA:$AA,'01. KE30'!$C:$C,'06. BC BH THEO CUSTOMER-USD'!$D105,'01. KE30'!$F:$F,'06. BC BH THEO CUSTOMER-USD'!$H105,'01. KE30'!$A:$A,'06. BC BH THEO CUSTOMER-USD'!DX$4),"-")</f>
        <v>0</v>
      </c>
      <c r="DY105" s="114">
        <f>IFERROR(SUMIFS('01. KE30'!$X:$X,'01. KE30'!$C:$C,'06. BC BH THEO CUSTOMER-USD'!$D105,'01. KE30'!$F:$F,'06. BC BH THEO CUSTOMER-USD'!$H105,'01. KE30'!$A:$A,'06. BC BH THEO CUSTOMER-USD'!DY$4)-SUMIFS('01. KE30'!$AA:$AA,'01. KE30'!$C:$C,'06. BC BH THEO CUSTOMER-USD'!$D105,'01. KE30'!$F:$F,'06. BC BH THEO CUSTOMER-USD'!$H105,'01. KE30'!$A:$A,'06. BC BH THEO CUSTOMER-USD'!DY$4),"-")</f>
        <v>0</v>
      </c>
      <c r="DZ105" s="114">
        <f>IFERROR(SUMIFS('01. KE30'!$X:$X,'01. KE30'!$C:$C,'06. BC BH THEO CUSTOMER-USD'!$D105,'01. KE30'!$F:$F,'06. BC BH THEO CUSTOMER-USD'!$H105,'01. KE30'!$A:$A,'06. BC BH THEO CUSTOMER-USD'!DZ$4)-SUMIFS('01. KE30'!$AA:$AA,'01. KE30'!$C:$C,'06. BC BH THEO CUSTOMER-USD'!$D105,'01. KE30'!$F:$F,'06. BC BH THEO CUSTOMER-USD'!$H105,'01. KE30'!$A:$A,'06. BC BH THEO CUSTOMER-USD'!DZ$4),"-")</f>
        <v>7.0338734567901255</v>
      </c>
      <c r="EA105" s="114">
        <f>IFERROR(SUMIFS('01. KE30'!$X:$X,'01. KE30'!$C:$C,'06. BC BH THEO CUSTOMER-USD'!$D105,'01. KE30'!$F:$F,'06. BC BH THEO CUSTOMER-USD'!$H105,'01. KE30'!$A:$A,'06. BC BH THEO CUSTOMER-USD'!EA$4)-SUMIFS('01. KE30'!$AA:$AA,'01. KE30'!$C:$C,'06. BC BH THEO CUSTOMER-USD'!$D105,'01. KE30'!$F:$F,'06. BC BH THEO CUSTOMER-USD'!$H105,'01. KE30'!$A:$A,'06. BC BH THEO CUSTOMER-USD'!EA$4),"-")</f>
        <v>0</v>
      </c>
      <c r="EB105" s="114">
        <f>IFERROR(SUMIFS('01. KE30'!$X:$X,'01. KE30'!$C:$C,'06. BC BH THEO CUSTOMER-USD'!$D105,'01. KE30'!$F:$F,'06. BC BH THEO CUSTOMER-USD'!$H105,'01. KE30'!$A:$A,'06. BC BH THEO CUSTOMER-USD'!EB$4)-SUMIFS('01. KE30'!$AA:$AA,'01. KE30'!$C:$C,'06. BC BH THEO CUSTOMER-USD'!$D105,'01. KE30'!$F:$F,'06. BC BH THEO CUSTOMER-USD'!$H105,'01. KE30'!$A:$A,'06. BC BH THEO CUSTOMER-USD'!EB$4),"-")</f>
        <v>0</v>
      </c>
      <c r="EC105" s="114">
        <f>IFERROR(SUMIFS('01. KE30'!$X:$X,'01. KE30'!$C:$C,'06. BC BH THEO CUSTOMER-USD'!$D105,'01. KE30'!$F:$F,'06. BC BH THEO CUSTOMER-USD'!$H105,'01. KE30'!$A:$A,'06. BC BH THEO CUSTOMER-USD'!EC$4)-SUMIFS('01. KE30'!$AA:$AA,'01. KE30'!$C:$C,'06. BC BH THEO CUSTOMER-USD'!$D105,'01. KE30'!$F:$F,'06. BC BH THEO CUSTOMER-USD'!$H105,'01. KE30'!$A:$A,'06. BC BH THEO CUSTOMER-USD'!EC$4),"-")</f>
        <v>0</v>
      </c>
      <c r="ED105" s="114">
        <f>IFERROR(SUMIFS('01. KE30'!$X:$X,'01. KE30'!$C:$C,'06. BC BH THEO CUSTOMER-USD'!$D105,'01. KE30'!$F:$F,'06. BC BH THEO CUSTOMER-USD'!$H105,'01. KE30'!$A:$A,'06. BC BH THEO CUSTOMER-USD'!ED$4)-SUMIFS('01. KE30'!$AA:$AA,'01. KE30'!$C:$C,'06. BC BH THEO CUSTOMER-USD'!$D105,'01. KE30'!$F:$F,'06. BC BH THEO CUSTOMER-USD'!$H105,'01. KE30'!$A:$A,'06. BC BH THEO CUSTOMER-USD'!ED$4),"-")</f>
        <v>0</v>
      </c>
      <c r="EE105" s="114">
        <f>IFERROR(SUMIFS('01. KE30'!$X:$X,'01. KE30'!$C:$C,'06. BC BH THEO CUSTOMER-USD'!$D105,'01. KE30'!$F:$F,'06. BC BH THEO CUSTOMER-USD'!$H105,'01. KE30'!$A:$A,'06. BC BH THEO CUSTOMER-USD'!EE$4)-SUMIFS('01. KE30'!$AA:$AA,'01. KE30'!$C:$C,'06. BC BH THEO CUSTOMER-USD'!$D105,'01. KE30'!$F:$F,'06. BC BH THEO CUSTOMER-USD'!$H105,'01. KE30'!$A:$A,'06. BC BH THEO CUSTOMER-USD'!EE$4),"-")</f>
        <v>0</v>
      </c>
      <c r="EF105" s="114">
        <f>IFERROR(SUMIFS('01. KE30'!$X:$X,'01. KE30'!$C:$C,'06. BC BH THEO CUSTOMER-USD'!$D105,'01. KE30'!$F:$F,'06. BC BH THEO CUSTOMER-USD'!$H105,'01. KE30'!$A:$A,'06. BC BH THEO CUSTOMER-USD'!EF$4)-SUMIFS('01. KE30'!$AA:$AA,'01. KE30'!$C:$C,'06. BC BH THEO CUSTOMER-USD'!$D105,'01. KE30'!$F:$F,'06. BC BH THEO CUSTOMER-USD'!$H105,'01. KE30'!$A:$A,'06. BC BH THEO CUSTOMER-USD'!EF$4),"-")</f>
        <v>0</v>
      </c>
      <c r="EH105" s="571">
        <f t="shared" si="989"/>
        <v>0.21323742690058489</v>
      </c>
      <c r="EI105" s="572" t="str">
        <f t="shared" si="990"/>
        <v>-</v>
      </c>
      <c r="EJ105" s="572" t="str">
        <f t="shared" si="991"/>
        <v>-</v>
      </c>
      <c r="EK105" s="572" t="str">
        <f t="shared" si="992"/>
        <v>-</v>
      </c>
      <c r="EL105" s="572" t="str">
        <f t="shared" si="993"/>
        <v>-</v>
      </c>
      <c r="EM105" s="572" t="str">
        <f t="shared" si="994"/>
        <v>-</v>
      </c>
      <c r="EN105" s="572">
        <f t="shared" si="995"/>
        <v>0.21323742690058489</v>
      </c>
      <c r="EO105" s="572" t="str">
        <f t="shared" si="996"/>
        <v>-</v>
      </c>
      <c r="EP105" s="572" t="str">
        <f t="shared" si="997"/>
        <v>-</v>
      </c>
      <c r="EQ105" s="572" t="str">
        <f t="shared" si="998"/>
        <v>-</v>
      </c>
      <c r="ER105" s="572" t="str">
        <f t="shared" si="999"/>
        <v>-</v>
      </c>
      <c r="ES105" s="572" t="str">
        <f t="shared" si="1000"/>
        <v>-</v>
      </c>
      <c r="ET105" s="572" t="str">
        <f t="shared" si="1001"/>
        <v>-</v>
      </c>
    </row>
    <row r="106" spans="1:150" ht="15.5" hidden="1" outlineLevel="1" x14ac:dyDescent="0.35">
      <c r="A106" s="27">
        <f t="shared" si="653"/>
        <v>89</v>
      </c>
      <c r="B106" s="27" t="s">
        <v>283</v>
      </c>
      <c r="C106" s="442" t="s">
        <v>489</v>
      </c>
      <c r="D106" s="9" t="s">
        <v>897</v>
      </c>
      <c r="E106" s="12" t="s">
        <v>898</v>
      </c>
      <c r="F106" s="12" t="s">
        <v>245</v>
      </c>
      <c r="G106" s="12" t="str">
        <f>_xlfn.XLOOKUP(F106,'Quy đổi'!$G$5:$G$32,'Quy đổi'!$H$5:$H$32,0)</f>
        <v>Nội địa</v>
      </c>
      <c r="H106" s="76" t="s">
        <v>110</v>
      </c>
      <c r="I106" s="28" t="s">
        <v>109</v>
      </c>
      <c r="J106" s="6" t="s">
        <v>22</v>
      </c>
      <c r="K106" s="11"/>
      <c r="L106" s="92">
        <f t="shared" si="944"/>
        <v>1286.6275202401787</v>
      </c>
      <c r="M106" s="106" t="str">
        <f>IFERROR(SUMIFS('01. KE30'!$K:$K,'01. KE30'!$C:$C,'06. BC BH THEO CUSTOMER-USD'!$D106,'01. KE30'!$F:$F,'06. BC BH THEO CUSTOMER-USD'!$H106,'01. KE30'!$A:$A,'06. BC BH THEO CUSTOMER-USD'!M$4)/'06. BC BH THEO CUSTOMER-USD'!CS106/'02. Tỷ giá'!B$5,"-")</f>
        <v>-</v>
      </c>
      <c r="N106" s="106" t="str">
        <f>IFERROR(SUMIFS('01. KE30'!$K:$K,'01. KE30'!$C:$C,'06. BC BH THEO CUSTOMER-USD'!$D106,'01. KE30'!$F:$F,'06. BC BH THEO CUSTOMER-USD'!$H106,'01. KE30'!$A:$A,'06. BC BH THEO CUSTOMER-USD'!N$4)/'06. BC BH THEO CUSTOMER-USD'!CT106/'02. Tỷ giá'!C$5,"-")</f>
        <v>-</v>
      </c>
      <c r="O106" s="106" t="str">
        <f>IFERROR(SUMIFS('01. KE30'!$K:$K,'01. KE30'!$C:$C,'06. BC BH THEO CUSTOMER-USD'!$D106,'01. KE30'!$F:$F,'06. BC BH THEO CUSTOMER-USD'!$H106,'01. KE30'!$A:$A,'06. BC BH THEO CUSTOMER-USD'!O$4)/'06. BC BH THEO CUSTOMER-USD'!CU106/'02. Tỷ giá'!D$5,"-")</f>
        <v>-</v>
      </c>
      <c r="P106" s="106" t="str">
        <f>IFERROR(SUMIFS('01. KE30'!$K:$K,'01. KE30'!$C:$C,'06. BC BH THEO CUSTOMER-USD'!$D106,'01. KE30'!$F:$F,'06. BC BH THEO CUSTOMER-USD'!$H106,'01. KE30'!$A:$A,'06. BC BH THEO CUSTOMER-USD'!P$4)/'06. BC BH THEO CUSTOMER-USD'!CV106/'02. Tỷ giá'!E$5,"-")</f>
        <v>-</v>
      </c>
      <c r="Q106" s="106" t="str">
        <f>IFERROR(SUMIFS('01. KE30'!$K:$K,'01. KE30'!$C:$C,'06. BC BH THEO CUSTOMER-USD'!$D106,'01. KE30'!$F:$F,'06. BC BH THEO CUSTOMER-USD'!$H106,'01. KE30'!$A:$A,'06. BC BH THEO CUSTOMER-USD'!Q$4)/'06. BC BH THEO CUSTOMER-USD'!CW106/'02. Tỷ giá'!F$5,"-")</f>
        <v>-</v>
      </c>
      <c r="R106" s="106">
        <f>IFERROR(SUMIFS('01. KE30'!$K:$K,'01. KE30'!$C:$C,'06. BC BH THEO CUSTOMER-USD'!$D106,'01. KE30'!$F:$F,'06. BC BH THEO CUSTOMER-USD'!$H106,'01. KE30'!$A:$A,'06. BC BH THEO CUSTOMER-USD'!R$4)/'06. BC BH THEO CUSTOMER-USD'!CX106/'02. Tỷ giá'!G$5,"-")</f>
        <v>1289.351851851852</v>
      </c>
      <c r="S106" s="106">
        <f>IFERROR(SUMIFS('01. KE30'!$K:$K,'01. KE30'!$C:$C,'06. BC BH THEO CUSTOMER-USD'!$D106,'01. KE30'!$F:$F,'06. BC BH THEO CUSTOMER-USD'!$H106,'01. KE30'!$A:$A,'06. BC BH THEO CUSTOMER-USD'!S$4)/'06. BC BH THEO CUSTOMER-USD'!CY106/'02. Tỷ giá'!H$5,"-")</f>
        <v>1283.9031886285054</v>
      </c>
      <c r="T106" s="106" t="str">
        <f>IFERROR(SUMIFS('01. KE30'!$K:$K,'01. KE30'!$C:$C,'06. BC BH THEO CUSTOMER-USD'!$D106,'01. KE30'!$F:$F,'06. BC BH THEO CUSTOMER-USD'!$H106,'01. KE30'!$A:$A,'06. BC BH THEO CUSTOMER-USD'!T$4)/'06. BC BH THEO CUSTOMER-USD'!CZ106/'02. Tỷ giá'!I$5,"-")</f>
        <v>-</v>
      </c>
      <c r="U106" s="106" t="str">
        <f>IFERROR(SUMIFS('01. KE30'!$K:$K,'01. KE30'!$C:$C,'06. BC BH THEO CUSTOMER-USD'!$D106,'01. KE30'!$F:$F,'06. BC BH THEO CUSTOMER-USD'!$H106,'01. KE30'!$A:$A,'06. BC BH THEO CUSTOMER-USD'!U$4)/'06. BC BH THEO CUSTOMER-USD'!DA106/'02. Tỷ giá'!J$5,"-")</f>
        <v>-</v>
      </c>
      <c r="V106" s="106" t="str">
        <f>IFERROR(SUMIFS('01. KE30'!$K:$K,'01. KE30'!$C:$C,'06. BC BH THEO CUSTOMER-USD'!$D106,'01. KE30'!$F:$F,'06. BC BH THEO CUSTOMER-USD'!$H106,'01. KE30'!$A:$A,'06. BC BH THEO CUSTOMER-USD'!V$4)/'06. BC BH THEO CUSTOMER-USD'!DB106/'02. Tỷ giá'!K$5,"-")</f>
        <v>-</v>
      </c>
      <c r="W106" s="106" t="str">
        <f>IFERROR(SUMIFS('01. KE30'!$K:$K,'01. KE30'!$C:$C,'06. BC BH THEO CUSTOMER-USD'!$D106,'01. KE30'!$F:$F,'06. BC BH THEO CUSTOMER-USD'!$H106,'01. KE30'!$A:$A,'06. BC BH THEO CUSTOMER-USD'!W$4)/'06. BC BH THEO CUSTOMER-USD'!DC106/'02. Tỷ giá'!L$5,"-")</f>
        <v>-</v>
      </c>
      <c r="X106" s="106" t="str">
        <f>IFERROR(SUMIFS('01. KE30'!$K:$K,'01. KE30'!$C:$C,'06. BC BH THEO CUSTOMER-USD'!$D106,'01. KE30'!$F:$F,'06. BC BH THEO CUSTOMER-USD'!$H106,'01. KE30'!$A:$A,'06. BC BH THEO CUSTOMER-USD'!X$4)/'06. BC BH THEO CUSTOMER-USD'!DD106/'02. Tỷ giá'!M$5,"-")</f>
        <v>-</v>
      </c>
      <c r="Z106" s="92">
        <f t="shared" si="945"/>
        <v>1286.6275202401787</v>
      </c>
      <c r="AA106" s="147" t="str">
        <f>IFERROR(SUMIFS('01. KE30'!$O:$O,'01. KE30'!$C:$C,'06. BC BH THEO CUSTOMER-USD'!$D106,'01. KE30'!$F:$F,'06. BC BH THEO CUSTOMER-USD'!$H106,'01. KE30'!$A:$A,'06. BC BH THEO CUSTOMER-USD'!M$4)/'06. BC BH THEO CUSTOMER-USD'!CS106/'02. Tỷ giá'!B$5,"-")</f>
        <v>-</v>
      </c>
      <c r="AB106" s="147" t="str">
        <f>IFERROR(SUMIFS('01. KE30'!$O:$O,'01. KE30'!$C:$C,'06. BC BH THEO CUSTOMER-USD'!$D106,'01. KE30'!$F:$F,'06. BC BH THEO CUSTOMER-USD'!$H106,'01. KE30'!$A:$A,'06. BC BH THEO CUSTOMER-USD'!N$4)/'06. BC BH THEO CUSTOMER-USD'!CT106/'02. Tỷ giá'!C$5,"-")</f>
        <v>-</v>
      </c>
      <c r="AC106" s="147" t="str">
        <f>IFERROR(SUMIFS('01. KE30'!$O:$O,'01. KE30'!$C:$C,'06. BC BH THEO CUSTOMER-USD'!$D106,'01. KE30'!$F:$F,'06. BC BH THEO CUSTOMER-USD'!$H106,'01. KE30'!$A:$A,'06. BC BH THEO CUSTOMER-USD'!O$4)/'06. BC BH THEO CUSTOMER-USD'!CU106/'02. Tỷ giá'!D$5,"-")</f>
        <v>-</v>
      </c>
      <c r="AD106" s="147" t="str">
        <f>IFERROR(SUMIFS('01. KE30'!$O:$O,'01. KE30'!$C:$C,'06. BC BH THEO CUSTOMER-USD'!$D106,'01. KE30'!$F:$F,'06. BC BH THEO CUSTOMER-USD'!$H106,'01. KE30'!$A:$A,'06. BC BH THEO CUSTOMER-USD'!P$4)/'06. BC BH THEO CUSTOMER-USD'!CV106/'02. Tỷ giá'!E$5,"-")</f>
        <v>-</v>
      </c>
      <c r="AE106" s="147" t="str">
        <f>IFERROR(SUMIFS('01. KE30'!$O:$O,'01. KE30'!$C:$C,'06. BC BH THEO CUSTOMER-USD'!$D106,'01. KE30'!$F:$F,'06. BC BH THEO CUSTOMER-USD'!$H106,'01. KE30'!$A:$A,'06. BC BH THEO CUSTOMER-USD'!Q$4)/'06. BC BH THEO CUSTOMER-USD'!CW106/'02. Tỷ giá'!F$5,"-")</f>
        <v>-</v>
      </c>
      <c r="AF106" s="147">
        <f>IFERROR(SUMIFS('01. KE30'!$O:$O,'01. KE30'!$C:$C,'06. BC BH THEO CUSTOMER-USD'!$D106,'01. KE30'!$F:$F,'06. BC BH THEO CUSTOMER-USD'!$H106,'01. KE30'!$A:$A,'06. BC BH THEO CUSTOMER-USD'!R$4)/'06. BC BH THEO CUSTOMER-USD'!CX106/'02. Tỷ giá'!G$5,"-")</f>
        <v>1289.351851851852</v>
      </c>
      <c r="AG106" s="147">
        <f>IFERROR(SUMIFS('01. KE30'!$O:$O,'01. KE30'!$C:$C,'06. BC BH THEO CUSTOMER-USD'!$D106,'01. KE30'!$F:$F,'06. BC BH THEO CUSTOMER-USD'!$H106,'01. KE30'!$A:$A,'06. BC BH THEO CUSTOMER-USD'!S$4)/'06. BC BH THEO CUSTOMER-USD'!CY106/'02. Tỷ giá'!H$5,"-")</f>
        <v>1283.9031886285054</v>
      </c>
      <c r="AH106" s="147" t="str">
        <f>IFERROR(SUMIFS('01. KE30'!$O:$O,'01. KE30'!$C:$C,'06. BC BH THEO CUSTOMER-USD'!$D106,'01. KE30'!$F:$F,'06. BC BH THEO CUSTOMER-USD'!$H106,'01. KE30'!$A:$A,'06. BC BH THEO CUSTOMER-USD'!T$4)/'06. BC BH THEO CUSTOMER-USD'!CZ106/'02. Tỷ giá'!I$5,"-")</f>
        <v>-</v>
      </c>
      <c r="AI106" s="147" t="str">
        <f>IFERROR(SUMIFS('01. KE30'!$O:$O,'01. KE30'!$C:$C,'06. BC BH THEO CUSTOMER-USD'!$D106,'01. KE30'!$F:$F,'06. BC BH THEO CUSTOMER-USD'!$H106,'01. KE30'!$A:$A,'06. BC BH THEO CUSTOMER-USD'!U$4)/'06. BC BH THEO CUSTOMER-USD'!DA106/'02. Tỷ giá'!J$5,"-")</f>
        <v>-</v>
      </c>
      <c r="AJ106" s="147" t="str">
        <f>IFERROR(SUMIFS('01. KE30'!$O:$O,'01. KE30'!$C:$C,'06. BC BH THEO CUSTOMER-USD'!$D106,'01. KE30'!$F:$F,'06. BC BH THEO CUSTOMER-USD'!$H106,'01. KE30'!$A:$A,'06. BC BH THEO CUSTOMER-USD'!V$4)/'06. BC BH THEO CUSTOMER-USD'!DB106/'02. Tỷ giá'!K$5,"-")</f>
        <v>-</v>
      </c>
      <c r="AK106" s="147" t="str">
        <f>IFERROR(SUMIFS('01. KE30'!$O:$O,'01. KE30'!$C:$C,'06. BC BH THEO CUSTOMER-USD'!$D106,'01. KE30'!$F:$F,'06. BC BH THEO CUSTOMER-USD'!$H106,'01. KE30'!$A:$A,'06. BC BH THEO CUSTOMER-USD'!W$4)/'06. BC BH THEO CUSTOMER-USD'!DC106/'02. Tỷ giá'!L$5,"-")</f>
        <v>-</v>
      </c>
      <c r="AL106" s="147" t="str">
        <f>IFERROR(SUMIFS('01. KE30'!$O:$O,'01. KE30'!$C:$C,'06. BC BH THEO CUSTOMER-USD'!$D106,'01. KE30'!$F:$F,'06. BC BH THEO CUSTOMER-USD'!$H106,'01. KE30'!$A:$A,'06. BC BH THEO CUSTOMER-USD'!X$4)/'06. BC BH THEO CUSTOMER-USD'!DD106/'02. Tỷ giá'!M$5,"-")</f>
        <v>-</v>
      </c>
      <c r="AN106" s="92">
        <f t="shared" si="946"/>
        <v>1236.6666666666667</v>
      </c>
      <c r="AO106" s="25">
        <v>1230</v>
      </c>
      <c r="AP106" s="25">
        <v>1230</v>
      </c>
      <c r="AQ106" s="4">
        <v>1230</v>
      </c>
      <c r="AR106" s="4">
        <f t="shared" si="1003"/>
        <v>1250</v>
      </c>
      <c r="AS106" s="4">
        <v>1250</v>
      </c>
      <c r="AT106" s="4">
        <v>1250</v>
      </c>
      <c r="AU106" s="25">
        <v>1250</v>
      </c>
      <c r="AV106" s="4">
        <f t="shared" si="205"/>
        <v>1220</v>
      </c>
      <c r="AW106" s="25">
        <v>1220</v>
      </c>
      <c r="AX106" s="25"/>
      <c r="AY106" s="4"/>
      <c r="AZ106" s="4"/>
      <c r="BB106" s="95">
        <f t="shared" si="947"/>
        <v>49.96085357351194</v>
      </c>
      <c r="BC106" s="95" t="str">
        <f t="shared" si="948"/>
        <v>-</v>
      </c>
      <c r="BD106" s="95" t="str">
        <f t="shared" si="949"/>
        <v>-</v>
      </c>
      <c r="BE106" s="95" t="str">
        <f t="shared" si="950"/>
        <v>-</v>
      </c>
      <c r="BF106" s="95" t="str">
        <f t="shared" si="951"/>
        <v>-</v>
      </c>
      <c r="BG106" s="95" t="str">
        <f t="shared" si="952"/>
        <v>-</v>
      </c>
      <c r="BH106" s="95">
        <f t="shared" si="953"/>
        <v>39.351851851851961</v>
      </c>
      <c r="BI106" s="95">
        <f t="shared" si="954"/>
        <v>33.903188628505404</v>
      </c>
      <c r="BJ106" s="95" t="str">
        <f t="shared" si="955"/>
        <v>-</v>
      </c>
      <c r="BK106" s="95" t="str">
        <f t="shared" si="956"/>
        <v>-</v>
      </c>
      <c r="BL106" s="95" t="str">
        <f t="shared" si="957"/>
        <v>-</v>
      </c>
      <c r="BM106" s="95" t="str">
        <f t="shared" si="958"/>
        <v>-</v>
      </c>
      <c r="BN106" s="95" t="str">
        <f t="shared" si="959"/>
        <v>-</v>
      </c>
      <c r="BP106" s="143">
        <f t="shared" si="960"/>
        <v>4.0399612054052778E-2</v>
      </c>
      <c r="BQ106" s="143" t="str">
        <f t="shared" si="961"/>
        <v>-</v>
      </c>
      <c r="BR106" s="143" t="str">
        <f t="shared" si="962"/>
        <v>-</v>
      </c>
      <c r="BS106" s="143" t="str">
        <f t="shared" si="963"/>
        <v>-</v>
      </c>
      <c r="BT106" s="143" t="str">
        <f t="shared" si="964"/>
        <v>-</v>
      </c>
      <c r="BU106" s="143" t="str">
        <f t="shared" si="965"/>
        <v>-</v>
      </c>
      <c r="BV106" s="143">
        <f t="shared" si="966"/>
        <v>3.1481481481481569E-2</v>
      </c>
      <c r="BW106" s="143">
        <f t="shared" si="967"/>
        <v>2.7122550902804323E-2</v>
      </c>
      <c r="BX106" s="143" t="str">
        <f t="shared" si="968"/>
        <v>-</v>
      </c>
      <c r="BY106" s="143" t="str">
        <f t="shared" si="969"/>
        <v>-</v>
      </c>
      <c r="BZ106" s="143" t="str">
        <f t="shared" si="970"/>
        <v>-</v>
      </c>
      <c r="CA106" s="143" t="str">
        <f t="shared" si="971"/>
        <v>-</v>
      </c>
      <c r="CB106" s="143" t="str">
        <f t="shared" si="972"/>
        <v>-</v>
      </c>
      <c r="CD106" s="112">
        <f t="shared" si="973"/>
        <v>1086.989790011784</v>
      </c>
      <c r="CE106" s="95" t="str">
        <f>IFERROR(SUMIFS('01. KE30'!$R:$R,'01. KE30'!$C:$C,'06. BC BH THEO CUSTOMER-USD'!$D106,'01. KE30'!$F:$F,'06. BC BH THEO CUSTOMER-USD'!$H106,'01. KE30'!$A:$A,'06. BC BH THEO CUSTOMER-USD'!CE$4)/CS106/'02. Tỷ giá'!B$5," -")</f>
        <v xml:space="preserve"> -</v>
      </c>
      <c r="CF106" s="95" t="str">
        <f>IFERROR(SUMIFS('01. KE30'!$R:$R,'01. KE30'!$C:$C,'06. BC BH THEO CUSTOMER-USD'!$D106,'01. KE30'!$F:$F,'06. BC BH THEO CUSTOMER-USD'!$H106,'01. KE30'!$A:$A,'06. BC BH THEO CUSTOMER-USD'!CF$4)/CT106/'02. Tỷ giá'!C$5," -")</f>
        <v xml:space="preserve"> -</v>
      </c>
      <c r="CG106" s="95" t="str">
        <f>IFERROR(SUMIFS('01. KE30'!$R:$R,'01. KE30'!$C:$C,'06. BC BH THEO CUSTOMER-USD'!$D106,'01. KE30'!$F:$F,'06. BC BH THEO CUSTOMER-USD'!$H106,'01. KE30'!$A:$A,'06. BC BH THEO CUSTOMER-USD'!CG$4)/CU106/'02. Tỷ giá'!D$5," -")</f>
        <v xml:space="preserve"> -</v>
      </c>
      <c r="CH106" s="95" t="str">
        <f>IFERROR(SUMIFS('01. KE30'!$R:$R,'01. KE30'!$C:$C,'06. BC BH THEO CUSTOMER-USD'!$D106,'01. KE30'!$F:$F,'06. BC BH THEO CUSTOMER-USD'!$H106,'01. KE30'!$A:$A,'06. BC BH THEO CUSTOMER-USD'!CH$4)/CV106/'02. Tỷ giá'!E$5," -")</f>
        <v xml:space="preserve"> -</v>
      </c>
      <c r="CI106" s="95" t="str">
        <f>IFERROR(SUMIFS('01. KE30'!$R:$R,'01. KE30'!$C:$C,'06. BC BH THEO CUSTOMER-USD'!$D106,'01. KE30'!$F:$F,'06. BC BH THEO CUSTOMER-USD'!$H106,'01. KE30'!$A:$A,'06. BC BH THEO CUSTOMER-USD'!CI$4)/CW106/'02. Tỷ giá'!F$5," -")</f>
        <v xml:space="preserve"> -</v>
      </c>
      <c r="CJ106" s="95">
        <f>IFERROR(SUMIFS('01. KE30'!$R:$R,'01. KE30'!$C:$C,'06. BC BH THEO CUSTOMER-USD'!$D106,'01. KE30'!$F:$F,'06. BC BH THEO CUSTOMER-USD'!$H106,'01. KE30'!$A:$A,'06. BC BH THEO CUSTOMER-USD'!CJ$4)/CX106/'02. Tỷ giá'!G$5," -")</f>
        <v>1078.8703703703704</v>
      </c>
      <c r="CK106" s="95">
        <f>IFERROR(SUMIFS('01. KE30'!$R:$R,'01. KE30'!$C:$C,'06. BC BH THEO CUSTOMER-USD'!$D106,'01. KE30'!$F:$F,'06. BC BH THEO CUSTOMER-USD'!$H106,'01. KE30'!$A:$A,'06. BC BH THEO CUSTOMER-USD'!CK$4)/CY106/'02. Tỷ giá'!H$5," -")</f>
        <v>1095.1092096531972</v>
      </c>
      <c r="CL106" s="95" t="str">
        <f>IFERROR(SUMIFS('01. KE30'!$R:$R,'01. KE30'!$C:$C,'06. BC BH THEO CUSTOMER-USD'!$D106,'01. KE30'!$F:$F,'06. BC BH THEO CUSTOMER-USD'!$H106,'01. KE30'!$A:$A,'06. BC BH THEO CUSTOMER-USD'!CL$4)/CZ106/'02. Tỷ giá'!I$5," -")</f>
        <v xml:space="preserve"> -</v>
      </c>
      <c r="CM106" s="95" t="str">
        <f>IFERROR(SUMIFS('01. KE30'!$R:$R,'01. KE30'!$C:$C,'06. BC BH THEO CUSTOMER-USD'!$D106,'01. KE30'!$F:$F,'06. BC BH THEO CUSTOMER-USD'!$H106,'01. KE30'!$A:$A,'06. BC BH THEO CUSTOMER-USD'!CM$4)/DA106/'02. Tỷ giá'!J$5," -")</f>
        <v xml:space="preserve"> -</v>
      </c>
      <c r="CN106" s="95" t="str">
        <f>IFERROR(SUMIFS('01. KE30'!$R:$R,'01. KE30'!$C:$C,'06. BC BH THEO CUSTOMER-USD'!$D106,'01. KE30'!$F:$F,'06. BC BH THEO CUSTOMER-USD'!$H106,'01. KE30'!$A:$A,'06. BC BH THEO CUSTOMER-USD'!CN$4)/DB106/'02. Tỷ giá'!K$5," -")</f>
        <v xml:space="preserve"> -</v>
      </c>
      <c r="CO106" s="95" t="str">
        <f>IFERROR(SUMIFS('01. KE30'!$R:$R,'01. KE30'!$C:$C,'06. BC BH THEO CUSTOMER-USD'!$D106,'01. KE30'!$F:$F,'06. BC BH THEO CUSTOMER-USD'!$H106,'01. KE30'!$A:$A,'06. BC BH THEO CUSTOMER-USD'!CO$4)/DC106/'02. Tỷ giá'!L$5," -")</f>
        <v xml:space="preserve"> -</v>
      </c>
      <c r="CP106" s="95" t="str">
        <f>IFERROR(SUMIFS('01. KE30'!$R:$R,'01. KE30'!$C:$C,'06. BC BH THEO CUSTOMER-USD'!$D106,'01. KE30'!$F:$F,'06. BC BH THEO CUSTOMER-USD'!$H106,'01. KE30'!$A:$A,'06. BC BH THEO CUSTOMER-USD'!CP$4)/DD106/'02. Tỷ giá'!M$5," -")</f>
        <v xml:space="preserve"> -</v>
      </c>
      <c r="CR106" s="112">
        <f t="shared" si="974"/>
        <v>1.125</v>
      </c>
      <c r="CS106" s="114">
        <f>SUMIFS('01. KE30'!$I:$I,'01. KE30'!$C:$C,'06. BC BH THEO CUSTOMER-USD'!$D106,'01. KE30'!$F:$F,'06. BC BH THEO CUSTOMER-USD'!$H106,'01. KE30'!$A:$A,'06. BC BH THEO CUSTOMER-USD'!CS$4)/1000</f>
        <v>0</v>
      </c>
      <c r="CT106" s="114">
        <f>SUMIFS('01. KE30'!$I:$I,'01. KE30'!$C:$C,'06. BC BH THEO CUSTOMER-USD'!$D106,'01. KE30'!$F:$F,'06. BC BH THEO CUSTOMER-USD'!$H106,'01. KE30'!$A:$A,'06. BC BH THEO CUSTOMER-USD'!CT$4)/1000</f>
        <v>0</v>
      </c>
      <c r="CU106" s="114">
        <f>SUMIFS('01. KE30'!$I:$I,'01. KE30'!$C:$C,'06. BC BH THEO CUSTOMER-USD'!$D106,'01. KE30'!$F:$F,'06. BC BH THEO CUSTOMER-USD'!$H106,'01. KE30'!$A:$A,'06. BC BH THEO CUSTOMER-USD'!CU$4)/1000</f>
        <v>0</v>
      </c>
      <c r="CV106" s="725">
        <f>SUMIFS('01. KE30'!$I:$I,'01. KE30'!$C:$C,'06. BC BH THEO CUSTOMER-USD'!$D106,'01. KE30'!$F:$F,'06. BC BH THEO CUSTOMER-USD'!$H106,'01. KE30'!$A:$A,'06. BC BH THEO CUSTOMER-USD'!CV$4)/1000</f>
        <v>0</v>
      </c>
      <c r="CW106" s="114">
        <f>SUMIFS('01. KE30'!$I:$I,'01. KE30'!$C:$C,'06. BC BH THEO CUSTOMER-USD'!$D106,'01. KE30'!$F:$F,'06. BC BH THEO CUSTOMER-USD'!$H106,'01. KE30'!$A:$A,'06. BC BH THEO CUSTOMER-USD'!CW$4)/1000</f>
        <v>0</v>
      </c>
      <c r="CX106" s="114">
        <f>SUMIFS('01. KE30'!$I:$I,'01. KE30'!$C:$C,'06. BC BH THEO CUSTOMER-USD'!$D106,'01. KE30'!$F:$F,'06. BC BH THEO CUSTOMER-USD'!$H106,'01. KE30'!$A:$A,'06. BC BH THEO CUSTOMER-USD'!CX$4)/1000</f>
        <v>2.5000000000000001E-2</v>
      </c>
      <c r="CY106" s="114">
        <f>SUMIFS('01. KE30'!$I:$I,'01. KE30'!$C:$C,'06. BC BH THEO CUSTOMER-USD'!$D106,'01. KE30'!$F:$F,'06. BC BH THEO CUSTOMER-USD'!$H106,'01. KE30'!$A:$A,'06. BC BH THEO CUSTOMER-USD'!CY$4)/1000</f>
        <v>1.1000000000000001</v>
      </c>
      <c r="CZ106" s="114">
        <f>SUMIFS('01. KE30'!$I:$I,'01. KE30'!$C:$C,'06. BC BH THEO CUSTOMER-USD'!$D106,'01. KE30'!$F:$F,'06. BC BH THEO CUSTOMER-USD'!$H106,'01. KE30'!$A:$A,'06. BC BH THEO CUSTOMER-USD'!CZ$4)/1000</f>
        <v>0</v>
      </c>
      <c r="DA106" s="114">
        <f>SUMIFS('01. KE30'!$I:$I,'01. KE30'!$C:$C,'06. BC BH THEO CUSTOMER-USD'!$D106,'01. KE30'!$F:$F,'06. BC BH THEO CUSTOMER-USD'!$H106,'01. KE30'!$A:$A,'06. BC BH THEO CUSTOMER-USD'!DA$4)/1000</f>
        <v>0</v>
      </c>
      <c r="DB106" s="114">
        <f>SUMIFS('01. KE30'!$I:$I,'01. KE30'!$C:$C,'06. BC BH THEO CUSTOMER-USD'!$D106,'01. KE30'!$F:$F,'06. BC BH THEO CUSTOMER-USD'!$H106,'01. KE30'!$A:$A,'06. BC BH THEO CUSTOMER-USD'!DB$4)/1000</f>
        <v>0</v>
      </c>
      <c r="DC106" s="114">
        <f>SUMIFS('01. KE30'!$I:$I,'01. KE30'!$C:$C,'06. BC BH THEO CUSTOMER-USD'!$D106,'01. KE30'!$F:$F,'06. BC BH THEO CUSTOMER-USD'!$H106,'01. KE30'!$A:$A,'06. BC BH THEO CUSTOMER-USD'!DC$4)/1000</f>
        <v>0</v>
      </c>
      <c r="DD106" s="114">
        <f>SUMIFS('01. KE30'!$I:$I,'01. KE30'!$C:$C,'06. BC BH THEO CUSTOMER-USD'!$D106,'01. KE30'!$F:$F,'06. BC BH THEO CUSTOMER-USD'!$H106,'01. KE30'!$A:$A,'06. BC BH THEO CUSTOMER-USD'!DD$4)/1000</f>
        <v>0</v>
      </c>
      <c r="DF106" s="120">
        <f t="shared" si="975"/>
        <v>1444.5273037876523</v>
      </c>
      <c r="DG106" s="54" t="str">
        <f t="shared" si="976"/>
        <v>-</v>
      </c>
      <c r="DH106" s="54" t="str">
        <f t="shared" si="977"/>
        <v>-</v>
      </c>
      <c r="DI106" s="54" t="str">
        <f t="shared" si="978"/>
        <v>-</v>
      </c>
      <c r="DJ106" s="54" t="str">
        <f t="shared" si="979"/>
        <v>-</v>
      </c>
      <c r="DK106" s="54" t="str">
        <f t="shared" si="980"/>
        <v>-</v>
      </c>
      <c r="DL106" s="54">
        <f t="shared" si="981"/>
        <v>32.233796296296298</v>
      </c>
      <c r="DM106" s="54">
        <f t="shared" si="982"/>
        <v>1412.293507491356</v>
      </c>
      <c r="DN106" s="54" t="str">
        <f t="shared" si="983"/>
        <v>-</v>
      </c>
      <c r="DO106" s="54" t="str">
        <f t="shared" si="984"/>
        <v>-</v>
      </c>
      <c r="DP106" s="54" t="str">
        <f t="shared" si="985"/>
        <v>-</v>
      </c>
      <c r="DQ106" s="54" t="str">
        <f t="shared" si="986"/>
        <v>-</v>
      </c>
      <c r="DR106" s="54" t="str">
        <f t="shared" si="987"/>
        <v>-</v>
      </c>
      <c r="DT106" s="112">
        <f t="shared" si="988"/>
        <v>212.9354139098761</v>
      </c>
      <c r="DU106" s="114">
        <f>IFERROR(SUMIFS('01. KE30'!$X:$X,'01. KE30'!$C:$C,'06. BC BH THEO CUSTOMER-USD'!$D106,'01. KE30'!$F:$F,'06. BC BH THEO CUSTOMER-USD'!$H106,'01. KE30'!$A:$A,'06. BC BH THEO CUSTOMER-USD'!DU$4)-SUMIFS('01. KE30'!$AA:$AA,'01. KE30'!$C:$C,'06. BC BH THEO CUSTOMER-USD'!$D106,'01. KE30'!$F:$F,'06. BC BH THEO CUSTOMER-USD'!$H106,'01. KE30'!$A:$A,'06. BC BH THEO CUSTOMER-USD'!DU$4),"-")</f>
        <v>0</v>
      </c>
      <c r="DV106" s="114">
        <f>IFERROR(SUMIFS('01. KE30'!$X:$X,'01. KE30'!$C:$C,'06. BC BH THEO CUSTOMER-USD'!$D106,'01. KE30'!$F:$F,'06. BC BH THEO CUSTOMER-USD'!$H106,'01. KE30'!$A:$A,'06. BC BH THEO CUSTOMER-USD'!DV$4)-SUMIFS('01. KE30'!$AA:$AA,'01. KE30'!$C:$C,'06. BC BH THEO CUSTOMER-USD'!$D106,'01. KE30'!$F:$F,'06. BC BH THEO CUSTOMER-USD'!$H106,'01. KE30'!$A:$A,'06. BC BH THEO CUSTOMER-USD'!DV$4),"-")</f>
        <v>0</v>
      </c>
      <c r="DW106" s="114">
        <f>IFERROR(SUMIFS('01. KE30'!$X:$X,'01. KE30'!$C:$C,'06. BC BH THEO CUSTOMER-USD'!$D106,'01. KE30'!$F:$F,'06. BC BH THEO CUSTOMER-USD'!$H106,'01. KE30'!$A:$A,'06. BC BH THEO CUSTOMER-USD'!DW$4)-SUMIFS('01. KE30'!$AA:$AA,'01. KE30'!$C:$C,'06. BC BH THEO CUSTOMER-USD'!$D106,'01. KE30'!$F:$F,'06. BC BH THEO CUSTOMER-USD'!$H106,'01. KE30'!$A:$A,'06. BC BH THEO CUSTOMER-USD'!DW$4),"-")</f>
        <v>0</v>
      </c>
      <c r="DX106" s="114">
        <f>IFERROR(SUMIFS('01. KE30'!$X:$X,'01. KE30'!$C:$C,'06. BC BH THEO CUSTOMER-USD'!$D106,'01. KE30'!$F:$F,'06. BC BH THEO CUSTOMER-USD'!$H106,'01. KE30'!$A:$A,'06. BC BH THEO CUSTOMER-USD'!DX$4)-SUMIFS('01. KE30'!$AA:$AA,'01. KE30'!$C:$C,'06. BC BH THEO CUSTOMER-USD'!$D106,'01. KE30'!$F:$F,'06. BC BH THEO CUSTOMER-USD'!$H106,'01. KE30'!$A:$A,'06. BC BH THEO CUSTOMER-USD'!DX$4),"-")</f>
        <v>0</v>
      </c>
      <c r="DY106" s="114">
        <f>IFERROR(SUMIFS('01. KE30'!$X:$X,'01. KE30'!$C:$C,'06. BC BH THEO CUSTOMER-USD'!$D106,'01. KE30'!$F:$F,'06. BC BH THEO CUSTOMER-USD'!$H106,'01. KE30'!$A:$A,'06. BC BH THEO CUSTOMER-USD'!DY$4)-SUMIFS('01. KE30'!$AA:$AA,'01. KE30'!$C:$C,'06. BC BH THEO CUSTOMER-USD'!$D106,'01. KE30'!$F:$F,'06. BC BH THEO CUSTOMER-USD'!$H106,'01. KE30'!$A:$A,'06. BC BH THEO CUSTOMER-USD'!DY$4),"-")</f>
        <v>0</v>
      </c>
      <c r="DZ106" s="114">
        <f>IFERROR(SUMIFS('01. KE30'!$X:$X,'01. KE30'!$C:$C,'06. BC BH THEO CUSTOMER-USD'!$D106,'01. KE30'!$F:$F,'06. BC BH THEO CUSTOMER-USD'!$H106,'01. KE30'!$A:$A,'06. BC BH THEO CUSTOMER-USD'!DZ$4)-SUMIFS('01. KE30'!$AA:$AA,'01. KE30'!$C:$C,'06. BC BH THEO CUSTOMER-USD'!$D106,'01. KE30'!$F:$F,'06. BC BH THEO CUSTOMER-USD'!$H106,'01. KE30'!$A:$A,'06. BC BH THEO CUSTOMER-USD'!DZ$4),"-")</f>
        <v>5.2620370370370395</v>
      </c>
      <c r="EA106" s="114">
        <f>IFERROR(SUMIFS('01. KE30'!$X:$X,'01. KE30'!$C:$C,'06. BC BH THEO CUSTOMER-USD'!$D106,'01. KE30'!$F:$F,'06. BC BH THEO CUSTOMER-USD'!$H106,'01. KE30'!$A:$A,'06. BC BH THEO CUSTOMER-USD'!EA$4)-SUMIFS('01. KE30'!$AA:$AA,'01. KE30'!$C:$C,'06. BC BH THEO CUSTOMER-USD'!$D106,'01. KE30'!$F:$F,'06. BC BH THEO CUSTOMER-USD'!$H106,'01. KE30'!$A:$A,'06. BC BH THEO CUSTOMER-USD'!EA$4),"-")</f>
        <v>207.67337687283907</v>
      </c>
      <c r="EB106" s="114">
        <f>IFERROR(SUMIFS('01. KE30'!$X:$X,'01. KE30'!$C:$C,'06. BC BH THEO CUSTOMER-USD'!$D106,'01. KE30'!$F:$F,'06. BC BH THEO CUSTOMER-USD'!$H106,'01. KE30'!$A:$A,'06. BC BH THEO CUSTOMER-USD'!EB$4)-SUMIFS('01. KE30'!$AA:$AA,'01. KE30'!$C:$C,'06. BC BH THEO CUSTOMER-USD'!$D106,'01. KE30'!$F:$F,'06. BC BH THEO CUSTOMER-USD'!$H106,'01. KE30'!$A:$A,'06. BC BH THEO CUSTOMER-USD'!EB$4),"-")</f>
        <v>0</v>
      </c>
      <c r="EC106" s="114">
        <f>IFERROR(SUMIFS('01. KE30'!$X:$X,'01. KE30'!$C:$C,'06. BC BH THEO CUSTOMER-USD'!$D106,'01. KE30'!$F:$F,'06. BC BH THEO CUSTOMER-USD'!$H106,'01. KE30'!$A:$A,'06. BC BH THEO CUSTOMER-USD'!EC$4)-SUMIFS('01. KE30'!$AA:$AA,'01. KE30'!$C:$C,'06. BC BH THEO CUSTOMER-USD'!$D106,'01. KE30'!$F:$F,'06. BC BH THEO CUSTOMER-USD'!$H106,'01. KE30'!$A:$A,'06. BC BH THEO CUSTOMER-USD'!EC$4),"-")</f>
        <v>0</v>
      </c>
      <c r="ED106" s="114">
        <f>IFERROR(SUMIFS('01. KE30'!$X:$X,'01. KE30'!$C:$C,'06. BC BH THEO CUSTOMER-USD'!$D106,'01. KE30'!$F:$F,'06. BC BH THEO CUSTOMER-USD'!$H106,'01. KE30'!$A:$A,'06. BC BH THEO CUSTOMER-USD'!ED$4)-SUMIFS('01. KE30'!$AA:$AA,'01. KE30'!$C:$C,'06. BC BH THEO CUSTOMER-USD'!$D106,'01. KE30'!$F:$F,'06. BC BH THEO CUSTOMER-USD'!$H106,'01. KE30'!$A:$A,'06. BC BH THEO CUSTOMER-USD'!ED$4),"-")</f>
        <v>0</v>
      </c>
      <c r="EE106" s="114">
        <f>IFERROR(SUMIFS('01. KE30'!$X:$X,'01. KE30'!$C:$C,'06. BC BH THEO CUSTOMER-USD'!$D106,'01. KE30'!$F:$F,'06. BC BH THEO CUSTOMER-USD'!$H106,'01. KE30'!$A:$A,'06. BC BH THEO CUSTOMER-USD'!EE$4)-SUMIFS('01. KE30'!$AA:$AA,'01. KE30'!$C:$C,'06. BC BH THEO CUSTOMER-USD'!$D106,'01. KE30'!$F:$F,'06. BC BH THEO CUSTOMER-USD'!$H106,'01. KE30'!$A:$A,'06. BC BH THEO CUSTOMER-USD'!EE$4),"-")</f>
        <v>0</v>
      </c>
      <c r="EF106" s="114">
        <f>IFERROR(SUMIFS('01. KE30'!$X:$X,'01. KE30'!$C:$C,'06. BC BH THEO CUSTOMER-USD'!$D106,'01. KE30'!$F:$F,'06. BC BH THEO CUSTOMER-USD'!$H106,'01. KE30'!$A:$A,'06. BC BH THEO CUSTOMER-USD'!EF$4)-SUMIFS('01. KE30'!$AA:$AA,'01. KE30'!$C:$C,'06. BC BH THEO CUSTOMER-USD'!$D106,'01. KE30'!$F:$F,'06. BC BH THEO CUSTOMER-USD'!$H106,'01. KE30'!$A:$A,'06. BC BH THEO CUSTOMER-USD'!EF$4),"-")</f>
        <v>0</v>
      </c>
      <c r="EH106" s="571">
        <f t="shared" si="989"/>
        <v>0.14740836905716109</v>
      </c>
      <c r="EI106" s="572" t="str">
        <f t="shared" si="990"/>
        <v>-</v>
      </c>
      <c r="EJ106" s="572" t="str">
        <f t="shared" si="991"/>
        <v>-</v>
      </c>
      <c r="EK106" s="572" t="str">
        <f t="shared" si="992"/>
        <v>-</v>
      </c>
      <c r="EL106" s="572" t="str">
        <f t="shared" si="993"/>
        <v>-</v>
      </c>
      <c r="EM106" s="572" t="str">
        <f t="shared" si="994"/>
        <v>-</v>
      </c>
      <c r="EN106" s="572">
        <f t="shared" si="995"/>
        <v>0.16324596050269308</v>
      </c>
      <c r="EO106" s="572">
        <f t="shared" si="996"/>
        <v>0.14704689625156417</v>
      </c>
      <c r="EP106" s="572" t="str">
        <f t="shared" si="997"/>
        <v>-</v>
      </c>
      <c r="EQ106" s="572" t="str">
        <f t="shared" si="998"/>
        <v>-</v>
      </c>
      <c r="ER106" s="572" t="str">
        <f t="shared" si="999"/>
        <v>-</v>
      </c>
      <c r="ES106" s="572" t="str">
        <f t="shared" si="1000"/>
        <v>-</v>
      </c>
      <c r="ET106" s="572" t="str">
        <f t="shared" si="1001"/>
        <v>-</v>
      </c>
    </row>
    <row r="107" spans="1:150" ht="15.5" hidden="1" outlineLevel="1" x14ac:dyDescent="0.35">
      <c r="A107" s="27">
        <f t="shared" si="653"/>
        <v>90</v>
      </c>
      <c r="B107" s="27" t="s">
        <v>283</v>
      </c>
      <c r="C107" s="442" t="s">
        <v>489</v>
      </c>
      <c r="D107" s="9" t="s">
        <v>901</v>
      </c>
      <c r="E107" s="12" t="s">
        <v>902</v>
      </c>
      <c r="F107" s="12" t="s">
        <v>924</v>
      </c>
      <c r="G107" s="12" t="str">
        <f>_xlfn.XLOOKUP(F107,'Quy đổi'!$G$5:$G$32,'Quy đổi'!$H$5:$H$32,0)</f>
        <v>Châu Âu</v>
      </c>
      <c r="H107" s="76" t="s">
        <v>919</v>
      </c>
      <c r="I107" s="28" t="s">
        <v>920</v>
      </c>
      <c r="J107" s="6" t="s">
        <v>26</v>
      </c>
      <c r="K107" s="11" t="s">
        <v>90</v>
      </c>
      <c r="L107" s="92">
        <f t="shared" si="944"/>
        <v>1261.5752314814815</v>
      </c>
      <c r="M107" s="106" t="str">
        <f>IFERROR(SUMIFS('01. KE30'!$K:$K,'01. KE30'!$C:$C,'06. BC BH THEO CUSTOMER-USD'!$D107,'01. KE30'!$F:$F,'06. BC BH THEO CUSTOMER-USD'!$H107,'01. KE30'!$A:$A,'06. BC BH THEO CUSTOMER-USD'!M$4)/'06. BC BH THEO CUSTOMER-USD'!CS107/'02. Tỷ giá'!B$5,"-")</f>
        <v>-</v>
      </c>
      <c r="N107" s="106" t="str">
        <f>IFERROR(SUMIFS('01. KE30'!$K:$K,'01. KE30'!$C:$C,'06. BC BH THEO CUSTOMER-USD'!$D107,'01. KE30'!$F:$F,'06. BC BH THEO CUSTOMER-USD'!$H107,'01. KE30'!$A:$A,'06. BC BH THEO CUSTOMER-USD'!N$4)/'06. BC BH THEO CUSTOMER-USD'!CT107/'02. Tỷ giá'!C$5,"-")</f>
        <v>-</v>
      </c>
      <c r="O107" s="106" t="str">
        <f>IFERROR(SUMIFS('01. KE30'!$K:$K,'01. KE30'!$C:$C,'06. BC BH THEO CUSTOMER-USD'!$D107,'01. KE30'!$F:$F,'06. BC BH THEO CUSTOMER-USD'!$H107,'01. KE30'!$A:$A,'06. BC BH THEO CUSTOMER-USD'!O$4)/'06. BC BH THEO CUSTOMER-USD'!CU107/'02. Tỷ giá'!D$5,"-")</f>
        <v>-</v>
      </c>
      <c r="P107" s="106" t="str">
        <f>IFERROR(SUMIFS('01. KE30'!$K:$K,'01. KE30'!$C:$C,'06. BC BH THEO CUSTOMER-USD'!$D107,'01. KE30'!$F:$F,'06. BC BH THEO CUSTOMER-USD'!$H107,'01. KE30'!$A:$A,'06. BC BH THEO CUSTOMER-USD'!P$4)/'06. BC BH THEO CUSTOMER-USD'!CV107/'02. Tỷ giá'!E$5,"-")</f>
        <v>-</v>
      </c>
      <c r="Q107" s="106" t="str">
        <f>IFERROR(SUMIFS('01. KE30'!$K:$K,'01. KE30'!$C:$C,'06. BC BH THEO CUSTOMER-USD'!$D107,'01. KE30'!$F:$F,'06. BC BH THEO CUSTOMER-USD'!$H107,'01. KE30'!$A:$A,'06. BC BH THEO CUSTOMER-USD'!Q$4)/'06. BC BH THEO CUSTOMER-USD'!CW107/'02. Tỷ giá'!F$5,"-")</f>
        <v>-</v>
      </c>
      <c r="R107" s="106">
        <f>IFERROR(SUMIFS('01. KE30'!$K:$K,'01. KE30'!$C:$C,'06. BC BH THEO CUSTOMER-USD'!$D107,'01. KE30'!$F:$F,'06. BC BH THEO CUSTOMER-USD'!$H107,'01. KE30'!$A:$A,'06. BC BH THEO CUSTOMER-USD'!R$4)/'06. BC BH THEO CUSTOMER-USD'!CX107/'02. Tỷ giá'!G$5,"-")</f>
        <v>1261.5752314814815</v>
      </c>
      <c r="S107" s="106" t="str">
        <f>IFERROR(SUMIFS('01. KE30'!$K:$K,'01. KE30'!$C:$C,'06. BC BH THEO CUSTOMER-USD'!$D107,'01. KE30'!$F:$F,'06. BC BH THEO CUSTOMER-USD'!$H107,'01. KE30'!$A:$A,'06. BC BH THEO CUSTOMER-USD'!S$4)/'06. BC BH THEO CUSTOMER-USD'!CY107/'02. Tỷ giá'!H$5,"-")</f>
        <v>-</v>
      </c>
      <c r="T107" s="106" t="str">
        <f>IFERROR(SUMIFS('01. KE30'!$K:$K,'01. KE30'!$C:$C,'06. BC BH THEO CUSTOMER-USD'!$D107,'01. KE30'!$F:$F,'06. BC BH THEO CUSTOMER-USD'!$H107,'01. KE30'!$A:$A,'06. BC BH THEO CUSTOMER-USD'!T$4)/'06. BC BH THEO CUSTOMER-USD'!CZ107/'02. Tỷ giá'!I$5,"-")</f>
        <v>-</v>
      </c>
      <c r="U107" s="106" t="str">
        <f>IFERROR(SUMIFS('01. KE30'!$K:$K,'01. KE30'!$C:$C,'06. BC BH THEO CUSTOMER-USD'!$D107,'01. KE30'!$F:$F,'06. BC BH THEO CUSTOMER-USD'!$H107,'01. KE30'!$A:$A,'06. BC BH THEO CUSTOMER-USD'!U$4)/'06. BC BH THEO CUSTOMER-USD'!DA107/'02. Tỷ giá'!J$5,"-")</f>
        <v>-</v>
      </c>
      <c r="V107" s="106" t="str">
        <f>IFERROR(SUMIFS('01. KE30'!$K:$K,'01. KE30'!$C:$C,'06. BC BH THEO CUSTOMER-USD'!$D107,'01. KE30'!$F:$F,'06. BC BH THEO CUSTOMER-USD'!$H107,'01. KE30'!$A:$A,'06. BC BH THEO CUSTOMER-USD'!V$4)/'06. BC BH THEO CUSTOMER-USD'!DB107/'02. Tỷ giá'!K$5,"-")</f>
        <v>-</v>
      </c>
      <c r="W107" s="106" t="str">
        <f>IFERROR(SUMIFS('01. KE30'!$K:$K,'01. KE30'!$C:$C,'06. BC BH THEO CUSTOMER-USD'!$D107,'01. KE30'!$F:$F,'06. BC BH THEO CUSTOMER-USD'!$H107,'01. KE30'!$A:$A,'06. BC BH THEO CUSTOMER-USD'!W$4)/'06. BC BH THEO CUSTOMER-USD'!DC107/'02. Tỷ giá'!L$5,"-")</f>
        <v>-</v>
      </c>
      <c r="X107" s="106" t="str">
        <f>IFERROR(SUMIFS('01. KE30'!$K:$K,'01. KE30'!$C:$C,'06. BC BH THEO CUSTOMER-USD'!$D107,'01. KE30'!$F:$F,'06. BC BH THEO CUSTOMER-USD'!$H107,'01. KE30'!$A:$A,'06. BC BH THEO CUSTOMER-USD'!X$4)/'06. BC BH THEO CUSTOMER-USD'!DD107/'02. Tỷ giá'!M$5,"-")</f>
        <v>-</v>
      </c>
      <c r="Z107" s="92">
        <f t="shared" si="945"/>
        <v>1028.3296682098764</v>
      </c>
      <c r="AA107" s="147" t="str">
        <f>IFERROR(SUMIFS('01. KE30'!$O:$O,'01. KE30'!$C:$C,'06. BC BH THEO CUSTOMER-USD'!$D107,'01. KE30'!$F:$F,'06. BC BH THEO CUSTOMER-USD'!$H107,'01. KE30'!$A:$A,'06. BC BH THEO CUSTOMER-USD'!M$4)/'06. BC BH THEO CUSTOMER-USD'!CS107/'02. Tỷ giá'!B$5,"-")</f>
        <v>-</v>
      </c>
      <c r="AB107" s="147" t="str">
        <f>IFERROR(SUMIFS('01. KE30'!$O:$O,'01. KE30'!$C:$C,'06. BC BH THEO CUSTOMER-USD'!$D107,'01. KE30'!$F:$F,'06. BC BH THEO CUSTOMER-USD'!$H107,'01. KE30'!$A:$A,'06. BC BH THEO CUSTOMER-USD'!N$4)/'06. BC BH THEO CUSTOMER-USD'!CT107/'02. Tỷ giá'!C$5,"-")</f>
        <v>-</v>
      </c>
      <c r="AC107" s="147" t="str">
        <f>IFERROR(SUMIFS('01. KE30'!$O:$O,'01. KE30'!$C:$C,'06. BC BH THEO CUSTOMER-USD'!$D107,'01. KE30'!$F:$F,'06. BC BH THEO CUSTOMER-USD'!$H107,'01. KE30'!$A:$A,'06. BC BH THEO CUSTOMER-USD'!O$4)/'06. BC BH THEO CUSTOMER-USD'!CU107/'02. Tỷ giá'!D$5,"-")</f>
        <v>-</v>
      </c>
      <c r="AD107" s="147" t="str">
        <f>IFERROR(SUMIFS('01. KE30'!$O:$O,'01. KE30'!$C:$C,'06. BC BH THEO CUSTOMER-USD'!$D107,'01. KE30'!$F:$F,'06. BC BH THEO CUSTOMER-USD'!$H107,'01. KE30'!$A:$A,'06. BC BH THEO CUSTOMER-USD'!P$4)/'06. BC BH THEO CUSTOMER-USD'!CV107/'02. Tỷ giá'!E$5,"-")</f>
        <v>-</v>
      </c>
      <c r="AE107" s="147" t="str">
        <f>IFERROR(SUMIFS('01. KE30'!$O:$O,'01. KE30'!$C:$C,'06. BC BH THEO CUSTOMER-USD'!$D107,'01. KE30'!$F:$F,'06. BC BH THEO CUSTOMER-USD'!$H107,'01. KE30'!$A:$A,'06. BC BH THEO CUSTOMER-USD'!Q$4)/'06. BC BH THEO CUSTOMER-USD'!CW107/'02. Tỷ giá'!F$5,"-")</f>
        <v>-</v>
      </c>
      <c r="AF107" s="147">
        <f>IFERROR(SUMIFS('01. KE30'!$O:$O,'01. KE30'!$C:$C,'06. BC BH THEO CUSTOMER-USD'!$D107,'01. KE30'!$F:$F,'06. BC BH THEO CUSTOMER-USD'!$H107,'01. KE30'!$A:$A,'06. BC BH THEO CUSTOMER-USD'!R$4)/'06. BC BH THEO CUSTOMER-USD'!CX107/'02. Tỷ giá'!G$5,"-")</f>
        <v>1028.3296682098764</v>
      </c>
      <c r="AG107" s="147" t="str">
        <f>IFERROR(SUMIFS('01. KE30'!$O:$O,'01. KE30'!$C:$C,'06. BC BH THEO CUSTOMER-USD'!$D107,'01. KE30'!$F:$F,'06. BC BH THEO CUSTOMER-USD'!$H107,'01. KE30'!$A:$A,'06. BC BH THEO CUSTOMER-USD'!S$4)/'06. BC BH THEO CUSTOMER-USD'!CY107/'02. Tỷ giá'!H$5,"-")</f>
        <v>-</v>
      </c>
      <c r="AH107" s="147" t="str">
        <f>IFERROR(SUMIFS('01. KE30'!$O:$O,'01. KE30'!$C:$C,'06. BC BH THEO CUSTOMER-USD'!$D107,'01. KE30'!$F:$F,'06. BC BH THEO CUSTOMER-USD'!$H107,'01. KE30'!$A:$A,'06. BC BH THEO CUSTOMER-USD'!T$4)/'06. BC BH THEO CUSTOMER-USD'!CZ107/'02. Tỷ giá'!I$5,"-")</f>
        <v>-</v>
      </c>
      <c r="AI107" s="147" t="str">
        <f>IFERROR(SUMIFS('01. KE30'!$O:$O,'01. KE30'!$C:$C,'06. BC BH THEO CUSTOMER-USD'!$D107,'01. KE30'!$F:$F,'06. BC BH THEO CUSTOMER-USD'!$H107,'01. KE30'!$A:$A,'06. BC BH THEO CUSTOMER-USD'!U$4)/'06. BC BH THEO CUSTOMER-USD'!DA107/'02. Tỷ giá'!J$5,"-")</f>
        <v>-</v>
      </c>
      <c r="AJ107" s="147" t="str">
        <f>IFERROR(SUMIFS('01. KE30'!$O:$O,'01. KE30'!$C:$C,'06. BC BH THEO CUSTOMER-USD'!$D107,'01. KE30'!$F:$F,'06. BC BH THEO CUSTOMER-USD'!$H107,'01. KE30'!$A:$A,'06. BC BH THEO CUSTOMER-USD'!V$4)/'06. BC BH THEO CUSTOMER-USD'!DB107/'02. Tỷ giá'!K$5,"-")</f>
        <v>-</v>
      </c>
      <c r="AK107" s="147" t="str">
        <f>IFERROR(SUMIFS('01. KE30'!$O:$O,'01. KE30'!$C:$C,'06. BC BH THEO CUSTOMER-USD'!$D107,'01. KE30'!$F:$F,'06. BC BH THEO CUSTOMER-USD'!$H107,'01. KE30'!$A:$A,'06. BC BH THEO CUSTOMER-USD'!W$4)/'06. BC BH THEO CUSTOMER-USD'!DC107/'02. Tỷ giá'!L$5,"-")</f>
        <v>-</v>
      </c>
      <c r="AL107" s="147" t="str">
        <f>IFERROR(SUMIFS('01. KE30'!$O:$O,'01. KE30'!$C:$C,'06. BC BH THEO CUSTOMER-USD'!$D107,'01. KE30'!$F:$F,'06. BC BH THEO CUSTOMER-USD'!$H107,'01. KE30'!$A:$A,'06. BC BH THEO CUSTOMER-USD'!X$4)/'06. BC BH THEO CUSTOMER-USD'!DD107/'02. Tỷ giá'!M$5,"-")</f>
        <v>-</v>
      </c>
      <c r="AN107" s="92">
        <f t="shared" si="946"/>
        <v>978</v>
      </c>
      <c r="AO107" s="25"/>
      <c r="AP107" s="25"/>
      <c r="AQ107" s="4"/>
      <c r="AR107" s="4"/>
      <c r="AS107" s="4"/>
      <c r="AT107" s="4">
        <f>1000-22</f>
        <v>978</v>
      </c>
      <c r="AU107" s="4"/>
      <c r="AV107" s="4"/>
      <c r="AW107" s="25"/>
      <c r="AX107" s="25"/>
      <c r="AY107" s="4"/>
      <c r="AZ107" s="4"/>
      <c r="BB107" s="95">
        <f t="shared" si="947"/>
        <v>50.329668209876445</v>
      </c>
      <c r="BC107" s="95" t="str">
        <f t="shared" si="948"/>
        <v>-</v>
      </c>
      <c r="BD107" s="95" t="str">
        <f t="shared" si="949"/>
        <v>-</v>
      </c>
      <c r="BE107" s="95" t="str">
        <f t="shared" si="950"/>
        <v>-</v>
      </c>
      <c r="BF107" s="95" t="str">
        <f t="shared" si="951"/>
        <v>-</v>
      </c>
      <c r="BG107" s="95" t="str">
        <f t="shared" si="952"/>
        <v>-</v>
      </c>
      <c r="BH107" s="95">
        <f t="shared" si="953"/>
        <v>50.329668209876445</v>
      </c>
      <c r="BI107" s="95" t="str">
        <f t="shared" si="954"/>
        <v>-</v>
      </c>
      <c r="BJ107" s="95" t="str">
        <f t="shared" si="955"/>
        <v>-</v>
      </c>
      <c r="BK107" s="95" t="str">
        <f t="shared" si="956"/>
        <v>-</v>
      </c>
      <c r="BL107" s="95" t="str">
        <f t="shared" si="957"/>
        <v>-</v>
      </c>
      <c r="BM107" s="95" t="str">
        <f t="shared" si="958"/>
        <v>-</v>
      </c>
      <c r="BN107" s="95" t="str">
        <f t="shared" si="959"/>
        <v>-</v>
      </c>
      <c r="BP107" s="143">
        <f t="shared" si="960"/>
        <v>5.1461828435456484E-2</v>
      </c>
      <c r="BQ107" s="143" t="str">
        <f t="shared" si="961"/>
        <v>-</v>
      </c>
      <c r="BR107" s="143" t="str">
        <f t="shared" si="962"/>
        <v>-</v>
      </c>
      <c r="BS107" s="143" t="str">
        <f t="shared" si="963"/>
        <v>-</v>
      </c>
      <c r="BT107" s="143" t="str">
        <f t="shared" si="964"/>
        <v>-</v>
      </c>
      <c r="BU107" s="143" t="str">
        <f t="shared" si="965"/>
        <v>-</v>
      </c>
      <c r="BV107" s="143">
        <f t="shared" si="966"/>
        <v>5.1461828435456484E-2</v>
      </c>
      <c r="BW107" s="143" t="str">
        <f t="shared" si="967"/>
        <v>-</v>
      </c>
      <c r="BX107" s="143" t="str">
        <f t="shared" si="968"/>
        <v>-</v>
      </c>
      <c r="BY107" s="143" t="str">
        <f t="shared" si="969"/>
        <v>-</v>
      </c>
      <c r="BZ107" s="143" t="str">
        <f t="shared" si="970"/>
        <v>-</v>
      </c>
      <c r="CA107" s="143" t="str">
        <f t="shared" si="971"/>
        <v>-</v>
      </c>
      <c r="CB107" s="143" t="str">
        <f t="shared" si="972"/>
        <v>-</v>
      </c>
      <c r="CD107" s="112">
        <f t="shared" si="973"/>
        <v>915.94212962962968</v>
      </c>
      <c r="CE107" s="95" t="str">
        <f>IFERROR(SUMIFS('01. KE30'!$R:$R,'01. KE30'!$C:$C,'06. BC BH THEO CUSTOMER-USD'!$D107,'01. KE30'!$F:$F,'06. BC BH THEO CUSTOMER-USD'!$H107,'01. KE30'!$A:$A,'06. BC BH THEO CUSTOMER-USD'!CE$4)/CS107/'02. Tỷ giá'!B$5," -")</f>
        <v xml:space="preserve"> -</v>
      </c>
      <c r="CF107" s="95" t="str">
        <f>IFERROR(SUMIFS('01. KE30'!$R:$R,'01. KE30'!$C:$C,'06. BC BH THEO CUSTOMER-USD'!$D107,'01. KE30'!$F:$F,'06. BC BH THEO CUSTOMER-USD'!$H107,'01. KE30'!$A:$A,'06. BC BH THEO CUSTOMER-USD'!CF$4)/CT107/'02. Tỷ giá'!C$5," -")</f>
        <v xml:space="preserve"> -</v>
      </c>
      <c r="CG107" s="95" t="str">
        <f>IFERROR(SUMIFS('01. KE30'!$R:$R,'01. KE30'!$C:$C,'06. BC BH THEO CUSTOMER-USD'!$D107,'01. KE30'!$F:$F,'06. BC BH THEO CUSTOMER-USD'!$H107,'01. KE30'!$A:$A,'06. BC BH THEO CUSTOMER-USD'!CG$4)/CU107/'02. Tỷ giá'!D$5," -")</f>
        <v xml:space="preserve"> -</v>
      </c>
      <c r="CH107" s="95" t="str">
        <f>IFERROR(SUMIFS('01. KE30'!$R:$R,'01. KE30'!$C:$C,'06. BC BH THEO CUSTOMER-USD'!$D107,'01. KE30'!$F:$F,'06. BC BH THEO CUSTOMER-USD'!$H107,'01. KE30'!$A:$A,'06. BC BH THEO CUSTOMER-USD'!CH$4)/CV107/'02. Tỷ giá'!E$5," -")</f>
        <v xml:space="preserve"> -</v>
      </c>
      <c r="CI107" s="95" t="str">
        <f>IFERROR(SUMIFS('01. KE30'!$R:$R,'01. KE30'!$C:$C,'06. BC BH THEO CUSTOMER-USD'!$D107,'01. KE30'!$F:$F,'06. BC BH THEO CUSTOMER-USD'!$H107,'01. KE30'!$A:$A,'06. BC BH THEO CUSTOMER-USD'!CI$4)/CW107/'02. Tỷ giá'!F$5," -")</f>
        <v xml:space="preserve"> -</v>
      </c>
      <c r="CJ107" s="95">
        <f>IFERROR(SUMIFS('01. KE30'!$R:$R,'01. KE30'!$C:$C,'06. BC BH THEO CUSTOMER-USD'!$D107,'01. KE30'!$F:$F,'06. BC BH THEO CUSTOMER-USD'!$H107,'01. KE30'!$A:$A,'06. BC BH THEO CUSTOMER-USD'!CJ$4)/CX107/'02. Tỷ giá'!G$5," -")</f>
        <v>915.94212962962968</v>
      </c>
      <c r="CK107" s="95" t="str">
        <f>IFERROR(SUMIFS('01. KE30'!$R:$R,'01. KE30'!$C:$C,'06. BC BH THEO CUSTOMER-USD'!$D107,'01. KE30'!$F:$F,'06. BC BH THEO CUSTOMER-USD'!$H107,'01. KE30'!$A:$A,'06. BC BH THEO CUSTOMER-USD'!CK$4)/CY107/'02. Tỷ giá'!H$5," -")</f>
        <v xml:space="preserve"> -</v>
      </c>
      <c r="CL107" s="95" t="str">
        <f>IFERROR(SUMIFS('01. KE30'!$R:$R,'01. KE30'!$C:$C,'06. BC BH THEO CUSTOMER-USD'!$D107,'01. KE30'!$F:$F,'06. BC BH THEO CUSTOMER-USD'!$H107,'01. KE30'!$A:$A,'06. BC BH THEO CUSTOMER-USD'!CL$4)/CZ107/'02. Tỷ giá'!I$5," -")</f>
        <v xml:space="preserve"> -</v>
      </c>
      <c r="CM107" s="95" t="str">
        <f>IFERROR(SUMIFS('01. KE30'!$R:$R,'01. KE30'!$C:$C,'06. BC BH THEO CUSTOMER-USD'!$D107,'01. KE30'!$F:$F,'06. BC BH THEO CUSTOMER-USD'!$H107,'01. KE30'!$A:$A,'06. BC BH THEO CUSTOMER-USD'!CM$4)/DA107/'02. Tỷ giá'!J$5," -")</f>
        <v xml:space="preserve"> -</v>
      </c>
      <c r="CN107" s="95" t="str">
        <f>IFERROR(SUMIFS('01. KE30'!$R:$R,'01. KE30'!$C:$C,'06. BC BH THEO CUSTOMER-USD'!$D107,'01. KE30'!$F:$F,'06. BC BH THEO CUSTOMER-USD'!$H107,'01. KE30'!$A:$A,'06. BC BH THEO CUSTOMER-USD'!CN$4)/DB107/'02. Tỷ giá'!K$5," -")</f>
        <v xml:space="preserve"> -</v>
      </c>
      <c r="CO107" s="95" t="str">
        <f>IFERROR(SUMIFS('01. KE30'!$R:$R,'01. KE30'!$C:$C,'06. BC BH THEO CUSTOMER-USD'!$D107,'01. KE30'!$F:$F,'06. BC BH THEO CUSTOMER-USD'!$H107,'01. KE30'!$A:$A,'06. BC BH THEO CUSTOMER-USD'!CO$4)/DC107/'02. Tỷ giá'!L$5," -")</f>
        <v xml:space="preserve"> -</v>
      </c>
      <c r="CP107" s="95" t="str">
        <f>IFERROR(SUMIFS('01. KE30'!$R:$R,'01. KE30'!$C:$C,'06. BC BH THEO CUSTOMER-USD'!$D107,'01. KE30'!$F:$F,'06. BC BH THEO CUSTOMER-USD'!$H107,'01. KE30'!$A:$A,'06. BC BH THEO CUSTOMER-USD'!CP$4)/DD107/'02. Tỷ giá'!M$5," -")</f>
        <v xml:space="preserve"> -</v>
      </c>
      <c r="CR107" s="112">
        <f t="shared" si="974"/>
        <v>2</v>
      </c>
      <c r="CS107" s="114">
        <f>SUMIFS('01. KE30'!$I:$I,'01. KE30'!$C:$C,'06. BC BH THEO CUSTOMER-USD'!$D107,'01. KE30'!$F:$F,'06. BC BH THEO CUSTOMER-USD'!$H107,'01. KE30'!$A:$A,'06. BC BH THEO CUSTOMER-USD'!CS$4)/1000</f>
        <v>0</v>
      </c>
      <c r="CT107" s="114">
        <f>SUMIFS('01. KE30'!$I:$I,'01. KE30'!$C:$C,'06. BC BH THEO CUSTOMER-USD'!$D107,'01. KE30'!$F:$F,'06. BC BH THEO CUSTOMER-USD'!$H107,'01. KE30'!$A:$A,'06. BC BH THEO CUSTOMER-USD'!CT$4)/1000</f>
        <v>0</v>
      </c>
      <c r="CU107" s="114">
        <f>SUMIFS('01. KE30'!$I:$I,'01. KE30'!$C:$C,'06. BC BH THEO CUSTOMER-USD'!$D107,'01. KE30'!$F:$F,'06. BC BH THEO CUSTOMER-USD'!$H107,'01. KE30'!$A:$A,'06. BC BH THEO CUSTOMER-USD'!CU$4)/1000</f>
        <v>0</v>
      </c>
      <c r="CV107" s="725">
        <f>SUMIFS('01. KE30'!$I:$I,'01. KE30'!$C:$C,'06. BC BH THEO CUSTOMER-USD'!$D107,'01. KE30'!$F:$F,'06. BC BH THEO CUSTOMER-USD'!$H107,'01. KE30'!$A:$A,'06. BC BH THEO CUSTOMER-USD'!CV$4)/1000</f>
        <v>0</v>
      </c>
      <c r="CW107" s="114">
        <f>SUMIFS('01. KE30'!$I:$I,'01. KE30'!$C:$C,'06. BC BH THEO CUSTOMER-USD'!$D107,'01. KE30'!$F:$F,'06. BC BH THEO CUSTOMER-USD'!$H107,'01. KE30'!$A:$A,'06. BC BH THEO CUSTOMER-USD'!CW$4)/1000</f>
        <v>0</v>
      </c>
      <c r="CX107" s="114">
        <f>SUMIFS('01. KE30'!$I:$I,'01. KE30'!$C:$C,'06. BC BH THEO CUSTOMER-USD'!$D107,'01. KE30'!$F:$F,'06. BC BH THEO CUSTOMER-USD'!$H107,'01. KE30'!$A:$A,'06. BC BH THEO CUSTOMER-USD'!CX$4)/1000</f>
        <v>2</v>
      </c>
      <c r="CY107" s="114">
        <f>SUMIFS('01. KE30'!$I:$I,'01. KE30'!$C:$C,'06. BC BH THEO CUSTOMER-USD'!$D107,'01. KE30'!$F:$F,'06. BC BH THEO CUSTOMER-USD'!$H107,'01. KE30'!$A:$A,'06. BC BH THEO CUSTOMER-USD'!CY$4)/1000</f>
        <v>0</v>
      </c>
      <c r="CZ107" s="114">
        <f>SUMIFS('01. KE30'!$I:$I,'01. KE30'!$C:$C,'06. BC BH THEO CUSTOMER-USD'!$D107,'01. KE30'!$F:$F,'06. BC BH THEO CUSTOMER-USD'!$H107,'01. KE30'!$A:$A,'06. BC BH THEO CUSTOMER-USD'!CZ$4)/1000</f>
        <v>0</v>
      </c>
      <c r="DA107" s="114">
        <f>SUMIFS('01. KE30'!$I:$I,'01. KE30'!$C:$C,'06. BC BH THEO CUSTOMER-USD'!$D107,'01. KE30'!$F:$F,'06. BC BH THEO CUSTOMER-USD'!$H107,'01. KE30'!$A:$A,'06. BC BH THEO CUSTOMER-USD'!DA$4)/1000</f>
        <v>0</v>
      </c>
      <c r="DB107" s="114">
        <f>SUMIFS('01. KE30'!$I:$I,'01. KE30'!$C:$C,'06. BC BH THEO CUSTOMER-USD'!$D107,'01. KE30'!$F:$F,'06. BC BH THEO CUSTOMER-USD'!$H107,'01. KE30'!$A:$A,'06. BC BH THEO CUSTOMER-USD'!DB$4)/1000</f>
        <v>0</v>
      </c>
      <c r="DC107" s="114">
        <f>SUMIFS('01. KE30'!$I:$I,'01. KE30'!$C:$C,'06. BC BH THEO CUSTOMER-USD'!$D107,'01. KE30'!$F:$F,'06. BC BH THEO CUSTOMER-USD'!$H107,'01. KE30'!$A:$A,'06. BC BH THEO CUSTOMER-USD'!DC$4)/1000</f>
        <v>0</v>
      </c>
      <c r="DD107" s="114">
        <f>SUMIFS('01. KE30'!$I:$I,'01. KE30'!$C:$C,'06. BC BH THEO CUSTOMER-USD'!$D107,'01. KE30'!$F:$F,'06. BC BH THEO CUSTOMER-USD'!$H107,'01. KE30'!$A:$A,'06. BC BH THEO CUSTOMER-USD'!DD$4)/1000</f>
        <v>0</v>
      </c>
      <c r="DF107" s="120">
        <f t="shared" si="975"/>
        <v>2523.150462962963</v>
      </c>
      <c r="DG107" s="54" t="str">
        <f t="shared" si="976"/>
        <v>-</v>
      </c>
      <c r="DH107" s="54" t="str">
        <f t="shared" si="977"/>
        <v>-</v>
      </c>
      <c r="DI107" s="54" t="str">
        <f t="shared" si="978"/>
        <v>-</v>
      </c>
      <c r="DJ107" s="54" t="str">
        <f t="shared" si="979"/>
        <v>-</v>
      </c>
      <c r="DK107" s="54" t="str">
        <f t="shared" si="980"/>
        <v>-</v>
      </c>
      <c r="DL107" s="54">
        <f t="shared" si="981"/>
        <v>2523.150462962963</v>
      </c>
      <c r="DM107" s="54" t="str">
        <f t="shared" si="982"/>
        <v>-</v>
      </c>
      <c r="DN107" s="54" t="str">
        <f t="shared" si="983"/>
        <v>-</v>
      </c>
      <c r="DO107" s="54" t="str">
        <f t="shared" si="984"/>
        <v>-</v>
      </c>
      <c r="DP107" s="54" t="str">
        <f t="shared" si="985"/>
        <v>-</v>
      </c>
      <c r="DQ107" s="54" t="str">
        <f t="shared" si="986"/>
        <v>-</v>
      </c>
      <c r="DR107" s="54" t="str">
        <f t="shared" si="987"/>
        <v>-</v>
      </c>
      <c r="DT107" s="112">
        <f t="shared" si="988"/>
        <v>224.77507716049354</v>
      </c>
      <c r="DU107" s="114">
        <f>IFERROR(SUMIFS('01. KE30'!$X:$X,'01. KE30'!$C:$C,'06. BC BH THEO CUSTOMER-USD'!$D107,'01. KE30'!$F:$F,'06. BC BH THEO CUSTOMER-USD'!$H107,'01. KE30'!$A:$A,'06. BC BH THEO CUSTOMER-USD'!DU$4)-SUMIFS('01. KE30'!$AA:$AA,'01. KE30'!$C:$C,'06. BC BH THEO CUSTOMER-USD'!$D107,'01. KE30'!$F:$F,'06. BC BH THEO CUSTOMER-USD'!$H107,'01. KE30'!$A:$A,'06. BC BH THEO CUSTOMER-USD'!DU$4),"-")</f>
        <v>0</v>
      </c>
      <c r="DV107" s="114">
        <f>IFERROR(SUMIFS('01. KE30'!$X:$X,'01. KE30'!$C:$C,'06. BC BH THEO CUSTOMER-USD'!$D107,'01. KE30'!$F:$F,'06. BC BH THEO CUSTOMER-USD'!$H107,'01. KE30'!$A:$A,'06. BC BH THEO CUSTOMER-USD'!DV$4)-SUMIFS('01. KE30'!$AA:$AA,'01. KE30'!$C:$C,'06. BC BH THEO CUSTOMER-USD'!$D107,'01. KE30'!$F:$F,'06. BC BH THEO CUSTOMER-USD'!$H107,'01. KE30'!$A:$A,'06. BC BH THEO CUSTOMER-USD'!DV$4),"-")</f>
        <v>0</v>
      </c>
      <c r="DW107" s="114">
        <f>IFERROR(SUMIFS('01. KE30'!$X:$X,'01. KE30'!$C:$C,'06. BC BH THEO CUSTOMER-USD'!$D107,'01. KE30'!$F:$F,'06. BC BH THEO CUSTOMER-USD'!$H107,'01. KE30'!$A:$A,'06. BC BH THEO CUSTOMER-USD'!DW$4)-SUMIFS('01. KE30'!$AA:$AA,'01. KE30'!$C:$C,'06. BC BH THEO CUSTOMER-USD'!$D107,'01. KE30'!$F:$F,'06. BC BH THEO CUSTOMER-USD'!$H107,'01. KE30'!$A:$A,'06. BC BH THEO CUSTOMER-USD'!DW$4),"-")</f>
        <v>0</v>
      </c>
      <c r="DX107" s="114">
        <f>IFERROR(SUMIFS('01. KE30'!$X:$X,'01. KE30'!$C:$C,'06. BC BH THEO CUSTOMER-USD'!$D107,'01. KE30'!$F:$F,'06. BC BH THEO CUSTOMER-USD'!$H107,'01. KE30'!$A:$A,'06. BC BH THEO CUSTOMER-USD'!DX$4)-SUMIFS('01. KE30'!$AA:$AA,'01. KE30'!$C:$C,'06. BC BH THEO CUSTOMER-USD'!$D107,'01. KE30'!$F:$F,'06. BC BH THEO CUSTOMER-USD'!$H107,'01. KE30'!$A:$A,'06. BC BH THEO CUSTOMER-USD'!DX$4),"-")</f>
        <v>0</v>
      </c>
      <c r="DY107" s="114">
        <f>IFERROR(SUMIFS('01. KE30'!$X:$X,'01. KE30'!$C:$C,'06. BC BH THEO CUSTOMER-USD'!$D107,'01. KE30'!$F:$F,'06. BC BH THEO CUSTOMER-USD'!$H107,'01. KE30'!$A:$A,'06. BC BH THEO CUSTOMER-USD'!DY$4)-SUMIFS('01. KE30'!$AA:$AA,'01. KE30'!$C:$C,'06. BC BH THEO CUSTOMER-USD'!$D107,'01. KE30'!$F:$F,'06. BC BH THEO CUSTOMER-USD'!$H107,'01. KE30'!$A:$A,'06. BC BH THEO CUSTOMER-USD'!DY$4),"-")</f>
        <v>0</v>
      </c>
      <c r="DZ107" s="114">
        <f>IFERROR(SUMIFS('01. KE30'!$X:$X,'01. KE30'!$C:$C,'06. BC BH THEO CUSTOMER-USD'!$D107,'01. KE30'!$F:$F,'06. BC BH THEO CUSTOMER-USD'!$H107,'01. KE30'!$A:$A,'06. BC BH THEO CUSTOMER-USD'!DZ$4)-SUMIFS('01. KE30'!$AA:$AA,'01. KE30'!$C:$C,'06. BC BH THEO CUSTOMER-USD'!$D107,'01. KE30'!$F:$F,'06. BC BH THEO CUSTOMER-USD'!$H107,'01. KE30'!$A:$A,'06. BC BH THEO CUSTOMER-USD'!DZ$4),"-")</f>
        <v>224.77507716049354</v>
      </c>
      <c r="EA107" s="114">
        <f>IFERROR(SUMIFS('01. KE30'!$X:$X,'01. KE30'!$C:$C,'06. BC BH THEO CUSTOMER-USD'!$D107,'01. KE30'!$F:$F,'06. BC BH THEO CUSTOMER-USD'!$H107,'01. KE30'!$A:$A,'06. BC BH THEO CUSTOMER-USD'!EA$4)-SUMIFS('01. KE30'!$AA:$AA,'01. KE30'!$C:$C,'06. BC BH THEO CUSTOMER-USD'!$D107,'01. KE30'!$F:$F,'06. BC BH THEO CUSTOMER-USD'!$H107,'01. KE30'!$A:$A,'06. BC BH THEO CUSTOMER-USD'!EA$4),"-")</f>
        <v>0</v>
      </c>
      <c r="EB107" s="114">
        <f>IFERROR(SUMIFS('01. KE30'!$X:$X,'01. KE30'!$C:$C,'06. BC BH THEO CUSTOMER-USD'!$D107,'01. KE30'!$F:$F,'06. BC BH THEO CUSTOMER-USD'!$H107,'01. KE30'!$A:$A,'06. BC BH THEO CUSTOMER-USD'!EB$4)-SUMIFS('01. KE30'!$AA:$AA,'01. KE30'!$C:$C,'06. BC BH THEO CUSTOMER-USD'!$D107,'01. KE30'!$F:$F,'06. BC BH THEO CUSTOMER-USD'!$H107,'01. KE30'!$A:$A,'06. BC BH THEO CUSTOMER-USD'!EB$4),"-")</f>
        <v>0</v>
      </c>
      <c r="EC107" s="114">
        <f>IFERROR(SUMIFS('01. KE30'!$X:$X,'01. KE30'!$C:$C,'06. BC BH THEO CUSTOMER-USD'!$D107,'01. KE30'!$F:$F,'06. BC BH THEO CUSTOMER-USD'!$H107,'01. KE30'!$A:$A,'06. BC BH THEO CUSTOMER-USD'!EC$4)-SUMIFS('01. KE30'!$AA:$AA,'01. KE30'!$C:$C,'06. BC BH THEO CUSTOMER-USD'!$D107,'01. KE30'!$F:$F,'06. BC BH THEO CUSTOMER-USD'!$H107,'01. KE30'!$A:$A,'06. BC BH THEO CUSTOMER-USD'!EC$4),"-")</f>
        <v>0</v>
      </c>
      <c r="ED107" s="114">
        <f>IFERROR(SUMIFS('01. KE30'!$X:$X,'01. KE30'!$C:$C,'06. BC BH THEO CUSTOMER-USD'!$D107,'01. KE30'!$F:$F,'06. BC BH THEO CUSTOMER-USD'!$H107,'01. KE30'!$A:$A,'06. BC BH THEO CUSTOMER-USD'!ED$4)-SUMIFS('01. KE30'!$AA:$AA,'01. KE30'!$C:$C,'06. BC BH THEO CUSTOMER-USD'!$D107,'01. KE30'!$F:$F,'06. BC BH THEO CUSTOMER-USD'!$H107,'01. KE30'!$A:$A,'06. BC BH THEO CUSTOMER-USD'!ED$4),"-")</f>
        <v>0</v>
      </c>
      <c r="EE107" s="114">
        <f>IFERROR(SUMIFS('01. KE30'!$X:$X,'01. KE30'!$C:$C,'06. BC BH THEO CUSTOMER-USD'!$D107,'01. KE30'!$F:$F,'06. BC BH THEO CUSTOMER-USD'!$H107,'01. KE30'!$A:$A,'06. BC BH THEO CUSTOMER-USD'!EE$4)-SUMIFS('01. KE30'!$AA:$AA,'01. KE30'!$C:$C,'06. BC BH THEO CUSTOMER-USD'!$D107,'01. KE30'!$F:$F,'06. BC BH THEO CUSTOMER-USD'!$H107,'01. KE30'!$A:$A,'06. BC BH THEO CUSTOMER-USD'!EE$4),"-")</f>
        <v>0</v>
      </c>
      <c r="EF107" s="114">
        <f>IFERROR(SUMIFS('01. KE30'!$X:$X,'01. KE30'!$C:$C,'06. BC BH THEO CUSTOMER-USD'!$D107,'01. KE30'!$F:$F,'06. BC BH THEO CUSTOMER-USD'!$H107,'01. KE30'!$A:$A,'06. BC BH THEO CUSTOMER-USD'!EF$4)-SUMIFS('01. KE30'!$AA:$AA,'01. KE30'!$C:$C,'06. BC BH THEO CUSTOMER-USD'!$D107,'01. KE30'!$F:$F,'06. BC BH THEO CUSTOMER-USD'!$H107,'01. KE30'!$A:$A,'06. BC BH THEO CUSTOMER-USD'!EF$4),"-")</f>
        <v>0</v>
      </c>
      <c r="EH107" s="571">
        <f t="shared" si="989"/>
        <v>8.908508646628141E-2</v>
      </c>
      <c r="EI107" s="572" t="str">
        <f t="shared" si="990"/>
        <v>-</v>
      </c>
      <c r="EJ107" s="572" t="str">
        <f t="shared" si="991"/>
        <v>-</v>
      </c>
      <c r="EK107" s="572" t="str">
        <f t="shared" si="992"/>
        <v>-</v>
      </c>
      <c r="EL107" s="572" t="str">
        <f t="shared" si="993"/>
        <v>-</v>
      </c>
      <c r="EM107" s="572" t="str">
        <f t="shared" si="994"/>
        <v>-</v>
      </c>
      <c r="EN107" s="572">
        <f t="shared" si="995"/>
        <v>8.908508646628141E-2</v>
      </c>
      <c r="EO107" s="572" t="str">
        <f t="shared" si="996"/>
        <v>-</v>
      </c>
      <c r="EP107" s="572" t="str">
        <f t="shared" si="997"/>
        <v>-</v>
      </c>
      <c r="EQ107" s="572" t="str">
        <f t="shared" si="998"/>
        <v>-</v>
      </c>
      <c r="ER107" s="572" t="str">
        <f t="shared" si="999"/>
        <v>-</v>
      </c>
      <c r="ES107" s="572" t="str">
        <f t="shared" si="1000"/>
        <v>-</v>
      </c>
      <c r="ET107" s="572" t="str">
        <f t="shared" si="1001"/>
        <v>-</v>
      </c>
    </row>
    <row r="108" spans="1:150" ht="15.5" hidden="1" outlineLevel="1" x14ac:dyDescent="0.35">
      <c r="A108" s="27">
        <f t="shared" si="653"/>
        <v>91</v>
      </c>
      <c r="B108" s="27" t="s">
        <v>283</v>
      </c>
      <c r="C108" s="442" t="s">
        <v>489</v>
      </c>
      <c r="D108" s="9" t="s">
        <v>905</v>
      </c>
      <c r="E108" s="12" t="s">
        <v>906</v>
      </c>
      <c r="F108" s="12" t="s">
        <v>175</v>
      </c>
      <c r="G108" s="12" t="str">
        <f>_xlfn.XLOOKUP(F108,'Quy đổi'!$G$5:$G$32,'Quy đổi'!$H$5:$H$32,0)</f>
        <v>Bắc Mỹ</v>
      </c>
      <c r="H108" s="76" t="s">
        <v>110</v>
      </c>
      <c r="I108" s="28" t="s">
        <v>109</v>
      </c>
      <c r="J108" s="6" t="s">
        <v>22</v>
      </c>
      <c r="K108" s="11"/>
      <c r="L108" s="92">
        <f t="shared" si="944"/>
        <v>1248.070987654321</v>
      </c>
      <c r="M108" s="106" t="str">
        <f>IFERROR(SUMIFS('01. KE30'!$K:$K,'01. KE30'!$C:$C,'06. BC BH THEO CUSTOMER-USD'!$D108,'01. KE30'!$F:$F,'06. BC BH THEO CUSTOMER-USD'!$H108,'01. KE30'!$A:$A,'06. BC BH THEO CUSTOMER-USD'!M$4)/'06. BC BH THEO CUSTOMER-USD'!CS108/'02. Tỷ giá'!B$5,"-")</f>
        <v>-</v>
      </c>
      <c r="N108" s="106" t="str">
        <f>IFERROR(SUMIFS('01. KE30'!$K:$K,'01. KE30'!$C:$C,'06. BC BH THEO CUSTOMER-USD'!$D108,'01. KE30'!$F:$F,'06. BC BH THEO CUSTOMER-USD'!$H108,'01. KE30'!$A:$A,'06. BC BH THEO CUSTOMER-USD'!N$4)/'06. BC BH THEO CUSTOMER-USD'!CT108/'02. Tỷ giá'!C$5,"-")</f>
        <v>-</v>
      </c>
      <c r="O108" s="106" t="str">
        <f>IFERROR(SUMIFS('01. KE30'!$K:$K,'01. KE30'!$C:$C,'06. BC BH THEO CUSTOMER-USD'!$D108,'01. KE30'!$F:$F,'06. BC BH THEO CUSTOMER-USD'!$H108,'01. KE30'!$A:$A,'06. BC BH THEO CUSTOMER-USD'!O$4)/'06. BC BH THEO CUSTOMER-USD'!CU108/'02. Tỷ giá'!D$5,"-")</f>
        <v>-</v>
      </c>
      <c r="P108" s="106" t="str">
        <f>IFERROR(SUMIFS('01. KE30'!$K:$K,'01. KE30'!$C:$C,'06. BC BH THEO CUSTOMER-USD'!$D108,'01. KE30'!$F:$F,'06. BC BH THEO CUSTOMER-USD'!$H108,'01. KE30'!$A:$A,'06. BC BH THEO CUSTOMER-USD'!P$4)/'06. BC BH THEO CUSTOMER-USD'!CV108/'02. Tỷ giá'!E$5,"-")</f>
        <v>-</v>
      </c>
      <c r="Q108" s="106" t="str">
        <f>IFERROR(SUMIFS('01. KE30'!$K:$K,'01. KE30'!$C:$C,'06. BC BH THEO CUSTOMER-USD'!$D108,'01. KE30'!$F:$F,'06. BC BH THEO CUSTOMER-USD'!$H108,'01. KE30'!$A:$A,'06. BC BH THEO CUSTOMER-USD'!Q$4)/'06. BC BH THEO CUSTOMER-USD'!CW108/'02. Tỷ giá'!F$5,"-")</f>
        <v>-</v>
      </c>
      <c r="R108" s="106">
        <f>IFERROR(SUMIFS('01. KE30'!$K:$K,'01. KE30'!$C:$C,'06. BC BH THEO CUSTOMER-USD'!$D108,'01. KE30'!$F:$F,'06. BC BH THEO CUSTOMER-USD'!$H108,'01. KE30'!$A:$A,'06. BC BH THEO CUSTOMER-USD'!R$4)/'06. BC BH THEO CUSTOMER-USD'!CX108/'02. Tỷ giá'!G$5,"-")</f>
        <v>1248.070987654321</v>
      </c>
      <c r="S108" s="106" t="str">
        <f>IFERROR(SUMIFS('01. KE30'!$K:$K,'01. KE30'!$C:$C,'06. BC BH THEO CUSTOMER-USD'!$D108,'01. KE30'!$F:$F,'06. BC BH THEO CUSTOMER-USD'!$H108,'01. KE30'!$A:$A,'06. BC BH THEO CUSTOMER-USD'!S$4)/'06. BC BH THEO CUSTOMER-USD'!CY108/'02. Tỷ giá'!H$5,"-")</f>
        <v>-</v>
      </c>
      <c r="T108" s="106" t="str">
        <f>IFERROR(SUMIFS('01. KE30'!$K:$K,'01. KE30'!$C:$C,'06. BC BH THEO CUSTOMER-USD'!$D108,'01. KE30'!$F:$F,'06. BC BH THEO CUSTOMER-USD'!$H108,'01. KE30'!$A:$A,'06. BC BH THEO CUSTOMER-USD'!T$4)/'06. BC BH THEO CUSTOMER-USD'!CZ108/'02. Tỷ giá'!I$5,"-")</f>
        <v>-</v>
      </c>
      <c r="U108" s="106" t="str">
        <f>IFERROR(SUMIFS('01. KE30'!$K:$K,'01. KE30'!$C:$C,'06. BC BH THEO CUSTOMER-USD'!$D108,'01. KE30'!$F:$F,'06. BC BH THEO CUSTOMER-USD'!$H108,'01. KE30'!$A:$A,'06. BC BH THEO CUSTOMER-USD'!U$4)/'06. BC BH THEO CUSTOMER-USD'!DA108/'02. Tỷ giá'!J$5,"-")</f>
        <v>-</v>
      </c>
      <c r="V108" s="106" t="str">
        <f>IFERROR(SUMIFS('01. KE30'!$K:$K,'01. KE30'!$C:$C,'06. BC BH THEO CUSTOMER-USD'!$D108,'01. KE30'!$F:$F,'06. BC BH THEO CUSTOMER-USD'!$H108,'01. KE30'!$A:$A,'06. BC BH THEO CUSTOMER-USD'!V$4)/'06. BC BH THEO CUSTOMER-USD'!DB108/'02. Tỷ giá'!K$5,"-")</f>
        <v>-</v>
      </c>
      <c r="W108" s="106" t="str">
        <f>IFERROR(SUMIFS('01. KE30'!$K:$K,'01. KE30'!$C:$C,'06. BC BH THEO CUSTOMER-USD'!$D108,'01. KE30'!$F:$F,'06. BC BH THEO CUSTOMER-USD'!$H108,'01. KE30'!$A:$A,'06. BC BH THEO CUSTOMER-USD'!W$4)/'06. BC BH THEO CUSTOMER-USD'!DC108/'02. Tỷ giá'!L$5,"-")</f>
        <v>-</v>
      </c>
      <c r="X108" s="106" t="str">
        <f>IFERROR(SUMIFS('01. KE30'!$K:$K,'01. KE30'!$C:$C,'06. BC BH THEO CUSTOMER-USD'!$D108,'01. KE30'!$F:$F,'06. BC BH THEO CUSTOMER-USD'!$H108,'01. KE30'!$A:$A,'06. BC BH THEO CUSTOMER-USD'!X$4)/'06. BC BH THEO CUSTOMER-USD'!DD108/'02. Tỷ giá'!M$5,"-")</f>
        <v>-</v>
      </c>
      <c r="Z108" s="92">
        <f t="shared" si="945"/>
        <v>1231.9984830948374</v>
      </c>
      <c r="AA108" s="147" t="str">
        <f>IFERROR(SUMIFS('01. KE30'!$O:$O,'01. KE30'!$C:$C,'06. BC BH THEO CUSTOMER-USD'!$D108,'01. KE30'!$F:$F,'06. BC BH THEO CUSTOMER-USD'!$H108,'01. KE30'!$A:$A,'06. BC BH THEO CUSTOMER-USD'!M$4)/'06. BC BH THEO CUSTOMER-USD'!CS108/'02. Tỷ giá'!B$5,"-")</f>
        <v>-</v>
      </c>
      <c r="AB108" s="147" t="str">
        <f>IFERROR(SUMIFS('01. KE30'!$O:$O,'01. KE30'!$C:$C,'06. BC BH THEO CUSTOMER-USD'!$D108,'01. KE30'!$F:$F,'06. BC BH THEO CUSTOMER-USD'!$H108,'01. KE30'!$A:$A,'06. BC BH THEO CUSTOMER-USD'!N$4)/'06. BC BH THEO CUSTOMER-USD'!CT108/'02. Tỷ giá'!C$5,"-")</f>
        <v>-</v>
      </c>
      <c r="AC108" s="147" t="str">
        <f>IFERROR(SUMIFS('01. KE30'!$O:$O,'01. KE30'!$C:$C,'06. BC BH THEO CUSTOMER-USD'!$D108,'01. KE30'!$F:$F,'06. BC BH THEO CUSTOMER-USD'!$H108,'01. KE30'!$A:$A,'06. BC BH THEO CUSTOMER-USD'!O$4)/'06. BC BH THEO CUSTOMER-USD'!CU108/'02. Tỷ giá'!D$5,"-")</f>
        <v>-</v>
      </c>
      <c r="AD108" s="147" t="str">
        <f>IFERROR(SUMIFS('01. KE30'!$O:$O,'01. KE30'!$C:$C,'06. BC BH THEO CUSTOMER-USD'!$D108,'01. KE30'!$F:$F,'06. BC BH THEO CUSTOMER-USD'!$H108,'01. KE30'!$A:$A,'06. BC BH THEO CUSTOMER-USD'!P$4)/'06. BC BH THEO CUSTOMER-USD'!CV108/'02. Tỷ giá'!E$5,"-")</f>
        <v>-</v>
      </c>
      <c r="AE108" s="147" t="str">
        <f>IFERROR(SUMIFS('01. KE30'!$O:$O,'01. KE30'!$C:$C,'06. BC BH THEO CUSTOMER-USD'!$D108,'01. KE30'!$F:$F,'06. BC BH THEO CUSTOMER-USD'!$H108,'01. KE30'!$A:$A,'06. BC BH THEO CUSTOMER-USD'!Q$4)/'06. BC BH THEO CUSTOMER-USD'!CW108/'02. Tỷ giá'!F$5,"-")</f>
        <v>-</v>
      </c>
      <c r="AF108" s="147">
        <f>IFERROR(SUMIFS('01. KE30'!$O:$O,'01. KE30'!$C:$C,'06. BC BH THEO CUSTOMER-USD'!$D108,'01. KE30'!$F:$F,'06. BC BH THEO CUSTOMER-USD'!$H108,'01. KE30'!$A:$A,'06. BC BH THEO CUSTOMER-USD'!R$4)/'06. BC BH THEO CUSTOMER-USD'!CX108/'02. Tỷ giá'!G$5,"-")</f>
        <v>1231.9984830948374</v>
      </c>
      <c r="AG108" s="147" t="str">
        <f>IFERROR(SUMIFS('01. KE30'!$O:$O,'01. KE30'!$C:$C,'06. BC BH THEO CUSTOMER-USD'!$D108,'01. KE30'!$F:$F,'06. BC BH THEO CUSTOMER-USD'!$H108,'01. KE30'!$A:$A,'06. BC BH THEO CUSTOMER-USD'!S$4)/'06. BC BH THEO CUSTOMER-USD'!CY108/'02. Tỷ giá'!H$5,"-")</f>
        <v>-</v>
      </c>
      <c r="AH108" s="147" t="str">
        <f>IFERROR(SUMIFS('01. KE30'!$O:$O,'01. KE30'!$C:$C,'06. BC BH THEO CUSTOMER-USD'!$D108,'01. KE30'!$F:$F,'06. BC BH THEO CUSTOMER-USD'!$H108,'01. KE30'!$A:$A,'06. BC BH THEO CUSTOMER-USD'!T$4)/'06. BC BH THEO CUSTOMER-USD'!CZ108/'02. Tỷ giá'!I$5,"-")</f>
        <v>-</v>
      </c>
      <c r="AI108" s="147" t="str">
        <f>IFERROR(SUMIFS('01. KE30'!$O:$O,'01. KE30'!$C:$C,'06. BC BH THEO CUSTOMER-USD'!$D108,'01. KE30'!$F:$F,'06. BC BH THEO CUSTOMER-USD'!$H108,'01. KE30'!$A:$A,'06. BC BH THEO CUSTOMER-USD'!U$4)/'06. BC BH THEO CUSTOMER-USD'!DA108/'02. Tỷ giá'!J$5,"-")</f>
        <v>-</v>
      </c>
      <c r="AJ108" s="147" t="str">
        <f>IFERROR(SUMIFS('01. KE30'!$O:$O,'01. KE30'!$C:$C,'06. BC BH THEO CUSTOMER-USD'!$D108,'01. KE30'!$F:$F,'06. BC BH THEO CUSTOMER-USD'!$H108,'01. KE30'!$A:$A,'06. BC BH THEO CUSTOMER-USD'!V$4)/'06. BC BH THEO CUSTOMER-USD'!DB108/'02. Tỷ giá'!K$5,"-")</f>
        <v>-</v>
      </c>
      <c r="AK108" s="147" t="str">
        <f>IFERROR(SUMIFS('01. KE30'!$O:$O,'01. KE30'!$C:$C,'06. BC BH THEO CUSTOMER-USD'!$D108,'01. KE30'!$F:$F,'06. BC BH THEO CUSTOMER-USD'!$H108,'01. KE30'!$A:$A,'06. BC BH THEO CUSTOMER-USD'!W$4)/'06. BC BH THEO CUSTOMER-USD'!DC108/'02. Tỷ giá'!L$5,"-")</f>
        <v>-</v>
      </c>
      <c r="AL108" s="147" t="str">
        <f>IFERROR(SUMIFS('01. KE30'!$O:$O,'01. KE30'!$C:$C,'06. BC BH THEO CUSTOMER-USD'!$D108,'01. KE30'!$F:$F,'06. BC BH THEO CUSTOMER-USD'!$H108,'01. KE30'!$A:$A,'06. BC BH THEO CUSTOMER-USD'!X$4)/'06. BC BH THEO CUSTOMER-USD'!DD108/'02. Tỷ giá'!M$5,"-")</f>
        <v>-</v>
      </c>
      <c r="AN108" s="92">
        <f t="shared" si="946"/>
        <v>1236.6666666666667</v>
      </c>
      <c r="AO108" s="25">
        <v>1230</v>
      </c>
      <c r="AP108" s="25">
        <v>1230</v>
      </c>
      <c r="AQ108" s="4">
        <v>1230</v>
      </c>
      <c r="AR108" s="4">
        <f t="shared" ref="AR108:AR109" si="1062">AQ108+20</f>
        <v>1250</v>
      </c>
      <c r="AS108" s="4">
        <v>1250</v>
      </c>
      <c r="AT108" s="4">
        <v>1250</v>
      </c>
      <c r="AU108" s="25">
        <v>1250</v>
      </c>
      <c r="AV108" s="4">
        <f t="shared" si="205"/>
        <v>1220</v>
      </c>
      <c r="AW108" s="25">
        <v>1220</v>
      </c>
      <c r="AX108" s="25"/>
      <c r="AY108" s="4"/>
      <c r="AZ108" s="4"/>
      <c r="BB108" s="95">
        <f t="shared" si="947"/>
        <v>-4.6681835718293314</v>
      </c>
      <c r="BC108" s="95" t="str">
        <f t="shared" si="948"/>
        <v>-</v>
      </c>
      <c r="BD108" s="95" t="str">
        <f t="shared" si="949"/>
        <v>-</v>
      </c>
      <c r="BE108" s="95" t="str">
        <f t="shared" si="950"/>
        <v>-</v>
      </c>
      <c r="BF108" s="95" t="str">
        <f t="shared" si="951"/>
        <v>-</v>
      </c>
      <c r="BG108" s="95" t="str">
        <f t="shared" si="952"/>
        <v>-</v>
      </c>
      <c r="BH108" s="95">
        <f t="shared" si="953"/>
        <v>-18.001516905162589</v>
      </c>
      <c r="BI108" s="95" t="str">
        <f t="shared" si="954"/>
        <v>-</v>
      </c>
      <c r="BJ108" s="95" t="str">
        <f t="shared" si="955"/>
        <v>-</v>
      </c>
      <c r="BK108" s="95" t="str">
        <f t="shared" si="956"/>
        <v>-</v>
      </c>
      <c r="BL108" s="95" t="str">
        <f t="shared" si="957"/>
        <v>-</v>
      </c>
      <c r="BM108" s="95" t="str">
        <f t="shared" si="958"/>
        <v>-</v>
      </c>
      <c r="BN108" s="95" t="str">
        <f t="shared" si="959"/>
        <v>-</v>
      </c>
      <c r="BP108" s="143">
        <f t="shared" si="960"/>
        <v>-3.7748115136086234E-3</v>
      </c>
      <c r="BQ108" s="143" t="str">
        <f t="shared" si="961"/>
        <v>-</v>
      </c>
      <c r="BR108" s="143" t="str">
        <f t="shared" si="962"/>
        <v>-</v>
      </c>
      <c r="BS108" s="143" t="str">
        <f t="shared" si="963"/>
        <v>-</v>
      </c>
      <c r="BT108" s="143" t="str">
        <f t="shared" si="964"/>
        <v>-</v>
      </c>
      <c r="BU108" s="143" t="str">
        <f t="shared" si="965"/>
        <v>-</v>
      </c>
      <c r="BV108" s="143">
        <f t="shared" si="966"/>
        <v>-1.440121352413007E-2</v>
      </c>
      <c r="BW108" s="143" t="str">
        <f t="shared" si="967"/>
        <v>-</v>
      </c>
      <c r="BX108" s="143" t="str">
        <f t="shared" si="968"/>
        <v>-</v>
      </c>
      <c r="BY108" s="143" t="str">
        <f t="shared" si="969"/>
        <v>-</v>
      </c>
      <c r="BZ108" s="143" t="str">
        <f t="shared" si="970"/>
        <v>-</v>
      </c>
      <c r="CA108" s="143" t="str">
        <f t="shared" si="971"/>
        <v>-</v>
      </c>
      <c r="CB108" s="143" t="str">
        <f t="shared" si="972"/>
        <v>-</v>
      </c>
      <c r="CD108" s="112">
        <f t="shared" si="973"/>
        <v>1078.8699266975309</v>
      </c>
      <c r="CE108" s="95" t="str">
        <f>IFERROR(SUMIFS('01. KE30'!$R:$R,'01. KE30'!$C:$C,'06. BC BH THEO CUSTOMER-USD'!$D108,'01. KE30'!$F:$F,'06. BC BH THEO CUSTOMER-USD'!$H108,'01. KE30'!$A:$A,'06. BC BH THEO CUSTOMER-USD'!CE$4)/CS108/'02. Tỷ giá'!B$5," -")</f>
        <v xml:space="preserve"> -</v>
      </c>
      <c r="CF108" s="95" t="str">
        <f>IFERROR(SUMIFS('01. KE30'!$R:$R,'01. KE30'!$C:$C,'06. BC BH THEO CUSTOMER-USD'!$D108,'01. KE30'!$F:$F,'06. BC BH THEO CUSTOMER-USD'!$H108,'01. KE30'!$A:$A,'06. BC BH THEO CUSTOMER-USD'!CF$4)/CT108/'02. Tỷ giá'!C$5," -")</f>
        <v xml:space="preserve"> -</v>
      </c>
      <c r="CG108" s="95" t="str">
        <f>IFERROR(SUMIFS('01. KE30'!$R:$R,'01. KE30'!$C:$C,'06. BC BH THEO CUSTOMER-USD'!$D108,'01. KE30'!$F:$F,'06. BC BH THEO CUSTOMER-USD'!$H108,'01. KE30'!$A:$A,'06. BC BH THEO CUSTOMER-USD'!CG$4)/CU108/'02. Tỷ giá'!D$5," -")</f>
        <v xml:space="preserve"> -</v>
      </c>
      <c r="CH108" s="95" t="str">
        <f>IFERROR(SUMIFS('01. KE30'!$R:$R,'01. KE30'!$C:$C,'06. BC BH THEO CUSTOMER-USD'!$D108,'01. KE30'!$F:$F,'06. BC BH THEO CUSTOMER-USD'!$H108,'01. KE30'!$A:$A,'06. BC BH THEO CUSTOMER-USD'!CH$4)/CV108/'02. Tỷ giá'!E$5," -")</f>
        <v xml:space="preserve"> -</v>
      </c>
      <c r="CI108" s="95" t="str">
        <f>IFERROR(SUMIFS('01. KE30'!$R:$R,'01. KE30'!$C:$C,'06. BC BH THEO CUSTOMER-USD'!$D108,'01. KE30'!$F:$F,'06. BC BH THEO CUSTOMER-USD'!$H108,'01. KE30'!$A:$A,'06. BC BH THEO CUSTOMER-USD'!CI$4)/CW108/'02. Tỷ giá'!F$5," -")</f>
        <v xml:space="preserve"> -</v>
      </c>
      <c r="CJ108" s="95">
        <f>IFERROR(SUMIFS('01. KE30'!$R:$R,'01. KE30'!$C:$C,'06. BC BH THEO CUSTOMER-USD'!$D108,'01. KE30'!$F:$F,'06. BC BH THEO CUSTOMER-USD'!$H108,'01. KE30'!$A:$A,'06. BC BH THEO CUSTOMER-USD'!CJ$4)/CX108/'02. Tỷ giá'!G$5," -")</f>
        <v>1078.8699266975309</v>
      </c>
      <c r="CK108" s="95" t="str">
        <f>IFERROR(SUMIFS('01. KE30'!$R:$R,'01. KE30'!$C:$C,'06. BC BH THEO CUSTOMER-USD'!$D108,'01. KE30'!$F:$F,'06. BC BH THEO CUSTOMER-USD'!$H108,'01. KE30'!$A:$A,'06. BC BH THEO CUSTOMER-USD'!CK$4)/CY108/'02. Tỷ giá'!H$5," -")</f>
        <v xml:space="preserve"> -</v>
      </c>
      <c r="CL108" s="95" t="str">
        <f>IFERROR(SUMIFS('01. KE30'!$R:$R,'01. KE30'!$C:$C,'06. BC BH THEO CUSTOMER-USD'!$D108,'01. KE30'!$F:$F,'06. BC BH THEO CUSTOMER-USD'!$H108,'01. KE30'!$A:$A,'06. BC BH THEO CUSTOMER-USD'!CL$4)/CZ108/'02. Tỷ giá'!I$5," -")</f>
        <v xml:space="preserve"> -</v>
      </c>
      <c r="CM108" s="95" t="str">
        <f>IFERROR(SUMIFS('01. KE30'!$R:$R,'01. KE30'!$C:$C,'06. BC BH THEO CUSTOMER-USD'!$D108,'01. KE30'!$F:$F,'06. BC BH THEO CUSTOMER-USD'!$H108,'01. KE30'!$A:$A,'06. BC BH THEO CUSTOMER-USD'!CM$4)/DA108/'02. Tỷ giá'!J$5," -")</f>
        <v xml:space="preserve"> -</v>
      </c>
      <c r="CN108" s="95" t="str">
        <f>IFERROR(SUMIFS('01. KE30'!$R:$R,'01. KE30'!$C:$C,'06. BC BH THEO CUSTOMER-USD'!$D108,'01. KE30'!$F:$F,'06. BC BH THEO CUSTOMER-USD'!$H108,'01. KE30'!$A:$A,'06. BC BH THEO CUSTOMER-USD'!CN$4)/DB108/'02. Tỷ giá'!K$5," -")</f>
        <v xml:space="preserve"> -</v>
      </c>
      <c r="CO108" s="95" t="str">
        <f>IFERROR(SUMIFS('01. KE30'!$R:$R,'01. KE30'!$C:$C,'06. BC BH THEO CUSTOMER-USD'!$D108,'01. KE30'!$F:$F,'06. BC BH THEO CUSTOMER-USD'!$H108,'01. KE30'!$A:$A,'06. BC BH THEO CUSTOMER-USD'!CO$4)/DC108/'02. Tỷ giá'!L$5," -")</f>
        <v xml:space="preserve"> -</v>
      </c>
      <c r="CP108" s="95" t="str">
        <f>IFERROR(SUMIFS('01. KE30'!$R:$R,'01. KE30'!$C:$C,'06. BC BH THEO CUSTOMER-USD'!$D108,'01. KE30'!$F:$F,'06. BC BH THEO CUSTOMER-USD'!$H108,'01. KE30'!$A:$A,'06. BC BH THEO CUSTOMER-USD'!CP$4)/DD108/'02. Tỷ giá'!M$5," -")</f>
        <v xml:space="preserve"> -</v>
      </c>
      <c r="CR108" s="112">
        <f t="shared" si="974"/>
        <v>22</v>
      </c>
      <c r="CS108" s="114">
        <f>SUMIFS('01. KE30'!$I:$I,'01. KE30'!$C:$C,'06. BC BH THEO CUSTOMER-USD'!$D108,'01. KE30'!$F:$F,'06. BC BH THEO CUSTOMER-USD'!$H108,'01. KE30'!$A:$A,'06. BC BH THEO CUSTOMER-USD'!CS$4)/1000</f>
        <v>0</v>
      </c>
      <c r="CT108" s="114">
        <f>SUMIFS('01. KE30'!$I:$I,'01. KE30'!$C:$C,'06. BC BH THEO CUSTOMER-USD'!$D108,'01. KE30'!$F:$F,'06. BC BH THEO CUSTOMER-USD'!$H108,'01. KE30'!$A:$A,'06. BC BH THEO CUSTOMER-USD'!CT$4)/1000</f>
        <v>0</v>
      </c>
      <c r="CU108" s="114">
        <f>SUMIFS('01. KE30'!$I:$I,'01. KE30'!$C:$C,'06. BC BH THEO CUSTOMER-USD'!$D108,'01. KE30'!$F:$F,'06. BC BH THEO CUSTOMER-USD'!$H108,'01. KE30'!$A:$A,'06. BC BH THEO CUSTOMER-USD'!CU$4)/1000</f>
        <v>0</v>
      </c>
      <c r="CV108" s="725">
        <f>SUMIFS('01. KE30'!$I:$I,'01. KE30'!$C:$C,'06. BC BH THEO CUSTOMER-USD'!$D108,'01. KE30'!$F:$F,'06. BC BH THEO CUSTOMER-USD'!$H108,'01. KE30'!$A:$A,'06. BC BH THEO CUSTOMER-USD'!CV$4)/1000</f>
        <v>0</v>
      </c>
      <c r="CW108" s="114">
        <f>SUMIFS('01. KE30'!$I:$I,'01. KE30'!$C:$C,'06. BC BH THEO CUSTOMER-USD'!$D108,'01. KE30'!$F:$F,'06. BC BH THEO CUSTOMER-USD'!$H108,'01. KE30'!$A:$A,'06. BC BH THEO CUSTOMER-USD'!CW$4)/1000</f>
        <v>0</v>
      </c>
      <c r="CX108" s="114">
        <f>SUMIFS('01. KE30'!$I:$I,'01. KE30'!$C:$C,'06. BC BH THEO CUSTOMER-USD'!$D108,'01. KE30'!$F:$F,'06. BC BH THEO CUSTOMER-USD'!$H108,'01. KE30'!$A:$A,'06. BC BH THEO CUSTOMER-USD'!CX$4)/1000</f>
        <v>22</v>
      </c>
      <c r="CY108" s="114">
        <f>SUMIFS('01. KE30'!$I:$I,'01. KE30'!$C:$C,'06. BC BH THEO CUSTOMER-USD'!$D108,'01. KE30'!$F:$F,'06. BC BH THEO CUSTOMER-USD'!$H108,'01. KE30'!$A:$A,'06. BC BH THEO CUSTOMER-USD'!CY$4)/1000</f>
        <v>0</v>
      </c>
      <c r="CZ108" s="114">
        <f>SUMIFS('01. KE30'!$I:$I,'01. KE30'!$C:$C,'06. BC BH THEO CUSTOMER-USD'!$D108,'01. KE30'!$F:$F,'06. BC BH THEO CUSTOMER-USD'!$H108,'01. KE30'!$A:$A,'06. BC BH THEO CUSTOMER-USD'!CZ$4)/1000</f>
        <v>0</v>
      </c>
      <c r="DA108" s="114">
        <f>SUMIFS('01. KE30'!$I:$I,'01. KE30'!$C:$C,'06. BC BH THEO CUSTOMER-USD'!$D108,'01. KE30'!$F:$F,'06. BC BH THEO CUSTOMER-USD'!$H108,'01. KE30'!$A:$A,'06. BC BH THEO CUSTOMER-USD'!DA$4)/1000</f>
        <v>0</v>
      </c>
      <c r="DB108" s="114">
        <f>SUMIFS('01. KE30'!$I:$I,'01. KE30'!$C:$C,'06. BC BH THEO CUSTOMER-USD'!$D108,'01. KE30'!$F:$F,'06. BC BH THEO CUSTOMER-USD'!$H108,'01. KE30'!$A:$A,'06. BC BH THEO CUSTOMER-USD'!DB$4)/1000</f>
        <v>0</v>
      </c>
      <c r="DC108" s="114">
        <f>SUMIFS('01. KE30'!$I:$I,'01. KE30'!$C:$C,'06. BC BH THEO CUSTOMER-USD'!$D108,'01. KE30'!$F:$F,'06. BC BH THEO CUSTOMER-USD'!$H108,'01. KE30'!$A:$A,'06. BC BH THEO CUSTOMER-USD'!DC$4)/1000</f>
        <v>0</v>
      </c>
      <c r="DD108" s="114">
        <f>SUMIFS('01. KE30'!$I:$I,'01. KE30'!$C:$C,'06. BC BH THEO CUSTOMER-USD'!$D108,'01. KE30'!$F:$F,'06. BC BH THEO CUSTOMER-USD'!$H108,'01. KE30'!$A:$A,'06. BC BH THEO CUSTOMER-USD'!DD$4)/1000</f>
        <v>0</v>
      </c>
      <c r="DF108" s="120">
        <f t="shared" si="975"/>
        <v>27457.561728395063</v>
      </c>
      <c r="DG108" s="54" t="str">
        <f t="shared" si="976"/>
        <v>-</v>
      </c>
      <c r="DH108" s="54" t="str">
        <f t="shared" si="977"/>
        <v>-</v>
      </c>
      <c r="DI108" s="54" t="str">
        <f t="shared" si="978"/>
        <v>-</v>
      </c>
      <c r="DJ108" s="54" t="str">
        <f t="shared" si="979"/>
        <v>-</v>
      </c>
      <c r="DK108" s="54" t="str">
        <f t="shared" si="980"/>
        <v>-</v>
      </c>
      <c r="DL108" s="54">
        <f t="shared" si="981"/>
        <v>27457.561728395063</v>
      </c>
      <c r="DM108" s="54" t="str">
        <f t="shared" si="982"/>
        <v>-</v>
      </c>
      <c r="DN108" s="54" t="str">
        <f t="shared" si="983"/>
        <v>-</v>
      </c>
      <c r="DO108" s="54" t="str">
        <f t="shared" si="984"/>
        <v>-</v>
      </c>
      <c r="DP108" s="54" t="str">
        <f t="shared" si="985"/>
        <v>-</v>
      </c>
      <c r="DQ108" s="54" t="str">
        <f t="shared" si="986"/>
        <v>-</v>
      </c>
      <c r="DR108" s="54" t="str">
        <f t="shared" si="987"/>
        <v>-</v>
      </c>
      <c r="DT108" s="112">
        <f t="shared" si="988"/>
        <v>3368.8282407407387</v>
      </c>
      <c r="DU108" s="114">
        <f>IFERROR(SUMIFS('01. KE30'!$X:$X,'01. KE30'!$C:$C,'06. BC BH THEO CUSTOMER-USD'!$D108,'01. KE30'!$F:$F,'06. BC BH THEO CUSTOMER-USD'!$H108,'01. KE30'!$A:$A,'06. BC BH THEO CUSTOMER-USD'!DU$4)-SUMIFS('01. KE30'!$AA:$AA,'01. KE30'!$C:$C,'06. BC BH THEO CUSTOMER-USD'!$D108,'01. KE30'!$F:$F,'06. BC BH THEO CUSTOMER-USD'!$H108,'01. KE30'!$A:$A,'06. BC BH THEO CUSTOMER-USD'!DU$4),"-")</f>
        <v>0</v>
      </c>
      <c r="DV108" s="114">
        <f>IFERROR(SUMIFS('01. KE30'!$X:$X,'01. KE30'!$C:$C,'06. BC BH THEO CUSTOMER-USD'!$D108,'01. KE30'!$F:$F,'06. BC BH THEO CUSTOMER-USD'!$H108,'01. KE30'!$A:$A,'06. BC BH THEO CUSTOMER-USD'!DV$4)-SUMIFS('01. KE30'!$AA:$AA,'01. KE30'!$C:$C,'06. BC BH THEO CUSTOMER-USD'!$D108,'01. KE30'!$F:$F,'06. BC BH THEO CUSTOMER-USD'!$H108,'01. KE30'!$A:$A,'06. BC BH THEO CUSTOMER-USD'!DV$4),"-")</f>
        <v>0</v>
      </c>
      <c r="DW108" s="114">
        <f>IFERROR(SUMIFS('01. KE30'!$X:$X,'01. KE30'!$C:$C,'06. BC BH THEO CUSTOMER-USD'!$D108,'01. KE30'!$F:$F,'06. BC BH THEO CUSTOMER-USD'!$H108,'01. KE30'!$A:$A,'06. BC BH THEO CUSTOMER-USD'!DW$4)-SUMIFS('01. KE30'!$AA:$AA,'01. KE30'!$C:$C,'06. BC BH THEO CUSTOMER-USD'!$D108,'01. KE30'!$F:$F,'06. BC BH THEO CUSTOMER-USD'!$H108,'01. KE30'!$A:$A,'06. BC BH THEO CUSTOMER-USD'!DW$4),"-")</f>
        <v>0</v>
      </c>
      <c r="DX108" s="114">
        <f>IFERROR(SUMIFS('01. KE30'!$X:$X,'01. KE30'!$C:$C,'06. BC BH THEO CUSTOMER-USD'!$D108,'01. KE30'!$F:$F,'06. BC BH THEO CUSTOMER-USD'!$H108,'01. KE30'!$A:$A,'06. BC BH THEO CUSTOMER-USD'!DX$4)-SUMIFS('01. KE30'!$AA:$AA,'01. KE30'!$C:$C,'06. BC BH THEO CUSTOMER-USD'!$D108,'01. KE30'!$F:$F,'06. BC BH THEO CUSTOMER-USD'!$H108,'01. KE30'!$A:$A,'06. BC BH THEO CUSTOMER-USD'!DX$4),"-")</f>
        <v>0</v>
      </c>
      <c r="DY108" s="114">
        <f>IFERROR(SUMIFS('01. KE30'!$X:$X,'01. KE30'!$C:$C,'06. BC BH THEO CUSTOMER-USD'!$D108,'01. KE30'!$F:$F,'06. BC BH THEO CUSTOMER-USD'!$H108,'01. KE30'!$A:$A,'06. BC BH THEO CUSTOMER-USD'!DY$4)-SUMIFS('01. KE30'!$AA:$AA,'01. KE30'!$C:$C,'06. BC BH THEO CUSTOMER-USD'!$D108,'01. KE30'!$F:$F,'06. BC BH THEO CUSTOMER-USD'!$H108,'01. KE30'!$A:$A,'06. BC BH THEO CUSTOMER-USD'!DY$4),"-")</f>
        <v>0</v>
      </c>
      <c r="DZ108" s="114">
        <f>IFERROR(SUMIFS('01. KE30'!$X:$X,'01. KE30'!$C:$C,'06. BC BH THEO CUSTOMER-USD'!$D108,'01. KE30'!$F:$F,'06. BC BH THEO CUSTOMER-USD'!$H108,'01. KE30'!$A:$A,'06. BC BH THEO CUSTOMER-USD'!DZ$4)-SUMIFS('01. KE30'!$AA:$AA,'01. KE30'!$C:$C,'06. BC BH THEO CUSTOMER-USD'!$D108,'01. KE30'!$F:$F,'06. BC BH THEO CUSTOMER-USD'!$H108,'01. KE30'!$A:$A,'06. BC BH THEO CUSTOMER-USD'!DZ$4),"-")</f>
        <v>3368.8282407407387</v>
      </c>
      <c r="EA108" s="114">
        <f>IFERROR(SUMIFS('01. KE30'!$X:$X,'01. KE30'!$C:$C,'06. BC BH THEO CUSTOMER-USD'!$D108,'01. KE30'!$F:$F,'06. BC BH THEO CUSTOMER-USD'!$H108,'01. KE30'!$A:$A,'06. BC BH THEO CUSTOMER-USD'!EA$4)-SUMIFS('01. KE30'!$AA:$AA,'01. KE30'!$C:$C,'06. BC BH THEO CUSTOMER-USD'!$D108,'01. KE30'!$F:$F,'06. BC BH THEO CUSTOMER-USD'!$H108,'01. KE30'!$A:$A,'06. BC BH THEO CUSTOMER-USD'!EA$4),"-")</f>
        <v>0</v>
      </c>
      <c r="EB108" s="114">
        <f>IFERROR(SUMIFS('01. KE30'!$X:$X,'01. KE30'!$C:$C,'06. BC BH THEO CUSTOMER-USD'!$D108,'01. KE30'!$F:$F,'06. BC BH THEO CUSTOMER-USD'!$H108,'01. KE30'!$A:$A,'06. BC BH THEO CUSTOMER-USD'!EB$4)-SUMIFS('01. KE30'!$AA:$AA,'01. KE30'!$C:$C,'06. BC BH THEO CUSTOMER-USD'!$D108,'01. KE30'!$F:$F,'06. BC BH THEO CUSTOMER-USD'!$H108,'01. KE30'!$A:$A,'06. BC BH THEO CUSTOMER-USD'!EB$4),"-")</f>
        <v>0</v>
      </c>
      <c r="EC108" s="114">
        <f>IFERROR(SUMIFS('01. KE30'!$X:$X,'01. KE30'!$C:$C,'06. BC BH THEO CUSTOMER-USD'!$D108,'01. KE30'!$F:$F,'06. BC BH THEO CUSTOMER-USD'!$H108,'01. KE30'!$A:$A,'06. BC BH THEO CUSTOMER-USD'!EC$4)-SUMIFS('01. KE30'!$AA:$AA,'01. KE30'!$C:$C,'06. BC BH THEO CUSTOMER-USD'!$D108,'01. KE30'!$F:$F,'06. BC BH THEO CUSTOMER-USD'!$H108,'01. KE30'!$A:$A,'06. BC BH THEO CUSTOMER-USD'!EC$4),"-")</f>
        <v>0</v>
      </c>
      <c r="ED108" s="114">
        <f>IFERROR(SUMIFS('01. KE30'!$X:$X,'01. KE30'!$C:$C,'06. BC BH THEO CUSTOMER-USD'!$D108,'01. KE30'!$F:$F,'06. BC BH THEO CUSTOMER-USD'!$H108,'01. KE30'!$A:$A,'06. BC BH THEO CUSTOMER-USD'!ED$4)-SUMIFS('01. KE30'!$AA:$AA,'01. KE30'!$C:$C,'06. BC BH THEO CUSTOMER-USD'!$D108,'01. KE30'!$F:$F,'06. BC BH THEO CUSTOMER-USD'!$H108,'01. KE30'!$A:$A,'06. BC BH THEO CUSTOMER-USD'!ED$4),"-")</f>
        <v>0</v>
      </c>
      <c r="EE108" s="114">
        <f>IFERROR(SUMIFS('01. KE30'!$X:$X,'01. KE30'!$C:$C,'06. BC BH THEO CUSTOMER-USD'!$D108,'01. KE30'!$F:$F,'06. BC BH THEO CUSTOMER-USD'!$H108,'01. KE30'!$A:$A,'06. BC BH THEO CUSTOMER-USD'!EE$4)-SUMIFS('01. KE30'!$AA:$AA,'01. KE30'!$C:$C,'06. BC BH THEO CUSTOMER-USD'!$D108,'01. KE30'!$F:$F,'06. BC BH THEO CUSTOMER-USD'!$H108,'01. KE30'!$A:$A,'06. BC BH THEO CUSTOMER-USD'!EE$4),"-")</f>
        <v>0</v>
      </c>
      <c r="EF108" s="114">
        <f>IFERROR(SUMIFS('01. KE30'!$X:$X,'01. KE30'!$C:$C,'06. BC BH THEO CUSTOMER-USD'!$D108,'01. KE30'!$F:$F,'06. BC BH THEO CUSTOMER-USD'!$H108,'01. KE30'!$A:$A,'06. BC BH THEO CUSTOMER-USD'!EF$4)-SUMIFS('01. KE30'!$AA:$AA,'01. KE30'!$C:$C,'06. BC BH THEO CUSTOMER-USD'!$D108,'01. KE30'!$F:$F,'06. BC BH THEO CUSTOMER-USD'!$H108,'01. KE30'!$A:$A,'06. BC BH THEO CUSTOMER-USD'!EF$4),"-")</f>
        <v>0</v>
      </c>
      <c r="EH108" s="571">
        <f t="shared" si="989"/>
        <v>0.12269218490937185</v>
      </c>
      <c r="EI108" s="572" t="str">
        <f t="shared" si="990"/>
        <v>-</v>
      </c>
      <c r="EJ108" s="572" t="str">
        <f t="shared" si="991"/>
        <v>-</v>
      </c>
      <c r="EK108" s="572" t="str">
        <f t="shared" si="992"/>
        <v>-</v>
      </c>
      <c r="EL108" s="572" t="str">
        <f t="shared" si="993"/>
        <v>-</v>
      </c>
      <c r="EM108" s="572" t="str">
        <f t="shared" si="994"/>
        <v>-</v>
      </c>
      <c r="EN108" s="572">
        <f t="shared" si="995"/>
        <v>0.12269218490937185</v>
      </c>
      <c r="EO108" s="572" t="str">
        <f t="shared" si="996"/>
        <v>-</v>
      </c>
      <c r="EP108" s="572" t="str">
        <f t="shared" si="997"/>
        <v>-</v>
      </c>
      <c r="EQ108" s="572" t="str">
        <f t="shared" si="998"/>
        <v>-</v>
      </c>
      <c r="ER108" s="572" t="str">
        <f t="shared" si="999"/>
        <v>-</v>
      </c>
      <c r="ES108" s="572" t="str">
        <f t="shared" si="1000"/>
        <v>-</v>
      </c>
      <c r="ET108" s="572" t="str">
        <f t="shared" si="1001"/>
        <v>-</v>
      </c>
    </row>
    <row r="109" spans="1:150" ht="15.5" hidden="1" outlineLevel="1" x14ac:dyDescent="0.35">
      <c r="A109" s="27">
        <f t="shared" si="653"/>
        <v>92</v>
      </c>
      <c r="B109" s="27" t="s">
        <v>283</v>
      </c>
      <c r="C109" s="442" t="s">
        <v>489</v>
      </c>
      <c r="D109" s="9" t="s">
        <v>907</v>
      </c>
      <c r="E109" s="12" t="s">
        <v>908</v>
      </c>
      <c r="F109" s="12" t="s">
        <v>245</v>
      </c>
      <c r="G109" s="12" t="str">
        <f>_xlfn.XLOOKUP(F109,'Quy đổi'!$G$5:$G$32,'Quy đổi'!$H$5:$H$32,0)</f>
        <v>Nội địa</v>
      </c>
      <c r="H109" s="76" t="s">
        <v>110</v>
      </c>
      <c r="I109" s="28" t="s">
        <v>109</v>
      </c>
      <c r="J109" s="6" t="s">
        <v>22</v>
      </c>
      <c r="K109" s="11"/>
      <c r="L109" s="92">
        <f t="shared" si="944"/>
        <v>1251.2770427850032</v>
      </c>
      <c r="M109" s="106" t="str">
        <f>IFERROR(SUMIFS('01. KE30'!$K:$K,'01. KE30'!$C:$C,'06. BC BH THEO CUSTOMER-USD'!$D109,'01. KE30'!$F:$F,'06. BC BH THEO CUSTOMER-USD'!$H109,'01. KE30'!$A:$A,'06. BC BH THEO CUSTOMER-USD'!M$4)/'06. BC BH THEO CUSTOMER-USD'!CS109/'02. Tỷ giá'!B$5,"-")</f>
        <v>-</v>
      </c>
      <c r="N109" s="106" t="str">
        <f>IFERROR(SUMIFS('01. KE30'!$K:$K,'01. KE30'!$C:$C,'06. BC BH THEO CUSTOMER-USD'!$D109,'01. KE30'!$F:$F,'06. BC BH THEO CUSTOMER-USD'!$H109,'01. KE30'!$A:$A,'06. BC BH THEO CUSTOMER-USD'!N$4)/'06. BC BH THEO CUSTOMER-USD'!CT109/'02. Tỷ giá'!C$5,"-")</f>
        <v>-</v>
      </c>
      <c r="O109" s="106" t="str">
        <f>IFERROR(SUMIFS('01. KE30'!$K:$K,'01. KE30'!$C:$C,'06. BC BH THEO CUSTOMER-USD'!$D109,'01. KE30'!$F:$F,'06. BC BH THEO CUSTOMER-USD'!$H109,'01. KE30'!$A:$A,'06. BC BH THEO CUSTOMER-USD'!O$4)/'06. BC BH THEO CUSTOMER-USD'!CU109/'02. Tỷ giá'!D$5,"-")</f>
        <v>-</v>
      </c>
      <c r="P109" s="106" t="str">
        <f>IFERROR(SUMIFS('01. KE30'!$K:$K,'01. KE30'!$C:$C,'06. BC BH THEO CUSTOMER-USD'!$D109,'01. KE30'!$F:$F,'06. BC BH THEO CUSTOMER-USD'!$H109,'01. KE30'!$A:$A,'06. BC BH THEO CUSTOMER-USD'!P$4)/'06. BC BH THEO CUSTOMER-USD'!CV109/'02. Tỷ giá'!E$5,"-")</f>
        <v>-</v>
      </c>
      <c r="Q109" s="106" t="str">
        <f>IFERROR(SUMIFS('01. KE30'!$K:$K,'01. KE30'!$C:$C,'06. BC BH THEO CUSTOMER-USD'!$D109,'01. KE30'!$F:$F,'06. BC BH THEO CUSTOMER-USD'!$H109,'01. KE30'!$A:$A,'06. BC BH THEO CUSTOMER-USD'!Q$4)/'06. BC BH THEO CUSTOMER-USD'!CW109/'02. Tỷ giá'!F$5,"-")</f>
        <v>-</v>
      </c>
      <c r="R109" s="106">
        <f>IFERROR(SUMIFS('01. KE30'!$K:$K,'01. KE30'!$C:$C,'06. BC BH THEO CUSTOMER-USD'!$D109,'01. KE30'!$F:$F,'06. BC BH THEO CUSTOMER-USD'!$H109,'01. KE30'!$A:$A,'06. BC BH THEO CUSTOMER-USD'!R$4)/'06. BC BH THEO CUSTOMER-USD'!CX109/'02. Tỷ giá'!G$5,"-")</f>
        <v>1236.9984567901236</v>
      </c>
      <c r="S109" s="106">
        <f>IFERROR(SUMIFS('01. KE30'!$K:$K,'01. KE30'!$C:$C,'06. BC BH THEO CUSTOMER-USD'!$D109,'01. KE30'!$F:$F,'06. BC BH THEO CUSTOMER-USD'!$H109,'01. KE30'!$A:$A,'06. BC BH THEO CUSTOMER-USD'!S$4)/'06. BC BH THEO CUSTOMER-USD'!CY109/'02. Tỷ giá'!H$5,"-")</f>
        <v>1231.7710334229735</v>
      </c>
      <c r="T109" s="106">
        <f>IFERROR(SUMIFS('01. KE30'!$K:$K,'01. KE30'!$C:$C,'06. BC BH THEO CUSTOMER-USD'!$D109,'01. KE30'!$F:$F,'06. BC BH THEO CUSTOMER-USD'!$H109,'01. KE30'!$A:$A,'06. BC BH THEO CUSTOMER-USD'!T$4)/'06. BC BH THEO CUSTOMER-USD'!CZ109/'02. Tỷ giá'!I$5,"-")</f>
        <v>1269.8624904507258</v>
      </c>
      <c r="U109" s="106">
        <f>IFERROR(SUMIFS('01. KE30'!$K:$K,'01. KE30'!$C:$C,'06. BC BH THEO CUSTOMER-USD'!$D109,'01. KE30'!$F:$F,'06. BC BH THEO CUSTOMER-USD'!$H109,'01. KE30'!$A:$A,'06. BC BH THEO CUSTOMER-USD'!U$4)/'06. BC BH THEO CUSTOMER-USD'!DA109/'02. Tỷ giá'!J$5,"-")</f>
        <v>1266.4761904761904</v>
      </c>
      <c r="V109" s="106" t="str">
        <f>IFERROR(SUMIFS('01. KE30'!$K:$K,'01. KE30'!$C:$C,'06. BC BH THEO CUSTOMER-USD'!$D109,'01. KE30'!$F:$F,'06. BC BH THEO CUSTOMER-USD'!$H109,'01. KE30'!$A:$A,'06. BC BH THEO CUSTOMER-USD'!V$4)/'06. BC BH THEO CUSTOMER-USD'!DB109/'02. Tỷ giá'!K$5,"-")</f>
        <v>-</v>
      </c>
      <c r="W109" s="106" t="str">
        <f>IFERROR(SUMIFS('01. KE30'!$K:$K,'01. KE30'!$C:$C,'06. BC BH THEO CUSTOMER-USD'!$D109,'01. KE30'!$F:$F,'06. BC BH THEO CUSTOMER-USD'!$H109,'01. KE30'!$A:$A,'06. BC BH THEO CUSTOMER-USD'!W$4)/'06. BC BH THEO CUSTOMER-USD'!DC109/'02. Tỷ giá'!L$5,"-")</f>
        <v>-</v>
      </c>
      <c r="X109" s="106" t="str">
        <f>IFERROR(SUMIFS('01. KE30'!$K:$K,'01. KE30'!$C:$C,'06. BC BH THEO CUSTOMER-USD'!$D109,'01. KE30'!$F:$F,'06. BC BH THEO CUSTOMER-USD'!$H109,'01. KE30'!$A:$A,'06. BC BH THEO CUSTOMER-USD'!X$4)/'06. BC BH THEO CUSTOMER-USD'!DD109/'02. Tỷ giá'!M$5,"-")</f>
        <v>-</v>
      </c>
      <c r="Z109" s="92">
        <f t="shared" si="945"/>
        <v>1245.9119000321055</v>
      </c>
      <c r="AA109" s="147" t="str">
        <f>IFERROR(SUMIFS('01. KE30'!$O:$O,'01. KE30'!$C:$C,'06. BC BH THEO CUSTOMER-USD'!$D109,'01. KE30'!$F:$F,'06. BC BH THEO CUSTOMER-USD'!$H109,'01. KE30'!$A:$A,'06. BC BH THEO CUSTOMER-USD'!M$4)/'06. BC BH THEO CUSTOMER-USD'!CS109/'02. Tỷ giá'!B$5,"-")</f>
        <v>-</v>
      </c>
      <c r="AB109" s="147" t="str">
        <f>IFERROR(SUMIFS('01. KE30'!$O:$O,'01. KE30'!$C:$C,'06. BC BH THEO CUSTOMER-USD'!$D109,'01. KE30'!$F:$F,'06. BC BH THEO CUSTOMER-USD'!$H109,'01. KE30'!$A:$A,'06. BC BH THEO CUSTOMER-USD'!N$4)/'06. BC BH THEO CUSTOMER-USD'!CT109/'02. Tỷ giá'!C$5,"-")</f>
        <v>-</v>
      </c>
      <c r="AC109" s="147" t="str">
        <f>IFERROR(SUMIFS('01. KE30'!$O:$O,'01. KE30'!$C:$C,'06. BC BH THEO CUSTOMER-USD'!$D109,'01. KE30'!$F:$F,'06. BC BH THEO CUSTOMER-USD'!$H109,'01. KE30'!$A:$A,'06. BC BH THEO CUSTOMER-USD'!O$4)/'06. BC BH THEO CUSTOMER-USD'!CU109/'02. Tỷ giá'!D$5,"-")</f>
        <v>-</v>
      </c>
      <c r="AD109" s="147" t="str">
        <f>IFERROR(SUMIFS('01. KE30'!$O:$O,'01. KE30'!$C:$C,'06. BC BH THEO CUSTOMER-USD'!$D109,'01. KE30'!$F:$F,'06. BC BH THEO CUSTOMER-USD'!$H109,'01. KE30'!$A:$A,'06. BC BH THEO CUSTOMER-USD'!P$4)/'06. BC BH THEO CUSTOMER-USD'!CV109/'02. Tỷ giá'!E$5,"-")</f>
        <v>-</v>
      </c>
      <c r="AE109" s="147" t="str">
        <f>IFERROR(SUMIFS('01. KE30'!$O:$O,'01. KE30'!$C:$C,'06. BC BH THEO CUSTOMER-USD'!$D109,'01. KE30'!$F:$F,'06. BC BH THEO CUSTOMER-USD'!$H109,'01. KE30'!$A:$A,'06. BC BH THEO CUSTOMER-USD'!Q$4)/'06. BC BH THEO CUSTOMER-USD'!CW109/'02. Tỷ giá'!F$5,"-")</f>
        <v>-</v>
      </c>
      <c r="AF109" s="147">
        <f>IFERROR(SUMIFS('01. KE30'!$O:$O,'01. KE30'!$C:$C,'06. BC BH THEO CUSTOMER-USD'!$D109,'01. KE30'!$F:$F,'06. BC BH THEO CUSTOMER-USD'!$H109,'01. KE30'!$A:$A,'06. BC BH THEO CUSTOMER-USD'!R$4)/'06. BC BH THEO CUSTOMER-USD'!CX109/'02. Tỷ giá'!G$5,"-")</f>
        <v>1231.5972222222222</v>
      </c>
      <c r="AG109" s="147">
        <f>IFERROR(SUMIFS('01. KE30'!$O:$O,'01. KE30'!$C:$C,'06. BC BH THEO CUSTOMER-USD'!$D109,'01. KE30'!$F:$F,'06. BC BH THEO CUSTOMER-USD'!$H109,'01. KE30'!$A:$A,'06. BC BH THEO CUSTOMER-USD'!S$4)/'06. BC BH THEO CUSTOMER-USD'!CY109/'02. Tỷ giá'!H$5,"-")</f>
        <v>1226.3926238955053</v>
      </c>
      <c r="AH109" s="147">
        <f>IFERROR(SUMIFS('01. KE30'!$O:$O,'01. KE30'!$C:$C,'06. BC BH THEO CUSTOMER-USD'!$D109,'01. KE30'!$F:$F,'06. BC BH THEO CUSTOMER-USD'!$H109,'01. KE30'!$A:$A,'06. BC BH THEO CUSTOMER-USD'!T$4)/'06. BC BH THEO CUSTOMER-USD'!CZ109/'02. Tỷ giá'!I$5,"-")</f>
        <v>1264.5148968678379</v>
      </c>
      <c r="AI109" s="147">
        <f>IFERROR(SUMIFS('01. KE30'!$O:$O,'01. KE30'!$C:$C,'06. BC BH THEO CUSTOMER-USD'!$D109,'01. KE30'!$F:$F,'06. BC BH THEO CUSTOMER-USD'!$H109,'01. KE30'!$A:$A,'06. BC BH THEO CUSTOMER-USD'!U$4)/'06. BC BH THEO CUSTOMER-USD'!DA109/'02. Tỷ giá'!J$5,"-")</f>
        <v>1261.1428571428571</v>
      </c>
      <c r="AJ109" s="147" t="str">
        <f>IFERROR(SUMIFS('01. KE30'!$O:$O,'01. KE30'!$C:$C,'06. BC BH THEO CUSTOMER-USD'!$D109,'01. KE30'!$F:$F,'06. BC BH THEO CUSTOMER-USD'!$H109,'01. KE30'!$A:$A,'06. BC BH THEO CUSTOMER-USD'!V$4)/'06. BC BH THEO CUSTOMER-USD'!DB109/'02. Tỷ giá'!K$5,"-")</f>
        <v>-</v>
      </c>
      <c r="AK109" s="147" t="str">
        <f>IFERROR(SUMIFS('01. KE30'!$O:$O,'01. KE30'!$C:$C,'06. BC BH THEO CUSTOMER-USD'!$D109,'01. KE30'!$F:$F,'06. BC BH THEO CUSTOMER-USD'!$H109,'01. KE30'!$A:$A,'06. BC BH THEO CUSTOMER-USD'!W$4)/'06. BC BH THEO CUSTOMER-USD'!DC109/'02. Tỷ giá'!L$5,"-")</f>
        <v>-</v>
      </c>
      <c r="AL109" s="147" t="str">
        <f>IFERROR(SUMIFS('01. KE30'!$O:$O,'01. KE30'!$C:$C,'06. BC BH THEO CUSTOMER-USD'!$D109,'01. KE30'!$F:$F,'06. BC BH THEO CUSTOMER-USD'!$H109,'01. KE30'!$A:$A,'06. BC BH THEO CUSTOMER-USD'!X$4)/'06. BC BH THEO CUSTOMER-USD'!DD109/'02. Tỷ giá'!M$5,"-")</f>
        <v>-</v>
      </c>
      <c r="AN109" s="92">
        <f t="shared" si="946"/>
        <v>1236.6666666666667</v>
      </c>
      <c r="AO109" s="25">
        <v>1230</v>
      </c>
      <c r="AP109" s="25">
        <v>1230</v>
      </c>
      <c r="AQ109" s="4">
        <v>1230</v>
      </c>
      <c r="AR109" s="4">
        <f t="shared" si="1062"/>
        <v>1250</v>
      </c>
      <c r="AS109" s="4">
        <v>1250</v>
      </c>
      <c r="AT109" s="4">
        <v>1250</v>
      </c>
      <c r="AU109" s="25">
        <v>1250</v>
      </c>
      <c r="AV109" s="4">
        <f t="shared" ref="AV109:AV114" si="1063">AU109-30</f>
        <v>1220</v>
      </c>
      <c r="AW109" s="25">
        <v>1220</v>
      </c>
      <c r="AX109" s="25"/>
      <c r="AY109" s="4"/>
      <c r="AZ109" s="4"/>
      <c r="BB109" s="95">
        <f t="shared" si="947"/>
        <v>9.2452333654387076</v>
      </c>
      <c r="BC109" s="95" t="str">
        <f t="shared" si="948"/>
        <v>-</v>
      </c>
      <c r="BD109" s="95" t="str">
        <f t="shared" si="949"/>
        <v>-</v>
      </c>
      <c r="BE109" s="95" t="str">
        <f t="shared" si="950"/>
        <v>-</v>
      </c>
      <c r="BF109" s="95" t="str">
        <f t="shared" si="951"/>
        <v>-</v>
      </c>
      <c r="BG109" s="95" t="str">
        <f t="shared" si="952"/>
        <v>-</v>
      </c>
      <c r="BH109" s="95">
        <f t="shared" si="953"/>
        <v>-18.402777777777828</v>
      </c>
      <c r="BI109" s="95">
        <f t="shared" si="954"/>
        <v>-23.607376104494733</v>
      </c>
      <c r="BJ109" s="95">
        <f t="shared" si="955"/>
        <v>44.514896867837933</v>
      </c>
      <c r="BK109" s="95">
        <f t="shared" si="956"/>
        <v>41.14285714285711</v>
      </c>
      <c r="BL109" s="95" t="str">
        <f t="shared" si="957"/>
        <v>-</v>
      </c>
      <c r="BM109" s="95" t="str">
        <f t="shared" si="958"/>
        <v>-</v>
      </c>
      <c r="BN109" s="95" t="str">
        <f t="shared" si="959"/>
        <v>-</v>
      </c>
      <c r="BP109" s="143">
        <f t="shared" si="960"/>
        <v>7.4759299450986852E-3</v>
      </c>
      <c r="BQ109" s="143" t="str">
        <f t="shared" si="961"/>
        <v>-</v>
      </c>
      <c r="BR109" s="143" t="str">
        <f t="shared" si="962"/>
        <v>-</v>
      </c>
      <c r="BS109" s="143" t="str">
        <f t="shared" si="963"/>
        <v>-</v>
      </c>
      <c r="BT109" s="143" t="str">
        <f t="shared" si="964"/>
        <v>-</v>
      </c>
      <c r="BU109" s="143" t="str">
        <f t="shared" si="965"/>
        <v>-</v>
      </c>
      <c r="BV109" s="143">
        <f t="shared" si="966"/>
        <v>-1.4722222222222263E-2</v>
      </c>
      <c r="BW109" s="143">
        <f t="shared" si="967"/>
        <v>-1.8885900883595787E-2</v>
      </c>
      <c r="BX109" s="143">
        <f t="shared" si="968"/>
        <v>3.6487620383473716E-2</v>
      </c>
      <c r="BY109" s="143">
        <f t="shared" si="969"/>
        <v>3.3723653395784516E-2</v>
      </c>
      <c r="BZ109" s="143" t="str">
        <f t="shared" si="970"/>
        <v>-</v>
      </c>
      <c r="CA109" s="143" t="str">
        <f t="shared" si="971"/>
        <v>-</v>
      </c>
      <c r="CB109" s="143" t="str">
        <f t="shared" si="972"/>
        <v>-</v>
      </c>
      <c r="CD109" s="112">
        <f t="shared" si="973"/>
        <v>1063.9991243781549</v>
      </c>
      <c r="CE109" s="95" t="str">
        <f>IFERROR(SUMIFS('01. KE30'!$R:$R,'01. KE30'!$C:$C,'06. BC BH THEO CUSTOMER-USD'!$D109,'01. KE30'!$F:$F,'06. BC BH THEO CUSTOMER-USD'!$H109,'01. KE30'!$A:$A,'06. BC BH THEO CUSTOMER-USD'!CE$4)/CS109/'02. Tỷ giá'!B$5," -")</f>
        <v xml:space="preserve"> -</v>
      </c>
      <c r="CF109" s="95" t="str">
        <f>IFERROR(SUMIFS('01. KE30'!$R:$R,'01. KE30'!$C:$C,'06. BC BH THEO CUSTOMER-USD'!$D109,'01. KE30'!$F:$F,'06. BC BH THEO CUSTOMER-USD'!$H109,'01. KE30'!$A:$A,'06. BC BH THEO CUSTOMER-USD'!CF$4)/CT109/'02. Tỷ giá'!C$5," -")</f>
        <v xml:space="preserve"> -</v>
      </c>
      <c r="CG109" s="95" t="str">
        <f>IFERROR(SUMIFS('01. KE30'!$R:$R,'01. KE30'!$C:$C,'06. BC BH THEO CUSTOMER-USD'!$D109,'01. KE30'!$F:$F,'06. BC BH THEO CUSTOMER-USD'!$H109,'01. KE30'!$A:$A,'06. BC BH THEO CUSTOMER-USD'!CG$4)/CU109/'02. Tỷ giá'!D$5," -")</f>
        <v xml:space="preserve"> -</v>
      </c>
      <c r="CH109" s="95" t="str">
        <f>IFERROR(SUMIFS('01. KE30'!$R:$R,'01. KE30'!$C:$C,'06. BC BH THEO CUSTOMER-USD'!$D109,'01. KE30'!$F:$F,'06. BC BH THEO CUSTOMER-USD'!$H109,'01. KE30'!$A:$A,'06. BC BH THEO CUSTOMER-USD'!CH$4)/CV109/'02. Tỷ giá'!E$5," -")</f>
        <v xml:space="preserve"> -</v>
      </c>
      <c r="CI109" s="95" t="str">
        <f>IFERROR(SUMIFS('01. KE30'!$R:$R,'01. KE30'!$C:$C,'06. BC BH THEO CUSTOMER-USD'!$D109,'01. KE30'!$F:$F,'06. BC BH THEO CUSTOMER-USD'!$H109,'01. KE30'!$A:$A,'06. BC BH THEO CUSTOMER-USD'!CI$4)/CW109/'02. Tỷ giá'!F$5," -")</f>
        <v xml:space="preserve"> -</v>
      </c>
      <c r="CJ109" s="95">
        <f>IFERROR(SUMIFS('01. KE30'!$R:$R,'01. KE30'!$C:$C,'06. BC BH THEO CUSTOMER-USD'!$D109,'01. KE30'!$F:$F,'06. BC BH THEO CUSTOMER-USD'!$H109,'01. KE30'!$A:$A,'06. BC BH THEO CUSTOMER-USD'!CJ$4)/CX109/'02. Tỷ giá'!G$5," -")</f>
        <v>1078.8699266975309</v>
      </c>
      <c r="CK109" s="95">
        <f>IFERROR(SUMIFS('01. KE30'!$R:$R,'01. KE30'!$C:$C,'06. BC BH THEO CUSTOMER-USD'!$D109,'01. KE30'!$F:$F,'06. BC BH THEO CUSTOMER-USD'!$H109,'01. KE30'!$A:$A,'06. BC BH THEO CUSTOMER-USD'!CK$4)/CY109/'02. Tỷ giá'!H$5," -")</f>
        <v>1095.1091939370656</v>
      </c>
      <c r="CL109" s="95">
        <f>IFERROR(SUMIFS('01. KE30'!$R:$R,'01. KE30'!$C:$C,'06. BC BH THEO CUSTOMER-USD'!$D109,'01. KE30'!$F:$F,'06. BC BH THEO CUSTOMER-USD'!$H109,'01. KE30'!$A:$A,'06. BC BH THEO CUSTOMER-USD'!CL$4)/CZ109/'02. Tỷ giá'!I$5," -")</f>
        <v>1060.8793162719633</v>
      </c>
      <c r="CM109" s="95">
        <f>IFERROR(SUMIFS('01. KE30'!$R:$R,'01. KE30'!$C:$C,'06. BC BH THEO CUSTOMER-USD'!$D109,'01. KE30'!$F:$F,'06. BC BH THEO CUSTOMER-USD'!$H109,'01. KE30'!$A:$A,'06. BC BH THEO CUSTOMER-USD'!CM$4)/DA109/'02. Tỷ giá'!J$5," -")</f>
        <v>1021.1380606060605</v>
      </c>
      <c r="CN109" s="95" t="str">
        <f>IFERROR(SUMIFS('01. KE30'!$R:$R,'01. KE30'!$C:$C,'06. BC BH THEO CUSTOMER-USD'!$D109,'01. KE30'!$F:$F,'06. BC BH THEO CUSTOMER-USD'!$H109,'01. KE30'!$A:$A,'06. BC BH THEO CUSTOMER-USD'!CN$4)/DB109/'02. Tỷ giá'!K$5," -")</f>
        <v xml:space="preserve"> -</v>
      </c>
      <c r="CO109" s="95" t="str">
        <f>IFERROR(SUMIFS('01. KE30'!$R:$R,'01. KE30'!$C:$C,'06. BC BH THEO CUSTOMER-USD'!$D109,'01. KE30'!$F:$F,'06. BC BH THEO CUSTOMER-USD'!$H109,'01. KE30'!$A:$A,'06. BC BH THEO CUSTOMER-USD'!CO$4)/DC109/'02. Tỷ giá'!L$5," -")</f>
        <v xml:space="preserve"> -</v>
      </c>
      <c r="CP109" s="95" t="str">
        <f>IFERROR(SUMIFS('01. KE30'!$R:$R,'01. KE30'!$C:$C,'06. BC BH THEO CUSTOMER-USD'!$D109,'01. KE30'!$F:$F,'06. BC BH THEO CUSTOMER-USD'!$H109,'01. KE30'!$A:$A,'06. BC BH THEO CUSTOMER-USD'!CP$4)/DD109/'02. Tỷ giá'!M$5," -")</f>
        <v xml:space="preserve"> -</v>
      </c>
      <c r="CR109" s="112">
        <f t="shared" si="974"/>
        <v>242</v>
      </c>
      <c r="CS109" s="114">
        <f>SUMIFS('01. KE30'!$I:$I,'01. KE30'!$C:$C,'06. BC BH THEO CUSTOMER-USD'!$D109,'01. KE30'!$F:$F,'06. BC BH THEO CUSTOMER-USD'!$H109,'01. KE30'!$A:$A,'06. BC BH THEO CUSTOMER-USD'!CS$4)/1000</f>
        <v>0</v>
      </c>
      <c r="CT109" s="114">
        <f>SUMIFS('01. KE30'!$I:$I,'01. KE30'!$C:$C,'06. BC BH THEO CUSTOMER-USD'!$D109,'01. KE30'!$F:$F,'06. BC BH THEO CUSTOMER-USD'!$H109,'01. KE30'!$A:$A,'06. BC BH THEO CUSTOMER-USD'!CT$4)/1000</f>
        <v>0</v>
      </c>
      <c r="CU109" s="114">
        <f>SUMIFS('01. KE30'!$I:$I,'01. KE30'!$C:$C,'06. BC BH THEO CUSTOMER-USD'!$D109,'01. KE30'!$F:$F,'06. BC BH THEO CUSTOMER-USD'!$H109,'01. KE30'!$A:$A,'06. BC BH THEO CUSTOMER-USD'!CU$4)/1000</f>
        <v>0</v>
      </c>
      <c r="CV109" s="725">
        <f>SUMIFS('01. KE30'!$I:$I,'01. KE30'!$C:$C,'06. BC BH THEO CUSTOMER-USD'!$D109,'01. KE30'!$F:$F,'06. BC BH THEO CUSTOMER-USD'!$H109,'01. KE30'!$A:$A,'06. BC BH THEO CUSTOMER-USD'!CV$4)/1000</f>
        <v>0</v>
      </c>
      <c r="CW109" s="114">
        <f>SUMIFS('01. KE30'!$I:$I,'01. KE30'!$C:$C,'06. BC BH THEO CUSTOMER-USD'!$D109,'01. KE30'!$F:$F,'06. BC BH THEO CUSTOMER-USD'!$H109,'01. KE30'!$A:$A,'06. BC BH THEO CUSTOMER-USD'!CW$4)/1000</f>
        <v>0</v>
      </c>
      <c r="CX109" s="114">
        <f>SUMIFS('01. KE30'!$I:$I,'01. KE30'!$C:$C,'06. BC BH THEO CUSTOMER-USD'!$D109,'01. KE30'!$F:$F,'06. BC BH THEO CUSTOMER-USD'!$H109,'01. KE30'!$A:$A,'06. BC BH THEO CUSTOMER-USD'!CX$4)/1000</f>
        <v>44</v>
      </c>
      <c r="CY109" s="114">
        <f>SUMIFS('01. KE30'!$I:$I,'01. KE30'!$C:$C,'06. BC BH THEO CUSTOMER-USD'!$D109,'01. KE30'!$F:$F,'06. BC BH THEO CUSTOMER-USD'!$H109,'01. KE30'!$A:$A,'06. BC BH THEO CUSTOMER-USD'!CY$4)/1000</f>
        <v>44</v>
      </c>
      <c r="CZ109" s="114">
        <f>SUMIFS('01. KE30'!$I:$I,'01. KE30'!$C:$C,'06. BC BH THEO CUSTOMER-USD'!$D109,'01. KE30'!$F:$F,'06. BC BH THEO CUSTOMER-USD'!$H109,'01. KE30'!$A:$A,'06. BC BH THEO CUSTOMER-USD'!CZ$4)/1000</f>
        <v>88</v>
      </c>
      <c r="DA109" s="114">
        <f>SUMIFS('01. KE30'!$I:$I,'01. KE30'!$C:$C,'06. BC BH THEO CUSTOMER-USD'!$D109,'01. KE30'!$F:$F,'06. BC BH THEO CUSTOMER-USD'!$H109,'01. KE30'!$A:$A,'06. BC BH THEO CUSTOMER-USD'!DA$4)/1000</f>
        <v>66</v>
      </c>
      <c r="DB109" s="114">
        <f>SUMIFS('01. KE30'!$I:$I,'01. KE30'!$C:$C,'06. BC BH THEO CUSTOMER-USD'!$D109,'01. KE30'!$F:$F,'06. BC BH THEO CUSTOMER-USD'!$H109,'01. KE30'!$A:$A,'06. BC BH THEO CUSTOMER-USD'!DB$4)/1000</f>
        <v>0</v>
      </c>
      <c r="DC109" s="114">
        <f>SUMIFS('01. KE30'!$I:$I,'01. KE30'!$C:$C,'06. BC BH THEO CUSTOMER-USD'!$D109,'01. KE30'!$F:$F,'06. BC BH THEO CUSTOMER-USD'!$H109,'01. KE30'!$A:$A,'06. BC BH THEO CUSTOMER-USD'!DC$4)/1000</f>
        <v>0</v>
      </c>
      <c r="DD109" s="114">
        <f>SUMIFS('01. KE30'!$I:$I,'01. KE30'!$C:$C,'06. BC BH THEO CUSTOMER-USD'!$D109,'01. KE30'!$F:$F,'06. BC BH THEO CUSTOMER-USD'!$H109,'01. KE30'!$A:$A,'06. BC BH THEO CUSTOMER-USD'!DD$4)/1000</f>
        <v>0</v>
      </c>
      <c r="DF109" s="120">
        <f t="shared" si="975"/>
        <v>303961.1853004687</v>
      </c>
      <c r="DG109" s="54" t="str">
        <f t="shared" si="976"/>
        <v>-</v>
      </c>
      <c r="DH109" s="54" t="str">
        <f t="shared" si="977"/>
        <v>-</v>
      </c>
      <c r="DI109" s="54" t="str">
        <f t="shared" si="978"/>
        <v>-</v>
      </c>
      <c r="DJ109" s="54" t="str">
        <f t="shared" si="979"/>
        <v>-</v>
      </c>
      <c r="DK109" s="54" t="str">
        <f t="shared" si="980"/>
        <v>-</v>
      </c>
      <c r="DL109" s="54">
        <f t="shared" si="981"/>
        <v>54427.932098765436</v>
      </c>
      <c r="DM109" s="54">
        <f t="shared" si="982"/>
        <v>54197.925470610833</v>
      </c>
      <c r="DN109" s="54">
        <f t="shared" si="983"/>
        <v>111747.89915966387</v>
      </c>
      <c r="DO109" s="54">
        <f t="shared" si="984"/>
        <v>83587.428571428565</v>
      </c>
      <c r="DP109" s="54" t="str">
        <f t="shared" si="985"/>
        <v>-</v>
      </c>
      <c r="DQ109" s="54" t="str">
        <f t="shared" si="986"/>
        <v>-</v>
      </c>
      <c r="DR109" s="54" t="str">
        <f t="shared" si="987"/>
        <v>-</v>
      </c>
      <c r="DT109" s="112">
        <f t="shared" si="988"/>
        <v>46256.719585123312</v>
      </c>
      <c r="DU109" s="114">
        <f>IFERROR(SUMIFS('01. KE30'!$X:$X,'01. KE30'!$C:$C,'06. BC BH THEO CUSTOMER-USD'!$D109,'01. KE30'!$F:$F,'06. BC BH THEO CUSTOMER-USD'!$H109,'01. KE30'!$A:$A,'06. BC BH THEO CUSTOMER-USD'!DU$4)-SUMIFS('01. KE30'!$AA:$AA,'01. KE30'!$C:$C,'06. BC BH THEO CUSTOMER-USD'!$D109,'01. KE30'!$F:$F,'06. BC BH THEO CUSTOMER-USD'!$H109,'01. KE30'!$A:$A,'06. BC BH THEO CUSTOMER-USD'!DU$4),"-")</f>
        <v>0</v>
      </c>
      <c r="DV109" s="114">
        <f>IFERROR(SUMIFS('01. KE30'!$X:$X,'01. KE30'!$C:$C,'06. BC BH THEO CUSTOMER-USD'!$D109,'01. KE30'!$F:$F,'06. BC BH THEO CUSTOMER-USD'!$H109,'01. KE30'!$A:$A,'06. BC BH THEO CUSTOMER-USD'!DV$4)-SUMIFS('01. KE30'!$AA:$AA,'01. KE30'!$C:$C,'06. BC BH THEO CUSTOMER-USD'!$D109,'01. KE30'!$F:$F,'06. BC BH THEO CUSTOMER-USD'!$H109,'01. KE30'!$A:$A,'06. BC BH THEO CUSTOMER-USD'!DV$4),"-")</f>
        <v>0</v>
      </c>
      <c r="DW109" s="114">
        <f>IFERROR(SUMIFS('01. KE30'!$X:$X,'01. KE30'!$C:$C,'06. BC BH THEO CUSTOMER-USD'!$D109,'01. KE30'!$F:$F,'06. BC BH THEO CUSTOMER-USD'!$H109,'01. KE30'!$A:$A,'06. BC BH THEO CUSTOMER-USD'!DW$4)-SUMIFS('01. KE30'!$AA:$AA,'01. KE30'!$C:$C,'06. BC BH THEO CUSTOMER-USD'!$D109,'01. KE30'!$F:$F,'06. BC BH THEO CUSTOMER-USD'!$H109,'01. KE30'!$A:$A,'06. BC BH THEO CUSTOMER-USD'!DW$4),"-")</f>
        <v>0</v>
      </c>
      <c r="DX109" s="114">
        <f>IFERROR(SUMIFS('01. KE30'!$X:$X,'01. KE30'!$C:$C,'06. BC BH THEO CUSTOMER-USD'!$D109,'01. KE30'!$F:$F,'06. BC BH THEO CUSTOMER-USD'!$H109,'01. KE30'!$A:$A,'06. BC BH THEO CUSTOMER-USD'!DX$4)-SUMIFS('01. KE30'!$AA:$AA,'01. KE30'!$C:$C,'06. BC BH THEO CUSTOMER-USD'!$D109,'01. KE30'!$F:$F,'06. BC BH THEO CUSTOMER-USD'!$H109,'01. KE30'!$A:$A,'06. BC BH THEO CUSTOMER-USD'!DX$4),"-")</f>
        <v>0</v>
      </c>
      <c r="DY109" s="114">
        <f>IFERROR(SUMIFS('01. KE30'!$X:$X,'01. KE30'!$C:$C,'06. BC BH THEO CUSTOMER-USD'!$D109,'01. KE30'!$F:$F,'06. BC BH THEO CUSTOMER-USD'!$H109,'01. KE30'!$A:$A,'06. BC BH THEO CUSTOMER-USD'!DY$4)-SUMIFS('01. KE30'!$AA:$AA,'01. KE30'!$C:$C,'06. BC BH THEO CUSTOMER-USD'!$D109,'01. KE30'!$F:$F,'06. BC BH THEO CUSTOMER-USD'!$H109,'01. KE30'!$A:$A,'06. BC BH THEO CUSTOMER-USD'!DY$4),"-")</f>
        <v>0</v>
      </c>
      <c r="DZ109" s="114">
        <f>IFERROR(SUMIFS('01. KE30'!$X:$X,'01. KE30'!$C:$C,'06. BC BH THEO CUSTOMER-USD'!$D109,'01. KE30'!$F:$F,'06. BC BH THEO CUSTOMER-USD'!$H109,'01. KE30'!$A:$A,'06. BC BH THEO CUSTOMER-USD'!DZ$4)-SUMIFS('01. KE30'!$AA:$AA,'01. KE30'!$C:$C,'06. BC BH THEO CUSTOMER-USD'!$D109,'01. KE30'!$F:$F,'06. BC BH THEO CUSTOMER-USD'!$H109,'01. KE30'!$A:$A,'06. BC BH THEO CUSTOMER-USD'!DZ$4),"-")</f>
        <v>6720.0010030864214</v>
      </c>
      <c r="EA109" s="114">
        <f>IFERROR(SUMIFS('01. KE30'!$X:$X,'01. KE30'!$C:$C,'06. BC BH THEO CUSTOMER-USD'!$D109,'01. KE30'!$F:$F,'06. BC BH THEO CUSTOMER-USD'!$H109,'01. KE30'!$A:$A,'06. BC BH THEO CUSTOMER-USD'!EA$4)-SUMIFS('01. KE30'!$AA:$AA,'01. KE30'!$C:$C,'06. BC BH THEO CUSTOMER-USD'!$D109,'01. KE30'!$F:$F,'06. BC BH THEO CUSTOMER-USD'!$H109,'01. KE30'!$A:$A,'06. BC BH THEO CUSTOMER-USD'!EA$4),"-")</f>
        <v>5776.4709181713406</v>
      </c>
      <c r="EB109" s="114">
        <f>IFERROR(SUMIFS('01. KE30'!$X:$X,'01. KE30'!$C:$C,'06. BC BH THEO CUSTOMER-USD'!$D109,'01. KE30'!$F:$F,'06. BC BH THEO CUSTOMER-USD'!$H109,'01. KE30'!$A:$A,'06. BC BH THEO CUSTOMER-USD'!EB$4)-SUMIFS('01. KE30'!$AA:$AA,'01. KE30'!$C:$C,'06. BC BH THEO CUSTOMER-USD'!$D109,'01. KE30'!$F:$F,'06. BC BH THEO CUSTOMER-USD'!$H109,'01. KE30'!$A:$A,'06. BC BH THEO CUSTOMER-USD'!EB$4),"-")</f>
        <v>17919.931092436978</v>
      </c>
      <c r="EC109" s="114">
        <f>IFERROR(SUMIFS('01. KE30'!$X:$X,'01. KE30'!$C:$C,'06. BC BH THEO CUSTOMER-USD'!$D109,'01. KE30'!$F:$F,'06. BC BH THEO CUSTOMER-USD'!$H109,'01. KE30'!$A:$A,'06. BC BH THEO CUSTOMER-USD'!EC$4)-SUMIFS('01. KE30'!$AA:$AA,'01. KE30'!$C:$C,'06. BC BH THEO CUSTOMER-USD'!$D109,'01. KE30'!$F:$F,'06. BC BH THEO CUSTOMER-USD'!$H109,'01. KE30'!$A:$A,'06. BC BH THEO CUSTOMER-USD'!EC$4),"-")</f>
        <v>15840.316571428571</v>
      </c>
      <c r="ED109" s="114">
        <f>IFERROR(SUMIFS('01. KE30'!$X:$X,'01. KE30'!$C:$C,'06. BC BH THEO CUSTOMER-USD'!$D109,'01. KE30'!$F:$F,'06. BC BH THEO CUSTOMER-USD'!$H109,'01. KE30'!$A:$A,'06. BC BH THEO CUSTOMER-USD'!ED$4)-SUMIFS('01. KE30'!$AA:$AA,'01. KE30'!$C:$C,'06. BC BH THEO CUSTOMER-USD'!$D109,'01. KE30'!$F:$F,'06. BC BH THEO CUSTOMER-USD'!$H109,'01. KE30'!$A:$A,'06. BC BH THEO CUSTOMER-USD'!ED$4),"-")</f>
        <v>0</v>
      </c>
      <c r="EE109" s="114">
        <f>IFERROR(SUMIFS('01. KE30'!$X:$X,'01. KE30'!$C:$C,'06. BC BH THEO CUSTOMER-USD'!$D109,'01. KE30'!$F:$F,'06. BC BH THEO CUSTOMER-USD'!$H109,'01. KE30'!$A:$A,'06. BC BH THEO CUSTOMER-USD'!EE$4)-SUMIFS('01. KE30'!$AA:$AA,'01. KE30'!$C:$C,'06. BC BH THEO CUSTOMER-USD'!$D109,'01. KE30'!$F:$F,'06. BC BH THEO CUSTOMER-USD'!$H109,'01. KE30'!$A:$A,'06. BC BH THEO CUSTOMER-USD'!EE$4),"-")</f>
        <v>0</v>
      </c>
      <c r="EF109" s="114">
        <f>IFERROR(SUMIFS('01. KE30'!$X:$X,'01. KE30'!$C:$C,'06. BC BH THEO CUSTOMER-USD'!$D109,'01. KE30'!$F:$F,'06. BC BH THEO CUSTOMER-USD'!$H109,'01. KE30'!$A:$A,'06. BC BH THEO CUSTOMER-USD'!EF$4)-SUMIFS('01. KE30'!$AA:$AA,'01. KE30'!$C:$C,'06. BC BH THEO CUSTOMER-USD'!$D109,'01. KE30'!$F:$F,'06. BC BH THEO CUSTOMER-USD'!$H109,'01. KE30'!$A:$A,'06. BC BH THEO CUSTOMER-USD'!EF$4),"-")</f>
        <v>0</v>
      </c>
      <c r="EH109" s="571">
        <f t="shared" si="989"/>
        <v>0.15217969208600787</v>
      </c>
      <c r="EI109" s="572" t="str">
        <f t="shared" si="990"/>
        <v>-</v>
      </c>
      <c r="EJ109" s="572" t="str">
        <f t="shared" si="991"/>
        <v>-</v>
      </c>
      <c r="EK109" s="572" t="str">
        <f t="shared" si="992"/>
        <v>-</v>
      </c>
      <c r="EL109" s="572" t="str">
        <f t="shared" si="993"/>
        <v>-</v>
      </c>
      <c r="EM109" s="572" t="str">
        <f t="shared" si="994"/>
        <v>-</v>
      </c>
      <c r="EN109" s="572">
        <f t="shared" si="995"/>
        <v>0.1234660356173783</v>
      </c>
      <c r="EO109" s="572">
        <f t="shared" si="996"/>
        <v>0.10658103364682599</v>
      </c>
      <c r="EP109" s="572">
        <f t="shared" si="997"/>
        <v>0.16036033990073698</v>
      </c>
      <c r="EQ109" s="572">
        <f t="shared" si="998"/>
        <v>0.18950596808816092</v>
      </c>
      <c r="ER109" s="572" t="str">
        <f t="shared" si="999"/>
        <v>-</v>
      </c>
      <c r="ES109" s="572" t="str">
        <f t="shared" si="1000"/>
        <v>-</v>
      </c>
      <c r="ET109" s="572" t="str">
        <f t="shared" si="1001"/>
        <v>-</v>
      </c>
    </row>
    <row r="110" spans="1:150" ht="15.5" hidden="1" outlineLevel="1" x14ac:dyDescent="0.35">
      <c r="A110" s="27">
        <f t="shared" si="653"/>
        <v>93</v>
      </c>
      <c r="B110" s="27" t="s">
        <v>283</v>
      </c>
      <c r="C110" s="442" t="s">
        <v>489</v>
      </c>
      <c r="D110" s="9" t="s">
        <v>1066</v>
      </c>
      <c r="E110" s="12" t="s">
        <v>1092</v>
      </c>
      <c r="F110" s="12" t="s">
        <v>245</v>
      </c>
      <c r="G110" s="12" t="str">
        <f>_xlfn.XLOOKUP(F110,'Quy đổi'!$G$5:$G$32,'Quy đổi'!$H$5:$H$32,0)</f>
        <v>Nội địa</v>
      </c>
      <c r="H110" s="76" t="s">
        <v>110</v>
      </c>
      <c r="I110" s="28" t="s">
        <v>109</v>
      </c>
      <c r="J110" s="6" t="s">
        <v>22</v>
      </c>
      <c r="K110" s="11"/>
      <c r="L110" s="92">
        <f t="shared" ref="L110" si="1064">IFERROR(AVERAGE(M110:X110),"-")</f>
        <v>1226.9714285714285</v>
      </c>
      <c r="M110" s="106" t="str">
        <f>IFERROR(SUMIFS('01. KE30'!$K:$K,'01. KE30'!$C:$C,'06. BC BH THEO CUSTOMER-USD'!$D110,'01. KE30'!$F:$F,'06. BC BH THEO CUSTOMER-USD'!$H110,'01. KE30'!$A:$A,'06. BC BH THEO CUSTOMER-USD'!M$4)/'06. BC BH THEO CUSTOMER-USD'!CS110/'02. Tỷ giá'!B$5,"-")</f>
        <v>-</v>
      </c>
      <c r="N110" s="106" t="str">
        <f>IFERROR(SUMIFS('01. KE30'!$K:$K,'01. KE30'!$C:$C,'06. BC BH THEO CUSTOMER-USD'!$D110,'01. KE30'!$F:$F,'06. BC BH THEO CUSTOMER-USD'!$H110,'01. KE30'!$A:$A,'06. BC BH THEO CUSTOMER-USD'!N$4)/'06. BC BH THEO CUSTOMER-USD'!CT110/'02. Tỷ giá'!C$5,"-")</f>
        <v>-</v>
      </c>
      <c r="O110" s="106" t="str">
        <f>IFERROR(SUMIFS('01. KE30'!$K:$K,'01. KE30'!$C:$C,'06. BC BH THEO CUSTOMER-USD'!$D110,'01. KE30'!$F:$F,'06. BC BH THEO CUSTOMER-USD'!$H110,'01. KE30'!$A:$A,'06. BC BH THEO CUSTOMER-USD'!O$4)/'06. BC BH THEO CUSTOMER-USD'!CU110/'02. Tỷ giá'!D$5,"-")</f>
        <v>-</v>
      </c>
      <c r="P110" s="106" t="str">
        <f>IFERROR(SUMIFS('01. KE30'!$K:$K,'01. KE30'!$C:$C,'06. BC BH THEO CUSTOMER-USD'!$D110,'01. KE30'!$F:$F,'06. BC BH THEO CUSTOMER-USD'!$H110,'01. KE30'!$A:$A,'06. BC BH THEO CUSTOMER-USD'!P$4)/'06. BC BH THEO CUSTOMER-USD'!CV110/'02. Tỷ giá'!E$5,"-")</f>
        <v>-</v>
      </c>
      <c r="Q110" s="106" t="str">
        <f>IFERROR(SUMIFS('01. KE30'!$K:$K,'01. KE30'!$C:$C,'06. BC BH THEO CUSTOMER-USD'!$D110,'01. KE30'!$F:$F,'06. BC BH THEO CUSTOMER-USD'!$H110,'01. KE30'!$A:$A,'06. BC BH THEO CUSTOMER-USD'!Q$4)/'06. BC BH THEO CUSTOMER-USD'!CW110/'02. Tỷ giá'!F$5,"-")</f>
        <v>-</v>
      </c>
      <c r="R110" s="106" t="str">
        <f>IFERROR(SUMIFS('01. KE30'!$K:$K,'01. KE30'!$C:$C,'06. BC BH THEO CUSTOMER-USD'!$D110,'01. KE30'!$F:$F,'06. BC BH THEO CUSTOMER-USD'!$H110,'01. KE30'!$A:$A,'06. BC BH THEO CUSTOMER-USD'!R$4)/'06. BC BH THEO CUSTOMER-USD'!CX110/'02. Tỷ giá'!G$5,"-")</f>
        <v>-</v>
      </c>
      <c r="S110" s="106" t="str">
        <f>IFERROR(SUMIFS('01. KE30'!$K:$K,'01. KE30'!$C:$C,'06. BC BH THEO CUSTOMER-USD'!$D110,'01. KE30'!$F:$F,'06. BC BH THEO CUSTOMER-USD'!$H110,'01. KE30'!$A:$A,'06. BC BH THEO CUSTOMER-USD'!S$4)/'06. BC BH THEO CUSTOMER-USD'!CY110/'02. Tỷ giá'!H$5,"-")</f>
        <v>-</v>
      </c>
      <c r="T110" s="106" t="str">
        <f>IFERROR(SUMIFS('01. KE30'!$K:$K,'01. KE30'!$C:$C,'06. BC BH THEO CUSTOMER-USD'!$D110,'01. KE30'!$F:$F,'06. BC BH THEO CUSTOMER-USD'!$H110,'01. KE30'!$A:$A,'06. BC BH THEO CUSTOMER-USD'!T$4)/'06. BC BH THEO CUSTOMER-USD'!CZ110/'02. Tỷ giá'!I$5,"-")</f>
        <v>-</v>
      </c>
      <c r="U110" s="106">
        <f>IFERROR(SUMIFS('01. KE30'!$K:$K,'01. KE30'!$C:$C,'06. BC BH THEO CUSTOMER-USD'!$D110,'01. KE30'!$F:$F,'06. BC BH THEO CUSTOMER-USD'!$H110,'01. KE30'!$A:$A,'06. BC BH THEO CUSTOMER-USD'!U$4)/'06. BC BH THEO CUSTOMER-USD'!DA110/'02. Tỷ giá'!J$5,"-")</f>
        <v>1226.9714285714285</v>
      </c>
      <c r="V110" s="106" t="str">
        <f>IFERROR(SUMIFS('01. KE30'!$K:$K,'01. KE30'!$C:$C,'06. BC BH THEO CUSTOMER-USD'!$D110,'01. KE30'!$F:$F,'06. BC BH THEO CUSTOMER-USD'!$H110,'01. KE30'!$A:$A,'06. BC BH THEO CUSTOMER-USD'!V$4)/'06. BC BH THEO CUSTOMER-USD'!DB110/'02. Tỷ giá'!K$5,"-")</f>
        <v>-</v>
      </c>
      <c r="W110" s="106" t="str">
        <f>IFERROR(SUMIFS('01. KE30'!$K:$K,'01. KE30'!$C:$C,'06. BC BH THEO CUSTOMER-USD'!$D110,'01. KE30'!$F:$F,'06. BC BH THEO CUSTOMER-USD'!$H110,'01. KE30'!$A:$A,'06. BC BH THEO CUSTOMER-USD'!W$4)/'06. BC BH THEO CUSTOMER-USD'!DC110/'02. Tỷ giá'!L$5,"-")</f>
        <v>-</v>
      </c>
      <c r="X110" s="106" t="str">
        <f>IFERROR(SUMIFS('01. KE30'!$K:$K,'01. KE30'!$C:$C,'06. BC BH THEO CUSTOMER-USD'!$D110,'01. KE30'!$F:$F,'06. BC BH THEO CUSTOMER-USD'!$H110,'01. KE30'!$A:$A,'06. BC BH THEO CUSTOMER-USD'!X$4)/'06. BC BH THEO CUSTOMER-USD'!DD110/'02. Tỷ giá'!M$5,"-")</f>
        <v>-</v>
      </c>
      <c r="Z110" s="92">
        <f t="shared" ref="Z110" si="1065">IFERROR(AVERAGE(AA110:AL110),"-")</f>
        <v>1226.9714285714285</v>
      </c>
      <c r="AA110" s="147" t="str">
        <f>IFERROR(SUMIFS('01. KE30'!$O:$O,'01. KE30'!$C:$C,'06. BC BH THEO CUSTOMER-USD'!$D110,'01. KE30'!$F:$F,'06. BC BH THEO CUSTOMER-USD'!$H110,'01. KE30'!$A:$A,'06. BC BH THEO CUSTOMER-USD'!M$4)/'06. BC BH THEO CUSTOMER-USD'!CS110/'02. Tỷ giá'!B$5,"-")</f>
        <v>-</v>
      </c>
      <c r="AB110" s="147" t="str">
        <f>IFERROR(SUMIFS('01. KE30'!$O:$O,'01. KE30'!$C:$C,'06. BC BH THEO CUSTOMER-USD'!$D110,'01. KE30'!$F:$F,'06. BC BH THEO CUSTOMER-USD'!$H110,'01. KE30'!$A:$A,'06. BC BH THEO CUSTOMER-USD'!N$4)/'06. BC BH THEO CUSTOMER-USD'!CT110/'02. Tỷ giá'!C$5,"-")</f>
        <v>-</v>
      </c>
      <c r="AC110" s="147" t="str">
        <f>IFERROR(SUMIFS('01. KE30'!$O:$O,'01. KE30'!$C:$C,'06. BC BH THEO CUSTOMER-USD'!$D110,'01. KE30'!$F:$F,'06. BC BH THEO CUSTOMER-USD'!$H110,'01. KE30'!$A:$A,'06. BC BH THEO CUSTOMER-USD'!O$4)/'06. BC BH THEO CUSTOMER-USD'!CU110/'02. Tỷ giá'!D$5,"-")</f>
        <v>-</v>
      </c>
      <c r="AD110" s="147" t="str">
        <f>IFERROR(SUMIFS('01. KE30'!$O:$O,'01. KE30'!$C:$C,'06. BC BH THEO CUSTOMER-USD'!$D110,'01. KE30'!$F:$F,'06. BC BH THEO CUSTOMER-USD'!$H110,'01. KE30'!$A:$A,'06. BC BH THEO CUSTOMER-USD'!P$4)/'06. BC BH THEO CUSTOMER-USD'!CV110/'02. Tỷ giá'!E$5,"-")</f>
        <v>-</v>
      </c>
      <c r="AE110" s="147" t="str">
        <f>IFERROR(SUMIFS('01. KE30'!$O:$O,'01. KE30'!$C:$C,'06. BC BH THEO CUSTOMER-USD'!$D110,'01. KE30'!$F:$F,'06. BC BH THEO CUSTOMER-USD'!$H110,'01. KE30'!$A:$A,'06. BC BH THEO CUSTOMER-USD'!Q$4)/'06. BC BH THEO CUSTOMER-USD'!CW110/'02. Tỷ giá'!F$5,"-")</f>
        <v>-</v>
      </c>
      <c r="AF110" s="147" t="str">
        <f>IFERROR(SUMIFS('01. KE30'!$O:$O,'01. KE30'!$C:$C,'06. BC BH THEO CUSTOMER-USD'!$D110,'01. KE30'!$F:$F,'06. BC BH THEO CUSTOMER-USD'!$H110,'01. KE30'!$A:$A,'06. BC BH THEO CUSTOMER-USD'!R$4)/'06. BC BH THEO CUSTOMER-USD'!CX110/'02. Tỷ giá'!G$5,"-")</f>
        <v>-</v>
      </c>
      <c r="AG110" s="147" t="str">
        <f>IFERROR(SUMIFS('01. KE30'!$O:$O,'01. KE30'!$C:$C,'06. BC BH THEO CUSTOMER-USD'!$D110,'01. KE30'!$F:$F,'06. BC BH THEO CUSTOMER-USD'!$H110,'01. KE30'!$A:$A,'06. BC BH THEO CUSTOMER-USD'!S$4)/'06. BC BH THEO CUSTOMER-USD'!CY110/'02. Tỷ giá'!H$5,"-")</f>
        <v>-</v>
      </c>
      <c r="AH110" s="147" t="str">
        <f>IFERROR(SUMIFS('01. KE30'!$O:$O,'01. KE30'!$C:$C,'06. BC BH THEO CUSTOMER-USD'!$D110,'01. KE30'!$F:$F,'06. BC BH THEO CUSTOMER-USD'!$H110,'01. KE30'!$A:$A,'06. BC BH THEO CUSTOMER-USD'!T$4)/'06. BC BH THEO CUSTOMER-USD'!CZ110/'02. Tỷ giá'!I$5,"-")</f>
        <v>-</v>
      </c>
      <c r="AI110" s="147">
        <f>IFERROR(SUMIFS('01. KE30'!$O:$O,'01. KE30'!$C:$C,'06. BC BH THEO CUSTOMER-USD'!$D110,'01. KE30'!$F:$F,'06. BC BH THEO CUSTOMER-USD'!$H110,'01. KE30'!$A:$A,'06. BC BH THEO CUSTOMER-USD'!U$4)/'06. BC BH THEO CUSTOMER-USD'!DA110/'02. Tỷ giá'!J$5,"-")</f>
        <v>1226.9714285714285</v>
      </c>
      <c r="AJ110" s="147" t="str">
        <f>IFERROR(SUMIFS('01. KE30'!$O:$O,'01. KE30'!$C:$C,'06. BC BH THEO CUSTOMER-USD'!$D110,'01. KE30'!$F:$F,'06. BC BH THEO CUSTOMER-USD'!$H110,'01. KE30'!$A:$A,'06. BC BH THEO CUSTOMER-USD'!V$4)/'06. BC BH THEO CUSTOMER-USD'!DB110/'02. Tỷ giá'!K$5,"-")</f>
        <v>-</v>
      </c>
      <c r="AK110" s="147" t="str">
        <f>IFERROR(SUMIFS('01. KE30'!$O:$O,'01. KE30'!$C:$C,'06. BC BH THEO CUSTOMER-USD'!$D110,'01. KE30'!$F:$F,'06. BC BH THEO CUSTOMER-USD'!$H110,'01. KE30'!$A:$A,'06. BC BH THEO CUSTOMER-USD'!W$4)/'06. BC BH THEO CUSTOMER-USD'!DC110/'02. Tỷ giá'!L$5,"-")</f>
        <v>-</v>
      </c>
      <c r="AL110" s="147" t="str">
        <f>IFERROR(SUMIFS('01. KE30'!$O:$O,'01. KE30'!$C:$C,'06. BC BH THEO CUSTOMER-USD'!$D110,'01. KE30'!$F:$F,'06. BC BH THEO CUSTOMER-USD'!$H110,'01. KE30'!$A:$A,'06. BC BH THEO CUSTOMER-USD'!X$4)/'06. BC BH THEO CUSTOMER-USD'!DD110/'02. Tỷ giá'!M$5,"-")</f>
        <v>-</v>
      </c>
      <c r="AN110" s="92">
        <f t="shared" ref="AN110" si="1066">IFERROR(AVERAGE(AO110:AZ110),"-")</f>
        <v>1236.6666666666667</v>
      </c>
      <c r="AO110" s="25">
        <v>1230</v>
      </c>
      <c r="AP110" s="25">
        <v>1230</v>
      </c>
      <c r="AQ110" s="4">
        <v>1230</v>
      </c>
      <c r="AR110" s="4">
        <f t="shared" ref="AR110" si="1067">AQ110+20</f>
        <v>1250</v>
      </c>
      <c r="AS110" s="4">
        <v>1250</v>
      </c>
      <c r="AT110" s="4">
        <v>1250</v>
      </c>
      <c r="AU110" s="25">
        <v>1250</v>
      </c>
      <c r="AV110" s="4">
        <f t="shared" ref="AV110" si="1068">AU110-30</f>
        <v>1220</v>
      </c>
      <c r="AW110" s="25">
        <v>1220</v>
      </c>
      <c r="AX110" s="25"/>
      <c r="AY110" s="4"/>
      <c r="AZ110" s="4"/>
      <c r="BB110" s="95">
        <f t="shared" ref="BB110" si="1069">IF(L110&lt;&gt;"-",Z110-AN110,"-")</f>
        <v>-9.69523809523821</v>
      </c>
      <c r="BC110" s="95" t="str">
        <f t="shared" ref="BC110" si="1070">IF(M110&lt;&gt;"-",AA110-AO110,"-")</f>
        <v>-</v>
      </c>
      <c r="BD110" s="95" t="str">
        <f t="shared" ref="BD110" si="1071">IF(N110&lt;&gt;"-",AB110-AP110,"-")</f>
        <v>-</v>
      </c>
      <c r="BE110" s="95" t="str">
        <f t="shared" ref="BE110" si="1072">IF(O110&lt;&gt;"-",AC110-AQ110,"-")</f>
        <v>-</v>
      </c>
      <c r="BF110" s="95" t="str">
        <f t="shared" ref="BF110" si="1073">IF(P110&lt;&gt;"-",AD110-AR110,"-")</f>
        <v>-</v>
      </c>
      <c r="BG110" s="95" t="str">
        <f t="shared" ref="BG110" si="1074">IF(Q110&lt;&gt;"-",AE110-AS110,"-")</f>
        <v>-</v>
      </c>
      <c r="BH110" s="95" t="str">
        <f t="shared" ref="BH110" si="1075">IF(R110&lt;&gt;"-",AF110-AT110,"-")</f>
        <v>-</v>
      </c>
      <c r="BI110" s="95" t="str">
        <f t="shared" ref="BI110" si="1076">IF(S110&lt;&gt;"-",AG110-AU110,"-")</f>
        <v>-</v>
      </c>
      <c r="BJ110" s="95" t="str">
        <f t="shared" ref="BJ110" si="1077">IF(T110&lt;&gt;"-",AH110-AV110,"-")</f>
        <v>-</v>
      </c>
      <c r="BK110" s="95">
        <f t="shared" ref="BK110" si="1078">IF(U110&lt;&gt;"-",AI110-AW110,"-")</f>
        <v>6.9714285714285325</v>
      </c>
      <c r="BL110" s="95" t="str">
        <f t="shared" ref="BL110" si="1079">IF(V110&lt;&gt;"-",AJ110-AX110,"-")</f>
        <v>-</v>
      </c>
      <c r="BM110" s="95" t="str">
        <f t="shared" ref="BM110" si="1080">IF(W110&lt;&gt;"-",AK110-AY110,"-")</f>
        <v>-</v>
      </c>
      <c r="BN110" s="95" t="str">
        <f t="shared" ref="BN110" si="1081">IF(X110&lt;&gt;"-",AL110-AZ110,"-")</f>
        <v>-</v>
      </c>
      <c r="BP110" s="143">
        <f t="shared" ref="BP110" si="1082">IFERROR(IF(BB110&lt;&gt;"-",BB110/AN110,"-"),"-")</f>
        <v>-7.8398151713516516E-3</v>
      </c>
      <c r="BQ110" s="143" t="str">
        <f t="shared" ref="BQ110" si="1083">IFERROR(IF(BC110&lt;&gt;"-",BC110/AO110,"-"),"-")</f>
        <v>-</v>
      </c>
      <c r="BR110" s="143" t="str">
        <f t="shared" ref="BR110" si="1084">IFERROR(IF(BD110&lt;&gt;"-",BD110/AP110,"-"),"-")</f>
        <v>-</v>
      </c>
      <c r="BS110" s="143" t="str">
        <f t="shared" ref="BS110" si="1085">IFERROR(IF(BE110&lt;&gt;"-",BE110/AQ110,"-"),"-")</f>
        <v>-</v>
      </c>
      <c r="BT110" s="143" t="str">
        <f t="shared" ref="BT110" si="1086">IFERROR(IF(BF110&lt;&gt;"-",BF110/AR110,"-"),"-")</f>
        <v>-</v>
      </c>
      <c r="BU110" s="143" t="str">
        <f t="shared" ref="BU110" si="1087">IFERROR(IF(BG110&lt;&gt;"-",BG110/AS110,"-"),"-")</f>
        <v>-</v>
      </c>
      <c r="BV110" s="143" t="str">
        <f t="shared" ref="BV110" si="1088">IFERROR(IF(BH110&lt;&gt;"-",BH110/AT110,"-"),"-")</f>
        <v>-</v>
      </c>
      <c r="BW110" s="143" t="str">
        <f t="shared" ref="BW110" si="1089">IFERROR(IF(BI110&lt;&gt;"-",BI110/AU110,"-"),"-")</f>
        <v>-</v>
      </c>
      <c r="BX110" s="143" t="str">
        <f t="shared" ref="BX110" si="1090">IFERROR(IF(BJ110&lt;&gt;"-",BJ110/AV110,"-"),"-")</f>
        <v>-</v>
      </c>
      <c r="BY110" s="143">
        <f t="shared" ref="BY110" si="1091">IFERROR(IF(BK110&lt;&gt;"-",BK110/AW110,"-"),"-")</f>
        <v>5.7142857142856822E-3</v>
      </c>
      <c r="BZ110" s="143" t="str">
        <f t="shared" ref="BZ110" si="1092">IFERROR(IF(BL110&lt;&gt;"-",BL110/AX110,"-"),"-")</f>
        <v>-</v>
      </c>
      <c r="CA110" s="143" t="str">
        <f t="shared" ref="CA110" si="1093">IFERROR(IF(BM110&lt;&gt;"-",BM110/AY110,"-"),"-")</f>
        <v>-</v>
      </c>
      <c r="CB110" s="143" t="str">
        <f t="shared" ref="CB110" si="1094">IFERROR(IF(BN110&lt;&gt;"-",BN110/AZ110,"-"),"-")</f>
        <v>-</v>
      </c>
      <c r="CD110" s="112">
        <f t="shared" ref="CD110" si="1095">IFERROR(AVERAGE(CE110:CP110),"-")</f>
        <v>1021.1380577200578</v>
      </c>
      <c r="CE110" s="95" t="str">
        <f>IFERROR(SUMIFS('01. KE30'!$R:$R,'01. KE30'!$C:$C,'06. BC BH THEO CUSTOMER-USD'!$D110,'01. KE30'!$F:$F,'06. BC BH THEO CUSTOMER-USD'!$H110,'01. KE30'!$A:$A,'06. BC BH THEO CUSTOMER-USD'!CE$4)/CS110/'02. Tỷ giá'!B$5," -")</f>
        <v xml:space="preserve"> -</v>
      </c>
      <c r="CF110" s="95" t="str">
        <f>IFERROR(SUMIFS('01. KE30'!$R:$R,'01. KE30'!$C:$C,'06. BC BH THEO CUSTOMER-USD'!$D110,'01. KE30'!$F:$F,'06. BC BH THEO CUSTOMER-USD'!$H110,'01. KE30'!$A:$A,'06. BC BH THEO CUSTOMER-USD'!CF$4)/CT110/'02. Tỷ giá'!C$5," -")</f>
        <v xml:space="preserve"> -</v>
      </c>
      <c r="CG110" s="95" t="str">
        <f>IFERROR(SUMIFS('01. KE30'!$R:$R,'01. KE30'!$C:$C,'06. BC BH THEO CUSTOMER-USD'!$D110,'01. KE30'!$F:$F,'06. BC BH THEO CUSTOMER-USD'!$H110,'01. KE30'!$A:$A,'06. BC BH THEO CUSTOMER-USD'!CG$4)/CU110/'02. Tỷ giá'!D$5," -")</f>
        <v xml:space="preserve"> -</v>
      </c>
      <c r="CH110" s="95" t="str">
        <f>IFERROR(SUMIFS('01. KE30'!$R:$R,'01. KE30'!$C:$C,'06. BC BH THEO CUSTOMER-USD'!$D110,'01. KE30'!$F:$F,'06. BC BH THEO CUSTOMER-USD'!$H110,'01. KE30'!$A:$A,'06. BC BH THEO CUSTOMER-USD'!CH$4)/CV110/'02. Tỷ giá'!E$5," -")</f>
        <v xml:space="preserve"> -</v>
      </c>
      <c r="CI110" s="95" t="str">
        <f>IFERROR(SUMIFS('01. KE30'!$R:$R,'01. KE30'!$C:$C,'06. BC BH THEO CUSTOMER-USD'!$D110,'01. KE30'!$F:$F,'06. BC BH THEO CUSTOMER-USD'!$H110,'01. KE30'!$A:$A,'06. BC BH THEO CUSTOMER-USD'!CI$4)/CW110/'02. Tỷ giá'!F$5," -")</f>
        <v xml:space="preserve"> -</v>
      </c>
      <c r="CJ110" s="95" t="str">
        <f>IFERROR(SUMIFS('01. KE30'!$R:$R,'01. KE30'!$C:$C,'06. BC BH THEO CUSTOMER-USD'!$D110,'01. KE30'!$F:$F,'06. BC BH THEO CUSTOMER-USD'!$H110,'01. KE30'!$A:$A,'06. BC BH THEO CUSTOMER-USD'!CJ$4)/CX110/'02. Tỷ giá'!G$5," -")</f>
        <v xml:space="preserve"> -</v>
      </c>
      <c r="CK110" s="95" t="str">
        <f>IFERROR(SUMIFS('01. KE30'!$R:$R,'01. KE30'!$C:$C,'06. BC BH THEO CUSTOMER-USD'!$D110,'01. KE30'!$F:$F,'06. BC BH THEO CUSTOMER-USD'!$H110,'01. KE30'!$A:$A,'06. BC BH THEO CUSTOMER-USD'!CK$4)/CY110/'02. Tỷ giá'!H$5," -")</f>
        <v xml:space="preserve"> -</v>
      </c>
      <c r="CL110" s="95" t="str">
        <f>IFERROR(SUMIFS('01. KE30'!$R:$R,'01. KE30'!$C:$C,'06. BC BH THEO CUSTOMER-USD'!$D110,'01. KE30'!$F:$F,'06. BC BH THEO CUSTOMER-USD'!$H110,'01. KE30'!$A:$A,'06. BC BH THEO CUSTOMER-USD'!CL$4)/CZ110/'02. Tỷ giá'!I$5," -")</f>
        <v xml:space="preserve"> -</v>
      </c>
      <c r="CM110" s="95">
        <f>IFERROR(SUMIFS('01. KE30'!$R:$R,'01. KE30'!$C:$C,'06. BC BH THEO CUSTOMER-USD'!$D110,'01. KE30'!$F:$F,'06. BC BH THEO CUSTOMER-USD'!$H110,'01. KE30'!$A:$A,'06. BC BH THEO CUSTOMER-USD'!CM$4)/DA110/'02. Tỷ giá'!J$5," -")</f>
        <v>1021.1380577200578</v>
      </c>
      <c r="CN110" s="95" t="str">
        <f>IFERROR(SUMIFS('01. KE30'!$R:$R,'01. KE30'!$C:$C,'06. BC BH THEO CUSTOMER-USD'!$D110,'01. KE30'!$F:$F,'06. BC BH THEO CUSTOMER-USD'!$H110,'01. KE30'!$A:$A,'06. BC BH THEO CUSTOMER-USD'!CN$4)/DB110/'02. Tỷ giá'!K$5," -")</f>
        <v xml:space="preserve"> -</v>
      </c>
      <c r="CO110" s="95" t="str">
        <f>IFERROR(SUMIFS('01. KE30'!$R:$R,'01. KE30'!$C:$C,'06. BC BH THEO CUSTOMER-USD'!$D110,'01. KE30'!$F:$F,'06. BC BH THEO CUSTOMER-USD'!$H110,'01. KE30'!$A:$A,'06. BC BH THEO CUSTOMER-USD'!CO$4)/DC110/'02. Tỷ giá'!L$5," -")</f>
        <v xml:space="preserve"> -</v>
      </c>
      <c r="CP110" s="95" t="str">
        <f>IFERROR(SUMIFS('01. KE30'!$R:$R,'01. KE30'!$C:$C,'06. BC BH THEO CUSTOMER-USD'!$D110,'01. KE30'!$F:$F,'06. BC BH THEO CUSTOMER-USD'!$H110,'01. KE30'!$A:$A,'06. BC BH THEO CUSTOMER-USD'!CP$4)/DD110/'02. Tỷ giá'!M$5," -")</f>
        <v xml:space="preserve"> -</v>
      </c>
      <c r="CR110" s="112">
        <f t="shared" ref="CR110" si="1096">SUM(CS110:DD110)</f>
        <v>13.2</v>
      </c>
      <c r="CS110" s="114">
        <f>SUMIFS('01. KE30'!$I:$I,'01. KE30'!$C:$C,'06. BC BH THEO CUSTOMER-USD'!$D110,'01. KE30'!$F:$F,'06. BC BH THEO CUSTOMER-USD'!$H110,'01. KE30'!$A:$A,'06. BC BH THEO CUSTOMER-USD'!CS$4)/1000</f>
        <v>0</v>
      </c>
      <c r="CT110" s="114">
        <f>SUMIFS('01. KE30'!$I:$I,'01. KE30'!$C:$C,'06. BC BH THEO CUSTOMER-USD'!$D110,'01. KE30'!$F:$F,'06. BC BH THEO CUSTOMER-USD'!$H110,'01. KE30'!$A:$A,'06. BC BH THEO CUSTOMER-USD'!CT$4)/1000</f>
        <v>0</v>
      </c>
      <c r="CU110" s="114">
        <f>SUMIFS('01. KE30'!$I:$I,'01. KE30'!$C:$C,'06. BC BH THEO CUSTOMER-USD'!$D110,'01. KE30'!$F:$F,'06. BC BH THEO CUSTOMER-USD'!$H110,'01. KE30'!$A:$A,'06. BC BH THEO CUSTOMER-USD'!CU$4)/1000</f>
        <v>0</v>
      </c>
      <c r="CV110" s="725">
        <f>SUMIFS('01. KE30'!$I:$I,'01. KE30'!$C:$C,'06. BC BH THEO CUSTOMER-USD'!$D110,'01. KE30'!$F:$F,'06. BC BH THEO CUSTOMER-USD'!$H110,'01. KE30'!$A:$A,'06. BC BH THEO CUSTOMER-USD'!CV$4)/1000</f>
        <v>0</v>
      </c>
      <c r="CW110" s="114">
        <f>SUMIFS('01. KE30'!$I:$I,'01. KE30'!$C:$C,'06. BC BH THEO CUSTOMER-USD'!$D110,'01. KE30'!$F:$F,'06. BC BH THEO CUSTOMER-USD'!$H110,'01. KE30'!$A:$A,'06. BC BH THEO CUSTOMER-USD'!CW$4)/1000</f>
        <v>0</v>
      </c>
      <c r="CX110" s="114">
        <f>SUMIFS('01. KE30'!$I:$I,'01. KE30'!$C:$C,'06. BC BH THEO CUSTOMER-USD'!$D110,'01. KE30'!$F:$F,'06. BC BH THEO CUSTOMER-USD'!$H110,'01. KE30'!$A:$A,'06. BC BH THEO CUSTOMER-USD'!CX$4)/1000</f>
        <v>0</v>
      </c>
      <c r="CY110" s="114">
        <f>SUMIFS('01. KE30'!$I:$I,'01. KE30'!$C:$C,'06. BC BH THEO CUSTOMER-USD'!$D110,'01. KE30'!$F:$F,'06. BC BH THEO CUSTOMER-USD'!$H110,'01. KE30'!$A:$A,'06. BC BH THEO CUSTOMER-USD'!CY$4)/1000</f>
        <v>0</v>
      </c>
      <c r="CZ110" s="114">
        <f>SUMIFS('01. KE30'!$I:$I,'01. KE30'!$C:$C,'06. BC BH THEO CUSTOMER-USD'!$D110,'01. KE30'!$F:$F,'06. BC BH THEO CUSTOMER-USD'!$H110,'01. KE30'!$A:$A,'06. BC BH THEO CUSTOMER-USD'!CZ$4)/1000</f>
        <v>0</v>
      </c>
      <c r="DA110" s="114">
        <f>SUMIFS('01. KE30'!$I:$I,'01. KE30'!$C:$C,'06. BC BH THEO CUSTOMER-USD'!$D110,'01. KE30'!$F:$F,'06. BC BH THEO CUSTOMER-USD'!$H110,'01. KE30'!$A:$A,'06. BC BH THEO CUSTOMER-USD'!DA$4)/1000</f>
        <v>13.2</v>
      </c>
      <c r="DB110" s="114">
        <f>SUMIFS('01. KE30'!$I:$I,'01. KE30'!$C:$C,'06. BC BH THEO CUSTOMER-USD'!$D110,'01. KE30'!$F:$F,'06. BC BH THEO CUSTOMER-USD'!$H110,'01. KE30'!$A:$A,'06. BC BH THEO CUSTOMER-USD'!DB$4)/1000</f>
        <v>0</v>
      </c>
      <c r="DC110" s="114">
        <f>SUMIFS('01. KE30'!$I:$I,'01. KE30'!$C:$C,'06. BC BH THEO CUSTOMER-USD'!$D110,'01. KE30'!$F:$F,'06. BC BH THEO CUSTOMER-USD'!$H110,'01. KE30'!$A:$A,'06. BC BH THEO CUSTOMER-USD'!DC$4)/1000</f>
        <v>0</v>
      </c>
      <c r="DD110" s="114">
        <f>SUMIFS('01. KE30'!$I:$I,'01. KE30'!$C:$C,'06. BC BH THEO CUSTOMER-USD'!$D110,'01. KE30'!$F:$F,'06. BC BH THEO CUSTOMER-USD'!$H110,'01. KE30'!$A:$A,'06. BC BH THEO CUSTOMER-USD'!DD$4)/1000</f>
        <v>0</v>
      </c>
      <c r="DF110" s="120">
        <f t="shared" ref="DF110" si="1097">SUM(DG110:DR110)</f>
        <v>16196.022857142856</v>
      </c>
      <c r="DG110" s="54" t="str">
        <f t="shared" ref="DG110" si="1098">IFERROR(M110*CS110,"-")</f>
        <v>-</v>
      </c>
      <c r="DH110" s="54" t="str">
        <f t="shared" ref="DH110" si="1099">IFERROR(N110*CT110,"-")</f>
        <v>-</v>
      </c>
      <c r="DI110" s="54" t="str">
        <f t="shared" ref="DI110" si="1100">IFERROR(O110*CU110,"-")</f>
        <v>-</v>
      </c>
      <c r="DJ110" s="54" t="str">
        <f t="shared" ref="DJ110" si="1101">IFERROR(P110*CV110,"-")</f>
        <v>-</v>
      </c>
      <c r="DK110" s="54" t="str">
        <f t="shared" ref="DK110" si="1102">IFERROR(Q110*CW110,"-")</f>
        <v>-</v>
      </c>
      <c r="DL110" s="54" t="str">
        <f t="shared" ref="DL110" si="1103">IFERROR(R110*CX110,"-")</f>
        <v>-</v>
      </c>
      <c r="DM110" s="54" t="str">
        <f t="shared" ref="DM110" si="1104">IFERROR(S110*CY110,"-")</f>
        <v>-</v>
      </c>
      <c r="DN110" s="54" t="str">
        <f t="shared" ref="DN110" si="1105">IFERROR(T110*CZ110,"-")</f>
        <v>-</v>
      </c>
      <c r="DO110" s="54">
        <f t="shared" ref="DO110" si="1106">IFERROR(U110*DA110,"-")</f>
        <v>16196.022857142856</v>
      </c>
      <c r="DP110" s="54" t="str">
        <f t="shared" ref="DP110" si="1107">IFERROR(V110*DB110,"-")</f>
        <v>-</v>
      </c>
      <c r="DQ110" s="54" t="str">
        <f t="shared" ref="DQ110" si="1108">IFERROR(W110*DC110,"-")</f>
        <v>-</v>
      </c>
      <c r="DR110" s="54" t="str">
        <f t="shared" ref="DR110" si="1109">IFERROR(X110*DD110,"-")</f>
        <v>-</v>
      </c>
      <c r="DT110" s="112">
        <f t="shared" ref="DT110" si="1110">SUM(DU110:EF110)</f>
        <v>2717.0004952380968</v>
      </c>
      <c r="DU110" s="114">
        <f>IFERROR(SUMIFS('01. KE30'!$X:$X,'01. KE30'!$C:$C,'06. BC BH THEO CUSTOMER-USD'!$D110,'01. KE30'!$F:$F,'06. BC BH THEO CUSTOMER-USD'!$H110,'01. KE30'!$A:$A,'06. BC BH THEO CUSTOMER-USD'!DU$4)-SUMIFS('01. KE30'!$AA:$AA,'01. KE30'!$C:$C,'06. BC BH THEO CUSTOMER-USD'!$D110,'01. KE30'!$F:$F,'06. BC BH THEO CUSTOMER-USD'!$H110,'01. KE30'!$A:$A,'06. BC BH THEO CUSTOMER-USD'!DU$4),"-")</f>
        <v>0</v>
      </c>
      <c r="DV110" s="114">
        <f>IFERROR(SUMIFS('01. KE30'!$X:$X,'01. KE30'!$C:$C,'06. BC BH THEO CUSTOMER-USD'!$D110,'01. KE30'!$F:$F,'06. BC BH THEO CUSTOMER-USD'!$H110,'01. KE30'!$A:$A,'06. BC BH THEO CUSTOMER-USD'!DV$4)-SUMIFS('01. KE30'!$AA:$AA,'01. KE30'!$C:$C,'06. BC BH THEO CUSTOMER-USD'!$D110,'01. KE30'!$F:$F,'06. BC BH THEO CUSTOMER-USD'!$H110,'01. KE30'!$A:$A,'06. BC BH THEO CUSTOMER-USD'!DV$4),"-")</f>
        <v>0</v>
      </c>
      <c r="DW110" s="114">
        <f>IFERROR(SUMIFS('01. KE30'!$X:$X,'01. KE30'!$C:$C,'06. BC BH THEO CUSTOMER-USD'!$D110,'01. KE30'!$F:$F,'06. BC BH THEO CUSTOMER-USD'!$H110,'01. KE30'!$A:$A,'06. BC BH THEO CUSTOMER-USD'!DW$4)-SUMIFS('01. KE30'!$AA:$AA,'01. KE30'!$C:$C,'06. BC BH THEO CUSTOMER-USD'!$D110,'01. KE30'!$F:$F,'06. BC BH THEO CUSTOMER-USD'!$H110,'01. KE30'!$A:$A,'06. BC BH THEO CUSTOMER-USD'!DW$4),"-")</f>
        <v>0</v>
      </c>
      <c r="DX110" s="114">
        <f>IFERROR(SUMIFS('01. KE30'!$X:$X,'01. KE30'!$C:$C,'06. BC BH THEO CUSTOMER-USD'!$D110,'01. KE30'!$F:$F,'06. BC BH THEO CUSTOMER-USD'!$H110,'01. KE30'!$A:$A,'06. BC BH THEO CUSTOMER-USD'!DX$4)-SUMIFS('01. KE30'!$AA:$AA,'01. KE30'!$C:$C,'06. BC BH THEO CUSTOMER-USD'!$D110,'01. KE30'!$F:$F,'06. BC BH THEO CUSTOMER-USD'!$H110,'01. KE30'!$A:$A,'06. BC BH THEO CUSTOMER-USD'!DX$4),"-")</f>
        <v>0</v>
      </c>
      <c r="DY110" s="114">
        <f>IFERROR(SUMIFS('01. KE30'!$X:$X,'01. KE30'!$C:$C,'06. BC BH THEO CUSTOMER-USD'!$D110,'01. KE30'!$F:$F,'06. BC BH THEO CUSTOMER-USD'!$H110,'01. KE30'!$A:$A,'06. BC BH THEO CUSTOMER-USD'!DY$4)-SUMIFS('01. KE30'!$AA:$AA,'01. KE30'!$C:$C,'06. BC BH THEO CUSTOMER-USD'!$D110,'01. KE30'!$F:$F,'06. BC BH THEO CUSTOMER-USD'!$H110,'01. KE30'!$A:$A,'06. BC BH THEO CUSTOMER-USD'!DY$4),"-")</f>
        <v>0</v>
      </c>
      <c r="DZ110" s="114">
        <f>IFERROR(SUMIFS('01. KE30'!$X:$X,'01. KE30'!$C:$C,'06. BC BH THEO CUSTOMER-USD'!$D110,'01. KE30'!$F:$F,'06. BC BH THEO CUSTOMER-USD'!$H110,'01. KE30'!$A:$A,'06. BC BH THEO CUSTOMER-USD'!DZ$4)-SUMIFS('01. KE30'!$AA:$AA,'01. KE30'!$C:$C,'06. BC BH THEO CUSTOMER-USD'!$D110,'01. KE30'!$F:$F,'06. BC BH THEO CUSTOMER-USD'!$H110,'01. KE30'!$A:$A,'06. BC BH THEO CUSTOMER-USD'!DZ$4),"-")</f>
        <v>0</v>
      </c>
      <c r="EA110" s="114">
        <f>IFERROR(SUMIFS('01. KE30'!$X:$X,'01. KE30'!$C:$C,'06. BC BH THEO CUSTOMER-USD'!$D110,'01. KE30'!$F:$F,'06. BC BH THEO CUSTOMER-USD'!$H110,'01. KE30'!$A:$A,'06. BC BH THEO CUSTOMER-USD'!EA$4)-SUMIFS('01. KE30'!$AA:$AA,'01. KE30'!$C:$C,'06. BC BH THEO CUSTOMER-USD'!$D110,'01. KE30'!$F:$F,'06. BC BH THEO CUSTOMER-USD'!$H110,'01. KE30'!$A:$A,'06. BC BH THEO CUSTOMER-USD'!EA$4),"-")</f>
        <v>0</v>
      </c>
      <c r="EB110" s="114">
        <f>IFERROR(SUMIFS('01. KE30'!$X:$X,'01. KE30'!$C:$C,'06. BC BH THEO CUSTOMER-USD'!$D110,'01. KE30'!$F:$F,'06. BC BH THEO CUSTOMER-USD'!$H110,'01. KE30'!$A:$A,'06. BC BH THEO CUSTOMER-USD'!EB$4)-SUMIFS('01. KE30'!$AA:$AA,'01. KE30'!$C:$C,'06. BC BH THEO CUSTOMER-USD'!$D110,'01. KE30'!$F:$F,'06. BC BH THEO CUSTOMER-USD'!$H110,'01. KE30'!$A:$A,'06. BC BH THEO CUSTOMER-USD'!EB$4),"-")</f>
        <v>0</v>
      </c>
      <c r="EC110" s="114">
        <f>IFERROR(SUMIFS('01. KE30'!$X:$X,'01. KE30'!$C:$C,'06. BC BH THEO CUSTOMER-USD'!$D110,'01. KE30'!$F:$F,'06. BC BH THEO CUSTOMER-USD'!$H110,'01. KE30'!$A:$A,'06. BC BH THEO CUSTOMER-USD'!EC$4)-SUMIFS('01. KE30'!$AA:$AA,'01. KE30'!$C:$C,'06. BC BH THEO CUSTOMER-USD'!$D110,'01. KE30'!$F:$F,'06. BC BH THEO CUSTOMER-USD'!$H110,'01. KE30'!$A:$A,'06. BC BH THEO CUSTOMER-USD'!EC$4),"-")</f>
        <v>2717.0004952380968</v>
      </c>
      <c r="ED110" s="114">
        <f>IFERROR(SUMIFS('01. KE30'!$X:$X,'01. KE30'!$C:$C,'06. BC BH THEO CUSTOMER-USD'!$D110,'01. KE30'!$F:$F,'06. BC BH THEO CUSTOMER-USD'!$H110,'01. KE30'!$A:$A,'06. BC BH THEO CUSTOMER-USD'!ED$4)-SUMIFS('01. KE30'!$AA:$AA,'01. KE30'!$C:$C,'06. BC BH THEO CUSTOMER-USD'!$D110,'01. KE30'!$F:$F,'06. BC BH THEO CUSTOMER-USD'!$H110,'01. KE30'!$A:$A,'06. BC BH THEO CUSTOMER-USD'!ED$4),"-")</f>
        <v>0</v>
      </c>
      <c r="EE110" s="114">
        <f>IFERROR(SUMIFS('01. KE30'!$X:$X,'01. KE30'!$C:$C,'06. BC BH THEO CUSTOMER-USD'!$D110,'01. KE30'!$F:$F,'06. BC BH THEO CUSTOMER-USD'!$H110,'01. KE30'!$A:$A,'06. BC BH THEO CUSTOMER-USD'!EE$4)-SUMIFS('01. KE30'!$AA:$AA,'01. KE30'!$C:$C,'06. BC BH THEO CUSTOMER-USD'!$D110,'01. KE30'!$F:$F,'06. BC BH THEO CUSTOMER-USD'!$H110,'01. KE30'!$A:$A,'06. BC BH THEO CUSTOMER-USD'!EE$4),"-")</f>
        <v>0</v>
      </c>
      <c r="EF110" s="114">
        <f>IFERROR(SUMIFS('01. KE30'!$X:$X,'01. KE30'!$C:$C,'06. BC BH THEO CUSTOMER-USD'!$D110,'01. KE30'!$F:$F,'06. BC BH THEO CUSTOMER-USD'!$H110,'01. KE30'!$A:$A,'06. BC BH THEO CUSTOMER-USD'!EF$4)-SUMIFS('01. KE30'!$AA:$AA,'01. KE30'!$C:$C,'06. BC BH THEO CUSTOMER-USD'!$D110,'01. KE30'!$F:$F,'06. BC BH THEO CUSTOMER-USD'!$H110,'01. KE30'!$A:$A,'06. BC BH THEO CUSTOMER-USD'!EF$4),"-")</f>
        <v>0</v>
      </c>
      <c r="EH110" s="571">
        <f t="shared" ref="EH110" si="1111">IFERROR(DT110/DF110,"-")</f>
        <v>0.16775726480528094</v>
      </c>
      <c r="EI110" s="572" t="str">
        <f t="shared" ref="EI110" si="1112">IFERROR(DU110/DG110,"-")</f>
        <v>-</v>
      </c>
      <c r="EJ110" s="572" t="str">
        <f t="shared" ref="EJ110" si="1113">IFERROR(DV110/DH110,"-")</f>
        <v>-</v>
      </c>
      <c r="EK110" s="572" t="str">
        <f t="shared" ref="EK110" si="1114">IFERROR(DW110/DI110,"-")</f>
        <v>-</v>
      </c>
      <c r="EL110" s="572" t="str">
        <f t="shared" ref="EL110" si="1115">IFERROR(DX110/DJ110,"-")</f>
        <v>-</v>
      </c>
      <c r="EM110" s="572" t="str">
        <f t="shared" ref="EM110" si="1116">IFERROR(DY110/DK110,"-")</f>
        <v>-</v>
      </c>
      <c r="EN110" s="572" t="str">
        <f t="shared" ref="EN110" si="1117">IFERROR(DZ110/DL110,"-")</f>
        <v>-</v>
      </c>
      <c r="EO110" s="572" t="str">
        <f t="shared" ref="EO110" si="1118">IFERROR(EA110/DM110,"-")</f>
        <v>-</v>
      </c>
      <c r="EP110" s="572" t="str">
        <f t="shared" ref="EP110" si="1119">IFERROR(EB110/DN110,"-")</f>
        <v>-</v>
      </c>
      <c r="EQ110" s="572">
        <f t="shared" ref="EQ110" si="1120">IFERROR(EC110/DO110,"-")</f>
        <v>0.16775726480528094</v>
      </c>
      <c r="ER110" s="572" t="str">
        <f t="shared" ref="ER110" si="1121">IFERROR(ED110/DP110,"-")</f>
        <v>-</v>
      </c>
      <c r="ES110" s="572" t="str">
        <f t="shared" ref="ES110" si="1122">IFERROR(EE110/DQ110,"-")</f>
        <v>-</v>
      </c>
      <c r="ET110" s="572" t="str">
        <f t="shared" ref="ET110" si="1123">IFERROR(EF110/DR110,"-")</f>
        <v>-</v>
      </c>
    </row>
    <row r="111" spans="1:150" ht="15.5" hidden="1" outlineLevel="1" x14ac:dyDescent="0.35">
      <c r="A111" s="27">
        <f>A100+1</f>
        <v>85</v>
      </c>
      <c r="B111" s="27" t="s">
        <v>283</v>
      </c>
      <c r="C111" s="442" t="s">
        <v>489</v>
      </c>
      <c r="D111" s="9" t="s">
        <v>138</v>
      </c>
      <c r="E111" s="12" t="s">
        <v>524</v>
      </c>
      <c r="F111" s="12" t="s">
        <v>734</v>
      </c>
      <c r="G111" s="12" t="str">
        <f>_xlfn.XLOOKUP(F111,'Quy đổi'!$G$5:$G$32,'Quy đổi'!$H$5:$H$32,0)</f>
        <v>Châu Âu</v>
      </c>
      <c r="H111" s="76" t="s">
        <v>102</v>
      </c>
      <c r="I111" s="28" t="s">
        <v>101</v>
      </c>
      <c r="J111" s="6" t="s">
        <v>26</v>
      </c>
      <c r="K111" s="11" t="s">
        <v>113</v>
      </c>
      <c r="L111" s="92">
        <f t="shared" si="835"/>
        <v>1122.5872243935823</v>
      </c>
      <c r="M111" s="106" t="str">
        <f>IFERROR(SUMIFS('01. KE30'!$K:$K,'01. KE30'!$C:$C,'06. BC BH THEO CUSTOMER-USD'!$D111,'01. KE30'!$F:$F,'06. BC BH THEO CUSTOMER-USD'!$H111,'01. KE30'!$A:$A,'06. BC BH THEO CUSTOMER-USD'!M$4)/'06. BC BH THEO CUSTOMER-USD'!CS111/'02. Tỷ giá'!B$5,"-")</f>
        <v>-</v>
      </c>
      <c r="N111" s="106">
        <f>IFERROR(SUMIFS('01. KE30'!$K:$K,'01. KE30'!$C:$C,'06. BC BH THEO CUSTOMER-USD'!$D111,'01. KE30'!$F:$F,'06. BC BH THEO CUSTOMER-USD'!$H111,'01. KE30'!$A:$A,'06. BC BH THEO CUSTOMER-USD'!N$4)/'06. BC BH THEO CUSTOMER-USD'!CT111/'02. Tỷ giá'!C$5,"-")</f>
        <v>1098.2670342654587</v>
      </c>
      <c r="O111" s="106" t="str">
        <f>IFERROR(SUMIFS('01. KE30'!$K:$K,'01. KE30'!$C:$C,'06. BC BH THEO CUSTOMER-USD'!$D111,'01. KE30'!$F:$F,'06. BC BH THEO CUSTOMER-USD'!$H111,'01. KE30'!$A:$A,'06. BC BH THEO CUSTOMER-USD'!O$4)/'06. BC BH THEO CUSTOMER-USD'!CU111/'02. Tỷ giá'!D$5,"-")</f>
        <v>-</v>
      </c>
      <c r="P111" s="106" t="str">
        <f>IFERROR(SUMIFS('01. KE30'!$K:$K,'01. KE30'!$C:$C,'06. BC BH THEO CUSTOMER-USD'!$D111,'01. KE30'!$F:$F,'06. BC BH THEO CUSTOMER-USD'!$H111,'01. KE30'!$A:$A,'06. BC BH THEO CUSTOMER-USD'!P$4)/'06. BC BH THEO CUSTOMER-USD'!CV111/'02. Tỷ giá'!E$5,"-")</f>
        <v>-</v>
      </c>
      <c r="Q111" s="106" t="str">
        <f>IFERROR(SUMIFS('01. KE30'!$K:$K,'01. KE30'!$C:$C,'06. BC BH THEO CUSTOMER-USD'!$D111,'01. KE30'!$F:$F,'06. BC BH THEO CUSTOMER-USD'!$H111,'01. KE30'!$A:$A,'06. BC BH THEO CUSTOMER-USD'!Q$4)/'06. BC BH THEO CUSTOMER-USD'!CW111/'02. Tỷ giá'!F$5,"-")</f>
        <v>-</v>
      </c>
      <c r="R111" s="106" t="str">
        <f>IFERROR(SUMIFS('01. KE30'!$K:$K,'01. KE30'!$C:$C,'06. BC BH THEO CUSTOMER-USD'!$D111,'01. KE30'!$F:$F,'06. BC BH THEO CUSTOMER-USD'!$H111,'01. KE30'!$A:$A,'06. BC BH THEO CUSTOMER-USD'!R$4)/'06. BC BH THEO CUSTOMER-USD'!CX111/'02. Tỷ giá'!G$5,"-")</f>
        <v>-</v>
      </c>
      <c r="S111" s="106">
        <f>IFERROR(SUMIFS('01. KE30'!$K:$K,'01. KE30'!$C:$C,'06. BC BH THEO CUSTOMER-USD'!$D111,'01. KE30'!$F:$F,'06. BC BH THEO CUSTOMER-USD'!$H111,'01. KE30'!$A:$A,'06. BC BH THEO CUSTOMER-USD'!S$4)/'06. BC BH THEO CUSTOMER-USD'!CY111/'02. Tỷ giá'!H$5,"-")</f>
        <v>1146.9074145217057</v>
      </c>
      <c r="T111" s="106" t="str">
        <f>IFERROR(SUMIFS('01. KE30'!$K:$K,'01. KE30'!$C:$C,'06. BC BH THEO CUSTOMER-USD'!$D111,'01. KE30'!$F:$F,'06. BC BH THEO CUSTOMER-USD'!$H111,'01. KE30'!$A:$A,'06. BC BH THEO CUSTOMER-USD'!T$4)/'06. BC BH THEO CUSTOMER-USD'!CZ111/'02. Tỷ giá'!I$5,"-")</f>
        <v>-</v>
      </c>
      <c r="U111" s="106" t="str">
        <f>IFERROR(SUMIFS('01. KE30'!$K:$K,'01. KE30'!$C:$C,'06. BC BH THEO CUSTOMER-USD'!$D111,'01. KE30'!$F:$F,'06. BC BH THEO CUSTOMER-USD'!$H111,'01. KE30'!$A:$A,'06. BC BH THEO CUSTOMER-USD'!U$4)/'06. BC BH THEO CUSTOMER-USD'!DA111/'02. Tỷ giá'!J$5,"-")</f>
        <v>-</v>
      </c>
      <c r="V111" s="106" t="str">
        <f>IFERROR(SUMIFS('01. KE30'!$K:$K,'01. KE30'!$C:$C,'06. BC BH THEO CUSTOMER-USD'!$D111,'01. KE30'!$F:$F,'06. BC BH THEO CUSTOMER-USD'!$H111,'01. KE30'!$A:$A,'06. BC BH THEO CUSTOMER-USD'!V$4)/'06. BC BH THEO CUSTOMER-USD'!DB111/'02. Tỷ giá'!K$5,"-")</f>
        <v>-</v>
      </c>
      <c r="W111" s="106" t="str">
        <f>IFERROR(SUMIFS('01. KE30'!$K:$K,'01. KE30'!$C:$C,'06. BC BH THEO CUSTOMER-USD'!$D111,'01. KE30'!$F:$F,'06. BC BH THEO CUSTOMER-USD'!$H111,'01. KE30'!$A:$A,'06. BC BH THEO CUSTOMER-USD'!W$4)/'06. BC BH THEO CUSTOMER-USD'!DC111/'02. Tỷ giá'!L$5,"-")</f>
        <v>-</v>
      </c>
      <c r="X111" s="106" t="str">
        <f>IFERROR(SUMIFS('01. KE30'!$K:$K,'01. KE30'!$C:$C,'06. BC BH THEO CUSTOMER-USD'!$D111,'01. KE30'!$F:$F,'06. BC BH THEO CUSTOMER-USD'!$H111,'01. KE30'!$A:$A,'06. BC BH THEO CUSTOMER-USD'!X$4)/'06. BC BH THEO CUSTOMER-USD'!DD111/'02. Tỷ giá'!M$5,"-")</f>
        <v>-</v>
      </c>
      <c r="Z111" s="92">
        <f t="shared" si="836"/>
        <v>1098.9218511154052</v>
      </c>
      <c r="AA111" s="147" t="str">
        <f>IFERROR(SUMIFS('01. KE30'!$O:$O,'01. KE30'!$C:$C,'06. BC BH THEO CUSTOMER-USD'!$D111,'01. KE30'!$F:$F,'06. BC BH THEO CUSTOMER-USD'!$H111,'01. KE30'!$A:$A,'06. BC BH THEO CUSTOMER-USD'!M$4)/'06. BC BH THEO CUSTOMER-USD'!CS111/'02. Tỷ giá'!B$5,"-")</f>
        <v>-</v>
      </c>
      <c r="AB111" s="147">
        <f>IFERROR(SUMIFS('01. KE30'!$O:$O,'01. KE30'!$C:$C,'06. BC BH THEO CUSTOMER-USD'!$D111,'01. KE30'!$F:$F,'06. BC BH THEO CUSTOMER-USD'!$H111,'01. KE30'!$A:$A,'06. BC BH THEO CUSTOMER-USD'!N$4)/'06. BC BH THEO CUSTOMER-USD'!CT111/'02. Tỷ giá'!C$5,"-")</f>
        <v>1070.700818146013</v>
      </c>
      <c r="AC111" s="147" t="str">
        <f>IFERROR(SUMIFS('01. KE30'!$O:$O,'01. KE30'!$C:$C,'06. BC BH THEO CUSTOMER-USD'!$D111,'01. KE30'!$F:$F,'06. BC BH THEO CUSTOMER-USD'!$H111,'01. KE30'!$A:$A,'06. BC BH THEO CUSTOMER-USD'!O$4)/'06. BC BH THEO CUSTOMER-USD'!CU111/'02. Tỷ giá'!D$5,"-")</f>
        <v>-</v>
      </c>
      <c r="AD111" s="147" t="str">
        <f>IFERROR(SUMIFS('01. KE30'!$O:$O,'01. KE30'!$C:$C,'06. BC BH THEO CUSTOMER-USD'!$D111,'01. KE30'!$F:$F,'06. BC BH THEO CUSTOMER-USD'!$H111,'01. KE30'!$A:$A,'06. BC BH THEO CUSTOMER-USD'!P$4)/'06. BC BH THEO CUSTOMER-USD'!CV111/'02. Tỷ giá'!E$5,"-")</f>
        <v>-</v>
      </c>
      <c r="AE111" s="147" t="str">
        <f>IFERROR(SUMIFS('01. KE30'!$O:$O,'01. KE30'!$C:$C,'06. BC BH THEO CUSTOMER-USD'!$D111,'01. KE30'!$F:$F,'06. BC BH THEO CUSTOMER-USD'!$H111,'01. KE30'!$A:$A,'06. BC BH THEO CUSTOMER-USD'!Q$4)/'06. BC BH THEO CUSTOMER-USD'!CW111/'02. Tỷ giá'!F$5,"-")</f>
        <v>-</v>
      </c>
      <c r="AF111" s="147" t="str">
        <f>IFERROR(SUMIFS('01. KE30'!$O:$O,'01. KE30'!$C:$C,'06. BC BH THEO CUSTOMER-USD'!$D111,'01. KE30'!$F:$F,'06. BC BH THEO CUSTOMER-USD'!$H111,'01. KE30'!$A:$A,'06. BC BH THEO CUSTOMER-USD'!R$4)/'06. BC BH THEO CUSTOMER-USD'!CX111/'02. Tỷ giá'!G$5,"-")</f>
        <v>-</v>
      </c>
      <c r="AG111" s="147">
        <f>IFERROR(SUMIFS('01. KE30'!$O:$O,'01. KE30'!$C:$C,'06. BC BH THEO CUSTOMER-USD'!$D111,'01. KE30'!$F:$F,'06. BC BH THEO CUSTOMER-USD'!$H111,'01. KE30'!$A:$A,'06. BC BH THEO CUSTOMER-USD'!S$4)/'06. BC BH THEO CUSTOMER-USD'!CY111/'02. Tỷ giá'!H$5,"-")</f>
        <v>1127.1428840847973</v>
      </c>
      <c r="AH111" s="147" t="str">
        <f>IFERROR(SUMIFS('01. KE30'!$O:$O,'01. KE30'!$C:$C,'06. BC BH THEO CUSTOMER-USD'!$D111,'01. KE30'!$F:$F,'06. BC BH THEO CUSTOMER-USD'!$H111,'01. KE30'!$A:$A,'06. BC BH THEO CUSTOMER-USD'!T$4)/'06. BC BH THEO CUSTOMER-USD'!CZ111/'02. Tỷ giá'!I$5,"-")</f>
        <v>-</v>
      </c>
      <c r="AI111" s="147" t="str">
        <f>IFERROR(SUMIFS('01. KE30'!$O:$O,'01. KE30'!$C:$C,'06. BC BH THEO CUSTOMER-USD'!$D111,'01. KE30'!$F:$F,'06. BC BH THEO CUSTOMER-USD'!$H111,'01. KE30'!$A:$A,'06. BC BH THEO CUSTOMER-USD'!U$4)/'06. BC BH THEO CUSTOMER-USD'!DA111/'02. Tỷ giá'!J$5,"-")</f>
        <v>-</v>
      </c>
      <c r="AJ111" s="147" t="str">
        <f>IFERROR(SUMIFS('01. KE30'!$O:$O,'01. KE30'!$C:$C,'06. BC BH THEO CUSTOMER-USD'!$D111,'01. KE30'!$F:$F,'06. BC BH THEO CUSTOMER-USD'!$H111,'01. KE30'!$A:$A,'06. BC BH THEO CUSTOMER-USD'!V$4)/'06. BC BH THEO CUSTOMER-USD'!DB111/'02. Tỷ giá'!K$5,"-")</f>
        <v>-</v>
      </c>
      <c r="AK111" s="147" t="str">
        <f>IFERROR(SUMIFS('01. KE30'!$O:$O,'01. KE30'!$C:$C,'06. BC BH THEO CUSTOMER-USD'!$D111,'01. KE30'!$F:$F,'06. BC BH THEO CUSTOMER-USD'!$H111,'01. KE30'!$A:$A,'06. BC BH THEO CUSTOMER-USD'!W$4)/'06. BC BH THEO CUSTOMER-USD'!DC111/'02. Tỷ giá'!L$5,"-")</f>
        <v>-</v>
      </c>
      <c r="AL111" s="147" t="str">
        <f>IFERROR(SUMIFS('01. KE30'!$O:$O,'01. KE30'!$C:$C,'06. BC BH THEO CUSTOMER-USD'!$D111,'01. KE30'!$F:$F,'06. BC BH THEO CUSTOMER-USD'!$H111,'01. KE30'!$A:$A,'06. BC BH THEO CUSTOMER-USD'!X$4)/'06. BC BH THEO CUSTOMER-USD'!DD111/'02. Tỷ giá'!M$5,"-")</f>
        <v>-</v>
      </c>
      <c r="AN111" s="92">
        <f t="shared" si="837"/>
        <v>1166.6666666666667</v>
      </c>
      <c r="AO111" s="25">
        <v>1160</v>
      </c>
      <c r="AP111" s="25">
        <v>1160</v>
      </c>
      <c r="AQ111" s="25">
        <v>1160</v>
      </c>
      <c r="AR111" s="4">
        <f t="shared" si="888"/>
        <v>1180</v>
      </c>
      <c r="AS111" s="4">
        <v>1180</v>
      </c>
      <c r="AT111" s="4">
        <v>1180</v>
      </c>
      <c r="AU111" s="4">
        <v>1180</v>
      </c>
      <c r="AV111" s="4">
        <f t="shared" si="1063"/>
        <v>1150</v>
      </c>
      <c r="AW111" s="25">
        <v>1150</v>
      </c>
      <c r="AX111" s="25"/>
      <c r="AY111" s="4"/>
      <c r="AZ111" s="4"/>
      <c r="BB111" s="95">
        <f t="shared" si="838"/>
        <v>-67.744815551261581</v>
      </c>
      <c r="BC111" s="95" t="str">
        <f t="shared" si="839"/>
        <v>-</v>
      </c>
      <c r="BD111" s="95">
        <f t="shared" si="840"/>
        <v>-89.299181853986966</v>
      </c>
      <c r="BE111" s="95" t="str">
        <f t="shared" si="841"/>
        <v>-</v>
      </c>
      <c r="BF111" s="95" t="str">
        <f t="shared" si="842"/>
        <v>-</v>
      </c>
      <c r="BG111" s="95" t="str">
        <f t="shared" si="843"/>
        <v>-</v>
      </c>
      <c r="BH111" s="95" t="str">
        <f t="shared" si="844"/>
        <v>-</v>
      </c>
      <c r="BI111" s="95">
        <f t="shared" si="845"/>
        <v>-52.857115915202712</v>
      </c>
      <c r="BJ111" s="95" t="str">
        <f t="shared" si="846"/>
        <v>-</v>
      </c>
      <c r="BK111" s="95" t="str">
        <f t="shared" si="847"/>
        <v>-</v>
      </c>
      <c r="BL111" s="95" t="str">
        <f t="shared" si="848"/>
        <v>-</v>
      </c>
      <c r="BM111" s="95" t="str">
        <f t="shared" si="849"/>
        <v>-</v>
      </c>
      <c r="BN111" s="95" t="str">
        <f t="shared" si="850"/>
        <v>-</v>
      </c>
      <c r="BP111" s="143">
        <f t="shared" si="851"/>
        <v>-5.8066984758224208E-2</v>
      </c>
      <c r="BQ111" s="143" t="str">
        <f t="shared" si="852"/>
        <v>-</v>
      </c>
      <c r="BR111" s="143">
        <f t="shared" si="853"/>
        <v>-7.6982053322402558E-2</v>
      </c>
      <c r="BS111" s="143" t="str">
        <f t="shared" si="854"/>
        <v>-</v>
      </c>
      <c r="BT111" s="143" t="str">
        <f t="shared" si="855"/>
        <v>-</v>
      </c>
      <c r="BU111" s="143" t="str">
        <f t="shared" si="856"/>
        <v>-</v>
      </c>
      <c r="BV111" s="143" t="str">
        <f t="shared" si="857"/>
        <v>-</v>
      </c>
      <c r="BW111" s="143">
        <f t="shared" si="858"/>
        <v>-4.4794166029832806E-2</v>
      </c>
      <c r="BX111" s="143" t="str">
        <f t="shared" si="859"/>
        <v>-</v>
      </c>
      <c r="BY111" s="143" t="str">
        <f t="shared" si="860"/>
        <v>-</v>
      </c>
      <c r="BZ111" s="143" t="str">
        <f t="shared" si="861"/>
        <v>-</v>
      </c>
      <c r="CA111" s="143" t="str">
        <f t="shared" si="862"/>
        <v>-</v>
      </c>
      <c r="CB111" s="143" t="str">
        <f t="shared" si="863"/>
        <v>-</v>
      </c>
      <c r="CD111" s="112">
        <f t="shared" si="864"/>
        <v>1001.5823003777194</v>
      </c>
      <c r="CE111" s="95" t="str">
        <f>IFERROR(SUMIFS('01. KE30'!$R:$R,'01. KE30'!$C:$C,'06. BC BH THEO CUSTOMER-USD'!$D111,'01. KE30'!$F:$F,'06. BC BH THEO CUSTOMER-USD'!$H111,'01. KE30'!$A:$A,'06. BC BH THEO CUSTOMER-USD'!CE$4)/CS111/'02. Tỷ giá'!B$5," -")</f>
        <v xml:space="preserve"> -</v>
      </c>
      <c r="CF111" s="95">
        <f>IFERROR(SUMIFS('01. KE30'!$R:$R,'01. KE30'!$C:$C,'06. BC BH THEO CUSTOMER-USD'!$D111,'01. KE30'!$F:$F,'06. BC BH THEO CUSTOMER-USD'!$H111,'01. KE30'!$A:$A,'06. BC BH THEO CUSTOMER-USD'!CF$4)/CT111/'02. Tỷ giá'!C$5," -")</f>
        <v>1035.1137974864835</v>
      </c>
      <c r="CG111" s="95" t="str">
        <f>IFERROR(SUMIFS('01. KE30'!$R:$R,'01. KE30'!$C:$C,'06. BC BH THEO CUSTOMER-USD'!$D111,'01. KE30'!$F:$F,'06. BC BH THEO CUSTOMER-USD'!$H111,'01. KE30'!$A:$A,'06. BC BH THEO CUSTOMER-USD'!CG$4)/CU111/'02. Tỷ giá'!D$5," -")</f>
        <v xml:space="preserve"> -</v>
      </c>
      <c r="CH111" s="95" t="str">
        <f>IFERROR(SUMIFS('01. KE30'!$R:$R,'01. KE30'!$C:$C,'06. BC BH THEO CUSTOMER-USD'!$D111,'01. KE30'!$F:$F,'06. BC BH THEO CUSTOMER-USD'!$H111,'01. KE30'!$A:$A,'06. BC BH THEO CUSTOMER-USD'!CH$4)/CV111/'02. Tỷ giá'!E$5," -")</f>
        <v xml:space="preserve"> -</v>
      </c>
      <c r="CI111" s="95" t="str">
        <f>IFERROR(SUMIFS('01. KE30'!$R:$R,'01. KE30'!$C:$C,'06. BC BH THEO CUSTOMER-USD'!$D111,'01. KE30'!$F:$F,'06. BC BH THEO CUSTOMER-USD'!$H111,'01. KE30'!$A:$A,'06. BC BH THEO CUSTOMER-USD'!CI$4)/CW111/'02. Tỷ giá'!F$5," -")</f>
        <v xml:space="preserve"> -</v>
      </c>
      <c r="CJ111" s="95" t="str">
        <f>IFERROR(SUMIFS('01. KE30'!$R:$R,'01. KE30'!$C:$C,'06. BC BH THEO CUSTOMER-USD'!$D111,'01. KE30'!$F:$F,'06. BC BH THEO CUSTOMER-USD'!$H111,'01. KE30'!$A:$A,'06. BC BH THEO CUSTOMER-USD'!CJ$4)/CX111/'02. Tỷ giá'!G$5," -")</f>
        <v xml:space="preserve"> -</v>
      </c>
      <c r="CK111" s="95">
        <f>IFERROR(SUMIFS('01. KE30'!$R:$R,'01. KE30'!$C:$C,'06. BC BH THEO CUSTOMER-USD'!$D111,'01. KE30'!$F:$F,'06. BC BH THEO CUSTOMER-USD'!$H111,'01. KE30'!$A:$A,'06. BC BH THEO CUSTOMER-USD'!CK$4)/CY111/'02. Tỷ giá'!H$5," -")</f>
        <v>968.05080326895541</v>
      </c>
      <c r="CL111" s="95" t="str">
        <f>IFERROR(SUMIFS('01. KE30'!$R:$R,'01. KE30'!$C:$C,'06. BC BH THEO CUSTOMER-USD'!$D111,'01. KE30'!$F:$F,'06. BC BH THEO CUSTOMER-USD'!$H111,'01. KE30'!$A:$A,'06. BC BH THEO CUSTOMER-USD'!CL$4)/CZ111/'02. Tỷ giá'!I$5," -")</f>
        <v xml:space="preserve"> -</v>
      </c>
      <c r="CM111" s="95" t="str">
        <f>IFERROR(SUMIFS('01. KE30'!$R:$R,'01. KE30'!$C:$C,'06. BC BH THEO CUSTOMER-USD'!$D111,'01. KE30'!$F:$F,'06. BC BH THEO CUSTOMER-USD'!$H111,'01. KE30'!$A:$A,'06. BC BH THEO CUSTOMER-USD'!CM$4)/DA111/'02. Tỷ giá'!J$5," -")</f>
        <v xml:space="preserve"> -</v>
      </c>
      <c r="CN111" s="95" t="str">
        <f>IFERROR(SUMIFS('01. KE30'!$R:$R,'01. KE30'!$C:$C,'06. BC BH THEO CUSTOMER-USD'!$D111,'01. KE30'!$F:$F,'06. BC BH THEO CUSTOMER-USD'!$H111,'01. KE30'!$A:$A,'06. BC BH THEO CUSTOMER-USD'!CN$4)/DB111/'02. Tỷ giá'!K$5," -")</f>
        <v xml:space="preserve"> -</v>
      </c>
      <c r="CO111" s="95" t="str">
        <f>IFERROR(SUMIFS('01. KE30'!$R:$R,'01. KE30'!$C:$C,'06. BC BH THEO CUSTOMER-USD'!$D111,'01. KE30'!$F:$F,'06. BC BH THEO CUSTOMER-USD'!$H111,'01. KE30'!$A:$A,'06. BC BH THEO CUSTOMER-USD'!CO$4)/DC111/'02. Tỷ giá'!L$5," -")</f>
        <v xml:space="preserve"> -</v>
      </c>
      <c r="CP111" s="95" t="str">
        <f>IFERROR(SUMIFS('01. KE30'!$R:$R,'01. KE30'!$C:$C,'06. BC BH THEO CUSTOMER-USD'!$D111,'01. KE30'!$F:$F,'06. BC BH THEO CUSTOMER-USD'!$H111,'01. KE30'!$A:$A,'06. BC BH THEO CUSTOMER-USD'!CP$4)/DD111/'02. Tỷ giá'!M$5," -")</f>
        <v xml:space="preserve"> -</v>
      </c>
      <c r="CR111" s="112">
        <f t="shared" si="865"/>
        <v>66</v>
      </c>
      <c r="CS111" s="114">
        <f>SUMIFS('01. KE30'!$I:$I,'01. KE30'!$C:$C,'06. BC BH THEO CUSTOMER-USD'!$D111,'01. KE30'!$F:$F,'06. BC BH THEO CUSTOMER-USD'!$H111,'01. KE30'!$A:$A,'06. BC BH THEO CUSTOMER-USD'!CS$4)/1000</f>
        <v>0</v>
      </c>
      <c r="CT111" s="114">
        <f>SUMIFS('01. KE30'!$I:$I,'01. KE30'!$C:$C,'06. BC BH THEO CUSTOMER-USD'!$D111,'01. KE30'!$F:$F,'06. BC BH THEO CUSTOMER-USD'!$H111,'01. KE30'!$A:$A,'06. BC BH THEO CUSTOMER-USD'!CT$4)/1000</f>
        <v>22</v>
      </c>
      <c r="CU111" s="114">
        <f>SUMIFS('01. KE30'!$I:$I,'01. KE30'!$C:$C,'06. BC BH THEO CUSTOMER-USD'!$D111,'01. KE30'!$F:$F,'06. BC BH THEO CUSTOMER-USD'!$H111,'01. KE30'!$A:$A,'06. BC BH THEO CUSTOMER-USD'!CU$4)/1000</f>
        <v>0</v>
      </c>
      <c r="CV111" s="114">
        <f>SUMIFS('01. KE30'!$I:$I,'01. KE30'!$C:$C,'06. BC BH THEO CUSTOMER-USD'!$D111,'01. KE30'!$F:$F,'06. BC BH THEO CUSTOMER-USD'!$H111,'01. KE30'!$A:$A,'06. BC BH THEO CUSTOMER-USD'!CV$4)/1000</f>
        <v>0</v>
      </c>
      <c r="CW111" s="114">
        <f>SUMIFS('01. KE30'!$I:$I,'01. KE30'!$C:$C,'06. BC BH THEO CUSTOMER-USD'!$D111,'01. KE30'!$F:$F,'06. BC BH THEO CUSTOMER-USD'!$H111,'01. KE30'!$A:$A,'06. BC BH THEO CUSTOMER-USD'!CW$4)/1000</f>
        <v>0</v>
      </c>
      <c r="CX111" s="114">
        <f>SUMIFS('01. KE30'!$I:$I,'01. KE30'!$C:$C,'06. BC BH THEO CUSTOMER-USD'!$D111,'01. KE30'!$F:$F,'06. BC BH THEO CUSTOMER-USD'!$H111,'01. KE30'!$A:$A,'06. BC BH THEO CUSTOMER-USD'!CX$4)/1000</f>
        <v>0</v>
      </c>
      <c r="CY111" s="114">
        <f>SUMIFS('01. KE30'!$I:$I,'01. KE30'!$C:$C,'06. BC BH THEO CUSTOMER-USD'!$D111,'01. KE30'!$F:$F,'06. BC BH THEO CUSTOMER-USD'!$H111,'01. KE30'!$A:$A,'06. BC BH THEO CUSTOMER-USD'!CY$4)/1000</f>
        <v>44</v>
      </c>
      <c r="CZ111" s="114">
        <f>SUMIFS('01. KE30'!$I:$I,'01. KE30'!$C:$C,'06. BC BH THEO CUSTOMER-USD'!$D111,'01. KE30'!$F:$F,'06. BC BH THEO CUSTOMER-USD'!$H111,'01. KE30'!$A:$A,'06. BC BH THEO CUSTOMER-USD'!CZ$4)/1000</f>
        <v>0</v>
      </c>
      <c r="DA111" s="114">
        <f>SUMIFS('01. KE30'!$I:$I,'01. KE30'!$C:$C,'06. BC BH THEO CUSTOMER-USD'!$D111,'01. KE30'!$F:$F,'06. BC BH THEO CUSTOMER-USD'!$H111,'01. KE30'!$A:$A,'06. BC BH THEO CUSTOMER-USD'!DA$4)/1000</f>
        <v>0</v>
      </c>
      <c r="DB111" s="114">
        <f>SUMIFS('01. KE30'!$I:$I,'01. KE30'!$C:$C,'06. BC BH THEO CUSTOMER-USD'!$D111,'01. KE30'!$F:$F,'06. BC BH THEO CUSTOMER-USD'!$H111,'01. KE30'!$A:$A,'06. BC BH THEO CUSTOMER-USD'!DB$4)/1000</f>
        <v>0</v>
      </c>
      <c r="DC111" s="114">
        <f>SUMIFS('01. KE30'!$I:$I,'01. KE30'!$C:$C,'06. BC BH THEO CUSTOMER-USD'!$D111,'01. KE30'!$F:$F,'06. BC BH THEO CUSTOMER-USD'!$H111,'01. KE30'!$A:$A,'06. BC BH THEO CUSTOMER-USD'!DC$4)/1000</f>
        <v>0</v>
      </c>
      <c r="DD111" s="114">
        <f>SUMIFS('01. KE30'!$I:$I,'01. KE30'!$C:$C,'06. BC BH THEO CUSTOMER-USD'!$D111,'01. KE30'!$F:$F,'06. BC BH THEO CUSTOMER-USD'!$H111,'01. KE30'!$A:$A,'06. BC BH THEO CUSTOMER-USD'!DD$4)/1000</f>
        <v>0</v>
      </c>
      <c r="DF111" s="120">
        <f t="shared" si="866"/>
        <v>74625.80099279515</v>
      </c>
      <c r="DG111" s="54" t="str">
        <f t="shared" si="867"/>
        <v>-</v>
      </c>
      <c r="DH111" s="54">
        <f t="shared" si="868"/>
        <v>24161.874753840093</v>
      </c>
      <c r="DI111" s="54" t="str">
        <f t="shared" si="869"/>
        <v>-</v>
      </c>
      <c r="DJ111" s="54" t="str">
        <f t="shared" si="870"/>
        <v>-</v>
      </c>
      <c r="DK111" s="54" t="str">
        <f t="shared" si="871"/>
        <v>-</v>
      </c>
      <c r="DL111" s="54" t="str">
        <f t="shared" si="872"/>
        <v>-</v>
      </c>
      <c r="DM111" s="54">
        <f t="shared" si="873"/>
        <v>50463.926238955049</v>
      </c>
      <c r="DN111" s="54" t="str">
        <f t="shared" si="874"/>
        <v>-</v>
      </c>
      <c r="DO111" s="54" t="str">
        <f t="shared" si="875"/>
        <v>-</v>
      </c>
      <c r="DP111" s="54" t="str">
        <f t="shared" si="876"/>
        <v>-</v>
      </c>
      <c r="DQ111" s="54" t="str">
        <f t="shared" si="877"/>
        <v>-</v>
      </c>
      <c r="DR111" s="54" t="str">
        <f t="shared" si="878"/>
        <v>-</v>
      </c>
      <c r="DT111" s="112">
        <f t="shared" si="879"/>
        <v>7782.9660104066934</v>
      </c>
      <c r="DU111" s="114">
        <f>IFERROR(SUMIFS('01. KE30'!$X:$X,'01. KE30'!$C:$C,'06. BC BH THEO CUSTOMER-USD'!$D111,'01. KE30'!$F:$F,'06. BC BH THEO CUSTOMER-USD'!$H111,'01. KE30'!$A:$A,'06. BC BH THEO CUSTOMER-USD'!DU$4)-SUMIFS('01. KE30'!$AA:$AA,'01. KE30'!$C:$C,'06. BC BH THEO CUSTOMER-USD'!$D111,'01. KE30'!$F:$F,'06. BC BH THEO CUSTOMER-USD'!$H111,'01. KE30'!$A:$A,'06. BC BH THEO CUSTOMER-USD'!DU$4),"-")</f>
        <v>0</v>
      </c>
      <c r="DV111" s="114">
        <f>IFERROR(SUMIFS('01. KE30'!$X:$X,'01. KE30'!$C:$C,'06. BC BH THEO CUSTOMER-USD'!$D111,'01. KE30'!$F:$F,'06. BC BH THEO CUSTOMER-USD'!$H111,'01. KE30'!$A:$A,'06. BC BH THEO CUSTOMER-USD'!DV$4)-SUMIFS('01. KE30'!$AA:$AA,'01. KE30'!$C:$C,'06. BC BH THEO CUSTOMER-USD'!$D111,'01. KE30'!$F:$F,'06. BC BH THEO CUSTOMER-USD'!$H111,'01. KE30'!$A:$A,'06. BC BH THEO CUSTOMER-USD'!DV$4),"-")</f>
        <v>782.91445450964966</v>
      </c>
      <c r="DW111" s="114">
        <f>IFERROR(SUMIFS('01. KE30'!$X:$X,'01. KE30'!$C:$C,'06. BC BH THEO CUSTOMER-USD'!$D111,'01. KE30'!$F:$F,'06. BC BH THEO CUSTOMER-USD'!$H111,'01. KE30'!$A:$A,'06. BC BH THEO CUSTOMER-USD'!DW$4)-SUMIFS('01. KE30'!$AA:$AA,'01. KE30'!$C:$C,'06. BC BH THEO CUSTOMER-USD'!$D111,'01. KE30'!$F:$F,'06. BC BH THEO CUSTOMER-USD'!$H111,'01. KE30'!$A:$A,'06. BC BH THEO CUSTOMER-USD'!DW$4),"-")</f>
        <v>0</v>
      </c>
      <c r="DX111" s="114">
        <f>IFERROR(SUMIFS('01. KE30'!$X:$X,'01. KE30'!$C:$C,'06. BC BH THEO CUSTOMER-USD'!$D111,'01. KE30'!$F:$F,'06. BC BH THEO CUSTOMER-USD'!$H111,'01. KE30'!$A:$A,'06. BC BH THEO CUSTOMER-USD'!DX$4)-SUMIFS('01. KE30'!$AA:$AA,'01. KE30'!$C:$C,'06. BC BH THEO CUSTOMER-USD'!$D111,'01. KE30'!$F:$F,'06. BC BH THEO CUSTOMER-USD'!$H111,'01. KE30'!$A:$A,'06. BC BH THEO CUSTOMER-USD'!DX$4),"-")</f>
        <v>0</v>
      </c>
      <c r="DY111" s="114">
        <f>IFERROR(SUMIFS('01. KE30'!$X:$X,'01. KE30'!$C:$C,'06. BC BH THEO CUSTOMER-USD'!$D111,'01. KE30'!$F:$F,'06. BC BH THEO CUSTOMER-USD'!$H111,'01. KE30'!$A:$A,'06. BC BH THEO CUSTOMER-USD'!DY$4)-SUMIFS('01. KE30'!$AA:$AA,'01. KE30'!$C:$C,'06. BC BH THEO CUSTOMER-USD'!$D111,'01. KE30'!$F:$F,'06. BC BH THEO CUSTOMER-USD'!$H111,'01. KE30'!$A:$A,'06. BC BH THEO CUSTOMER-USD'!DY$4),"-")</f>
        <v>0</v>
      </c>
      <c r="DZ111" s="114">
        <f>IFERROR(SUMIFS('01. KE30'!$X:$X,'01. KE30'!$C:$C,'06. BC BH THEO CUSTOMER-USD'!$D111,'01. KE30'!$F:$F,'06. BC BH THEO CUSTOMER-USD'!$H111,'01. KE30'!$A:$A,'06. BC BH THEO CUSTOMER-USD'!DZ$4)-SUMIFS('01. KE30'!$AA:$AA,'01. KE30'!$C:$C,'06. BC BH THEO CUSTOMER-USD'!$D111,'01. KE30'!$F:$F,'06. BC BH THEO CUSTOMER-USD'!$H111,'01. KE30'!$A:$A,'06. BC BH THEO CUSTOMER-USD'!DZ$4),"-")</f>
        <v>0</v>
      </c>
      <c r="EA111" s="114">
        <f>IFERROR(SUMIFS('01. KE30'!$X:$X,'01. KE30'!$C:$C,'06. BC BH THEO CUSTOMER-USD'!$D111,'01. KE30'!$F:$F,'06. BC BH THEO CUSTOMER-USD'!$H111,'01. KE30'!$A:$A,'06. BC BH THEO CUSTOMER-USD'!EA$4)-SUMIFS('01. KE30'!$AA:$AA,'01. KE30'!$C:$C,'06. BC BH THEO CUSTOMER-USD'!$D111,'01. KE30'!$F:$F,'06. BC BH THEO CUSTOMER-USD'!$H111,'01. KE30'!$A:$A,'06. BC BH THEO CUSTOMER-USD'!EA$4),"-")</f>
        <v>7000.0515558970437</v>
      </c>
      <c r="EB111" s="114">
        <f>IFERROR(SUMIFS('01. KE30'!$X:$X,'01. KE30'!$C:$C,'06. BC BH THEO CUSTOMER-USD'!$D111,'01. KE30'!$F:$F,'06. BC BH THEO CUSTOMER-USD'!$H111,'01. KE30'!$A:$A,'06. BC BH THEO CUSTOMER-USD'!EB$4)-SUMIFS('01. KE30'!$AA:$AA,'01. KE30'!$C:$C,'06. BC BH THEO CUSTOMER-USD'!$D111,'01. KE30'!$F:$F,'06. BC BH THEO CUSTOMER-USD'!$H111,'01. KE30'!$A:$A,'06. BC BH THEO CUSTOMER-USD'!EB$4),"-")</f>
        <v>0</v>
      </c>
      <c r="EC111" s="114">
        <f>IFERROR(SUMIFS('01. KE30'!$X:$X,'01. KE30'!$C:$C,'06. BC BH THEO CUSTOMER-USD'!$D111,'01. KE30'!$F:$F,'06. BC BH THEO CUSTOMER-USD'!$H111,'01. KE30'!$A:$A,'06. BC BH THEO CUSTOMER-USD'!EC$4)-SUMIFS('01. KE30'!$AA:$AA,'01. KE30'!$C:$C,'06. BC BH THEO CUSTOMER-USD'!$D111,'01. KE30'!$F:$F,'06. BC BH THEO CUSTOMER-USD'!$H111,'01. KE30'!$A:$A,'06. BC BH THEO CUSTOMER-USD'!EC$4),"-")</f>
        <v>0</v>
      </c>
      <c r="ED111" s="114">
        <f>IFERROR(SUMIFS('01. KE30'!$X:$X,'01. KE30'!$C:$C,'06. BC BH THEO CUSTOMER-USD'!$D111,'01. KE30'!$F:$F,'06. BC BH THEO CUSTOMER-USD'!$H111,'01. KE30'!$A:$A,'06. BC BH THEO CUSTOMER-USD'!ED$4)-SUMIFS('01. KE30'!$AA:$AA,'01. KE30'!$C:$C,'06. BC BH THEO CUSTOMER-USD'!$D111,'01. KE30'!$F:$F,'06. BC BH THEO CUSTOMER-USD'!$H111,'01. KE30'!$A:$A,'06. BC BH THEO CUSTOMER-USD'!ED$4),"-")</f>
        <v>0</v>
      </c>
      <c r="EE111" s="114">
        <f>IFERROR(SUMIFS('01. KE30'!$X:$X,'01. KE30'!$C:$C,'06. BC BH THEO CUSTOMER-USD'!$D111,'01. KE30'!$F:$F,'06. BC BH THEO CUSTOMER-USD'!$H111,'01. KE30'!$A:$A,'06. BC BH THEO CUSTOMER-USD'!EE$4)-SUMIFS('01. KE30'!$AA:$AA,'01. KE30'!$C:$C,'06. BC BH THEO CUSTOMER-USD'!$D111,'01. KE30'!$F:$F,'06. BC BH THEO CUSTOMER-USD'!$H111,'01. KE30'!$A:$A,'06. BC BH THEO CUSTOMER-USD'!EE$4),"-")</f>
        <v>0</v>
      </c>
      <c r="EF111" s="114">
        <f>IFERROR(SUMIFS('01. KE30'!$X:$X,'01. KE30'!$C:$C,'06. BC BH THEO CUSTOMER-USD'!$D111,'01. KE30'!$F:$F,'06. BC BH THEO CUSTOMER-USD'!$H111,'01. KE30'!$A:$A,'06. BC BH THEO CUSTOMER-USD'!EF$4)-SUMIFS('01. KE30'!$AA:$AA,'01. KE30'!$C:$C,'06. BC BH THEO CUSTOMER-USD'!$D111,'01. KE30'!$F:$F,'06. BC BH THEO CUSTOMER-USD'!$H111,'01. KE30'!$A:$A,'06. BC BH THEO CUSTOMER-USD'!EF$4),"-")</f>
        <v>0</v>
      </c>
      <c r="EH111" s="571">
        <f t="shared" si="531"/>
        <v>0.10429323245934889</v>
      </c>
      <c r="EI111" s="572" t="str">
        <f t="shared" si="532"/>
        <v>-</v>
      </c>
      <c r="EJ111" s="572">
        <f t="shared" si="533"/>
        <v>3.240288522666146E-2</v>
      </c>
      <c r="EK111" s="572" t="str">
        <f t="shared" si="534"/>
        <v>-</v>
      </c>
      <c r="EL111" s="572" t="str">
        <f t="shared" si="535"/>
        <v>-</v>
      </c>
      <c r="EM111" s="572" t="str">
        <f t="shared" si="536"/>
        <v>-</v>
      </c>
      <c r="EN111" s="572" t="str">
        <f t="shared" si="537"/>
        <v>-</v>
      </c>
      <c r="EO111" s="572">
        <f t="shared" si="538"/>
        <v>0.13871397010907632</v>
      </c>
      <c r="EP111" s="572" t="str">
        <f t="shared" si="539"/>
        <v>-</v>
      </c>
      <c r="EQ111" s="572" t="str">
        <f t="shared" si="540"/>
        <v>-</v>
      </c>
      <c r="ER111" s="572" t="str">
        <f t="shared" si="541"/>
        <v>-</v>
      </c>
      <c r="ES111" s="572" t="str">
        <f t="shared" si="542"/>
        <v>-</v>
      </c>
      <c r="ET111" s="572" t="str">
        <f t="shared" si="543"/>
        <v>-</v>
      </c>
    </row>
    <row r="112" spans="1:150" ht="15.5" hidden="1" outlineLevel="1" x14ac:dyDescent="0.35">
      <c r="A112" s="27">
        <f t="shared" ref="A112:A113" si="1124">A109+1</f>
        <v>93</v>
      </c>
      <c r="B112" s="27" t="s">
        <v>283</v>
      </c>
      <c r="C112" s="442" t="s">
        <v>489</v>
      </c>
      <c r="D112" s="9" t="s">
        <v>517</v>
      </c>
      <c r="E112" s="12" t="s">
        <v>518</v>
      </c>
      <c r="F112" s="12" t="s">
        <v>245</v>
      </c>
      <c r="G112" s="12" t="str">
        <f>_xlfn.XLOOKUP(F112,'Quy đổi'!$G$5:$G$32,'Quy đổi'!$H$5:$H$32,0)</f>
        <v>Nội địa</v>
      </c>
      <c r="H112" s="76" t="s">
        <v>1086</v>
      </c>
      <c r="I112" s="28" t="s">
        <v>1087</v>
      </c>
      <c r="J112" s="6" t="s">
        <v>22</v>
      </c>
      <c r="K112" s="11"/>
      <c r="L112" s="92">
        <f t="shared" si="835"/>
        <v>793.65079260133803</v>
      </c>
      <c r="M112" s="106" t="str">
        <f>IFERROR(SUMIFS('01. KE30'!$K:$K,'01. KE30'!$C:$C,'06. BC BH THEO CUSTOMER-USD'!$D112,'01. KE30'!$F:$F,'06. BC BH THEO CUSTOMER-USD'!$H112,'01. KE30'!$A:$A,'06. BC BH THEO CUSTOMER-USD'!M$4)/'06. BC BH THEO CUSTOMER-USD'!CS112/'02. Tỷ giá'!B$5,"-")</f>
        <v>-</v>
      </c>
      <c r="N112" s="106" t="str">
        <f>IFERROR(SUMIFS('01. KE30'!$K:$K,'01. KE30'!$C:$C,'06. BC BH THEO CUSTOMER-USD'!$D112,'01. KE30'!$F:$F,'06. BC BH THEO CUSTOMER-USD'!$H112,'01. KE30'!$A:$A,'06. BC BH THEO CUSTOMER-USD'!N$4)/'06. BC BH THEO CUSTOMER-USD'!CT112/'02. Tỷ giá'!C$5,"-")</f>
        <v>-</v>
      </c>
      <c r="O112" s="106" t="str">
        <f>IFERROR(SUMIFS('01. KE30'!$K:$K,'01. KE30'!$C:$C,'06. BC BH THEO CUSTOMER-USD'!$D112,'01. KE30'!$F:$F,'06. BC BH THEO CUSTOMER-USD'!$H112,'01. KE30'!$A:$A,'06. BC BH THEO CUSTOMER-USD'!O$4)/'06. BC BH THEO CUSTOMER-USD'!CU112/'02. Tỷ giá'!D$5,"-")</f>
        <v>-</v>
      </c>
      <c r="P112" s="106" t="str">
        <f>IFERROR(SUMIFS('01. KE30'!$K:$K,'01. KE30'!$C:$C,'06. BC BH THEO CUSTOMER-USD'!$D112,'01. KE30'!$F:$F,'06. BC BH THEO CUSTOMER-USD'!$H112,'01. KE30'!$A:$A,'06. BC BH THEO CUSTOMER-USD'!P$4)/'06. BC BH THEO CUSTOMER-USD'!CV112/'02. Tỷ giá'!E$5,"-")</f>
        <v>-</v>
      </c>
      <c r="Q112" s="106" t="str">
        <f>IFERROR(SUMIFS('01. KE30'!$K:$K,'01. KE30'!$C:$C,'06. BC BH THEO CUSTOMER-USD'!$D112,'01. KE30'!$F:$F,'06. BC BH THEO CUSTOMER-USD'!$H112,'01. KE30'!$A:$A,'06. BC BH THEO CUSTOMER-USD'!Q$4)/'06. BC BH THEO CUSTOMER-USD'!CW112/'02. Tỷ giá'!F$5,"-")</f>
        <v>-</v>
      </c>
      <c r="R112" s="106" t="str">
        <f>IFERROR(SUMIFS('01. KE30'!$K:$K,'01. KE30'!$C:$C,'06. BC BH THEO CUSTOMER-USD'!$D112,'01. KE30'!$F:$F,'06. BC BH THEO CUSTOMER-USD'!$H112,'01. KE30'!$A:$A,'06. BC BH THEO CUSTOMER-USD'!R$4)/'06. BC BH THEO CUSTOMER-USD'!CX112/'02. Tỷ giá'!G$5,"-")</f>
        <v>-</v>
      </c>
      <c r="S112" s="106" t="str">
        <f>IFERROR(SUMIFS('01. KE30'!$K:$K,'01. KE30'!$C:$C,'06. BC BH THEO CUSTOMER-USD'!$D112,'01. KE30'!$F:$F,'06. BC BH THEO CUSTOMER-USD'!$H112,'01. KE30'!$A:$A,'06. BC BH THEO CUSTOMER-USD'!S$4)/'06. BC BH THEO CUSTOMER-USD'!CY112/'02. Tỷ giá'!H$5,"-")</f>
        <v>-</v>
      </c>
      <c r="T112" s="106" t="str">
        <f>IFERROR(SUMIFS('01. KE30'!$K:$K,'01. KE30'!$C:$C,'06. BC BH THEO CUSTOMER-USD'!$D112,'01. KE30'!$F:$F,'06. BC BH THEO CUSTOMER-USD'!$H112,'01. KE30'!$A:$A,'06. BC BH THEO CUSTOMER-USD'!T$4)/'06. BC BH THEO CUSTOMER-USD'!CZ112/'02. Tỷ giá'!I$5,"-")</f>
        <v>-</v>
      </c>
      <c r="U112" s="106">
        <f>IFERROR(SUMIFS('01. KE30'!$K:$K,'01. KE30'!$C:$C,'06. BC BH THEO CUSTOMER-USD'!$D112,'01. KE30'!$F:$F,'06. BC BH THEO CUSTOMER-USD'!$H112,'01. KE30'!$A:$A,'06. BC BH THEO CUSTOMER-USD'!U$4)/'06. BC BH THEO CUSTOMER-USD'!DA112/'02. Tỷ giá'!J$5,"-")</f>
        <v>793.65079260133803</v>
      </c>
      <c r="V112" s="106" t="str">
        <f>IFERROR(SUMIFS('01. KE30'!$K:$K,'01. KE30'!$C:$C,'06. BC BH THEO CUSTOMER-USD'!$D112,'01. KE30'!$F:$F,'06. BC BH THEO CUSTOMER-USD'!$H112,'01. KE30'!$A:$A,'06. BC BH THEO CUSTOMER-USD'!V$4)/'06. BC BH THEO CUSTOMER-USD'!DB112/'02. Tỷ giá'!K$5,"-")</f>
        <v>-</v>
      </c>
      <c r="W112" s="106" t="str">
        <f>IFERROR(SUMIFS('01. KE30'!$K:$K,'01. KE30'!$C:$C,'06. BC BH THEO CUSTOMER-USD'!$D112,'01. KE30'!$F:$F,'06. BC BH THEO CUSTOMER-USD'!$H112,'01. KE30'!$A:$A,'06. BC BH THEO CUSTOMER-USD'!W$4)/'06. BC BH THEO CUSTOMER-USD'!DC112/'02. Tỷ giá'!L$5,"-")</f>
        <v>-</v>
      </c>
      <c r="X112" s="106" t="str">
        <f>IFERROR(SUMIFS('01. KE30'!$K:$K,'01. KE30'!$C:$C,'06. BC BH THEO CUSTOMER-USD'!$D112,'01. KE30'!$F:$F,'06. BC BH THEO CUSTOMER-USD'!$H112,'01. KE30'!$A:$A,'06. BC BH THEO CUSTOMER-USD'!X$4)/'06. BC BH THEO CUSTOMER-USD'!DD112/'02. Tỷ giá'!M$5,"-")</f>
        <v>-</v>
      </c>
      <c r="Z112" s="92">
        <f t="shared" si="836"/>
        <v>793.65079260133803</v>
      </c>
      <c r="AA112" s="147" t="str">
        <f>IFERROR(SUMIFS('01. KE30'!$O:$O,'01. KE30'!$C:$C,'06. BC BH THEO CUSTOMER-USD'!$D112,'01. KE30'!$F:$F,'06. BC BH THEO CUSTOMER-USD'!$H112,'01. KE30'!$A:$A,'06. BC BH THEO CUSTOMER-USD'!M$4)/'06. BC BH THEO CUSTOMER-USD'!CS112/'02. Tỷ giá'!B$5,"-")</f>
        <v>-</v>
      </c>
      <c r="AB112" s="147" t="str">
        <f>IFERROR(SUMIFS('01. KE30'!$O:$O,'01. KE30'!$C:$C,'06. BC BH THEO CUSTOMER-USD'!$D112,'01. KE30'!$F:$F,'06. BC BH THEO CUSTOMER-USD'!$H112,'01. KE30'!$A:$A,'06. BC BH THEO CUSTOMER-USD'!N$4)/'06. BC BH THEO CUSTOMER-USD'!CT112/'02. Tỷ giá'!C$5,"-")</f>
        <v>-</v>
      </c>
      <c r="AC112" s="147" t="str">
        <f>IFERROR(SUMIFS('01. KE30'!$O:$O,'01. KE30'!$C:$C,'06. BC BH THEO CUSTOMER-USD'!$D112,'01. KE30'!$F:$F,'06. BC BH THEO CUSTOMER-USD'!$H112,'01. KE30'!$A:$A,'06. BC BH THEO CUSTOMER-USD'!O$4)/'06. BC BH THEO CUSTOMER-USD'!CU112/'02. Tỷ giá'!D$5,"-")</f>
        <v>-</v>
      </c>
      <c r="AD112" s="147" t="str">
        <f>IFERROR(SUMIFS('01. KE30'!$O:$O,'01. KE30'!$C:$C,'06. BC BH THEO CUSTOMER-USD'!$D112,'01. KE30'!$F:$F,'06. BC BH THEO CUSTOMER-USD'!$H112,'01. KE30'!$A:$A,'06. BC BH THEO CUSTOMER-USD'!P$4)/'06. BC BH THEO CUSTOMER-USD'!CV112/'02. Tỷ giá'!E$5,"-")</f>
        <v>-</v>
      </c>
      <c r="AE112" s="147" t="str">
        <f>IFERROR(SUMIFS('01. KE30'!$O:$O,'01. KE30'!$C:$C,'06. BC BH THEO CUSTOMER-USD'!$D112,'01. KE30'!$F:$F,'06. BC BH THEO CUSTOMER-USD'!$H112,'01. KE30'!$A:$A,'06. BC BH THEO CUSTOMER-USD'!Q$4)/'06. BC BH THEO CUSTOMER-USD'!CW112/'02. Tỷ giá'!F$5,"-")</f>
        <v>-</v>
      </c>
      <c r="AF112" s="147" t="str">
        <f>IFERROR(SUMIFS('01. KE30'!$O:$O,'01. KE30'!$C:$C,'06. BC BH THEO CUSTOMER-USD'!$D112,'01. KE30'!$F:$F,'06. BC BH THEO CUSTOMER-USD'!$H112,'01. KE30'!$A:$A,'06. BC BH THEO CUSTOMER-USD'!R$4)/'06. BC BH THEO CUSTOMER-USD'!CX112/'02. Tỷ giá'!G$5,"-")</f>
        <v>-</v>
      </c>
      <c r="AG112" s="147" t="str">
        <f>IFERROR(SUMIFS('01. KE30'!$O:$O,'01. KE30'!$C:$C,'06. BC BH THEO CUSTOMER-USD'!$D112,'01. KE30'!$F:$F,'06. BC BH THEO CUSTOMER-USD'!$H112,'01. KE30'!$A:$A,'06. BC BH THEO CUSTOMER-USD'!S$4)/'06. BC BH THEO CUSTOMER-USD'!CY112/'02. Tỷ giá'!H$5,"-")</f>
        <v>-</v>
      </c>
      <c r="AH112" s="147" t="str">
        <f>IFERROR(SUMIFS('01. KE30'!$O:$O,'01. KE30'!$C:$C,'06. BC BH THEO CUSTOMER-USD'!$D112,'01. KE30'!$F:$F,'06. BC BH THEO CUSTOMER-USD'!$H112,'01. KE30'!$A:$A,'06. BC BH THEO CUSTOMER-USD'!T$4)/'06. BC BH THEO CUSTOMER-USD'!CZ112/'02. Tỷ giá'!I$5,"-")</f>
        <v>-</v>
      </c>
      <c r="AI112" s="147">
        <f>IFERROR(SUMIFS('01. KE30'!$O:$O,'01. KE30'!$C:$C,'06. BC BH THEO CUSTOMER-USD'!$D112,'01. KE30'!$F:$F,'06. BC BH THEO CUSTOMER-USD'!$H112,'01. KE30'!$A:$A,'06. BC BH THEO CUSTOMER-USD'!U$4)/'06. BC BH THEO CUSTOMER-USD'!DA112/'02. Tỷ giá'!J$5,"-")</f>
        <v>793.65079260133803</v>
      </c>
      <c r="AJ112" s="147" t="str">
        <f>IFERROR(SUMIFS('01. KE30'!$O:$O,'01. KE30'!$C:$C,'06. BC BH THEO CUSTOMER-USD'!$D112,'01. KE30'!$F:$F,'06. BC BH THEO CUSTOMER-USD'!$H112,'01. KE30'!$A:$A,'06. BC BH THEO CUSTOMER-USD'!V$4)/'06. BC BH THEO CUSTOMER-USD'!DB112/'02. Tỷ giá'!K$5,"-")</f>
        <v>-</v>
      </c>
      <c r="AK112" s="147" t="str">
        <f>IFERROR(SUMIFS('01. KE30'!$O:$O,'01. KE30'!$C:$C,'06. BC BH THEO CUSTOMER-USD'!$D112,'01. KE30'!$F:$F,'06. BC BH THEO CUSTOMER-USD'!$H112,'01. KE30'!$A:$A,'06. BC BH THEO CUSTOMER-USD'!W$4)/'06. BC BH THEO CUSTOMER-USD'!DC112/'02. Tỷ giá'!L$5,"-")</f>
        <v>-</v>
      </c>
      <c r="AL112" s="147" t="str">
        <f>IFERROR(SUMIFS('01. KE30'!$O:$O,'01. KE30'!$C:$C,'06. BC BH THEO CUSTOMER-USD'!$D112,'01. KE30'!$F:$F,'06. BC BH THEO CUSTOMER-USD'!$H112,'01. KE30'!$A:$A,'06. BC BH THEO CUSTOMER-USD'!X$4)/'06. BC BH THEO CUSTOMER-USD'!DD112/'02. Tỷ giá'!M$5,"-")</f>
        <v>-</v>
      </c>
      <c r="AN112" s="92">
        <f t="shared" si="837"/>
        <v>722</v>
      </c>
      <c r="AO112" s="25"/>
      <c r="AP112" s="25"/>
      <c r="AQ112" s="25"/>
      <c r="AR112" s="25"/>
      <c r="AS112" s="25"/>
      <c r="AT112" s="25"/>
      <c r="AU112" s="25"/>
      <c r="AV112" s="4"/>
      <c r="AW112" s="25">
        <v>722</v>
      </c>
      <c r="AX112" s="25"/>
      <c r="AY112" s="4"/>
      <c r="AZ112" s="4"/>
      <c r="BB112" s="95">
        <f t="shared" si="838"/>
        <v>71.650792601338026</v>
      </c>
      <c r="BC112" s="95" t="str">
        <f t="shared" si="839"/>
        <v>-</v>
      </c>
      <c r="BD112" s="95" t="str">
        <f t="shared" si="840"/>
        <v>-</v>
      </c>
      <c r="BE112" s="95" t="str">
        <f t="shared" si="841"/>
        <v>-</v>
      </c>
      <c r="BF112" s="95" t="str">
        <f t="shared" si="842"/>
        <v>-</v>
      </c>
      <c r="BG112" s="95" t="str">
        <f t="shared" si="843"/>
        <v>-</v>
      </c>
      <c r="BH112" s="95" t="str">
        <f t="shared" si="844"/>
        <v>-</v>
      </c>
      <c r="BI112" s="95" t="str">
        <f t="shared" si="845"/>
        <v>-</v>
      </c>
      <c r="BJ112" s="95" t="str">
        <f t="shared" si="846"/>
        <v>-</v>
      </c>
      <c r="BK112" s="95">
        <f t="shared" si="847"/>
        <v>71.650792601338026</v>
      </c>
      <c r="BL112" s="95" t="str">
        <f t="shared" si="848"/>
        <v>-</v>
      </c>
      <c r="BM112" s="95" t="str">
        <f t="shared" si="849"/>
        <v>-</v>
      </c>
      <c r="BN112" s="95" t="str">
        <f t="shared" si="850"/>
        <v>-</v>
      </c>
      <c r="BP112" s="143">
        <f t="shared" si="851"/>
        <v>9.9239324932601139E-2</v>
      </c>
      <c r="BQ112" s="143" t="str">
        <f t="shared" si="852"/>
        <v>-</v>
      </c>
      <c r="BR112" s="143" t="str">
        <f t="shared" si="853"/>
        <v>-</v>
      </c>
      <c r="BS112" s="143" t="str">
        <f t="shared" si="854"/>
        <v>-</v>
      </c>
      <c r="BT112" s="143" t="str">
        <f t="shared" si="855"/>
        <v>-</v>
      </c>
      <c r="BU112" s="143" t="str">
        <f t="shared" si="856"/>
        <v>-</v>
      </c>
      <c r="BV112" s="143" t="str">
        <f t="shared" si="857"/>
        <v>-</v>
      </c>
      <c r="BW112" s="143" t="str">
        <f t="shared" si="858"/>
        <v>-</v>
      </c>
      <c r="BX112" s="143" t="str">
        <f t="shared" si="859"/>
        <v>-</v>
      </c>
      <c r="BY112" s="143">
        <f t="shared" si="860"/>
        <v>9.9239324932601139E-2</v>
      </c>
      <c r="BZ112" s="143" t="str">
        <f t="shared" si="861"/>
        <v>-</v>
      </c>
      <c r="CA112" s="143" t="str">
        <f t="shared" si="862"/>
        <v>-</v>
      </c>
      <c r="CB112" s="143" t="str">
        <f t="shared" si="863"/>
        <v>-</v>
      </c>
      <c r="CD112" s="112">
        <f t="shared" si="864"/>
        <v>1138.9406343959072</v>
      </c>
      <c r="CE112" s="95" t="str">
        <f>IFERROR(SUMIFS('01. KE30'!$R:$R,'01. KE30'!$C:$C,'06. BC BH THEO CUSTOMER-USD'!$D112,'01. KE30'!$F:$F,'06. BC BH THEO CUSTOMER-USD'!$H112,'01. KE30'!$A:$A,'06. BC BH THEO CUSTOMER-USD'!CE$4)/CS112/'02. Tỷ giá'!B$5," -")</f>
        <v xml:space="preserve"> -</v>
      </c>
      <c r="CF112" s="95" t="str">
        <f>IFERROR(SUMIFS('01. KE30'!$R:$R,'01. KE30'!$C:$C,'06. BC BH THEO CUSTOMER-USD'!$D112,'01. KE30'!$F:$F,'06. BC BH THEO CUSTOMER-USD'!$H112,'01. KE30'!$A:$A,'06. BC BH THEO CUSTOMER-USD'!CF$4)/CT112/'02. Tỷ giá'!C$5," -")</f>
        <v xml:space="preserve"> -</v>
      </c>
      <c r="CG112" s="95" t="str">
        <f>IFERROR(SUMIFS('01. KE30'!$R:$R,'01. KE30'!$C:$C,'06. BC BH THEO CUSTOMER-USD'!$D112,'01. KE30'!$F:$F,'06. BC BH THEO CUSTOMER-USD'!$H112,'01. KE30'!$A:$A,'06. BC BH THEO CUSTOMER-USD'!CG$4)/CU112/'02. Tỷ giá'!D$5," -")</f>
        <v xml:space="preserve"> -</v>
      </c>
      <c r="CH112" s="95" t="str">
        <f>IFERROR(SUMIFS('01. KE30'!$R:$R,'01. KE30'!$C:$C,'06. BC BH THEO CUSTOMER-USD'!$D112,'01. KE30'!$F:$F,'06. BC BH THEO CUSTOMER-USD'!$H112,'01. KE30'!$A:$A,'06. BC BH THEO CUSTOMER-USD'!CH$4)/CV112/'02. Tỷ giá'!E$5," -")</f>
        <v xml:space="preserve"> -</v>
      </c>
      <c r="CI112" s="95" t="str">
        <f>IFERROR(SUMIFS('01. KE30'!$R:$R,'01. KE30'!$C:$C,'06. BC BH THEO CUSTOMER-USD'!$D112,'01. KE30'!$F:$F,'06. BC BH THEO CUSTOMER-USD'!$H112,'01. KE30'!$A:$A,'06. BC BH THEO CUSTOMER-USD'!CI$4)/CW112/'02. Tỷ giá'!F$5," -")</f>
        <v xml:space="preserve"> -</v>
      </c>
      <c r="CJ112" s="95" t="str">
        <f>IFERROR(SUMIFS('01. KE30'!$R:$R,'01. KE30'!$C:$C,'06. BC BH THEO CUSTOMER-USD'!$D112,'01. KE30'!$F:$F,'06. BC BH THEO CUSTOMER-USD'!$H112,'01. KE30'!$A:$A,'06. BC BH THEO CUSTOMER-USD'!CJ$4)/CX112/'02. Tỷ giá'!G$5," -")</f>
        <v xml:space="preserve"> -</v>
      </c>
      <c r="CK112" s="95" t="str">
        <f>IFERROR(SUMIFS('01. KE30'!$R:$R,'01. KE30'!$C:$C,'06. BC BH THEO CUSTOMER-USD'!$D112,'01. KE30'!$F:$F,'06. BC BH THEO CUSTOMER-USD'!$H112,'01. KE30'!$A:$A,'06. BC BH THEO CUSTOMER-USD'!CK$4)/CY112/'02. Tỷ giá'!H$5," -")</f>
        <v xml:space="preserve"> -</v>
      </c>
      <c r="CL112" s="95" t="str">
        <f>IFERROR(SUMIFS('01. KE30'!$R:$R,'01. KE30'!$C:$C,'06. BC BH THEO CUSTOMER-USD'!$D112,'01. KE30'!$F:$F,'06. BC BH THEO CUSTOMER-USD'!$H112,'01. KE30'!$A:$A,'06. BC BH THEO CUSTOMER-USD'!CL$4)/CZ112/'02. Tỷ giá'!I$5," -")</f>
        <v xml:space="preserve"> -</v>
      </c>
      <c r="CM112" s="95">
        <f>IFERROR(SUMIFS('01. KE30'!$R:$R,'01. KE30'!$C:$C,'06. BC BH THEO CUSTOMER-USD'!$D112,'01. KE30'!$F:$F,'06. BC BH THEO CUSTOMER-USD'!$H112,'01. KE30'!$A:$A,'06. BC BH THEO CUSTOMER-USD'!CM$4)/DA112/'02. Tỷ giá'!J$5," -")</f>
        <v>1138.9406343959072</v>
      </c>
      <c r="CN112" s="95" t="str">
        <f>IFERROR(SUMIFS('01. KE30'!$R:$R,'01. KE30'!$C:$C,'06. BC BH THEO CUSTOMER-USD'!$D112,'01. KE30'!$F:$F,'06. BC BH THEO CUSTOMER-USD'!$H112,'01. KE30'!$A:$A,'06. BC BH THEO CUSTOMER-USD'!CN$4)/DB112/'02. Tỷ giá'!K$5," -")</f>
        <v xml:space="preserve"> -</v>
      </c>
      <c r="CO112" s="95" t="str">
        <f>IFERROR(SUMIFS('01. KE30'!$R:$R,'01. KE30'!$C:$C,'06. BC BH THEO CUSTOMER-USD'!$D112,'01. KE30'!$F:$F,'06. BC BH THEO CUSTOMER-USD'!$H112,'01. KE30'!$A:$A,'06. BC BH THEO CUSTOMER-USD'!CO$4)/DC112/'02. Tỷ giá'!L$5," -")</f>
        <v xml:space="preserve"> -</v>
      </c>
      <c r="CP112" s="95" t="str">
        <f>IFERROR(SUMIFS('01. KE30'!$R:$R,'01. KE30'!$C:$C,'06. BC BH THEO CUSTOMER-USD'!$D112,'01. KE30'!$F:$F,'06. BC BH THEO CUSTOMER-USD'!$H112,'01. KE30'!$A:$A,'06. BC BH THEO CUSTOMER-USD'!CP$4)/DD112/'02. Tỷ giá'!M$5," -")</f>
        <v xml:space="preserve"> -</v>
      </c>
      <c r="CR112" s="112">
        <f t="shared" si="865"/>
        <v>24.2</v>
      </c>
      <c r="CS112" s="114">
        <f>SUMIFS('01. KE30'!$I:$I,'01. KE30'!$C:$C,'06. BC BH THEO CUSTOMER-USD'!$D112,'01. KE30'!$F:$F,'06. BC BH THEO CUSTOMER-USD'!$H112,'01. KE30'!$A:$A,'06. BC BH THEO CUSTOMER-USD'!CS$4)/1000</f>
        <v>0</v>
      </c>
      <c r="CT112" s="114">
        <f>SUMIFS('01. KE30'!$I:$I,'01. KE30'!$C:$C,'06. BC BH THEO CUSTOMER-USD'!$D112,'01. KE30'!$F:$F,'06. BC BH THEO CUSTOMER-USD'!$H112,'01. KE30'!$A:$A,'06. BC BH THEO CUSTOMER-USD'!CT$4)/1000</f>
        <v>0</v>
      </c>
      <c r="CU112" s="114">
        <f>SUMIFS('01. KE30'!$I:$I,'01. KE30'!$C:$C,'06. BC BH THEO CUSTOMER-USD'!$D112,'01. KE30'!$F:$F,'06. BC BH THEO CUSTOMER-USD'!$H112,'01. KE30'!$A:$A,'06. BC BH THEO CUSTOMER-USD'!CU$4)/1000</f>
        <v>0</v>
      </c>
      <c r="CV112" s="114">
        <f>SUMIFS('01. KE30'!$I:$I,'01. KE30'!$C:$C,'06. BC BH THEO CUSTOMER-USD'!$D112,'01. KE30'!$F:$F,'06. BC BH THEO CUSTOMER-USD'!$H112,'01. KE30'!$A:$A,'06. BC BH THEO CUSTOMER-USD'!CV$4)/1000</f>
        <v>0</v>
      </c>
      <c r="CW112" s="114">
        <f>SUMIFS('01. KE30'!$I:$I,'01. KE30'!$C:$C,'06. BC BH THEO CUSTOMER-USD'!$D112,'01. KE30'!$F:$F,'06. BC BH THEO CUSTOMER-USD'!$H112,'01. KE30'!$A:$A,'06. BC BH THEO CUSTOMER-USD'!CW$4)/1000</f>
        <v>0</v>
      </c>
      <c r="CX112" s="114">
        <f>SUMIFS('01. KE30'!$I:$I,'01. KE30'!$C:$C,'06. BC BH THEO CUSTOMER-USD'!$D112,'01. KE30'!$F:$F,'06. BC BH THEO CUSTOMER-USD'!$H112,'01. KE30'!$A:$A,'06. BC BH THEO CUSTOMER-USD'!CX$4)/1000</f>
        <v>0</v>
      </c>
      <c r="CY112" s="114">
        <f>SUMIFS('01. KE30'!$I:$I,'01. KE30'!$C:$C,'06. BC BH THEO CUSTOMER-USD'!$D112,'01. KE30'!$F:$F,'06. BC BH THEO CUSTOMER-USD'!$H112,'01. KE30'!$A:$A,'06. BC BH THEO CUSTOMER-USD'!CY$4)/1000</f>
        <v>0</v>
      </c>
      <c r="CZ112" s="114">
        <f>SUMIFS('01. KE30'!$I:$I,'01. KE30'!$C:$C,'06. BC BH THEO CUSTOMER-USD'!$D112,'01. KE30'!$F:$F,'06. BC BH THEO CUSTOMER-USD'!$H112,'01. KE30'!$A:$A,'06. BC BH THEO CUSTOMER-USD'!CZ$4)/1000</f>
        <v>0</v>
      </c>
      <c r="DA112" s="114">
        <f>SUMIFS('01. KE30'!$I:$I,'01. KE30'!$C:$C,'06. BC BH THEO CUSTOMER-USD'!$D112,'01. KE30'!$F:$F,'06. BC BH THEO CUSTOMER-USD'!$H112,'01. KE30'!$A:$A,'06. BC BH THEO CUSTOMER-USD'!DA$4)/1000</f>
        <v>24.2</v>
      </c>
      <c r="DB112" s="114">
        <f>SUMIFS('01. KE30'!$I:$I,'01. KE30'!$C:$C,'06. BC BH THEO CUSTOMER-USD'!$D112,'01. KE30'!$F:$F,'06. BC BH THEO CUSTOMER-USD'!$H112,'01. KE30'!$A:$A,'06. BC BH THEO CUSTOMER-USD'!DB$4)/1000</f>
        <v>0</v>
      </c>
      <c r="DC112" s="114">
        <f>SUMIFS('01. KE30'!$I:$I,'01. KE30'!$C:$C,'06. BC BH THEO CUSTOMER-USD'!$D112,'01. KE30'!$F:$F,'06. BC BH THEO CUSTOMER-USD'!$H112,'01. KE30'!$A:$A,'06. BC BH THEO CUSTOMER-USD'!DC$4)/1000</f>
        <v>0</v>
      </c>
      <c r="DD112" s="114">
        <f>SUMIFS('01. KE30'!$I:$I,'01. KE30'!$C:$C,'06. BC BH THEO CUSTOMER-USD'!$D112,'01. KE30'!$F:$F,'06. BC BH THEO CUSTOMER-USD'!$H112,'01. KE30'!$A:$A,'06. BC BH THEO CUSTOMER-USD'!DD$4)/1000</f>
        <v>0</v>
      </c>
      <c r="DF112" s="120">
        <f t="shared" si="866"/>
        <v>19206.34918095238</v>
      </c>
      <c r="DG112" s="54" t="str">
        <f t="shared" si="867"/>
        <v>-</v>
      </c>
      <c r="DH112" s="54" t="str">
        <f t="shared" si="868"/>
        <v>-</v>
      </c>
      <c r="DI112" s="54" t="str">
        <f t="shared" si="869"/>
        <v>-</v>
      </c>
      <c r="DJ112" s="54" t="str">
        <f t="shared" si="870"/>
        <v>-</v>
      </c>
      <c r="DK112" s="54" t="str">
        <f t="shared" si="871"/>
        <v>-</v>
      </c>
      <c r="DL112" s="54" t="str">
        <f t="shared" si="872"/>
        <v>-</v>
      </c>
      <c r="DM112" s="54" t="str">
        <f t="shared" si="873"/>
        <v>-</v>
      </c>
      <c r="DN112" s="54" t="str">
        <f t="shared" si="874"/>
        <v>-</v>
      </c>
      <c r="DO112" s="54">
        <f t="shared" si="875"/>
        <v>19206.34918095238</v>
      </c>
      <c r="DP112" s="54" t="str">
        <f t="shared" si="876"/>
        <v>-</v>
      </c>
      <c r="DQ112" s="54" t="str">
        <f t="shared" si="877"/>
        <v>-</v>
      </c>
      <c r="DR112" s="54" t="str">
        <f t="shared" si="878"/>
        <v>-</v>
      </c>
      <c r="DT112" s="112">
        <f t="shared" si="879"/>
        <v>-8356.014171428571</v>
      </c>
      <c r="DU112" s="114">
        <f>IFERROR(SUMIFS('01. KE30'!$X:$X,'01. KE30'!$C:$C,'06. BC BH THEO CUSTOMER-USD'!$D112,'01. KE30'!$F:$F,'06. BC BH THEO CUSTOMER-USD'!$H112,'01. KE30'!$A:$A,'06. BC BH THEO CUSTOMER-USD'!DU$4)-SUMIFS('01. KE30'!$AA:$AA,'01. KE30'!$C:$C,'06. BC BH THEO CUSTOMER-USD'!$D112,'01. KE30'!$F:$F,'06. BC BH THEO CUSTOMER-USD'!$H112,'01. KE30'!$A:$A,'06. BC BH THEO CUSTOMER-USD'!DU$4),"-")</f>
        <v>0</v>
      </c>
      <c r="DV112" s="114">
        <f>IFERROR(SUMIFS('01. KE30'!$X:$X,'01. KE30'!$C:$C,'06. BC BH THEO CUSTOMER-USD'!$D112,'01. KE30'!$F:$F,'06. BC BH THEO CUSTOMER-USD'!$H112,'01. KE30'!$A:$A,'06. BC BH THEO CUSTOMER-USD'!DV$4)-SUMIFS('01. KE30'!$AA:$AA,'01. KE30'!$C:$C,'06. BC BH THEO CUSTOMER-USD'!$D112,'01. KE30'!$F:$F,'06. BC BH THEO CUSTOMER-USD'!$H112,'01. KE30'!$A:$A,'06. BC BH THEO CUSTOMER-USD'!DV$4),"-")</f>
        <v>0</v>
      </c>
      <c r="DW112" s="114">
        <f>IFERROR(SUMIFS('01. KE30'!$X:$X,'01. KE30'!$C:$C,'06. BC BH THEO CUSTOMER-USD'!$D112,'01. KE30'!$F:$F,'06. BC BH THEO CUSTOMER-USD'!$H112,'01. KE30'!$A:$A,'06. BC BH THEO CUSTOMER-USD'!DW$4)-SUMIFS('01. KE30'!$AA:$AA,'01. KE30'!$C:$C,'06. BC BH THEO CUSTOMER-USD'!$D112,'01. KE30'!$F:$F,'06. BC BH THEO CUSTOMER-USD'!$H112,'01. KE30'!$A:$A,'06. BC BH THEO CUSTOMER-USD'!DW$4),"-")</f>
        <v>0</v>
      </c>
      <c r="DX112" s="114">
        <f>IFERROR(SUMIFS('01. KE30'!$X:$X,'01. KE30'!$C:$C,'06. BC BH THEO CUSTOMER-USD'!$D112,'01. KE30'!$F:$F,'06. BC BH THEO CUSTOMER-USD'!$H112,'01. KE30'!$A:$A,'06. BC BH THEO CUSTOMER-USD'!DX$4)-SUMIFS('01. KE30'!$AA:$AA,'01. KE30'!$C:$C,'06. BC BH THEO CUSTOMER-USD'!$D112,'01. KE30'!$F:$F,'06. BC BH THEO CUSTOMER-USD'!$H112,'01. KE30'!$A:$A,'06. BC BH THEO CUSTOMER-USD'!DX$4),"-")</f>
        <v>0</v>
      </c>
      <c r="DY112" s="114">
        <f>IFERROR(SUMIFS('01. KE30'!$X:$X,'01. KE30'!$C:$C,'06. BC BH THEO CUSTOMER-USD'!$D112,'01. KE30'!$F:$F,'06. BC BH THEO CUSTOMER-USD'!$H112,'01. KE30'!$A:$A,'06. BC BH THEO CUSTOMER-USD'!DY$4)-SUMIFS('01. KE30'!$AA:$AA,'01. KE30'!$C:$C,'06. BC BH THEO CUSTOMER-USD'!$D112,'01. KE30'!$F:$F,'06. BC BH THEO CUSTOMER-USD'!$H112,'01. KE30'!$A:$A,'06. BC BH THEO CUSTOMER-USD'!DY$4),"-")</f>
        <v>0</v>
      </c>
      <c r="DZ112" s="114">
        <f>IFERROR(SUMIFS('01. KE30'!$X:$X,'01. KE30'!$C:$C,'06. BC BH THEO CUSTOMER-USD'!$D112,'01. KE30'!$F:$F,'06. BC BH THEO CUSTOMER-USD'!$H112,'01. KE30'!$A:$A,'06. BC BH THEO CUSTOMER-USD'!DZ$4)-SUMIFS('01. KE30'!$AA:$AA,'01. KE30'!$C:$C,'06. BC BH THEO CUSTOMER-USD'!$D112,'01. KE30'!$F:$F,'06. BC BH THEO CUSTOMER-USD'!$H112,'01. KE30'!$A:$A,'06. BC BH THEO CUSTOMER-USD'!DZ$4),"-")</f>
        <v>0</v>
      </c>
      <c r="EA112" s="114">
        <f>IFERROR(SUMIFS('01. KE30'!$X:$X,'01. KE30'!$C:$C,'06. BC BH THEO CUSTOMER-USD'!$D112,'01. KE30'!$F:$F,'06. BC BH THEO CUSTOMER-USD'!$H112,'01. KE30'!$A:$A,'06. BC BH THEO CUSTOMER-USD'!EA$4)-SUMIFS('01. KE30'!$AA:$AA,'01. KE30'!$C:$C,'06. BC BH THEO CUSTOMER-USD'!$D112,'01. KE30'!$F:$F,'06. BC BH THEO CUSTOMER-USD'!$H112,'01. KE30'!$A:$A,'06. BC BH THEO CUSTOMER-USD'!EA$4),"-")</f>
        <v>0</v>
      </c>
      <c r="EB112" s="114">
        <f>IFERROR(SUMIFS('01. KE30'!$X:$X,'01. KE30'!$C:$C,'06. BC BH THEO CUSTOMER-USD'!$D112,'01. KE30'!$F:$F,'06. BC BH THEO CUSTOMER-USD'!$H112,'01. KE30'!$A:$A,'06. BC BH THEO CUSTOMER-USD'!EB$4)-SUMIFS('01. KE30'!$AA:$AA,'01. KE30'!$C:$C,'06. BC BH THEO CUSTOMER-USD'!$D112,'01. KE30'!$F:$F,'06. BC BH THEO CUSTOMER-USD'!$H112,'01. KE30'!$A:$A,'06. BC BH THEO CUSTOMER-USD'!EB$4),"-")</f>
        <v>0</v>
      </c>
      <c r="EC112" s="114">
        <f>IFERROR(SUMIFS('01. KE30'!$X:$X,'01. KE30'!$C:$C,'06. BC BH THEO CUSTOMER-USD'!$D112,'01. KE30'!$F:$F,'06. BC BH THEO CUSTOMER-USD'!$H112,'01. KE30'!$A:$A,'06. BC BH THEO CUSTOMER-USD'!EC$4)-SUMIFS('01. KE30'!$AA:$AA,'01. KE30'!$C:$C,'06. BC BH THEO CUSTOMER-USD'!$D112,'01. KE30'!$F:$F,'06. BC BH THEO CUSTOMER-USD'!$H112,'01. KE30'!$A:$A,'06. BC BH THEO CUSTOMER-USD'!EC$4),"-")</f>
        <v>-8356.014171428571</v>
      </c>
      <c r="ED112" s="114">
        <f>IFERROR(SUMIFS('01. KE30'!$X:$X,'01. KE30'!$C:$C,'06. BC BH THEO CUSTOMER-USD'!$D112,'01. KE30'!$F:$F,'06. BC BH THEO CUSTOMER-USD'!$H112,'01. KE30'!$A:$A,'06. BC BH THEO CUSTOMER-USD'!ED$4)-SUMIFS('01. KE30'!$AA:$AA,'01. KE30'!$C:$C,'06. BC BH THEO CUSTOMER-USD'!$D112,'01. KE30'!$F:$F,'06. BC BH THEO CUSTOMER-USD'!$H112,'01. KE30'!$A:$A,'06. BC BH THEO CUSTOMER-USD'!ED$4),"-")</f>
        <v>0</v>
      </c>
      <c r="EE112" s="114">
        <f>IFERROR(SUMIFS('01. KE30'!$X:$X,'01. KE30'!$C:$C,'06. BC BH THEO CUSTOMER-USD'!$D112,'01. KE30'!$F:$F,'06. BC BH THEO CUSTOMER-USD'!$H112,'01. KE30'!$A:$A,'06. BC BH THEO CUSTOMER-USD'!EE$4)-SUMIFS('01. KE30'!$AA:$AA,'01. KE30'!$C:$C,'06. BC BH THEO CUSTOMER-USD'!$D112,'01. KE30'!$F:$F,'06. BC BH THEO CUSTOMER-USD'!$H112,'01. KE30'!$A:$A,'06. BC BH THEO CUSTOMER-USD'!EE$4),"-")</f>
        <v>0</v>
      </c>
      <c r="EF112" s="114">
        <f>IFERROR(SUMIFS('01. KE30'!$X:$X,'01. KE30'!$C:$C,'06. BC BH THEO CUSTOMER-USD'!$D112,'01. KE30'!$F:$F,'06. BC BH THEO CUSTOMER-USD'!$H112,'01. KE30'!$A:$A,'06. BC BH THEO CUSTOMER-USD'!EF$4)-SUMIFS('01. KE30'!$AA:$AA,'01. KE30'!$C:$C,'06. BC BH THEO CUSTOMER-USD'!$D112,'01. KE30'!$F:$F,'06. BC BH THEO CUSTOMER-USD'!$H112,'01. KE30'!$A:$A,'06. BC BH THEO CUSTOMER-USD'!EF$4),"-")</f>
        <v>0</v>
      </c>
      <c r="EH112" s="571">
        <f t="shared" ref="EH112:EH113" si="1125">IFERROR(DT112/DF112,"-")</f>
        <v>-0.43506520123644987</v>
      </c>
      <c r="EI112" s="572" t="str">
        <f t="shared" ref="EI112:EI113" si="1126">IFERROR(DU112/DG112,"-")</f>
        <v>-</v>
      </c>
      <c r="EJ112" s="572" t="str">
        <f t="shared" ref="EJ112:EJ113" si="1127">IFERROR(DV112/DH112,"-")</f>
        <v>-</v>
      </c>
      <c r="EK112" s="572" t="str">
        <f t="shared" ref="EK112:EK113" si="1128">IFERROR(DW112/DI112,"-")</f>
        <v>-</v>
      </c>
      <c r="EL112" s="572" t="str">
        <f t="shared" ref="EL112:EL113" si="1129">IFERROR(DX112/DJ112,"-")</f>
        <v>-</v>
      </c>
      <c r="EM112" s="572" t="str">
        <f t="shared" ref="EM112:EM113" si="1130">IFERROR(DY112/DK112,"-")</f>
        <v>-</v>
      </c>
      <c r="EN112" s="572" t="str">
        <f t="shared" ref="EN112:EN113" si="1131">IFERROR(DZ112/DL112,"-")</f>
        <v>-</v>
      </c>
      <c r="EO112" s="572" t="str">
        <f t="shared" ref="EO112:EO113" si="1132">IFERROR(EA112/DM112,"-")</f>
        <v>-</v>
      </c>
      <c r="EP112" s="572" t="str">
        <f t="shared" ref="EP112:EP113" si="1133">IFERROR(EB112/DN112,"-")</f>
        <v>-</v>
      </c>
      <c r="EQ112" s="572">
        <f t="shared" ref="EQ112:EQ113" si="1134">IFERROR(EC112/DO112,"-")</f>
        <v>-0.43506520123644987</v>
      </c>
      <c r="ER112" s="572" t="str">
        <f t="shared" ref="ER112:ER113" si="1135">IFERROR(ED112/DP112,"-")</f>
        <v>-</v>
      </c>
      <c r="ES112" s="572" t="str">
        <f t="shared" ref="ES112:ES113" si="1136">IFERROR(EE112/DQ112,"-")</f>
        <v>-</v>
      </c>
      <c r="ET112" s="572" t="str">
        <f t="shared" ref="ET112:ET113" si="1137">IFERROR(EF112/DR112,"-")</f>
        <v>-</v>
      </c>
    </row>
    <row r="113" spans="1:150" ht="15.5" hidden="1" outlineLevel="1" x14ac:dyDescent="0.35">
      <c r="A113" s="27">
        <f t="shared" si="1124"/>
        <v>94</v>
      </c>
      <c r="B113" s="27" t="s">
        <v>283</v>
      </c>
      <c r="C113" s="442" t="s">
        <v>489</v>
      </c>
      <c r="D113" s="9" t="s">
        <v>1068</v>
      </c>
      <c r="E113" s="12" t="s">
        <v>1069</v>
      </c>
      <c r="F113" s="12" t="s">
        <v>245</v>
      </c>
      <c r="G113" s="12" t="str">
        <f>_xlfn.XLOOKUP(F113,'Quy đổi'!$G$5:$G$32,'Quy đổi'!$H$5:$H$32,0)</f>
        <v>Nội địa</v>
      </c>
      <c r="H113" s="76" t="s">
        <v>1086</v>
      </c>
      <c r="I113" s="28" t="s">
        <v>1087</v>
      </c>
      <c r="J113" s="6" t="s">
        <v>22</v>
      </c>
      <c r="K113" s="11"/>
      <c r="L113" s="92">
        <f t="shared" si="835"/>
        <v>740.74074074074076</v>
      </c>
      <c r="M113" s="106" t="str">
        <f>IFERROR(SUMIFS('01. KE30'!$K:$K,'01. KE30'!$C:$C,'06. BC BH THEO CUSTOMER-USD'!$D113,'01. KE30'!$F:$F,'06. BC BH THEO CUSTOMER-USD'!$H113,'01. KE30'!$A:$A,'06. BC BH THEO CUSTOMER-USD'!M$4)/'06. BC BH THEO CUSTOMER-USD'!CS113/'02. Tỷ giá'!B$5,"-")</f>
        <v>-</v>
      </c>
      <c r="N113" s="106" t="str">
        <f>IFERROR(SUMIFS('01. KE30'!$K:$K,'01. KE30'!$C:$C,'06. BC BH THEO CUSTOMER-USD'!$D113,'01. KE30'!$F:$F,'06. BC BH THEO CUSTOMER-USD'!$H113,'01. KE30'!$A:$A,'06. BC BH THEO CUSTOMER-USD'!N$4)/'06. BC BH THEO CUSTOMER-USD'!CT113/'02. Tỷ giá'!C$5,"-")</f>
        <v>-</v>
      </c>
      <c r="O113" s="106" t="str">
        <f>IFERROR(SUMIFS('01. KE30'!$K:$K,'01. KE30'!$C:$C,'06. BC BH THEO CUSTOMER-USD'!$D113,'01. KE30'!$F:$F,'06. BC BH THEO CUSTOMER-USD'!$H113,'01. KE30'!$A:$A,'06. BC BH THEO CUSTOMER-USD'!O$4)/'06. BC BH THEO CUSTOMER-USD'!CU113/'02. Tỷ giá'!D$5,"-")</f>
        <v>-</v>
      </c>
      <c r="P113" s="106" t="str">
        <f>IFERROR(SUMIFS('01. KE30'!$K:$K,'01. KE30'!$C:$C,'06. BC BH THEO CUSTOMER-USD'!$D113,'01. KE30'!$F:$F,'06. BC BH THEO CUSTOMER-USD'!$H113,'01. KE30'!$A:$A,'06. BC BH THEO CUSTOMER-USD'!P$4)/'06. BC BH THEO CUSTOMER-USD'!CV113/'02. Tỷ giá'!E$5,"-")</f>
        <v>-</v>
      </c>
      <c r="Q113" s="106" t="str">
        <f>IFERROR(SUMIFS('01. KE30'!$K:$K,'01. KE30'!$C:$C,'06. BC BH THEO CUSTOMER-USD'!$D113,'01. KE30'!$F:$F,'06. BC BH THEO CUSTOMER-USD'!$H113,'01. KE30'!$A:$A,'06. BC BH THEO CUSTOMER-USD'!Q$4)/'06. BC BH THEO CUSTOMER-USD'!CW113/'02. Tỷ giá'!F$5,"-")</f>
        <v>-</v>
      </c>
      <c r="R113" s="106" t="str">
        <f>IFERROR(SUMIFS('01. KE30'!$K:$K,'01. KE30'!$C:$C,'06. BC BH THEO CUSTOMER-USD'!$D113,'01. KE30'!$F:$F,'06. BC BH THEO CUSTOMER-USD'!$H113,'01. KE30'!$A:$A,'06. BC BH THEO CUSTOMER-USD'!R$4)/'06. BC BH THEO CUSTOMER-USD'!CX113/'02. Tỷ giá'!G$5,"-")</f>
        <v>-</v>
      </c>
      <c r="S113" s="106" t="str">
        <f>IFERROR(SUMIFS('01. KE30'!$K:$K,'01. KE30'!$C:$C,'06. BC BH THEO CUSTOMER-USD'!$D113,'01. KE30'!$F:$F,'06. BC BH THEO CUSTOMER-USD'!$H113,'01. KE30'!$A:$A,'06. BC BH THEO CUSTOMER-USD'!S$4)/'06. BC BH THEO CUSTOMER-USD'!CY113/'02. Tỷ giá'!H$5,"-")</f>
        <v>-</v>
      </c>
      <c r="T113" s="106" t="str">
        <f>IFERROR(SUMIFS('01. KE30'!$K:$K,'01. KE30'!$C:$C,'06. BC BH THEO CUSTOMER-USD'!$D113,'01. KE30'!$F:$F,'06. BC BH THEO CUSTOMER-USD'!$H113,'01. KE30'!$A:$A,'06. BC BH THEO CUSTOMER-USD'!T$4)/'06. BC BH THEO CUSTOMER-USD'!CZ113/'02. Tỷ giá'!I$5,"-")</f>
        <v>-</v>
      </c>
      <c r="U113" s="106">
        <f>IFERROR(SUMIFS('01. KE30'!$K:$K,'01. KE30'!$C:$C,'06. BC BH THEO CUSTOMER-USD'!$D113,'01. KE30'!$F:$F,'06. BC BH THEO CUSTOMER-USD'!$H113,'01. KE30'!$A:$A,'06. BC BH THEO CUSTOMER-USD'!U$4)/'06. BC BH THEO CUSTOMER-USD'!DA113/'02. Tỷ giá'!J$5,"-")</f>
        <v>740.74074074074076</v>
      </c>
      <c r="V113" s="106" t="str">
        <f>IFERROR(SUMIFS('01. KE30'!$K:$K,'01. KE30'!$C:$C,'06. BC BH THEO CUSTOMER-USD'!$D113,'01. KE30'!$F:$F,'06. BC BH THEO CUSTOMER-USD'!$H113,'01. KE30'!$A:$A,'06. BC BH THEO CUSTOMER-USD'!V$4)/'06. BC BH THEO CUSTOMER-USD'!DB113/'02. Tỷ giá'!K$5,"-")</f>
        <v>-</v>
      </c>
      <c r="W113" s="106" t="str">
        <f>IFERROR(SUMIFS('01. KE30'!$K:$K,'01. KE30'!$C:$C,'06. BC BH THEO CUSTOMER-USD'!$D113,'01. KE30'!$F:$F,'06. BC BH THEO CUSTOMER-USD'!$H113,'01. KE30'!$A:$A,'06. BC BH THEO CUSTOMER-USD'!W$4)/'06. BC BH THEO CUSTOMER-USD'!DC113/'02. Tỷ giá'!L$5,"-")</f>
        <v>-</v>
      </c>
      <c r="X113" s="106" t="str">
        <f>IFERROR(SUMIFS('01. KE30'!$K:$K,'01. KE30'!$C:$C,'06. BC BH THEO CUSTOMER-USD'!$D113,'01. KE30'!$F:$F,'06. BC BH THEO CUSTOMER-USD'!$H113,'01. KE30'!$A:$A,'06. BC BH THEO CUSTOMER-USD'!X$4)/'06. BC BH THEO CUSTOMER-USD'!DD113/'02. Tỷ giá'!M$5,"-")</f>
        <v>-</v>
      </c>
      <c r="Z113" s="92">
        <f t="shared" si="836"/>
        <v>733.42953342953342</v>
      </c>
      <c r="AA113" s="147" t="str">
        <f>IFERROR(SUMIFS('01. KE30'!$O:$O,'01. KE30'!$C:$C,'06. BC BH THEO CUSTOMER-USD'!$D113,'01. KE30'!$F:$F,'06. BC BH THEO CUSTOMER-USD'!$H113,'01. KE30'!$A:$A,'06. BC BH THEO CUSTOMER-USD'!M$4)/'06. BC BH THEO CUSTOMER-USD'!CS113/'02. Tỷ giá'!B$5,"-")</f>
        <v>-</v>
      </c>
      <c r="AB113" s="147" t="str">
        <f>IFERROR(SUMIFS('01. KE30'!$O:$O,'01. KE30'!$C:$C,'06. BC BH THEO CUSTOMER-USD'!$D113,'01. KE30'!$F:$F,'06. BC BH THEO CUSTOMER-USD'!$H113,'01. KE30'!$A:$A,'06. BC BH THEO CUSTOMER-USD'!N$4)/'06. BC BH THEO CUSTOMER-USD'!CT113/'02. Tỷ giá'!C$5,"-")</f>
        <v>-</v>
      </c>
      <c r="AC113" s="147" t="str">
        <f>IFERROR(SUMIFS('01. KE30'!$O:$O,'01. KE30'!$C:$C,'06. BC BH THEO CUSTOMER-USD'!$D113,'01. KE30'!$F:$F,'06. BC BH THEO CUSTOMER-USD'!$H113,'01. KE30'!$A:$A,'06. BC BH THEO CUSTOMER-USD'!O$4)/'06. BC BH THEO CUSTOMER-USD'!CU113/'02. Tỷ giá'!D$5,"-")</f>
        <v>-</v>
      </c>
      <c r="AD113" s="147" t="str">
        <f>IFERROR(SUMIFS('01. KE30'!$O:$O,'01. KE30'!$C:$C,'06. BC BH THEO CUSTOMER-USD'!$D113,'01. KE30'!$F:$F,'06. BC BH THEO CUSTOMER-USD'!$H113,'01. KE30'!$A:$A,'06. BC BH THEO CUSTOMER-USD'!P$4)/'06. BC BH THEO CUSTOMER-USD'!CV113/'02. Tỷ giá'!E$5,"-")</f>
        <v>-</v>
      </c>
      <c r="AE113" s="147" t="str">
        <f>IFERROR(SUMIFS('01. KE30'!$O:$O,'01. KE30'!$C:$C,'06. BC BH THEO CUSTOMER-USD'!$D113,'01. KE30'!$F:$F,'06. BC BH THEO CUSTOMER-USD'!$H113,'01. KE30'!$A:$A,'06. BC BH THEO CUSTOMER-USD'!Q$4)/'06. BC BH THEO CUSTOMER-USD'!CW113/'02. Tỷ giá'!F$5,"-")</f>
        <v>-</v>
      </c>
      <c r="AF113" s="147" t="str">
        <f>IFERROR(SUMIFS('01. KE30'!$O:$O,'01. KE30'!$C:$C,'06. BC BH THEO CUSTOMER-USD'!$D113,'01. KE30'!$F:$F,'06. BC BH THEO CUSTOMER-USD'!$H113,'01. KE30'!$A:$A,'06. BC BH THEO CUSTOMER-USD'!R$4)/'06. BC BH THEO CUSTOMER-USD'!CX113/'02. Tỷ giá'!G$5,"-")</f>
        <v>-</v>
      </c>
      <c r="AG113" s="147" t="str">
        <f>IFERROR(SUMIFS('01. KE30'!$O:$O,'01. KE30'!$C:$C,'06. BC BH THEO CUSTOMER-USD'!$D113,'01. KE30'!$F:$F,'06. BC BH THEO CUSTOMER-USD'!$H113,'01. KE30'!$A:$A,'06. BC BH THEO CUSTOMER-USD'!S$4)/'06. BC BH THEO CUSTOMER-USD'!CY113/'02. Tỷ giá'!H$5,"-")</f>
        <v>-</v>
      </c>
      <c r="AH113" s="147" t="str">
        <f>IFERROR(SUMIFS('01. KE30'!$O:$O,'01. KE30'!$C:$C,'06. BC BH THEO CUSTOMER-USD'!$D113,'01. KE30'!$F:$F,'06. BC BH THEO CUSTOMER-USD'!$H113,'01. KE30'!$A:$A,'06. BC BH THEO CUSTOMER-USD'!T$4)/'06. BC BH THEO CUSTOMER-USD'!CZ113/'02. Tỷ giá'!I$5,"-")</f>
        <v>-</v>
      </c>
      <c r="AI113" s="147">
        <f>IFERROR(SUMIFS('01. KE30'!$O:$O,'01. KE30'!$C:$C,'06. BC BH THEO CUSTOMER-USD'!$D113,'01. KE30'!$F:$F,'06. BC BH THEO CUSTOMER-USD'!$H113,'01. KE30'!$A:$A,'06. BC BH THEO CUSTOMER-USD'!U$4)/'06. BC BH THEO CUSTOMER-USD'!DA113/'02. Tỷ giá'!J$5,"-")</f>
        <v>733.42953342953342</v>
      </c>
      <c r="AJ113" s="147" t="str">
        <f>IFERROR(SUMIFS('01. KE30'!$O:$O,'01. KE30'!$C:$C,'06. BC BH THEO CUSTOMER-USD'!$D113,'01. KE30'!$F:$F,'06. BC BH THEO CUSTOMER-USD'!$H113,'01. KE30'!$A:$A,'06. BC BH THEO CUSTOMER-USD'!V$4)/'06. BC BH THEO CUSTOMER-USD'!DB113/'02. Tỷ giá'!K$5,"-")</f>
        <v>-</v>
      </c>
      <c r="AK113" s="147" t="str">
        <f>IFERROR(SUMIFS('01. KE30'!$O:$O,'01. KE30'!$C:$C,'06. BC BH THEO CUSTOMER-USD'!$D113,'01. KE30'!$F:$F,'06. BC BH THEO CUSTOMER-USD'!$H113,'01. KE30'!$A:$A,'06. BC BH THEO CUSTOMER-USD'!W$4)/'06. BC BH THEO CUSTOMER-USD'!DC113/'02. Tỷ giá'!L$5,"-")</f>
        <v>-</v>
      </c>
      <c r="AL113" s="147" t="str">
        <f>IFERROR(SUMIFS('01. KE30'!$O:$O,'01. KE30'!$C:$C,'06. BC BH THEO CUSTOMER-USD'!$D113,'01. KE30'!$F:$F,'06. BC BH THEO CUSTOMER-USD'!$H113,'01. KE30'!$A:$A,'06. BC BH THEO CUSTOMER-USD'!X$4)/'06. BC BH THEO CUSTOMER-USD'!DD113/'02. Tỷ giá'!M$5,"-")</f>
        <v>-</v>
      </c>
      <c r="AN113" s="92">
        <f t="shared" si="837"/>
        <v>722</v>
      </c>
      <c r="AO113" s="25"/>
      <c r="AP113" s="25"/>
      <c r="AQ113" s="25"/>
      <c r="AR113" s="25"/>
      <c r="AS113" s="25"/>
      <c r="AT113" s="25"/>
      <c r="AU113" s="25"/>
      <c r="AV113" s="4"/>
      <c r="AW113" s="25">
        <v>722</v>
      </c>
      <c r="AX113" s="25"/>
      <c r="AY113" s="4"/>
      <c r="AZ113" s="4"/>
      <c r="BB113" s="95">
        <f t="shared" si="838"/>
        <v>11.429533429533421</v>
      </c>
      <c r="BC113" s="95" t="str">
        <f t="shared" si="839"/>
        <v>-</v>
      </c>
      <c r="BD113" s="95" t="str">
        <f t="shared" si="840"/>
        <v>-</v>
      </c>
      <c r="BE113" s="95" t="str">
        <f t="shared" si="841"/>
        <v>-</v>
      </c>
      <c r="BF113" s="95" t="str">
        <f t="shared" si="842"/>
        <v>-</v>
      </c>
      <c r="BG113" s="95" t="str">
        <f t="shared" si="843"/>
        <v>-</v>
      </c>
      <c r="BH113" s="95" t="str">
        <f t="shared" si="844"/>
        <v>-</v>
      </c>
      <c r="BI113" s="95" t="str">
        <f t="shared" si="845"/>
        <v>-</v>
      </c>
      <c r="BJ113" s="95" t="str">
        <f t="shared" si="846"/>
        <v>-</v>
      </c>
      <c r="BK113" s="95">
        <f t="shared" si="847"/>
        <v>11.429533429533421</v>
      </c>
      <c r="BL113" s="95" t="str">
        <f t="shared" si="848"/>
        <v>-</v>
      </c>
      <c r="BM113" s="95" t="str">
        <f t="shared" si="849"/>
        <v>-</v>
      </c>
      <c r="BN113" s="95" t="str">
        <f t="shared" si="850"/>
        <v>-</v>
      </c>
      <c r="BP113" s="143">
        <f t="shared" si="851"/>
        <v>1.5830378711265126E-2</v>
      </c>
      <c r="BQ113" s="143" t="str">
        <f t="shared" si="852"/>
        <v>-</v>
      </c>
      <c r="BR113" s="143" t="str">
        <f t="shared" si="853"/>
        <v>-</v>
      </c>
      <c r="BS113" s="143" t="str">
        <f t="shared" si="854"/>
        <v>-</v>
      </c>
      <c r="BT113" s="143" t="str">
        <f t="shared" si="855"/>
        <v>-</v>
      </c>
      <c r="BU113" s="143" t="str">
        <f t="shared" si="856"/>
        <v>-</v>
      </c>
      <c r="BV113" s="143" t="str">
        <f t="shared" si="857"/>
        <v>-</v>
      </c>
      <c r="BW113" s="143" t="str">
        <f t="shared" si="858"/>
        <v>-</v>
      </c>
      <c r="BX113" s="143" t="str">
        <f t="shared" si="859"/>
        <v>-</v>
      </c>
      <c r="BY113" s="143">
        <f t="shared" si="860"/>
        <v>1.5830378711265126E-2</v>
      </c>
      <c r="BZ113" s="143" t="str">
        <f t="shared" si="861"/>
        <v>-</v>
      </c>
      <c r="CA113" s="143" t="str">
        <f t="shared" si="862"/>
        <v>-</v>
      </c>
      <c r="CB113" s="143" t="str">
        <f t="shared" si="863"/>
        <v>-</v>
      </c>
      <c r="CD113" s="112">
        <f t="shared" si="864"/>
        <v>1138.940632996633</v>
      </c>
      <c r="CE113" s="95" t="str">
        <f>IFERROR(SUMIFS('01. KE30'!$R:$R,'01. KE30'!$C:$C,'06. BC BH THEO CUSTOMER-USD'!$D113,'01. KE30'!$F:$F,'06. BC BH THEO CUSTOMER-USD'!$H113,'01. KE30'!$A:$A,'06. BC BH THEO CUSTOMER-USD'!CE$4)/CS113/'02. Tỷ giá'!B$5," -")</f>
        <v xml:space="preserve"> -</v>
      </c>
      <c r="CF113" s="95" t="str">
        <f>IFERROR(SUMIFS('01. KE30'!$R:$R,'01. KE30'!$C:$C,'06. BC BH THEO CUSTOMER-USD'!$D113,'01. KE30'!$F:$F,'06. BC BH THEO CUSTOMER-USD'!$H113,'01. KE30'!$A:$A,'06. BC BH THEO CUSTOMER-USD'!CF$4)/CT113/'02. Tỷ giá'!C$5," -")</f>
        <v xml:space="preserve"> -</v>
      </c>
      <c r="CG113" s="95" t="str">
        <f>IFERROR(SUMIFS('01. KE30'!$R:$R,'01. KE30'!$C:$C,'06. BC BH THEO CUSTOMER-USD'!$D113,'01. KE30'!$F:$F,'06. BC BH THEO CUSTOMER-USD'!$H113,'01. KE30'!$A:$A,'06. BC BH THEO CUSTOMER-USD'!CG$4)/CU113/'02. Tỷ giá'!D$5," -")</f>
        <v xml:space="preserve"> -</v>
      </c>
      <c r="CH113" s="95" t="str">
        <f>IFERROR(SUMIFS('01. KE30'!$R:$R,'01. KE30'!$C:$C,'06. BC BH THEO CUSTOMER-USD'!$D113,'01. KE30'!$F:$F,'06. BC BH THEO CUSTOMER-USD'!$H113,'01. KE30'!$A:$A,'06. BC BH THEO CUSTOMER-USD'!CH$4)/CV113/'02. Tỷ giá'!E$5," -")</f>
        <v xml:space="preserve"> -</v>
      </c>
      <c r="CI113" s="95" t="str">
        <f>IFERROR(SUMIFS('01. KE30'!$R:$R,'01. KE30'!$C:$C,'06. BC BH THEO CUSTOMER-USD'!$D113,'01. KE30'!$F:$F,'06. BC BH THEO CUSTOMER-USD'!$H113,'01. KE30'!$A:$A,'06. BC BH THEO CUSTOMER-USD'!CI$4)/CW113/'02. Tỷ giá'!F$5," -")</f>
        <v xml:space="preserve"> -</v>
      </c>
      <c r="CJ113" s="95" t="str">
        <f>IFERROR(SUMIFS('01. KE30'!$R:$R,'01. KE30'!$C:$C,'06. BC BH THEO CUSTOMER-USD'!$D113,'01. KE30'!$F:$F,'06. BC BH THEO CUSTOMER-USD'!$H113,'01. KE30'!$A:$A,'06. BC BH THEO CUSTOMER-USD'!CJ$4)/CX113/'02. Tỷ giá'!G$5," -")</f>
        <v xml:space="preserve"> -</v>
      </c>
      <c r="CK113" s="95" t="str">
        <f>IFERROR(SUMIFS('01. KE30'!$R:$R,'01. KE30'!$C:$C,'06. BC BH THEO CUSTOMER-USD'!$D113,'01. KE30'!$F:$F,'06. BC BH THEO CUSTOMER-USD'!$H113,'01. KE30'!$A:$A,'06. BC BH THEO CUSTOMER-USD'!CK$4)/CY113/'02. Tỷ giá'!H$5," -")</f>
        <v xml:space="preserve"> -</v>
      </c>
      <c r="CL113" s="95" t="str">
        <f>IFERROR(SUMIFS('01. KE30'!$R:$R,'01. KE30'!$C:$C,'06. BC BH THEO CUSTOMER-USD'!$D113,'01. KE30'!$F:$F,'06. BC BH THEO CUSTOMER-USD'!$H113,'01. KE30'!$A:$A,'06. BC BH THEO CUSTOMER-USD'!CL$4)/CZ113/'02. Tỷ giá'!I$5," -")</f>
        <v xml:space="preserve"> -</v>
      </c>
      <c r="CM113" s="95">
        <f>IFERROR(SUMIFS('01. KE30'!$R:$R,'01. KE30'!$C:$C,'06. BC BH THEO CUSTOMER-USD'!$D113,'01. KE30'!$F:$F,'06. BC BH THEO CUSTOMER-USD'!$H113,'01. KE30'!$A:$A,'06. BC BH THEO CUSTOMER-USD'!CM$4)/DA113/'02. Tỷ giá'!J$5," -")</f>
        <v>1138.940632996633</v>
      </c>
      <c r="CN113" s="95" t="str">
        <f>IFERROR(SUMIFS('01. KE30'!$R:$R,'01. KE30'!$C:$C,'06. BC BH THEO CUSTOMER-USD'!$D113,'01. KE30'!$F:$F,'06. BC BH THEO CUSTOMER-USD'!$H113,'01. KE30'!$A:$A,'06. BC BH THEO CUSTOMER-USD'!CN$4)/DB113/'02. Tỷ giá'!K$5," -")</f>
        <v xml:space="preserve"> -</v>
      </c>
      <c r="CO113" s="95" t="str">
        <f>IFERROR(SUMIFS('01. KE30'!$R:$R,'01. KE30'!$C:$C,'06. BC BH THEO CUSTOMER-USD'!$D113,'01. KE30'!$F:$F,'06. BC BH THEO CUSTOMER-USD'!$H113,'01. KE30'!$A:$A,'06. BC BH THEO CUSTOMER-USD'!CO$4)/DC113/'02. Tỷ giá'!L$5," -")</f>
        <v xml:space="preserve"> -</v>
      </c>
      <c r="CP113" s="95" t="str">
        <f>IFERROR(SUMIFS('01. KE30'!$R:$R,'01. KE30'!$C:$C,'06. BC BH THEO CUSTOMER-USD'!$D113,'01. KE30'!$F:$F,'06. BC BH THEO CUSTOMER-USD'!$H113,'01. KE30'!$A:$A,'06. BC BH THEO CUSTOMER-USD'!CP$4)/DD113/'02. Tỷ giá'!M$5," -")</f>
        <v xml:space="preserve"> -</v>
      </c>
      <c r="CR113" s="112">
        <f t="shared" si="865"/>
        <v>19.8</v>
      </c>
      <c r="CS113" s="114">
        <f>SUMIFS('01. KE30'!$I:$I,'01. KE30'!$C:$C,'06. BC BH THEO CUSTOMER-USD'!$D113,'01. KE30'!$F:$F,'06. BC BH THEO CUSTOMER-USD'!$H113,'01. KE30'!$A:$A,'06. BC BH THEO CUSTOMER-USD'!CS$4)/1000</f>
        <v>0</v>
      </c>
      <c r="CT113" s="114">
        <f>SUMIFS('01. KE30'!$I:$I,'01. KE30'!$C:$C,'06. BC BH THEO CUSTOMER-USD'!$D113,'01. KE30'!$F:$F,'06. BC BH THEO CUSTOMER-USD'!$H113,'01. KE30'!$A:$A,'06. BC BH THEO CUSTOMER-USD'!CT$4)/1000</f>
        <v>0</v>
      </c>
      <c r="CU113" s="114">
        <f>SUMIFS('01. KE30'!$I:$I,'01. KE30'!$C:$C,'06. BC BH THEO CUSTOMER-USD'!$D113,'01. KE30'!$F:$F,'06. BC BH THEO CUSTOMER-USD'!$H113,'01. KE30'!$A:$A,'06. BC BH THEO CUSTOMER-USD'!CU$4)/1000</f>
        <v>0</v>
      </c>
      <c r="CV113" s="114">
        <f>SUMIFS('01. KE30'!$I:$I,'01. KE30'!$C:$C,'06. BC BH THEO CUSTOMER-USD'!$D113,'01. KE30'!$F:$F,'06. BC BH THEO CUSTOMER-USD'!$H113,'01. KE30'!$A:$A,'06. BC BH THEO CUSTOMER-USD'!CV$4)/1000</f>
        <v>0</v>
      </c>
      <c r="CW113" s="114">
        <f>SUMIFS('01. KE30'!$I:$I,'01. KE30'!$C:$C,'06. BC BH THEO CUSTOMER-USD'!$D113,'01. KE30'!$F:$F,'06. BC BH THEO CUSTOMER-USD'!$H113,'01. KE30'!$A:$A,'06. BC BH THEO CUSTOMER-USD'!CW$4)/1000</f>
        <v>0</v>
      </c>
      <c r="CX113" s="114">
        <f>SUMIFS('01. KE30'!$I:$I,'01. KE30'!$C:$C,'06. BC BH THEO CUSTOMER-USD'!$D113,'01. KE30'!$F:$F,'06. BC BH THEO CUSTOMER-USD'!$H113,'01. KE30'!$A:$A,'06. BC BH THEO CUSTOMER-USD'!CX$4)/1000</f>
        <v>0</v>
      </c>
      <c r="CY113" s="114">
        <f>SUMIFS('01. KE30'!$I:$I,'01. KE30'!$C:$C,'06. BC BH THEO CUSTOMER-USD'!$D113,'01. KE30'!$F:$F,'06. BC BH THEO CUSTOMER-USD'!$H113,'01. KE30'!$A:$A,'06. BC BH THEO CUSTOMER-USD'!CY$4)/1000</f>
        <v>0</v>
      </c>
      <c r="CZ113" s="114">
        <f>SUMIFS('01. KE30'!$I:$I,'01. KE30'!$C:$C,'06. BC BH THEO CUSTOMER-USD'!$D113,'01. KE30'!$F:$F,'06. BC BH THEO CUSTOMER-USD'!$H113,'01. KE30'!$A:$A,'06. BC BH THEO CUSTOMER-USD'!CZ$4)/1000</f>
        <v>0</v>
      </c>
      <c r="DA113" s="114">
        <f>SUMIFS('01. KE30'!$I:$I,'01. KE30'!$C:$C,'06. BC BH THEO CUSTOMER-USD'!$D113,'01. KE30'!$F:$F,'06. BC BH THEO CUSTOMER-USD'!$H113,'01. KE30'!$A:$A,'06. BC BH THEO CUSTOMER-USD'!DA$4)/1000</f>
        <v>19.8</v>
      </c>
      <c r="DB113" s="114">
        <f>SUMIFS('01. KE30'!$I:$I,'01. KE30'!$C:$C,'06. BC BH THEO CUSTOMER-USD'!$D113,'01. KE30'!$F:$F,'06. BC BH THEO CUSTOMER-USD'!$H113,'01. KE30'!$A:$A,'06. BC BH THEO CUSTOMER-USD'!DB$4)/1000</f>
        <v>0</v>
      </c>
      <c r="DC113" s="114">
        <f>SUMIFS('01. KE30'!$I:$I,'01. KE30'!$C:$C,'06. BC BH THEO CUSTOMER-USD'!$D113,'01. KE30'!$F:$F,'06. BC BH THEO CUSTOMER-USD'!$H113,'01. KE30'!$A:$A,'06. BC BH THEO CUSTOMER-USD'!DC$4)/1000</f>
        <v>0</v>
      </c>
      <c r="DD113" s="114">
        <f>SUMIFS('01. KE30'!$I:$I,'01. KE30'!$C:$C,'06. BC BH THEO CUSTOMER-USD'!$D113,'01. KE30'!$F:$F,'06. BC BH THEO CUSTOMER-USD'!$H113,'01. KE30'!$A:$A,'06. BC BH THEO CUSTOMER-USD'!DD$4)/1000</f>
        <v>0</v>
      </c>
      <c r="DF113" s="120">
        <f t="shared" si="866"/>
        <v>14666.666666666668</v>
      </c>
      <c r="DG113" s="54" t="str">
        <f t="shared" si="867"/>
        <v>-</v>
      </c>
      <c r="DH113" s="54" t="str">
        <f t="shared" si="868"/>
        <v>-</v>
      </c>
      <c r="DI113" s="54" t="str">
        <f t="shared" si="869"/>
        <v>-</v>
      </c>
      <c r="DJ113" s="54" t="str">
        <f t="shared" si="870"/>
        <v>-</v>
      </c>
      <c r="DK113" s="54" t="str">
        <f t="shared" si="871"/>
        <v>-</v>
      </c>
      <c r="DL113" s="54" t="str">
        <f t="shared" si="872"/>
        <v>-</v>
      </c>
      <c r="DM113" s="54" t="str">
        <f t="shared" si="873"/>
        <v>-</v>
      </c>
      <c r="DN113" s="54" t="str">
        <f t="shared" si="874"/>
        <v>-</v>
      </c>
      <c r="DO113" s="54">
        <f t="shared" si="875"/>
        <v>14666.666666666668</v>
      </c>
      <c r="DP113" s="54" t="str">
        <f t="shared" si="876"/>
        <v>-</v>
      </c>
      <c r="DQ113" s="54" t="str">
        <f t="shared" si="877"/>
        <v>-</v>
      </c>
      <c r="DR113" s="54" t="str">
        <f t="shared" si="878"/>
        <v>-</v>
      </c>
      <c r="DT113" s="112">
        <f t="shared" si="879"/>
        <v>-8029.1197714285718</v>
      </c>
      <c r="DU113" s="114">
        <f>IFERROR(SUMIFS('01. KE30'!$X:$X,'01. KE30'!$C:$C,'06. BC BH THEO CUSTOMER-USD'!$D113,'01. KE30'!$F:$F,'06. BC BH THEO CUSTOMER-USD'!$H113,'01. KE30'!$A:$A,'06. BC BH THEO CUSTOMER-USD'!DU$4)-SUMIFS('01. KE30'!$AA:$AA,'01. KE30'!$C:$C,'06. BC BH THEO CUSTOMER-USD'!$D113,'01. KE30'!$F:$F,'06. BC BH THEO CUSTOMER-USD'!$H113,'01. KE30'!$A:$A,'06. BC BH THEO CUSTOMER-USD'!DU$4),"-")</f>
        <v>0</v>
      </c>
      <c r="DV113" s="114">
        <f>IFERROR(SUMIFS('01. KE30'!$X:$X,'01. KE30'!$C:$C,'06. BC BH THEO CUSTOMER-USD'!$D113,'01. KE30'!$F:$F,'06. BC BH THEO CUSTOMER-USD'!$H113,'01. KE30'!$A:$A,'06. BC BH THEO CUSTOMER-USD'!DV$4)-SUMIFS('01. KE30'!$AA:$AA,'01. KE30'!$C:$C,'06. BC BH THEO CUSTOMER-USD'!$D113,'01. KE30'!$F:$F,'06. BC BH THEO CUSTOMER-USD'!$H113,'01. KE30'!$A:$A,'06. BC BH THEO CUSTOMER-USD'!DV$4),"-")</f>
        <v>0</v>
      </c>
      <c r="DW113" s="114">
        <f>IFERROR(SUMIFS('01. KE30'!$X:$X,'01. KE30'!$C:$C,'06. BC BH THEO CUSTOMER-USD'!$D113,'01. KE30'!$F:$F,'06. BC BH THEO CUSTOMER-USD'!$H113,'01. KE30'!$A:$A,'06. BC BH THEO CUSTOMER-USD'!DW$4)-SUMIFS('01. KE30'!$AA:$AA,'01. KE30'!$C:$C,'06. BC BH THEO CUSTOMER-USD'!$D113,'01. KE30'!$F:$F,'06. BC BH THEO CUSTOMER-USD'!$H113,'01. KE30'!$A:$A,'06. BC BH THEO CUSTOMER-USD'!DW$4),"-")</f>
        <v>0</v>
      </c>
      <c r="DX113" s="114">
        <f>IFERROR(SUMIFS('01. KE30'!$X:$X,'01. KE30'!$C:$C,'06. BC BH THEO CUSTOMER-USD'!$D113,'01. KE30'!$F:$F,'06. BC BH THEO CUSTOMER-USD'!$H113,'01. KE30'!$A:$A,'06. BC BH THEO CUSTOMER-USD'!DX$4)-SUMIFS('01. KE30'!$AA:$AA,'01. KE30'!$C:$C,'06. BC BH THEO CUSTOMER-USD'!$D113,'01. KE30'!$F:$F,'06. BC BH THEO CUSTOMER-USD'!$H113,'01. KE30'!$A:$A,'06. BC BH THEO CUSTOMER-USD'!DX$4),"-")</f>
        <v>0</v>
      </c>
      <c r="DY113" s="114">
        <f>IFERROR(SUMIFS('01. KE30'!$X:$X,'01. KE30'!$C:$C,'06. BC BH THEO CUSTOMER-USD'!$D113,'01. KE30'!$F:$F,'06. BC BH THEO CUSTOMER-USD'!$H113,'01. KE30'!$A:$A,'06. BC BH THEO CUSTOMER-USD'!DY$4)-SUMIFS('01. KE30'!$AA:$AA,'01. KE30'!$C:$C,'06. BC BH THEO CUSTOMER-USD'!$D113,'01. KE30'!$F:$F,'06. BC BH THEO CUSTOMER-USD'!$H113,'01. KE30'!$A:$A,'06. BC BH THEO CUSTOMER-USD'!DY$4),"-")</f>
        <v>0</v>
      </c>
      <c r="DZ113" s="114">
        <f>IFERROR(SUMIFS('01. KE30'!$X:$X,'01. KE30'!$C:$C,'06. BC BH THEO CUSTOMER-USD'!$D113,'01. KE30'!$F:$F,'06. BC BH THEO CUSTOMER-USD'!$H113,'01. KE30'!$A:$A,'06. BC BH THEO CUSTOMER-USD'!DZ$4)-SUMIFS('01. KE30'!$AA:$AA,'01. KE30'!$C:$C,'06. BC BH THEO CUSTOMER-USD'!$D113,'01. KE30'!$F:$F,'06. BC BH THEO CUSTOMER-USD'!$H113,'01. KE30'!$A:$A,'06. BC BH THEO CUSTOMER-USD'!DZ$4),"-")</f>
        <v>0</v>
      </c>
      <c r="EA113" s="114">
        <f>IFERROR(SUMIFS('01. KE30'!$X:$X,'01. KE30'!$C:$C,'06. BC BH THEO CUSTOMER-USD'!$D113,'01. KE30'!$F:$F,'06. BC BH THEO CUSTOMER-USD'!$H113,'01. KE30'!$A:$A,'06. BC BH THEO CUSTOMER-USD'!EA$4)-SUMIFS('01. KE30'!$AA:$AA,'01. KE30'!$C:$C,'06. BC BH THEO CUSTOMER-USD'!$D113,'01. KE30'!$F:$F,'06. BC BH THEO CUSTOMER-USD'!$H113,'01. KE30'!$A:$A,'06. BC BH THEO CUSTOMER-USD'!EA$4),"-")</f>
        <v>0</v>
      </c>
      <c r="EB113" s="114">
        <f>IFERROR(SUMIFS('01. KE30'!$X:$X,'01. KE30'!$C:$C,'06. BC BH THEO CUSTOMER-USD'!$D113,'01. KE30'!$F:$F,'06. BC BH THEO CUSTOMER-USD'!$H113,'01. KE30'!$A:$A,'06. BC BH THEO CUSTOMER-USD'!EB$4)-SUMIFS('01. KE30'!$AA:$AA,'01. KE30'!$C:$C,'06. BC BH THEO CUSTOMER-USD'!$D113,'01. KE30'!$F:$F,'06. BC BH THEO CUSTOMER-USD'!$H113,'01. KE30'!$A:$A,'06. BC BH THEO CUSTOMER-USD'!EB$4),"-")</f>
        <v>0</v>
      </c>
      <c r="EC113" s="114">
        <f>IFERROR(SUMIFS('01. KE30'!$X:$X,'01. KE30'!$C:$C,'06. BC BH THEO CUSTOMER-USD'!$D113,'01. KE30'!$F:$F,'06. BC BH THEO CUSTOMER-USD'!$H113,'01. KE30'!$A:$A,'06. BC BH THEO CUSTOMER-USD'!EC$4)-SUMIFS('01. KE30'!$AA:$AA,'01. KE30'!$C:$C,'06. BC BH THEO CUSTOMER-USD'!$D113,'01. KE30'!$F:$F,'06. BC BH THEO CUSTOMER-USD'!$H113,'01. KE30'!$A:$A,'06. BC BH THEO CUSTOMER-USD'!EC$4),"-")</f>
        <v>-8029.1197714285718</v>
      </c>
      <c r="ED113" s="114">
        <f>IFERROR(SUMIFS('01. KE30'!$X:$X,'01. KE30'!$C:$C,'06. BC BH THEO CUSTOMER-USD'!$D113,'01. KE30'!$F:$F,'06. BC BH THEO CUSTOMER-USD'!$H113,'01. KE30'!$A:$A,'06. BC BH THEO CUSTOMER-USD'!ED$4)-SUMIFS('01. KE30'!$AA:$AA,'01. KE30'!$C:$C,'06. BC BH THEO CUSTOMER-USD'!$D113,'01. KE30'!$F:$F,'06. BC BH THEO CUSTOMER-USD'!$H113,'01. KE30'!$A:$A,'06. BC BH THEO CUSTOMER-USD'!ED$4),"-")</f>
        <v>0</v>
      </c>
      <c r="EE113" s="114">
        <f>IFERROR(SUMIFS('01. KE30'!$X:$X,'01. KE30'!$C:$C,'06. BC BH THEO CUSTOMER-USD'!$D113,'01. KE30'!$F:$F,'06. BC BH THEO CUSTOMER-USD'!$H113,'01. KE30'!$A:$A,'06. BC BH THEO CUSTOMER-USD'!EE$4)-SUMIFS('01. KE30'!$AA:$AA,'01. KE30'!$C:$C,'06. BC BH THEO CUSTOMER-USD'!$D113,'01. KE30'!$F:$F,'06. BC BH THEO CUSTOMER-USD'!$H113,'01. KE30'!$A:$A,'06. BC BH THEO CUSTOMER-USD'!EE$4),"-")</f>
        <v>0</v>
      </c>
      <c r="EF113" s="114">
        <f>IFERROR(SUMIFS('01. KE30'!$X:$X,'01. KE30'!$C:$C,'06. BC BH THEO CUSTOMER-USD'!$D113,'01. KE30'!$F:$F,'06. BC BH THEO CUSTOMER-USD'!$H113,'01. KE30'!$A:$A,'06. BC BH THEO CUSTOMER-USD'!EF$4)-SUMIFS('01. KE30'!$AA:$AA,'01. KE30'!$C:$C,'06. BC BH THEO CUSTOMER-USD'!$D113,'01. KE30'!$F:$F,'06. BC BH THEO CUSTOMER-USD'!$H113,'01. KE30'!$A:$A,'06. BC BH THEO CUSTOMER-USD'!EF$4),"-")</f>
        <v>0</v>
      </c>
      <c r="EH113" s="571">
        <f t="shared" si="1125"/>
        <v>-0.54743998441558439</v>
      </c>
      <c r="EI113" s="572" t="str">
        <f t="shared" si="1126"/>
        <v>-</v>
      </c>
      <c r="EJ113" s="572" t="str">
        <f t="shared" si="1127"/>
        <v>-</v>
      </c>
      <c r="EK113" s="572" t="str">
        <f t="shared" si="1128"/>
        <v>-</v>
      </c>
      <c r="EL113" s="572" t="str">
        <f t="shared" si="1129"/>
        <v>-</v>
      </c>
      <c r="EM113" s="572" t="str">
        <f t="shared" si="1130"/>
        <v>-</v>
      </c>
      <c r="EN113" s="572" t="str">
        <f t="shared" si="1131"/>
        <v>-</v>
      </c>
      <c r="EO113" s="572" t="str">
        <f t="shared" si="1132"/>
        <v>-</v>
      </c>
      <c r="EP113" s="572" t="str">
        <f t="shared" si="1133"/>
        <v>-</v>
      </c>
      <c r="EQ113" s="572">
        <f t="shared" si="1134"/>
        <v>-0.54743998441558439</v>
      </c>
      <c r="ER113" s="572" t="str">
        <f t="shared" si="1135"/>
        <v>-</v>
      </c>
      <c r="ES113" s="572" t="str">
        <f t="shared" si="1136"/>
        <v>-</v>
      </c>
      <c r="ET113" s="572" t="str">
        <f t="shared" si="1137"/>
        <v>-</v>
      </c>
    </row>
    <row r="114" spans="1:150" ht="15.5" hidden="1" outlineLevel="1" x14ac:dyDescent="0.35">
      <c r="A114" s="27">
        <f>A111+1</f>
        <v>86</v>
      </c>
      <c r="B114" s="27" t="s">
        <v>283</v>
      </c>
      <c r="C114" s="442" t="s">
        <v>489</v>
      </c>
      <c r="D114" s="9" t="s">
        <v>373</v>
      </c>
      <c r="E114" s="12" t="s">
        <v>374</v>
      </c>
      <c r="F114" s="12" t="s">
        <v>245</v>
      </c>
      <c r="G114" s="12" t="str">
        <f>_xlfn.XLOOKUP(F114,'Quy đổi'!$G$5:$G$32,'Quy đổi'!$H$5:$H$32,0)</f>
        <v>Nội địa</v>
      </c>
      <c r="H114" s="76" t="s">
        <v>110</v>
      </c>
      <c r="I114" s="28" t="s">
        <v>109</v>
      </c>
      <c r="J114" s="6" t="s">
        <v>22</v>
      </c>
      <c r="K114" s="11"/>
      <c r="L114" s="92">
        <f t="shared" si="789"/>
        <v>1282.0736705478123</v>
      </c>
      <c r="M114" s="106">
        <f>IFERROR(SUMIFS('01. KE30'!$K:$K,'01. KE30'!$C:$C,'06. BC BH THEO CUSTOMER-USD'!$D114,'01. KE30'!$F:$F,'06. BC BH THEO CUSTOMER-USD'!$H114,'01. KE30'!$A:$A,'06. BC BH THEO CUSTOMER-USD'!M$4)/'06. BC BH THEO CUSTOMER-USD'!CS114/'02. Tỷ giá'!B$5,"-")</f>
        <v>1297.5226816539541</v>
      </c>
      <c r="N114" s="106" t="str">
        <f>IFERROR(SUMIFS('01. KE30'!$K:$K,'01. KE30'!$C:$C,'06. BC BH THEO CUSTOMER-USD'!$D114,'01. KE30'!$F:$F,'06. BC BH THEO CUSTOMER-USD'!$H114,'01. KE30'!$A:$A,'06. BC BH THEO CUSTOMER-USD'!N$4)/'06. BC BH THEO CUSTOMER-USD'!CT114/'02. Tỷ giá'!C$5,"-")</f>
        <v>-</v>
      </c>
      <c r="O114" s="106">
        <f>IFERROR(SUMIFS('01. KE30'!$K:$K,'01. KE30'!$C:$C,'06. BC BH THEO CUSTOMER-USD'!$D114,'01. KE30'!$F:$F,'06. BC BH THEO CUSTOMER-USD'!$H114,'01. KE30'!$A:$A,'06. BC BH THEO CUSTOMER-USD'!O$4)/'06. BC BH THEO CUSTOMER-USD'!CU114/'02. Tỷ giá'!D$5,"-")</f>
        <v>1278.1417322834645</v>
      </c>
      <c r="P114" s="106" t="str">
        <f>IFERROR(SUMIFS('01. KE30'!$K:$K,'01. KE30'!$C:$C,'06. BC BH THEO CUSTOMER-USD'!$D114,'01. KE30'!$F:$F,'06. BC BH THEO CUSTOMER-USD'!$H114,'01. KE30'!$A:$A,'06. BC BH THEO CUSTOMER-USD'!P$4)/'06. BC BH THEO CUSTOMER-USD'!CV114/'02. Tỷ giá'!E$5,"-")</f>
        <v>-</v>
      </c>
      <c r="Q114" s="106" t="str">
        <f>IFERROR(SUMIFS('01. KE30'!$K:$K,'01. KE30'!$C:$C,'06. BC BH THEO CUSTOMER-USD'!$D114,'01. KE30'!$F:$F,'06. BC BH THEO CUSTOMER-USD'!$H114,'01. KE30'!$A:$A,'06. BC BH THEO CUSTOMER-USD'!Q$4)/'06. BC BH THEO CUSTOMER-USD'!CW114/'02. Tỷ giá'!F$5,"-")</f>
        <v>-</v>
      </c>
      <c r="R114" s="106">
        <f>IFERROR(SUMIFS('01. KE30'!$K:$K,'01. KE30'!$C:$C,'06. BC BH THEO CUSTOMER-USD'!$D114,'01. KE30'!$F:$F,'06. BC BH THEO CUSTOMER-USD'!$H114,'01. KE30'!$A:$A,'06. BC BH THEO CUSTOMER-USD'!R$4)/'06. BC BH THEO CUSTOMER-USD'!CX114/'02. Tỷ giá'!G$5,"-")</f>
        <v>1275.648148148148</v>
      </c>
      <c r="S114" s="106">
        <f>IFERROR(SUMIFS('01. KE30'!$K:$K,'01. KE30'!$C:$C,'06. BC BH THEO CUSTOMER-USD'!$D114,'01. KE30'!$F:$F,'06. BC BH THEO CUSTOMER-USD'!$H114,'01. KE30'!$A:$A,'06. BC BH THEO CUSTOMER-USD'!S$4)/'06. BC BH THEO CUSTOMER-USD'!CY114/'02. Tỷ giá'!H$5,"-")</f>
        <v>1283.2039953899348</v>
      </c>
      <c r="T114" s="106">
        <f>IFERROR(SUMIFS('01. KE30'!$K:$K,'01. KE30'!$C:$C,'06. BC BH THEO CUSTOMER-USD'!$D114,'01. KE30'!$F:$F,'06. BC BH THEO CUSTOMER-USD'!$H114,'01. KE30'!$A:$A,'06. BC BH THEO CUSTOMER-USD'!T$4)/'06. BC BH THEO CUSTOMER-USD'!CZ114/'02. Tỷ giá'!I$5,"-")</f>
        <v>1275.85179526356</v>
      </c>
      <c r="U114" s="106" t="str">
        <f>IFERROR(SUMIFS('01. KE30'!$K:$K,'01. KE30'!$C:$C,'06. BC BH THEO CUSTOMER-USD'!$D114,'01. KE30'!$F:$F,'06. BC BH THEO CUSTOMER-USD'!$H114,'01. KE30'!$A:$A,'06. BC BH THEO CUSTOMER-USD'!U$4)/'06. BC BH THEO CUSTOMER-USD'!DA114/'02. Tỷ giá'!J$5,"-")</f>
        <v>-</v>
      </c>
      <c r="V114" s="106" t="str">
        <f>IFERROR(SUMIFS('01. KE30'!$K:$K,'01. KE30'!$C:$C,'06. BC BH THEO CUSTOMER-USD'!$D114,'01. KE30'!$F:$F,'06. BC BH THEO CUSTOMER-USD'!$H114,'01. KE30'!$A:$A,'06. BC BH THEO CUSTOMER-USD'!V$4)/'06. BC BH THEO CUSTOMER-USD'!DB114/'02. Tỷ giá'!K$5,"-")</f>
        <v>-</v>
      </c>
      <c r="W114" s="106" t="str">
        <f>IFERROR(SUMIFS('01. KE30'!$K:$K,'01. KE30'!$C:$C,'06. BC BH THEO CUSTOMER-USD'!$D114,'01. KE30'!$F:$F,'06. BC BH THEO CUSTOMER-USD'!$H114,'01. KE30'!$A:$A,'06. BC BH THEO CUSTOMER-USD'!W$4)/'06. BC BH THEO CUSTOMER-USD'!DC114/'02. Tỷ giá'!L$5,"-")</f>
        <v>-</v>
      </c>
      <c r="X114" s="106" t="str">
        <f>IFERROR(SUMIFS('01. KE30'!$K:$K,'01. KE30'!$C:$C,'06. BC BH THEO CUSTOMER-USD'!$D114,'01. KE30'!$F:$F,'06. BC BH THEO CUSTOMER-USD'!$H114,'01. KE30'!$A:$A,'06. BC BH THEO CUSTOMER-USD'!X$4)/'06. BC BH THEO CUSTOMER-USD'!DD114/'02. Tỷ giá'!M$5,"-")</f>
        <v>-</v>
      </c>
      <c r="Z114" s="92">
        <f t="shared" si="790"/>
        <v>1282.0736705478123</v>
      </c>
      <c r="AA114" s="147">
        <f>IFERROR(SUMIFS('01. KE30'!$O:$O,'01. KE30'!$C:$C,'06. BC BH THEO CUSTOMER-USD'!$D114,'01. KE30'!$F:$F,'06. BC BH THEO CUSTOMER-USD'!$H114,'01. KE30'!$A:$A,'06. BC BH THEO CUSTOMER-USD'!M$4)/'06. BC BH THEO CUSTOMER-USD'!CS114/'02. Tỷ giá'!B$5,"-")</f>
        <v>1297.5226816539541</v>
      </c>
      <c r="AB114" s="147" t="str">
        <f>IFERROR(SUMIFS('01. KE30'!$O:$O,'01. KE30'!$C:$C,'06. BC BH THEO CUSTOMER-USD'!$D114,'01. KE30'!$F:$F,'06. BC BH THEO CUSTOMER-USD'!$H114,'01. KE30'!$A:$A,'06. BC BH THEO CUSTOMER-USD'!N$4)/'06. BC BH THEO CUSTOMER-USD'!CT114/'02. Tỷ giá'!C$5,"-")</f>
        <v>-</v>
      </c>
      <c r="AC114" s="147">
        <f>IFERROR(SUMIFS('01. KE30'!$O:$O,'01. KE30'!$C:$C,'06. BC BH THEO CUSTOMER-USD'!$D114,'01. KE30'!$F:$F,'06. BC BH THEO CUSTOMER-USD'!$H114,'01. KE30'!$A:$A,'06. BC BH THEO CUSTOMER-USD'!O$4)/'06. BC BH THEO CUSTOMER-USD'!CU114/'02. Tỷ giá'!D$5,"-")</f>
        <v>1278.1417322834645</v>
      </c>
      <c r="AD114" s="147" t="str">
        <f>IFERROR(SUMIFS('01. KE30'!$O:$O,'01. KE30'!$C:$C,'06. BC BH THEO CUSTOMER-USD'!$D114,'01. KE30'!$F:$F,'06. BC BH THEO CUSTOMER-USD'!$H114,'01. KE30'!$A:$A,'06. BC BH THEO CUSTOMER-USD'!P$4)/'06. BC BH THEO CUSTOMER-USD'!CV114/'02. Tỷ giá'!E$5,"-")</f>
        <v>-</v>
      </c>
      <c r="AE114" s="147" t="str">
        <f>IFERROR(SUMIFS('01. KE30'!$O:$O,'01. KE30'!$C:$C,'06. BC BH THEO CUSTOMER-USD'!$D114,'01. KE30'!$F:$F,'06. BC BH THEO CUSTOMER-USD'!$H114,'01. KE30'!$A:$A,'06. BC BH THEO CUSTOMER-USD'!Q$4)/'06. BC BH THEO CUSTOMER-USD'!CW114/'02. Tỷ giá'!F$5,"-")</f>
        <v>-</v>
      </c>
      <c r="AF114" s="147">
        <f>IFERROR(SUMIFS('01. KE30'!$O:$O,'01. KE30'!$C:$C,'06. BC BH THEO CUSTOMER-USD'!$D114,'01. KE30'!$F:$F,'06. BC BH THEO CUSTOMER-USD'!$H114,'01. KE30'!$A:$A,'06. BC BH THEO CUSTOMER-USD'!R$4)/'06. BC BH THEO CUSTOMER-USD'!CX114/'02. Tỷ giá'!G$5,"-")</f>
        <v>1275.648148148148</v>
      </c>
      <c r="AG114" s="147">
        <f>IFERROR(SUMIFS('01. KE30'!$O:$O,'01. KE30'!$C:$C,'06. BC BH THEO CUSTOMER-USD'!$D114,'01. KE30'!$F:$F,'06. BC BH THEO CUSTOMER-USD'!$H114,'01. KE30'!$A:$A,'06. BC BH THEO CUSTOMER-USD'!S$4)/'06. BC BH THEO CUSTOMER-USD'!CY114/'02. Tỷ giá'!H$5,"-")</f>
        <v>1283.2039953899348</v>
      </c>
      <c r="AH114" s="147">
        <f>IFERROR(SUMIFS('01. KE30'!$O:$O,'01. KE30'!$C:$C,'06. BC BH THEO CUSTOMER-USD'!$D114,'01. KE30'!$F:$F,'06. BC BH THEO CUSTOMER-USD'!$H114,'01. KE30'!$A:$A,'06. BC BH THEO CUSTOMER-USD'!T$4)/'06. BC BH THEO CUSTOMER-USD'!CZ114/'02. Tỷ giá'!I$5,"-")</f>
        <v>1275.85179526356</v>
      </c>
      <c r="AI114" s="147" t="str">
        <f>IFERROR(SUMIFS('01. KE30'!$O:$O,'01. KE30'!$C:$C,'06. BC BH THEO CUSTOMER-USD'!$D114,'01. KE30'!$F:$F,'06. BC BH THEO CUSTOMER-USD'!$H114,'01. KE30'!$A:$A,'06. BC BH THEO CUSTOMER-USD'!U$4)/'06. BC BH THEO CUSTOMER-USD'!DA114/'02. Tỷ giá'!J$5,"-")</f>
        <v>-</v>
      </c>
      <c r="AJ114" s="147" t="str">
        <f>IFERROR(SUMIFS('01. KE30'!$O:$O,'01. KE30'!$C:$C,'06. BC BH THEO CUSTOMER-USD'!$D114,'01. KE30'!$F:$F,'06. BC BH THEO CUSTOMER-USD'!$H114,'01. KE30'!$A:$A,'06. BC BH THEO CUSTOMER-USD'!V$4)/'06. BC BH THEO CUSTOMER-USD'!DB114/'02. Tỷ giá'!K$5,"-")</f>
        <v>-</v>
      </c>
      <c r="AK114" s="147" t="str">
        <f>IFERROR(SUMIFS('01. KE30'!$O:$O,'01. KE30'!$C:$C,'06. BC BH THEO CUSTOMER-USD'!$D114,'01. KE30'!$F:$F,'06. BC BH THEO CUSTOMER-USD'!$H114,'01. KE30'!$A:$A,'06. BC BH THEO CUSTOMER-USD'!W$4)/'06. BC BH THEO CUSTOMER-USD'!DC114/'02. Tỷ giá'!L$5,"-")</f>
        <v>-</v>
      </c>
      <c r="AL114" s="147" t="str">
        <f>IFERROR(SUMIFS('01. KE30'!$O:$O,'01. KE30'!$C:$C,'06. BC BH THEO CUSTOMER-USD'!$D114,'01. KE30'!$F:$F,'06. BC BH THEO CUSTOMER-USD'!$H114,'01. KE30'!$A:$A,'06. BC BH THEO CUSTOMER-USD'!X$4)/'06. BC BH THEO CUSTOMER-USD'!DD114/'02. Tỷ giá'!M$5,"-")</f>
        <v>-</v>
      </c>
      <c r="AN114" s="92">
        <f t="shared" si="791"/>
        <v>1236.6666666666667</v>
      </c>
      <c r="AO114" s="25">
        <v>1230</v>
      </c>
      <c r="AP114" s="25">
        <v>1230</v>
      </c>
      <c r="AQ114" s="25">
        <v>1230</v>
      </c>
      <c r="AR114" s="25">
        <f t="shared" si="888"/>
        <v>1250</v>
      </c>
      <c r="AS114" s="25">
        <v>1250</v>
      </c>
      <c r="AT114" s="25">
        <v>1250</v>
      </c>
      <c r="AU114" s="25">
        <v>1250</v>
      </c>
      <c r="AV114" s="4">
        <f t="shared" si="1063"/>
        <v>1220</v>
      </c>
      <c r="AW114" s="25">
        <v>1220</v>
      </c>
      <c r="AX114" s="25"/>
      <c r="AY114" s="4"/>
      <c r="AZ114" s="4"/>
      <c r="BB114" s="95">
        <f t="shared" si="792"/>
        <v>45.407003881145556</v>
      </c>
      <c r="BC114" s="95">
        <f t="shared" si="793"/>
        <v>67.522681653954123</v>
      </c>
      <c r="BD114" s="95" t="str">
        <f t="shared" si="794"/>
        <v>-</v>
      </c>
      <c r="BE114" s="95">
        <f t="shared" si="795"/>
        <v>48.141732283464535</v>
      </c>
      <c r="BF114" s="95" t="str">
        <f t="shared" si="796"/>
        <v>-</v>
      </c>
      <c r="BG114" s="95" t="str">
        <f t="shared" si="797"/>
        <v>-</v>
      </c>
      <c r="BH114" s="95">
        <f t="shared" si="798"/>
        <v>25.648148148148039</v>
      </c>
      <c r="BI114" s="95">
        <f t="shared" si="799"/>
        <v>33.203995389934789</v>
      </c>
      <c r="BJ114" s="95">
        <f t="shared" si="800"/>
        <v>55.851795263560007</v>
      </c>
      <c r="BK114" s="95" t="str">
        <f t="shared" si="801"/>
        <v>-</v>
      </c>
      <c r="BL114" s="95" t="str">
        <f t="shared" si="802"/>
        <v>-</v>
      </c>
      <c r="BM114" s="95" t="str">
        <f t="shared" si="803"/>
        <v>-</v>
      </c>
      <c r="BN114" s="95" t="str">
        <f t="shared" si="804"/>
        <v>-</v>
      </c>
      <c r="BP114" s="143">
        <f t="shared" si="805"/>
        <v>3.671725381224708E-2</v>
      </c>
      <c r="BQ114" s="143">
        <f t="shared" si="806"/>
        <v>5.48964891495562E-2</v>
      </c>
      <c r="BR114" s="143" t="str">
        <f t="shared" si="807"/>
        <v>-</v>
      </c>
      <c r="BS114" s="143">
        <f t="shared" si="808"/>
        <v>3.9139619742654091E-2</v>
      </c>
      <c r="BT114" s="143" t="str">
        <f t="shared" si="809"/>
        <v>-</v>
      </c>
      <c r="BU114" s="143" t="str">
        <f t="shared" si="810"/>
        <v>-</v>
      </c>
      <c r="BV114" s="143">
        <f t="shared" si="811"/>
        <v>2.0518518518518433E-2</v>
      </c>
      <c r="BW114" s="143">
        <f t="shared" si="812"/>
        <v>2.6563196311947833E-2</v>
      </c>
      <c r="BX114" s="143">
        <f t="shared" si="813"/>
        <v>4.5780160052098368E-2</v>
      </c>
      <c r="BY114" s="143" t="str">
        <f t="shared" si="814"/>
        <v>-</v>
      </c>
      <c r="BZ114" s="143" t="str">
        <f t="shared" si="815"/>
        <v>-</v>
      </c>
      <c r="CA114" s="143" t="str">
        <f t="shared" si="816"/>
        <v>-</v>
      </c>
      <c r="CB114" s="143" t="str">
        <f t="shared" si="817"/>
        <v>-</v>
      </c>
      <c r="CD114" s="112">
        <f t="shared" si="529"/>
        <v>1058.9562321762028</v>
      </c>
      <c r="CE114" s="95">
        <f>IFERROR(SUMIFS('01. KE30'!$R:$R,'01. KE30'!$C:$C,'06. BC BH THEO CUSTOMER-USD'!$D114,'01. KE30'!$F:$F,'06. BC BH THEO CUSTOMER-USD'!$H114,'01. KE30'!$A:$A,'06. BC BH THEO CUSTOMER-USD'!CE$4)/CS114/'02. Tỷ giá'!B$5," -")</f>
        <v>1026.9498266486626</v>
      </c>
      <c r="CF114" s="95" t="str">
        <f>IFERROR(SUMIFS('01. KE30'!$R:$R,'01. KE30'!$C:$C,'06. BC BH THEO CUSTOMER-USD'!$D114,'01. KE30'!$F:$F,'06. BC BH THEO CUSTOMER-USD'!$H114,'01. KE30'!$A:$A,'06. BC BH THEO CUSTOMER-USD'!CF$4)/CT114/'02. Tỷ giá'!C$5," -")</f>
        <v xml:space="preserve"> -</v>
      </c>
      <c r="CG114" s="95">
        <f>IFERROR(SUMIFS('01. KE30'!$R:$R,'01. KE30'!$C:$C,'06. BC BH THEO CUSTOMER-USD'!$D114,'01. KE30'!$F:$F,'06. BC BH THEO CUSTOMER-USD'!$H114,'01. KE30'!$A:$A,'06. BC BH THEO CUSTOMER-USD'!CG$4)/CU114/'02. Tỷ giá'!D$5," -")</f>
        <v>1032.9728990694346</v>
      </c>
      <c r="CH114" s="95" t="str">
        <f>IFERROR(SUMIFS('01. KE30'!$R:$R,'01. KE30'!$C:$C,'06. BC BH THEO CUSTOMER-USD'!$D114,'01. KE30'!$F:$F,'06. BC BH THEO CUSTOMER-USD'!$H114,'01. KE30'!$A:$A,'06. BC BH THEO CUSTOMER-USD'!CH$4)/CV114/'02. Tỷ giá'!E$5," -")</f>
        <v xml:space="preserve"> -</v>
      </c>
      <c r="CI114" s="95" t="str">
        <f>IFERROR(SUMIFS('01. KE30'!$R:$R,'01. KE30'!$C:$C,'06. BC BH THEO CUSTOMER-USD'!$D114,'01. KE30'!$F:$F,'06. BC BH THEO CUSTOMER-USD'!$H114,'01. KE30'!$A:$A,'06. BC BH THEO CUSTOMER-USD'!CI$4)/CW114/'02. Tỷ giá'!F$5," -")</f>
        <v xml:space="preserve"> -</v>
      </c>
      <c r="CJ114" s="95">
        <f>IFERROR(SUMIFS('01. KE30'!$R:$R,'01. KE30'!$C:$C,'06. BC BH THEO CUSTOMER-USD'!$D114,'01. KE30'!$F:$F,'06. BC BH THEO CUSTOMER-USD'!$H114,'01. KE30'!$A:$A,'06. BC BH THEO CUSTOMER-USD'!CJ$4)/CX114/'02. Tỷ giá'!G$5," -")</f>
        <v>1078.8699249438832</v>
      </c>
      <c r="CK114" s="95">
        <f>IFERROR(SUMIFS('01. KE30'!$R:$R,'01. KE30'!$C:$C,'06. BC BH THEO CUSTOMER-USD'!$D114,'01. KE30'!$F:$F,'06. BC BH THEO CUSTOMER-USD'!$H114,'01. KE30'!$A:$A,'06. BC BH THEO CUSTOMER-USD'!CK$4)/CY114/'02. Tỷ giá'!H$5," -")</f>
        <v>1095.1091956833025</v>
      </c>
      <c r="CL114" s="95">
        <f>IFERROR(SUMIFS('01. KE30'!$R:$R,'01. KE30'!$C:$C,'06. BC BH THEO CUSTOMER-USD'!$D114,'01. KE30'!$F:$F,'06. BC BH THEO CUSTOMER-USD'!$H114,'01. KE30'!$A:$A,'06. BC BH THEO CUSTOMER-USD'!CL$4)/CZ114/'02. Tỷ giá'!I$5," -")</f>
        <v>1060.8793145357315</v>
      </c>
      <c r="CM114" s="95" t="str">
        <f>IFERROR(SUMIFS('01. KE30'!$R:$R,'01. KE30'!$C:$C,'06. BC BH THEO CUSTOMER-USD'!$D114,'01. KE30'!$F:$F,'06. BC BH THEO CUSTOMER-USD'!$H114,'01. KE30'!$A:$A,'06. BC BH THEO CUSTOMER-USD'!CM$4)/DA114/'02. Tỷ giá'!J$5," -")</f>
        <v xml:space="preserve"> -</v>
      </c>
      <c r="CN114" s="95" t="str">
        <f>IFERROR(SUMIFS('01. KE30'!$R:$R,'01. KE30'!$C:$C,'06. BC BH THEO CUSTOMER-USD'!$D114,'01. KE30'!$F:$F,'06. BC BH THEO CUSTOMER-USD'!$H114,'01. KE30'!$A:$A,'06. BC BH THEO CUSTOMER-USD'!CN$4)/DB114/'02. Tỷ giá'!K$5," -")</f>
        <v xml:space="preserve"> -</v>
      </c>
      <c r="CO114" s="95" t="str">
        <f>IFERROR(SUMIFS('01. KE30'!$R:$R,'01. KE30'!$C:$C,'06. BC BH THEO CUSTOMER-USD'!$D114,'01. KE30'!$F:$F,'06. BC BH THEO CUSTOMER-USD'!$H114,'01. KE30'!$A:$A,'06. BC BH THEO CUSTOMER-USD'!CO$4)/DC114/'02. Tỷ giá'!L$5," -")</f>
        <v xml:space="preserve"> -</v>
      </c>
      <c r="CP114" s="95" t="str">
        <f>IFERROR(SUMIFS('01. KE30'!$R:$R,'01. KE30'!$C:$C,'06. BC BH THEO CUSTOMER-USD'!$D114,'01. KE30'!$F:$F,'06. BC BH THEO CUSTOMER-USD'!$H114,'01. KE30'!$A:$A,'06. BC BH THEO CUSTOMER-USD'!CP$4)/DD114/'02. Tỷ giá'!M$5," -")</f>
        <v xml:space="preserve"> -</v>
      </c>
      <c r="CR114" s="112">
        <f t="shared" si="818"/>
        <v>88</v>
      </c>
      <c r="CS114" s="114">
        <f>SUMIFS('01. KE30'!$I:$I,'01. KE30'!$C:$C,'06. BC BH THEO CUSTOMER-USD'!$D114,'01. KE30'!$F:$F,'06. BC BH THEO CUSTOMER-USD'!$H114,'01. KE30'!$A:$A,'06. BC BH THEO CUSTOMER-USD'!CS$4)/1000</f>
        <v>22</v>
      </c>
      <c r="CT114" s="114">
        <f>SUMIFS('01. KE30'!$I:$I,'01. KE30'!$C:$C,'06. BC BH THEO CUSTOMER-USD'!$D114,'01. KE30'!$F:$F,'06. BC BH THEO CUSTOMER-USD'!$H114,'01. KE30'!$A:$A,'06. BC BH THEO CUSTOMER-USD'!CT$4)/1000</f>
        <v>0</v>
      </c>
      <c r="CU114" s="114">
        <f>SUMIFS('01. KE30'!$I:$I,'01. KE30'!$C:$C,'06. BC BH THEO CUSTOMER-USD'!$D114,'01. KE30'!$F:$F,'06. BC BH THEO CUSTOMER-USD'!$H114,'01. KE30'!$A:$A,'06. BC BH THEO CUSTOMER-USD'!CU$4)/1000</f>
        <v>22</v>
      </c>
      <c r="CV114" s="114">
        <f>SUMIFS('01. KE30'!$I:$I,'01. KE30'!$C:$C,'06. BC BH THEO CUSTOMER-USD'!$D114,'01. KE30'!$F:$F,'06. BC BH THEO CUSTOMER-USD'!$H114,'01. KE30'!$A:$A,'06. BC BH THEO CUSTOMER-USD'!CV$4)/1000</f>
        <v>0</v>
      </c>
      <c r="CW114" s="114">
        <f>SUMIFS('01. KE30'!$I:$I,'01. KE30'!$C:$C,'06. BC BH THEO CUSTOMER-USD'!$D114,'01. KE30'!$F:$F,'06. BC BH THEO CUSTOMER-USD'!$H114,'01. KE30'!$A:$A,'06. BC BH THEO CUSTOMER-USD'!CW$4)/1000</f>
        <v>0</v>
      </c>
      <c r="CX114" s="114">
        <f>SUMIFS('01. KE30'!$I:$I,'01. KE30'!$C:$C,'06. BC BH THEO CUSTOMER-USD'!$D114,'01. KE30'!$F:$F,'06. BC BH THEO CUSTOMER-USD'!$H114,'01. KE30'!$A:$A,'06. BC BH THEO CUSTOMER-USD'!CX$4)/1000</f>
        <v>22</v>
      </c>
      <c r="CY114" s="114">
        <f>SUMIFS('01. KE30'!$I:$I,'01. KE30'!$C:$C,'06. BC BH THEO CUSTOMER-USD'!$D114,'01. KE30'!$F:$F,'06. BC BH THEO CUSTOMER-USD'!$H114,'01. KE30'!$A:$A,'06. BC BH THEO CUSTOMER-USD'!CY$4)/1000</f>
        <v>11</v>
      </c>
      <c r="CZ114" s="114">
        <f>SUMIFS('01. KE30'!$I:$I,'01. KE30'!$C:$C,'06. BC BH THEO CUSTOMER-USD'!$D114,'01. KE30'!$F:$F,'06. BC BH THEO CUSTOMER-USD'!$H114,'01. KE30'!$A:$A,'06. BC BH THEO CUSTOMER-USD'!CZ$4)/1000</f>
        <v>11</v>
      </c>
      <c r="DA114" s="114">
        <f>SUMIFS('01. KE30'!$I:$I,'01. KE30'!$C:$C,'06. BC BH THEO CUSTOMER-USD'!$D114,'01. KE30'!$F:$F,'06. BC BH THEO CUSTOMER-USD'!$H114,'01. KE30'!$A:$A,'06. BC BH THEO CUSTOMER-USD'!DA$4)/1000</f>
        <v>0</v>
      </c>
      <c r="DB114" s="114">
        <f>SUMIFS('01. KE30'!$I:$I,'01. KE30'!$C:$C,'06. BC BH THEO CUSTOMER-USD'!$D114,'01. KE30'!$F:$F,'06. BC BH THEO CUSTOMER-USD'!$H114,'01. KE30'!$A:$A,'06. BC BH THEO CUSTOMER-USD'!DB$4)/1000</f>
        <v>0</v>
      </c>
      <c r="DC114" s="114">
        <f>SUMIFS('01. KE30'!$I:$I,'01. KE30'!$C:$C,'06. BC BH THEO CUSTOMER-USD'!$D114,'01. KE30'!$F:$F,'06. BC BH THEO CUSTOMER-USD'!$H114,'01. KE30'!$A:$A,'06. BC BH THEO CUSTOMER-USD'!DC$4)/1000</f>
        <v>0</v>
      </c>
      <c r="DD114" s="114">
        <f>SUMIFS('01. KE30'!$I:$I,'01. KE30'!$C:$C,'06. BC BH THEO CUSTOMER-USD'!$D114,'01. KE30'!$F:$F,'06. BC BH THEO CUSTOMER-USD'!$H114,'01. KE30'!$A:$A,'06. BC BH THEO CUSTOMER-USD'!DD$4)/1000</f>
        <v>0</v>
      </c>
      <c r="DF114" s="120">
        <f t="shared" si="819"/>
        <v>112878.4900630709</v>
      </c>
      <c r="DG114" s="54">
        <f t="shared" si="820"/>
        <v>28545.498996386992</v>
      </c>
      <c r="DH114" s="54" t="str">
        <f t="shared" si="821"/>
        <v>-</v>
      </c>
      <c r="DI114" s="54">
        <f t="shared" si="822"/>
        <v>28119.118110236221</v>
      </c>
      <c r="DJ114" s="54" t="str">
        <f t="shared" si="823"/>
        <v>-</v>
      </c>
      <c r="DK114" s="54" t="str">
        <f t="shared" si="824"/>
        <v>-</v>
      </c>
      <c r="DL114" s="54">
        <f t="shared" si="825"/>
        <v>28064.259259259255</v>
      </c>
      <c r="DM114" s="54">
        <f t="shared" si="826"/>
        <v>14115.243949289283</v>
      </c>
      <c r="DN114" s="54">
        <f t="shared" si="827"/>
        <v>14034.36974789916</v>
      </c>
      <c r="DO114" s="54" t="str">
        <f t="shared" si="828"/>
        <v>-</v>
      </c>
      <c r="DP114" s="54" t="str">
        <f t="shared" si="829"/>
        <v>-</v>
      </c>
      <c r="DQ114" s="54" t="str">
        <f t="shared" si="830"/>
        <v>-</v>
      </c>
      <c r="DR114" s="54" t="str">
        <f t="shared" si="831"/>
        <v>-</v>
      </c>
      <c r="DT114" s="112">
        <f t="shared" si="832"/>
        <v>20109.178136097977</v>
      </c>
      <c r="DU114" s="114">
        <f>IFERROR(SUMIFS('01. KE30'!$X:$X,'01. KE30'!$C:$C,'06. BC BH THEO CUSTOMER-USD'!$D114,'01. KE30'!$F:$F,'06. BC BH THEO CUSTOMER-USD'!$H114,'01. KE30'!$A:$A,'06. BC BH THEO CUSTOMER-USD'!DU$4)-SUMIFS('01. KE30'!$AA:$AA,'01. KE30'!$C:$C,'06. BC BH THEO CUSTOMER-USD'!$D114,'01. KE30'!$F:$F,'06. BC BH THEO CUSTOMER-USD'!$H114,'01. KE30'!$A:$A,'06. BC BH THEO CUSTOMER-USD'!DU$4),"-")</f>
        <v>5952.6028101164193</v>
      </c>
      <c r="DV114" s="114">
        <f>IFERROR(SUMIFS('01. KE30'!$X:$X,'01. KE30'!$C:$C,'06. BC BH THEO CUSTOMER-USD'!$D114,'01. KE30'!$F:$F,'06. BC BH THEO CUSTOMER-USD'!$H114,'01. KE30'!$A:$A,'06. BC BH THEO CUSTOMER-USD'!DV$4)-SUMIFS('01. KE30'!$AA:$AA,'01. KE30'!$C:$C,'06. BC BH THEO CUSTOMER-USD'!$D114,'01. KE30'!$F:$F,'06. BC BH THEO CUSTOMER-USD'!$H114,'01. KE30'!$A:$A,'06. BC BH THEO CUSTOMER-USD'!DV$4),"-")</f>
        <v>0</v>
      </c>
      <c r="DW114" s="114">
        <f>IFERROR(SUMIFS('01. KE30'!$X:$X,'01. KE30'!$C:$C,'06. BC BH THEO CUSTOMER-USD'!$D114,'01. KE30'!$F:$F,'06. BC BH THEO CUSTOMER-USD'!$H114,'01. KE30'!$A:$A,'06. BC BH THEO CUSTOMER-USD'!DW$4)-SUMIFS('01. KE30'!$AA:$AA,'01. KE30'!$C:$C,'06. BC BH THEO CUSTOMER-USD'!$D114,'01. KE30'!$F:$F,'06. BC BH THEO CUSTOMER-USD'!$H114,'01. KE30'!$A:$A,'06. BC BH THEO CUSTOMER-USD'!DW$4),"-")</f>
        <v>5393.7143307086626</v>
      </c>
      <c r="DX114" s="114">
        <f>IFERROR(SUMIFS('01. KE30'!$X:$X,'01. KE30'!$C:$C,'06. BC BH THEO CUSTOMER-USD'!$D114,'01. KE30'!$F:$F,'06. BC BH THEO CUSTOMER-USD'!$H114,'01. KE30'!$A:$A,'06. BC BH THEO CUSTOMER-USD'!DX$4)-SUMIFS('01. KE30'!$AA:$AA,'01. KE30'!$C:$C,'06. BC BH THEO CUSTOMER-USD'!$D114,'01. KE30'!$F:$F,'06. BC BH THEO CUSTOMER-USD'!$H114,'01. KE30'!$A:$A,'06. BC BH THEO CUSTOMER-USD'!DX$4),"-")</f>
        <v>0</v>
      </c>
      <c r="DY114" s="114">
        <f>IFERROR(SUMIFS('01. KE30'!$X:$X,'01. KE30'!$C:$C,'06. BC BH THEO CUSTOMER-USD'!$D114,'01. KE30'!$F:$F,'06. BC BH THEO CUSTOMER-USD'!$H114,'01. KE30'!$A:$A,'06. BC BH THEO CUSTOMER-USD'!DY$4)-SUMIFS('01. KE30'!$AA:$AA,'01. KE30'!$C:$C,'06. BC BH THEO CUSTOMER-USD'!$D114,'01. KE30'!$F:$F,'06. BC BH THEO CUSTOMER-USD'!$H114,'01. KE30'!$A:$A,'06. BC BH THEO CUSTOMER-USD'!DY$4),"-")</f>
        <v>0</v>
      </c>
      <c r="DZ114" s="114">
        <f>IFERROR(SUMIFS('01. KE30'!$X:$X,'01. KE30'!$C:$C,'06. BC BH THEO CUSTOMER-USD'!$D114,'01. KE30'!$F:$F,'06. BC BH THEO CUSTOMER-USD'!$H114,'01. KE30'!$A:$A,'06. BC BH THEO CUSTOMER-USD'!DZ$4)-SUMIFS('01. KE30'!$AA:$AA,'01. KE30'!$C:$C,'06. BC BH THEO CUSTOMER-USD'!$D114,'01. KE30'!$F:$F,'06. BC BH THEO CUSTOMER-USD'!$H114,'01. KE30'!$A:$A,'06. BC BH THEO CUSTOMER-USD'!DZ$4),"-")</f>
        <v>4329.120910493828</v>
      </c>
      <c r="EA114" s="114">
        <f>IFERROR(SUMIFS('01. KE30'!$X:$X,'01. KE30'!$C:$C,'06. BC BH THEO CUSTOMER-USD'!$D114,'01. KE30'!$F:$F,'06. BC BH THEO CUSTOMER-USD'!$H114,'01. KE30'!$A:$A,'06. BC BH THEO CUSTOMER-USD'!EA$4)-SUMIFS('01. KE30'!$AA:$AA,'01. KE30'!$C:$C,'06. BC BH THEO CUSTOMER-USD'!$D114,'01. KE30'!$F:$F,'06. BC BH THEO CUSTOMER-USD'!$H114,'01. KE30'!$A:$A,'06. BC BH THEO CUSTOMER-USD'!EA$4),"-")</f>
        <v>2069.0427967729538</v>
      </c>
      <c r="EB114" s="114">
        <f>IFERROR(SUMIFS('01. KE30'!$X:$X,'01. KE30'!$C:$C,'06. BC BH THEO CUSTOMER-USD'!$D114,'01. KE30'!$F:$F,'06. BC BH THEO CUSTOMER-USD'!$H114,'01. KE30'!$A:$A,'06. BC BH THEO CUSTOMER-USD'!EB$4)-SUMIFS('01. KE30'!$AA:$AA,'01. KE30'!$C:$C,'06. BC BH THEO CUSTOMER-USD'!$D114,'01. KE30'!$F:$F,'06. BC BH THEO CUSTOMER-USD'!$H114,'01. KE30'!$A:$A,'06. BC BH THEO CUSTOMER-USD'!EB$4),"-")</f>
        <v>2364.6972880061112</v>
      </c>
      <c r="EC114" s="114">
        <f>IFERROR(SUMIFS('01. KE30'!$X:$X,'01. KE30'!$C:$C,'06. BC BH THEO CUSTOMER-USD'!$D114,'01. KE30'!$F:$F,'06. BC BH THEO CUSTOMER-USD'!$H114,'01. KE30'!$A:$A,'06. BC BH THEO CUSTOMER-USD'!EC$4)-SUMIFS('01. KE30'!$AA:$AA,'01. KE30'!$C:$C,'06. BC BH THEO CUSTOMER-USD'!$D114,'01. KE30'!$F:$F,'06. BC BH THEO CUSTOMER-USD'!$H114,'01. KE30'!$A:$A,'06. BC BH THEO CUSTOMER-USD'!EC$4),"-")</f>
        <v>0</v>
      </c>
      <c r="ED114" s="114">
        <f>IFERROR(SUMIFS('01. KE30'!$X:$X,'01. KE30'!$C:$C,'06. BC BH THEO CUSTOMER-USD'!$D114,'01. KE30'!$F:$F,'06. BC BH THEO CUSTOMER-USD'!$H114,'01. KE30'!$A:$A,'06. BC BH THEO CUSTOMER-USD'!ED$4)-SUMIFS('01. KE30'!$AA:$AA,'01. KE30'!$C:$C,'06. BC BH THEO CUSTOMER-USD'!$D114,'01. KE30'!$F:$F,'06. BC BH THEO CUSTOMER-USD'!$H114,'01. KE30'!$A:$A,'06. BC BH THEO CUSTOMER-USD'!ED$4),"-")</f>
        <v>0</v>
      </c>
      <c r="EE114" s="114">
        <f>IFERROR(SUMIFS('01. KE30'!$X:$X,'01. KE30'!$C:$C,'06. BC BH THEO CUSTOMER-USD'!$D114,'01. KE30'!$F:$F,'06. BC BH THEO CUSTOMER-USD'!$H114,'01. KE30'!$A:$A,'06. BC BH THEO CUSTOMER-USD'!EE$4)-SUMIFS('01. KE30'!$AA:$AA,'01. KE30'!$C:$C,'06. BC BH THEO CUSTOMER-USD'!$D114,'01. KE30'!$F:$F,'06. BC BH THEO CUSTOMER-USD'!$H114,'01. KE30'!$A:$A,'06. BC BH THEO CUSTOMER-USD'!EE$4),"-")</f>
        <v>0</v>
      </c>
      <c r="EF114" s="114">
        <f>IFERROR(SUMIFS('01. KE30'!$X:$X,'01. KE30'!$C:$C,'06. BC BH THEO CUSTOMER-USD'!$D114,'01. KE30'!$F:$F,'06. BC BH THEO CUSTOMER-USD'!$H114,'01. KE30'!$A:$A,'06. BC BH THEO CUSTOMER-USD'!EF$4)-SUMIFS('01. KE30'!$AA:$AA,'01. KE30'!$C:$C,'06. BC BH THEO CUSTOMER-USD'!$D114,'01. KE30'!$F:$F,'06. BC BH THEO CUSTOMER-USD'!$H114,'01. KE30'!$A:$A,'06. BC BH THEO CUSTOMER-USD'!EF$4),"-")</f>
        <v>0</v>
      </c>
      <c r="EH114" s="571">
        <f t="shared" si="531"/>
        <v>0.178148893778274</v>
      </c>
      <c r="EI114" s="572">
        <f t="shared" si="532"/>
        <v>0.20853034696888084</v>
      </c>
      <c r="EJ114" s="572" t="str">
        <f t="shared" si="533"/>
        <v>-</v>
      </c>
      <c r="EK114" s="572">
        <f t="shared" si="534"/>
        <v>0.19181662488715054</v>
      </c>
      <c r="EL114" s="572" t="str">
        <f t="shared" si="535"/>
        <v>-</v>
      </c>
      <c r="EM114" s="572" t="str">
        <f t="shared" si="536"/>
        <v>-</v>
      </c>
      <c r="EN114" s="572">
        <f t="shared" si="537"/>
        <v>0.15425744433520078</v>
      </c>
      <c r="EO114" s="572">
        <f t="shared" si="538"/>
        <v>0.14658214935613156</v>
      </c>
      <c r="EP114" s="572">
        <f t="shared" si="539"/>
        <v>0.16849330112312944</v>
      </c>
      <c r="EQ114" s="572" t="str">
        <f t="shared" si="540"/>
        <v>-</v>
      </c>
      <c r="ER114" s="572" t="str">
        <f t="shared" si="541"/>
        <v>-</v>
      </c>
      <c r="ES114" s="572" t="str">
        <f t="shared" si="542"/>
        <v>-</v>
      </c>
      <c r="ET114" s="572" t="str">
        <f t="shared" si="543"/>
        <v>-</v>
      </c>
    </row>
    <row r="115" spans="1:150" s="14" customFormat="1" ht="15" hidden="1" collapsed="1" x14ac:dyDescent="0.3">
      <c r="A115" s="58" t="s">
        <v>96</v>
      </c>
      <c r="B115" s="474"/>
      <c r="C115" s="59"/>
      <c r="D115" s="59"/>
      <c r="E115" s="60" t="s">
        <v>95</v>
      </c>
      <c r="F115" s="60"/>
      <c r="G115" s="60"/>
      <c r="H115" s="61"/>
      <c r="I115" s="61"/>
      <c r="J115" s="16"/>
      <c r="K115" s="62"/>
      <c r="L115" s="145">
        <f t="shared" ref="L115:X115" si="1138">IFERROR(AVERAGE(L116:L126),"-")</f>
        <v>739.69040179761066</v>
      </c>
      <c r="M115" s="145">
        <f t="shared" si="1138"/>
        <v>762.74588518667201</v>
      </c>
      <c r="N115" s="145">
        <f t="shared" si="1138"/>
        <v>750.29539188656952</v>
      </c>
      <c r="O115" s="145">
        <f t="shared" si="1138"/>
        <v>748.03149606299212</v>
      </c>
      <c r="P115" s="145">
        <f t="shared" si="1138"/>
        <v>1130</v>
      </c>
      <c r="Q115" s="145" t="str">
        <f t="shared" si="1138"/>
        <v>-</v>
      </c>
      <c r="R115" s="145">
        <f t="shared" si="1138"/>
        <v>676.04097222222219</v>
      </c>
      <c r="S115" s="145">
        <f t="shared" si="1138"/>
        <v>658.32426741379027</v>
      </c>
      <c r="T115" s="145">
        <f t="shared" si="1138"/>
        <v>669.72243442831677</v>
      </c>
      <c r="U115" s="145">
        <f t="shared" si="1138"/>
        <v>678.09523809523807</v>
      </c>
      <c r="V115" s="145" t="str">
        <f t="shared" si="1138"/>
        <v>-</v>
      </c>
      <c r="W115" s="145" t="str">
        <f t="shared" si="1138"/>
        <v>-</v>
      </c>
      <c r="X115" s="145" t="str">
        <f t="shared" si="1138"/>
        <v>-</v>
      </c>
      <c r="Z115" s="71">
        <f t="shared" ref="Z115:AL115" si="1139">IFERROR(AVERAGE(Z116:Z126),"-")</f>
        <v>712.98689576975198</v>
      </c>
      <c r="AA115" s="71">
        <f t="shared" si="1139"/>
        <v>762.74588518667201</v>
      </c>
      <c r="AB115" s="71">
        <f t="shared" si="1139"/>
        <v>750.29539188656952</v>
      </c>
      <c r="AC115" s="71">
        <f t="shared" si="1139"/>
        <v>748.03149606299212</v>
      </c>
      <c r="AD115" s="71">
        <f t="shared" si="1139"/>
        <v>1044.8277197057685</v>
      </c>
      <c r="AE115" s="71" t="str">
        <f t="shared" si="1139"/>
        <v>-</v>
      </c>
      <c r="AF115" s="71">
        <f t="shared" si="1139"/>
        <v>645.00911743092297</v>
      </c>
      <c r="AG115" s="71">
        <f t="shared" si="1139"/>
        <v>658.32426741379027</v>
      </c>
      <c r="AH115" s="71">
        <f t="shared" si="1139"/>
        <v>669.72243442831677</v>
      </c>
      <c r="AI115" s="71">
        <f t="shared" si="1139"/>
        <v>678.09523809523807</v>
      </c>
      <c r="AJ115" s="71" t="str">
        <f t="shared" si="1139"/>
        <v>-</v>
      </c>
      <c r="AK115" s="71" t="str">
        <f t="shared" si="1139"/>
        <v>-</v>
      </c>
      <c r="AL115" s="71" t="str">
        <f t="shared" si="1139"/>
        <v>-</v>
      </c>
      <c r="AN115" s="71">
        <f t="shared" ref="AN115:AZ115" si="1140">IFERROR(AVERAGE(AN116:AN126),0)</f>
        <v>897.27272727272748</v>
      </c>
      <c r="AO115" s="71">
        <f t="shared" si="1140"/>
        <v>977.27272727272725</v>
      </c>
      <c r="AP115" s="71">
        <f t="shared" si="1140"/>
        <v>977.27272727272725</v>
      </c>
      <c r="AQ115" s="71">
        <f t="shared" si="1140"/>
        <v>977.27272727272725</v>
      </c>
      <c r="AR115" s="71">
        <f t="shared" si="1140"/>
        <v>977.27272727272725</v>
      </c>
      <c r="AS115" s="71">
        <f t="shared" si="1140"/>
        <v>840.90909090909088</v>
      </c>
      <c r="AT115" s="71">
        <f t="shared" si="1140"/>
        <v>840.90909090909088</v>
      </c>
      <c r="AU115" s="71">
        <f t="shared" si="1140"/>
        <v>840.90909090909088</v>
      </c>
      <c r="AV115" s="71">
        <f t="shared" si="1140"/>
        <v>821.81818181818187</v>
      </c>
      <c r="AW115" s="71">
        <f t="shared" si="1140"/>
        <v>821.81818181818187</v>
      </c>
      <c r="AX115" s="71">
        <f t="shared" si="1140"/>
        <v>0</v>
      </c>
      <c r="AY115" s="71">
        <f t="shared" si="1140"/>
        <v>0</v>
      </c>
      <c r="AZ115" s="71">
        <f t="shared" si="1140"/>
        <v>0</v>
      </c>
      <c r="BB115" s="96">
        <f t="shared" si="637"/>
        <v>-184.2858315029755</v>
      </c>
      <c r="BC115" s="96">
        <f t="shared" si="638"/>
        <v>-214.52684208605524</v>
      </c>
      <c r="BD115" s="96">
        <f t="shared" si="516"/>
        <v>-226.97733538615773</v>
      </c>
      <c r="BE115" s="96">
        <f t="shared" si="516"/>
        <v>-229.24123120973513</v>
      </c>
      <c r="BF115" s="96">
        <f t="shared" si="516"/>
        <v>67.554992433041207</v>
      </c>
      <c r="BG115" s="96" t="str">
        <f t="shared" si="516"/>
        <v>-</v>
      </c>
      <c r="BH115" s="96">
        <f t="shared" si="516"/>
        <v>-195.89997347816791</v>
      </c>
      <c r="BI115" s="96">
        <f t="shared" si="516"/>
        <v>-182.58482349530061</v>
      </c>
      <c r="BJ115" s="96">
        <f t="shared" si="516"/>
        <v>-152.0957473898651</v>
      </c>
      <c r="BK115" s="96">
        <f t="shared" si="516"/>
        <v>-143.7229437229438</v>
      </c>
      <c r="BL115" s="96" t="str">
        <f t="shared" si="516"/>
        <v>-</v>
      </c>
      <c r="BM115" s="96" t="str">
        <f t="shared" si="516"/>
        <v>-</v>
      </c>
      <c r="BN115" s="96" t="str">
        <f t="shared" si="516"/>
        <v>-</v>
      </c>
      <c r="BP115" s="142">
        <f t="shared" si="639"/>
        <v>-0.20538441200939514</v>
      </c>
      <c r="BQ115" s="142">
        <f t="shared" si="517"/>
        <v>-0.21951583841363792</v>
      </c>
      <c r="BR115" s="142">
        <f t="shared" si="518"/>
        <v>-0.23225587806955675</v>
      </c>
      <c r="BS115" s="142">
        <f t="shared" si="519"/>
        <v>-0.23457242263321734</v>
      </c>
      <c r="BT115" s="142">
        <f t="shared" si="520"/>
        <v>6.9126038768693332E-2</v>
      </c>
      <c r="BU115" s="142" t="str">
        <f t="shared" si="521"/>
        <v>-</v>
      </c>
      <c r="BV115" s="142">
        <f t="shared" si="522"/>
        <v>-0.23296213062268617</v>
      </c>
      <c r="BW115" s="142">
        <f t="shared" si="523"/>
        <v>-0.21712789821062775</v>
      </c>
      <c r="BX115" s="142">
        <f t="shared" si="524"/>
        <v>-0.18507225899209248</v>
      </c>
      <c r="BY115" s="142">
        <f t="shared" si="525"/>
        <v>-0.17488411293721037</v>
      </c>
      <c r="BZ115" s="142" t="str">
        <f t="shared" si="526"/>
        <v>-</v>
      </c>
      <c r="CA115" s="142" t="str">
        <f t="shared" si="527"/>
        <v>-</v>
      </c>
      <c r="CB115" s="142" t="str">
        <f t="shared" si="528"/>
        <v>-</v>
      </c>
      <c r="CD115" s="113">
        <f>IFERROR(AVERAGE(CD116:CD126),0)</f>
        <v>979.54785240162221</v>
      </c>
      <c r="CE115" s="115">
        <f t="shared" ref="CE115:CP115" si="1141">SUM(CE116:CE126)</f>
        <v>985.8523010109119</v>
      </c>
      <c r="CF115" s="115">
        <f t="shared" si="1141"/>
        <v>1697.6673028035375</v>
      </c>
      <c r="CG115" s="115">
        <f t="shared" si="1141"/>
        <v>799.29088761632079</v>
      </c>
      <c r="CH115" s="115">
        <f t="shared" si="1141"/>
        <v>944.75090979481229</v>
      </c>
      <c r="CI115" s="115">
        <f t="shared" si="1141"/>
        <v>0</v>
      </c>
      <c r="CJ115" s="115">
        <f t="shared" si="1141"/>
        <v>4780.0649474987576</v>
      </c>
      <c r="CK115" s="115">
        <f t="shared" si="1141"/>
        <v>3007.9021733697118</v>
      </c>
      <c r="CL115" s="115">
        <f t="shared" si="1141"/>
        <v>3224.528482156662</v>
      </c>
      <c r="CM115" s="115">
        <f t="shared" si="1141"/>
        <v>2050.8773341473343</v>
      </c>
      <c r="CN115" s="115">
        <f t="shared" si="1141"/>
        <v>0</v>
      </c>
      <c r="CO115" s="115">
        <f t="shared" si="1141"/>
        <v>0</v>
      </c>
      <c r="CP115" s="115">
        <f t="shared" si="1141"/>
        <v>0</v>
      </c>
      <c r="CR115" s="115">
        <f t="shared" ref="CR115:DD115" si="1142">SUM(CR116:CR126)</f>
        <v>1300.1999999999998</v>
      </c>
      <c r="CS115" s="115">
        <f t="shared" si="1142"/>
        <v>11</v>
      </c>
      <c r="CT115" s="115">
        <f t="shared" si="1142"/>
        <v>16.5</v>
      </c>
      <c r="CU115" s="115">
        <f t="shared" si="1142"/>
        <v>33</v>
      </c>
      <c r="CV115" s="115">
        <f t="shared" si="1142"/>
        <v>1</v>
      </c>
      <c r="CW115" s="115">
        <f t="shared" si="1142"/>
        <v>0</v>
      </c>
      <c r="CX115" s="115">
        <f t="shared" si="1142"/>
        <v>146.9</v>
      </c>
      <c r="CY115" s="115">
        <f t="shared" si="1142"/>
        <v>567.80000000000007</v>
      </c>
      <c r="CZ115" s="115">
        <f t="shared" si="1142"/>
        <v>321.35000000000002</v>
      </c>
      <c r="DA115" s="115">
        <f t="shared" si="1142"/>
        <v>202.64999999999998</v>
      </c>
      <c r="DB115" s="115">
        <f t="shared" si="1142"/>
        <v>0</v>
      </c>
      <c r="DC115" s="115">
        <f t="shared" si="1142"/>
        <v>0</v>
      </c>
      <c r="DD115" s="115">
        <f t="shared" si="1142"/>
        <v>0</v>
      </c>
      <c r="DF115" s="115">
        <f t="shared" ref="DF115:DR115" si="1143">SUM(DF116:DF126)</f>
        <v>878550.5170890732</v>
      </c>
      <c r="DG115" s="115">
        <f t="shared" si="1143"/>
        <v>8390.2047370533928</v>
      </c>
      <c r="DH115" s="116">
        <f t="shared" si="1143"/>
        <v>12369.042930287516</v>
      </c>
      <c r="DI115" s="115">
        <f t="shared" si="1143"/>
        <v>24685.039370078739</v>
      </c>
      <c r="DJ115" s="115">
        <f t="shared" si="1143"/>
        <v>1130</v>
      </c>
      <c r="DK115" s="115">
        <f t="shared" si="1143"/>
        <v>0</v>
      </c>
      <c r="DL115" s="115">
        <f t="shared" si="1143"/>
        <v>97990.01195987653</v>
      </c>
      <c r="DM115" s="115">
        <f t="shared" si="1143"/>
        <v>379655.39761813288</v>
      </c>
      <c r="DN115" s="115">
        <f t="shared" si="1143"/>
        <v>216914.82047364404</v>
      </c>
      <c r="DO115" s="115">
        <f t="shared" si="1143"/>
        <v>137416</v>
      </c>
      <c r="DP115" s="115">
        <f t="shared" si="1143"/>
        <v>0</v>
      </c>
      <c r="DQ115" s="115">
        <f t="shared" si="1143"/>
        <v>0</v>
      </c>
      <c r="DR115" s="115">
        <f t="shared" si="1143"/>
        <v>0</v>
      </c>
      <c r="DT115" s="115">
        <f t="shared" ref="DT115:EF115" si="1144">SUM(DT116:DT126)</f>
        <v>-437100.73488914437</v>
      </c>
      <c r="DU115" s="115">
        <f t="shared" si="1144"/>
        <v>-2454.1705740666384</v>
      </c>
      <c r="DV115" s="115">
        <f t="shared" si="1144"/>
        <v>-1373.9405277668357</v>
      </c>
      <c r="DW115" s="115">
        <f t="shared" si="1144"/>
        <v>-1691.5599212598427</v>
      </c>
      <c r="DX115" s="115">
        <f t="shared" si="1144"/>
        <v>100.07680991095617</v>
      </c>
      <c r="DY115" s="115">
        <f t="shared" si="1144"/>
        <v>0</v>
      </c>
      <c r="DZ115" s="115">
        <f t="shared" si="1144"/>
        <v>-46477.683101851857</v>
      </c>
      <c r="EA115" s="115">
        <f t="shared" si="1144"/>
        <v>-186328.38993469076</v>
      </c>
      <c r="EB115" s="115">
        <f t="shared" si="1144"/>
        <v>-128485.92192513371</v>
      </c>
      <c r="EC115" s="115">
        <f t="shared" si="1144"/>
        <v>-70389.145714285711</v>
      </c>
      <c r="ED115" s="115">
        <f t="shared" si="1144"/>
        <v>0</v>
      </c>
      <c r="EE115" s="115">
        <f t="shared" si="1144"/>
        <v>0</v>
      </c>
      <c r="EF115" s="115">
        <f t="shared" si="1144"/>
        <v>0</v>
      </c>
      <c r="EH115" s="574">
        <f t="shared" si="531"/>
        <v>-0.4975248735125703</v>
      </c>
      <c r="EI115" s="574">
        <f t="shared" si="532"/>
        <v>-0.29250425358851656</v>
      </c>
      <c r="EJ115" s="574">
        <f t="shared" si="533"/>
        <v>-0.1110789683171468</v>
      </c>
      <c r="EK115" s="574">
        <f t="shared" si="534"/>
        <v>-6.8525712918660303E-2</v>
      </c>
      <c r="EL115" s="574">
        <f t="shared" si="535"/>
        <v>8.8563548593766528E-2</v>
      </c>
      <c r="EM115" s="574" t="str">
        <f t="shared" si="536"/>
        <v>-</v>
      </c>
      <c r="EN115" s="574">
        <f t="shared" si="537"/>
        <v>-0.47431041360504006</v>
      </c>
      <c r="EO115" s="574">
        <f t="shared" si="538"/>
        <v>-0.49078293395450318</v>
      </c>
      <c r="EP115" s="574">
        <f t="shared" si="539"/>
        <v>-0.59233353278756362</v>
      </c>
      <c r="EQ115" s="574">
        <f t="shared" si="540"/>
        <v>-0.5122339881402872</v>
      </c>
      <c r="ER115" s="574" t="str">
        <f t="shared" si="541"/>
        <v>-</v>
      </c>
      <c r="ES115" s="574" t="str">
        <f t="shared" si="542"/>
        <v>-</v>
      </c>
      <c r="ET115" s="574" t="str">
        <f t="shared" si="543"/>
        <v>-</v>
      </c>
    </row>
    <row r="116" spans="1:150" ht="15.5" hidden="1" outlineLevel="1" x14ac:dyDescent="0.35">
      <c r="A116" s="27">
        <v>1</v>
      </c>
      <c r="B116" s="27" t="s">
        <v>95</v>
      </c>
      <c r="C116" s="442" t="s">
        <v>489</v>
      </c>
      <c r="D116" s="9" t="s">
        <v>886</v>
      </c>
      <c r="E116" s="12" t="s">
        <v>887</v>
      </c>
      <c r="F116" s="12" t="s">
        <v>923</v>
      </c>
      <c r="G116" s="12" t="str">
        <f>_xlfn.XLOOKUP(F116,'Quy đổi'!$G$5:$G$32,'Quy đổi'!$H$5:$H$32,0)</f>
        <v>Châu á</v>
      </c>
      <c r="H116" s="76" t="s">
        <v>87</v>
      </c>
      <c r="I116" s="7" t="s">
        <v>86</v>
      </c>
      <c r="J116" s="13" t="s">
        <v>26</v>
      </c>
      <c r="K116" s="11" t="s">
        <v>90</v>
      </c>
      <c r="L116" s="92">
        <f>IFERROR(AVERAGE(M116:X116),"-")</f>
        <v>811.18479938271605</v>
      </c>
      <c r="M116" s="106" t="str">
        <f>IFERROR(SUMIFS('01. KE30'!$K:$K,'01. KE30'!$C:$C,'06. BC BH THEO CUSTOMER-USD'!$D116,'01. KE30'!$F:$F,'06. BC BH THEO CUSTOMER-USD'!$H116,'01. KE30'!$A:$A,'06. BC BH THEO CUSTOMER-USD'!M$4)/'06. BC BH THEO CUSTOMER-USD'!CS116/'02. Tỷ giá'!B$5,"-")</f>
        <v>-</v>
      </c>
      <c r="N116" s="106" t="str">
        <f>IFERROR(SUMIFS('01. KE30'!$K:$K,'01. KE30'!$C:$C,'06. BC BH THEO CUSTOMER-USD'!$D116,'01. KE30'!$F:$F,'06. BC BH THEO CUSTOMER-USD'!$H116,'01. KE30'!$A:$A,'06. BC BH THEO CUSTOMER-USD'!N$4)/'06. BC BH THEO CUSTOMER-USD'!CT116/'02. Tỷ giá'!C$5,"-")</f>
        <v>-</v>
      </c>
      <c r="O116" s="106" t="str">
        <f>IFERROR(SUMIFS('01. KE30'!$K:$K,'01. KE30'!$C:$C,'06. BC BH THEO CUSTOMER-USD'!$D116,'01. KE30'!$F:$F,'06. BC BH THEO CUSTOMER-USD'!$H116,'01. KE30'!$A:$A,'06. BC BH THEO CUSTOMER-USD'!O$4)/'06. BC BH THEO CUSTOMER-USD'!CU116/'02. Tỷ giá'!D$5,"-")</f>
        <v>-</v>
      </c>
      <c r="P116" s="106" t="str">
        <f>IFERROR(SUMIFS('01. KE30'!$K:$K,'01. KE30'!$C:$C,'06. BC BH THEO CUSTOMER-USD'!$D116,'01. KE30'!$F:$F,'06. BC BH THEO CUSTOMER-USD'!$H116,'01. KE30'!$A:$A,'06. BC BH THEO CUSTOMER-USD'!P$4)/'06. BC BH THEO CUSTOMER-USD'!CV116/'02. Tỷ giá'!E$5,"-")</f>
        <v>-</v>
      </c>
      <c r="Q116" s="106" t="str">
        <f>IFERROR(SUMIFS('01. KE30'!$K:$K,'01. KE30'!$C:$C,'06. BC BH THEO CUSTOMER-USD'!$D116,'01. KE30'!$F:$F,'06. BC BH THEO CUSTOMER-USD'!$H116,'01. KE30'!$A:$A,'06. BC BH THEO CUSTOMER-USD'!Q$4)/'06. BC BH THEO CUSTOMER-USD'!CW116/'02. Tỷ giá'!F$5,"-")</f>
        <v>-</v>
      </c>
      <c r="R116" s="106">
        <f>IFERROR(SUMIFS('01. KE30'!$K:$K,'01. KE30'!$C:$C,'06. BC BH THEO CUSTOMER-USD'!$D116,'01. KE30'!$F:$F,'06. BC BH THEO CUSTOMER-USD'!$H116,'01. KE30'!$A:$A,'06. BC BH THEO CUSTOMER-USD'!R$4)/'06. BC BH THEO CUSTOMER-USD'!CX116/'02. Tỷ giá'!G$5,"-")</f>
        <v>811.18479938271605</v>
      </c>
      <c r="S116" s="106" t="str">
        <f>IFERROR(SUMIFS('01. KE30'!$K:$K,'01. KE30'!$C:$C,'06. BC BH THEO CUSTOMER-USD'!$D116,'01. KE30'!$F:$F,'06. BC BH THEO CUSTOMER-USD'!$H116,'01. KE30'!$A:$A,'06. BC BH THEO CUSTOMER-USD'!S$4)/'06. BC BH THEO CUSTOMER-USD'!CY116/'02. Tỷ giá'!H$5,"-")</f>
        <v>-</v>
      </c>
      <c r="T116" s="106" t="str">
        <f>IFERROR(SUMIFS('01. KE30'!$K:$K,'01. KE30'!$C:$C,'06. BC BH THEO CUSTOMER-USD'!$D116,'01. KE30'!$F:$F,'06. BC BH THEO CUSTOMER-USD'!$H116,'01. KE30'!$A:$A,'06. BC BH THEO CUSTOMER-USD'!T$4)/'06. BC BH THEO CUSTOMER-USD'!CZ116/'02. Tỷ giá'!I$5,"-")</f>
        <v>-</v>
      </c>
      <c r="U116" s="106" t="str">
        <f>IFERROR(SUMIFS('01. KE30'!$K:$K,'01. KE30'!$C:$C,'06. BC BH THEO CUSTOMER-USD'!$D116,'01. KE30'!$F:$F,'06. BC BH THEO CUSTOMER-USD'!$H116,'01. KE30'!$A:$A,'06. BC BH THEO CUSTOMER-USD'!U$4)/'06. BC BH THEO CUSTOMER-USD'!DA116/'02. Tỷ giá'!J$5,"-")</f>
        <v>-</v>
      </c>
      <c r="V116" s="106" t="str">
        <f>IFERROR(SUMIFS('01. KE30'!$K:$K,'01. KE30'!$C:$C,'06. BC BH THEO CUSTOMER-USD'!$D116,'01. KE30'!$F:$F,'06. BC BH THEO CUSTOMER-USD'!$H116,'01. KE30'!$A:$A,'06. BC BH THEO CUSTOMER-USD'!V$4)/'06. BC BH THEO CUSTOMER-USD'!DB116/'02. Tỷ giá'!K$5,"-")</f>
        <v>-</v>
      </c>
      <c r="W116" s="106" t="str">
        <f>IFERROR(SUMIFS('01. KE30'!$K:$K,'01. KE30'!$C:$C,'06. BC BH THEO CUSTOMER-USD'!$D116,'01. KE30'!$F:$F,'06. BC BH THEO CUSTOMER-USD'!$H116,'01. KE30'!$A:$A,'06. BC BH THEO CUSTOMER-USD'!W$4)/'06. BC BH THEO CUSTOMER-USD'!DC116/'02. Tỷ giá'!L$5,"-")</f>
        <v>-</v>
      </c>
      <c r="X116" s="106" t="str">
        <f>IFERROR(SUMIFS('01. KE30'!$K:$K,'01. KE30'!$C:$C,'06. BC BH THEO CUSTOMER-USD'!$D116,'01. KE30'!$F:$F,'06. BC BH THEO CUSTOMER-USD'!$H116,'01. KE30'!$A:$A,'06. BC BH THEO CUSTOMER-USD'!X$4)/'06. BC BH THEO CUSTOMER-USD'!DD116/'02. Tỷ giá'!M$5,"-")</f>
        <v>-</v>
      </c>
      <c r="Z116" s="92">
        <f t="shared" ref="Z116:Z126" si="1145">IFERROR(AVERAGE(AA116:AL116),"-")</f>
        <v>675.09757128159913</v>
      </c>
      <c r="AA116" s="147" t="str">
        <f>IFERROR(SUMIFS('01. KE30'!$O:$O,'01. KE30'!$C:$C,'06. BC BH THEO CUSTOMER-USD'!$D116,'01. KE30'!$F:$F,'06. BC BH THEO CUSTOMER-USD'!$H116,'01. KE30'!$A:$A,'06. BC BH THEO CUSTOMER-USD'!M$4)/'06. BC BH THEO CUSTOMER-USD'!CS116/'02. Tỷ giá'!B$5,"-")</f>
        <v>-</v>
      </c>
      <c r="AB116" s="147" t="str">
        <f>IFERROR(SUMIFS('01. KE30'!$O:$O,'01. KE30'!$C:$C,'06. BC BH THEO CUSTOMER-USD'!$D116,'01. KE30'!$F:$F,'06. BC BH THEO CUSTOMER-USD'!$H116,'01. KE30'!$A:$A,'06. BC BH THEO CUSTOMER-USD'!N$4)/'06. BC BH THEO CUSTOMER-USD'!CT116/'02. Tỷ giá'!C$5,"-")</f>
        <v>-</v>
      </c>
      <c r="AC116" s="147" t="str">
        <f>IFERROR(SUMIFS('01. KE30'!$O:$O,'01. KE30'!$C:$C,'06. BC BH THEO CUSTOMER-USD'!$D116,'01. KE30'!$F:$F,'06. BC BH THEO CUSTOMER-USD'!$H116,'01. KE30'!$A:$A,'06. BC BH THEO CUSTOMER-USD'!O$4)/'06. BC BH THEO CUSTOMER-USD'!CU116/'02. Tỷ giá'!D$5,"-")</f>
        <v>-</v>
      </c>
      <c r="AD116" s="147" t="str">
        <f>IFERROR(SUMIFS('01. KE30'!$O:$O,'01. KE30'!$C:$C,'06. BC BH THEO CUSTOMER-USD'!$D116,'01. KE30'!$F:$F,'06. BC BH THEO CUSTOMER-USD'!$H116,'01. KE30'!$A:$A,'06. BC BH THEO CUSTOMER-USD'!P$4)/'06. BC BH THEO CUSTOMER-USD'!CV116/'02. Tỷ giá'!E$5,"-")</f>
        <v>-</v>
      </c>
      <c r="AE116" s="147" t="str">
        <f>IFERROR(SUMIFS('01. KE30'!$O:$O,'01. KE30'!$C:$C,'06. BC BH THEO CUSTOMER-USD'!$D116,'01. KE30'!$F:$F,'06. BC BH THEO CUSTOMER-USD'!$H116,'01. KE30'!$A:$A,'06. BC BH THEO CUSTOMER-USD'!Q$4)/'06. BC BH THEO CUSTOMER-USD'!CW116/'02. Tỷ giá'!F$5,"-")</f>
        <v>-</v>
      </c>
      <c r="AF116" s="147">
        <f>IFERROR(SUMIFS('01. KE30'!$O:$O,'01. KE30'!$C:$C,'06. BC BH THEO CUSTOMER-USD'!$D116,'01. KE30'!$F:$F,'06. BC BH THEO CUSTOMER-USD'!$H116,'01. KE30'!$A:$A,'06. BC BH THEO CUSTOMER-USD'!R$4)/'06. BC BH THEO CUSTOMER-USD'!CX116/'02. Tỷ giá'!G$5,"-")</f>
        <v>675.09757128159913</v>
      </c>
      <c r="AG116" s="147" t="str">
        <f>IFERROR(SUMIFS('01. KE30'!$O:$O,'01. KE30'!$C:$C,'06. BC BH THEO CUSTOMER-USD'!$D116,'01. KE30'!$F:$F,'06. BC BH THEO CUSTOMER-USD'!$H116,'01. KE30'!$A:$A,'06. BC BH THEO CUSTOMER-USD'!S$4)/'06. BC BH THEO CUSTOMER-USD'!CY116/'02. Tỷ giá'!H$5,"-")</f>
        <v>-</v>
      </c>
      <c r="AH116" s="147" t="str">
        <f>IFERROR(SUMIFS('01. KE30'!$O:$O,'01. KE30'!$C:$C,'06. BC BH THEO CUSTOMER-USD'!$D116,'01. KE30'!$F:$F,'06. BC BH THEO CUSTOMER-USD'!$H116,'01. KE30'!$A:$A,'06. BC BH THEO CUSTOMER-USD'!T$4)/'06. BC BH THEO CUSTOMER-USD'!CZ116/'02. Tỷ giá'!I$5,"-")</f>
        <v>-</v>
      </c>
      <c r="AI116" s="147" t="str">
        <f>IFERROR(SUMIFS('01. KE30'!$O:$O,'01. KE30'!$C:$C,'06. BC BH THEO CUSTOMER-USD'!$D116,'01. KE30'!$F:$F,'06. BC BH THEO CUSTOMER-USD'!$H116,'01. KE30'!$A:$A,'06. BC BH THEO CUSTOMER-USD'!U$4)/'06. BC BH THEO CUSTOMER-USD'!DA116/'02. Tỷ giá'!J$5,"-")</f>
        <v>-</v>
      </c>
      <c r="AJ116" s="147" t="str">
        <f>IFERROR(SUMIFS('01. KE30'!$O:$O,'01. KE30'!$C:$C,'06. BC BH THEO CUSTOMER-USD'!$D116,'01. KE30'!$F:$F,'06. BC BH THEO CUSTOMER-USD'!$H116,'01. KE30'!$A:$A,'06. BC BH THEO CUSTOMER-USD'!V$4)/'06. BC BH THEO CUSTOMER-USD'!DB116/'02. Tỷ giá'!K$5,"-")</f>
        <v>-</v>
      </c>
      <c r="AK116" s="147" t="str">
        <f>IFERROR(SUMIFS('01. KE30'!$O:$O,'01. KE30'!$C:$C,'06. BC BH THEO CUSTOMER-USD'!$D116,'01. KE30'!$F:$F,'06. BC BH THEO CUSTOMER-USD'!$H116,'01. KE30'!$A:$A,'06. BC BH THEO CUSTOMER-USD'!W$4)/'06. BC BH THEO CUSTOMER-USD'!DC116/'02. Tỷ giá'!L$5,"-")</f>
        <v>-</v>
      </c>
      <c r="AL116" s="147" t="str">
        <f>IFERROR(SUMIFS('01. KE30'!$O:$O,'01. KE30'!$C:$C,'06. BC BH THEO CUSTOMER-USD'!$D116,'01. KE30'!$F:$F,'06. BC BH THEO CUSTOMER-USD'!$H116,'01. KE30'!$A:$A,'06. BC BH THEO CUSTOMER-USD'!X$4)/'06. BC BH THEO CUSTOMER-USD'!DD116/'02. Tỷ giá'!M$5,"-")</f>
        <v>-</v>
      </c>
      <c r="AN116" s="55">
        <f t="shared" ref="AN116:AN126" si="1146">IFERROR(AVERAGE(AO116:AZ116),"-")</f>
        <v>862.22222222222217</v>
      </c>
      <c r="AO116" s="4">
        <v>950</v>
      </c>
      <c r="AP116" s="4">
        <v>950</v>
      </c>
      <c r="AQ116" s="4">
        <v>950</v>
      </c>
      <c r="AR116" s="4">
        <v>950</v>
      </c>
      <c r="AS116" s="4">
        <v>800</v>
      </c>
      <c r="AT116" s="4">
        <v>800</v>
      </c>
      <c r="AU116" s="4">
        <v>800</v>
      </c>
      <c r="AV116" s="4">
        <f>AU116-20</f>
        <v>780</v>
      </c>
      <c r="AW116" s="4">
        <v>780</v>
      </c>
      <c r="AX116" s="4"/>
      <c r="AY116" s="4"/>
      <c r="AZ116" s="4"/>
      <c r="BB116" s="95">
        <f t="shared" si="637"/>
        <v>-187.12465094062304</v>
      </c>
      <c r="BC116" s="95" t="str">
        <f t="shared" si="638"/>
        <v>-</v>
      </c>
      <c r="BD116" s="95" t="str">
        <f t="shared" ref="BD116:BN134" si="1147">IF(N116&lt;&gt;"-",AB116-AP116,"-")</f>
        <v>-</v>
      </c>
      <c r="BE116" s="95" t="str">
        <f t="shared" si="1147"/>
        <v>-</v>
      </c>
      <c r="BF116" s="95" t="str">
        <f t="shared" si="1147"/>
        <v>-</v>
      </c>
      <c r="BG116" s="95" t="str">
        <f t="shared" si="1147"/>
        <v>-</v>
      </c>
      <c r="BH116" s="95">
        <f t="shared" si="1147"/>
        <v>-124.90242871840087</v>
      </c>
      <c r="BI116" s="95" t="str">
        <f t="shared" si="1147"/>
        <v>-</v>
      </c>
      <c r="BJ116" s="95" t="str">
        <f t="shared" si="1147"/>
        <v>-</v>
      </c>
      <c r="BK116" s="95" t="str">
        <f t="shared" si="1147"/>
        <v>-</v>
      </c>
      <c r="BL116" s="95" t="str">
        <f t="shared" si="1147"/>
        <v>-</v>
      </c>
      <c r="BM116" s="95" t="str">
        <f t="shared" si="1147"/>
        <v>-</v>
      </c>
      <c r="BN116" s="95" t="str">
        <f t="shared" si="1147"/>
        <v>-</v>
      </c>
      <c r="BP116" s="143">
        <f t="shared" si="639"/>
        <v>-0.21702601268886695</v>
      </c>
      <c r="BQ116" s="143" t="str">
        <f t="shared" si="517"/>
        <v>-</v>
      </c>
      <c r="BR116" s="143" t="str">
        <f t="shared" si="518"/>
        <v>-</v>
      </c>
      <c r="BS116" s="143" t="str">
        <f t="shared" si="519"/>
        <v>-</v>
      </c>
      <c r="BT116" s="143" t="str">
        <f t="shared" si="520"/>
        <v>-</v>
      </c>
      <c r="BU116" s="143" t="str">
        <f t="shared" si="521"/>
        <v>-</v>
      </c>
      <c r="BV116" s="143">
        <f t="shared" si="522"/>
        <v>-0.15612803589800109</v>
      </c>
      <c r="BW116" s="143" t="str">
        <f t="shared" si="523"/>
        <v>-</v>
      </c>
      <c r="BX116" s="143" t="str">
        <f t="shared" si="524"/>
        <v>-</v>
      </c>
      <c r="BY116" s="143" t="str">
        <f t="shared" si="525"/>
        <v>-</v>
      </c>
      <c r="BZ116" s="143" t="str">
        <f t="shared" si="526"/>
        <v>-</v>
      </c>
      <c r="CA116" s="143" t="str">
        <f t="shared" si="527"/>
        <v>-</v>
      </c>
      <c r="CB116" s="143" t="str">
        <f t="shared" si="528"/>
        <v>-</v>
      </c>
      <c r="CD116" s="112">
        <f t="shared" ref="CD116:CD126" si="1148">IFERROR(AVERAGE(CE116:CP116),"-")</f>
        <v>956.82665895061723</v>
      </c>
      <c r="CE116" s="95" t="str">
        <f>IFERROR(SUMIFS('01. KE30'!$R:$R,'01. KE30'!$C:$C,'06. BC BH THEO CUSTOMER-USD'!$D116,'01. KE30'!$F:$F,'06. BC BH THEO CUSTOMER-USD'!$H116,'01. KE30'!$A:$A,'06. BC BH THEO CUSTOMER-USD'!CE$4)/CS116/'02. Tỷ giá'!B$5," -")</f>
        <v xml:space="preserve"> -</v>
      </c>
      <c r="CF116" s="95" t="str">
        <f>IFERROR(SUMIFS('01. KE30'!$R:$R,'01. KE30'!$C:$C,'06. BC BH THEO CUSTOMER-USD'!$D116,'01. KE30'!$F:$F,'06. BC BH THEO CUSTOMER-USD'!$H116,'01. KE30'!$A:$A,'06. BC BH THEO CUSTOMER-USD'!CF$4)/CT116/'02. Tỷ giá'!C$5," -")</f>
        <v xml:space="preserve"> -</v>
      </c>
      <c r="CG116" s="95" t="str">
        <f>IFERROR(SUMIFS('01. KE30'!$R:$R,'01. KE30'!$C:$C,'06. BC BH THEO CUSTOMER-USD'!$D116,'01. KE30'!$F:$F,'06. BC BH THEO CUSTOMER-USD'!$H116,'01. KE30'!$A:$A,'06. BC BH THEO CUSTOMER-USD'!CG$4)/CU116/'02. Tỷ giá'!D$5," -")</f>
        <v xml:space="preserve"> -</v>
      </c>
      <c r="CH116" s="95" t="str">
        <f>IFERROR(SUMIFS('01. KE30'!$R:$R,'01. KE30'!$C:$C,'06. BC BH THEO CUSTOMER-USD'!$D116,'01. KE30'!$F:$F,'06. BC BH THEO CUSTOMER-USD'!$H116,'01. KE30'!$A:$A,'06. BC BH THEO CUSTOMER-USD'!CH$4)/CV116/'02. Tỷ giá'!E$5," -")</f>
        <v xml:space="preserve"> -</v>
      </c>
      <c r="CI116" s="95" t="str">
        <f>IFERROR(SUMIFS('01. KE30'!$R:$R,'01. KE30'!$C:$C,'06. BC BH THEO CUSTOMER-USD'!$D116,'01. KE30'!$F:$F,'06. BC BH THEO CUSTOMER-USD'!$H116,'01. KE30'!$A:$A,'06. BC BH THEO CUSTOMER-USD'!CI$4)/CW116/'02. Tỷ giá'!F$5," -")</f>
        <v xml:space="preserve"> -</v>
      </c>
      <c r="CJ116" s="95">
        <f>IFERROR(SUMIFS('01. KE30'!$R:$R,'01. KE30'!$C:$C,'06. BC BH THEO CUSTOMER-USD'!$D116,'01. KE30'!$F:$F,'06. BC BH THEO CUSTOMER-USD'!$H116,'01. KE30'!$A:$A,'06. BC BH THEO CUSTOMER-USD'!CJ$4)/CX116/'02. Tỷ giá'!G$5," -")</f>
        <v>956.82665895061723</v>
      </c>
      <c r="CK116" s="95" t="str">
        <f>IFERROR(SUMIFS('01. KE30'!$R:$R,'01. KE30'!$C:$C,'06. BC BH THEO CUSTOMER-USD'!$D116,'01. KE30'!$F:$F,'06. BC BH THEO CUSTOMER-USD'!$H116,'01. KE30'!$A:$A,'06. BC BH THEO CUSTOMER-USD'!CK$4)/CY116/'02. Tỷ giá'!H$5," -")</f>
        <v xml:space="preserve"> -</v>
      </c>
      <c r="CL116" s="95" t="str">
        <f>IFERROR(SUMIFS('01. KE30'!$R:$R,'01. KE30'!$C:$C,'06. BC BH THEO CUSTOMER-USD'!$D116,'01. KE30'!$F:$F,'06. BC BH THEO CUSTOMER-USD'!$H116,'01. KE30'!$A:$A,'06. BC BH THEO CUSTOMER-USD'!CL$4)/CZ116/'02. Tỷ giá'!I$5," -")</f>
        <v xml:space="preserve"> -</v>
      </c>
      <c r="CM116" s="95" t="str">
        <f>IFERROR(SUMIFS('01. KE30'!$R:$R,'01. KE30'!$C:$C,'06. BC BH THEO CUSTOMER-USD'!$D116,'01. KE30'!$F:$F,'06. BC BH THEO CUSTOMER-USD'!$H116,'01. KE30'!$A:$A,'06. BC BH THEO CUSTOMER-USD'!CM$4)/DA116/'02. Tỷ giá'!J$5," -")</f>
        <v xml:space="preserve"> -</v>
      </c>
      <c r="CN116" s="95" t="str">
        <f>IFERROR(SUMIFS('01. KE30'!$R:$R,'01. KE30'!$C:$C,'06. BC BH THEO CUSTOMER-USD'!$D116,'01. KE30'!$F:$F,'06. BC BH THEO CUSTOMER-USD'!$H116,'01. KE30'!$A:$A,'06. BC BH THEO CUSTOMER-USD'!CN$4)/DB116/'02. Tỷ giá'!K$5," -")</f>
        <v xml:space="preserve"> -</v>
      </c>
      <c r="CO116" s="95" t="str">
        <f>IFERROR(SUMIFS('01. KE30'!$R:$R,'01. KE30'!$C:$C,'06. BC BH THEO CUSTOMER-USD'!$D116,'01. KE30'!$F:$F,'06. BC BH THEO CUSTOMER-USD'!$H116,'01. KE30'!$A:$A,'06. BC BH THEO CUSTOMER-USD'!CO$4)/DC116/'02. Tỷ giá'!L$5," -")</f>
        <v xml:space="preserve"> -</v>
      </c>
      <c r="CP116" s="95" t="str">
        <f>IFERROR(SUMIFS('01. KE30'!$R:$R,'01. KE30'!$C:$C,'06. BC BH THEO CUSTOMER-USD'!$D116,'01. KE30'!$F:$F,'06. BC BH THEO CUSTOMER-USD'!$H116,'01. KE30'!$A:$A,'06. BC BH THEO CUSTOMER-USD'!CP$4)/DD116/'02. Tỷ giá'!M$5," -")</f>
        <v xml:space="preserve"> -</v>
      </c>
      <c r="CR116" s="112">
        <f t="shared" ref="CR116:CR126" si="1149">SUM(CS116:DD116)</f>
        <v>21</v>
      </c>
      <c r="CS116" s="114">
        <f>SUMIFS('01. KE30'!$I:$I,'01. KE30'!$C:$C,'06. BC BH THEO CUSTOMER-USD'!$D116,'01. KE30'!$F:$F,'06. BC BH THEO CUSTOMER-USD'!$H116,'01. KE30'!$A:$A,'06. BC BH THEO CUSTOMER-USD'!CS$4)/1000</f>
        <v>0</v>
      </c>
      <c r="CT116" s="114">
        <f>SUMIFS('01. KE30'!$I:$I,'01. KE30'!$C:$C,'06. BC BH THEO CUSTOMER-USD'!$D116,'01. KE30'!$F:$F,'06. BC BH THEO CUSTOMER-USD'!$H116,'01. KE30'!$A:$A,'06. BC BH THEO CUSTOMER-USD'!CT$4)/1000</f>
        <v>0</v>
      </c>
      <c r="CU116" s="114">
        <f>SUMIFS('01. KE30'!$I:$I,'01. KE30'!$C:$C,'06. BC BH THEO CUSTOMER-USD'!$D116,'01. KE30'!$F:$F,'06. BC BH THEO CUSTOMER-USD'!$H116,'01. KE30'!$A:$A,'06. BC BH THEO CUSTOMER-USD'!CU$4)/1000</f>
        <v>0</v>
      </c>
      <c r="CV116" s="114">
        <f>SUMIFS('01. KE30'!$I:$I,'01. KE30'!$C:$C,'06. BC BH THEO CUSTOMER-USD'!$D116,'01. KE30'!$F:$F,'06. BC BH THEO CUSTOMER-USD'!$H116,'01. KE30'!$A:$A,'06. BC BH THEO CUSTOMER-USD'!CV$4)/1000</f>
        <v>0</v>
      </c>
      <c r="CW116" s="114">
        <f>SUMIFS('01. KE30'!$I:$I,'01. KE30'!$C:$C,'06. BC BH THEO CUSTOMER-USD'!$D116,'01. KE30'!$F:$F,'06. BC BH THEO CUSTOMER-USD'!$H116,'01. KE30'!$A:$A,'06. BC BH THEO CUSTOMER-USD'!CW$4)/1000</f>
        <v>0</v>
      </c>
      <c r="CX116" s="114">
        <f>SUMIFS('01. KE30'!$I:$I,'01. KE30'!$C:$C,'06. BC BH THEO CUSTOMER-USD'!$D116,'01. KE30'!$F:$F,'06. BC BH THEO CUSTOMER-USD'!$H116,'01. KE30'!$A:$A,'06. BC BH THEO CUSTOMER-USD'!CX$4)/1000</f>
        <v>21</v>
      </c>
      <c r="CY116" s="114">
        <f>SUMIFS('01. KE30'!$I:$I,'01. KE30'!$C:$C,'06. BC BH THEO CUSTOMER-USD'!$D116,'01. KE30'!$F:$F,'06. BC BH THEO CUSTOMER-USD'!$H116,'01. KE30'!$A:$A,'06. BC BH THEO CUSTOMER-USD'!CY$4)/1000</f>
        <v>0</v>
      </c>
      <c r="CZ116" s="114">
        <f>SUMIFS('01. KE30'!$I:$I,'01. KE30'!$C:$C,'06. BC BH THEO CUSTOMER-USD'!$D116,'01. KE30'!$F:$F,'06. BC BH THEO CUSTOMER-USD'!$H116,'01. KE30'!$A:$A,'06. BC BH THEO CUSTOMER-USD'!CZ$4)/1000</f>
        <v>0</v>
      </c>
      <c r="DA116" s="114">
        <f>SUMIFS('01. KE30'!$I:$I,'01. KE30'!$C:$C,'06. BC BH THEO CUSTOMER-USD'!$D116,'01. KE30'!$F:$F,'06. BC BH THEO CUSTOMER-USD'!$H116,'01. KE30'!$A:$A,'06. BC BH THEO CUSTOMER-USD'!DA$4)/1000</f>
        <v>0</v>
      </c>
      <c r="DB116" s="114">
        <f>SUMIFS('01. KE30'!$I:$I,'01. KE30'!$C:$C,'06. BC BH THEO CUSTOMER-USD'!$D116,'01. KE30'!$F:$F,'06. BC BH THEO CUSTOMER-USD'!$H116,'01. KE30'!$A:$A,'06. BC BH THEO CUSTOMER-USD'!DB$4)/1000</f>
        <v>0</v>
      </c>
      <c r="DC116" s="114">
        <f>SUMIFS('01. KE30'!$I:$I,'01. KE30'!$C:$C,'06. BC BH THEO CUSTOMER-USD'!$D116,'01. KE30'!$F:$F,'06. BC BH THEO CUSTOMER-USD'!$H116,'01. KE30'!$A:$A,'06. BC BH THEO CUSTOMER-USD'!DC$4)/1000</f>
        <v>0</v>
      </c>
      <c r="DD116" s="114">
        <f>SUMIFS('01. KE30'!$I:$I,'01. KE30'!$C:$C,'06. BC BH THEO CUSTOMER-USD'!$D116,'01. KE30'!$F:$F,'06. BC BH THEO CUSTOMER-USD'!$H116,'01. KE30'!$A:$A,'06. BC BH THEO CUSTOMER-USD'!DD$4)/1000</f>
        <v>0</v>
      </c>
      <c r="DF116" s="112">
        <f t="shared" ref="DF116:DF126" si="1150">SUM(DG116:DR116)</f>
        <v>17034.880787037036</v>
      </c>
      <c r="DG116" s="54" t="str">
        <f t="shared" ref="DG116:DG124" si="1151">IFERROR(M116*CS116,"-")</f>
        <v>-</v>
      </c>
      <c r="DH116" s="54" t="str">
        <f t="shared" ref="DH116:DH124" si="1152">IFERROR(N116*CT116,"-")</f>
        <v>-</v>
      </c>
      <c r="DI116" s="54" t="str">
        <f t="shared" ref="DI116:DI124" si="1153">IFERROR(O116*CU116,"-")</f>
        <v>-</v>
      </c>
      <c r="DJ116" s="54" t="str">
        <f t="shared" ref="DJ116:DJ124" si="1154">IFERROR(P116*CV116,"-")</f>
        <v>-</v>
      </c>
      <c r="DK116" s="54" t="str">
        <f t="shared" ref="DK116:DK124" si="1155">IFERROR(Q116*CW116,"-")</f>
        <v>-</v>
      </c>
      <c r="DL116" s="54">
        <f t="shared" ref="DL116:DL124" si="1156">IFERROR(R116*CX116,"-")</f>
        <v>17034.880787037036</v>
      </c>
      <c r="DM116" s="54" t="str">
        <f t="shared" ref="DM116:DM124" si="1157">IFERROR(S116*CY116,"-")</f>
        <v>-</v>
      </c>
      <c r="DN116" s="54" t="str">
        <f t="shared" ref="DN116:DN124" si="1158">IFERROR(T116*CZ116,"-")</f>
        <v>-</v>
      </c>
      <c r="DO116" s="54" t="str">
        <f t="shared" ref="DO116:DO124" si="1159">IFERROR(U116*DA116,"-")</f>
        <v>-</v>
      </c>
      <c r="DP116" s="54" t="str">
        <f t="shared" ref="DP116:DP124" si="1160">IFERROR(V116*DB116,"-")</f>
        <v>-</v>
      </c>
      <c r="DQ116" s="54" t="str">
        <f t="shared" ref="DQ116:DQ124" si="1161">IFERROR(W116*DC116,"-")</f>
        <v>-</v>
      </c>
      <c r="DR116" s="54" t="str">
        <f t="shared" ref="DR116:DR124" si="1162">IFERROR(X116*DD116,"-")</f>
        <v>-</v>
      </c>
      <c r="DT116" s="112">
        <f t="shared" si="652"/>
        <v>-5916.3108410493824</v>
      </c>
      <c r="DU116" s="114">
        <f>IFERROR(SUMIFS('01. KE30'!$X:$X,'01. KE30'!$C:$C,'06. BC BH THEO CUSTOMER-USD'!$D116,'01. KE30'!$F:$F,'06. BC BH THEO CUSTOMER-USD'!$H116,'01. KE30'!$A:$A,'06. BC BH THEO CUSTOMER-USD'!DU$4)-SUMIFS('01. KE30'!$AA:$AA,'01. KE30'!$C:$C,'06. BC BH THEO CUSTOMER-USD'!$D116,'01. KE30'!$F:$F,'06. BC BH THEO CUSTOMER-USD'!$H116,'01. KE30'!$A:$A,'06. BC BH THEO CUSTOMER-USD'!DU$4),"-")</f>
        <v>0</v>
      </c>
      <c r="DV116" s="114">
        <f>IFERROR(SUMIFS('01. KE30'!$X:$X,'01. KE30'!$C:$C,'06. BC BH THEO CUSTOMER-USD'!$D116,'01. KE30'!$F:$F,'06. BC BH THEO CUSTOMER-USD'!$H116,'01. KE30'!$A:$A,'06. BC BH THEO CUSTOMER-USD'!DV$4)-SUMIFS('01. KE30'!$AA:$AA,'01. KE30'!$C:$C,'06. BC BH THEO CUSTOMER-USD'!$D116,'01. KE30'!$F:$F,'06. BC BH THEO CUSTOMER-USD'!$H116,'01. KE30'!$A:$A,'06. BC BH THEO CUSTOMER-USD'!DV$4),"-")</f>
        <v>0</v>
      </c>
      <c r="DW116" s="114">
        <f>IFERROR(SUMIFS('01. KE30'!$X:$X,'01. KE30'!$C:$C,'06. BC BH THEO CUSTOMER-USD'!$D116,'01. KE30'!$F:$F,'06. BC BH THEO CUSTOMER-USD'!$H116,'01. KE30'!$A:$A,'06. BC BH THEO CUSTOMER-USD'!DW$4)-SUMIFS('01. KE30'!$AA:$AA,'01. KE30'!$C:$C,'06. BC BH THEO CUSTOMER-USD'!$D116,'01. KE30'!$F:$F,'06. BC BH THEO CUSTOMER-USD'!$H116,'01. KE30'!$A:$A,'06. BC BH THEO CUSTOMER-USD'!DW$4),"-")</f>
        <v>0</v>
      </c>
      <c r="DX116" s="114">
        <f>IFERROR(SUMIFS('01. KE30'!$X:$X,'01. KE30'!$C:$C,'06. BC BH THEO CUSTOMER-USD'!$D116,'01. KE30'!$F:$F,'06. BC BH THEO CUSTOMER-USD'!$H116,'01. KE30'!$A:$A,'06. BC BH THEO CUSTOMER-USD'!DX$4)-SUMIFS('01. KE30'!$AA:$AA,'01. KE30'!$C:$C,'06. BC BH THEO CUSTOMER-USD'!$D116,'01. KE30'!$F:$F,'06. BC BH THEO CUSTOMER-USD'!$H116,'01. KE30'!$A:$A,'06. BC BH THEO CUSTOMER-USD'!DX$4),"-")</f>
        <v>0</v>
      </c>
      <c r="DY116" s="114">
        <f>IFERROR(SUMIFS('01. KE30'!$X:$X,'01. KE30'!$C:$C,'06. BC BH THEO CUSTOMER-USD'!$D116,'01. KE30'!$F:$F,'06. BC BH THEO CUSTOMER-USD'!$H116,'01. KE30'!$A:$A,'06. BC BH THEO CUSTOMER-USD'!DY$4)-SUMIFS('01. KE30'!$AA:$AA,'01. KE30'!$C:$C,'06. BC BH THEO CUSTOMER-USD'!$D116,'01. KE30'!$F:$F,'06. BC BH THEO CUSTOMER-USD'!$H116,'01. KE30'!$A:$A,'06. BC BH THEO CUSTOMER-USD'!DY$4),"-")</f>
        <v>0</v>
      </c>
      <c r="DZ116" s="114">
        <f>IFERROR(SUMIFS('01. KE30'!$X:$X,'01. KE30'!$C:$C,'06. BC BH THEO CUSTOMER-USD'!$D116,'01. KE30'!$F:$F,'06. BC BH THEO CUSTOMER-USD'!$H116,'01. KE30'!$A:$A,'06. BC BH THEO CUSTOMER-USD'!DZ$4)-SUMIFS('01. KE30'!$AA:$AA,'01. KE30'!$C:$C,'06. BC BH THEO CUSTOMER-USD'!$D116,'01. KE30'!$F:$F,'06. BC BH THEO CUSTOMER-USD'!$H116,'01. KE30'!$A:$A,'06. BC BH THEO CUSTOMER-USD'!DZ$4),"-")</f>
        <v>-5916.3108410493824</v>
      </c>
      <c r="EA116" s="114">
        <f>IFERROR(SUMIFS('01. KE30'!$X:$X,'01. KE30'!$C:$C,'06. BC BH THEO CUSTOMER-USD'!$D116,'01. KE30'!$F:$F,'06. BC BH THEO CUSTOMER-USD'!$H116,'01. KE30'!$A:$A,'06. BC BH THEO CUSTOMER-USD'!EA$4)-SUMIFS('01. KE30'!$AA:$AA,'01. KE30'!$C:$C,'06. BC BH THEO CUSTOMER-USD'!$D116,'01. KE30'!$F:$F,'06. BC BH THEO CUSTOMER-USD'!$H116,'01. KE30'!$A:$A,'06. BC BH THEO CUSTOMER-USD'!EA$4),"-")</f>
        <v>0</v>
      </c>
      <c r="EB116" s="114">
        <f>IFERROR(SUMIFS('01. KE30'!$X:$X,'01. KE30'!$C:$C,'06. BC BH THEO CUSTOMER-USD'!$D116,'01. KE30'!$F:$F,'06. BC BH THEO CUSTOMER-USD'!$H116,'01. KE30'!$A:$A,'06. BC BH THEO CUSTOMER-USD'!EB$4)-SUMIFS('01. KE30'!$AA:$AA,'01. KE30'!$C:$C,'06. BC BH THEO CUSTOMER-USD'!$D116,'01. KE30'!$F:$F,'06. BC BH THEO CUSTOMER-USD'!$H116,'01. KE30'!$A:$A,'06. BC BH THEO CUSTOMER-USD'!EB$4),"-")</f>
        <v>0</v>
      </c>
      <c r="EC116" s="114">
        <f>IFERROR(SUMIFS('01. KE30'!$X:$X,'01. KE30'!$C:$C,'06. BC BH THEO CUSTOMER-USD'!$D116,'01. KE30'!$F:$F,'06. BC BH THEO CUSTOMER-USD'!$H116,'01. KE30'!$A:$A,'06. BC BH THEO CUSTOMER-USD'!EC$4)-SUMIFS('01. KE30'!$AA:$AA,'01. KE30'!$C:$C,'06. BC BH THEO CUSTOMER-USD'!$D116,'01. KE30'!$F:$F,'06. BC BH THEO CUSTOMER-USD'!$H116,'01. KE30'!$A:$A,'06. BC BH THEO CUSTOMER-USD'!EC$4),"-")</f>
        <v>0</v>
      </c>
      <c r="ED116" s="114">
        <f>IFERROR(SUMIFS('01. KE30'!$X:$X,'01. KE30'!$C:$C,'06. BC BH THEO CUSTOMER-USD'!$D116,'01. KE30'!$F:$F,'06. BC BH THEO CUSTOMER-USD'!$H116,'01. KE30'!$A:$A,'06. BC BH THEO CUSTOMER-USD'!ED$4)-SUMIFS('01. KE30'!$AA:$AA,'01. KE30'!$C:$C,'06. BC BH THEO CUSTOMER-USD'!$D116,'01. KE30'!$F:$F,'06. BC BH THEO CUSTOMER-USD'!$H116,'01. KE30'!$A:$A,'06. BC BH THEO CUSTOMER-USD'!ED$4),"-")</f>
        <v>0</v>
      </c>
      <c r="EE116" s="114">
        <f>IFERROR(SUMIFS('01. KE30'!$X:$X,'01. KE30'!$C:$C,'06. BC BH THEO CUSTOMER-USD'!$D116,'01. KE30'!$F:$F,'06. BC BH THEO CUSTOMER-USD'!$H116,'01. KE30'!$A:$A,'06. BC BH THEO CUSTOMER-USD'!EE$4)-SUMIFS('01. KE30'!$AA:$AA,'01. KE30'!$C:$C,'06. BC BH THEO CUSTOMER-USD'!$D116,'01. KE30'!$F:$F,'06. BC BH THEO CUSTOMER-USD'!$H116,'01. KE30'!$A:$A,'06. BC BH THEO CUSTOMER-USD'!EE$4),"-")</f>
        <v>0</v>
      </c>
      <c r="EF116" s="114">
        <f>IFERROR(SUMIFS('01. KE30'!$X:$X,'01. KE30'!$C:$C,'06. BC BH THEO CUSTOMER-USD'!$D116,'01. KE30'!$F:$F,'06. BC BH THEO CUSTOMER-USD'!$H116,'01. KE30'!$A:$A,'06. BC BH THEO CUSTOMER-USD'!EF$4)-SUMIFS('01. KE30'!$AA:$AA,'01. KE30'!$C:$C,'06. BC BH THEO CUSTOMER-USD'!$D116,'01. KE30'!$F:$F,'06. BC BH THEO CUSTOMER-USD'!$H116,'01. KE30'!$A:$A,'06. BC BH THEO CUSTOMER-USD'!EF$4),"-")</f>
        <v>0</v>
      </c>
      <c r="EH116" s="571">
        <f t="shared" si="531"/>
        <v>-0.3473056791540034</v>
      </c>
      <c r="EI116" s="572" t="str">
        <f t="shared" si="532"/>
        <v>-</v>
      </c>
      <c r="EJ116" s="572" t="str">
        <f t="shared" si="533"/>
        <v>-</v>
      </c>
      <c r="EK116" s="572" t="str">
        <f t="shared" si="534"/>
        <v>-</v>
      </c>
      <c r="EL116" s="572" t="str">
        <f t="shared" si="535"/>
        <v>-</v>
      </c>
      <c r="EM116" s="572" t="str">
        <f t="shared" si="536"/>
        <v>-</v>
      </c>
      <c r="EN116" s="572">
        <f t="shared" si="537"/>
        <v>-0.3473056791540034</v>
      </c>
      <c r="EO116" s="572" t="str">
        <f t="shared" si="538"/>
        <v>-</v>
      </c>
      <c r="EP116" s="572" t="str">
        <f t="shared" si="539"/>
        <v>-</v>
      </c>
      <c r="EQ116" s="572" t="str">
        <f t="shared" si="540"/>
        <v>-</v>
      </c>
      <c r="ER116" s="572" t="str">
        <f t="shared" si="541"/>
        <v>-</v>
      </c>
      <c r="ES116" s="572" t="str">
        <f t="shared" si="542"/>
        <v>-</v>
      </c>
      <c r="ET116" s="572" t="str">
        <f t="shared" si="543"/>
        <v>-</v>
      </c>
    </row>
    <row r="117" spans="1:150" ht="15.5" hidden="1" outlineLevel="1" x14ac:dyDescent="0.35">
      <c r="A117" s="27">
        <f t="shared" ref="A117:A122" si="1163">A116+1</f>
        <v>2</v>
      </c>
      <c r="B117" s="27" t="s">
        <v>95</v>
      </c>
      <c r="C117" s="442" t="s">
        <v>489</v>
      </c>
      <c r="D117" s="9" t="s">
        <v>899</v>
      </c>
      <c r="E117" s="12" t="s">
        <v>900</v>
      </c>
      <c r="F117" s="12" t="s">
        <v>245</v>
      </c>
      <c r="G117" s="12" t="str">
        <f>_xlfn.XLOOKUP(F117,'Quy đổi'!$G$5:$G$32,'Quy đổi'!$H$5:$H$32,0)</f>
        <v>Nội địa</v>
      </c>
      <c r="H117" s="76" t="s">
        <v>87</v>
      </c>
      <c r="I117" s="7" t="s">
        <v>86</v>
      </c>
      <c r="J117" s="13" t="s">
        <v>22</v>
      </c>
      <c r="K117" s="11" t="s">
        <v>90</v>
      </c>
      <c r="L117" s="92">
        <f t="shared" ref="L117:L126" si="1164">IFERROR(AVERAGE(M117:X117),"-")</f>
        <v>664.30890780797938</v>
      </c>
      <c r="M117" s="106" t="str">
        <f>IFERROR(SUMIFS('01. KE30'!$K:$K,'01. KE30'!$C:$C,'06. BC BH THEO CUSTOMER-USD'!$D117,'01. KE30'!$F:$F,'06. BC BH THEO CUSTOMER-USD'!$H117,'01. KE30'!$A:$A,'06. BC BH THEO CUSTOMER-USD'!M$4)/'06. BC BH THEO CUSTOMER-USD'!CS117/'02. Tỷ giá'!B$5,"-")</f>
        <v>-</v>
      </c>
      <c r="N117" s="106" t="str">
        <f>IFERROR(SUMIFS('01. KE30'!$K:$K,'01. KE30'!$C:$C,'06. BC BH THEO CUSTOMER-USD'!$D117,'01. KE30'!$F:$F,'06. BC BH THEO CUSTOMER-USD'!$H117,'01. KE30'!$A:$A,'06. BC BH THEO CUSTOMER-USD'!N$4)/'06. BC BH THEO CUSTOMER-USD'!CT117/'02. Tỷ giá'!C$5,"-")</f>
        <v>-</v>
      </c>
      <c r="O117" s="106" t="str">
        <f>IFERROR(SUMIFS('01. KE30'!$K:$K,'01. KE30'!$C:$C,'06. BC BH THEO CUSTOMER-USD'!$D117,'01. KE30'!$F:$F,'06. BC BH THEO CUSTOMER-USD'!$H117,'01. KE30'!$A:$A,'06. BC BH THEO CUSTOMER-USD'!O$4)/'06. BC BH THEO CUSTOMER-USD'!CU117/'02. Tỷ giá'!D$5,"-")</f>
        <v>-</v>
      </c>
      <c r="P117" s="106" t="str">
        <f>IFERROR(SUMIFS('01. KE30'!$K:$K,'01. KE30'!$C:$C,'06. BC BH THEO CUSTOMER-USD'!$D117,'01. KE30'!$F:$F,'06. BC BH THEO CUSTOMER-USD'!$H117,'01. KE30'!$A:$A,'06. BC BH THEO CUSTOMER-USD'!P$4)/'06. BC BH THEO CUSTOMER-USD'!CV117/'02. Tỷ giá'!E$5,"-")</f>
        <v>-</v>
      </c>
      <c r="Q117" s="106" t="str">
        <f>IFERROR(SUMIFS('01. KE30'!$K:$K,'01. KE30'!$C:$C,'06. BC BH THEO CUSTOMER-USD'!$D117,'01. KE30'!$F:$F,'06. BC BH THEO CUSTOMER-USD'!$H117,'01. KE30'!$A:$A,'06. BC BH THEO CUSTOMER-USD'!Q$4)/'06. BC BH THEO CUSTOMER-USD'!CW117/'02. Tỷ giá'!F$5,"-")</f>
        <v>-</v>
      </c>
      <c r="R117" s="106">
        <f>IFERROR(SUMIFS('01. KE30'!$K:$K,'01. KE30'!$C:$C,'06. BC BH THEO CUSTOMER-USD'!$D117,'01. KE30'!$F:$F,'06. BC BH THEO CUSTOMER-USD'!$H117,'01. KE30'!$A:$A,'06. BC BH THEO CUSTOMER-USD'!R$4)/'06. BC BH THEO CUSTOMER-USD'!CX117/'02. Tỷ giá'!G$5,"-")</f>
        <v>675.15432098765427</v>
      </c>
      <c r="S117" s="106">
        <f>IFERROR(SUMIFS('01. KE30'!$K:$K,'01. KE30'!$C:$C,'06. BC BH THEO CUSTOMER-USD'!$D117,'01. KE30'!$F:$F,'06. BC BH THEO CUSTOMER-USD'!$H117,'01. KE30'!$A:$A,'06. BC BH THEO CUSTOMER-USD'!S$4)/'06. BC BH THEO CUSTOMER-USD'!CY117/'02. Tỷ giá'!H$5,"-")</f>
        <v>668.4217530856348</v>
      </c>
      <c r="T117" s="106">
        <f>IFERROR(SUMIFS('01. KE30'!$K:$K,'01. KE30'!$C:$C,'06. BC BH THEO CUSTOMER-USD'!$D117,'01. KE30'!$F:$F,'06. BC BH THEO CUSTOMER-USD'!$H117,'01. KE30'!$A:$A,'06. BC BH THEO CUSTOMER-USD'!T$4)/'06. BC BH THEO CUSTOMER-USD'!CZ117/'02. Tỷ giá'!I$5,"-")</f>
        <v>649.35064935064941</v>
      </c>
      <c r="U117" s="106" t="str">
        <f>IFERROR(SUMIFS('01. KE30'!$K:$K,'01. KE30'!$C:$C,'06. BC BH THEO CUSTOMER-USD'!$D117,'01. KE30'!$F:$F,'06. BC BH THEO CUSTOMER-USD'!$H117,'01. KE30'!$A:$A,'06. BC BH THEO CUSTOMER-USD'!U$4)/'06. BC BH THEO CUSTOMER-USD'!DA117/'02. Tỷ giá'!J$5,"-")</f>
        <v>-</v>
      </c>
      <c r="V117" s="106" t="str">
        <f>IFERROR(SUMIFS('01. KE30'!$K:$K,'01. KE30'!$C:$C,'06. BC BH THEO CUSTOMER-USD'!$D117,'01. KE30'!$F:$F,'06. BC BH THEO CUSTOMER-USD'!$H117,'01. KE30'!$A:$A,'06. BC BH THEO CUSTOMER-USD'!V$4)/'06. BC BH THEO CUSTOMER-USD'!DB117/'02. Tỷ giá'!K$5,"-")</f>
        <v>-</v>
      </c>
      <c r="W117" s="106" t="str">
        <f>IFERROR(SUMIFS('01. KE30'!$K:$K,'01. KE30'!$C:$C,'06. BC BH THEO CUSTOMER-USD'!$D117,'01. KE30'!$F:$F,'06. BC BH THEO CUSTOMER-USD'!$H117,'01. KE30'!$A:$A,'06. BC BH THEO CUSTOMER-USD'!W$4)/'06. BC BH THEO CUSTOMER-USD'!DC117/'02. Tỷ giá'!L$5,"-")</f>
        <v>-</v>
      </c>
      <c r="X117" s="106" t="str">
        <f>IFERROR(SUMIFS('01. KE30'!$K:$K,'01. KE30'!$C:$C,'06. BC BH THEO CUSTOMER-USD'!$D117,'01. KE30'!$F:$F,'06. BC BH THEO CUSTOMER-USD'!$H117,'01. KE30'!$A:$A,'06. BC BH THEO CUSTOMER-USD'!X$4)/'06. BC BH THEO CUSTOMER-USD'!DD117/'02. Tỷ giá'!M$5,"-")</f>
        <v>-</v>
      </c>
      <c r="Z117" s="92">
        <f t="shared" si="1145"/>
        <v>664.30890780797938</v>
      </c>
      <c r="AA117" s="147" t="str">
        <f>IFERROR(SUMIFS('01. KE30'!$O:$O,'01. KE30'!$C:$C,'06. BC BH THEO CUSTOMER-USD'!$D117,'01. KE30'!$F:$F,'06. BC BH THEO CUSTOMER-USD'!$H117,'01. KE30'!$A:$A,'06. BC BH THEO CUSTOMER-USD'!M$4)/'06. BC BH THEO CUSTOMER-USD'!CS117/'02. Tỷ giá'!B$5,"-")</f>
        <v>-</v>
      </c>
      <c r="AB117" s="147" t="str">
        <f>IFERROR(SUMIFS('01. KE30'!$O:$O,'01. KE30'!$C:$C,'06. BC BH THEO CUSTOMER-USD'!$D117,'01. KE30'!$F:$F,'06. BC BH THEO CUSTOMER-USD'!$H117,'01. KE30'!$A:$A,'06. BC BH THEO CUSTOMER-USD'!N$4)/'06. BC BH THEO CUSTOMER-USD'!CT117/'02. Tỷ giá'!C$5,"-")</f>
        <v>-</v>
      </c>
      <c r="AC117" s="147" t="str">
        <f>IFERROR(SUMIFS('01. KE30'!$O:$O,'01. KE30'!$C:$C,'06. BC BH THEO CUSTOMER-USD'!$D117,'01. KE30'!$F:$F,'06. BC BH THEO CUSTOMER-USD'!$H117,'01. KE30'!$A:$A,'06. BC BH THEO CUSTOMER-USD'!O$4)/'06. BC BH THEO CUSTOMER-USD'!CU117/'02. Tỷ giá'!D$5,"-")</f>
        <v>-</v>
      </c>
      <c r="AD117" s="147" t="str">
        <f>IFERROR(SUMIFS('01. KE30'!$O:$O,'01. KE30'!$C:$C,'06. BC BH THEO CUSTOMER-USD'!$D117,'01. KE30'!$F:$F,'06. BC BH THEO CUSTOMER-USD'!$H117,'01. KE30'!$A:$A,'06. BC BH THEO CUSTOMER-USD'!P$4)/'06. BC BH THEO CUSTOMER-USD'!CV117/'02. Tỷ giá'!E$5,"-")</f>
        <v>-</v>
      </c>
      <c r="AE117" s="147" t="str">
        <f>IFERROR(SUMIFS('01. KE30'!$O:$O,'01. KE30'!$C:$C,'06. BC BH THEO CUSTOMER-USD'!$D117,'01. KE30'!$F:$F,'06. BC BH THEO CUSTOMER-USD'!$H117,'01. KE30'!$A:$A,'06. BC BH THEO CUSTOMER-USD'!Q$4)/'06. BC BH THEO CUSTOMER-USD'!CW117/'02. Tỷ giá'!F$5,"-")</f>
        <v>-</v>
      </c>
      <c r="AF117" s="147">
        <f>IFERROR(SUMIFS('01. KE30'!$O:$O,'01. KE30'!$C:$C,'06. BC BH THEO CUSTOMER-USD'!$D117,'01. KE30'!$F:$F,'06. BC BH THEO CUSTOMER-USD'!$H117,'01. KE30'!$A:$A,'06. BC BH THEO CUSTOMER-USD'!R$4)/'06. BC BH THEO CUSTOMER-USD'!CX117/'02. Tỷ giá'!G$5,"-")</f>
        <v>675.15432098765427</v>
      </c>
      <c r="AG117" s="147">
        <f>IFERROR(SUMIFS('01. KE30'!$O:$O,'01. KE30'!$C:$C,'06. BC BH THEO CUSTOMER-USD'!$D117,'01. KE30'!$F:$F,'06. BC BH THEO CUSTOMER-USD'!$H117,'01. KE30'!$A:$A,'06. BC BH THEO CUSTOMER-USD'!S$4)/'06. BC BH THEO CUSTOMER-USD'!CY117/'02. Tỷ giá'!H$5,"-")</f>
        <v>668.4217530856348</v>
      </c>
      <c r="AH117" s="147">
        <f>IFERROR(SUMIFS('01. KE30'!$O:$O,'01. KE30'!$C:$C,'06. BC BH THEO CUSTOMER-USD'!$D117,'01. KE30'!$F:$F,'06. BC BH THEO CUSTOMER-USD'!$H117,'01. KE30'!$A:$A,'06. BC BH THEO CUSTOMER-USD'!T$4)/'06. BC BH THEO CUSTOMER-USD'!CZ117/'02. Tỷ giá'!I$5,"-")</f>
        <v>649.35064935064941</v>
      </c>
      <c r="AI117" s="147" t="str">
        <f>IFERROR(SUMIFS('01. KE30'!$O:$O,'01. KE30'!$C:$C,'06. BC BH THEO CUSTOMER-USD'!$D117,'01. KE30'!$F:$F,'06. BC BH THEO CUSTOMER-USD'!$H117,'01. KE30'!$A:$A,'06. BC BH THEO CUSTOMER-USD'!U$4)/'06. BC BH THEO CUSTOMER-USD'!DA117/'02. Tỷ giá'!J$5,"-")</f>
        <v>-</v>
      </c>
      <c r="AJ117" s="147" t="str">
        <f>IFERROR(SUMIFS('01. KE30'!$O:$O,'01. KE30'!$C:$C,'06. BC BH THEO CUSTOMER-USD'!$D117,'01. KE30'!$F:$F,'06. BC BH THEO CUSTOMER-USD'!$H117,'01. KE30'!$A:$A,'06. BC BH THEO CUSTOMER-USD'!V$4)/'06. BC BH THEO CUSTOMER-USD'!DB117/'02. Tỷ giá'!K$5,"-")</f>
        <v>-</v>
      </c>
      <c r="AK117" s="147" t="str">
        <f>IFERROR(SUMIFS('01. KE30'!$O:$O,'01. KE30'!$C:$C,'06. BC BH THEO CUSTOMER-USD'!$D117,'01. KE30'!$F:$F,'06. BC BH THEO CUSTOMER-USD'!$H117,'01. KE30'!$A:$A,'06. BC BH THEO CUSTOMER-USD'!W$4)/'06. BC BH THEO CUSTOMER-USD'!DC117/'02. Tỷ giá'!L$5,"-")</f>
        <v>-</v>
      </c>
      <c r="AL117" s="147" t="str">
        <f>IFERROR(SUMIFS('01. KE30'!$O:$O,'01. KE30'!$C:$C,'06. BC BH THEO CUSTOMER-USD'!$D117,'01. KE30'!$F:$F,'06. BC BH THEO CUSTOMER-USD'!$H117,'01. KE30'!$A:$A,'06. BC BH THEO CUSTOMER-USD'!X$4)/'06. BC BH THEO CUSTOMER-USD'!DD117/'02. Tỷ giá'!M$5,"-")</f>
        <v>-</v>
      </c>
      <c r="AN117" s="55">
        <f t="shared" si="1146"/>
        <v>862.22222222222217</v>
      </c>
      <c r="AO117" s="4">
        <v>950</v>
      </c>
      <c r="AP117" s="4">
        <v>950</v>
      </c>
      <c r="AQ117" s="4">
        <v>950</v>
      </c>
      <c r="AR117" s="4">
        <v>950</v>
      </c>
      <c r="AS117" s="4">
        <v>800</v>
      </c>
      <c r="AT117" s="4">
        <v>800</v>
      </c>
      <c r="AU117" s="4">
        <v>800</v>
      </c>
      <c r="AV117" s="4">
        <f t="shared" ref="AV117:AV126" si="1165">AU117-20</f>
        <v>780</v>
      </c>
      <c r="AW117" s="4">
        <v>780</v>
      </c>
      <c r="AX117" s="4"/>
      <c r="AY117" s="4"/>
      <c r="AZ117" s="4"/>
      <c r="BB117" s="95">
        <f t="shared" si="637"/>
        <v>-197.91331441424279</v>
      </c>
      <c r="BC117" s="95" t="str">
        <f t="shared" si="638"/>
        <v>-</v>
      </c>
      <c r="BD117" s="95" t="str">
        <f t="shared" si="1147"/>
        <v>-</v>
      </c>
      <c r="BE117" s="95" t="str">
        <f t="shared" si="1147"/>
        <v>-</v>
      </c>
      <c r="BF117" s="95" t="str">
        <f t="shared" si="1147"/>
        <v>-</v>
      </c>
      <c r="BG117" s="95" t="str">
        <f t="shared" si="1147"/>
        <v>-</v>
      </c>
      <c r="BH117" s="95">
        <f t="shared" si="1147"/>
        <v>-124.84567901234573</v>
      </c>
      <c r="BI117" s="95">
        <f t="shared" si="1147"/>
        <v>-131.5782469143652</v>
      </c>
      <c r="BJ117" s="95">
        <f t="shared" si="1147"/>
        <v>-130.64935064935059</v>
      </c>
      <c r="BK117" s="95" t="str">
        <f t="shared" si="1147"/>
        <v>-</v>
      </c>
      <c r="BL117" s="95" t="str">
        <f t="shared" si="1147"/>
        <v>-</v>
      </c>
      <c r="BM117" s="95" t="str">
        <f t="shared" si="1147"/>
        <v>-</v>
      </c>
      <c r="BN117" s="95" t="str">
        <f t="shared" si="1147"/>
        <v>-</v>
      </c>
      <c r="BP117" s="143">
        <f t="shared" si="639"/>
        <v>-0.22953863785157025</v>
      </c>
      <c r="BQ117" s="143" t="str">
        <f t="shared" si="517"/>
        <v>-</v>
      </c>
      <c r="BR117" s="143" t="str">
        <f t="shared" si="518"/>
        <v>-</v>
      </c>
      <c r="BS117" s="143" t="str">
        <f t="shared" si="519"/>
        <v>-</v>
      </c>
      <c r="BT117" s="143" t="str">
        <f t="shared" si="520"/>
        <v>-</v>
      </c>
      <c r="BU117" s="143" t="str">
        <f t="shared" si="521"/>
        <v>-</v>
      </c>
      <c r="BV117" s="143">
        <f t="shared" si="522"/>
        <v>-0.15605709876543217</v>
      </c>
      <c r="BW117" s="143">
        <f t="shared" si="523"/>
        <v>-0.16447280864295649</v>
      </c>
      <c r="BX117" s="143">
        <f t="shared" si="524"/>
        <v>-0.16749916749916743</v>
      </c>
      <c r="BY117" s="143" t="str">
        <f t="shared" si="525"/>
        <v>-</v>
      </c>
      <c r="BZ117" s="143" t="str">
        <f t="shared" si="526"/>
        <v>-</v>
      </c>
      <c r="CA117" s="143" t="str">
        <f t="shared" si="527"/>
        <v>-</v>
      </c>
      <c r="CB117" s="143" t="str">
        <f t="shared" si="528"/>
        <v>-</v>
      </c>
      <c r="CD117" s="112">
        <f t="shared" si="1148"/>
        <v>999.2261260499273</v>
      </c>
      <c r="CE117" s="95" t="str">
        <f>IFERROR(SUMIFS('01. KE30'!$R:$R,'01. KE30'!$C:$C,'06. BC BH THEO CUSTOMER-USD'!$D117,'01. KE30'!$F:$F,'06. BC BH THEO CUSTOMER-USD'!$H117,'01. KE30'!$A:$A,'06. BC BH THEO CUSTOMER-USD'!CE$4)/CS117/'02. Tỷ giá'!B$5," -")</f>
        <v xml:space="preserve"> -</v>
      </c>
      <c r="CF117" s="95" t="str">
        <f>IFERROR(SUMIFS('01. KE30'!$R:$R,'01. KE30'!$C:$C,'06. BC BH THEO CUSTOMER-USD'!$D117,'01. KE30'!$F:$F,'06. BC BH THEO CUSTOMER-USD'!$H117,'01. KE30'!$A:$A,'06. BC BH THEO CUSTOMER-USD'!CF$4)/CT117/'02. Tỷ giá'!C$5," -")</f>
        <v xml:space="preserve"> -</v>
      </c>
      <c r="CG117" s="95" t="str">
        <f>IFERROR(SUMIFS('01. KE30'!$R:$R,'01. KE30'!$C:$C,'06. BC BH THEO CUSTOMER-USD'!$D117,'01. KE30'!$F:$F,'06. BC BH THEO CUSTOMER-USD'!$H117,'01. KE30'!$A:$A,'06. BC BH THEO CUSTOMER-USD'!CG$4)/CU117/'02. Tỷ giá'!D$5," -")</f>
        <v xml:space="preserve"> -</v>
      </c>
      <c r="CH117" s="95" t="str">
        <f>IFERROR(SUMIFS('01. KE30'!$R:$R,'01. KE30'!$C:$C,'06. BC BH THEO CUSTOMER-USD'!$D117,'01. KE30'!$F:$F,'06. BC BH THEO CUSTOMER-USD'!$H117,'01. KE30'!$A:$A,'06. BC BH THEO CUSTOMER-USD'!CH$4)/CV117/'02. Tỷ giá'!E$5," -")</f>
        <v xml:space="preserve"> -</v>
      </c>
      <c r="CI117" s="95" t="str">
        <f>IFERROR(SUMIFS('01. KE30'!$R:$R,'01. KE30'!$C:$C,'06. BC BH THEO CUSTOMER-USD'!$D117,'01. KE30'!$F:$F,'06. BC BH THEO CUSTOMER-USD'!$H117,'01. KE30'!$A:$A,'06. BC BH THEO CUSTOMER-USD'!CI$4)/CW117/'02. Tỷ giá'!F$5," -")</f>
        <v xml:space="preserve"> -</v>
      </c>
      <c r="CJ117" s="95">
        <f>IFERROR(SUMIFS('01. KE30'!$R:$R,'01. KE30'!$C:$C,'06. BC BH THEO CUSTOMER-USD'!$D117,'01. KE30'!$F:$F,'06. BC BH THEO CUSTOMER-USD'!$H117,'01. KE30'!$A:$A,'06. BC BH THEO CUSTOMER-USD'!CJ$4)/CX117/'02. Tỷ giá'!G$5," -")</f>
        <v>956.82665952644197</v>
      </c>
      <c r="CK117" s="95">
        <f>IFERROR(SUMIFS('01. KE30'!$R:$R,'01. KE30'!$C:$C,'06. BC BH THEO CUSTOMER-USD'!$D117,'01. KE30'!$F:$F,'06. BC BH THEO CUSTOMER-USD'!$H117,'01. KE30'!$A:$A,'06. BC BH THEO CUSTOMER-USD'!CK$4)/CY117/'02. Tỷ giá'!H$5," -")</f>
        <v>966.00889114813117</v>
      </c>
      <c r="CL117" s="95">
        <f>IFERROR(SUMIFS('01. KE30'!$R:$R,'01. KE30'!$C:$C,'06. BC BH THEO CUSTOMER-USD'!$D117,'01. KE30'!$F:$F,'06. BC BH THEO CUSTOMER-USD'!$H117,'01. KE30'!$A:$A,'06. BC BH THEO CUSTOMER-USD'!CL$4)/CZ117/'02. Tỷ giá'!I$5," -")</f>
        <v>1074.8428274752089</v>
      </c>
      <c r="CM117" s="95" t="str">
        <f>IFERROR(SUMIFS('01. KE30'!$R:$R,'01. KE30'!$C:$C,'06. BC BH THEO CUSTOMER-USD'!$D117,'01. KE30'!$F:$F,'06. BC BH THEO CUSTOMER-USD'!$H117,'01. KE30'!$A:$A,'06. BC BH THEO CUSTOMER-USD'!CM$4)/DA117/'02. Tỷ giá'!J$5," -")</f>
        <v xml:space="preserve"> -</v>
      </c>
      <c r="CN117" s="95" t="str">
        <f>IFERROR(SUMIFS('01. KE30'!$R:$R,'01. KE30'!$C:$C,'06. BC BH THEO CUSTOMER-USD'!$D117,'01. KE30'!$F:$F,'06. BC BH THEO CUSTOMER-USD'!$H117,'01. KE30'!$A:$A,'06. BC BH THEO CUSTOMER-USD'!CN$4)/DB117/'02. Tỷ giá'!K$5," -")</f>
        <v xml:space="preserve"> -</v>
      </c>
      <c r="CO117" s="95" t="str">
        <f>IFERROR(SUMIFS('01. KE30'!$R:$R,'01. KE30'!$C:$C,'06. BC BH THEO CUSTOMER-USD'!$D117,'01. KE30'!$F:$F,'06. BC BH THEO CUSTOMER-USD'!$H117,'01. KE30'!$A:$A,'06. BC BH THEO CUSTOMER-USD'!CO$4)/DC117/'02. Tỷ giá'!L$5," -")</f>
        <v xml:space="preserve"> -</v>
      </c>
      <c r="CP117" s="95" t="str">
        <f>IFERROR(SUMIFS('01. KE30'!$R:$R,'01. KE30'!$C:$C,'06. BC BH THEO CUSTOMER-USD'!$D117,'01. KE30'!$F:$F,'06. BC BH THEO CUSTOMER-USD'!$H117,'01. KE30'!$A:$A,'06. BC BH THEO CUSTOMER-USD'!CP$4)/DD117/'02. Tỷ giá'!M$5," -")</f>
        <v xml:space="preserve"> -</v>
      </c>
      <c r="CR117" s="112">
        <f t="shared" si="1149"/>
        <v>347.95</v>
      </c>
      <c r="CS117" s="114">
        <f>SUMIFS('01. KE30'!$I:$I,'01. KE30'!$C:$C,'06. BC BH THEO CUSTOMER-USD'!$D117,'01. KE30'!$F:$F,'06. BC BH THEO CUSTOMER-USD'!$H117,'01. KE30'!$A:$A,'06. BC BH THEO CUSTOMER-USD'!CS$4)/1000</f>
        <v>0</v>
      </c>
      <c r="CT117" s="114">
        <f>SUMIFS('01. KE30'!$I:$I,'01. KE30'!$C:$C,'06. BC BH THEO CUSTOMER-USD'!$D117,'01. KE30'!$F:$F,'06. BC BH THEO CUSTOMER-USD'!$H117,'01. KE30'!$A:$A,'06. BC BH THEO CUSTOMER-USD'!CT$4)/1000</f>
        <v>0</v>
      </c>
      <c r="CU117" s="114">
        <f>SUMIFS('01. KE30'!$I:$I,'01. KE30'!$C:$C,'06. BC BH THEO CUSTOMER-USD'!$D117,'01. KE30'!$F:$F,'06. BC BH THEO CUSTOMER-USD'!$H117,'01. KE30'!$A:$A,'06. BC BH THEO CUSTOMER-USD'!CU$4)/1000</f>
        <v>0</v>
      </c>
      <c r="CV117" s="114">
        <f>SUMIFS('01. KE30'!$I:$I,'01. KE30'!$C:$C,'06. BC BH THEO CUSTOMER-USD'!$D117,'01. KE30'!$F:$F,'06. BC BH THEO CUSTOMER-USD'!$H117,'01. KE30'!$A:$A,'06. BC BH THEO CUSTOMER-USD'!CV$4)/1000</f>
        <v>0</v>
      </c>
      <c r="CW117" s="114">
        <f>SUMIFS('01. KE30'!$I:$I,'01. KE30'!$C:$C,'06. BC BH THEO CUSTOMER-USD'!$D117,'01. KE30'!$F:$F,'06. BC BH THEO CUSTOMER-USD'!$H117,'01. KE30'!$A:$A,'06. BC BH THEO CUSTOMER-USD'!CW$4)/1000</f>
        <v>0</v>
      </c>
      <c r="CX117" s="114">
        <f>SUMIFS('01. KE30'!$I:$I,'01. KE30'!$C:$C,'06. BC BH THEO CUSTOMER-USD'!$D117,'01. KE30'!$F:$F,'06. BC BH THEO CUSTOMER-USD'!$H117,'01. KE30'!$A:$A,'06. BC BH THEO CUSTOMER-USD'!CX$4)/1000</f>
        <v>46.9</v>
      </c>
      <c r="CY117" s="114">
        <f>SUMIFS('01. KE30'!$I:$I,'01. KE30'!$C:$C,'06. BC BH THEO CUSTOMER-USD'!$D117,'01. KE30'!$F:$F,'06. BC BH THEO CUSTOMER-USD'!$H117,'01. KE30'!$A:$A,'06. BC BH THEO CUSTOMER-USD'!CY$4)/1000</f>
        <v>249.55</v>
      </c>
      <c r="CZ117" s="114">
        <f>SUMIFS('01. KE30'!$I:$I,'01. KE30'!$C:$C,'06. BC BH THEO CUSTOMER-USD'!$D117,'01. KE30'!$F:$F,'06. BC BH THEO CUSTOMER-USD'!$H117,'01. KE30'!$A:$A,'06. BC BH THEO CUSTOMER-USD'!CZ$4)/1000</f>
        <v>51.5</v>
      </c>
      <c r="DA117" s="114">
        <f>SUMIFS('01. KE30'!$I:$I,'01. KE30'!$C:$C,'06. BC BH THEO CUSTOMER-USD'!$D117,'01. KE30'!$F:$F,'06. BC BH THEO CUSTOMER-USD'!$H117,'01. KE30'!$A:$A,'06. BC BH THEO CUSTOMER-USD'!DA$4)/1000</f>
        <v>0</v>
      </c>
      <c r="DB117" s="114">
        <f>SUMIFS('01. KE30'!$I:$I,'01. KE30'!$C:$C,'06. BC BH THEO CUSTOMER-USD'!$D117,'01. KE30'!$F:$F,'06. BC BH THEO CUSTOMER-USD'!$H117,'01. KE30'!$A:$A,'06. BC BH THEO CUSTOMER-USD'!DB$4)/1000</f>
        <v>0</v>
      </c>
      <c r="DC117" s="114">
        <f>SUMIFS('01. KE30'!$I:$I,'01. KE30'!$C:$C,'06. BC BH THEO CUSTOMER-USD'!$D117,'01. KE30'!$F:$F,'06. BC BH THEO CUSTOMER-USD'!$H117,'01. KE30'!$A:$A,'06. BC BH THEO CUSTOMER-USD'!DC$4)/1000</f>
        <v>0</v>
      </c>
      <c r="DD117" s="114">
        <f>SUMIFS('01. KE30'!$I:$I,'01. KE30'!$C:$C,'06. BC BH THEO CUSTOMER-USD'!$D117,'01. KE30'!$F:$F,'06. BC BH THEO CUSTOMER-USD'!$H117,'01. KE30'!$A:$A,'06. BC BH THEO CUSTOMER-USD'!DD$4)/1000</f>
        <v>0</v>
      </c>
      <c r="DF117" s="112">
        <f t="shared" si="1150"/>
        <v>231910.94457839959</v>
      </c>
      <c r="DG117" s="54" t="str">
        <f t="shared" si="1151"/>
        <v>-</v>
      </c>
      <c r="DH117" s="54" t="str">
        <f t="shared" si="1152"/>
        <v>-</v>
      </c>
      <c r="DI117" s="54" t="str">
        <f t="shared" si="1153"/>
        <v>-</v>
      </c>
      <c r="DJ117" s="54" t="str">
        <f t="shared" si="1154"/>
        <v>-</v>
      </c>
      <c r="DK117" s="54" t="str">
        <f t="shared" si="1155"/>
        <v>-</v>
      </c>
      <c r="DL117" s="54">
        <f t="shared" si="1156"/>
        <v>31664.737654320983</v>
      </c>
      <c r="DM117" s="54">
        <f t="shared" si="1157"/>
        <v>166804.64848252016</v>
      </c>
      <c r="DN117" s="54">
        <f t="shared" si="1158"/>
        <v>33441.558441558445</v>
      </c>
      <c r="DO117" s="54" t="str">
        <f t="shared" si="1159"/>
        <v>-</v>
      </c>
      <c r="DP117" s="54" t="str">
        <f t="shared" si="1160"/>
        <v>-</v>
      </c>
      <c r="DQ117" s="54" t="str">
        <f t="shared" si="1161"/>
        <v>-</v>
      </c>
      <c r="DR117" s="54" t="str">
        <f t="shared" si="1162"/>
        <v>-</v>
      </c>
      <c r="DT117" s="112">
        <f t="shared" si="652"/>
        <v>-109386.15015437992</v>
      </c>
      <c r="DU117" s="114">
        <f>IFERROR(SUMIFS('01. KE30'!$X:$X,'01. KE30'!$C:$C,'06. BC BH THEO CUSTOMER-USD'!$D117,'01. KE30'!$F:$F,'06. BC BH THEO CUSTOMER-USD'!$H117,'01. KE30'!$A:$A,'06. BC BH THEO CUSTOMER-USD'!DU$4)-SUMIFS('01. KE30'!$AA:$AA,'01. KE30'!$C:$C,'06. BC BH THEO CUSTOMER-USD'!$D117,'01. KE30'!$F:$F,'06. BC BH THEO CUSTOMER-USD'!$H117,'01. KE30'!$A:$A,'06. BC BH THEO CUSTOMER-USD'!DU$4),"-")</f>
        <v>0</v>
      </c>
      <c r="DV117" s="114">
        <f>IFERROR(SUMIFS('01. KE30'!$X:$X,'01. KE30'!$C:$C,'06. BC BH THEO CUSTOMER-USD'!$D117,'01. KE30'!$F:$F,'06. BC BH THEO CUSTOMER-USD'!$H117,'01. KE30'!$A:$A,'06. BC BH THEO CUSTOMER-USD'!DV$4)-SUMIFS('01. KE30'!$AA:$AA,'01. KE30'!$C:$C,'06. BC BH THEO CUSTOMER-USD'!$D117,'01. KE30'!$F:$F,'06. BC BH THEO CUSTOMER-USD'!$H117,'01. KE30'!$A:$A,'06. BC BH THEO CUSTOMER-USD'!DV$4),"-")</f>
        <v>0</v>
      </c>
      <c r="DW117" s="114">
        <f>IFERROR(SUMIFS('01. KE30'!$X:$X,'01. KE30'!$C:$C,'06. BC BH THEO CUSTOMER-USD'!$D117,'01. KE30'!$F:$F,'06. BC BH THEO CUSTOMER-USD'!$H117,'01. KE30'!$A:$A,'06. BC BH THEO CUSTOMER-USD'!DW$4)-SUMIFS('01. KE30'!$AA:$AA,'01. KE30'!$C:$C,'06. BC BH THEO CUSTOMER-USD'!$D117,'01. KE30'!$F:$F,'06. BC BH THEO CUSTOMER-USD'!$H117,'01. KE30'!$A:$A,'06. BC BH THEO CUSTOMER-USD'!DW$4),"-")</f>
        <v>0</v>
      </c>
      <c r="DX117" s="114">
        <f>IFERROR(SUMIFS('01. KE30'!$X:$X,'01. KE30'!$C:$C,'06. BC BH THEO CUSTOMER-USD'!$D117,'01. KE30'!$F:$F,'06. BC BH THEO CUSTOMER-USD'!$H117,'01. KE30'!$A:$A,'06. BC BH THEO CUSTOMER-USD'!DX$4)-SUMIFS('01. KE30'!$AA:$AA,'01. KE30'!$C:$C,'06. BC BH THEO CUSTOMER-USD'!$D117,'01. KE30'!$F:$F,'06. BC BH THEO CUSTOMER-USD'!$H117,'01. KE30'!$A:$A,'06. BC BH THEO CUSTOMER-USD'!DX$4),"-")</f>
        <v>0</v>
      </c>
      <c r="DY117" s="114">
        <f>IFERROR(SUMIFS('01. KE30'!$X:$X,'01. KE30'!$C:$C,'06. BC BH THEO CUSTOMER-USD'!$D117,'01. KE30'!$F:$F,'06. BC BH THEO CUSTOMER-USD'!$H117,'01. KE30'!$A:$A,'06. BC BH THEO CUSTOMER-USD'!DY$4)-SUMIFS('01. KE30'!$AA:$AA,'01. KE30'!$C:$C,'06. BC BH THEO CUSTOMER-USD'!$D117,'01. KE30'!$F:$F,'06. BC BH THEO CUSTOMER-USD'!$H117,'01. KE30'!$A:$A,'06. BC BH THEO CUSTOMER-USD'!DY$4),"-")</f>
        <v>0</v>
      </c>
      <c r="DZ117" s="114">
        <f>IFERROR(SUMIFS('01. KE30'!$X:$X,'01. KE30'!$C:$C,'06. BC BH THEO CUSTOMER-USD'!$D117,'01. KE30'!$F:$F,'06. BC BH THEO CUSTOMER-USD'!$H117,'01. KE30'!$A:$A,'06. BC BH THEO CUSTOMER-USD'!DZ$4)-SUMIFS('01. KE30'!$AA:$AA,'01. KE30'!$C:$C,'06. BC BH THEO CUSTOMER-USD'!$D117,'01. KE30'!$F:$F,'06. BC BH THEO CUSTOMER-USD'!$H117,'01. KE30'!$A:$A,'06. BC BH THEO CUSTOMER-USD'!DZ$4),"-")</f>
        <v>-13210.43267746914</v>
      </c>
      <c r="EA117" s="114">
        <f>IFERROR(SUMIFS('01. KE30'!$X:$X,'01. KE30'!$C:$C,'06. BC BH THEO CUSTOMER-USD'!$D117,'01. KE30'!$F:$F,'06. BC BH THEO CUSTOMER-USD'!$H117,'01. KE30'!$A:$A,'06. BC BH THEO CUSTOMER-USD'!EA$4)-SUMIFS('01. KE30'!$AA:$AA,'01. KE30'!$C:$C,'06. BC BH THEO CUSTOMER-USD'!$D117,'01. KE30'!$F:$F,'06. BC BH THEO CUSTOMER-USD'!$H117,'01. KE30'!$A:$A,'06. BC BH THEO CUSTOMER-USD'!EA$4),"-")</f>
        <v>-74262.870303495962</v>
      </c>
      <c r="EB117" s="114">
        <f>IFERROR(SUMIFS('01. KE30'!$X:$X,'01. KE30'!$C:$C,'06. BC BH THEO CUSTOMER-USD'!$D117,'01. KE30'!$F:$F,'06. BC BH THEO CUSTOMER-USD'!$H117,'01. KE30'!$A:$A,'06. BC BH THEO CUSTOMER-USD'!EB$4)-SUMIFS('01. KE30'!$AA:$AA,'01. KE30'!$C:$C,'06. BC BH THEO CUSTOMER-USD'!$D117,'01. KE30'!$F:$F,'06. BC BH THEO CUSTOMER-USD'!$H117,'01. KE30'!$A:$A,'06. BC BH THEO CUSTOMER-USD'!EB$4),"-")</f>
        <v>-21912.847173414826</v>
      </c>
      <c r="EC117" s="114">
        <f>IFERROR(SUMIFS('01. KE30'!$X:$X,'01. KE30'!$C:$C,'06. BC BH THEO CUSTOMER-USD'!$D117,'01. KE30'!$F:$F,'06. BC BH THEO CUSTOMER-USD'!$H117,'01. KE30'!$A:$A,'06. BC BH THEO CUSTOMER-USD'!EC$4)-SUMIFS('01. KE30'!$AA:$AA,'01. KE30'!$C:$C,'06. BC BH THEO CUSTOMER-USD'!$D117,'01. KE30'!$F:$F,'06. BC BH THEO CUSTOMER-USD'!$H117,'01. KE30'!$A:$A,'06. BC BH THEO CUSTOMER-USD'!EC$4),"-")</f>
        <v>0</v>
      </c>
      <c r="ED117" s="114">
        <f>IFERROR(SUMIFS('01. KE30'!$X:$X,'01. KE30'!$C:$C,'06. BC BH THEO CUSTOMER-USD'!$D117,'01. KE30'!$F:$F,'06. BC BH THEO CUSTOMER-USD'!$H117,'01. KE30'!$A:$A,'06. BC BH THEO CUSTOMER-USD'!ED$4)-SUMIFS('01. KE30'!$AA:$AA,'01. KE30'!$C:$C,'06. BC BH THEO CUSTOMER-USD'!$D117,'01. KE30'!$F:$F,'06. BC BH THEO CUSTOMER-USD'!$H117,'01. KE30'!$A:$A,'06. BC BH THEO CUSTOMER-USD'!ED$4),"-")</f>
        <v>0</v>
      </c>
      <c r="EE117" s="114">
        <f>IFERROR(SUMIFS('01. KE30'!$X:$X,'01. KE30'!$C:$C,'06. BC BH THEO CUSTOMER-USD'!$D117,'01. KE30'!$F:$F,'06. BC BH THEO CUSTOMER-USD'!$H117,'01. KE30'!$A:$A,'06. BC BH THEO CUSTOMER-USD'!EE$4)-SUMIFS('01. KE30'!$AA:$AA,'01. KE30'!$C:$C,'06. BC BH THEO CUSTOMER-USD'!$D117,'01. KE30'!$F:$F,'06. BC BH THEO CUSTOMER-USD'!$H117,'01. KE30'!$A:$A,'06. BC BH THEO CUSTOMER-USD'!EE$4),"-")</f>
        <v>0</v>
      </c>
      <c r="EF117" s="114">
        <f>IFERROR(SUMIFS('01. KE30'!$X:$X,'01. KE30'!$C:$C,'06. BC BH THEO CUSTOMER-USD'!$D117,'01. KE30'!$F:$F,'06. BC BH THEO CUSTOMER-USD'!$H117,'01. KE30'!$A:$A,'06. BC BH THEO CUSTOMER-USD'!EF$4)-SUMIFS('01. KE30'!$AA:$AA,'01. KE30'!$C:$C,'06. BC BH THEO CUSTOMER-USD'!$D117,'01. KE30'!$F:$F,'06. BC BH THEO CUSTOMER-USD'!$H117,'01. KE30'!$A:$A,'06. BC BH THEO CUSTOMER-USD'!EF$4),"-")</f>
        <v>0</v>
      </c>
      <c r="EH117" s="571">
        <f t="shared" si="531"/>
        <v>-0.47167308275699316</v>
      </c>
      <c r="EI117" s="572" t="str">
        <f t="shared" si="532"/>
        <v>-</v>
      </c>
      <c r="EJ117" s="572" t="str">
        <f t="shared" si="533"/>
        <v>-</v>
      </c>
      <c r="EK117" s="572" t="str">
        <f t="shared" si="534"/>
        <v>-</v>
      </c>
      <c r="EL117" s="572" t="str">
        <f t="shared" si="535"/>
        <v>-</v>
      </c>
      <c r="EM117" s="572" t="str">
        <f t="shared" si="536"/>
        <v>-</v>
      </c>
      <c r="EN117" s="572">
        <f t="shared" si="537"/>
        <v>-0.41719697228145008</v>
      </c>
      <c r="EO117" s="572">
        <f t="shared" si="538"/>
        <v>-0.44520863764344154</v>
      </c>
      <c r="EP117" s="572">
        <f t="shared" si="539"/>
        <v>-0.65525795431182188</v>
      </c>
      <c r="EQ117" s="572" t="str">
        <f t="shared" si="540"/>
        <v>-</v>
      </c>
      <c r="ER117" s="572" t="str">
        <f t="shared" si="541"/>
        <v>-</v>
      </c>
      <c r="ES117" s="572" t="str">
        <f t="shared" si="542"/>
        <v>-</v>
      </c>
      <c r="ET117" s="572" t="str">
        <f t="shared" si="543"/>
        <v>-</v>
      </c>
    </row>
    <row r="118" spans="1:150" ht="15.5" hidden="1" outlineLevel="1" x14ac:dyDescent="0.35">
      <c r="A118" s="27">
        <f t="shared" si="1163"/>
        <v>3</v>
      </c>
      <c r="B118" s="27" t="s">
        <v>95</v>
      </c>
      <c r="C118" s="442" t="s">
        <v>489</v>
      </c>
      <c r="D118" s="9" t="s">
        <v>903</v>
      </c>
      <c r="E118" s="12" t="s">
        <v>904</v>
      </c>
      <c r="F118" s="12" t="s">
        <v>253</v>
      </c>
      <c r="G118" s="12" t="str">
        <f>_xlfn.XLOOKUP(F118,'Quy đổi'!$G$5:$G$32,'Quy đổi'!$H$5:$H$32,0)</f>
        <v>Châu á</v>
      </c>
      <c r="H118" s="76" t="s">
        <v>463</v>
      </c>
      <c r="I118" s="7" t="s">
        <v>470</v>
      </c>
      <c r="J118" s="13" t="s">
        <v>26</v>
      </c>
      <c r="K118" s="11" t="s">
        <v>90</v>
      </c>
      <c r="L118" s="92">
        <f t="shared" si="1164"/>
        <v>620.71759259259261</v>
      </c>
      <c r="M118" s="106" t="str">
        <f>IFERROR(SUMIFS('01. KE30'!$K:$K,'01. KE30'!$C:$C,'06. BC BH THEO CUSTOMER-USD'!$D118,'01. KE30'!$F:$F,'06. BC BH THEO CUSTOMER-USD'!$H118,'01. KE30'!$A:$A,'06. BC BH THEO CUSTOMER-USD'!M$4)/'06. BC BH THEO CUSTOMER-USD'!CS118/'02. Tỷ giá'!B$5,"-")</f>
        <v>-</v>
      </c>
      <c r="N118" s="106" t="str">
        <f>IFERROR(SUMIFS('01. KE30'!$K:$K,'01. KE30'!$C:$C,'06. BC BH THEO CUSTOMER-USD'!$D118,'01. KE30'!$F:$F,'06. BC BH THEO CUSTOMER-USD'!$H118,'01. KE30'!$A:$A,'06. BC BH THEO CUSTOMER-USD'!N$4)/'06. BC BH THEO CUSTOMER-USD'!CT118/'02. Tỷ giá'!C$5,"-")</f>
        <v>-</v>
      </c>
      <c r="O118" s="106" t="str">
        <f>IFERROR(SUMIFS('01. KE30'!$K:$K,'01. KE30'!$C:$C,'06. BC BH THEO CUSTOMER-USD'!$D118,'01. KE30'!$F:$F,'06. BC BH THEO CUSTOMER-USD'!$H118,'01. KE30'!$A:$A,'06. BC BH THEO CUSTOMER-USD'!O$4)/'06. BC BH THEO CUSTOMER-USD'!CU118/'02. Tỷ giá'!D$5,"-")</f>
        <v>-</v>
      </c>
      <c r="P118" s="106" t="str">
        <f>IFERROR(SUMIFS('01. KE30'!$K:$K,'01. KE30'!$C:$C,'06. BC BH THEO CUSTOMER-USD'!$D118,'01. KE30'!$F:$F,'06. BC BH THEO CUSTOMER-USD'!$H118,'01. KE30'!$A:$A,'06. BC BH THEO CUSTOMER-USD'!P$4)/'06. BC BH THEO CUSTOMER-USD'!CV118/'02. Tỷ giá'!E$5,"-")</f>
        <v>-</v>
      </c>
      <c r="Q118" s="106" t="str">
        <f>IFERROR(SUMIFS('01. KE30'!$K:$K,'01. KE30'!$C:$C,'06. BC BH THEO CUSTOMER-USD'!$D118,'01. KE30'!$F:$F,'06. BC BH THEO CUSTOMER-USD'!$H118,'01. KE30'!$A:$A,'06. BC BH THEO CUSTOMER-USD'!Q$4)/'06. BC BH THEO CUSTOMER-USD'!CW118/'02. Tỷ giá'!F$5,"-")</f>
        <v>-</v>
      </c>
      <c r="R118" s="106">
        <f>IFERROR(SUMIFS('01. KE30'!$K:$K,'01. KE30'!$C:$C,'06. BC BH THEO CUSTOMER-USD'!$D118,'01. KE30'!$F:$F,'06. BC BH THEO CUSTOMER-USD'!$H118,'01. KE30'!$A:$A,'06. BC BH THEO CUSTOMER-USD'!R$4)/'06. BC BH THEO CUSTOMER-USD'!CX118/'02. Tỷ giá'!G$5,"-")</f>
        <v>620.71759259259261</v>
      </c>
      <c r="S118" s="106" t="str">
        <f>IFERROR(SUMIFS('01. KE30'!$K:$K,'01. KE30'!$C:$C,'06. BC BH THEO CUSTOMER-USD'!$D118,'01. KE30'!$F:$F,'06. BC BH THEO CUSTOMER-USD'!$H118,'01. KE30'!$A:$A,'06. BC BH THEO CUSTOMER-USD'!S$4)/'06. BC BH THEO CUSTOMER-USD'!CY118/'02. Tỷ giá'!H$5,"-")</f>
        <v>-</v>
      </c>
      <c r="T118" s="106" t="str">
        <f>IFERROR(SUMIFS('01. KE30'!$K:$K,'01. KE30'!$C:$C,'06. BC BH THEO CUSTOMER-USD'!$D118,'01. KE30'!$F:$F,'06. BC BH THEO CUSTOMER-USD'!$H118,'01. KE30'!$A:$A,'06. BC BH THEO CUSTOMER-USD'!T$4)/'06. BC BH THEO CUSTOMER-USD'!CZ118/'02. Tỷ giá'!I$5,"-")</f>
        <v>-</v>
      </c>
      <c r="U118" s="106" t="str">
        <f>IFERROR(SUMIFS('01. KE30'!$K:$K,'01. KE30'!$C:$C,'06. BC BH THEO CUSTOMER-USD'!$D118,'01. KE30'!$F:$F,'06. BC BH THEO CUSTOMER-USD'!$H118,'01. KE30'!$A:$A,'06. BC BH THEO CUSTOMER-USD'!U$4)/'06. BC BH THEO CUSTOMER-USD'!DA118/'02. Tỷ giá'!J$5,"-")</f>
        <v>-</v>
      </c>
      <c r="V118" s="106" t="str">
        <f>IFERROR(SUMIFS('01. KE30'!$K:$K,'01. KE30'!$C:$C,'06. BC BH THEO CUSTOMER-USD'!$D118,'01. KE30'!$F:$F,'06. BC BH THEO CUSTOMER-USD'!$H118,'01. KE30'!$A:$A,'06. BC BH THEO CUSTOMER-USD'!V$4)/'06. BC BH THEO CUSTOMER-USD'!DB118/'02. Tỷ giá'!K$5,"-")</f>
        <v>-</v>
      </c>
      <c r="W118" s="106" t="str">
        <f>IFERROR(SUMIFS('01. KE30'!$K:$K,'01. KE30'!$C:$C,'06. BC BH THEO CUSTOMER-USD'!$D118,'01. KE30'!$F:$F,'06. BC BH THEO CUSTOMER-USD'!$H118,'01. KE30'!$A:$A,'06. BC BH THEO CUSTOMER-USD'!W$4)/'06. BC BH THEO CUSTOMER-USD'!DC118/'02. Tỷ giá'!L$5,"-")</f>
        <v>-</v>
      </c>
      <c r="X118" s="106" t="str">
        <f>IFERROR(SUMIFS('01. KE30'!$K:$K,'01. KE30'!$C:$C,'06. BC BH THEO CUSTOMER-USD'!$D118,'01. KE30'!$F:$F,'06. BC BH THEO CUSTOMER-USD'!$H118,'01. KE30'!$A:$A,'06. BC BH THEO CUSTOMER-USD'!X$4)/'06. BC BH THEO CUSTOMER-USD'!DD118/'02. Tỷ giá'!M$5,"-")</f>
        <v>-</v>
      </c>
      <c r="Z118" s="92">
        <f t="shared" si="1145"/>
        <v>601.64554673721341</v>
      </c>
      <c r="AA118" s="147" t="str">
        <f>IFERROR(SUMIFS('01. KE30'!$O:$O,'01. KE30'!$C:$C,'06. BC BH THEO CUSTOMER-USD'!$D118,'01. KE30'!$F:$F,'06. BC BH THEO CUSTOMER-USD'!$H118,'01. KE30'!$A:$A,'06. BC BH THEO CUSTOMER-USD'!M$4)/'06. BC BH THEO CUSTOMER-USD'!CS118/'02. Tỷ giá'!B$5,"-")</f>
        <v>-</v>
      </c>
      <c r="AB118" s="147" t="str">
        <f>IFERROR(SUMIFS('01. KE30'!$O:$O,'01. KE30'!$C:$C,'06. BC BH THEO CUSTOMER-USD'!$D118,'01. KE30'!$F:$F,'06. BC BH THEO CUSTOMER-USD'!$H118,'01. KE30'!$A:$A,'06. BC BH THEO CUSTOMER-USD'!N$4)/'06. BC BH THEO CUSTOMER-USD'!CT118/'02. Tỷ giá'!C$5,"-")</f>
        <v>-</v>
      </c>
      <c r="AC118" s="147" t="str">
        <f>IFERROR(SUMIFS('01. KE30'!$O:$O,'01. KE30'!$C:$C,'06. BC BH THEO CUSTOMER-USD'!$D118,'01. KE30'!$F:$F,'06. BC BH THEO CUSTOMER-USD'!$H118,'01. KE30'!$A:$A,'06. BC BH THEO CUSTOMER-USD'!O$4)/'06. BC BH THEO CUSTOMER-USD'!CU118/'02. Tỷ giá'!D$5,"-")</f>
        <v>-</v>
      </c>
      <c r="AD118" s="147" t="str">
        <f>IFERROR(SUMIFS('01. KE30'!$O:$O,'01. KE30'!$C:$C,'06. BC BH THEO CUSTOMER-USD'!$D118,'01. KE30'!$F:$F,'06. BC BH THEO CUSTOMER-USD'!$H118,'01. KE30'!$A:$A,'06. BC BH THEO CUSTOMER-USD'!P$4)/'06. BC BH THEO CUSTOMER-USD'!CV118/'02. Tỷ giá'!E$5,"-")</f>
        <v>-</v>
      </c>
      <c r="AE118" s="147" t="str">
        <f>IFERROR(SUMIFS('01. KE30'!$O:$O,'01. KE30'!$C:$C,'06. BC BH THEO CUSTOMER-USD'!$D118,'01. KE30'!$F:$F,'06. BC BH THEO CUSTOMER-USD'!$H118,'01. KE30'!$A:$A,'06. BC BH THEO CUSTOMER-USD'!Q$4)/'06. BC BH THEO CUSTOMER-USD'!CW118/'02. Tỷ giá'!F$5,"-")</f>
        <v>-</v>
      </c>
      <c r="AF118" s="147">
        <f>IFERROR(SUMIFS('01. KE30'!$O:$O,'01. KE30'!$C:$C,'06. BC BH THEO CUSTOMER-USD'!$D118,'01. KE30'!$F:$F,'06. BC BH THEO CUSTOMER-USD'!$H118,'01. KE30'!$A:$A,'06. BC BH THEO CUSTOMER-USD'!R$4)/'06. BC BH THEO CUSTOMER-USD'!CX118/'02. Tỷ giá'!G$5,"-")</f>
        <v>601.64554673721341</v>
      </c>
      <c r="AG118" s="147" t="str">
        <f>IFERROR(SUMIFS('01. KE30'!$O:$O,'01. KE30'!$C:$C,'06. BC BH THEO CUSTOMER-USD'!$D118,'01. KE30'!$F:$F,'06. BC BH THEO CUSTOMER-USD'!$H118,'01. KE30'!$A:$A,'06. BC BH THEO CUSTOMER-USD'!S$4)/'06. BC BH THEO CUSTOMER-USD'!CY118/'02. Tỷ giá'!H$5,"-")</f>
        <v>-</v>
      </c>
      <c r="AH118" s="147" t="str">
        <f>IFERROR(SUMIFS('01. KE30'!$O:$O,'01. KE30'!$C:$C,'06. BC BH THEO CUSTOMER-USD'!$D118,'01. KE30'!$F:$F,'06. BC BH THEO CUSTOMER-USD'!$H118,'01. KE30'!$A:$A,'06. BC BH THEO CUSTOMER-USD'!T$4)/'06. BC BH THEO CUSTOMER-USD'!CZ118/'02. Tỷ giá'!I$5,"-")</f>
        <v>-</v>
      </c>
      <c r="AI118" s="147" t="str">
        <f>IFERROR(SUMIFS('01. KE30'!$O:$O,'01. KE30'!$C:$C,'06. BC BH THEO CUSTOMER-USD'!$D118,'01. KE30'!$F:$F,'06. BC BH THEO CUSTOMER-USD'!$H118,'01. KE30'!$A:$A,'06. BC BH THEO CUSTOMER-USD'!U$4)/'06. BC BH THEO CUSTOMER-USD'!DA118/'02. Tỷ giá'!J$5,"-")</f>
        <v>-</v>
      </c>
      <c r="AJ118" s="147" t="str">
        <f>IFERROR(SUMIFS('01. KE30'!$O:$O,'01. KE30'!$C:$C,'06. BC BH THEO CUSTOMER-USD'!$D118,'01. KE30'!$F:$F,'06. BC BH THEO CUSTOMER-USD'!$H118,'01. KE30'!$A:$A,'06. BC BH THEO CUSTOMER-USD'!V$4)/'06. BC BH THEO CUSTOMER-USD'!DB118/'02. Tỷ giá'!K$5,"-")</f>
        <v>-</v>
      </c>
      <c r="AK118" s="147" t="str">
        <f>IFERROR(SUMIFS('01. KE30'!$O:$O,'01. KE30'!$C:$C,'06. BC BH THEO CUSTOMER-USD'!$D118,'01. KE30'!$F:$F,'06. BC BH THEO CUSTOMER-USD'!$H118,'01. KE30'!$A:$A,'06. BC BH THEO CUSTOMER-USD'!W$4)/'06. BC BH THEO CUSTOMER-USD'!DC118/'02. Tỷ giá'!L$5,"-")</f>
        <v>-</v>
      </c>
      <c r="AL118" s="147" t="str">
        <f>IFERROR(SUMIFS('01. KE30'!$O:$O,'01. KE30'!$C:$C,'06. BC BH THEO CUSTOMER-USD'!$D118,'01. KE30'!$F:$F,'06. BC BH THEO CUSTOMER-USD'!$H118,'01. KE30'!$A:$A,'06. BC BH THEO CUSTOMER-USD'!X$4)/'06. BC BH THEO CUSTOMER-USD'!DD118/'02. Tỷ giá'!M$5,"-")</f>
        <v>-</v>
      </c>
      <c r="AN118" s="55">
        <f t="shared" si="1146"/>
        <v>912.22222222222217</v>
      </c>
      <c r="AO118" s="4">
        <v>1000</v>
      </c>
      <c r="AP118" s="4">
        <v>1000</v>
      </c>
      <c r="AQ118" s="4">
        <v>1000</v>
      </c>
      <c r="AR118" s="4">
        <v>1000</v>
      </c>
      <c r="AS118" s="4">
        <v>850</v>
      </c>
      <c r="AT118" s="4">
        <v>850</v>
      </c>
      <c r="AU118" s="4">
        <v>850</v>
      </c>
      <c r="AV118" s="4">
        <f t="shared" si="1165"/>
        <v>830</v>
      </c>
      <c r="AW118" s="4">
        <v>830</v>
      </c>
      <c r="AX118" s="4"/>
      <c r="AY118" s="4"/>
      <c r="AZ118" s="4"/>
      <c r="BB118" s="95">
        <f t="shared" si="637"/>
        <v>-310.57667548500876</v>
      </c>
      <c r="BC118" s="95" t="str">
        <f t="shared" si="638"/>
        <v>-</v>
      </c>
      <c r="BD118" s="95" t="str">
        <f t="shared" si="1147"/>
        <v>-</v>
      </c>
      <c r="BE118" s="95" t="str">
        <f t="shared" si="1147"/>
        <v>-</v>
      </c>
      <c r="BF118" s="95" t="str">
        <f t="shared" si="1147"/>
        <v>-</v>
      </c>
      <c r="BG118" s="95" t="str">
        <f t="shared" si="1147"/>
        <v>-</v>
      </c>
      <c r="BH118" s="95">
        <f t="shared" si="1147"/>
        <v>-248.35445326278659</v>
      </c>
      <c r="BI118" s="95" t="str">
        <f t="shared" si="1147"/>
        <v>-</v>
      </c>
      <c r="BJ118" s="95" t="str">
        <f t="shared" si="1147"/>
        <v>-</v>
      </c>
      <c r="BK118" s="95" t="str">
        <f t="shared" si="1147"/>
        <v>-</v>
      </c>
      <c r="BL118" s="95" t="str">
        <f t="shared" si="1147"/>
        <v>-</v>
      </c>
      <c r="BM118" s="95" t="str">
        <f t="shared" si="1147"/>
        <v>-</v>
      </c>
      <c r="BN118" s="95" t="str">
        <f t="shared" si="1147"/>
        <v>-</v>
      </c>
      <c r="BP118" s="143">
        <f t="shared" si="639"/>
        <v>-0.34046164182278671</v>
      </c>
      <c r="BQ118" s="143" t="str">
        <f t="shared" si="517"/>
        <v>-</v>
      </c>
      <c r="BR118" s="143" t="str">
        <f t="shared" si="518"/>
        <v>-</v>
      </c>
      <c r="BS118" s="143" t="str">
        <f t="shared" si="519"/>
        <v>-</v>
      </c>
      <c r="BT118" s="143" t="str">
        <f t="shared" si="520"/>
        <v>-</v>
      </c>
      <c r="BU118" s="143" t="str">
        <f t="shared" si="521"/>
        <v>-</v>
      </c>
      <c r="BV118" s="143">
        <f t="shared" si="522"/>
        <v>-0.29218170972092539</v>
      </c>
      <c r="BW118" s="143" t="str">
        <f t="shared" si="523"/>
        <v>-</v>
      </c>
      <c r="BX118" s="143" t="str">
        <f t="shared" si="524"/>
        <v>-</v>
      </c>
      <c r="BY118" s="143" t="str">
        <f t="shared" si="525"/>
        <v>-</v>
      </c>
      <c r="BZ118" s="143" t="str">
        <f t="shared" si="526"/>
        <v>-</v>
      </c>
      <c r="CA118" s="143" t="str">
        <f t="shared" si="527"/>
        <v>-</v>
      </c>
      <c r="CB118" s="143" t="str">
        <f t="shared" si="528"/>
        <v>-</v>
      </c>
      <c r="CD118" s="112">
        <f t="shared" si="1148"/>
        <v>954.79248420047031</v>
      </c>
      <c r="CE118" s="95" t="str">
        <f>IFERROR(SUMIFS('01. KE30'!$R:$R,'01. KE30'!$C:$C,'06. BC BH THEO CUSTOMER-USD'!$D118,'01. KE30'!$F:$F,'06. BC BH THEO CUSTOMER-USD'!$H118,'01. KE30'!$A:$A,'06. BC BH THEO CUSTOMER-USD'!CE$4)/CS118/'02. Tỷ giá'!B$5," -")</f>
        <v xml:space="preserve"> -</v>
      </c>
      <c r="CF118" s="95" t="str">
        <f>IFERROR(SUMIFS('01. KE30'!$R:$R,'01. KE30'!$C:$C,'06. BC BH THEO CUSTOMER-USD'!$D118,'01. KE30'!$F:$F,'06. BC BH THEO CUSTOMER-USD'!$H118,'01. KE30'!$A:$A,'06. BC BH THEO CUSTOMER-USD'!CF$4)/CT118/'02. Tỷ giá'!C$5," -")</f>
        <v xml:space="preserve"> -</v>
      </c>
      <c r="CG118" s="95" t="str">
        <f>IFERROR(SUMIFS('01. KE30'!$R:$R,'01. KE30'!$C:$C,'06. BC BH THEO CUSTOMER-USD'!$D118,'01. KE30'!$F:$F,'06. BC BH THEO CUSTOMER-USD'!$H118,'01. KE30'!$A:$A,'06. BC BH THEO CUSTOMER-USD'!CG$4)/CU118/'02. Tỷ giá'!D$5," -")</f>
        <v xml:space="preserve"> -</v>
      </c>
      <c r="CH118" s="95" t="str">
        <f>IFERROR(SUMIFS('01. KE30'!$R:$R,'01. KE30'!$C:$C,'06. BC BH THEO CUSTOMER-USD'!$D118,'01. KE30'!$F:$F,'06. BC BH THEO CUSTOMER-USD'!$H118,'01. KE30'!$A:$A,'06. BC BH THEO CUSTOMER-USD'!CH$4)/CV118/'02. Tỷ giá'!E$5," -")</f>
        <v xml:space="preserve"> -</v>
      </c>
      <c r="CI118" s="95" t="str">
        <f>IFERROR(SUMIFS('01. KE30'!$R:$R,'01. KE30'!$C:$C,'06. BC BH THEO CUSTOMER-USD'!$D118,'01. KE30'!$F:$F,'06. BC BH THEO CUSTOMER-USD'!$H118,'01. KE30'!$A:$A,'06. BC BH THEO CUSTOMER-USD'!CI$4)/CW118/'02. Tỷ giá'!F$5," -")</f>
        <v xml:space="preserve"> -</v>
      </c>
      <c r="CJ118" s="95">
        <f>IFERROR(SUMIFS('01. KE30'!$R:$R,'01. KE30'!$C:$C,'06. BC BH THEO CUSTOMER-USD'!$D118,'01. KE30'!$F:$F,'06. BC BH THEO CUSTOMER-USD'!$H118,'01. KE30'!$A:$A,'06. BC BH THEO CUSTOMER-USD'!CJ$4)/CX118/'02. Tỷ giá'!G$5," -")</f>
        <v>954.79248420047031</v>
      </c>
      <c r="CK118" s="95" t="str">
        <f>IFERROR(SUMIFS('01. KE30'!$R:$R,'01. KE30'!$C:$C,'06. BC BH THEO CUSTOMER-USD'!$D118,'01. KE30'!$F:$F,'06. BC BH THEO CUSTOMER-USD'!$H118,'01. KE30'!$A:$A,'06. BC BH THEO CUSTOMER-USD'!CK$4)/CY118/'02. Tỷ giá'!H$5," -")</f>
        <v xml:space="preserve"> -</v>
      </c>
      <c r="CL118" s="95" t="str">
        <f>IFERROR(SUMIFS('01. KE30'!$R:$R,'01. KE30'!$C:$C,'06. BC BH THEO CUSTOMER-USD'!$D118,'01. KE30'!$F:$F,'06. BC BH THEO CUSTOMER-USD'!$H118,'01. KE30'!$A:$A,'06. BC BH THEO CUSTOMER-USD'!CL$4)/CZ118/'02. Tỷ giá'!I$5," -")</f>
        <v xml:space="preserve"> -</v>
      </c>
      <c r="CM118" s="95" t="str">
        <f>IFERROR(SUMIFS('01. KE30'!$R:$R,'01. KE30'!$C:$C,'06. BC BH THEO CUSTOMER-USD'!$D118,'01. KE30'!$F:$F,'06. BC BH THEO CUSTOMER-USD'!$H118,'01. KE30'!$A:$A,'06. BC BH THEO CUSTOMER-USD'!CM$4)/DA118/'02. Tỷ giá'!J$5," -")</f>
        <v xml:space="preserve"> -</v>
      </c>
      <c r="CN118" s="95" t="str">
        <f>IFERROR(SUMIFS('01. KE30'!$R:$R,'01. KE30'!$C:$C,'06. BC BH THEO CUSTOMER-USD'!$D118,'01. KE30'!$F:$F,'06. BC BH THEO CUSTOMER-USD'!$H118,'01. KE30'!$A:$A,'06. BC BH THEO CUSTOMER-USD'!CN$4)/DB118/'02. Tỷ giá'!K$5," -")</f>
        <v xml:space="preserve"> -</v>
      </c>
      <c r="CO118" s="95" t="str">
        <f>IFERROR(SUMIFS('01. KE30'!$R:$R,'01. KE30'!$C:$C,'06. BC BH THEO CUSTOMER-USD'!$D118,'01. KE30'!$F:$F,'06. BC BH THEO CUSTOMER-USD'!$H118,'01. KE30'!$A:$A,'06. BC BH THEO CUSTOMER-USD'!CO$4)/DC118/'02. Tỷ giá'!L$5," -")</f>
        <v xml:space="preserve"> -</v>
      </c>
      <c r="CP118" s="95" t="str">
        <f>IFERROR(SUMIFS('01. KE30'!$R:$R,'01. KE30'!$C:$C,'06. BC BH THEO CUSTOMER-USD'!$D118,'01. KE30'!$F:$F,'06. BC BH THEO CUSTOMER-USD'!$H118,'01. KE30'!$A:$A,'06. BC BH THEO CUSTOMER-USD'!CP$4)/DD118/'02. Tỷ giá'!M$5," -")</f>
        <v xml:space="preserve"> -</v>
      </c>
      <c r="CR118" s="112">
        <f t="shared" si="1149"/>
        <v>63</v>
      </c>
      <c r="CS118" s="114">
        <f>SUMIFS('01. KE30'!$I:$I,'01. KE30'!$C:$C,'06. BC BH THEO CUSTOMER-USD'!$D118,'01. KE30'!$F:$F,'06. BC BH THEO CUSTOMER-USD'!$H118,'01. KE30'!$A:$A,'06. BC BH THEO CUSTOMER-USD'!CS$4)/1000</f>
        <v>0</v>
      </c>
      <c r="CT118" s="114">
        <f>SUMIFS('01. KE30'!$I:$I,'01. KE30'!$C:$C,'06. BC BH THEO CUSTOMER-USD'!$D118,'01. KE30'!$F:$F,'06. BC BH THEO CUSTOMER-USD'!$H118,'01. KE30'!$A:$A,'06. BC BH THEO CUSTOMER-USD'!CT$4)/1000</f>
        <v>0</v>
      </c>
      <c r="CU118" s="114">
        <f>SUMIFS('01. KE30'!$I:$I,'01. KE30'!$C:$C,'06. BC BH THEO CUSTOMER-USD'!$D118,'01. KE30'!$F:$F,'06. BC BH THEO CUSTOMER-USD'!$H118,'01. KE30'!$A:$A,'06. BC BH THEO CUSTOMER-USD'!CU$4)/1000</f>
        <v>0</v>
      </c>
      <c r="CV118" s="114">
        <f>SUMIFS('01. KE30'!$I:$I,'01. KE30'!$C:$C,'06. BC BH THEO CUSTOMER-USD'!$D118,'01. KE30'!$F:$F,'06. BC BH THEO CUSTOMER-USD'!$H118,'01. KE30'!$A:$A,'06. BC BH THEO CUSTOMER-USD'!CV$4)/1000</f>
        <v>0</v>
      </c>
      <c r="CW118" s="114">
        <f>SUMIFS('01. KE30'!$I:$I,'01. KE30'!$C:$C,'06. BC BH THEO CUSTOMER-USD'!$D118,'01. KE30'!$F:$F,'06. BC BH THEO CUSTOMER-USD'!$H118,'01. KE30'!$A:$A,'06. BC BH THEO CUSTOMER-USD'!CW$4)/1000</f>
        <v>0</v>
      </c>
      <c r="CX118" s="114">
        <f>SUMIFS('01. KE30'!$I:$I,'01. KE30'!$C:$C,'06. BC BH THEO CUSTOMER-USD'!$D118,'01. KE30'!$F:$F,'06. BC BH THEO CUSTOMER-USD'!$H118,'01. KE30'!$A:$A,'06. BC BH THEO CUSTOMER-USD'!CX$4)/1000</f>
        <v>63</v>
      </c>
      <c r="CY118" s="114">
        <f>SUMIFS('01. KE30'!$I:$I,'01. KE30'!$C:$C,'06. BC BH THEO CUSTOMER-USD'!$D118,'01. KE30'!$F:$F,'06. BC BH THEO CUSTOMER-USD'!$H118,'01. KE30'!$A:$A,'06. BC BH THEO CUSTOMER-USD'!CY$4)/1000</f>
        <v>0</v>
      </c>
      <c r="CZ118" s="114">
        <f>SUMIFS('01. KE30'!$I:$I,'01. KE30'!$C:$C,'06. BC BH THEO CUSTOMER-USD'!$D118,'01. KE30'!$F:$F,'06. BC BH THEO CUSTOMER-USD'!$H118,'01. KE30'!$A:$A,'06. BC BH THEO CUSTOMER-USD'!CZ$4)/1000</f>
        <v>0</v>
      </c>
      <c r="DA118" s="114">
        <f>SUMIFS('01. KE30'!$I:$I,'01. KE30'!$C:$C,'06. BC BH THEO CUSTOMER-USD'!$D118,'01. KE30'!$F:$F,'06. BC BH THEO CUSTOMER-USD'!$H118,'01. KE30'!$A:$A,'06. BC BH THEO CUSTOMER-USD'!DA$4)/1000</f>
        <v>0</v>
      </c>
      <c r="DB118" s="114">
        <f>SUMIFS('01. KE30'!$I:$I,'01. KE30'!$C:$C,'06. BC BH THEO CUSTOMER-USD'!$D118,'01. KE30'!$F:$F,'06. BC BH THEO CUSTOMER-USD'!$H118,'01. KE30'!$A:$A,'06. BC BH THEO CUSTOMER-USD'!DB$4)/1000</f>
        <v>0</v>
      </c>
      <c r="DC118" s="114">
        <f>SUMIFS('01. KE30'!$I:$I,'01. KE30'!$C:$C,'06. BC BH THEO CUSTOMER-USD'!$D118,'01. KE30'!$F:$F,'06. BC BH THEO CUSTOMER-USD'!$H118,'01. KE30'!$A:$A,'06. BC BH THEO CUSTOMER-USD'!DC$4)/1000</f>
        <v>0</v>
      </c>
      <c r="DD118" s="114">
        <f>SUMIFS('01. KE30'!$I:$I,'01. KE30'!$C:$C,'06. BC BH THEO CUSTOMER-USD'!$D118,'01. KE30'!$F:$F,'06. BC BH THEO CUSTOMER-USD'!$H118,'01. KE30'!$A:$A,'06. BC BH THEO CUSTOMER-USD'!DD$4)/1000</f>
        <v>0</v>
      </c>
      <c r="DF118" s="112">
        <f t="shared" si="1150"/>
        <v>39105.208333333336</v>
      </c>
      <c r="DG118" s="54" t="str">
        <f t="shared" si="1151"/>
        <v>-</v>
      </c>
      <c r="DH118" s="54" t="str">
        <f t="shared" si="1152"/>
        <v>-</v>
      </c>
      <c r="DI118" s="54" t="str">
        <f t="shared" si="1153"/>
        <v>-</v>
      </c>
      <c r="DJ118" s="54" t="str">
        <f t="shared" si="1154"/>
        <v>-</v>
      </c>
      <c r="DK118" s="54" t="str">
        <f t="shared" si="1155"/>
        <v>-</v>
      </c>
      <c r="DL118" s="54">
        <f t="shared" si="1156"/>
        <v>39105.208333333336</v>
      </c>
      <c r="DM118" s="54" t="str">
        <f t="shared" si="1157"/>
        <v>-</v>
      </c>
      <c r="DN118" s="54" t="str">
        <f t="shared" si="1158"/>
        <v>-</v>
      </c>
      <c r="DO118" s="54" t="str">
        <f t="shared" si="1159"/>
        <v>-</v>
      </c>
      <c r="DP118" s="54" t="str">
        <f t="shared" si="1160"/>
        <v>-</v>
      </c>
      <c r="DQ118" s="54" t="str">
        <f t="shared" si="1161"/>
        <v>-</v>
      </c>
      <c r="DR118" s="54" t="str">
        <f t="shared" si="1162"/>
        <v>-</v>
      </c>
      <c r="DT118" s="112">
        <f t="shared" si="652"/>
        <v>-22248.257060185184</v>
      </c>
      <c r="DU118" s="114">
        <f>IFERROR(SUMIFS('01. KE30'!$X:$X,'01. KE30'!$C:$C,'06. BC BH THEO CUSTOMER-USD'!$D118,'01. KE30'!$F:$F,'06. BC BH THEO CUSTOMER-USD'!$H118,'01. KE30'!$A:$A,'06. BC BH THEO CUSTOMER-USD'!DU$4)-SUMIFS('01. KE30'!$AA:$AA,'01. KE30'!$C:$C,'06. BC BH THEO CUSTOMER-USD'!$D118,'01. KE30'!$F:$F,'06. BC BH THEO CUSTOMER-USD'!$H118,'01. KE30'!$A:$A,'06. BC BH THEO CUSTOMER-USD'!DU$4),"-")</f>
        <v>0</v>
      </c>
      <c r="DV118" s="114">
        <f>IFERROR(SUMIFS('01. KE30'!$X:$X,'01. KE30'!$C:$C,'06. BC BH THEO CUSTOMER-USD'!$D118,'01. KE30'!$F:$F,'06. BC BH THEO CUSTOMER-USD'!$H118,'01. KE30'!$A:$A,'06. BC BH THEO CUSTOMER-USD'!DV$4)-SUMIFS('01. KE30'!$AA:$AA,'01. KE30'!$C:$C,'06. BC BH THEO CUSTOMER-USD'!$D118,'01. KE30'!$F:$F,'06. BC BH THEO CUSTOMER-USD'!$H118,'01. KE30'!$A:$A,'06. BC BH THEO CUSTOMER-USD'!DV$4),"-")</f>
        <v>0</v>
      </c>
      <c r="DW118" s="114">
        <f>IFERROR(SUMIFS('01. KE30'!$X:$X,'01. KE30'!$C:$C,'06. BC BH THEO CUSTOMER-USD'!$D118,'01. KE30'!$F:$F,'06. BC BH THEO CUSTOMER-USD'!$H118,'01. KE30'!$A:$A,'06. BC BH THEO CUSTOMER-USD'!DW$4)-SUMIFS('01. KE30'!$AA:$AA,'01. KE30'!$C:$C,'06. BC BH THEO CUSTOMER-USD'!$D118,'01. KE30'!$F:$F,'06. BC BH THEO CUSTOMER-USD'!$H118,'01. KE30'!$A:$A,'06. BC BH THEO CUSTOMER-USD'!DW$4),"-")</f>
        <v>0</v>
      </c>
      <c r="DX118" s="114">
        <f>IFERROR(SUMIFS('01. KE30'!$X:$X,'01. KE30'!$C:$C,'06. BC BH THEO CUSTOMER-USD'!$D118,'01. KE30'!$F:$F,'06. BC BH THEO CUSTOMER-USD'!$H118,'01. KE30'!$A:$A,'06. BC BH THEO CUSTOMER-USD'!DX$4)-SUMIFS('01. KE30'!$AA:$AA,'01. KE30'!$C:$C,'06. BC BH THEO CUSTOMER-USD'!$D118,'01. KE30'!$F:$F,'06. BC BH THEO CUSTOMER-USD'!$H118,'01. KE30'!$A:$A,'06. BC BH THEO CUSTOMER-USD'!DX$4),"-")</f>
        <v>0</v>
      </c>
      <c r="DY118" s="114">
        <f>IFERROR(SUMIFS('01. KE30'!$X:$X,'01. KE30'!$C:$C,'06. BC BH THEO CUSTOMER-USD'!$D118,'01. KE30'!$F:$F,'06. BC BH THEO CUSTOMER-USD'!$H118,'01. KE30'!$A:$A,'06. BC BH THEO CUSTOMER-USD'!DY$4)-SUMIFS('01. KE30'!$AA:$AA,'01. KE30'!$C:$C,'06. BC BH THEO CUSTOMER-USD'!$D118,'01. KE30'!$F:$F,'06. BC BH THEO CUSTOMER-USD'!$H118,'01. KE30'!$A:$A,'06. BC BH THEO CUSTOMER-USD'!DY$4),"-")</f>
        <v>0</v>
      </c>
      <c r="DZ118" s="114">
        <f>IFERROR(SUMIFS('01. KE30'!$X:$X,'01. KE30'!$C:$C,'06. BC BH THEO CUSTOMER-USD'!$D118,'01. KE30'!$F:$F,'06. BC BH THEO CUSTOMER-USD'!$H118,'01. KE30'!$A:$A,'06. BC BH THEO CUSTOMER-USD'!DZ$4)-SUMIFS('01. KE30'!$AA:$AA,'01. KE30'!$C:$C,'06. BC BH THEO CUSTOMER-USD'!$D118,'01. KE30'!$F:$F,'06. BC BH THEO CUSTOMER-USD'!$H118,'01. KE30'!$A:$A,'06. BC BH THEO CUSTOMER-USD'!DZ$4),"-")</f>
        <v>-22248.257060185184</v>
      </c>
      <c r="EA118" s="114">
        <f>IFERROR(SUMIFS('01. KE30'!$X:$X,'01. KE30'!$C:$C,'06. BC BH THEO CUSTOMER-USD'!$D118,'01. KE30'!$F:$F,'06. BC BH THEO CUSTOMER-USD'!$H118,'01. KE30'!$A:$A,'06. BC BH THEO CUSTOMER-USD'!EA$4)-SUMIFS('01. KE30'!$AA:$AA,'01. KE30'!$C:$C,'06. BC BH THEO CUSTOMER-USD'!$D118,'01. KE30'!$F:$F,'06. BC BH THEO CUSTOMER-USD'!$H118,'01. KE30'!$A:$A,'06. BC BH THEO CUSTOMER-USD'!EA$4),"-")</f>
        <v>0</v>
      </c>
      <c r="EB118" s="114">
        <f>IFERROR(SUMIFS('01. KE30'!$X:$X,'01. KE30'!$C:$C,'06. BC BH THEO CUSTOMER-USD'!$D118,'01. KE30'!$F:$F,'06. BC BH THEO CUSTOMER-USD'!$H118,'01. KE30'!$A:$A,'06. BC BH THEO CUSTOMER-USD'!EB$4)-SUMIFS('01. KE30'!$AA:$AA,'01. KE30'!$C:$C,'06. BC BH THEO CUSTOMER-USD'!$D118,'01. KE30'!$F:$F,'06. BC BH THEO CUSTOMER-USD'!$H118,'01. KE30'!$A:$A,'06. BC BH THEO CUSTOMER-USD'!EB$4),"-")</f>
        <v>0</v>
      </c>
      <c r="EC118" s="114">
        <f>IFERROR(SUMIFS('01. KE30'!$X:$X,'01. KE30'!$C:$C,'06. BC BH THEO CUSTOMER-USD'!$D118,'01. KE30'!$F:$F,'06. BC BH THEO CUSTOMER-USD'!$H118,'01. KE30'!$A:$A,'06. BC BH THEO CUSTOMER-USD'!EC$4)-SUMIFS('01. KE30'!$AA:$AA,'01. KE30'!$C:$C,'06. BC BH THEO CUSTOMER-USD'!$D118,'01. KE30'!$F:$F,'06. BC BH THEO CUSTOMER-USD'!$H118,'01. KE30'!$A:$A,'06. BC BH THEO CUSTOMER-USD'!EC$4),"-")</f>
        <v>0</v>
      </c>
      <c r="ED118" s="114">
        <f>IFERROR(SUMIFS('01. KE30'!$X:$X,'01. KE30'!$C:$C,'06. BC BH THEO CUSTOMER-USD'!$D118,'01. KE30'!$F:$F,'06. BC BH THEO CUSTOMER-USD'!$H118,'01. KE30'!$A:$A,'06. BC BH THEO CUSTOMER-USD'!ED$4)-SUMIFS('01. KE30'!$AA:$AA,'01. KE30'!$C:$C,'06. BC BH THEO CUSTOMER-USD'!$D118,'01. KE30'!$F:$F,'06. BC BH THEO CUSTOMER-USD'!$H118,'01. KE30'!$A:$A,'06. BC BH THEO CUSTOMER-USD'!ED$4),"-")</f>
        <v>0</v>
      </c>
      <c r="EE118" s="114">
        <f>IFERROR(SUMIFS('01. KE30'!$X:$X,'01. KE30'!$C:$C,'06. BC BH THEO CUSTOMER-USD'!$D118,'01. KE30'!$F:$F,'06. BC BH THEO CUSTOMER-USD'!$H118,'01. KE30'!$A:$A,'06. BC BH THEO CUSTOMER-USD'!EE$4)-SUMIFS('01. KE30'!$AA:$AA,'01. KE30'!$C:$C,'06. BC BH THEO CUSTOMER-USD'!$D118,'01. KE30'!$F:$F,'06. BC BH THEO CUSTOMER-USD'!$H118,'01. KE30'!$A:$A,'06. BC BH THEO CUSTOMER-USD'!EE$4),"-")</f>
        <v>0</v>
      </c>
      <c r="EF118" s="114">
        <f>IFERROR(SUMIFS('01. KE30'!$X:$X,'01. KE30'!$C:$C,'06. BC BH THEO CUSTOMER-USD'!$D118,'01. KE30'!$F:$F,'06. BC BH THEO CUSTOMER-USD'!$H118,'01. KE30'!$A:$A,'06. BC BH THEO CUSTOMER-USD'!EF$4)-SUMIFS('01. KE30'!$AA:$AA,'01. KE30'!$C:$C,'06. BC BH THEO CUSTOMER-USD'!$D118,'01. KE30'!$F:$F,'06. BC BH THEO CUSTOMER-USD'!$H118,'01. KE30'!$A:$A,'06. BC BH THEO CUSTOMER-USD'!EF$4),"-")</f>
        <v>0</v>
      </c>
      <c r="EH118" s="571">
        <f t="shared" si="531"/>
        <v>-0.5689333469480774</v>
      </c>
      <c r="EI118" s="572" t="str">
        <f t="shared" si="532"/>
        <v>-</v>
      </c>
      <c r="EJ118" s="572" t="str">
        <f t="shared" si="533"/>
        <v>-</v>
      </c>
      <c r="EK118" s="572" t="str">
        <f t="shared" si="534"/>
        <v>-</v>
      </c>
      <c r="EL118" s="572" t="str">
        <f t="shared" si="535"/>
        <v>-</v>
      </c>
      <c r="EM118" s="572" t="str">
        <f t="shared" si="536"/>
        <v>-</v>
      </c>
      <c r="EN118" s="572">
        <f t="shared" si="537"/>
        <v>-0.5689333469480774</v>
      </c>
      <c r="EO118" s="572" t="str">
        <f t="shared" si="538"/>
        <v>-</v>
      </c>
      <c r="EP118" s="572" t="str">
        <f t="shared" si="539"/>
        <v>-</v>
      </c>
      <c r="EQ118" s="572" t="str">
        <f t="shared" si="540"/>
        <v>-</v>
      </c>
      <c r="ER118" s="572" t="str">
        <f t="shared" si="541"/>
        <v>-</v>
      </c>
      <c r="ES118" s="572" t="str">
        <f t="shared" si="542"/>
        <v>-</v>
      </c>
      <c r="ET118" s="572" t="str">
        <f t="shared" si="543"/>
        <v>-</v>
      </c>
    </row>
    <row r="119" spans="1:150" ht="15.5" hidden="1" outlineLevel="1" x14ac:dyDescent="0.35">
      <c r="A119" s="27">
        <f t="shared" si="1163"/>
        <v>4</v>
      </c>
      <c r="B119" s="27" t="s">
        <v>95</v>
      </c>
      <c r="C119" s="442" t="s">
        <v>489</v>
      </c>
      <c r="D119" s="9" t="s">
        <v>959</v>
      </c>
      <c r="E119" s="12" t="s">
        <v>976</v>
      </c>
      <c r="F119" s="12" t="s">
        <v>245</v>
      </c>
      <c r="G119" s="12" t="str">
        <f>_xlfn.XLOOKUP(F119,'Quy đổi'!$G$5:$G$32,'Quy đổi'!$H$5:$H$32,0)</f>
        <v>Nội địa</v>
      </c>
      <c r="H119" s="76" t="s">
        <v>463</v>
      </c>
      <c r="I119" s="7" t="s">
        <v>470</v>
      </c>
      <c r="J119" s="13" t="s">
        <v>22</v>
      </c>
      <c r="K119" s="11"/>
      <c r="L119" s="92">
        <f t="shared" si="1164"/>
        <v>672.6670691326857</v>
      </c>
      <c r="M119" s="106" t="str">
        <f>IFERROR(SUMIFS('01. KE30'!$K:$K,'01. KE30'!$C:$C,'06. BC BH THEO CUSTOMER-USD'!$D119,'01. KE30'!$F:$F,'06. BC BH THEO CUSTOMER-USD'!$H119,'01. KE30'!$A:$A,'06. BC BH THEO CUSTOMER-USD'!M$4)/'06. BC BH THEO CUSTOMER-USD'!CS119/'02. Tỷ giá'!B$5,"-")</f>
        <v>-</v>
      </c>
      <c r="N119" s="106" t="str">
        <f>IFERROR(SUMIFS('01. KE30'!$K:$K,'01. KE30'!$C:$C,'06. BC BH THEO CUSTOMER-USD'!$D119,'01. KE30'!$F:$F,'06. BC BH THEO CUSTOMER-USD'!$H119,'01. KE30'!$A:$A,'06. BC BH THEO CUSTOMER-USD'!N$4)/'06. BC BH THEO CUSTOMER-USD'!CT119/'02. Tỷ giá'!C$5,"-")</f>
        <v>-</v>
      </c>
      <c r="O119" s="106" t="str">
        <f>IFERROR(SUMIFS('01. KE30'!$K:$K,'01. KE30'!$C:$C,'06. BC BH THEO CUSTOMER-USD'!$D119,'01. KE30'!$F:$F,'06. BC BH THEO CUSTOMER-USD'!$H119,'01. KE30'!$A:$A,'06. BC BH THEO CUSTOMER-USD'!O$4)/'06. BC BH THEO CUSTOMER-USD'!CU119/'02. Tỷ giá'!D$5,"-")</f>
        <v>-</v>
      </c>
      <c r="P119" s="106" t="str">
        <f>IFERROR(SUMIFS('01. KE30'!$K:$K,'01. KE30'!$C:$C,'06. BC BH THEO CUSTOMER-USD'!$D119,'01. KE30'!$F:$F,'06. BC BH THEO CUSTOMER-USD'!$H119,'01. KE30'!$A:$A,'06. BC BH THEO CUSTOMER-USD'!P$4)/'06. BC BH THEO CUSTOMER-USD'!CV119/'02. Tỷ giá'!E$5,"-")</f>
        <v>-</v>
      </c>
      <c r="Q119" s="106" t="str">
        <f>IFERROR(SUMIFS('01. KE30'!$K:$K,'01. KE30'!$C:$C,'06. BC BH THEO CUSTOMER-USD'!$D119,'01. KE30'!$F:$F,'06. BC BH THEO CUSTOMER-USD'!$H119,'01. KE30'!$A:$A,'06. BC BH THEO CUSTOMER-USD'!Q$4)/'06. BC BH THEO CUSTOMER-USD'!CW119/'02. Tỷ giá'!F$5,"-")</f>
        <v>-</v>
      </c>
      <c r="R119" s="106" t="str">
        <f>IFERROR(SUMIFS('01. KE30'!$K:$K,'01. KE30'!$C:$C,'06. BC BH THEO CUSTOMER-USD'!$D119,'01. KE30'!$F:$F,'06. BC BH THEO CUSTOMER-USD'!$H119,'01. KE30'!$A:$A,'06. BC BH THEO CUSTOMER-USD'!R$4)/'06. BC BH THEO CUSTOMER-USD'!CX119/'02. Tỷ giá'!G$5,"-")</f>
        <v>-</v>
      </c>
      <c r="S119" s="106">
        <f>IFERROR(SUMIFS('01. KE30'!$K:$K,'01. KE30'!$C:$C,'06. BC BH THEO CUSTOMER-USD'!$D119,'01. KE30'!$F:$F,'06. BC BH THEO CUSTOMER-USD'!$H119,'01. KE30'!$A:$A,'06. BC BH THEO CUSTOMER-USD'!S$4)/'06. BC BH THEO CUSTOMER-USD'!CY119/'02. Tỷ giá'!H$5,"-")</f>
        <v>672.6670691326857</v>
      </c>
      <c r="T119" s="106" t="str">
        <f>IFERROR(SUMIFS('01. KE30'!$K:$K,'01. KE30'!$C:$C,'06. BC BH THEO CUSTOMER-USD'!$D119,'01. KE30'!$F:$F,'06. BC BH THEO CUSTOMER-USD'!$H119,'01. KE30'!$A:$A,'06. BC BH THEO CUSTOMER-USD'!T$4)/'06. BC BH THEO CUSTOMER-USD'!CZ119/'02. Tỷ giá'!I$5,"-")</f>
        <v>-</v>
      </c>
      <c r="U119" s="106" t="str">
        <f>IFERROR(SUMIFS('01. KE30'!$K:$K,'01. KE30'!$C:$C,'06. BC BH THEO CUSTOMER-USD'!$D119,'01. KE30'!$F:$F,'06. BC BH THEO CUSTOMER-USD'!$H119,'01. KE30'!$A:$A,'06. BC BH THEO CUSTOMER-USD'!U$4)/'06. BC BH THEO CUSTOMER-USD'!DA119/'02. Tỷ giá'!J$5,"-")</f>
        <v>-</v>
      </c>
      <c r="V119" s="106" t="str">
        <f>IFERROR(SUMIFS('01. KE30'!$K:$K,'01. KE30'!$C:$C,'06. BC BH THEO CUSTOMER-USD'!$D119,'01. KE30'!$F:$F,'06. BC BH THEO CUSTOMER-USD'!$H119,'01. KE30'!$A:$A,'06. BC BH THEO CUSTOMER-USD'!V$4)/'06. BC BH THEO CUSTOMER-USD'!DB119/'02. Tỷ giá'!K$5,"-")</f>
        <v>-</v>
      </c>
      <c r="W119" s="106" t="str">
        <f>IFERROR(SUMIFS('01. KE30'!$K:$K,'01. KE30'!$C:$C,'06. BC BH THEO CUSTOMER-USD'!$D119,'01. KE30'!$F:$F,'06. BC BH THEO CUSTOMER-USD'!$H119,'01. KE30'!$A:$A,'06. BC BH THEO CUSTOMER-USD'!W$4)/'06. BC BH THEO CUSTOMER-USD'!DC119/'02. Tỷ giá'!L$5,"-")</f>
        <v>-</v>
      </c>
      <c r="X119" s="106" t="str">
        <f>IFERROR(SUMIFS('01. KE30'!$K:$K,'01. KE30'!$C:$C,'06. BC BH THEO CUSTOMER-USD'!$D119,'01. KE30'!$F:$F,'06. BC BH THEO CUSTOMER-USD'!$H119,'01. KE30'!$A:$A,'06. BC BH THEO CUSTOMER-USD'!X$4)/'06. BC BH THEO CUSTOMER-USD'!DD119/'02. Tỷ giá'!M$5,"-")</f>
        <v>-</v>
      </c>
      <c r="Z119" s="92">
        <f t="shared" si="1145"/>
        <v>672.6670691326857</v>
      </c>
      <c r="AA119" s="147" t="str">
        <f>IFERROR(SUMIFS('01. KE30'!$O:$O,'01. KE30'!$C:$C,'06. BC BH THEO CUSTOMER-USD'!$D119,'01. KE30'!$F:$F,'06. BC BH THEO CUSTOMER-USD'!$H119,'01. KE30'!$A:$A,'06. BC BH THEO CUSTOMER-USD'!M$4)/'06. BC BH THEO CUSTOMER-USD'!CS119/'02. Tỷ giá'!B$5,"-")</f>
        <v>-</v>
      </c>
      <c r="AB119" s="147" t="str">
        <f>IFERROR(SUMIFS('01. KE30'!$O:$O,'01. KE30'!$C:$C,'06. BC BH THEO CUSTOMER-USD'!$D119,'01. KE30'!$F:$F,'06. BC BH THEO CUSTOMER-USD'!$H119,'01. KE30'!$A:$A,'06. BC BH THEO CUSTOMER-USD'!N$4)/'06. BC BH THEO CUSTOMER-USD'!CT119/'02. Tỷ giá'!C$5,"-")</f>
        <v>-</v>
      </c>
      <c r="AC119" s="147" t="str">
        <f>IFERROR(SUMIFS('01. KE30'!$O:$O,'01. KE30'!$C:$C,'06. BC BH THEO CUSTOMER-USD'!$D119,'01. KE30'!$F:$F,'06. BC BH THEO CUSTOMER-USD'!$H119,'01. KE30'!$A:$A,'06. BC BH THEO CUSTOMER-USD'!O$4)/'06. BC BH THEO CUSTOMER-USD'!CU119/'02. Tỷ giá'!D$5,"-")</f>
        <v>-</v>
      </c>
      <c r="AD119" s="147" t="str">
        <f>IFERROR(SUMIFS('01. KE30'!$O:$O,'01. KE30'!$C:$C,'06. BC BH THEO CUSTOMER-USD'!$D119,'01. KE30'!$F:$F,'06. BC BH THEO CUSTOMER-USD'!$H119,'01. KE30'!$A:$A,'06. BC BH THEO CUSTOMER-USD'!P$4)/'06. BC BH THEO CUSTOMER-USD'!CV119/'02. Tỷ giá'!E$5,"-")</f>
        <v>-</v>
      </c>
      <c r="AE119" s="147" t="str">
        <f>IFERROR(SUMIFS('01. KE30'!$O:$O,'01. KE30'!$C:$C,'06. BC BH THEO CUSTOMER-USD'!$D119,'01. KE30'!$F:$F,'06. BC BH THEO CUSTOMER-USD'!$H119,'01. KE30'!$A:$A,'06. BC BH THEO CUSTOMER-USD'!Q$4)/'06. BC BH THEO CUSTOMER-USD'!CW119/'02. Tỷ giá'!F$5,"-")</f>
        <v>-</v>
      </c>
      <c r="AF119" s="147" t="str">
        <f>IFERROR(SUMIFS('01. KE30'!$O:$O,'01. KE30'!$C:$C,'06. BC BH THEO CUSTOMER-USD'!$D119,'01. KE30'!$F:$F,'06. BC BH THEO CUSTOMER-USD'!$H119,'01. KE30'!$A:$A,'06. BC BH THEO CUSTOMER-USD'!R$4)/'06. BC BH THEO CUSTOMER-USD'!CX119/'02. Tỷ giá'!G$5,"-")</f>
        <v>-</v>
      </c>
      <c r="AG119" s="147">
        <f>IFERROR(SUMIFS('01. KE30'!$O:$O,'01. KE30'!$C:$C,'06. BC BH THEO CUSTOMER-USD'!$D119,'01. KE30'!$F:$F,'06. BC BH THEO CUSTOMER-USD'!$H119,'01. KE30'!$A:$A,'06. BC BH THEO CUSTOMER-USD'!S$4)/'06. BC BH THEO CUSTOMER-USD'!CY119/'02. Tỷ giá'!H$5,"-")</f>
        <v>672.6670691326857</v>
      </c>
      <c r="AH119" s="147" t="str">
        <f>IFERROR(SUMIFS('01. KE30'!$O:$O,'01. KE30'!$C:$C,'06. BC BH THEO CUSTOMER-USD'!$D119,'01. KE30'!$F:$F,'06. BC BH THEO CUSTOMER-USD'!$H119,'01. KE30'!$A:$A,'06. BC BH THEO CUSTOMER-USD'!T$4)/'06. BC BH THEO CUSTOMER-USD'!CZ119/'02. Tỷ giá'!I$5,"-")</f>
        <v>-</v>
      </c>
      <c r="AI119" s="147" t="str">
        <f>IFERROR(SUMIFS('01. KE30'!$O:$O,'01. KE30'!$C:$C,'06. BC BH THEO CUSTOMER-USD'!$D119,'01. KE30'!$F:$F,'06. BC BH THEO CUSTOMER-USD'!$H119,'01. KE30'!$A:$A,'06. BC BH THEO CUSTOMER-USD'!U$4)/'06. BC BH THEO CUSTOMER-USD'!DA119/'02. Tỷ giá'!J$5,"-")</f>
        <v>-</v>
      </c>
      <c r="AJ119" s="147" t="str">
        <f>IFERROR(SUMIFS('01. KE30'!$O:$O,'01. KE30'!$C:$C,'06. BC BH THEO CUSTOMER-USD'!$D119,'01. KE30'!$F:$F,'06. BC BH THEO CUSTOMER-USD'!$H119,'01. KE30'!$A:$A,'06. BC BH THEO CUSTOMER-USD'!V$4)/'06. BC BH THEO CUSTOMER-USD'!DB119/'02. Tỷ giá'!K$5,"-")</f>
        <v>-</v>
      </c>
      <c r="AK119" s="147" t="str">
        <f>IFERROR(SUMIFS('01. KE30'!$O:$O,'01. KE30'!$C:$C,'06. BC BH THEO CUSTOMER-USD'!$D119,'01. KE30'!$F:$F,'06. BC BH THEO CUSTOMER-USD'!$H119,'01. KE30'!$A:$A,'06. BC BH THEO CUSTOMER-USD'!W$4)/'06. BC BH THEO CUSTOMER-USD'!DC119/'02. Tỷ giá'!L$5,"-")</f>
        <v>-</v>
      </c>
      <c r="AL119" s="147" t="str">
        <f>IFERROR(SUMIFS('01. KE30'!$O:$O,'01. KE30'!$C:$C,'06. BC BH THEO CUSTOMER-USD'!$D119,'01. KE30'!$F:$F,'06. BC BH THEO CUSTOMER-USD'!$H119,'01. KE30'!$A:$A,'06. BC BH THEO CUSTOMER-USD'!X$4)/'06. BC BH THEO CUSTOMER-USD'!DD119/'02. Tỷ giá'!M$5,"-")</f>
        <v>-</v>
      </c>
      <c r="AN119" s="55">
        <f t="shared" si="1146"/>
        <v>912.22222222222217</v>
      </c>
      <c r="AO119" s="4">
        <v>1000</v>
      </c>
      <c r="AP119" s="4">
        <v>1000</v>
      </c>
      <c r="AQ119" s="4">
        <v>1000</v>
      </c>
      <c r="AR119" s="4">
        <v>1000</v>
      </c>
      <c r="AS119" s="4">
        <v>850</v>
      </c>
      <c r="AT119" s="4">
        <v>850</v>
      </c>
      <c r="AU119" s="4">
        <v>850</v>
      </c>
      <c r="AV119" s="4">
        <f t="shared" si="1165"/>
        <v>830</v>
      </c>
      <c r="AW119" s="4">
        <v>830</v>
      </c>
      <c r="AX119" s="4"/>
      <c r="AY119" s="4"/>
      <c r="AZ119" s="4"/>
      <c r="BB119" s="95">
        <f t="shared" si="637"/>
        <v>-239.55515308953647</v>
      </c>
      <c r="BC119" s="95" t="str">
        <f t="shared" si="638"/>
        <v>-</v>
      </c>
      <c r="BD119" s="95" t="str">
        <f t="shared" si="1147"/>
        <v>-</v>
      </c>
      <c r="BE119" s="95" t="str">
        <f t="shared" si="1147"/>
        <v>-</v>
      </c>
      <c r="BF119" s="95" t="str">
        <f t="shared" si="1147"/>
        <v>-</v>
      </c>
      <c r="BG119" s="95" t="str">
        <f t="shared" si="1147"/>
        <v>-</v>
      </c>
      <c r="BH119" s="95" t="str">
        <f t="shared" si="1147"/>
        <v>-</v>
      </c>
      <c r="BI119" s="95">
        <f t="shared" si="1147"/>
        <v>-177.3329308673143</v>
      </c>
      <c r="BJ119" s="95" t="str">
        <f t="shared" si="1147"/>
        <v>-</v>
      </c>
      <c r="BK119" s="95" t="str">
        <f t="shared" si="1147"/>
        <v>-</v>
      </c>
      <c r="BL119" s="95" t="str">
        <f t="shared" si="1147"/>
        <v>-</v>
      </c>
      <c r="BM119" s="95" t="str">
        <f t="shared" si="1147"/>
        <v>-</v>
      </c>
      <c r="BN119" s="95" t="str">
        <f t="shared" si="1147"/>
        <v>-</v>
      </c>
      <c r="BP119" s="143">
        <f t="shared" si="639"/>
        <v>-0.26260613615174522</v>
      </c>
      <c r="BQ119" s="143" t="str">
        <f t="shared" si="517"/>
        <v>-</v>
      </c>
      <c r="BR119" s="143" t="str">
        <f t="shared" si="518"/>
        <v>-</v>
      </c>
      <c r="BS119" s="143" t="str">
        <f t="shared" si="519"/>
        <v>-</v>
      </c>
      <c r="BT119" s="143" t="str">
        <f t="shared" si="520"/>
        <v>-</v>
      </c>
      <c r="BU119" s="143" t="str">
        <f t="shared" si="521"/>
        <v>-</v>
      </c>
      <c r="BV119" s="143" t="str">
        <f t="shared" si="522"/>
        <v>-</v>
      </c>
      <c r="BW119" s="143">
        <f t="shared" si="523"/>
        <v>-0.20862697749095802</v>
      </c>
      <c r="BX119" s="143" t="str">
        <f t="shared" si="524"/>
        <v>-</v>
      </c>
      <c r="BY119" s="143" t="str">
        <f t="shared" si="525"/>
        <v>-</v>
      </c>
      <c r="BZ119" s="143" t="str">
        <f t="shared" si="526"/>
        <v>-</v>
      </c>
      <c r="CA119" s="143" t="str">
        <f t="shared" si="527"/>
        <v>-</v>
      </c>
      <c r="CB119" s="143" t="str">
        <f t="shared" si="528"/>
        <v>-</v>
      </c>
      <c r="CD119" s="112">
        <f t="shared" si="1148"/>
        <v>1020.9466420255072</v>
      </c>
      <c r="CE119" s="95" t="str">
        <f>IFERROR(SUMIFS('01. KE30'!$R:$R,'01. KE30'!$C:$C,'06. BC BH THEO CUSTOMER-USD'!$D119,'01. KE30'!$F:$F,'06. BC BH THEO CUSTOMER-USD'!$H119,'01. KE30'!$A:$A,'06. BC BH THEO CUSTOMER-USD'!CE$4)/CS119/'02. Tỷ giá'!B$5," -")</f>
        <v xml:space="preserve"> -</v>
      </c>
      <c r="CF119" s="95" t="str">
        <f>IFERROR(SUMIFS('01. KE30'!$R:$R,'01. KE30'!$C:$C,'06. BC BH THEO CUSTOMER-USD'!$D119,'01. KE30'!$F:$F,'06. BC BH THEO CUSTOMER-USD'!$H119,'01. KE30'!$A:$A,'06. BC BH THEO CUSTOMER-USD'!CF$4)/CT119/'02. Tỷ giá'!C$5," -")</f>
        <v xml:space="preserve"> -</v>
      </c>
      <c r="CG119" s="95" t="str">
        <f>IFERROR(SUMIFS('01. KE30'!$R:$R,'01. KE30'!$C:$C,'06. BC BH THEO CUSTOMER-USD'!$D119,'01. KE30'!$F:$F,'06. BC BH THEO CUSTOMER-USD'!$H119,'01. KE30'!$A:$A,'06. BC BH THEO CUSTOMER-USD'!CG$4)/CU119/'02. Tỷ giá'!D$5," -")</f>
        <v xml:space="preserve"> -</v>
      </c>
      <c r="CH119" s="95" t="str">
        <f>IFERROR(SUMIFS('01. KE30'!$R:$R,'01. KE30'!$C:$C,'06. BC BH THEO CUSTOMER-USD'!$D119,'01. KE30'!$F:$F,'06. BC BH THEO CUSTOMER-USD'!$H119,'01. KE30'!$A:$A,'06. BC BH THEO CUSTOMER-USD'!CH$4)/CV119/'02. Tỷ giá'!E$5," -")</f>
        <v xml:space="preserve"> -</v>
      </c>
      <c r="CI119" s="95" t="str">
        <f>IFERROR(SUMIFS('01. KE30'!$R:$R,'01. KE30'!$C:$C,'06. BC BH THEO CUSTOMER-USD'!$D119,'01. KE30'!$F:$F,'06. BC BH THEO CUSTOMER-USD'!$H119,'01. KE30'!$A:$A,'06. BC BH THEO CUSTOMER-USD'!CI$4)/CW119/'02. Tỷ giá'!F$5," -")</f>
        <v xml:space="preserve"> -</v>
      </c>
      <c r="CJ119" s="95" t="str">
        <f>IFERROR(SUMIFS('01. KE30'!$R:$R,'01. KE30'!$C:$C,'06. BC BH THEO CUSTOMER-USD'!$D119,'01. KE30'!$F:$F,'06. BC BH THEO CUSTOMER-USD'!$H119,'01. KE30'!$A:$A,'06. BC BH THEO CUSTOMER-USD'!CJ$4)/CX119/'02. Tỷ giá'!G$5," -")</f>
        <v xml:space="preserve"> -</v>
      </c>
      <c r="CK119" s="95">
        <f>IFERROR(SUMIFS('01. KE30'!$R:$R,'01. KE30'!$C:$C,'06. BC BH THEO CUSTOMER-USD'!$D119,'01. KE30'!$F:$F,'06. BC BH THEO CUSTOMER-USD'!$H119,'01. KE30'!$A:$A,'06. BC BH THEO CUSTOMER-USD'!CK$4)/CY119/'02. Tỷ giá'!H$5," -")</f>
        <v>1020.9466420255072</v>
      </c>
      <c r="CL119" s="95" t="str">
        <f>IFERROR(SUMIFS('01. KE30'!$R:$R,'01. KE30'!$C:$C,'06. BC BH THEO CUSTOMER-USD'!$D119,'01. KE30'!$F:$F,'06. BC BH THEO CUSTOMER-USD'!$H119,'01. KE30'!$A:$A,'06. BC BH THEO CUSTOMER-USD'!CL$4)/CZ119/'02. Tỷ giá'!I$5," -")</f>
        <v xml:space="preserve"> -</v>
      </c>
      <c r="CM119" s="95" t="str">
        <f>IFERROR(SUMIFS('01. KE30'!$R:$R,'01. KE30'!$C:$C,'06. BC BH THEO CUSTOMER-USD'!$D119,'01. KE30'!$F:$F,'06. BC BH THEO CUSTOMER-USD'!$H119,'01. KE30'!$A:$A,'06. BC BH THEO CUSTOMER-USD'!CM$4)/DA119/'02. Tỷ giá'!J$5," -")</f>
        <v xml:space="preserve"> -</v>
      </c>
      <c r="CN119" s="95" t="str">
        <f>IFERROR(SUMIFS('01. KE30'!$R:$R,'01. KE30'!$C:$C,'06. BC BH THEO CUSTOMER-USD'!$D119,'01. KE30'!$F:$F,'06. BC BH THEO CUSTOMER-USD'!$H119,'01. KE30'!$A:$A,'06. BC BH THEO CUSTOMER-USD'!CN$4)/DB119/'02. Tỷ giá'!K$5," -")</f>
        <v xml:space="preserve"> -</v>
      </c>
      <c r="CO119" s="95" t="str">
        <f>IFERROR(SUMIFS('01. KE30'!$R:$R,'01. KE30'!$C:$C,'06. BC BH THEO CUSTOMER-USD'!$D119,'01. KE30'!$F:$F,'06. BC BH THEO CUSTOMER-USD'!$H119,'01. KE30'!$A:$A,'06. BC BH THEO CUSTOMER-USD'!CO$4)/DC119/'02. Tỷ giá'!L$5," -")</f>
        <v xml:space="preserve"> -</v>
      </c>
      <c r="CP119" s="95" t="str">
        <f>IFERROR(SUMIFS('01. KE30'!$R:$R,'01. KE30'!$C:$C,'06. BC BH THEO CUSTOMER-USD'!$D119,'01. KE30'!$F:$F,'06. BC BH THEO CUSTOMER-USD'!$H119,'01. KE30'!$A:$A,'06. BC BH THEO CUSTOMER-USD'!CP$4)/DD119/'02. Tỷ giá'!M$5," -")</f>
        <v xml:space="preserve"> -</v>
      </c>
      <c r="CR119" s="112">
        <f t="shared" si="1149"/>
        <v>286.64999999999998</v>
      </c>
      <c r="CS119" s="114">
        <f>SUMIFS('01. KE30'!$I:$I,'01. KE30'!$C:$C,'06. BC BH THEO CUSTOMER-USD'!$D119,'01. KE30'!$F:$F,'06. BC BH THEO CUSTOMER-USD'!$H119,'01. KE30'!$A:$A,'06. BC BH THEO CUSTOMER-USD'!CS$4)/1000</f>
        <v>0</v>
      </c>
      <c r="CT119" s="114">
        <f>SUMIFS('01. KE30'!$I:$I,'01. KE30'!$C:$C,'06. BC BH THEO CUSTOMER-USD'!$D119,'01. KE30'!$F:$F,'06. BC BH THEO CUSTOMER-USD'!$H119,'01. KE30'!$A:$A,'06. BC BH THEO CUSTOMER-USD'!CT$4)/1000</f>
        <v>0</v>
      </c>
      <c r="CU119" s="114">
        <f>SUMIFS('01. KE30'!$I:$I,'01. KE30'!$C:$C,'06. BC BH THEO CUSTOMER-USD'!$D119,'01. KE30'!$F:$F,'06. BC BH THEO CUSTOMER-USD'!$H119,'01. KE30'!$A:$A,'06. BC BH THEO CUSTOMER-USD'!CU$4)/1000</f>
        <v>0</v>
      </c>
      <c r="CV119" s="114">
        <f>SUMIFS('01. KE30'!$I:$I,'01. KE30'!$C:$C,'06. BC BH THEO CUSTOMER-USD'!$D119,'01. KE30'!$F:$F,'06. BC BH THEO CUSTOMER-USD'!$H119,'01. KE30'!$A:$A,'06. BC BH THEO CUSTOMER-USD'!CV$4)/1000</f>
        <v>0</v>
      </c>
      <c r="CW119" s="114">
        <f>SUMIFS('01. KE30'!$I:$I,'01. KE30'!$C:$C,'06. BC BH THEO CUSTOMER-USD'!$D119,'01. KE30'!$F:$F,'06. BC BH THEO CUSTOMER-USD'!$H119,'01. KE30'!$A:$A,'06. BC BH THEO CUSTOMER-USD'!CW$4)/1000</f>
        <v>0</v>
      </c>
      <c r="CX119" s="114">
        <f>SUMIFS('01. KE30'!$I:$I,'01. KE30'!$C:$C,'06. BC BH THEO CUSTOMER-USD'!$D119,'01. KE30'!$F:$F,'06. BC BH THEO CUSTOMER-USD'!$H119,'01. KE30'!$A:$A,'06. BC BH THEO CUSTOMER-USD'!CX$4)/1000</f>
        <v>0</v>
      </c>
      <c r="CY119" s="114">
        <f>SUMIFS('01. KE30'!$I:$I,'01. KE30'!$C:$C,'06. BC BH THEO CUSTOMER-USD'!$D119,'01. KE30'!$F:$F,'06. BC BH THEO CUSTOMER-USD'!$H119,'01. KE30'!$A:$A,'06. BC BH THEO CUSTOMER-USD'!CY$4)/1000</f>
        <v>286.64999999999998</v>
      </c>
      <c r="CZ119" s="114">
        <f>SUMIFS('01. KE30'!$I:$I,'01. KE30'!$C:$C,'06. BC BH THEO CUSTOMER-USD'!$D119,'01. KE30'!$F:$F,'06. BC BH THEO CUSTOMER-USD'!$H119,'01. KE30'!$A:$A,'06. BC BH THEO CUSTOMER-USD'!CZ$4)/1000</f>
        <v>0</v>
      </c>
      <c r="DA119" s="114">
        <f>SUMIFS('01. KE30'!$I:$I,'01. KE30'!$C:$C,'06. BC BH THEO CUSTOMER-USD'!$D119,'01. KE30'!$F:$F,'06. BC BH THEO CUSTOMER-USD'!$H119,'01. KE30'!$A:$A,'06. BC BH THEO CUSTOMER-USD'!DA$4)/1000</f>
        <v>0</v>
      </c>
      <c r="DB119" s="114">
        <f>SUMIFS('01. KE30'!$I:$I,'01. KE30'!$C:$C,'06. BC BH THEO CUSTOMER-USD'!$D119,'01. KE30'!$F:$F,'06. BC BH THEO CUSTOMER-USD'!$H119,'01. KE30'!$A:$A,'06. BC BH THEO CUSTOMER-USD'!DB$4)/1000</f>
        <v>0</v>
      </c>
      <c r="DC119" s="114">
        <f>SUMIFS('01. KE30'!$I:$I,'01. KE30'!$C:$C,'06. BC BH THEO CUSTOMER-USD'!$D119,'01. KE30'!$F:$F,'06. BC BH THEO CUSTOMER-USD'!$H119,'01. KE30'!$A:$A,'06. BC BH THEO CUSTOMER-USD'!DC$4)/1000</f>
        <v>0</v>
      </c>
      <c r="DD119" s="114">
        <f>SUMIFS('01. KE30'!$I:$I,'01. KE30'!$C:$C,'06. BC BH THEO CUSTOMER-USD'!$D119,'01. KE30'!$F:$F,'06. BC BH THEO CUSTOMER-USD'!$H119,'01. KE30'!$A:$A,'06. BC BH THEO CUSTOMER-USD'!DD$4)/1000</f>
        <v>0</v>
      </c>
      <c r="DF119" s="112">
        <f t="shared" si="1150"/>
        <v>192820.01536688433</v>
      </c>
      <c r="DG119" s="54" t="str">
        <f t="shared" si="1151"/>
        <v>-</v>
      </c>
      <c r="DH119" s="54" t="str">
        <f t="shared" si="1152"/>
        <v>-</v>
      </c>
      <c r="DI119" s="54" t="str">
        <f t="shared" si="1153"/>
        <v>-</v>
      </c>
      <c r="DJ119" s="54" t="str">
        <f t="shared" si="1154"/>
        <v>-</v>
      </c>
      <c r="DK119" s="54" t="str">
        <f t="shared" si="1155"/>
        <v>-</v>
      </c>
      <c r="DL119" s="54" t="str">
        <f t="shared" si="1156"/>
        <v>-</v>
      </c>
      <c r="DM119" s="54">
        <f t="shared" si="1157"/>
        <v>192820.01536688433</v>
      </c>
      <c r="DN119" s="54" t="str">
        <f t="shared" si="1158"/>
        <v>-</v>
      </c>
      <c r="DO119" s="54" t="str">
        <f t="shared" si="1159"/>
        <v>-</v>
      </c>
      <c r="DP119" s="54" t="str">
        <f t="shared" si="1160"/>
        <v>-</v>
      </c>
      <c r="DQ119" s="54" t="str">
        <f t="shared" si="1161"/>
        <v>-</v>
      </c>
      <c r="DR119" s="54" t="str">
        <f t="shared" si="1162"/>
        <v>-</v>
      </c>
      <c r="DT119" s="112">
        <f t="shared" si="652"/>
        <v>-99834.33956972725</v>
      </c>
      <c r="DU119" s="114">
        <f>IFERROR(SUMIFS('01. KE30'!$X:$X,'01. KE30'!$C:$C,'06. BC BH THEO CUSTOMER-USD'!$D119,'01. KE30'!$F:$F,'06. BC BH THEO CUSTOMER-USD'!$H119,'01. KE30'!$A:$A,'06. BC BH THEO CUSTOMER-USD'!DU$4)-SUMIFS('01. KE30'!$AA:$AA,'01. KE30'!$C:$C,'06. BC BH THEO CUSTOMER-USD'!$D119,'01. KE30'!$F:$F,'06. BC BH THEO CUSTOMER-USD'!$H119,'01. KE30'!$A:$A,'06. BC BH THEO CUSTOMER-USD'!DU$4),"-")</f>
        <v>0</v>
      </c>
      <c r="DV119" s="114">
        <f>IFERROR(SUMIFS('01. KE30'!$X:$X,'01. KE30'!$C:$C,'06. BC BH THEO CUSTOMER-USD'!$D119,'01. KE30'!$F:$F,'06. BC BH THEO CUSTOMER-USD'!$H119,'01. KE30'!$A:$A,'06. BC BH THEO CUSTOMER-USD'!DV$4)-SUMIFS('01. KE30'!$AA:$AA,'01. KE30'!$C:$C,'06. BC BH THEO CUSTOMER-USD'!$D119,'01. KE30'!$F:$F,'06. BC BH THEO CUSTOMER-USD'!$H119,'01. KE30'!$A:$A,'06. BC BH THEO CUSTOMER-USD'!DV$4),"-")</f>
        <v>0</v>
      </c>
      <c r="DW119" s="114">
        <f>IFERROR(SUMIFS('01. KE30'!$X:$X,'01. KE30'!$C:$C,'06. BC BH THEO CUSTOMER-USD'!$D119,'01. KE30'!$F:$F,'06. BC BH THEO CUSTOMER-USD'!$H119,'01. KE30'!$A:$A,'06. BC BH THEO CUSTOMER-USD'!DW$4)-SUMIFS('01. KE30'!$AA:$AA,'01. KE30'!$C:$C,'06. BC BH THEO CUSTOMER-USD'!$D119,'01. KE30'!$F:$F,'06. BC BH THEO CUSTOMER-USD'!$H119,'01. KE30'!$A:$A,'06. BC BH THEO CUSTOMER-USD'!DW$4),"-")</f>
        <v>0</v>
      </c>
      <c r="DX119" s="114">
        <f>IFERROR(SUMIFS('01. KE30'!$X:$X,'01. KE30'!$C:$C,'06. BC BH THEO CUSTOMER-USD'!$D119,'01. KE30'!$F:$F,'06. BC BH THEO CUSTOMER-USD'!$H119,'01. KE30'!$A:$A,'06. BC BH THEO CUSTOMER-USD'!DX$4)-SUMIFS('01. KE30'!$AA:$AA,'01. KE30'!$C:$C,'06. BC BH THEO CUSTOMER-USD'!$D119,'01. KE30'!$F:$F,'06. BC BH THEO CUSTOMER-USD'!$H119,'01. KE30'!$A:$A,'06. BC BH THEO CUSTOMER-USD'!DX$4),"-")</f>
        <v>0</v>
      </c>
      <c r="DY119" s="114">
        <f>IFERROR(SUMIFS('01. KE30'!$X:$X,'01. KE30'!$C:$C,'06. BC BH THEO CUSTOMER-USD'!$D119,'01. KE30'!$F:$F,'06. BC BH THEO CUSTOMER-USD'!$H119,'01. KE30'!$A:$A,'06. BC BH THEO CUSTOMER-USD'!DY$4)-SUMIFS('01. KE30'!$AA:$AA,'01. KE30'!$C:$C,'06. BC BH THEO CUSTOMER-USD'!$D119,'01. KE30'!$F:$F,'06. BC BH THEO CUSTOMER-USD'!$H119,'01. KE30'!$A:$A,'06. BC BH THEO CUSTOMER-USD'!DY$4),"-")</f>
        <v>0</v>
      </c>
      <c r="DZ119" s="114">
        <f>IFERROR(SUMIFS('01. KE30'!$X:$X,'01. KE30'!$C:$C,'06. BC BH THEO CUSTOMER-USD'!$D119,'01. KE30'!$F:$F,'06. BC BH THEO CUSTOMER-USD'!$H119,'01. KE30'!$A:$A,'06. BC BH THEO CUSTOMER-USD'!DZ$4)-SUMIFS('01. KE30'!$AA:$AA,'01. KE30'!$C:$C,'06. BC BH THEO CUSTOMER-USD'!$D119,'01. KE30'!$F:$F,'06. BC BH THEO CUSTOMER-USD'!$H119,'01. KE30'!$A:$A,'06. BC BH THEO CUSTOMER-USD'!DZ$4),"-")</f>
        <v>0</v>
      </c>
      <c r="EA119" s="114">
        <f>IFERROR(SUMIFS('01. KE30'!$X:$X,'01. KE30'!$C:$C,'06. BC BH THEO CUSTOMER-USD'!$D119,'01. KE30'!$F:$F,'06. BC BH THEO CUSTOMER-USD'!$H119,'01. KE30'!$A:$A,'06. BC BH THEO CUSTOMER-USD'!EA$4)-SUMIFS('01. KE30'!$AA:$AA,'01. KE30'!$C:$C,'06. BC BH THEO CUSTOMER-USD'!$D119,'01. KE30'!$F:$F,'06. BC BH THEO CUSTOMER-USD'!$H119,'01. KE30'!$A:$A,'06. BC BH THEO CUSTOMER-USD'!EA$4),"-")</f>
        <v>-99834.33956972725</v>
      </c>
      <c r="EB119" s="114">
        <f>IFERROR(SUMIFS('01. KE30'!$X:$X,'01. KE30'!$C:$C,'06. BC BH THEO CUSTOMER-USD'!$D119,'01. KE30'!$F:$F,'06. BC BH THEO CUSTOMER-USD'!$H119,'01. KE30'!$A:$A,'06. BC BH THEO CUSTOMER-USD'!EB$4)-SUMIFS('01. KE30'!$AA:$AA,'01. KE30'!$C:$C,'06. BC BH THEO CUSTOMER-USD'!$D119,'01. KE30'!$F:$F,'06. BC BH THEO CUSTOMER-USD'!$H119,'01. KE30'!$A:$A,'06. BC BH THEO CUSTOMER-USD'!EB$4),"-")</f>
        <v>0</v>
      </c>
      <c r="EC119" s="114">
        <f>IFERROR(SUMIFS('01. KE30'!$X:$X,'01. KE30'!$C:$C,'06. BC BH THEO CUSTOMER-USD'!$D119,'01. KE30'!$F:$F,'06. BC BH THEO CUSTOMER-USD'!$H119,'01. KE30'!$A:$A,'06. BC BH THEO CUSTOMER-USD'!EC$4)-SUMIFS('01. KE30'!$AA:$AA,'01. KE30'!$C:$C,'06. BC BH THEO CUSTOMER-USD'!$D119,'01. KE30'!$F:$F,'06. BC BH THEO CUSTOMER-USD'!$H119,'01. KE30'!$A:$A,'06. BC BH THEO CUSTOMER-USD'!EC$4),"-")</f>
        <v>0</v>
      </c>
      <c r="ED119" s="114">
        <f>IFERROR(SUMIFS('01. KE30'!$X:$X,'01. KE30'!$C:$C,'06. BC BH THEO CUSTOMER-USD'!$D119,'01. KE30'!$F:$F,'06. BC BH THEO CUSTOMER-USD'!$H119,'01. KE30'!$A:$A,'06. BC BH THEO CUSTOMER-USD'!ED$4)-SUMIFS('01. KE30'!$AA:$AA,'01. KE30'!$C:$C,'06. BC BH THEO CUSTOMER-USD'!$D119,'01. KE30'!$F:$F,'06. BC BH THEO CUSTOMER-USD'!$H119,'01. KE30'!$A:$A,'06. BC BH THEO CUSTOMER-USD'!ED$4),"-")</f>
        <v>0</v>
      </c>
      <c r="EE119" s="114">
        <f>IFERROR(SUMIFS('01. KE30'!$X:$X,'01. KE30'!$C:$C,'06. BC BH THEO CUSTOMER-USD'!$D119,'01. KE30'!$F:$F,'06. BC BH THEO CUSTOMER-USD'!$H119,'01. KE30'!$A:$A,'06. BC BH THEO CUSTOMER-USD'!EE$4)-SUMIFS('01. KE30'!$AA:$AA,'01. KE30'!$C:$C,'06. BC BH THEO CUSTOMER-USD'!$D119,'01. KE30'!$F:$F,'06. BC BH THEO CUSTOMER-USD'!$H119,'01. KE30'!$A:$A,'06. BC BH THEO CUSTOMER-USD'!EE$4),"-")</f>
        <v>0</v>
      </c>
      <c r="EF119" s="114">
        <f>IFERROR(SUMIFS('01. KE30'!$X:$X,'01. KE30'!$C:$C,'06. BC BH THEO CUSTOMER-USD'!$D119,'01. KE30'!$F:$F,'06. BC BH THEO CUSTOMER-USD'!$H119,'01. KE30'!$A:$A,'06. BC BH THEO CUSTOMER-USD'!EF$4)-SUMIFS('01. KE30'!$AA:$AA,'01. KE30'!$C:$C,'06. BC BH THEO CUSTOMER-USD'!$D119,'01. KE30'!$F:$F,'06. BC BH THEO CUSTOMER-USD'!$H119,'01. KE30'!$A:$A,'06. BC BH THEO CUSTOMER-USD'!EF$4),"-")</f>
        <v>0</v>
      </c>
      <c r="EH119" s="571">
        <f t="shared" si="531"/>
        <v>-0.51775921384390267</v>
      </c>
      <c r="EI119" s="572" t="str">
        <f t="shared" si="532"/>
        <v>-</v>
      </c>
      <c r="EJ119" s="572" t="str">
        <f t="shared" si="533"/>
        <v>-</v>
      </c>
      <c r="EK119" s="572" t="str">
        <f t="shared" si="534"/>
        <v>-</v>
      </c>
      <c r="EL119" s="572" t="str">
        <f t="shared" si="535"/>
        <v>-</v>
      </c>
      <c r="EM119" s="572" t="str">
        <f t="shared" si="536"/>
        <v>-</v>
      </c>
      <c r="EN119" s="572" t="str">
        <f t="shared" si="537"/>
        <v>-</v>
      </c>
      <c r="EO119" s="572">
        <f t="shared" si="538"/>
        <v>-0.51775921384390267</v>
      </c>
      <c r="EP119" s="572" t="str">
        <f t="shared" si="539"/>
        <v>-</v>
      </c>
      <c r="EQ119" s="572" t="str">
        <f t="shared" si="540"/>
        <v>-</v>
      </c>
      <c r="ER119" s="572" t="str">
        <f t="shared" si="541"/>
        <v>-</v>
      </c>
      <c r="ES119" s="572" t="str">
        <f t="shared" si="542"/>
        <v>-</v>
      </c>
      <c r="ET119" s="572" t="str">
        <f t="shared" si="543"/>
        <v>-</v>
      </c>
    </row>
    <row r="120" spans="1:150" ht="15.5" hidden="1" outlineLevel="1" x14ac:dyDescent="0.35">
      <c r="A120" s="27">
        <f t="shared" si="1163"/>
        <v>5</v>
      </c>
      <c r="B120" s="27" t="s">
        <v>95</v>
      </c>
      <c r="C120" s="442" t="s">
        <v>489</v>
      </c>
      <c r="D120" s="9" t="s">
        <v>959</v>
      </c>
      <c r="E120" s="12" t="s">
        <v>976</v>
      </c>
      <c r="F120" s="12" t="s">
        <v>245</v>
      </c>
      <c r="G120" s="12" t="str">
        <f>_xlfn.XLOOKUP(F120,'Quy đổi'!$G$5:$G$32,'Quy đổi'!$H$5:$H$32,0)</f>
        <v>Nội địa</v>
      </c>
      <c r="H120" s="76" t="s">
        <v>87</v>
      </c>
      <c r="I120" s="7" t="s">
        <v>86</v>
      </c>
      <c r="J120" s="13" t="s">
        <v>22</v>
      </c>
      <c r="K120" s="11"/>
      <c r="L120" s="92">
        <f t="shared" ref="L120" si="1166">IFERROR(AVERAGE(M120:X120),"-")</f>
        <v>679.00178253119429</v>
      </c>
      <c r="M120" s="106" t="str">
        <f>IFERROR(SUMIFS('01. KE30'!$K:$K,'01. KE30'!$C:$C,'06. BC BH THEO CUSTOMER-USD'!$D120,'01. KE30'!$F:$F,'06. BC BH THEO CUSTOMER-USD'!$H120,'01. KE30'!$A:$A,'06. BC BH THEO CUSTOMER-USD'!M$4)/'06. BC BH THEO CUSTOMER-USD'!CS120/'02. Tỷ giá'!B$5,"-")</f>
        <v>-</v>
      </c>
      <c r="N120" s="106" t="str">
        <f>IFERROR(SUMIFS('01. KE30'!$K:$K,'01. KE30'!$C:$C,'06. BC BH THEO CUSTOMER-USD'!$D120,'01. KE30'!$F:$F,'06. BC BH THEO CUSTOMER-USD'!$H120,'01. KE30'!$A:$A,'06. BC BH THEO CUSTOMER-USD'!N$4)/'06. BC BH THEO CUSTOMER-USD'!CT120/'02. Tỷ giá'!C$5,"-")</f>
        <v>-</v>
      </c>
      <c r="O120" s="106" t="str">
        <f>IFERROR(SUMIFS('01. KE30'!$K:$K,'01. KE30'!$C:$C,'06. BC BH THEO CUSTOMER-USD'!$D120,'01. KE30'!$F:$F,'06. BC BH THEO CUSTOMER-USD'!$H120,'01. KE30'!$A:$A,'06. BC BH THEO CUSTOMER-USD'!O$4)/'06. BC BH THEO CUSTOMER-USD'!CU120/'02. Tỷ giá'!D$5,"-")</f>
        <v>-</v>
      </c>
      <c r="P120" s="106" t="str">
        <f>IFERROR(SUMIFS('01. KE30'!$K:$K,'01. KE30'!$C:$C,'06. BC BH THEO CUSTOMER-USD'!$D120,'01. KE30'!$F:$F,'06. BC BH THEO CUSTOMER-USD'!$H120,'01. KE30'!$A:$A,'06. BC BH THEO CUSTOMER-USD'!P$4)/'06. BC BH THEO CUSTOMER-USD'!CV120/'02. Tỷ giá'!E$5,"-")</f>
        <v>-</v>
      </c>
      <c r="Q120" s="106" t="str">
        <f>IFERROR(SUMIFS('01. KE30'!$K:$K,'01. KE30'!$C:$C,'06. BC BH THEO CUSTOMER-USD'!$D120,'01. KE30'!$F:$F,'06. BC BH THEO CUSTOMER-USD'!$H120,'01. KE30'!$A:$A,'06. BC BH THEO CUSTOMER-USD'!Q$4)/'06. BC BH THEO CUSTOMER-USD'!CW120/'02. Tỷ giá'!F$5,"-")</f>
        <v>-</v>
      </c>
      <c r="R120" s="106" t="str">
        <f>IFERROR(SUMIFS('01. KE30'!$K:$K,'01. KE30'!$C:$C,'06. BC BH THEO CUSTOMER-USD'!$D120,'01. KE30'!$F:$F,'06. BC BH THEO CUSTOMER-USD'!$H120,'01. KE30'!$A:$A,'06. BC BH THEO CUSTOMER-USD'!R$4)/'06. BC BH THEO CUSTOMER-USD'!CX120/'02. Tỷ giá'!G$5,"-")</f>
        <v>-</v>
      </c>
      <c r="S120" s="106" t="str">
        <f>IFERROR(SUMIFS('01. KE30'!$K:$K,'01. KE30'!$C:$C,'06. BC BH THEO CUSTOMER-USD'!$D120,'01. KE30'!$F:$F,'06. BC BH THEO CUSTOMER-USD'!$H120,'01. KE30'!$A:$A,'06. BC BH THEO CUSTOMER-USD'!S$4)/'06. BC BH THEO CUSTOMER-USD'!CY120/'02. Tỷ giá'!H$5,"-")</f>
        <v>-</v>
      </c>
      <c r="T120" s="106">
        <f>IFERROR(SUMIFS('01. KE30'!$K:$K,'01. KE30'!$C:$C,'06. BC BH THEO CUSTOMER-USD'!$D120,'01. KE30'!$F:$F,'06. BC BH THEO CUSTOMER-USD'!$H120,'01. KE30'!$A:$A,'06. BC BH THEO CUSTOMER-USD'!T$4)/'06. BC BH THEO CUSTOMER-USD'!CZ120/'02. Tỷ giá'!I$5,"-")</f>
        <v>679.90832696715051</v>
      </c>
      <c r="U120" s="106">
        <f>IFERROR(SUMIFS('01. KE30'!$K:$K,'01. KE30'!$C:$C,'06. BC BH THEO CUSTOMER-USD'!$D120,'01. KE30'!$F:$F,'06. BC BH THEO CUSTOMER-USD'!$H120,'01. KE30'!$A:$A,'06. BC BH THEO CUSTOMER-USD'!U$4)/'06. BC BH THEO CUSTOMER-USD'!DA120/'02. Tỷ giá'!J$5,"-")</f>
        <v>678.09523809523807</v>
      </c>
      <c r="V120" s="106" t="str">
        <f>IFERROR(SUMIFS('01. KE30'!$K:$K,'01. KE30'!$C:$C,'06. BC BH THEO CUSTOMER-USD'!$D120,'01. KE30'!$F:$F,'06. BC BH THEO CUSTOMER-USD'!$H120,'01. KE30'!$A:$A,'06. BC BH THEO CUSTOMER-USD'!V$4)/'06. BC BH THEO CUSTOMER-USD'!DB120/'02. Tỷ giá'!K$5,"-")</f>
        <v>-</v>
      </c>
      <c r="W120" s="106" t="str">
        <f>IFERROR(SUMIFS('01. KE30'!$K:$K,'01. KE30'!$C:$C,'06. BC BH THEO CUSTOMER-USD'!$D120,'01. KE30'!$F:$F,'06. BC BH THEO CUSTOMER-USD'!$H120,'01. KE30'!$A:$A,'06. BC BH THEO CUSTOMER-USD'!W$4)/'06. BC BH THEO CUSTOMER-USD'!DC120/'02. Tỷ giá'!L$5,"-")</f>
        <v>-</v>
      </c>
      <c r="X120" s="106" t="str">
        <f>IFERROR(SUMIFS('01. KE30'!$K:$K,'01. KE30'!$C:$C,'06. BC BH THEO CUSTOMER-USD'!$D120,'01. KE30'!$F:$F,'06. BC BH THEO CUSTOMER-USD'!$H120,'01. KE30'!$A:$A,'06. BC BH THEO CUSTOMER-USD'!X$4)/'06. BC BH THEO CUSTOMER-USD'!DD120/'02. Tỷ giá'!M$5,"-")</f>
        <v>-</v>
      </c>
      <c r="Z120" s="92">
        <f t="shared" ref="Z120" si="1167">IFERROR(AVERAGE(AA120:AL120),"-")</f>
        <v>679.00178253119429</v>
      </c>
      <c r="AA120" s="147" t="str">
        <f>IFERROR(SUMIFS('01. KE30'!$O:$O,'01. KE30'!$C:$C,'06. BC BH THEO CUSTOMER-USD'!$D120,'01. KE30'!$F:$F,'06. BC BH THEO CUSTOMER-USD'!$H120,'01. KE30'!$A:$A,'06. BC BH THEO CUSTOMER-USD'!M$4)/'06. BC BH THEO CUSTOMER-USD'!CS120/'02. Tỷ giá'!B$5,"-")</f>
        <v>-</v>
      </c>
      <c r="AB120" s="147" t="str">
        <f>IFERROR(SUMIFS('01. KE30'!$O:$O,'01. KE30'!$C:$C,'06. BC BH THEO CUSTOMER-USD'!$D120,'01. KE30'!$F:$F,'06. BC BH THEO CUSTOMER-USD'!$H120,'01. KE30'!$A:$A,'06. BC BH THEO CUSTOMER-USD'!N$4)/'06. BC BH THEO CUSTOMER-USD'!CT120/'02. Tỷ giá'!C$5,"-")</f>
        <v>-</v>
      </c>
      <c r="AC120" s="147" t="str">
        <f>IFERROR(SUMIFS('01. KE30'!$O:$O,'01. KE30'!$C:$C,'06. BC BH THEO CUSTOMER-USD'!$D120,'01. KE30'!$F:$F,'06. BC BH THEO CUSTOMER-USD'!$H120,'01. KE30'!$A:$A,'06. BC BH THEO CUSTOMER-USD'!O$4)/'06. BC BH THEO CUSTOMER-USD'!CU120/'02. Tỷ giá'!D$5,"-")</f>
        <v>-</v>
      </c>
      <c r="AD120" s="147" t="str">
        <f>IFERROR(SUMIFS('01. KE30'!$O:$O,'01. KE30'!$C:$C,'06. BC BH THEO CUSTOMER-USD'!$D120,'01. KE30'!$F:$F,'06. BC BH THEO CUSTOMER-USD'!$H120,'01. KE30'!$A:$A,'06. BC BH THEO CUSTOMER-USD'!P$4)/'06. BC BH THEO CUSTOMER-USD'!CV120/'02. Tỷ giá'!E$5,"-")</f>
        <v>-</v>
      </c>
      <c r="AE120" s="147" t="str">
        <f>IFERROR(SUMIFS('01. KE30'!$O:$O,'01. KE30'!$C:$C,'06. BC BH THEO CUSTOMER-USD'!$D120,'01. KE30'!$F:$F,'06. BC BH THEO CUSTOMER-USD'!$H120,'01. KE30'!$A:$A,'06. BC BH THEO CUSTOMER-USD'!Q$4)/'06. BC BH THEO CUSTOMER-USD'!CW120/'02. Tỷ giá'!F$5,"-")</f>
        <v>-</v>
      </c>
      <c r="AF120" s="147" t="str">
        <f>IFERROR(SUMIFS('01. KE30'!$O:$O,'01. KE30'!$C:$C,'06. BC BH THEO CUSTOMER-USD'!$D120,'01. KE30'!$F:$F,'06. BC BH THEO CUSTOMER-USD'!$H120,'01. KE30'!$A:$A,'06. BC BH THEO CUSTOMER-USD'!R$4)/'06. BC BH THEO CUSTOMER-USD'!CX120/'02. Tỷ giá'!G$5,"-")</f>
        <v>-</v>
      </c>
      <c r="AG120" s="147" t="str">
        <f>IFERROR(SUMIFS('01. KE30'!$O:$O,'01. KE30'!$C:$C,'06. BC BH THEO CUSTOMER-USD'!$D120,'01. KE30'!$F:$F,'06. BC BH THEO CUSTOMER-USD'!$H120,'01. KE30'!$A:$A,'06. BC BH THEO CUSTOMER-USD'!S$4)/'06. BC BH THEO CUSTOMER-USD'!CY120/'02. Tỷ giá'!H$5,"-")</f>
        <v>-</v>
      </c>
      <c r="AH120" s="147">
        <f>IFERROR(SUMIFS('01. KE30'!$O:$O,'01. KE30'!$C:$C,'06. BC BH THEO CUSTOMER-USD'!$D120,'01. KE30'!$F:$F,'06. BC BH THEO CUSTOMER-USD'!$H120,'01. KE30'!$A:$A,'06. BC BH THEO CUSTOMER-USD'!T$4)/'06. BC BH THEO CUSTOMER-USD'!CZ120/'02. Tỷ giá'!I$5,"-")</f>
        <v>679.90832696715051</v>
      </c>
      <c r="AI120" s="147">
        <f>IFERROR(SUMIFS('01. KE30'!$O:$O,'01. KE30'!$C:$C,'06. BC BH THEO CUSTOMER-USD'!$D120,'01. KE30'!$F:$F,'06. BC BH THEO CUSTOMER-USD'!$H120,'01. KE30'!$A:$A,'06. BC BH THEO CUSTOMER-USD'!U$4)/'06. BC BH THEO CUSTOMER-USD'!DA120/'02. Tỷ giá'!J$5,"-")</f>
        <v>678.09523809523807</v>
      </c>
      <c r="AJ120" s="147" t="str">
        <f>IFERROR(SUMIFS('01. KE30'!$O:$O,'01. KE30'!$C:$C,'06. BC BH THEO CUSTOMER-USD'!$D120,'01. KE30'!$F:$F,'06. BC BH THEO CUSTOMER-USD'!$H120,'01. KE30'!$A:$A,'06. BC BH THEO CUSTOMER-USD'!V$4)/'06. BC BH THEO CUSTOMER-USD'!DB120/'02. Tỷ giá'!K$5,"-")</f>
        <v>-</v>
      </c>
      <c r="AK120" s="147" t="str">
        <f>IFERROR(SUMIFS('01. KE30'!$O:$O,'01. KE30'!$C:$C,'06. BC BH THEO CUSTOMER-USD'!$D120,'01. KE30'!$F:$F,'06. BC BH THEO CUSTOMER-USD'!$H120,'01. KE30'!$A:$A,'06. BC BH THEO CUSTOMER-USD'!W$4)/'06. BC BH THEO CUSTOMER-USD'!DC120/'02. Tỷ giá'!L$5,"-")</f>
        <v>-</v>
      </c>
      <c r="AL120" s="147" t="str">
        <f>IFERROR(SUMIFS('01. KE30'!$O:$O,'01. KE30'!$C:$C,'06. BC BH THEO CUSTOMER-USD'!$D120,'01. KE30'!$F:$F,'06. BC BH THEO CUSTOMER-USD'!$H120,'01. KE30'!$A:$A,'06. BC BH THEO CUSTOMER-USD'!X$4)/'06. BC BH THEO CUSTOMER-USD'!DD120/'02. Tỷ giá'!M$5,"-")</f>
        <v>-</v>
      </c>
      <c r="AN120" s="55">
        <f t="shared" ref="AN120" si="1168">IFERROR(AVERAGE(AO120:AZ120),"-")</f>
        <v>862.22222222222217</v>
      </c>
      <c r="AO120" s="4">
        <v>950</v>
      </c>
      <c r="AP120" s="4">
        <v>950</v>
      </c>
      <c r="AQ120" s="4">
        <v>950</v>
      </c>
      <c r="AR120" s="4">
        <v>950</v>
      </c>
      <c r="AS120" s="4">
        <v>800</v>
      </c>
      <c r="AT120" s="4">
        <v>800</v>
      </c>
      <c r="AU120" s="4">
        <v>800</v>
      </c>
      <c r="AV120" s="4">
        <f t="shared" ref="AV120" si="1169">AU120-20</f>
        <v>780</v>
      </c>
      <c r="AW120" s="4">
        <v>780</v>
      </c>
      <c r="AX120" s="4"/>
      <c r="AY120" s="4"/>
      <c r="AZ120" s="4"/>
      <c r="BB120" s="95">
        <f t="shared" ref="BB120" si="1170">IF(L120&lt;&gt;"-",Z120-AN120,"-")</f>
        <v>-183.22043969102788</v>
      </c>
      <c r="BC120" s="95" t="str">
        <f t="shared" ref="BC120" si="1171">IF(M120&lt;&gt;"-",AA120-AO120,"-")</f>
        <v>-</v>
      </c>
      <c r="BD120" s="95" t="str">
        <f t="shared" ref="BD120" si="1172">IF(N120&lt;&gt;"-",AB120-AP120,"-")</f>
        <v>-</v>
      </c>
      <c r="BE120" s="95" t="str">
        <f t="shared" ref="BE120" si="1173">IF(O120&lt;&gt;"-",AC120-AQ120,"-")</f>
        <v>-</v>
      </c>
      <c r="BF120" s="95" t="str">
        <f t="shared" ref="BF120" si="1174">IF(P120&lt;&gt;"-",AD120-AR120,"-")</f>
        <v>-</v>
      </c>
      <c r="BG120" s="95" t="str">
        <f t="shared" ref="BG120" si="1175">IF(Q120&lt;&gt;"-",AE120-AS120,"-")</f>
        <v>-</v>
      </c>
      <c r="BH120" s="95" t="str">
        <f t="shared" ref="BH120" si="1176">IF(R120&lt;&gt;"-",AF120-AT120,"-")</f>
        <v>-</v>
      </c>
      <c r="BI120" s="95" t="str">
        <f t="shared" ref="BI120" si="1177">IF(S120&lt;&gt;"-",AG120-AU120,"-")</f>
        <v>-</v>
      </c>
      <c r="BJ120" s="95">
        <f t="shared" ref="BJ120" si="1178">IF(T120&lt;&gt;"-",AH120-AV120,"-")</f>
        <v>-100.09167303284949</v>
      </c>
      <c r="BK120" s="95">
        <f t="shared" ref="BK120" si="1179">IF(U120&lt;&gt;"-",AI120-AW120,"-")</f>
        <v>-101.90476190476193</v>
      </c>
      <c r="BL120" s="95" t="str">
        <f t="shared" ref="BL120" si="1180">IF(V120&lt;&gt;"-",AJ120-AX120,"-")</f>
        <v>-</v>
      </c>
      <c r="BM120" s="95" t="str">
        <f t="shared" ref="BM120" si="1181">IF(W120&lt;&gt;"-",AK120-AY120,"-")</f>
        <v>-</v>
      </c>
      <c r="BN120" s="95" t="str">
        <f t="shared" ref="BN120" si="1182">IF(X120&lt;&gt;"-",AL120-AZ120,"-")</f>
        <v>-</v>
      </c>
      <c r="BP120" s="143">
        <f t="shared" ref="BP120" si="1183">IFERROR(IF(BB120&lt;&gt;"-",BB120/AN120,"-"),"-")</f>
        <v>-0.21249793263134678</v>
      </c>
      <c r="BQ120" s="143" t="str">
        <f t="shared" ref="BQ120" si="1184">IFERROR(IF(BC120&lt;&gt;"-",BC120/AO120,"-"),"-")</f>
        <v>-</v>
      </c>
      <c r="BR120" s="143" t="str">
        <f t="shared" ref="BR120" si="1185">IFERROR(IF(BD120&lt;&gt;"-",BD120/AP120,"-"),"-")</f>
        <v>-</v>
      </c>
      <c r="BS120" s="143" t="str">
        <f t="shared" ref="BS120" si="1186">IFERROR(IF(BE120&lt;&gt;"-",BE120/AQ120,"-"),"-")</f>
        <v>-</v>
      </c>
      <c r="BT120" s="143" t="str">
        <f t="shared" ref="BT120" si="1187">IFERROR(IF(BF120&lt;&gt;"-",BF120/AR120,"-"),"-")</f>
        <v>-</v>
      </c>
      <c r="BU120" s="143" t="str">
        <f t="shared" ref="BU120" si="1188">IFERROR(IF(BG120&lt;&gt;"-",BG120/AS120,"-"),"-")</f>
        <v>-</v>
      </c>
      <c r="BV120" s="143" t="str">
        <f t="shared" ref="BV120" si="1189">IFERROR(IF(BH120&lt;&gt;"-",BH120/AT120,"-"),"-")</f>
        <v>-</v>
      </c>
      <c r="BW120" s="143" t="str">
        <f t="shared" ref="BW120" si="1190">IFERROR(IF(BI120&lt;&gt;"-",BI120/AU120,"-"),"-")</f>
        <v>-</v>
      </c>
      <c r="BX120" s="143">
        <f t="shared" ref="BX120" si="1191">IFERROR(IF(BJ120&lt;&gt;"-",BJ120/AV120,"-"),"-")</f>
        <v>-0.12832265773442242</v>
      </c>
      <c r="BY120" s="143">
        <f t="shared" ref="BY120" si="1192">IFERROR(IF(BK120&lt;&gt;"-",BK120/AW120,"-"),"-")</f>
        <v>-0.13064713064713068</v>
      </c>
      <c r="BZ120" s="143" t="str">
        <f t="shared" ref="BZ120" si="1193">IFERROR(IF(BL120&lt;&gt;"-",BL120/AX120,"-"),"-")</f>
        <v>-</v>
      </c>
      <c r="CA120" s="143" t="str">
        <f t="shared" ref="CA120" si="1194">IFERROR(IF(BM120&lt;&gt;"-",BM120/AY120,"-"),"-")</f>
        <v>-</v>
      </c>
      <c r="CB120" s="143" t="str">
        <f t="shared" ref="CB120" si="1195">IFERROR(IF(BN120&lt;&gt;"-",BN120/AZ120,"-"),"-")</f>
        <v>-</v>
      </c>
      <c r="CD120" s="112">
        <f t="shared" ref="CD120" si="1196">IFERROR(AVERAGE(CE120:CP120),"-")</f>
        <v>1050.1407463050487</v>
      </c>
      <c r="CE120" s="95" t="str">
        <f>IFERROR(SUMIFS('01. KE30'!$R:$R,'01. KE30'!$C:$C,'06. BC BH THEO CUSTOMER-USD'!$D120,'01. KE30'!$F:$F,'06. BC BH THEO CUSTOMER-USD'!$H120,'01. KE30'!$A:$A,'06. BC BH THEO CUSTOMER-USD'!CE$4)/CS120/'02. Tỷ giá'!B$5," -")</f>
        <v xml:space="preserve"> -</v>
      </c>
      <c r="CF120" s="95" t="str">
        <f>IFERROR(SUMIFS('01. KE30'!$R:$R,'01. KE30'!$C:$C,'06. BC BH THEO CUSTOMER-USD'!$D120,'01. KE30'!$F:$F,'06. BC BH THEO CUSTOMER-USD'!$H120,'01. KE30'!$A:$A,'06. BC BH THEO CUSTOMER-USD'!CF$4)/CT120/'02. Tỷ giá'!C$5," -")</f>
        <v xml:space="preserve"> -</v>
      </c>
      <c r="CG120" s="95" t="str">
        <f>IFERROR(SUMIFS('01. KE30'!$R:$R,'01. KE30'!$C:$C,'06. BC BH THEO CUSTOMER-USD'!$D120,'01. KE30'!$F:$F,'06. BC BH THEO CUSTOMER-USD'!$H120,'01. KE30'!$A:$A,'06. BC BH THEO CUSTOMER-USD'!CG$4)/CU120/'02. Tỷ giá'!D$5," -")</f>
        <v xml:space="preserve"> -</v>
      </c>
      <c r="CH120" s="95" t="str">
        <f>IFERROR(SUMIFS('01. KE30'!$R:$R,'01. KE30'!$C:$C,'06. BC BH THEO CUSTOMER-USD'!$D120,'01. KE30'!$F:$F,'06. BC BH THEO CUSTOMER-USD'!$H120,'01. KE30'!$A:$A,'06. BC BH THEO CUSTOMER-USD'!CH$4)/CV120/'02. Tỷ giá'!E$5," -")</f>
        <v xml:space="preserve"> -</v>
      </c>
      <c r="CI120" s="95" t="str">
        <f>IFERROR(SUMIFS('01. KE30'!$R:$R,'01. KE30'!$C:$C,'06. BC BH THEO CUSTOMER-USD'!$D120,'01. KE30'!$F:$F,'06. BC BH THEO CUSTOMER-USD'!$H120,'01. KE30'!$A:$A,'06. BC BH THEO CUSTOMER-USD'!CI$4)/CW120/'02. Tỷ giá'!F$5," -")</f>
        <v xml:space="preserve"> -</v>
      </c>
      <c r="CJ120" s="95" t="str">
        <f>IFERROR(SUMIFS('01. KE30'!$R:$R,'01. KE30'!$C:$C,'06. BC BH THEO CUSTOMER-USD'!$D120,'01. KE30'!$F:$F,'06. BC BH THEO CUSTOMER-USD'!$H120,'01. KE30'!$A:$A,'06. BC BH THEO CUSTOMER-USD'!CJ$4)/CX120/'02. Tỷ giá'!G$5," -")</f>
        <v xml:space="preserve"> -</v>
      </c>
      <c r="CK120" s="95" t="str">
        <f>IFERROR(SUMIFS('01. KE30'!$R:$R,'01. KE30'!$C:$C,'06. BC BH THEO CUSTOMER-USD'!$D120,'01. KE30'!$F:$F,'06. BC BH THEO CUSTOMER-USD'!$H120,'01. KE30'!$A:$A,'06. BC BH THEO CUSTOMER-USD'!CK$4)/CY120/'02. Tỷ giá'!H$5," -")</f>
        <v xml:space="preserve"> -</v>
      </c>
      <c r="CL120" s="95">
        <f>IFERROR(SUMIFS('01. KE30'!$R:$R,'01. KE30'!$C:$C,'06. BC BH THEO CUSTOMER-USD'!$D120,'01. KE30'!$F:$F,'06. BC BH THEO CUSTOMER-USD'!$H120,'01. KE30'!$A:$A,'06. BC BH THEO CUSTOMER-USD'!CL$4)/CZ120/'02. Tỷ giá'!I$5," -")</f>
        <v>1074.8428266411458</v>
      </c>
      <c r="CM120" s="95">
        <f>IFERROR(SUMIFS('01. KE30'!$R:$R,'01. KE30'!$C:$C,'06. BC BH THEO CUSTOMER-USD'!$D120,'01. KE30'!$F:$F,'06. BC BH THEO CUSTOMER-USD'!$H120,'01. KE30'!$A:$A,'06. BC BH THEO CUSTOMER-USD'!CM$4)/DA120/'02. Tỷ giá'!J$5," -")</f>
        <v>1025.4386659689517</v>
      </c>
      <c r="CN120" s="95" t="str">
        <f>IFERROR(SUMIFS('01. KE30'!$R:$R,'01. KE30'!$C:$C,'06. BC BH THEO CUSTOMER-USD'!$D120,'01. KE30'!$F:$F,'06. BC BH THEO CUSTOMER-USD'!$H120,'01. KE30'!$A:$A,'06. BC BH THEO CUSTOMER-USD'!CN$4)/DB120/'02. Tỷ giá'!K$5," -")</f>
        <v xml:space="preserve"> -</v>
      </c>
      <c r="CO120" s="95" t="str">
        <f>IFERROR(SUMIFS('01. KE30'!$R:$R,'01. KE30'!$C:$C,'06. BC BH THEO CUSTOMER-USD'!$D120,'01. KE30'!$F:$F,'06. BC BH THEO CUSTOMER-USD'!$H120,'01. KE30'!$A:$A,'06. BC BH THEO CUSTOMER-USD'!CO$4)/DC120/'02. Tỷ giá'!L$5," -")</f>
        <v xml:space="preserve"> -</v>
      </c>
      <c r="CP120" s="95" t="str">
        <f>IFERROR(SUMIFS('01. KE30'!$R:$R,'01. KE30'!$C:$C,'06. BC BH THEO CUSTOMER-USD'!$D120,'01. KE30'!$F:$F,'06. BC BH THEO CUSTOMER-USD'!$H120,'01. KE30'!$A:$A,'06. BC BH THEO CUSTOMER-USD'!CP$4)/DD120/'02. Tỷ giá'!M$5," -")</f>
        <v xml:space="preserve"> -</v>
      </c>
      <c r="CR120" s="112">
        <f t="shared" ref="CR120" si="1197">SUM(CS120:DD120)</f>
        <v>436.8</v>
      </c>
      <c r="CS120" s="114">
        <f>SUMIFS('01. KE30'!$I:$I,'01. KE30'!$C:$C,'06. BC BH THEO CUSTOMER-USD'!$D120,'01. KE30'!$F:$F,'06. BC BH THEO CUSTOMER-USD'!$H120,'01. KE30'!$A:$A,'06. BC BH THEO CUSTOMER-USD'!CS$4)/1000</f>
        <v>0</v>
      </c>
      <c r="CT120" s="114">
        <f>SUMIFS('01. KE30'!$I:$I,'01. KE30'!$C:$C,'06. BC BH THEO CUSTOMER-USD'!$D120,'01. KE30'!$F:$F,'06. BC BH THEO CUSTOMER-USD'!$H120,'01. KE30'!$A:$A,'06. BC BH THEO CUSTOMER-USD'!CT$4)/1000</f>
        <v>0</v>
      </c>
      <c r="CU120" s="114">
        <f>SUMIFS('01. KE30'!$I:$I,'01. KE30'!$C:$C,'06. BC BH THEO CUSTOMER-USD'!$D120,'01. KE30'!$F:$F,'06. BC BH THEO CUSTOMER-USD'!$H120,'01. KE30'!$A:$A,'06. BC BH THEO CUSTOMER-USD'!CU$4)/1000</f>
        <v>0</v>
      </c>
      <c r="CV120" s="114">
        <f>SUMIFS('01. KE30'!$I:$I,'01. KE30'!$C:$C,'06. BC BH THEO CUSTOMER-USD'!$D120,'01. KE30'!$F:$F,'06. BC BH THEO CUSTOMER-USD'!$H120,'01. KE30'!$A:$A,'06. BC BH THEO CUSTOMER-USD'!CV$4)/1000</f>
        <v>0</v>
      </c>
      <c r="CW120" s="114">
        <f>SUMIFS('01. KE30'!$I:$I,'01. KE30'!$C:$C,'06. BC BH THEO CUSTOMER-USD'!$D120,'01. KE30'!$F:$F,'06. BC BH THEO CUSTOMER-USD'!$H120,'01. KE30'!$A:$A,'06. BC BH THEO CUSTOMER-USD'!CW$4)/1000</f>
        <v>0</v>
      </c>
      <c r="CX120" s="114">
        <f>SUMIFS('01. KE30'!$I:$I,'01. KE30'!$C:$C,'06. BC BH THEO CUSTOMER-USD'!$D120,'01. KE30'!$F:$F,'06. BC BH THEO CUSTOMER-USD'!$H120,'01. KE30'!$A:$A,'06. BC BH THEO CUSTOMER-USD'!CX$4)/1000</f>
        <v>0</v>
      </c>
      <c r="CY120" s="114">
        <f>SUMIFS('01. KE30'!$I:$I,'01. KE30'!$C:$C,'06. BC BH THEO CUSTOMER-USD'!$D120,'01. KE30'!$F:$F,'06. BC BH THEO CUSTOMER-USD'!$H120,'01. KE30'!$A:$A,'06. BC BH THEO CUSTOMER-USD'!CY$4)/1000</f>
        <v>0</v>
      </c>
      <c r="CZ120" s="114">
        <f>SUMIFS('01. KE30'!$I:$I,'01. KE30'!$C:$C,'06. BC BH THEO CUSTOMER-USD'!$D120,'01. KE30'!$F:$F,'06. BC BH THEO CUSTOMER-USD'!$H120,'01. KE30'!$A:$A,'06. BC BH THEO CUSTOMER-USD'!CZ$4)/1000</f>
        <v>259.35000000000002</v>
      </c>
      <c r="DA120" s="114">
        <f>SUMIFS('01. KE30'!$I:$I,'01. KE30'!$C:$C,'06. BC BH THEO CUSTOMER-USD'!$D120,'01. KE30'!$F:$F,'06. BC BH THEO CUSTOMER-USD'!$H120,'01. KE30'!$A:$A,'06. BC BH THEO CUSTOMER-USD'!DA$4)/1000</f>
        <v>177.45</v>
      </c>
      <c r="DB120" s="114">
        <f>SUMIFS('01. KE30'!$I:$I,'01. KE30'!$C:$C,'06. BC BH THEO CUSTOMER-USD'!$D120,'01. KE30'!$F:$F,'06. BC BH THEO CUSTOMER-USD'!$H120,'01. KE30'!$A:$A,'06. BC BH THEO CUSTOMER-USD'!DB$4)/1000</f>
        <v>0</v>
      </c>
      <c r="DC120" s="114">
        <f>SUMIFS('01. KE30'!$I:$I,'01. KE30'!$C:$C,'06. BC BH THEO CUSTOMER-USD'!$D120,'01. KE30'!$F:$F,'06. BC BH THEO CUSTOMER-USD'!$H120,'01. KE30'!$A:$A,'06. BC BH THEO CUSTOMER-USD'!DC$4)/1000</f>
        <v>0</v>
      </c>
      <c r="DD120" s="114">
        <f>SUMIFS('01. KE30'!$I:$I,'01. KE30'!$C:$C,'06. BC BH THEO CUSTOMER-USD'!$D120,'01. KE30'!$F:$F,'06. BC BH THEO CUSTOMER-USD'!$H120,'01. KE30'!$A:$A,'06. BC BH THEO CUSTOMER-USD'!DD$4)/1000</f>
        <v>0</v>
      </c>
      <c r="DF120" s="112">
        <f t="shared" ref="DF120" si="1198">SUM(DG120:DR120)</f>
        <v>296662.22459893051</v>
      </c>
      <c r="DG120" s="54" t="str">
        <f t="shared" ref="DG120" si="1199">IFERROR(M120*CS120,"-")</f>
        <v>-</v>
      </c>
      <c r="DH120" s="54" t="str">
        <f t="shared" ref="DH120" si="1200">IFERROR(N120*CT120,"-")</f>
        <v>-</v>
      </c>
      <c r="DI120" s="54" t="str">
        <f t="shared" ref="DI120" si="1201">IFERROR(O120*CU120,"-")</f>
        <v>-</v>
      </c>
      <c r="DJ120" s="54" t="str">
        <f t="shared" ref="DJ120" si="1202">IFERROR(P120*CV120,"-")</f>
        <v>-</v>
      </c>
      <c r="DK120" s="54" t="str">
        <f t="shared" ref="DK120" si="1203">IFERROR(Q120*CW120,"-")</f>
        <v>-</v>
      </c>
      <c r="DL120" s="54" t="str">
        <f t="shared" ref="DL120" si="1204">IFERROR(R120*CX120,"-")</f>
        <v>-</v>
      </c>
      <c r="DM120" s="54" t="str">
        <f t="shared" ref="DM120" si="1205">IFERROR(S120*CY120,"-")</f>
        <v>-</v>
      </c>
      <c r="DN120" s="54">
        <f t="shared" ref="DN120" si="1206">IFERROR(T120*CZ120,"-")</f>
        <v>176334.22459893051</v>
      </c>
      <c r="DO120" s="54">
        <f t="shared" ref="DO120" si="1207">IFERROR(U120*DA120,"-")</f>
        <v>120327.99999999999</v>
      </c>
      <c r="DP120" s="54" t="str">
        <f t="shared" ref="DP120" si="1208">IFERROR(V120*DB120,"-")</f>
        <v>-</v>
      </c>
      <c r="DQ120" s="54" t="str">
        <f t="shared" ref="DQ120" si="1209">IFERROR(W120*DC120,"-")</f>
        <v>-</v>
      </c>
      <c r="DR120" s="54" t="str">
        <f t="shared" ref="DR120" si="1210">IFERROR(X120*DD120,"-")</f>
        <v>-</v>
      </c>
      <c r="DT120" s="112">
        <f t="shared" ref="DT120" si="1211">SUM(DU120:EF120)</f>
        <v>-164062.3537666412</v>
      </c>
      <c r="DU120" s="114">
        <f>IFERROR(SUMIFS('01. KE30'!$X:$X,'01. KE30'!$C:$C,'06. BC BH THEO CUSTOMER-USD'!$D120,'01. KE30'!$F:$F,'06. BC BH THEO CUSTOMER-USD'!$H120,'01. KE30'!$A:$A,'06. BC BH THEO CUSTOMER-USD'!DU$4)-SUMIFS('01. KE30'!$AA:$AA,'01. KE30'!$C:$C,'06. BC BH THEO CUSTOMER-USD'!$D120,'01. KE30'!$F:$F,'06. BC BH THEO CUSTOMER-USD'!$H120,'01. KE30'!$A:$A,'06. BC BH THEO CUSTOMER-USD'!DU$4),"-")</f>
        <v>0</v>
      </c>
      <c r="DV120" s="114">
        <f>IFERROR(SUMIFS('01. KE30'!$X:$X,'01. KE30'!$C:$C,'06. BC BH THEO CUSTOMER-USD'!$D120,'01. KE30'!$F:$F,'06. BC BH THEO CUSTOMER-USD'!$H120,'01. KE30'!$A:$A,'06. BC BH THEO CUSTOMER-USD'!DV$4)-SUMIFS('01. KE30'!$AA:$AA,'01. KE30'!$C:$C,'06. BC BH THEO CUSTOMER-USD'!$D120,'01. KE30'!$F:$F,'06. BC BH THEO CUSTOMER-USD'!$H120,'01. KE30'!$A:$A,'06. BC BH THEO CUSTOMER-USD'!DV$4),"-")</f>
        <v>0</v>
      </c>
      <c r="DW120" s="114">
        <f>IFERROR(SUMIFS('01. KE30'!$X:$X,'01. KE30'!$C:$C,'06. BC BH THEO CUSTOMER-USD'!$D120,'01. KE30'!$F:$F,'06. BC BH THEO CUSTOMER-USD'!$H120,'01. KE30'!$A:$A,'06. BC BH THEO CUSTOMER-USD'!DW$4)-SUMIFS('01. KE30'!$AA:$AA,'01. KE30'!$C:$C,'06. BC BH THEO CUSTOMER-USD'!$D120,'01. KE30'!$F:$F,'06. BC BH THEO CUSTOMER-USD'!$H120,'01. KE30'!$A:$A,'06. BC BH THEO CUSTOMER-USD'!DW$4),"-")</f>
        <v>0</v>
      </c>
      <c r="DX120" s="114">
        <f>IFERROR(SUMIFS('01. KE30'!$X:$X,'01. KE30'!$C:$C,'06. BC BH THEO CUSTOMER-USD'!$D120,'01. KE30'!$F:$F,'06. BC BH THEO CUSTOMER-USD'!$H120,'01. KE30'!$A:$A,'06. BC BH THEO CUSTOMER-USD'!DX$4)-SUMIFS('01. KE30'!$AA:$AA,'01. KE30'!$C:$C,'06. BC BH THEO CUSTOMER-USD'!$D120,'01. KE30'!$F:$F,'06. BC BH THEO CUSTOMER-USD'!$H120,'01. KE30'!$A:$A,'06. BC BH THEO CUSTOMER-USD'!DX$4),"-")</f>
        <v>0</v>
      </c>
      <c r="DY120" s="114">
        <f>IFERROR(SUMIFS('01. KE30'!$X:$X,'01. KE30'!$C:$C,'06. BC BH THEO CUSTOMER-USD'!$D120,'01. KE30'!$F:$F,'06. BC BH THEO CUSTOMER-USD'!$H120,'01. KE30'!$A:$A,'06. BC BH THEO CUSTOMER-USD'!DY$4)-SUMIFS('01. KE30'!$AA:$AA,'01. KE30'!$C:$C,'06. BC BH THEO CUSTOMER-USD'!$D120,'01. KE30'!$F:$F,'06. BC BH THEO CUSTOMER-USD'!$H120,'01. KE30'!$A:$A,'06. BC BH THEO CUSTOMER-USD'!DY$4),"-")</f>
        <v>0</v>
      </c>
      <c r="DZ120" s="114">
        <f>IFERROR(SUMIFS('01. KE30'!$X:$X,'01. KE30'!$C:$C,'06. BC BH THEO CUSTOMER-USD'!$D120,'01. KE30'!$F:$F,'06. BC BH THEO CUSTOMER-USD'!$H120,'01. KE30'!$A:$A,'06. BC BH THEO CUSTOMER-USD'!DZ$4)-SUMIFS('01. KE30'!$AA:$AA,'01. KE30'!$C:$C,'06. BC BH THEO CUSTOMER-USD'!$D120,'01. KE30'!$F:$F,'06. BC BH THEO CUSTOMER-USD'!$H120,'01. KE30'!$A:$A,'06. BC BH THEO CUSTOMER-USD'!DZ$4),"-")</f>
        <v>0</v>
      </c>
      <c r="EA120" s="114">
        <f>IFERROR(SUMIFS('01. KE30'!$X:$X,'01. KE30'!$C:$C,'06. BC BH THEO CUSTOMER-USD'!$D120,'01. KE30'!$F:$F,'06. BC BH THEO CUSTOMER-USD'!$H120,'01. KE30'!$A:$A,'06. BC BH THEO CUSTOMER-USD'!EA$4)-SUMIFS('01. KE30'!$AA:$AA,'01. KE30'!$C:$C,'06. BC BH THEO CUSTOMER-USD'!$D120,'01. KE30'!$F:$F,'06. BC BH THEO CUSTOMER-USD'!$H120,'01. KE30'!$A:$A,'06. BC BH THEO CUSTOMER-USD'!EA$4),"-")</f>
        <v>0</v>
      </c>
      <c r="EB120" s="114">
        <f>IFERROR(SUMIFS('01. KE30'!$X:$X,'01. KE30'!$C:$C,'06. BC BH THEO CUSTOMER-USD'!$D120,'01. KE30'!$F:$F,'06. BC BH THEO CUSTOMER-USD'!$H120,'01. KE30'!$A:$A,'06. BC BH THEO CUSTOMER-USD'!EB$4)-SUMIFS('01. KE30'!$AA:$AA,'01. KE30'!$C:$C,'06. BC BH THEO CUSTOMER-USD'!$D120,'01. KE30'!$F:$F,'06. BC BH THEO CUSTOMER-USD'!$H120,'01. KE30'!$A:$A,'06. BC BH THEO CUSTOMER-USD'!EB$4),"-")</f>
        <v>-102426.26249045072</v>
      </c>
      <c r="EC120" s="114">
        <f>IFERROR(SUMIFS('01. KE30'!$X:$X,'01. KE30'!$C:$C,'06. BC BH THEO CUSTOMER-USD'!$D120,'01. KE30'!$F:$F,'06. BC BH THEO CUSTOMER-USD'!$H120,'01. KE30'!$A:$A,'06. BC BH THEO CUSTOMER-USD'!EC$4)-SUMIFS('01. KE30'!$AA:$AA,'01. KE30'!$C:$C,'06. BC BH THEO CUSTOMER-USD'!$D120,'01. KE30'!$F:$F,'06. BC BH THEO CUSTOMER-USD'!$H120,'01. KE30'!$A:$A,'06. BC BH THEO CUSTOMER-USD'!EC$4),"-")</f>
        <v>-61636.091276190476</v>
      </c>
      <c r="ED120" s="114">
        <f>IFERROR(SUMIFS('01. KE30'!$X:$X,'01. KE30'!$C:$C,'06. BC BH THEO CUSTOMER-USD'!$D120,'01. KE30'!$F:$F,'06. BC BH THEO CUSTOMER-USD'!$H120,'01. KE30'!$A:$A,'06. BC BH THEO CUSTOMER-USD'!ED$4)-SUMIFS('01. KE30'!$AA:$AA,'01. KE30'!$C:$C,'06. BC BH THEO CUSTOMER-USD'!$D120,'01. KE30'!$F:$F,'06. BC BH THEO CUSTOMER-USD'!$H120,'01. KE30'!$A:$A,'06. BC BH THEO CUSTOMER-USD'!ED$4),"-")</f>
        <v>0</v>
      </c>
      <c r="EE120" s="114">
        <f>IFERROR(SUMIFS('01. KE30'!$X:$X,'01. KE30'!$C:$C,'06. BC BH THEO CUSTOMER-USD'!$D120,'01. KE30'!$F:$F,'06. BC BH THEO CUSTOMER-USD'!$H120,'01. KE30'!$A:$A,'06. BC BH THEO CUSTOMER-USD'!EE$4)-SUMIFS('01. KE30'!$AA:$AA,'01. KE30'!$C:$C,'06. BC BH THEO CUSTOMER-USD'!$D120,'01. KE30'!$F:$F,'06. BC BH THEO CUSTOMER-USD'!$H120,'01. KE30'!$A:$A,'06. BC BH THEO CUSTOMER-USD'!EE$4),"-")</f>
        <v>0</v>
      </c>
      <c r="EF120" s="114">
        <f>IFERROR(SUMIFS('01. KE30'!$X:$X,'01. KE30'!$C:$C,'06. BC BH THEO CUSTOMER-USD'!$D120,'01. KE30'!$F:$F,'06. BC BH THEO CUSTOMER-USD'!$H120,'01. KE30'!$A:$A,'06. BC BH THEO CUSTOMER-USD'!EF$4)-SUMIFS('01. KE30'!$AA:$AA,'01. KE30'!$C:$C,'06. BC BH THEO CUSTOMER-USD'!$D120,'01. KE30'!$F:$F,'06. BC BH THEO CUSTOMER-USD'!$H120,'01. KE30'!$A:$A,'06. BC BH THEO CUSTOMER-USD'!EF$4),"-")</f>
        <v>0</v>
      </c>
      <c r="EH120" s="571">
        <f t="shared" ref="EH120" si="1212">IFERROR(DT120/DF120,"-")</f>
        <v>-0.55302745062484326</v>
      </c>
      <c r="EI120" s="572" t="str">
        <f t="shared" ref="EI120" si="1213">IFERROR(DU120/DG120,"-")</f>
        <v>-</v>
      </c>
      <c r="EJ120" s="572" t="str">
        <f t="shared" ref="EJ120" si="1214">IFERROR(DV120/DH120,"-")</f>
        <v>-</v>
      </c>
      <c r="EK120" s="572" t="str">
        <f t="shared" ref="EK120" si="1215">IFERROR(DW120/DI120,"-")</f>
        <v>-</v>
      </c>
      <c r="EL120" s="572" t="str">
        <f t="shared" ref="EL120" si="1216">IFERROR(DX120/DJ120,"-")</f>
        <v>-</v>
      </c>
      <c r="EM120" s="572" t="str">
        <f t="shared" ref="EM120" si="1217">IFERROR(DY120/DK120,"-")</f>
        <v>-</v>
      </c>
      <c r="EN120" s="572" t="str">
        <f t="shared" ref="EN120" si="1218">IFERROR(DZ120/DL120,"-")</f>
        <v>-</v>
      </c>
      <c r="EO120" s="572" t="str">
        <f t="shared" ref="EO120" si="1219">IFERROR(EA120/DM120,"-")</f>
        <v>-</v>
      </c>
      <c r="EP120" s="572">
        <f t="shared" ref="EP120" si="1220">IFERROR(EB120/DN120,"-")</f>
        <v>-0.5808643371609663</v>
      </c>
      <c r="EQ120" s="572">
        <f t="shared" ref="EQ120" si="1221">IFERROR(EC120/DO120,"-")</f>
        <v>-0.51223398773511142</v>
      </c>
      <c r="ER120" s="572" t="str">
        <f t="shared" ref="ER120" si="1222">IFERROR(ED120/DP120,"-")</f>
        <v>-</v>
      </c>
      <c r="ES120" s="572" t="str">
        <f t="shared" ref="ES120" si="1223">IFERROR(EE120/DQ120,"-")</f>
        <v>-</v>
      </c>
      <c r="ET120" s="572" t="str">
        <f t="shared" ref="ET120" si="1224">IFERROR(EF120/DR120,"-")</f>
        <v>-</v>
      </c>
    </row>
    <row r="121" spans="1:150" ht="15.5" hidden="1" outlineLevel="1" x14ac:dyDescent="0.35">
      <c r="A121" s="27">
        <f>A119+1</f>
        <v>5</v>
      </c>
      <c r="B121" s="27" t="s">
        <v>95</v>
      </c>
      <c r="C121" s="442" t="s">
        <v>489</v>
      </c>
      <c r="D121" s="9" t="s">
        <v>712</v>
      </c>
      <c r="E121" s="12" t="s">
        <v>713</v>
      </c>
      <c r="F121" s="12" t="s">
        <v>245</v>
      </c>
      <c r="G121" s="12" t="str">
        <f>_xlfn.XLOOKUP(F121,'Quy đổi'!$G$5:$G$32,'Quy đổi'!$H$5:$H$32,0)</f>
        <v>Nội địa</v>
      </c>
      <c r="H121" s="76" t="s">
        <v>218</v>
      </c>
      <c r="I121" s="7" t="s">
        <v>228</v>
      </c>
      <c r="J121" s="13" t="s">
        <v>22</v>
      </c>
      <c r="K121" s="11"/>
      <c r="L121" s="92">
        <f t="shared" si="1164"/>
        <v>1130</v>
      </c>
      <c r="M121" s="106" t="str">
        <f>IFERROR(SUMIFS('01. KE30'!$K:$K,'01. KE30'!$C:$C,'06. BC BH THEO CUSTOMER-USD'!$D121,'01. KE30'!$F:$F,'06. BC BH THEO CUSTOMER-USD'!$H121,'01. KE30'!$A:$A,'06. BC BH THEO CUSTOMER-USD'!M$4)/'06. BC BH THEO CUSTOMER-USD'!CS121/'02. Tỷ giá'!B$5,"-")</f>
        <v>-</v>
      </c>
      <c r="N121" s="106" t="str">
        <f>IFERROR(SUMIFS('01. KE30'!$K:$K,'01. KE30'!$C:$C,'06. BC BH THEO CUSTOMER-USD'!$D121,'01. KE30'!$F:$F,'06. BC BH THEO CUSTOMER-USD'!$H121,'01. KE30'!$A:$A,'06. BC BH THEO CUSTOMER-USD'!N$4)/'06. BC BH THEO CUSTOMER-USD'!CT121/'02. Tỷ giá'!C$5,"-")</f>
        <v>-</v>
      </c>
      <c r="O121" s="106" t="str">
        <f>IFERROR(SUMIFS('01. KE30'!$K:$K,'01. KE30'!$C:$C,'06. BC BH THEO CUSTOMER-USD'!$D121,'01. KE30'!$F:$F,'06. BC BH THEO CUSTOMER-USD'!$H121,'01. KE30'!$A:$A,'06. BC BH THEO CUSTOMER-USD'!O$4)/'06. BC BH THEO CUSTOMER-USD'!CU121/'02. Tỷ giá'!D$5,"-")</f>
        <v>-</v>
      </c>
      <c r="P121" s="106">
        <f>IFERROR(SUMIFS('01. KE30'!$K:$K,'01. KE30'!$C:$C,'06. BC BH THEO CUSTOMER-USD'!$D121,'01. KE30'!$F:$F,'06. BC BH THEO CUSTOMER-USD'!$H121,'01. KE30'!$A:$A,'06. BC BH THEO CUSTOMER-USD'!P$4)/'06. BC BH THEO CUSTOMER-USD'!CV121/'02. Tỷ giá'!E$5,"-")</f>
        <v>1130</v>
      </c>
      <c r="Q121" s="106" t="str">
        <f>IFERROR(SUMIFS('01. KE30'!$K:$K,'01. KE30'!$C:$C,'06. BC BH THEO CUSTOMER-USD'!$D121,'01. KE30'!$F:$F,'06. BC BH THEO CUSTOMER-USD'!$H121,'01. KE30'!$A:$A,'06. BC BH THEO CUSTOMER-USD'!Q$4)/'06. BC BH THEO CUSTOMER-USD'!CW121/'02. Tỷ giá'!F$5,"-")</f>
        <v>-</v>
      </c>
      <c r="R121" s="106" t="str">
        <f>IFERROR(SUMIFS('01. KE30'!$K:$K,'01. KE30'!$C:$C,'06. BC BH THEO CUSTOMER-USD'!$D121,'01. KE30'!$F:$F,'06. BC BH THEO CUSTOMER-USD'!$H121,'01. KE30'!$A:$A,'06. BC BH THEO CUSTOMER-USD'!R$4)/'06. BC BH THEO CUSTOMER-USD'!CX121/'02. Tỷ giá'!G$5,"-")</f>
        <v>-</v>
      </c>
      <c r="S121" s="106" t="str">
        <f>IFERROR(SUMIFS('01. KE30'!$K:$K,'01. KE30'!$C:$C,'06. BC BH THEO CUSTOMER-USD'!$D121,'01. KE30'!$F:$F,'06. BC BH THEO CUSTOMER-USD'!$H121,'01. KE30'!$A:$A,'06. BC BH THEO CUSTOMER-USD'!S$4)/'06. BC BH THEO CUSTOMER-USD'!CY121/'02. Tỷ giá'!H$5,"-")</f>
        <v>-</v>
      </c>
      <c r="T121" s="106" t="str">
        <f>IFERROR(SUMIFS('01. KE30'!$K:$K,'01. KE30'!$C:$C,'06. BC BH THEO CUSTOMER-USD'!$D121,'01. KE30'!$F:$F,'06. BC BH THEO CUSTOMER-USD'!$H121,'01. KE30'!$A:$A,'06. BC BH THEO CUSTOMER-USD'!T$4)/'06. BC BH THEO CUSTOMER-USD'!CZ121/'02. Tỷ giá'!I$5,"-")</f>
        <v>-</v>
      </c>
      <c r="U121" s="106" t="str">
        <f>IFERROR(SUMIFS('01. KE30'!$K:$K,'01. KE30'!$C:$C,'06. BC BH THEO CUSTOMER-USD'!$D121,'01. KE30'!$F:$F,'06. BC BH THEO CUSTOMER-USD'!$H121,'01. KE30'!$A:$A,'06. BC BH THEO CUSTOMER-USD'!U$4)/'06. BC BH THEO CUSTOMER-USD'!DA121/'02. Tỷ giá'!J$5,"-")</f>
        <v>-</v>
      </c>
      <c r="V121" s="106" t="str">
        <f>IFERROR(SUMIFS('01. KE30'!$K:$K,'01. KE30'!$C:$C,'06. BC BH THEO CUSTOMER-USD'!$D121,'01. KE30'!$F:$F,'06. BC BH THEO CUSTOMER-USD'!$H121,'01. KE30'!$A:$A,'06. BC BH THEO CUSTOMER-USD'!V$4)/'06. BC BH THEO CUSTOMER-USD'!DB121/'02. Tỷ giá'!K$5,"-")</f>
        <v>-</v>
      </c>
      <c r="W121" s="106" t="str">
        <f>IFERROR(SUMIFS('01. KE30'!$K:$K,'01. KE30'!$C:$C,'06. BC BH THEO CUSTOMER-USD'!$D121,'01. KE30'!$F:$F,'06. BC BH THEO CUSTOMER-USD'!$H121,'01. KE30'!$A:$A,'06. BC BH THEO CUSTOMER-USD'!W$4)/'06. BC BH THEO CUSTOMER-USD'!DC121/'02. Tỷ giá'!L$5,"-")</f>
        <v>-</v>
      </c>
      <c r="X121" s="106" t="str">
        <f>IFERROR(SUMIFS('01. KE30'!$K:$K,'01. KE30'!$C:$C,'06. BC BH THEO CUSTOMER-USD'!$D121,'01. KE30'!$F:$F,'06. BC BH THEO CUSTOMER-USD'!$H121,'01. KE30'!$A:$A,'06. BC BH THEO CUSTOMER-USD'!X$4)/'06. BC BH THEO CUSTOMER-USD'!DD121/'02. Tỷ giá'!M$5,"-")</f>
        <v>-</v>
      </c>
      <c r="Z121" s="92">
        <f t="shared" si="1145"/>
        <v>1044.8277197057685</v>
      </c>
      <c r="AA121" s="147" t="str">
        <f>IFERROR(SUMIFS('01. KE30'!$O:$O,'01. KE30'!$C:$C,'06. BC BH THEO CUSTOMER-USD'!$D121,'01. KE30'!$F:$F,'06. BC BH THEO CUSTOMER-USD'!$H121,'01. KE30'!$A:$A,'06. BC BH THEO CUSTOMER-USD'!M$4)/'06. BC BH THEO CUSTOMER-USD'!CS121/'02. Tỷ giá'!B$5,"-")</f>
        <v>-</v>
      </c>
      <c r="AB121" s="147" t="str">
        <f>IFERROR(SUMIFS('01. KE30'!$O:$O,'01. KE30'!$C:$C,'06. BC BH THEO CUSTOMER-USD'!$D121,'01. KE30'!$F:$F,'06. BC BH THEO CUSTOMER-USD'!$H121,'01. KE30'!$A:$A,'06. BC BH THEO CUSTOMER-USD'!N$4)/'06. BC BH THEO CUSTOMER-USD'!CT121/'02. Tỷ giá'!C$5,"-")</f>
        <v>-</v>
      </c>
      <c r="AC121" s="147" t="str">
        <f>IFERROR(SUMIFS('01. KE30'!$O:$O,'01. KE30'!$C:$C,'06. BC BH THEO CUSTOMER-USD'!$D121,'01. KE30'!$F:$F,'06. BC BH THEO CUSTOMER-USD'!$H121,'01. KE30'!$A:$A,'06. BC BH THEO CUSTOMER-USD'!O$4)/'06. BC BH THEO CUSTOMER-USD'!CU121/'02. Tỷ giá'!D$5,"-")</f>
        <v>-</v>
      </c>
      <c r="AD121" s="147">
        <f>IFERROR(SUMIFS('01. KE30'!$O:$O,'01. KE30'!$C:$C,'06. BC BH THEO CUSTOMER-USD'!$D121,'01. KE30'!$F:$F,'06. BC BH THEO CUSTOMER-USD'!$H121,'01. KE30'!$A:$A,'06. BC BH THEO CUSTOMER-USD'!P$4)/'06. BC BH THEO CUSTOMER-USD'!CV121/'02. Tỷ giá'!E$5,"-")</f>
        <v>1044.8277197057685</v>
      </c>
      <c r="AE121" s="147" t="str">
        <f>IFERROR(SUMIFS('01. KE30'!$O:$O,'01. KE30'!$C:$C,'06. BC BH THEO CUSTOMER-USD'!$D121,'01. KE30'!$F:$F,'06. BC BH THEO CUSTOMER-USD'!$H121,'01. KE30'!$A:$A,'06. BC BH THEO CUSTOMER-USD'!Q$4)/'06. BC BH THEO CUSTOMER-USD'!CW121/'02. Tỷ giá'!F$5,"-")</f>
        <v>-</v>
      </c>
      <c r="AF121" s="147" t="str">
        <f>IFERROR(SUMIFS('01. KE30'!$O:$O,'01. KE30'!$C:$C,'06. BC BH THEO CUSTOMER-USD'!$D121,'01. KE30'!$F:$F,'06. BC BH THEO CUSTOMER-USD'!$H121,'01. KE30'!$A:$A,'06. BC BH THEO CUSTOMER-USD'!R$4)/'06. BC BH THEO CUSTOMER-USD'!CX121/'02. Tỷ giá'!G$5,"-")</f>
        <v>-</v>
      </c>
      <c r="AG121" s="147" t="str">
        <f>IFERROR(SUMIFS('01. KE30'!$O:$O,'01. KE30'!$C:$C,'06. BC BH THEO CUSTOMER-USD'!$D121,'01. KE30'!$F:$F,'06. BC BH THEO CUSTOMER-USD'!$H121,'01. KE30'!$A:$A,'06. BC BH THEO CUSTOMER-USD'!S$4)/'06. BC BH THEO CUSTOMER-USD'!CY121/'02. Tỷ giá'!H$5,"-")</f>
        <v>-</v>
      </c>
      <c r="AH121" s="147" t="str">
        <f>IFERROR(SUMIFS('01. KE30'!$O:$O,'01. KE30'!$C:$C,'06. BC BH THEO CUSTOMER-USD'!$D121,'01. KE30'!$F:$F,'06. BC BH THEO CUSTOMER-USD'!$H121,'01. KE30'!$A:$A,'06. BC BH THEO CUSTOMER-USD'!T$4)/'06. BC BH THEO CUSTOMER-USD'!CZ121/'02. Tỷ giá'!I$5,"-")</f>
        <v>-</v>
      </c>
      <c r="AI121" s="147" t="str">
        <f>IFERROR(SUMIFS('01. KE30'!$O:$O,'01. KE30'!$C:$C,'06. BC BH THEO CUSTOMER-USD'!$D121,'01. KE30'!$F:$F,'06. BC BH THEO CUSTOMER-USD'!$H121,'01. KE30'!$A:$A,'06. BC BH THEO CUSTOMER-USD'!U$4)/'06. BC BH THEO CUSTOMER-USD'!DA121/'02. Tỷ giá'!J$5,"-")</f>
        <v>-</v>
      </c>
      <c r="AJ121" s="147" t="str">
        <f>IFERROR(SUMIFS('01. KE30'!$O:$O,'01. KE30'!$C:$C,'06. BC BH THEO CUSTOMER-USD'!$D121,'01. KE30'!$F:$F,'06. BC BH THEO CUSTOMER-USD'!$H121,'01. KE30'!$A:$A,'06. BC BH THEO CUSTOMER-USD'!V$4)/'06. BC BH THEO CUSTOMER-USD'!DB121/'02. Tỷ giá'!K$5,"-")</f>
        <v>-</v>
      </c>
      <c r="AK121" s="147" t="str">
        <f>IFERROR(SUMIFS('01. KE30'!$O:$O,'01. KE30'!$C:$C,'06. BC BH THEO CUSTOMER-USD'!$D121,'01. KE30'!$F:$F,'06. BC BH THEO CUSTOMER-USD'!$H121,'01. KE30'!$A:$A,'06. BC BH THEO CUSTOMER-USD'!W$4)/'06. BC BH THEO CUSTOMER-USD'!DC121/'02. Tỷ giá'!L$5,"-")</f>
        <v>-</v>
      </c>
      <c r="AL121" s="147" t="str">
        <f>IFERROR(SUMIFS('01. KE30'!$O:$O,'01. KE30'!$C:$C,'06. BC BH THEO CUSTOMER-USD'!$D121,'01. KE30'!$F:$F,'06. BC BH THEO CUSTOMER-USD'!$H121,'01. KE30'!$A:$A,'06. BC BH THEO CUSTOMER-USD'!X$4)/'06. BC BH THEO CUSTOMER-USD'!DD121/'02. Tỷ giá'!M$5,"-")</f>
        <v>-</v>
      </c>
      <c r="AN121" s="55">
        <f t="shared" si="1146"/>
        <v>1097.7777777777778</v>
      </c>
      <c r="AO121" s="4">
        <v>1100</v>
      </c>
      <c r="AP121" s="4">
        <v>1100</v>
      </c>
      <c r="AQ121" s="4">
        <v>1100</v>
      </c>
      <c r="AR121" s="4">
        <v>1100</v>
      </c>
      <c r="AS121" s="4">
        <v>1100</v>
      </c>
      <c r="AT121" s="4">
        <v>1100</v>
      </c>
      <c r="AU121" s="4">
        <v>1100</v>
      </c>
      <c r="AV121" s="4">
        <v>1090</v>
      </c>
      <c r="AW121" s="4">
        <v>1090</v>
      </c>
      <c r="AX121" s="4"/>
      <c r="AY121" s="4"/>
      <c r="AZ121" s="4"/>
      <c r="BB121" s="95">
        <f t="shared" si="637"/>
        <v>-52.950058072009369</v>
      </c>
      <c r="BC121" s="95" t="str">
        <f t="shared" si="638"/>
        <v>-</v>
      </c>
      <c r="BD121" s="95" t="str">
        <f t="shared" si="1147"/>
        <v>-</v>
      </c>
      <c r="BE121" s="95" t="str">
        <f t="shared" si="1147"/>
        <v>-</v>
      </c>
      <c r="BF121" s="95">
        <f t="shared" si="1147"/>
        <v>-55.172280294231541</v>
      </c>
      <c r="BG121" s="95" t="str">
        <f t="shared" si="1147"/>
        <v>-</v>
      </c>
      <c r="BH121" s="95" t="str">
        <f t="shared" si="1147"/>
        <v>-</v>
      </c>
      <c r="BI121" s="95" t="str">
        <f t="shared" si="1147"/>
        <v>-</v>
      </c>
      <c r="BJ121" s="95" t="str">
        <f t="shared" si="1147"/>
        <v>-</v>
      </c>
      <c r="BK121" s="95" t="str">
        <f t="shared" si="1147"/>
        <v>-</v>
      </c>
      <c r="BL121" s="95" t="str">
        <f t="shared" si="1147"/>
        <v>-</v>
      </c>
      <c r="BM121" s="95" t="str">
        <f t="shared" si="1147"/>
        <v>-</v>
      </c>
      <c r="BN121" s="95" t="str">
        <f t="shared" si="1147"/>
        <v>-</v>
      </c>
      <c r="BP121" s="143">
        <f t="shared" si="639"/>
        <v>-4.8233858567619865E-2</v>
      </c>
      <c r="BQ121" s="143" t="str">
        <f t="shared" si="517"/>
        <v>-</v>
      </c>
      <c r="BR121" s="143" t="str">
        <f t="shared" si="518"/>
        <v>-</v>
      </c>
      <c r="BS121" s="143" t="str">
        <f t="shared" si="519"/>
        <v>-</v>
      </c>
      <c r="BT121" s="143">
        <f t="shared" si="520"/>
        <v>-5.0156618449301402E-2</v>
      </c>
      <c r="BU121" s="143" t="str">
        <f t="shared" si="521"/>
        <v>-</v>
      </c>
      <c r="BV121" s="143" t="str">
        <f t="shared" si="522"/>
        <v>-</v>
      </c>
      <c r="BW121" s="143" t="str">
        <f t="shared" si="523"/>
        <v>-</v>
      </c>
      <c r="BX121" s="143" t="str">
        <f t="shared" si="524"/>
        <v>-</v>
      </c>
      <c r="BY121" s="143" t="str">
        <f t="shared" si="525"/>
        <v>-</v>
      </c>
      <c r="BZ121" s="143" t="str">
        <f t="shared" si="526"/>
        <v>-</v>
      </c>
      <c r="CA121" s="143" t="str">
        <f t="shared" si="527"/>
        <v>-</v>
      </c>
      <c r="CB121" s="143" t="str">
        <f t="shared" si="528"/>
        <v>-</v>
      </c>
      <c r="CD121" s="112">
        <f t="shared" si="1148"/>
        <v>944.75090979481229</v>
      </c>
      <c r="CE121" s="95" t="str">
        <f>IFERROR(SUMIFS('01. KE30'!$R:$R,'01. KE30'!$C:$C,'06. BC BH THEO CUSTOMER-USD'!$D121,'01. KE30'!$F:$F,'06. BC BH THEO CUSTOMER-USD'!$H121,'01. KE30'!$A:$A,'06. BC BH THEO CUSTOMER-USD'!CE$4)/CS121/'02. Tỷ giá'!B$5," -")</f>
        <v xml:space="preserve"> -</v>
      </c>
      <c r="CF121" s="95" t="str">
        <f>IFERROR(SUMIFS('01. KE30'!$R:$R,'01. KE30'!$C:$C,'06. BC BH THEO CUSTOMER-USD'!$D121,'01. KE30'!$F:$F,'06. BC BH THEO CUSTOMER-USD'!$H121,'01. KE30'!$A:$A,'06. BC BH THEO CUSTOMER-USD'!CF$4)/CT121/'02. Tỷ giá'!C$5," -")</f>
        <v xml:space="preserve"> -</v>
      </c>
      <c r="CG121" s="95" t="str">
        <f>IFERROR(SUMIFS('01. KE30'!$R:$R,'01. KE30'!$C:$C,'06. BC BH THEO CUSTOMER-USD'!$D121,'01. KE30'!$F:$F,'06. BC BH THEO CUSTOMER-USD'!$H121,'01. KE30'!$A:$A,'06. BC BH THEO CUSTOMER-USD'!CG$4)/CU121/'02. Tỷ giá'!D$5," -")</f>
        <v xml:space="preserve"> -</v>
      </c>
      <c r="CH121" s="95">
        <f>IFERROR(SUMIFS('01. KE30'!$R:$R,'01. KE30'!$C:$C,'06. BC BH THEO CUSTOMER-USD'!$D121,'01. KE30'!$F:$F,'06. BC BH THEO CUSTOMER-USD'!$H121,'01. KE30'!$A:$A,'06. BC BH THEO CUSTOMER-USD'!CH$4)/CV121/'02. Tỷ giá'!E$5," -")</f>
        <v>944.75090979481229</v>
      </c>
      <c r="CI121" s="95" t="str">
        <f>IFERROR(SUMIFS('01. KE30'!$R:$R,'01. KE30'!$C:$C,'06. BC BH THEO CUSTOMER-USD'!$D121,'01. KE30'!$F:$F,'06. BC BH THEO CUSTOMER-USD'!$H121,'01. KE30'!$A:$A,'06. BC BH THEO CUSTOMER-USD'!CI$4)/CW121/'02. Tỷ giá'!F$5," -")</f>
        <v xml:space="preserve"> -</v>
      </c>
      <c r="CJ121" s="95" t="str">
        <f>IFERROR(SUMIFS('01. KE30'!$R:$R,'01. KE30'!$C:$C,'06. BC BH THEO CUSTOMER-USD'!$D121,'01. KE30'!$F:$F,'06. BC BH THEO CUSTOMER-USD'!$H121,'01. KE30'!$A:$A,'06. BC BH THEO CUSTOMER-USD'!CJ$4)/CX121/'02. Tỷ giá'!G$5," -")</f>
        <v xml:space="preserve"> -</v>
      </c>
      <c r="CK121" s="95" t="str">
        <f>IFERROR(SUMIFS('01. KE30'!$R:$R,'01. KE30'!$C:$C,'06. BC BH THEO CUSTOMER-USD'!$D121,'01. KE30'!$F:$F,'06. BC BH THEO CUSTOMER-USD'!$H121,'01. KE30'!$A:$A,'06. BC BH THEO CUSTOMER-USD'!CK$4)/CY121/'02. Tỷ giá'!H$5," -")</f>
        <v xml:space="preserve"> -</v>
      </c>
      <c r="CL121" s="95" t="str">
        <f>IFERROR(SUMIFS('01. KE30'!$R:$R,'01. KE30'!$C:$C,'06. BC BH THEO CUSTOMER-USD'!$D121,'01. KE30'!$F:$F,'06. BC BH THEO CUSTOMER-USD'!$H121,'01. KE30'!$A:$A,'06. BC BH THEO CUSTOMER-USD'!CL$4)/CZ121/'02. Tỷ giá'!I$5," -")</f>
        <v xml:space="preserve"> -</v>
      </c>
      <c r="CM121" s="95" t="str">
        <f>IFERROR(SUMIFS('01. KE30'!$R:$R,'01. KE30'!$C:$C,'06. BC BH THEO CUSTOMER-USD'!$D121,'01. KE30'!$F:$F,'06. BC BH THEO CUSTOMER-USD'!$H121,'01. KE30'!$A:$A,'06. BC BH THEO CUSTOMER-USD'!CM$4)/DA121/'02. Tỷ giá'!J$5," -")</f>
        <v xml:space="preserve"> -</v>
      </c>
      <c r="CN121" s="95" t="str">
        <f>IFERROR(SUMIFS('01. KE30'!$R:$R,'01. KE30'!$C:$C,'06. BC BH THEO CUSTOMER-USD'!$D121,'01. KE30'!$F:$F,'06. BC BH THEO CUSTOMER-USD'!$H121,'01. KE30'!$A:$A,'06. BC BH THEO CUSTOMER-USD'!CN$4)/DB121/'02. Tỷ giá'!K$5," -")</f>
        <v xml:space="preserve"> -</v>
      </c>
      <c r="CO121" s="95" t="str">
        <f>IFERROR(SUMIFS('01. KE30'!$R:$R,'01. KE30'!$C:$C,'06. BC BH THEO CUSTOMER-USD'!$D121,'01. KE30'!$F:$F,'06. BC BH THEO CUSTOMER-USD'!$H121,'01. KE30'!$A:$A,'06. BC BH THEO CUSTOMER-USD'!CO$4)/DC121/'02. Tỷ giá'!L$5," -")</f>
        <v xml:space="preserve"> -</v>
      </c>
      <c r="CP121" s="95" t="str">
        <f>IFERROR(SUMIFS('01. KE30'!$R:$R,'01. KE30'!$C:$C,'06. BC BH THEO CUSTOMER-USD'!$D121,'01. KE30'!$F:$F,'06. BC BH THEO CUSTOMER-USD'!$H121,'01. KE30'!$A:$A,'06. BC BH THEO CUSTOMER-USD'!CP$4)/DD121/'02. Tỷ giá'!M$5," -")</f>
        <v xml:space="preserve"> -</v>
      </c>
      <c r="CR121" s="120">
        <f t="shared" ref="CR121" si="1225">SUM(CS121:DD121)</f>
        <v>1</v>
      </c>
      <c r="CS121" s="114">
        <f>SUMIFS('01. KE30'!$I:$I,'01. KE30'!$C:$C,'06. BC BH THEO CUSTOMER-USD'!$D121,'01. KE30'!$F:$F,'06. BC BH THEO CUSTOMER-USD'!$H121,'01. KE30'!$A:$A,'06. BC BH THEO CUSTOMER-USD'!CS$4)/1000</f>
        <v>0</v>
      </c>
      <c r="CT121" s="114">
        <f>SUMIFS('01. KE30'!$I:$I,'01. KE30'!$C:$C,'06. BC BH THEO CUSTOMER-USD'!$D121,'01. KE30'!$F:$F,'06. BC BH THEO CUSTOMER-USD'!$H121,'01. KE30'!$A:$A,'06. BC BH THEO CUSTOMER-USD'!CT$4)/1000</f>
        <v>0</v>
      </c>
      <c r="CU121" s="114">
        <f>SUMIFS('01. KE30'!$I:$I,'01. KE30'!$C:$C,'06. BC BH THEO CUSTOMER-USD'!$D121,'01. KE30'!$F:$F,'06. BC BH THEO CUSTOMER-USD'!$H121,'01. KE30'!$A:$A,'06. BC BH THEO CUSTOMER-USD'!CU$4)/1000</f>
        <v>0</v>
      </c>
      <c r="CV121" s="114">
        <f>SUMIFS('01. KE30'!$I:$I,'01. KE30'!$C:$C,'06. BC BH THEO CUSTOMER-USD'!$D121,'01. KE30'!$F:$F,'06. BC BH THEO CUSTOMER-USD'!$H121,'01. KE30'!$A:$A,'06. BC BH THEO CUSTOMER-USD'!CV$4)/1000</f>
        <v>1</v>
      </c>
      <c r="CW121" s="114">
        <f>SUMIFS('01. KE30'!$I:$I,'01. KE30'!$C:$C,'06. BC BH THEO CUSTOMER-USD'!$D121,'01. KE30'!$F:$F,'06. BC BH THEO CUSTOMER-USD'!$H121,'01. KE30'!$A:$A,'06. BC BH THEO CUSTOMER-USD'!CW$4)/1000</f>
        <v>0</v>
      </c>
      <c r="CX121" s="114">
        <f>SUMIFS('01. KE30'!$I:$I,'01. KE30'!$C:$C,'06. BC BH THEO CUSTOMER-USD'!$D121,'01. KE30'!$F:$F,'06. BC BH THEO CUSTOMER-USD'!$H121,'01. KE30'!$A:$A,'06. BC BH THEO CUSTOMER-USD'!CX$4)/1000</f>
        <v>0</v>
      </c>
      <c r="CY121" s="114">
        <f>SUMIFS('01. KE30'!$I:$I,'01. KE30'!$C:$C,'06. BC BH THEO CUSTOMER-USD'!$D121,'01. KE30'!$F:$F,'06. BC BH THEO CUSTOMER-USD'!$H121,'01. KE30'!$A:$A,'06. BC BH THEO CUSTOMER-USD'!CY$4)/1000</f>
        <v>0</v>
      </c>
      <c r="CZ121" s="114">
        <f>SUMIFS('01. KE30'!$I:$I,'01. KE30'!$C:$C,'06. BC BH THEO CUSTOMER-USD'!$D121,'01. KE30'!$F:$F,'06. BC BH THEO CUSTOMER-USD'!$H121,'01. KE30'!$A:$A,'06. BC BH THEO CUSTOMER-USD'!CZ$4)/1000</f>
        <v>0</v>
      </c>
      <c r="DA121" s="114">
        <f>SUMIFS('01. KE30'!$I:$I,'01. KE30'!$C:$C,'06. BC BH THEO CUSTOMER-USD'!$D121,'01. KE30'!$F:$F,'06. BC BH THEO CUSTOMER-USD'!$H121,'01. KE30'!$A:$A,'06. BC BH THEO CUSTOMER-USD'!DA$4)/1000</f>
        <v>0</v>
      </c>
      <c r="DB121" s="114">
        <f>SUMIFS('01. KE30'!$I:$I,'01. KE30'!$C:$C,'06. BC BH THEO CUSTOMER-USD'!$D121,'01. KE30'!$F:$F,'06. BC BH THEO CUSTOMER-USD'!$H121,'01. KE30'!$A:$A,'06. BC BH THEO CUSTOMER-USD'!DB$4)/1000</f>
        <v>0</v>
      </c>
      <c r="DC121" s="114">
        <f>SUMIFS('01. KE30'!$I:$I,'01. KE30'!$C:$C,'06. BC BH THEO CUSTOMER-USD'!$D121,'01. KE30'!$F:$F,'06. BC BH THEO CUSTOMER-USD'!$H121,'01. KE30'!$A:$A,'06. BC BH THEO CUSTOMER-USD'!DC$4)/1000</f>
        <v>0</v>
      </c>
      <c r="DD121" s="114">
        <f>SUMIFS('01. KE30'!$I:$I,'01. KE30'!$C:$C,'06. BC BH THEO CUSTOMER-USD'!$D121,'01. KE30'!$F:$F,'06. BC BH THEO CUSTOMER-USD'!$H121,'01. KE30'!$A:$A,'06. BC BH THEO CUSTOMER-USD'!DD$4)/1000</f>
        <v>0</v>
      </c>
      <c r="DF121" s="120">
        <f t="shared" si="1150"/>
        <v>1130</v>
      </c>
      <c r="DG121" s="54" t="str">
        <f t="shared" si="1151"/>
        <v>-</v>
      </c>
      <c r="DH121" s="54" t="str">
        <f t="shared" si="1152"/>
        <v>-</v>
      </c>
      <c r="DI121" s="54" t="str">
        <f t="shared" si="1153"/>
        <v>-</v>
      </c>
      <c r="DJ121" s="54">
        <f t="shared" si="1154"/>
        <v>1130</v>
      </c>
      <c r="DK121" s="54" t="str">
        <f t="shared" si="1155"/>
        <v>-</v>
      </c>
      <c r="DL121" s="54" t="str">
        <f t="shared" si="1156"/>
        <v>-</v>
      </c>
      <c r="DM121" s="54" t="str">
        <f t="shared" si="1157"/>
        <v>-</v>
      </c>
      <c r="DN121" s="54" t="str">
        <f t="shared" si="1158"/>
        <v>-</v>
      </c>
      <c r="DO121" s="54" t="str">
        <f t="shared" si="1159"/>
        <v>-</v>
      </c>
      <c r="DP121" s="54" t="str">
        <f t="shared" si="1160"/>
        <v>-</v>
      </c>
      <c r="DQ121" s="54" t="str">
        <f t="shared" si="1161"/>
        <v>-</v>
      </c>
      <c r="DR121" s="54" t="str">
        <f t="shared" si="1162"/>
        <v>-</v>
      </c>
      <c r="DT121" s="112">
        <f t="shared" si="652"/>
        <v>100.07680991095617</v>
      </c>
      <c r="DU121" s="114">
        <f>IFERROR(SUMIFS('01. KE30'!$X:$X,'01. KE30'!$C:$C,'06. BC BH THEO CUSTOMER-USD'!$D121,'01. KE30'!$F:$F,'06. BC BH THEO CUSTOMER-USD'!$H121,'01. KE30'!$A:$A,'06. BC BH THEO CUSTOMER-USD'!DU$4)-SUMIFS('01. KE30'!$AA:$AA,'01. KE30'!$C:$C,'06. BC BH THEO CUSTOMER-USD'!$D121,'01. KE30'!$F:$F,'06. BC BH THEO CUSTOMER-USD'!$H121,'01. KE30'!$A:$A,'06. BC BH THEO CUSTOMER-USD'!DU$4),"-")</f>
        <v>0</v>
      </c>
      <c r="DV121" s="114">
        <f>IFERROR(SUMIFS('01. KE30'!$X:$X,'01. KE30'!$C:$C,'06. BC BH THEO CUSTOMER-USD'!$D121,'01. KE30'!$F:$F,'06. BC BH THEO CUSTOMER-USD'!$H121,'01. KE30'!$A:$A,'06. BC BH THEO CUSTOMER-USD'!DV$4)-SUMIFS('01. KE30'!$AA:$AA,'01. KE30'!$C:$C,'06. BC BH THEO CUSTOMER-USD'!$D121,'01. KE30'!$F:$F,'06. BC BH THEO CUSTOMER-USD'!$H121,'01. KE30'!$A:$A,'06. BC BH THEO CUSTOMER-USD'!DV$4),"-")</f>
        <v>0</v>
      </c>
      <c r="DW121" s="114">
        <f>IFERROR(SUMIFS('01. KE30'!$X:$X,'01. KE30'!$C:$C,'06. BC BH THEO CUSTOMER-USD'!$D121,'01. KE30'!$F:$F,'06. BC BH THEO CUSTOMER-USD'!$H121,'01. KE30'!$A:$A,'06. BC BH THEO CUSTOMER-USD'!DW$4)-SUMIFS('01. KE30'!$AA:$AA,'01. KE30'!$C:$C,'06. BC BH THEO CUSTOMER-USD'!$D121,'01. KE30'!$F:$F,'06. BC BH THEO CUSTOMER-USD'!$H121,'01. KE30'!$A:$A,'06. BC BH THEO CUSTOMER-USD'!DW$4),"-")</f>
        <v>0</v>
      </c>
      <c r="DX121" s="114">
        <f>IFERROR(SUMIFS('01. KE30'!$X:$X,'01. KE30'!$C:$C,'06. BC BH THEO CUSTOMER-USD'!$D121,'01. KE30'!$F:$F,'06. BC BH THEO CUSTOMER-USD'!$H121,'01. KE30'!$A:$A,'06. BC BH THEO CUSTOMER-USD'!DX$4)-SUMIFS('01. KE30'!$AA:$AA,'01. KE30'!$C:$C,'06. BC BH THEO CUSTOMER-USD'!$D121,'01. KE30'!$F:$F,'06. BC BH THEO CUSTOMER-USD'!$H121,'01. KE30'!$A:$A,'06. BC BH THEO CUSTOMER-USD'!DX$4),"-")</f>
        <v>100.07680991095617</v>
      </c>
      <c r="DY121" s="114">
        <f>IFERROR(SUMIFS('01. KE30'!$X:$X,'01. KE30'!$C:$C,'06. BC BH THEO CUSTOMER-USD'!$D121,'01. KE30'!$F:$F,'06. BC BH THEO CUSTOMER-USD'!$H121,'01. KE30'!$A:$A,'06. BC BH THEO CUSTOMER-USD'!DY$4)-SUMIFS('01. KE30'!$AA:$AA,'01. KE30'!$C:$C,'06. BC BH THEO CUSTOMER-USD'!$D121,'01. KE30'!$F:$F,'06. BC BH THEO CUSTOMER-USD'!$H121,'01. KE30'!$A:$A,'06. BC BH THEO CUSTOMER-USD'!DY$4),"-")</f>
        <v>0</v>
      </c>
      <c r="DZ121" s="114">
        <f>IFERROR(SUMIFS('01. KE30'!$X:$X,'01. KE30'!$C:$C,'06. BC BH THEO CUSTOMER-USD'!$D121,'01. KE30'!$F:$F,'06. BC BH THEO CUSTOMER-USD'!$H121,'01. KE30'!$A:$A,'06. BC BH THEO CUSTOMER-USD'!DZ$4)-SUMIFS('01. KE30'!$AA:$AA,'01. KE30'!$C:$C,'06. BC BH THEO CUSTOMER-USD'!$D121,'01. KE30'!$F:$F,'06. BC BH THEO CUSTOMER-USD'!$H121,'01. KE30'!$A:$A,'06. BC BH THEO CUSTOMER-USD'!DZ$4),"-")</f>
        <v>0</v>
      </c>
      <c r="EA121" s="114">
        <f>IFERROR(SUMIFS('01. KE30'!$X:$X,'01. KE30'!$C:$C,'06. BC BH THEO CUSTOMER-USD'!$D121,'01. KE30'!$F:$F,'06. BC BH THEO CUSTOMER-USD'!$H121,'01. KE30'!$A:$A,'06. BC BH THEO CUSTOMER-USD'!EA$4)-SUMIFS('01. KE30'!$AA:$AA,'01. KE30'!$C:$C,'06. BC BH THEO CUSTOMER-USD'!$D121,'01. KE30'!$F:$F,'06. BC BH THEO CUSTOMER-USD'!$H121,'01. KE30'!$A:$A,'06. BC BH THEO CUSTOMER-USD'!EA$4),"-")</f>
        <v>0</v>
      </c>
      <c r="EB121" s="114">
        <f>IFERROR(SUMIFS('01. KE30'!$X:$X,'01. KE30'!$C:$C,'06. BC BH THEO CUSTOMER-USD'!$D121,'01. KE30'!$F:$F,'06. BC BH THEO CUSTOMER-USD'!$H121,'01. KE30'!$A:$A,'06. BC BH THEO CUSTOMER-USD'!EB$4)-SUMIFS('01. KE30'!$AA:$AA,'01. KE30'!$C:$C,'06. BC BH THEO CUSTOMER-USD'!$D121,'01. KE30'!$F:$F,'06. BC BH THEO CUSTOMER-USD'!$H121,'01. KE30'!$A:$A,'06. BC BH THEO CUSTOMER-USD'!EB$4),"-")</f>
        <v>0</v>
      </c>
      <c r="EC121" s="114">
        <f>IFERROR(SUMIFS('01. KE30'!$X:$X,'01. KE30'!$C:$C,'06. BC BH THEO CUSTOMER-USD'!$D121,'01. KE30'!$F:$F,'06. BC BH THEO CUSTOMER-USD'!$H121,'01. KE30'!$A:$A,'06. BC BH THEO CUSTOMER-USD'!EC$4)-SUMIFS('01. KE30'!$AA:$AA,'01. KE30'!$C:$C,'06. BC BH THEO CUSTOMER-USD'!$D121,'01. KE30'!$F:$F,'06. BC BH THEO CUSTOMER-USD'!$H121,'01. KE30'!$A:$A,'06. BC BH THEO CUSTOMER-USD'!EC$4),"-")</f>
        <v>0</v>
      </c>
      <c r="ED121" s="114">
        <f>IFERROR(SUMIFS('01. KE30'!$X:$X,'01. KE30'!$C:$C,'06. BC BH THEO CUSTOMER-USD'!$D121,'01. KE30'!$F:$F,'06. BC BH THEO CUSTOMER-USD'!$H121,'01. KE30'!$A:$A,'06. BC BH THEO CUSTOMER-USD'!ED$4)-SUMIFS('01. KE30'!$AA:$AA,'01. KE30'!$C:$C,'06. BC BH THEO CUSTOMER-USD'!$D121,'01. KE30'!$F:$F,'06. BC BH THEO CUSTOMER-USD'!$H121,'01. KE30'!$A:$A,'06. BC BH THEO CUSTOMER-USD'!ED$4),"-")</f>
        <v>0</v>
      </c>
      <c r="EE121" s="114">
        <f>IFERROR(SUMIFS('01. KE30'!$X:$X,'01. KE30'!$C:$C,'06. BC BH THEO CUSTOMER-USD'!$D121,'01. KE30'!$F:$F,'06. BC BH THEO CUSTOMER-USD'!$H121,'01. KE30'!$A:$A,'06. BC BH THEO CUSTOMER-USD'!EE$4)-SUMIFS('01. KE30'!$AA:$AA,'01. KE30'!$C:$C,'06. BC BH THEO CUSTOMER-USD'!$D121,'01. KE30'!$F:$F,'06. BC BH THEO CUSTOMER-USD'!$H121,'01. KE30'!$A:$A,'06. BC BH THEO CUSTOMER-USD'!EE$4),"-")</f>
        <v>0</v>
      </c>
      <c r="EF121" s="114">
        <f>IFERROR(SUMIFS('01. KE30'!$X:$X,'01. KE30'!$C:$C,'06. BC BH THEO CUSTOMER-USD'!$D121,'01. KE30'!$F:$F,'06. BC BH THEO CUSTOMER-USD'!$H121,'01. KE30'!$A:$A,'06. BC BH THEO CUSTOMER-USD'!EF$4)-SUMIFS('01. KE30'!$AA:$AA,'01. KE30'!$C:$C,'06. BC BH THEO CUSTOMER-USD'!$D121,'01. KE30'!$F:$F,'06. BC BH THEO CUSTOMER-USD'!$H121,'01. KE30'!$A:$A,'06. BC BH THEO CUSTOMER-USD'!EF$4),"-")</f>
        <v>0</v>
      </c>
      <c r="EH121" s="571">
        <f t="shared" si="531"/>
        <v>8.8563548593766528E-2</v>
      </c>
      <c r="EI121" s="572" t="str">
        <f t="shared" si="532"/>
        <v>-</v>
      </c>
      <c r="EJ121" s="572" t="str">
        <f t="shared" si="533"/>
        <v>-</v>
      </c>
      <c r="EK121" s="572" t="str">
        <f t="shared" si="534"/>
        <v>-</v>
      </c>
      <c r="EL121" s="572">
        <f t="shared" si="535"/>
        <v>8.8563548593766528E-2</v>
      </c>
      <c r="EM121" s="572" t="str">
        <f t="shared" si="536"/>
        <v>-</v>
      </c>
      <c r="EN121" s="572" t="str">
        <f t="shared" si="537"/>
        <v>-</v>
      </c>
      <c r="EO121" s="572" t="str">
        <f t="shared" si="538"/>
        <v>-</v>
      </c>
      <c r="EP121" s="572" t="str">
        <f t="shared" si="539"/>
        <v>-</v>
      </c>
      <c r="EQ121" s="572" t="str">
        <f t="shared" si="540"/>
        <v>-</v>
      </c>
      <c r="ER121" s="572" t="str">
        <f t="shared" si="541"/>
        <v>-</v>
      </c>
      <c r="ES121" s="572" t="str">
        <f t="shared" si="542"/>
        <v>-</v>
      </c>
      <c r="ET121" s="572" t="str">
        <f t="shared" si="543"/>
        <v>-</v>
      </c>
    </row>
    <row r="122" spans="1:150" ht="15.5" hidden="1" outlineLevel="1" x14ac:dyDescent="0.35">
      <c r="A122" s="27">
        <f t="shared" si="1163"/>
        <v>6</v>
      </c>
      <c r="B122" s="27" t="s">
        <v>95</v>
      </c>
      <c r="C122" s="442" t="s">
        <v>508</v>
      </c>
      <c r="D122" s="9" t="s">
        <v>92</v>
      </c>
      <c r="E122" s="12" t="s">
        <v>91</v>
      </c>
      <c r="F122" s="12" t="s">
        <v>175</v>
      </c>
      <c r="G122" s="12" t="str">
        <f>_xlfn.XLOOKUP(F122,'Quy đổi'!$G$5:$G$32,'Quy đổi'!$H$5:$H$32,0)</f>
        <v>Bắc Mỹ</v>
      </c>
      <c r="H122" s="76" t="s">
        <v>87</v>
      </c>
      <c r="I122" s="7" t="s">
        <v>86</v>
      </c>
      <c r="J122" s="13" t="s">
        <v>26</v>
      </c>
      <c r="K122" s="11" t="s">
        <v>90</v>
      </c>
      <c r="L122" s="92" t="str">
        <f t="shared" si="1164"/>
        <v>-</v>
      </c>
      <c r="M122" s="106" t="str">
        <f>IFERROR(SUMIFS('01. KE30'!$K:$K,'01. KE30'!$C:$C,'06. BC BH THEO CUSTOMER-USD'!$D122,'01. KE30'!$F:$F,'06. BC BH THEO CUSTOMER-USD'!$H122,'01. KE30'!$A:$A,'06. BC BH THEO CUSTOMER-USD'!M$4)/'06. BC BH THEO CUSTOMER-USD'!CS122/'02. Tỷ giá'!B$5,"-")</f>
        <v>-</v>
      </c>
      <c r="N122" s="106" t="str">
        <f>IFERROR(SUMIFS('01. KE30'!$K:$K,'01. KE30'!$C:$C,'06. BC BH THEO CUSTOMER-USD'!$D122,'01. KE30'!$F:$F,'06. BC BH THEO CUSTOMER-USD'!$H122,'01. KE30'!$A:$A,'06. BC BH THEO CUSTOMER-USD'!N$4)/'06. BC BH THEO CUSTOMER-USD'!CT122/'02. Tỷ giá'!C$5,"-")</f>
        <v>-</v>
      </c>
      <c r="O122" s="106" t="str">
        <f>IFERROR(SUMIFS('01. KE30'!$K:$K,'01. KE30'!$C:$C,'06. BC BH THEO CUSTOMER-USD'!$D122,'01. KE30'!$F:$F,'06. BC BH THEO CUSTOMER-USD'!$H122,'01. KE30'!$A:$A,'06. BC BH THEO CUSTOMER-USD'!O$4)/'06. BC BH THEO CUSTOMER-USD'!CU122/'02. Tỷ giá'!D$5,"-")</f>
        <v>-</v>
      </c>
      <c r="P122" s="106" t="str">
        <f>IFERROR(SUMIFS('01. KE30'!$K:$K,'01. KE30'!$C:$C,'06. BC BH THEO CUSTOMER-USD'!$D122,'01. KE30'!$F:$F,'06. BC BH THEO CUSTOMER-USD'!$H122,'01. KE30'!$A:$A,'06. BC BH THEO CUSTOMER-USD'!P$4)/'06. BC BH THEO CUSTOMER-USD'!CV122/'02. Tỷ giá'!E$5,"-")</f>
        <v>-</v>
      </c>
      <c r="Q122" s="106" t="str">
        <f>IFERROR(SUMIFS('01. KE30'!$K:$K,'01. KE30'!$C:$C,'06. BC BH THEO CUSTOMER-USD'!$D122,'01. KE30'!$F:$F,'06. BC BH THEO CUSTOMER-USD'!$H122,'01. KE30'!$A:$A,'06. BC BH THEO CUSTOMER-USD'!Q$4)/'06. BC BH THEO CUSTOMER-USD'!CW122/'02. Tỷ giá'!F$5,"-")</f>
        <v>-</v>
      </c>
      <c r="R122" s="106" t="str">
        <f>IFERROR(SUMIFS('01. KE30'!$K:$K,'01. KE30'!$C:$C,'06. BC BH THEO CUSTOMER-USD'!$D122,'01. KE30'!$F:$F,'06. BC BH THEO CUSTOMER-USD'!$H122,'01. KE30'!$A:$A,'06. BC BH THEO CUSTOMER-USD'!R$4)/'06. BC BH THEO CUSTOMER-USD'!CX122/'02. Tỷ giá'!G$5,"-")</f>
        <v>-</v>
      </c>
      <c r="S122" s="106" t="str">
        <f>IFERROR(SUMIFS('01. KE30'!$K:$K,'01. KE30'!$C:$C,'06. BC BH THEO CUSTOMER-USD'!$D122,'01. KE30'!$F:$F,'06. BC BH THEO CUSTOMER-USD'!$H122,'01. KE30'!$A:$A,'06. BC BH THEO CUSTOMER-USD'!S$4)/'06. BC BH THEO CUSTOMER-USD'!CY122/'02. Tỷ giá'!H$5,"-")</f>
        <v>-</v>
      </c>
      <c r="T122" s="106" t="str">
        <f>IFERROR(SUMIFS('01. KE30'!$K:$K,'01. KE30'!$C:$C,'06. BC BH THEO CUSTOMER-USD'!$D122,'01. KE30'!$F:$F,'06. BC BH THEO CUSTOMER-USD'!$H122,'01. KE30'!$A:$A,'06. BC BH THEO CUSTOMER-USD'!T$4)/'06. BC BH THEO CUSTOMER-USD'!CZ122/'02. Tỷ giá'!I$5,"-")</f>
        <v>-</v>
      </c>
      <c r="U122" s="106" t="str">
        <f>IFERROR(SUMIFS('01. KE30'!$K:$K,'01. KE30'!$C:$C,'06. BC BH THEO CUSTOMER-USD'!$D122,'01. KE30'!$F:$F,'06. BC BH THEO CUSTOMER-USD'!$H122,'01. KE30'!$A:$A,'06. BC BH THEO CUSTOMER-USD'!U$4)/'06. BC BH THEO CUSTOMER-USD'!DA122/'02. Tỷ giá'!J$5,"-")</f>
        <v>-</v>
      </c>
      <c r="V122" s="106" t="str">
        <f>IFERROR(SUMIFS('01. KE30'!$K:$K,'01. KE30'!$C:$C,'06. BC BH THEO CUSTOMER-USD'!$D122,'01. KE30'!$F:$F,'06. BC BH THEO CUSTOMER-USD'!$H122,'01. KE30'!$A:$A,'06. BC BH THEO CUSTOMER-USD'!V$4)/'06. BC BH THEO CUSTOMER-USD'!DB122/'02. Tỷ giá'!K$5,"-")</f>
        <v>-</v>
      </c>
      <c r="W122" s="106" t="str">
        <f>IFERROR(SUMIFS('01. KE30'!$K:$K,'01. KE30'!$C:$C,'06. BC BH THEO CUSTOMER-USD'!$D122,'01. KE30'!$F:$F,'06. BC BH THEO CUSTOMER-USD'!$H122,'01. KE30'!$A:$A,'06. BC BH THEO CUSTOMER-USD'!W$4)/'06. BC BH THEO CUSTOMER-USD'!DC122/'02. Tỷ giá'!L$5,"-")</f>
        <v>-</v>
      </c>
      <c r="X122" s="106" t="str">
        <f>IFERROR(SUMIFS('01. KE30'!$K:$K,'01. KE30'!$C:$C,'06. BC BH THEO CUSTOMER-USD'!$D122,'01. KE30'!$F:$F,'06. BC BH THEO CUSTOMER-USD'!$H122,'01. KE30'!$A:$A,'06. BC BH THEO CUSTOMER-USD'!X$4)/'06. BC BH THEO CUSTOMER-USD'!DD122/'02. Tỷ giá'!M$5,"-")</f>
        <v>-</v>
      </c>
      <c r="Z122" s="92" t="str">
        <f t="shared" si="1145"/>
        <v>-</v>
      </c>
      <c r="AA122" s="147" t="str">
        <f>IFERROR(SUMIFS('01. KE30'!$O:$O,'01. KE30'!$C:$C,'06. BC BH THEO CUSTOMER-USD'!$D122,'01. KE30'!$F:$F,'06. BC BH THEO CUSTOMER-USD'!$H122,'01. KE30'!$A:$A,'06. BC BH THEO CUSTOMER-USD'!M$4)/'06. BC BH THEO CUSTOMER-USD'!CS122/'02. Tỷ giá'!B$5,"-")</f>
        <v>-</v>
      </c>
      <c r="AB122" s="147" t="str">
        <f>IFERROR(SUMIFS('01. KE30'!$O:$O,'01. KE30'!$C:$C,'06. BC BH THEO CUSTOMER-USD'!$D122,'01. KE30'!$F:$F,'06. BC BH THEO CUSTOMER-USD'!$H122,'01. KE30'!$A:$A,'06. BC BH THEO CUSTOMER-USD'!N$4)/'06. BC BH THEO CUSTOMER-USD'!CT122/'02. Tỷ giá'!C$5,"-")</f>
        <v>-</v>
      </c>
      <c r="AC122" s="147" t="str">
        <f>IFERROR(SUMIFS('01. KE30'!$O:$O,'01. KE30'!$C:$C,'06. BC BH THEO CUSTOMER-USD'!$D122,'01. KE30'!$F:$F,'06. BC BH THEO CUSTOMER-USD'!$H122,'01. KE30'!$A:$A,'06. BC BH THEO CUSTOMER-USD'!O$4)/'06. BC BH THEO CUSTOMER-USD'!CU122/'02. Tỷ giá'!D$5,"-")</f>
        <v>-</v>
      </c>
      <c r="AD122" s="147" t="str">
        <f>IFERROR(SUMIFS('01. KE30'!$O:$O,'01. KE30'!$C:$C,'06. BC BH THEO CUSTOMER-USD'!$D122,'01. KE30'!$F:$F,'06. BC BH THEO CUSTOMER-USD'!$H122,'01. KE30'!$A:$A,'06. BC BH THEO CUSTOMER-USD'!P$4)/'06. BC BH THEO CUSTOMER-USD'!CV122/'02. Tỷ giá'!E$5,"-")</f>
        <v>-</v>
      </c>
      <c r="AE122" s="147" t="str">
        <f>IFERROR(SUMIFS('01. KE30'!$O:$O,'01. KE30'!$C:$C,'06. BC BH THEO CUSTOMER-USD'!$D122,'01. KE30'!$F:$F,'06. BC BH THEO CUSTOMER-USD'!$H122,'01. KE30'!$A:$A,'06. BC BH THEO CUSTOMER-USD'!Q$4)/'06. BC BH THEO CUSTOMER-USD'!CW122/'02. Tỷ giá'!F$5,"-")</f>
        <v>-</v>
      </c>
      <c r="AF122" s="147" t="str">
        <f>IFERROR(SUMIFS('01. KE30'!$O:$O,'01. KE30'!$C:$C,'06. BC BH THEO CUSTOMER-USD'!$D122,'01. KE30'!$F:$F,'06. BC BH THEO CUSTOMER-USD'!$H122,'01. KE30'!$A:$A,'06. BC BH THEO CUSTOMER-USD'!R$4)/'06. BC BH THEO CUSTOMER-USD'!CX122/'02. Tỷ giá'!G$5,"-")</f>
        <v>-</v>
      </c>
      <c r="AG122" s="147" t="str">
        <f>IFERROR(SUMIFS('01. KE30'!$O:$O,'01. KE30'!$C:$C,'06. BC BH THEO CUSTOMER-USD'!$D122,'01. KE30'!$F:$F,'06. BC BH THEO CUSTOMER-USD'!$H122,'01. KE30'!$A:$A,'06. BC BH THEO CUSTOMER-USD'!S$4)/'06. BC BH THEO CUSTOMER-USD'!CY122/'02. Tỷ giá'!H$5,"-")</f>
        <v>-</v>
      </c>
      <c r="AH122" s="147" t="str">
        <f>IFERROR(SUMIFS('01. KE30'!$O:$O,'01. KE30'!$C:$C,'06. BC BH THEO CUSTOMER-USD'!$D122,'01. KE30'!$F:$F,'06. BC BH THEO CUSTOMER-USD'!$H122,'01. KE30'!$A:$A,'06. BC BH THEO CUSTOMER-USD'!T$4)/'06. BC BH THEO CUSTOMER-USD'!CZ122/'02. Tỷ giá'!I$5,"-")</f>
        <v>-</v>
      </c>
      <c r="AI122" s="147" t="str">
        <f>IFERROR(SUMIFS('01. KE30'!$O:$O,'01. KE30'!$C:$C,'06. BC BH THEO CUSTOMER-USD'!$D122,'01. KE30'!$F:$F,'06. BC BH THEO CUSTOMER-USD'!$H122,'01. KE30'!$A:$A,'06. BC BH THEO CUSTOMER-USD'!U$4)/'06. BC BH THEO CUSTOMER-USD'!DA122/'02. Tỷ giá'!J$5,"-")</f>
        <v>-</v>
      </c>
      <c r="AJ122" s="147" t="str">
        <f>IFERROR(SUMIFS('01. KE30'!$O:$O,'01. KE30'!$C:$C,'06. BC BH THEO CUSTOMER-USD'!$D122,'01. KE30'!$F:$F,'06. BC BH THEO CUSTOMER-USD'!$H122,'01. KE30'!$A:$A,'06. BC BH THEO CUSTOMER-USD'!V$4)/'06. BC BH THEO CUSTOMER-USD'!DB122/'02. Tỷ giá'!K$5,"-")</f>
        <v>-</v>
      </c>
      <c r="AK122" s="147" t="str">
        <f>IFERROR(SUMIFS('01. KE30'!$O:$O,'01. KE30'!$C:$C,'06. BC BH THEO CUSTOMER-USD'!$D122,'01. KE30'!$F:$F,'06. BC BH THEO CUSTOMER-USD'!$H122,'01. KE30'!$A:$A,'06. BC BH THEO CUSTOMER-USD'!W$4)/'06. BC BH THEO CUSTOMER-USD'!DC122/'02. Tỷ giá'!L$5,"-")</f>
        <v>-</v>
      </c>
      <c r="AL122" s="147" t="str">
        <f>IFERROR(SUMIFS('01. KE30'!$O:$O,'01. KE30'!$C:$C,'06. BC BH THEO CUSTOMER-USD'!$D122,'01. KE30'!$F:$F,'06. BC BH THEO CUSTOMER-USD'!$H122,'01. KE30'!$A:$A,'06. BC BH THEO CUSTOMER-USD'!X$4)/'06. BC BH THEO CUSTOMER-USD'!DD122/'02. Tỷ giá'!M$5,"-")</f>
        <v>-</v>
      </c>
      <c r="AN122" s="55">
        <f t="shared" si="1146"/>
        <v>862.22222222222217</v>
      </c>
      <c r="AO122" s="4">
        <v>950</v>
      </c>
      <c r="AP122" s="4">
        <v>950</v>
      </c>
      <c r="AQ122" s="4">
        <v>950</v>
      </c>
      <c r="AR122" s="4">
        <v>950</v>
      </c>
      <c r="AS122" s="4">
        <v>800</v>
      </c>
      <c r="AT122" s="4">
        <v>800</v>
      </c>
      <c r="AU122" s="4">
        <v>800</v>
      </c>
      <c r="AV122" s="4">
        <f t="shared" si="1165"/>
        <v>780</v>
      </c>
      <c r="AW122" s="4">
        <v>780</v>
      </c>
      <c r="AX122" s="4"/>
      <c r="AY122" s="4"/>
      <c r="AZ122" s="4"/>
      <c r="BB122" s="95" t="str">
        <f t="shared" si="637"/>
        <v>-</v>
      </c>
      <c r="BC122" s="95" t="str">
        <f t="shared" si="638"/>
        <v>-</v>
      </c>
      <c r="BD122" s="95" t="str">
        <f t="shared" si="1147"/>
        <v>-</v>
      </c>
      <c r="BE122" s="95" t="str">
        <f t="shared" si="1147"/>
        <v>-</v>
      </c>
      <c r="BF122" s="95" t="str">
        <f t="shared" si="1147"/>
        <v>-</v>
      </c>
      <c r="BG122" s="95" t="str">
        <f t="shared" si="1147"/>
        <v>-</v>
      </c>
      <c r="BH122" s="95" t="str">
        <f t="shared" si="1147"/>
        <v>-</v>
      </c>
      <c r="BI122" s="95" t="str">
        <f t="shared" si="1147"/>
        <v>-</v>
      </c>
      <c r="BJ122" s="95" t="str">
        <f t="shared" si="1147"/>
        <v>-</v>
      </c>
      <c r="BK122" s="95" t="str">
        <f t="shared" si="1147"/>
        <v>-</v>
      </c>
      <c r="BL122" s="95" t="str">
        <f t="shared" si="1147"/>
        <v>-</v>
      </c>
      <c r="BM122" s="95" t="str">
        <f t="shared" si="1147"/>
        <v>-</v>
      </c>
      <c r="BN122" s="95" t="str">
        <f t="shared" si="1147"/>
        <v>-</v>
      </c>
      <c r="BP122" s="143" t="str">
        <f t="shared" si="639"/>
        <v>-</v>
      </c>
      <c r="BQ122" s="143" t="str">
        <f t="shared" si="517"/>
        <v>-</v>
      </c>
      <c r="BR122" s="143" t="str">
        <f t="shared" si="518"/>
        <v>-</v>
      </c>
      <c r="BS122" s="143" t="str">
        <f t="shared" si="519"/>
        <v>-</v>
      </c>
      <c r="BT122" s="143" t="str">
        <f t="shared" si="520"/>
        <v>-</v>
      </c>
      <c r="BU122" s="143" t="str">
        <f t="shared" si="521"/>
        <v>-</v>
      </c>
      <c r="BV122" s="143" t="str">
        <f t="shared" si="522"/>
        <v>-</v>
      </c>
      <c r="BW122" s="143" t="str">
        <f t="shared" si="523"/>
        <v>-</v>
      </c>
      <c r="BX122" s="143" t="str">
        <f t="shared" si="524"/>
        <v>-</v>
      </c>
      <c r="BY122" s="143" t="str">
        <f t="shared" si="525"/>
        <v>-</v>
      </c>
      <c r="BZ122" s="143" t="str">
        <f t="shared" si="526"/>
        <v>-</v>
      </c>
      <c r="CA122" s="143" t="str">
        <f t="shared" si="527"/>
        <v>-</v>
      </c>
      <c r="CB122" s="143" t="str">
        <f t="shared" si="528"/>
        <v>-</v>
      </c>
      <c r="CD122" s="112" t="str">
        <f t="shared" si="1148"/>
        <v>-</v>
      </c>
      <c r="CE122" s="95" t="str">
        <f>IFERROR(SUMIFS('01. KE30'!$R:$R,'01. KE30'!$C:$C,'06. BC BH THEO CUSTOMER-USD'!$D122,'01. KE30'!$F:$F,'06. BC BH THEO CUSTOMER-USD'!$H122,'01. KE30'!$A:$A,'06. BC BH THEO CUSTOMER-USD'!CE$4)/CS122/'02. Tỷ giá'!B$5," -")</f>
        <v xml:space="preserve"> -</v>
      </c>
      <c r="CF122" s="95" t="str">
        <f>IFERROR(SUMIFS('01. KE30'!$R:$R,'01. KE30'!$C:$C,'06. BC BH THEO CUSTOMER-USD'!$D122,'01. KE30'!$F:$F,'06. BC BH THEO CUSTOMER-USD'!$H122,'01. KE30'!$A:$A,'06. BC BH THEO CUSTOMER-USD'!CF$4)/CT122/'02. Tỷ giá'!C$5," -")</f>
        <v xml:space="preserve"> -</v>
      </c>
      <c r="CG122" s="95" t="str">
        <f>IFERROR(SUMIFS('01. KE30'!$R:$R,'01. KE30'!$C:$C,'06. BC BH THEO CUSTOMER-USD'!$D122,'01. KE30'!$F:$F,'06. BC BH THEO CUSTOMER-USD'!$H122,'01. KE30'!$A:$A,'06. BC BH THEO CUSTOMER-USD'!CG$4)/CU122/'02. Tỷ giá'!D$5," -")</f>
        <v xml:space="preserve"> -</v>
      </c>
      <c r="CH122" s="95" t="str">
        <f>IFERROR(SUMIFS('01. KE30'!$R:$R,'01. KE30'!$C:$C,'06. BC BH THEO CUSTOMER-USD'!$D122,'01. KE30'!$F:$F,'06. BC BH THEO CUSTOMER-USD'!$H122,'01. KE30'!$A:$A,'06. BC BH THEO CUSTOMER-USD'!CH$4)/CV122/'02. Tỷ giá'!E$5," -")</f>
        <v xml:space="preserve"> -</v>
      </c>
      <c r="CI122" s="95" t="str">
        <f>IFERROR(SUMIFS('01. KE30'!$R:$R,'01. KE30'!$C:$C,'06. BC BH THEO CUSTOMER-USD'!$D122,'01. KE30'!$F:$F,'06. BC BH THEO CUSTOMER-USD'!$H122,'01. KE30'!$A:$A,'06. BC BH THEO CUSTOMER-USD'!CI$4)/CW122/'02. Tỷ giá'!F$5," -")</f>
        <v xml:space="preserve"> -</v>
      </c>
      <c r="CJ122" s="95" t="str">
        <f>IFERROR(SUMIFS('01. KE30'!$R:$R,'01. KE30'!$C:$C,'06. BC BH THEO CUSTOMER-USD'!$D122,'01. KE30'!$F:$F,'06. BC BH THEO CUSTOMER-USD'!$H122,'01. KE30'!$A:$A,'06. BC BH THEO CUSTOMER-USD'!CJ$4)/CX122/'02. Tỷ giá'!G$5," -")</f>
        <v xml:space="preserve"> -</v>
      </c>
      <c r="CK122" s="95" t="str">
        <f>IFERROR(SUMIFS('01. KE30'!$R:$R,'01. KE30'!$C:$C,'06. BC BH THEO CUSTOMER-USD'!$D122,'01. KE30'!$F:$F,'06. BC BH THEO CUSTOMER-USD'!$H122,'01. KE30'!$A:$A,'06. BC BH THEO CUSTOMER-USD'!CK$4)/CY122/'02. Tỷ giá'!H$5," -")</f>
        <v xml:space="preserve"> -</v>
      </c>
      <c r="CL122" s="95" t="str">
        <f>IFERROR(SUMIFS('01. KE30'!$R:$R,'01. KE30'!$C:$C,'06. BC BH THEO CUSTOMER-USD'!$D122,'01. KE30'!$F:$F,'06. BC BH THEO CUSTOMER-USD'!$H122,'01. KE30'!$A:$A,'06. BC BH THEO CUSTOMER-USD'!CL$4)/CZ122/'02. Tỷ giá'!I$5," -")</f>
        <v xml:space="preserve"> -</v>
      </c>
      <c r="CM122" s="95" t="str">
        <f>IFERROR(SUMIFS('01. KE30'!$R:$R,'01. KE30'!$C:$C,'06. BC BH THEO CUSTOMER-USD'!$D122,'01. KE30'!$F:$F,'06. BC BH THEO CUSTOMER-USD'!$H122,'01. KE30'!$A:$A,'06. BC BH THEO CUSTOMER-USD'!CM$4)/DA122/'02. Tỷ giá'!J$5," -")</f>
        <v xml:space="preserve"> -</v>
      </c>
      <c r="CN122" s="95" t="str">
        <f>IFERROR(SUMIFS('01. KE30'!$R:$R,'01. KE30'!$C:$C,'06. BC BH THEO CUSTOMER-USD'!$D122,'01. KE30'!$F:$F,'06. BC BH THEO CUSTOMER-USD'!$H122,'01. KE30'!$A:$A,'06. BC BH THEO CUSTOMER-USD'!CN$4)/DB122/'02. Tỷ giá'!K$5," -")</f>
        <v xml:space="preserve"> -</v>
      </c>
      <c r="CO122" s="95" t="str">
        <f>IFERROR(SUMIFS('01. KE30'!$R:$R,'01. KE30'!$C:$C,'06. BC BH THEO CUSTOMER-USD'!$D122,'01. KE30'!$F:$F,'06. BC BH THEO CUSTOMER-USD'!$H122,'01. KE30'!$A:$A,'06. BC BH THEO CUSTOMER-USD'!CO$4)/DC122/'02. Tỷ giá'!L$5," -")</f>
        <v xml:space="preserve"> -</v>
      </c>
      <c r="CP122" s="95" t="str">
        <f>IFERROR(SUMIFS('01. KE30'!$R:$R,'01. KE30'!$C:$C,'06. BC BH THEO CUSTOMER-USD'!$D122,'01. KE30'!$F:$F,'06. BC BH THEO CUSTOMER-USD'!$H122,'01. KE30'!$A:$A,'06. BC BH THEO CUSTOMER-USD'!CP$4)/DD122/'02. Tỷ giá'!M$5," -")</f>
        <v xml:space="preserve"> -</v>
      </c>
      <c r="CR122" s="112">
        <f t="shared" si="1149"/>
        <v>0</v>
      </c>
      <c r="CS122" s="114">
        <f>SUMIFS('01. KE30'!$I:$I,'01. KE30'!$C:$C,'06. BC BH THEO CUSTOMER-USD'!$D122,'01. KE30'!$F:$F,'06. BC BH THEO CUSTOMER-USD'!$H122,'01. KE30'!$A:$A,'06. BC BH THEO CUSTOMER-USD'!CS$4)/1000</f>
        <v>0</v>
      </c>
      <c r="CT122" s="114">
        <f>SUMIFS('01. KE30'!$I:$I,'01. KE30'!$C:$C,'06. BC BH THEO CUSTOMER-USD'!$D122,'01. KE30'!$F:$F,'06. BC BH THEO CUSTOMER-USD'!$H122,'01. KE30'!$A:$A,'06. BC BH THEO CUSTOMER-USD'!CT$4)/1000</f>
        <v>0</v>
      </c>
      <c r="CU122" s="114">
        <f>SUMIFS('01. KE30'!$I:$I,'01. KE30'!$C:$C,'06. BC BH THEO CUSTOMER-USD'!$D122,'01. KE30'!$F:$F,'06. BC BH THEO CUSTOMER-USD'!$H122,'01. KE30'!$A:$A,'06. BC BH THEO CUSTOMER-USD'!CU$4)/1000</f>
        <v>0</v>
      </c>
      <c r="CV122" s="114">
        <f>SUMIFS('01. KE30'!$I:$I,'01. KE30'!$C:$C,'06. BC BH THEO CUSTOMER-USD'!$D122,'01. KE30'!$F:$F,'06. BC BH THEO CUSTOMER-USD'!$H122,'01. KE30'!$A:$A,'06. BC BH THEO CUSTOMER-USD'!CV$4)/1000</f>
        <v>0</v>
      </c>
      <c r="CW122" s="114">
        <f>SUMIFS('01. KE30'!$I:$I,'01. KE30'!$C:$C,'06. BC BH THEO CUSTOMER-USD'!$D122,'01. KE30'!$F:$F,'06. BC BH THEO CUSTOMER-USD'!$H122,'01. KE30'!$A:$A,'06. BC BH THEO CUSTOMER-USD'!CW$4)/1000</f>
        <v>0</v>
      </c>
      <c r="CX122" s="114">
        <f>SUMIFS('01. KE30'!$I:$I,'01. KE30'!$C:$C,'06. BC BH THEO CUSTOMER-USD'!$D122,'01. KE30'!$F:$F,'06. BC BH THEO CUSTOMER-USD'!$H122,'01. KE30'!$A:$A,'06. BC BH THEO CUSTOMER-USD'!CX$4)/1000</f>
        <v>0</v>
      </c>
      <c r="CY122" s="114">
        <f>SUMIFS('01. KE30'!$I:$I,'01. KE30'!$C:$C,'06. BC BH THEO CUSTOMER-USD'!$D122,'01. KE30'!$F:$F,'06. BC BH THEO CUSTOMER-USD'!$H122,'01. KE30'!$A:$A,'06. BC BH THEO CUSTOMER-USD'!CY$4)/1000</f>
        <v>0</v>
      </c>
      <c r="CZ122" s="114">
        <f>SUMIFS('01. KE30'!$I:$I,'01. KE30'!$C:$C,'06. BC BH THEO CUSTOMER-USD'!$D122,'01. KE30'!$F:$F,'06. BC BH THEO CUSTOMER-USD'!$H122,'01. KE30'!$A:$A,'06. BC BH THEO CUSTOMER-USD'!CZ$4)/1000</f>
        <v>0</v>
      </c>
      <c r="DA122" s="114">
        <f>SUMIFS('01. KE30'!$I:$I,'01. KE30'!$C:$C,'06. BC BH THEO CUSTOMER-USD'!$D122,'01. KE30'!$F:$F,'06. BC BH THEO CUSTOMER-USD'!$H122,'01. KE30'!$A:$A,'06. BC BH THEO CUSTOMER-USD'!DA$4)/1000</f>
        <v>0</v>
      </c>
      <c r="DB122" s="114">
        <f>SUMIFS('01. KE30'!$I:$I,'01. KE30'!$C:$C,'06. BC BH THEO CUSTOMER-USD'!$D122,'01. KE30'!$F:$F,'06. BC BH THEO CUSTOMER-USD'!$H122,'01. KE30'!$A:$A,'06. BC BH THEO CUSTOMER-USD'!DB$4)/1000</f>
        <v>0</v>
      </c>
      <c r="DC122" s="114">
        <f>SUMIFS('01. KE30'!$I:$I,'01. KE30'!$C:$C,'06. BC BH THEO CUSTOMER-USD'!$D122,'01. KE30'!$F:$F,'06. BC BH THEO CUSTOMER-USD'!$H122,'01. KE30'!$A:$A,'06. BC BH THEO CUSTOMER-USD'!DC$4)/1000</f>
        <v>0</v>
      </c>
      <c r="DD122" s="114">
        <f>SUMIFS('01. KE30'!$I:$I,'01. KE30'!$C:$C,'06. BC BH THEO CUSTOMER-USD'!$D122,'01. KE30'!$F:$F,'06. BC BH THEO CUSTOMER-USD'!$H122,'01. KE30'!$A:$A,'06. BC BH THEO CUSTOMER-USD'!DD$4)/1000</f>
        <v>0</v>
      </c>
      <c r="DF122" s="112">
        <f t="shared" si="1150"/>
        <v>0</v>
      </c>
      <c r="DG122" s="54" t="str">
        <f t="shared" si="1151"/>
        <v>-</v>
      </c>
      <c r="DH122" s="54" t="str">
        <f t="shared" si="1152"/>
        <v>-</v>
      </c>
      <c r="DI122" s="54" t="str">
        <f t="shared" si="1153"/>
        <v>-</v>
      </c>
      <c r="DJ122" s="54" t="str">
        <f t="shared" si="1154"/>
        <v>-</v>
      </c>
      <c r="DK122" s="54" t="str">
        <f t="shared" si="1155"/>
        <v>-</v>
      </c>
      <c r="DL122" s="54" t="str">
        <f t="shared" si="1156"/>
        <v>-</v>
      </c>
      <c r="DM122" s="54" t="str">
        <f t="shared" si="1157"/>
        <v>-</v>
      </c>
      <c r="DN122" s="54" t="str">
        <f t="shared" si="1158"/>
        <v>-</v>
      </c>
      <c r="DO122" s="54" t="str">
        <f t="shared" si="1159"/>
        <v>-</v>
      </c>
      <c r="DP122" s="54" t="str">
        <f t="shared" si="1160"/>
        <v>-</v>
      </c>
      <c r="DQ122" s="54" t="str">
        <f t="shared" si="1161"/>
        <v>-</v>
      </c>
      <c r="DR122" s="54" t="str">
        <f t="shared" si="1162"/>
        <v>-</v>
      </c>
      <c r="DT122" s="112">
        <f t="shared" si="652"/>
        <v>0</v>
      </c>
      <c r="DU122" s="114">
        <f>IFERROR(SUMIFS('01. KE30'!$X:$X,'01. KE30'!$C:$C,'06. BC BH THEO CUSTOMER-USD'!$D122,'01. KE30'!$F:$F,'06. BC BH THEO CUSTOMER-USD'!$H122,'01. KE30'!$A:$A,'06. BC BH THEO CUSTOMER-USD'!DU$4)-SUMIFS('01. KE30'!$AA:$AA,'01. KE30'!$C:$C,'06. BC BH THEO CUSTOMER-USD'!$D122,'01. KE30'!$F:$F,'06. BC BH THEO CUSTOMER-USD'!$H122,'01. KE30'!$A:$A,'06. BC BH THEO CUSTOMER-USD'!DU$4),"-")</f>
        <v>0</v>
      </c>
      <c r="DV122" s="114">
        <f>IFERROR(SUMIFS('01. KE30'!$X:$X,'01. KE30'!$C:$C,'06. BC BH THEO CUSTOMER-USD'!$D122,'01. KE30'!$F:$F,'06. BC BH THEO CUSTOMER-USD'!$H122,'01. KE30'!$A:$A,'06. BC BH THEO CUSTOMER-USD'!DV$4)-SUMIFS('01. KE30'!$AA:$AA,'01. KE30'!$C:$C,'06. BC BH THEO CUSTOMER-USD'!$D122,'01. KE30'!$F:$F,'06. BC BH THEO CUSTOMER-USD'!$H122,'01. KE30'!$A:$A,'06. BC BH THEO CUSTOMER-USD'!DV$4),"-")</f>
        <v>0</v>
      </c>
      <c r="DW122" s="114">
        <f>IFERROR(SUMIFS('01. KE30'!$X:$X,'01. KE30'!$C:$C,'06. BC BH THEO CUSTOMER-USD'!$D122,'01. KE30'!$F:$F,'06. BC BH THEO CUSTOMER-USD'!$H122,'01. KE30'!$A:$A,'06. BC BH THEO CUSTOMER-USD'!DW$4)-SUMIFS('01. KE30'!$AA:$AA,'01. KE30'!$C:$C,'06. BC BH THEO CUSTOMER-USD'!$D122,'01. KE30'!$F:$F,'06. BC BH THEO CUSTOMER-USD'!$H122,'01. KE30'!$A:$A,'06. BC BH THEO CUSTOMER-USD'!DW$4),"-")</f>
        <v>0</v>
      </c>
      <c r="DX122" s="114">
        <f>IFERROR(SUMIFS('01. KE30'!$X:$X,'01. KE30'!$C:$C,'06. BC BH THEO CUSTOMER-USD'!$D122,'01. KE30'!$F:$F,'06. BC BH THEO CUSTOMER-USD'!$H122,'01. KE30'!$A:$A,'06. BC BH THEO CUSTOMER-USD'!DX$4)-SUMIFS('01. KE30'!$AA:$AA,'01. KE30'!$C:$C,'06. BC BH THEO CUSTOMER-USD'!$D122,'01. KE30'!$F:$F,'06. BC BH THEO CUSTOMER-USD'!$H122,'01. KE30'!$A:$A,'06. BC BH THEO CUSTOMER-USD'!DX$4),"-")</f>
        <v>0</v>
      </c>
      <c r="DY122" s="114">
        <f>IFERROR(SUMIFS('01. KE30'!$X:$X,'01. KE30'!$C:$C,'06. BC BH THEO CUSTOMER-USD'!$D122,'01. KE30'!$F:$F,'06. BC BH THEO CUSTOMER-USD'!$H122,'01. KE30'!$A:$A,'06. BC BH THEO CUSTOMER-USD'!DY$4)-SUMIFS('01. KE30'!$AA:$AA,'01. KE30'!$C:$C,'06. BC BH THEO CUSTOMER-USD'!$D122,'01. KE30'!$F:$F,'06. BC BH THEO CUSTOMER-USD'!$H122,'01. KE30'!$A:$A,'06. BC BH THEO CUSTOMER-USD'!DY$4),"-")</f>
        <v>0</v>
      </c>
      <c r="DZ122" s="114">
        <f>IFERROR(SUMIFS('01. KE30'!$X:$X,'01. KE30'!$C:$C,'06. BC BH THEO CUSTOMER-USD'!$D122,'01. KE30'!$F:$F,'06. BC BH THEO CUSTOMER-USD'!$H122,'01. KE30'!$A:$A,'06. BC BH THEO CUSTOMER-USD'!DZ$4)-SUMIFS('01. KE30'!$AA:$AA,'01. KE30'!$C:$C,'06. BC BH THEO CUSTOMER-USD'!$D122,'01. KE30'!$F:$F,'06. BC BH THEO CUSTOMER-USD'!$H122,'01. KE30'!$A:$A,'06. BC BH THEO CUSTOMER-USD'!DZ$4),"-")</f>
        <v>0</v>
      </c>
      <c r="EA122" s="114">
        <f>IFERROR(SUMIFS('01. KE30'!$X:$X,'01. KE30'!$C:$C,'06. BC BH THEO CUSTOMER-USD'!$D122,'01. KE30'!$F:$F,'06. BC BH THEO CUSTOMER-USD'!$H122,'01. KE30'!$A:$A,'06. BC BH THEO CUSTOMER-USD'!EA$4)-SUMIFS('01. KE30'!$AA:$AA,'01. KE30'!$C:$C,'06. BC BH THEO CUSTOMER-USD'!$D122,'01. KE30'!$F:$F,'06. BC BH THEO CUSTOMER-USD'!$H122,'01. KE30'!$A:$A,'06. BC BH THEO CUSTOMER-USD'!EA$4),"-")</f>
        <v>0</v>
      </c>
      <c r="EB122" s="114">
        <f>IFERROR(SUMIFS('01. KE30'!$X:$X,'01. KE30'!$C:$C,'06. BC BH THEO CUSTOMER-USD'!$D122,'01. KE30'!$F:$F,'06. BC BH THEO CUSTOMER-USD'!$H122,'01. KE30'!$A:$A,'06. BC BH THEO CUSTOMER-USD'!EB$4)-SUMIFS('01. KE30'!$AA:$AA,'01. KE30'!$C:$C,'06. BC BH THEO CUSTOMER-USD'!$D122,'01. KE30'!$F:$F,'06. BC BH THEO CUSTOMER-USD'!$H122,'01. KE30'!$A:$A,'06. BC BH THEO CUSTOMER-USD'!EB$4),"-")</f>
        <v>0</v>
      </c>
      <c r="EC122" s="114">
        <f>IFERROR(SUMIFS('01. KE30'!$X:$X,'01. KE30'!$C:$C,'06. BC BH THEO CUSTOMER-USD'!$D122,'01. KE30'!$F:$F,'06. BC BH THEO CUSTOMER-USD'!$H122,'01. KE30'!$A:$A,'06. BC BH THEO CUSTOMER-USD'!EC$4)-SUMIFS('01. KE30'!$AA:$AA,'01. KE30'!$C:$C,'06. BC BH THEO CUSTOMER-USD'!$D122,'01. KE30'!$F:$F,'06. BC BH THEO CUSTOMER-USD'!$H122,'01. KE30'!$A:$A,'06. BC BH THEO CUSTOMER-USD'!EC$4),"-")</f>
        <v>0</v>
      </c>
      <c r="ED122" s="114">
        <f>IFERROR(SUMIFS('01. KE30'!$X:$X,'01. KE30'!$C:$C,'06. BC BH THEO CUSTOMER-USD'!$D122,'01. KE30'!$F:$F,'06. BC BH THEO CUSTOMER-USD'!$H122,'01. KE30'!$A:$A,'06. BC BH THEO CUSTOMER-USD'!ED$4)-SUMIFS('01. KE30'!$AA:$AA,'01. KE30'!$C:$C,'06. BC BH THEO CUSTOMER-USD'!$D122,'01. KE30'!$F:$F,'06. BC BH THEO CUSTOMER-USD'!$H122,'01. KE30'!$A:$A,'06. BC BH THEO CUSTOMER-USD'!ED$4),"-")</f>
        <v>0</v>
      </c>
      <c r="EE122" s="114">
        <f>IFERROR(SUMIFS('01. KE30'!$X:$X,'01. KE30'!$C:$C,'06. BC BH THEO CUSTOMER-USD'!$D122,'01. KE30'!$F:$F,'06. BC BH THEO CUSTOMER-USD'!$H122,'01. KE30'!$A:$A,'06. BC BH THEO CUSTOMER-USD'!EE$4)-SUMIFS('01. KE30'!$AA:$AA,'01. KE30'!$C:$C,'06. BC BH THEO CUSTOMER-USD'!$D122,'01. KE30'!$F:$F,'06. BC BH THEO CUSTOMER-USD'!$H122,'01. KE30'!$A:$A,'06. BC BH THEO CUSTOMER-USD'!EE$4),"-")</f>
        <v>0</v>
      </c>
      <c r="EF122" s="114">
        <f>IFERROR(SUMIFS('01. KE30'!$X:$X,'01. KE30'!$C:$C,'06. BC BH THEO CUSTOMER-USD'!$D122,'01. KE30'!$F:$F,'06. BC BH THEO CUSTOMER-USD'!$H122,'01. KE30'!$A:$A,'06. BC BH THEO CUSTOMER-USD'!EF$4)-SUMIFS('01. KE30'!$AA:$AA,'01. KE30'!$C:$C,'06. BC BH THEO CUSTOMER-USD'!$D122,'01. KE30'!$F:$F,'06. BC BH THEO CUSTOMER-USD'!$H122,'01. KE30'!$A:$A,'06. BC BH THEO CUSTOMER-USD'!EF$4),"-")</f>
        <v>0</v>
      </c>
      <c r="EH122" s="571" t="str">
        <f t="shared" si="531"/>
        <v>-</v>
      </c>
      <c r="EI122" s="572" t="str">
        <f t="shared" si="532"/>
        <v>-</v>
      </c>
      <c r="EJ122" s="572" t="str">
        <f t="shared" si="533"/>
        <v>-</v>
      </c>
      <c r="EK122" s="572" t="str">
        <f t="shared" si="534"/>
        <v>-</v>
      </c>
      <c r="EL122" s="572" t="str">
        <f t="shared" si="535"/>
        <v>-</v>
      </c>
      <c r="EM122" s="572" t="str">
        <f t="shared" si="536"/>
        <v>-</v>
      </c>
      <c r="EN122" s="572" t="str">
        <f t="shared" si="537"/>
        <v>-</v>
      </c>
      <c r="EO122" s="572" t="str">
        <f t="shared" si="538"/>
        <v>-</v>
      </c>
      <c r="EP122" s="572" t="str">
        <f t="shared" si="539"/>
        <v>-</v>
      </c>
      <c r="EQ122" s="572" t="str">
        <f t="shared" si="540"/>
        <v>-</v>
      </c>
      <c r="ER122" s="572" t="str">
        <f t="shared" si="541"/>
        <v>-</v>
      </c>
      <c r="ES122" s="572" t="str">
        <f t="shared" si="542"/>
        <v>-</v>
      </c>
      <c r="ET122" s="572" t="str">
        <f t="shared" si="543"/>
        <v>-</v>
      </c>
    </row>
    <row r="123" spans="1:150" ht="15.5" hidden="1" outlineLevel="1" x14ac:dyDescent="0.35">
      <c r="A123" s="27">
        <f>A125+1</f>
        <v>8</v>
      </c>
      <c r="B123" s="27" t="s">
        <v>95</v>
      </c>
      <c r="C123" s="442" t="s">
        <v>489</v>
      </c>
      <c r="D123" s="9" t="s">
        <v>511</v>
      </c>
      <c r="E123" s="12" t="s">
        <v>512</v>
      </c>
      <c r="F123" s="12" t="s">
        <v>245</v>
      </c>
      <c r="G123" s="12" t="str">
        <f>_xlfn.XLOOKUP(F123,'Quy đổi'!$G$5:$G$32,'Quy đổi'!$H$5:$H$32,0)</f>
        <v>Nội địa</v>
      </c>
      <c r="H123" s="76" t="s">
        <v>87</v>
      </c>
      <c r="I123" s="7" t="s">
        <v>86</v>
      </c>
      <c r="J123" s="13" t="s">
        <v>22</v>
      </c>
      <c r="K123" s="11"/>
      <c r="L123" s="92">
        <f t="shared" si="1164"/>
        <v>694.41937260222016</v>
      </c>
      <c r="M123" s="106" t="str">
        <f>IFERROR(SUMIFS('01. KE30'!$K:$K,'01. KE30'!$C:$C,'06. BC BH THEO CUSTOMER-USD'!$D123,'01. KE30'!$F:$F,'06. BC BH THEO CUSTOMER-USD'!$H123,'01. KE30'!$A:$A,'06. BC BH THEO CUSTOMER-USD'!M$4)/'06. BC BH THEO CUSTOMER-USD'!CS123/'02. Tỷ giá'!B$5,"-")</f>
        <v>-</v>
      </c>
      <c r="N123" s="106">
        <f>IFERROR(SUMIFS('01. KE30'!$K:$K,'01. KE30'!$C:$C,'06. BC BH THEO CUSTOMER-USD'!$D123,'01. KE30'!$F:$F,'06. BC BH THEO CUSTOMER-USD'!$H123,'01. KE30'!$A:$A,'06. BC BH THEO CUSTOMER-USD'!N$4)/'06. BC BH THEO CUSTOMER-USD'!CT123/'02. Tỷ giá'!C$5,"-")</f>
        <v>752.26467113036631</v>
      </c>
      <c r="O123" s="106" t="str">
        <f>IFERROR(SUMIFS('01. KE30'!$K:$K,'01. KE30'!$C:$C,'06. BC BH THEO CUSTOMER-USD'!$D123,'01. KE30'!$F:$F,'06. BC BH THEO CUSTOMER-USD'!$H123,'01. KE30'!$A:$A,'06. BC BH THEO CUSTOMER-USD'!O$4)/'06. BC BH THEO CUSTOMER-USD'!CU123/'02. Tỷ giá'!D$5,"-")</f>
        <v>-</v>
      </c>
      <c r="P123" s="106" t="str">
        <f>IFERROR(SUMIFS('01. KE30'!$K:$K,'01. KE30'!$C:$C,'06. BC BH THEO CUSTOMER-USD'!$D123,'01. KE30'!$F:$F,'06. BC BH THEO CUSTOMER-USD'!$H123,'01. KE30'!$A:$A,'06. BC BH THEO CUSTOMER-USD'!P$4)/'06. BC BH THEO CUSTOMER-USD'!CV123/'02. Tỷ giá'!E$5,"-")</f>
        <v>-</v>
      </c>
      <c r="Q123" s="106" t="str">
        <f>IFERROR(SUMIFS('01. KE30'!$K:$K,'01. KE30'!$C:$C,'06. BC BH THEO CUSTOMER-USD'!$D123,'01. KE30'!$F:$F,'06. BC BH THEO CUSTOMER-USD'!$H123,'01. KE30'!$A:$A,'06. BC BH THEO CUSTOMER-USD'!Q$4)/'06. BC BH THEO CUSTOMER-USD'!CW123/'02. Tỷ giá'!F$5,"-")</f>
        <v>-</v>
      </c>
      <c r="R123" s="106">
        <f>IFERROR(SUMIFS('01. KE30'!$K:$K,'01. KE30'!$C:$C,'06. BC BH THEO CUSTOMER-USD'!$D123,'01. KE30'!$F:$F,'06. BC BH THEO CUSTOMER-USD'!$H123,'01. KE30'!$A:$A,'06. BC BH THEO CUSTOMER-USD'!R$4)/'06. BC BH THEO CUSTOMER-USD'!CX123/'02. Tỷ giá'!G$5,"-")</f>
        <v>636.57407407407402</v>
      </c>
      <c r="S123" s="106" t="str">
        <f>IFERROR(SUMIFS('01. KE30'!$K:$K,'01. KE30'!$C:$C,'06. BC BH THEO CUSTOMER-USD'!$D123,'01. KE30'!$F:$F,'06. BC BH THEO CUSTOMER-USD'!$H123,'01. KE30'!$A:$A,'06. BC BH THEO CUSTOMER-USD'!S$4)/'06. BC BH THEO CUSTOMER-USD'!CY123/'02. Tỷ giá'!H$5,"-")</f>
        <v>-</v>
      </c>
      <c r="T123" s="106" t="str">
        <f>IFERROR(SUMIFS('01. KE30'!$K:$K,'01. KE30'!$C:$C,'06. BC BH THEO CUSTOMER-USD'!$D123,'01. KE30'!$F:$F,'06. BC BH THEO CUSTOMER-USD'!$H123,'01. KE30'!$A:$A,'06. BC BH THEO CUSTOMER-USD'!T$4)/'06. BC BH THEO CUSTOMER-USD'!CZ123/'02. Tỷ giá'!I$5,"-")</f>
        <v>-</v>
      </c>
      <c r="U123" s="106" t="str">
        <f>IFERROR(SUMIFS('01. KE30'!$K:$K,'01. KE30'!$C:$C,'06. BC BH THEO CUSTOMER-USD'!$D123,'01. KE30'!$F:$F,'06. BC BH THEO CUSTOMER-USD'!$H123,'01. KE30'!$A:$A,'06. BC BH THEO CUSTOMER-USD'!U$4)/'06. BC BH THEO CUSTOMER-USD'!DA123/'02. Tỷ giá'!J$5,"-")</f>
        <v>-</v>
      </c>
      <c r="V123" s="106" t="str">
        <f>IFERROR(SUMIFS('01. KE30'!$K:$K,'01. KE30'!$C:$C,'06. BC BH THEO CUSTOMER-USD'!$D123,'01. KE30'!$F:$F,'06. BC BH THEO CUSTOMER-USD'!$H123,'01. KE30'!$A:$A,'06. BC BH THEO CUSTOMER-USD'!V$4)/'06. BC BH THEO CUSTOMER-USD'!DB123/'02. Tỷ giá'!K$5,"-")</f>
        <v>-</v>
      </c>
      <c r="W123" s="106" t="str">
        <f>IFERROR(SUMIFS('01. KE30'!$K:$K,'01. KE30'!$C:$C,'06. BC BH THEO CUSTOMER-USD'!$D123,'01. KE30'!$F:$F,'06. BC BH THEO CUSTOMER-USD'!$H123,'01. KE30'!$A:$A,'06. BC BH THEO CUSTOMER-USD'!W$4)/'06. BC BH THEO CUSTOMER-USD'!DC123/'02. Tỷ giá'!L$5,"-")</f>
        <v>-</v>
      </c>
      <c r="X123" s="106" t="str">
        <f>IFERROR(SUMIFS('01. KE30'!$K:$K,'01. KE30'!$C:$C,'06. BC BH THEO CUSTOMER-USD'!$D123,'01. KE30'!$F:$F,'06. BC BH THEO CUSTOMER-USD'!$H123,'01. KE30'!$A:$A,'06. BC BH THEO CUSTOMER-USD'!X$4)/'06. BC BH THEO CUSTOMER-USD'!DD123/'02. Tỷ giá'!M$5,"-")</f>
        <v>-</v>
      </c>
      <c r="Z123" s="92">
        <f t="shared" si="1145"/>
        <v>694.41937260222016</v>
      </c>
      <c r="AA123" s="147" t="str">
        <f>IFERROR(SUMIFS('01. KE30'!$O:$O,'01. KE30'!$C:$C,'06. BC BH THEO CUSTOMER-USD'!$D123,'01. KE30'!$F:$F,'06. BC BH THEO CUSTOMER-USD'!$H123,'01. KE30'!$A:$A,'06. BC BH THEO CUSTOMER-USD'!M$4)/'06. BC BH THEO CUSTOMER-USD'!CS123/'02. Tỷ giá'!B$5,"-")</f>
        <v>-</v>
      </c>
      <c r="AB123" s="147">
        <f>IFERROR(SUMIFS('01. KE30'!$O:$O,'01. KE30'!$C:$C,'06. BC BH THEO CUSTOMER-USD'!$D123,'01. KE30'!$F:$F,'06. BC BH THEO CUSTOMER-USD'!$H123,'01. KE30'!$A:$A,'06. BC BH THEO CUSTOMER-USD'!N$4)/'06. BC BH THEO CUSTOMER-USD'!CT123/'02. Tỷ giá'!C$5,"-")</f>
        <v>752.26467113036631</v>
      </c>
      <c r="AC123" s="147" t="str">
        <f>IFERROR(SUMIFS('01. KE30'!$O:$O,'01. KE30'!$C:$C,'06. BC BH THEO CUSTOMER-USD'!$D123,'01. KE30'!$F:$F,'06. BC BH THEO CUSTOMER-USD'!$H123,'01. KE30'!$A:$A,'06. BC BH THEO CUSTOMER-USD'!O$4)/'06. BC BH THEO CUSTOMER-USD'!CU123/'02. Tỷ giá'!D$5,"-")</f>
        <v>-</v>
      </c>
      <c r="AD123" s="147" t="str">
        <f>IFERROR(SUMIFS('01. KE30'!$O:$O,'01. KE30'!$C:$C,'06. BC BH THEO CUSTOMER-USD'!$D123,'01. KE30'!$F:$F,'06. BC BH THEO CUSTOMER-USD'!$H123,'01. KE30'!$A:$A,'06. BC BH THEO CUSTOMER-USD'!P$4)/'06. BC BH THEO CUSTOMER-USD'!CV123/'02. Tỷ giá'!E$5,"-")</f>
        <v>-</v>
      </c>
      <c r="AE123" s="147" t="str">
        <f>IFERROR(SUMIFS('01. KE30'!$O:$O,'01. KE30'!$C:$C,'06. BC BH THEO CUSTOMER-USD'!$D123,'01. KE30'!$F:$F,'06. BC BH THEO CUSTOMER-USD'!$H123,'01. KE30'!$A:$A,'06. BC BH THEO CUSTOMER-USD'!Q$4)/'06. BC BH THEO CUSTOMER-USD'!CW123/'02. Tỷ giá'!F$5,"-")</f>
        <v>-</v>
      </c>
      <c r="AF123" s="147">
        <f>IFERROR(SUMIFS('01. KE30'!$O:$O,'01. KE30'!$C:$C,'06. BC BH THEO CUSTOMER-USD'!$D123,'01. KE30'!$F:$F,'06. BC BH THEO CUSTOMER-USD'!$H123,'01. KE30'!$A:$A,'06. BC BH THEO CUSTOMER-USD'!R$4)/'06. BC BH THEO CUSTOMER-USD'!CX123/'02. Tỷ giá'!G$5,"-")</f>
        <v>636.57407407407402</v>
      </c>
      <c r="AG123" s="147" t="str">
        <f>IFERROR(SUMIFS('01. KE30'!$O:$O,'01. KE30'!$C:$C,'06. BC BH THEO CUSTOMER-USD'!$D123,'01. KE30'!$F:$F,'06. BC BH THEO CUSTOMER-USD'!$H123,'01. KE30'!$A:$A,'06. BC BH THEO CUSTOMER-USD'!S$4)/'06. BC BH THEO CUSTOMER-USD'!CY123/'02. Tỷ giá'!H$5,"-")</f>
        <v>-</v>
      </c>
      <c r="AH123" s="147" t="str">
        <f>IFERROR(SUMIFS('01. KE30'!$O:$O,'01. KE30'!$C:$C,'06. BC BH THEO CUSTOMER-USD'!$D123,'01. KE30'!$F:$F,'06. BC BH THEO CUSTOMER-USD'!$H123,'01. KE30'!$A:$A,'06. BC BH THEO CUSTOMER-USD'!T$4)/'06. BC BH THEO CUSTOMER-USD'!CZ123/'02. Tỷ giá'!I$5,"-")</f>
        <v>-</v>
      </c>
      <c r="AI123" s="147" t="str">
        <f>IFERROR(SUMIFS('01. KE30'!$O:$O,'01. KE30'!$C:$C,'06. BC BH THEO CUSTOMER-USD'!$D123,'01. KE30'!$F:$F,'06. BC BH THEO CUSTOMER-USD'!$H123,'01. KE30'!$A:$A,'06. BC BH THEO CUSTOMER-USD'!U$4)/'06. BC BH THEO CUSTOMER-USD'!DA123/'02. Tỷ giá'!J$5,"-")</f>
        <v>-</v>
      </c>
      <c r="AJ123" s="147" t="str">
        <f>IFERROR(SUMIFS('01. KE30'!$O:$O,'01. KE30'!$C:$C,'06. BC BH THEO CUSTOMER-USD'!$D123,'01. KE30'!$F:$F,'06. BC BH THEO CUSTOMER-USD'!$H123,'01. KE30'!$A:$A,'06. BC BH THEO CUSTOMER-USD'!V$4)/'06. BC BH THEO CUSTOMER-USD'!DB123/'02. Tỷ giá'!K$5,"-")</f>
        <v>-</v>
      </c>
      <c r="AK123" s="147" t="str">
        <f>IFERROR(SUMIFS('01. KE30'!$O:$O,'01. KE30'!$C:$C,'06. BC BH THEO CUSTOMER-USD'!$D123,'01. KE30'!$F:$F,'06. BC BH THEO CUSTOMER-USD'!$H123,'01. KE30'!$A:$A,'06. BC BH THEO CUSTOMER-USD'!W$4)/'06. BC BH THEO CUSTOMER-USD'!DC123/'02. Tỷ giá'!L$5,"-")</f>
        <v>-</v>
      </c>
      <c r="AL123" s="147" t="str">
        <f>IFERROR(SUMIFS('01. KE30'!$O:$O,'01. KE30'!$C:$C,'06. BC BH THEO CUSTOMER-USD'!$D123,'01. KE30'!$F:$F,'06. BC BH THEO CUSTOMER-USD'!$H123,'01. KE30'!$A:$A,'06. BC BH THEO CUSTOMER-USD'!X$4)/'06. BC BH THEO CUSTOMER-USD'!DD123/'02. Tỷ giá'!M$5,"-")</f>
        <v>-</v>
      </c>
      <c r="AN123" s="55">
        <f t="shared" si="1146"/>
        <v>862.22222222222217</v>
      </c>
      <c r="AO123" s="4">
        <v>950</v>
      </c>
      <c r="AP123" s="4">
        <v>950</v>
      </c>
      <c r="AQ123" s="4">
        <v>950</v>
      </c>
      <c r="AR123" s="4">
        <v>950</v>
      </c>
      <c r="AS123" s="4">
        <v>800</v>
      </c>
      <c r="AT123" s="4">
        <v>800</v>
      </c>
      <c r="AU123" s="4">
        <v>800</v>
      </c>
      <c r="AV123" s="4">
        <f t="shared" si="1165"/>
        <v>780</v>
      </c>
      <c r="AW123" s="4">
        <v>780</v>
      </c>
      <c r="AX123" s="4"/>
      <c r="AY123" s="4"/>
      <c r="AZ123" s="4"/>
      <c r="BB123" s="95">
        <f t="shared" si="637"/>
        <v>-167.80284962000201</v>
      </c>
      <c r="BC123" s="95" t="str">
        <f t="shared" si="638"/>
        <v>-</v>
      </c>
      <c r="BD123" s="95">
        <f t="shared" si="1147"/>
        <v>-197.73532886963369</v>
      </c>
      <c r="BE123" s="95" t="str">
        <f t="shared" si="1147"/>
        <v>-</v>
      </c>
      <c r="BF123" s="95" t="str">
        <f t="shared" si="1147"/>
        <v>-</v>
      </c>
      <c r="BG123" s="95" t="str">
        <f t="shared" si="1147"/>
        <v>-</v>
      </c>
      <c r="BH123" s="95">
        <f t="shared" si="1147"/>
        <v>-163.42592592592598</v>
      </c>
      <c r="BI123" s="95" t="str">
        <f t="shared" si="1147"/>
        <v>-</v>
      </c>
      <c r="BJ123" s="95" t="str">
        <f t="shared" si="1147"/>
        <v>-</v>
      </c>
      <c r="BK123" s="95" t="str">
        <f t="shared" si="1147"/>
        <v>-</v>
      </c>
      <c r="BL123" s="95" t="str">
        <f t="shared" si="1147"/>
        <v>-</v>
      </c>
      <c r="BM123" s="95" t="str">
        <f t="shared" si="1147"/>
        <v>-</v>
      </c>
      <c r="BN123" s="95" t="str">
        <f t="shared" si="1147"/>
        <v>-</v>
      </c>
      <c r="BP123" s="143">
        <f t="shared" si="639"/>
        <v>-0.1946167070335075</v>
      </c>
      <c r="BQ123" s="143" t="str">
        <f t="shared" si="517"/>
        <v>-</v>
      </c>
      <c r="BR123" s="143">
        <f t="shared" si="518"/>
        <v>-0.20814245144171967</v>
      </c>
      <c r="BS123" s="143" t="str">
        <f t="shared" si="519"/>
        <v>-</v>
      </c>
      <c r="BT123" s="143" t="str">
        <f t="shared" si="520"/>
        <v>-</v>
      </c>
      <c r="BU123" s="143" t="str">
        <f t="shared" si="521"/>
        <v>-</v>
      </c>
      <c r="BV123" s="143">
        <f t="shared" si="522"/>
        <v>-0.20428240740740747</v>
      </c>
      <c r="BW123" s="143" t="str">
        <f t="shared" si="523"/>
        <v>-</v>
      </c>
      <c r="BX123" s="143" t="str">
        <f t="shared" si="524"/>
        <v>-</v>
      </c>
      <c r="BY123" s="143" t="str">
        <f t="shared" si="525"/>
        <v>-</v>
      </c>
      <c r="BZ123" s="143" t="str">
        <f t="shared" si="526"/>
        <v>-</v>
      </c>
      <c r="CA123" s="143" t="str">
        <f t="shared" si="527"/>
        <v>-</v>
      </c>
      <c r="CB123" s="143" t="str">
        <f t="shared" si="528"/>
        <v>-</v>
      </c>
      <c r="CD123" s="112">
        <f t="shared" si="1148"/>
        <v>926.71850148209819</v>
      </c>
      <c r="CE123" s="95" t="str">
        <f>IFERROR(SUMIFS('01. KE30'!$R:$R,'01. KE30'!$C:$C,'06. BC BH THEO CUSTOMER-USD'!$D123,'01. KE30'!$F:$F,'06. BC BH THEO CUSTOMER-USD'!$H123,'01. KE30'!$A:$A,'06. BC BH THEO CUSTOMER-USD'!CE$4)/CS123/'02. Tỷ giá'!B$5," -")</f>
        <v xml:space="preserve"> -</v>
      </c>
      <c r="CF123" s="95">
        <f>IFERROR(SUMIFS('01. KE30'!$R:$R,'01. KE30'!$C:$C,'06. BC BH THEO CUSTOMER-USD'!$D123,'01. KE30'!$F:$F,'06. BC BH THEO CUSTOMER-USD'!$H123,'01. KE30'!$A:$A,'06. BC BH THEO CUSTOMER-USD'!CF$4)/CT123/'02. Tỷ giá'!C$5," -")</f>
        <v>896.61034050628382</v>
      </c>
      <c r="CG123" s="95" t="str">
        <f>IFERROR(SUMIFS('01. KE30'!$R:$R,'01. KE30'!$C:$C,'06. BC BH THEO CUSTOMER-USD'!$D123,'01. KE30'!$F:$F,'06. BC BH THEO CUSTOMER-USD'!$H123,'01. KE30'!$A:$A,'06. BC BH THEO CUSTOMER-USD'!CG$4)/CU123/'02. Tỷ giá'!D$5," -")</f>
        <v xml:space="preserve"> -</v>
      </c>
      <c r="CH123" s="95" t="str">
        <f>IFERROR(SUMIFS('01. KE30'!$R:$R,'01. KE30'!$C:$C,'06. BC BH THEO CUSTOMER-USD'!$D123,'01. KE30'!$F:$F,'06. BC BH THEO CUSTOMER-USD'!$H123,'01. KE30'!$A:$A,'06. BC BH THEO CUSTOMER-USD'!CH$4)/CV123/'02. Tỷ giá'!E$5," -")</f>
        <v xml:space="preserve"> -</v>
      </c>
      <c r="CI123" s="95" t="str">
        <f>IFERROR(SUMIFS('01. KE30'!$R:$R,'01. KE30'!$C:$C,'06. BC BH THEO CUSTOMER-USD'!$D123,'01. KE30'!$F:$F,'06. BC BH THEO CUSTOMER-USD'!$H123,'01. KE30'!$A:$A,'06. BC BH THEO CUSTOMER-USD'!CI$4)/CW123/'02. Tỷ giá'!F$5," -")</f>
        <v xml:space="preserve"> -</v>
      </c>
      <c r="CJ123" s="95">
        <f>IFERROR(SUMIFS('01. KE30'!$R:$R,'01. KE30'!$C:$C,'06. BC BH THEO CUSTOMER-USD'!$D123,'01. KE30'!$F:$F,'06. BC BH THEO CUSTOMER-USD'!$H123,'01. KE30'!$A:$A,'06. BC BH THEO CUSTOMER-USD'!CJ$4)/CX123/'02. Tỷ giá'!G$5," -")</f>
        <v>956.82666245791245</v>
      </c>
      <c r="CK123" s="95" t="str">
        <f>IFERROR(SUMIFS('01. KE30'!$R:$R,'01. KE30'!$C:$C,'06. BC BH THEO CUSTOMER-USD'!$D123,'01. KE30'!$F:$F,'06. BC BH THEO CUSTOMER-USD'!$H123,'01. KE30'!$A:$A,'06. BC BH THEO CUSTOMER-USD'!CK$4)/CY123/'02. Tỷ giá'!H$5," -")</f>
        <v xml:space="preserve"> -</v>
      </c>
      <c r="CL123" s="95" t="str">
        <f>IFERROR(SUMIFS('01. KE30'!$R:$R,'01. KE30'!$C:$C,'06. BC BH THEO CUSTOMER-USD'!$D123,'01. KE30'!$F:$F,'06. BC BH THEO CUSTOMER-USD'!$H123,'01. KE30'!$A:$A,'06. BC BH THEO CUSTOMER-USD'!CL$4)/CZ123/'02. Tỷ giá'!I$5," -")</f>
        <v xml:space="preserve"> -</v>
      </c>
      <c r="CM123" s="95" t="str">
        <f>IFERROR(SUMIFS('01. KE30'!$R:$R,'01. KE30'!$C:$C,'06. BC BH THEO CUSTOMER-USD'!$D123,'01. KE30'!$F:$F,'06. BC BH THEO CUSTOMER-USD'!$H123,'01. KE30'!$A:$A,'06. BC BH THEO CUSTOMER-USD'!CM$4)/DA123/'02. Tỷ giá'!J$5," -")</f>
        <v xml:space="preserve"> -</v>
      </c>
      <c r="CN123" s="95" t="str">
        <f>IFERROR(SUMIFS('01. KE30'!$R:$R,'01. KE30'!$C:$C,'06. BC BH THEO CUSTOMER-USD'!$D123,'01. KE30'!$F:$F,'06. BC BH THEO CUSTOMER-USD'!$H123,'01. KE30'!$A:$A,'06. BC BH THEO CUSTOMER-USD'!CN$4)/DB123/'02. Tỷ giá'!K$5," -")</f>
        <v xml:space="preserve"> -</v>
      </c>
      <c r="CO123" s="95" t="str">
        <f>IFERROR(SUMIFS('01. KE30'!$R:$R,'01. KE30'!$C:$C,'06. BC BH THEO CUSTOMER-USD'!$D123,'01. KE30'!$F:$F,'06. BC BH THEO CUSTOMER-USD'!$H123,'01. KE30'!$A:$A,'06. BC BH THEO CUSTOMER-USD'!CO$4)/DC123/'02. Tỷ giá'!L$5," -")</f>
        <v xml:space="preserve"> -</v>
      </c>
      <c r="CP123" s="95" t="str">
        <f>IFERROR(SUMIFS('01. KE30'!$R:$R,'01. KE30'!$C:$C,'06. BC BH THEO CUSTOMER-USD'!$D123,'01. KE30'!$F:$F,'06. BC BH THEO CUSTOMER-USD'!$H123,'01. KE30'!$A:$A,'06. BC BH THEO CUSTOMER-USD'!CP$4)/DD123/'02. Tỷ giá'!M$5," -")</f>
        <v xml:space="preserve"> -</v>
      </c>
      <c r="CR123" s="112">
        <f t="shared" si="1149"/>
        <v>11</v>
      </c>
      <c r="CS123" s="114">
        <f>SUMIFS('01. KE30'!$I:$I,'01. KE30'!$C:$C,'06. BC BH THEO CUSTOMER-USD'!$D123,'01. KE30'!$F:$F,'06. BC BH THEO CUSTOMER-USD'!$H123,'01. KE30'!$A:$A,'06. BC BH THEO CUSTOMER-USD'!CS$4)/1000</f>
        <v>0</v>
      </c>
      <c r="CT123" s="114">
        <f>SUMIFS('01. KE30'!$I:$I,'01. KE30'!$C:$C,'06. BC BH THEO CUSTOMER-USD'!$D123,'01. KE30'!$F:$F,'06. BC BH THEO CUSTOMER-USD'!$H123,'01. KE30'!$A:$A,'06. BC BH THEO CUSTOMER-USD'!CT$4)/1000</f>
        <v>5.5</v>
      </c>
      <c r="CU123" s="114">
        <f>SUMIFS('01. KE30'!$I:$I,'01. KE30'!$C:$C,'06. BC BH THEO CUSTOMER-USD'!$D123,'01. KE30'!$F:$F,'06. BC BH THEO CUSTOMER-USD'!$H123,'01. KE30'!$A:$A,'06. BC BH THEO CUSTOMER-USD'!CU$4)/1000</f>
        <v>0</v>
      </c>
      <c r="CV123" s="114">
        <f>SUMIFS('01. KE30'!$I:$I,'01. KE30'!$C:$C,'06. BC BH THEO CUSTOMER-USD'!$D123,'01. KE30'!$F:$F,'06. BC BH THEO CUSTOMER-USD'!$H123,'01. KE30'!$A:$A,'06. BC BH THEO CUSTOMER-USD'!CV$4)/1000</f>
        <v>0</v>
      </c>
      <c r="CW123" s="114">
        <f>SUMIFS('01. KE30'!$I:$I,'01. KE30'!$C:$C,'06. BC BH THEO CUSTOMER-USD'!$D123,'01. KE30'!$F:$F,'06. BC BH THEO CUSTOMER-USD'!$H123,'01. KE30'!$A:$A,'06. BC BH THEO CUSTOMER-USD'!CW$4)/1000</f>
        <v>0</v>
      </c>
      <c r="CX123" s="114">
        <f>SUMIFS('01. KE30'!$I:$I,'01. KE30'!$C:$C,'06. BC BH THEO CUSTOMER-USD'!$D123,'01. KE30'!$F:$F,'06. BC BH THEO CUSTOMER-USD'!$H123,'01. KE30'!$A:$A,'06. BC BH THEO CUSTOMER-USD'!CX$4)/1000</f>
        <v>5.5</v>
      </c>
      <c r="CY123" s="114">
        <f>SUMIFS('01. KE30'!$I:$I,'01. KE30'!$C:$C,'06. BC BH THEO CUSTOMER-USD'!$D123,'01. KE30'!$F:$F,'06. BC BH THEO CUSTOMER-USD'!$H123,'01. KE30'!$A:$A,'06. BC BH THEO CUSTOMER-USD'!CY$4)/1000</f>
        <v>0</v>
      </c>
      <c r="CZ123" s="114">
        <f>SUMIFS('01. KE30'!$I:$I,'01. KE30'!$C:$C,'06. BC BH THEO CUSTOMER-USD'!$D123,'01. KE30'!$F:$F,'06. BC BH THEO CUSTOMER-USD'!$H123,'01. KE30'!$A:$A,'06. BC BH THEO CUSTOMER-USD'!CZ$4)/1000</f>
        <v>0</v>
      </c>
      <c r="DA123" s="114">
        <f>SUMIFS('01. KE30'!$I:$I,'01. KE30'!$C:$C,'06. BC BH THEO CUSTOMER-USD'!$D123,'01. KE30'!$F:$F,'06. BC BH THEO CUSTOMER-USD'!$H123,'01. KE30'!$A:$A,'06. BC BH THEO CUSTOMER-USD'!DA$4)/1000</f>
        <v>0</v>
      </c>
      <c r="DB123" s="114">
        <f>SUMIFS('01. KE30'!$I:$I,'01. KE30'!$C:$C,'06. BC BH THEO CUSTOMER-USD'!$D123,'01. KE30'!$F:$F,'06. BC BH THEO CUSTOMER-USD'!$H123,'01. KE30'!$A:$A,'06. BC BH THEO CUSTOMER-USD'!DB$4)/1000</f>
        <v>0</v>
      </c>
      <c r="DC123" s="114">
        <f>SUMIFS('01. KE30'!$I:$I,'01. KE30'!$C:$C,'06. BC BH THEO CUSTOMER-USD'!$D123,'01. KE30'!$F:$F,'06. BC BH THEO CUSTOMER-USD'!$H123,'01. KE30'!$A:$A,'06. BC BH THEO CUSTOMER-USD'!DC$4)/1000</f>
        <v>0</v>
      </c>
      <c r="DD123" s="114">
        <f>SUMIFS('01. KE30'!$I:$I,'01. KE30'!$C:$C,'06. BC BH THEO CUSTOMER-USD'!$D123,'01. KE30'!$F:$F,'06. BC BH THEO CUSTOMER-USD'!$H123,'01. KE30'!$A:$A,'06. BC BH THEO CUSTOMER-USD'!DD$4)/1000</f>
        <v>0</v>
      </c>
      <c r="DF123" s="112">
        <f t="shared" si="1150"/>
        <v>7638.6130986244216</v>
      </c>
      <c r="DG123" s="54" t="str">
        <f t="shared" si="1151"/>
        <v>-</v>
      </c>
      <c r="DH123" s="54">
        <f t="shared" si="1152"/>
        <v>4137.4556912170146</v>
      </c>
      <c r="DI123" s="54" t="str">
        <f t="shared" si="1153"/>
        <v>-</v>
      </c>
      <c r="DJ123" s="54" t="str">
        <f t="shared" si="1154"/>
        <v>-</v>
      </c>
      <c r="DK123" s="54" t="str">
        <f t="shared" si="1155"/>
        <v>-</v>
      </c>
      <c r="DL123" s="54">
        <f t="shared" si="1156"/>
        <v>3501.1574074074069</v>
      </c>
      <c r="DM123" s="54" t="str">
        <f t="shared" si="1157"/>
        <v>-</v>
      </c>
      <c r="DN123" s="54" t="str">
        <f t="shared" si="1158"/>
        <v>-</v>
      </c>
      <c r="DO123" s="54" t="str">
        <f t="shared" si="1159"/>
        <v>-</v>
      </c>
      <c r="DP123" s="54" t="str">
        <f t="shared" si="1160"/>
        <v>-</v>
      </c>
      <c r="DQ123" s="54" t="str">
        <f t="shared" si="1161"/>
        <v>-</v>
      </c>
      <c r="DR123" s="54" t="str">
        <f t="shared" si="1162"/>
        <v>-</v>
      </c>
      <c r="DT123" s="112">
        <f t="shared" si="652"/>
        <v>-2555.2904176786565</v>
      </c>
      <c r="DU123" s="114">
        <f>IFERROR(SUMIFS('01. KE30'!$X:$X,'01. KE30'!$C:$C,'06. BC BH THEO CUSTOMER-USD'!$D123,'01. KE30'!$F:$F,'06. BC BH THEO CUSTOMER-USD'!$H123,'01. KE30'!$A:$A,'06. BC BH THEO CUSTOMER-USD'!DU$4)-SUMIFS('01. KE30'!$AA:$AA,'01. KE30'!$C:$C,'06. BC BH THEO CUSTOMER-USD'!$D123,'01. KE30'!$F:$F,'06. BC BH THEO CUSTOMER-USD'!$H123,'01. KE30'!$A:$A,'06. BC BH THEO CUSTOMER-USD'!DU$4),"-")</f>
        <v>0</v>
      </c>
      <c r="DV123" s="114">
        <f>IFERROR(SUMIFS('01. KE30'!$X:$X,'01. KE30'!$C:$C,'06. BC BH THEO CUSTOMER-USD'!$D123,'01. KE30'!$F:$F,'06. BC BH THEO CUSTOMER-USD'!$H123,'01. KE30'!$A:$A,'06. BC BH THEO CUSTOMER-USD'!DV$4)-SUMIFS('01. KE30'!$AA:$AA,'01. KE30'!$C:$C,'06. BC BH THEO CUSTOMER-USD'!$D123,'01. KE30'!$F:$F,'06. BC BH THEO CUSTOMER-USD'!$H123,'01. KE30'!$A:$A,'06. BC BH THEO CUSTOMER-USD'!DV$4),"-")</f>
        <v>-793.90118156754579</v>
      </c>
      <c r="DW123" s="114">
        <f>IFERROR(SUMIFS('01. KE30'!$X:$X,'01. KE30'!$C:$C,'06. BC BH THEO CUSTOMER-USD'!$D123,'01. KE30'!$F:$F,'06. BC BH THEO CUSTOMER-USD'!$H123,'01. KE30'!$A:$A,'06. BC BH THEO CUSTOMER-USD'!DW$4)-SUMIFS('01. KE30'!$AA:$AA,'01. KE30'!$C:$C,'06. BC BH THEO CUSTOMER-USD'!$D123,'01. KE30'!$F:$F,'06. BC BH THEO CUSTOMER-USD'!$H123,'01. KE30'!$A:$A,'06. BC BH THEO CUSTOMER-USD'!DW$4),"-")</f>
        <v>0</v>
      </c>
      <c r="DX123" s="114">
        <f>IFERROR(SUMIFS('01. KE30'!$X:$X,'01. KE30'!$C:$C,'06. BC BH THEO CUSTOMER-USD'!$D123,'01. KE30'!$F:$F,'06. BC BH THEO CUSTOMER-USD'!$H123,'01. KE30'!$A:$A,'06. BC BH THEO CUSTOMER-USD'!DX$4)-SUMIFS('01. KE30'!$AA:$AA,'01. KE30'!$C:$C,'06. BC BH THEO CUSTOMER-USD'!$D123,'01. KE30'!$F:$F,'06. BC BH THEO CUSTOMER-USD'!$H123,'01. KE30'!$A:$A,'06. BC BH THEO CUSTOMER-USD'!DX$4),"-")</f>
        <v>0</v>
      </c>
      <c r="DY123" s="114">
        <f>IFERROR(SUMIFS('01. KE30'!$X:$X,'01. KE30'!$C:$C,'06. BC BH THEO CUSTOMER-USD'!$D123,'01. KE30'!$F:$F,'06. BC BH THEO CUSTOMER-USD'!$H123,'01. KE30'!$A:$A,'06. BC BH THEO CUSTOMER-USD'!DY$4)-SUMIFS('01. KE30'!$AA:$AA,'01. KE30'!$C:$C,'06. BC BH THEO CUSTOMER-USD'!$D123,'01. KE30'!$F:$F,'06. BC BH THEO CUSTOMER-USD'!$H123,'01. KE30'!$A:$A,'06. BC BH THEO CUSTOMER-USD'!DY$4),"-")</f>
        <v>0</v>
      </c>
      <c r="DZ123" s="114">
        <f>IFERROR(SUMIFS('01. KE30'!$X:$X,'01. KE30'!$C:$C,'06. BC BH THEO CUSTOMER-USD'!$D123,'01. KE30'!$F:$F,'06. BC BH THEO CUSTOMER-USD'!$H123,'01. KE30'!$A:$A,'06. BC BH THEO CUSTOMER-USD'!DZ$4)-SUMIFS('01. KE30'!$AA:$AA,'01. KE30'!$C:$C,'06. BC BH THEO CUSTOMER-USD'!$D123,'01. KE30'!$F:$F,'06. BC BH THEO CUSTOMER-USD'!$H123,'01. KE30'!$A:$A,'06. BC BH THEO CUSTOMER-USD'!DZ$4),"-")</f>
        <v>-1761.3892361111107</v>
      </c>
      <c r="EA123" s="114">
        <f>IFERROR(SUMIFS('01. KE30'!$X:$X,'01. KE30'!$C:$C,'06. BC BH THEO CUSTOMER-USD'!$D123,'01. KE30'!$F:$F,'06. BC BH THEO CUSTOMER-USD'!$H123,'01. KE30'!$A:$A,'06. BC BH THEO CUSTOMER-USD'!EA$4)-SUMIFS('01. KE30'!$AA:$AA,'01. KE30'!$C:$C,'06. BC BH THEO CUSTOMER-USD'!$D123,'01. KE30'!$F:$F,'06. BC BH THEO CUSTOMER-USD'!$H123,'01. KE30'!$A:$A,'06. BC BH THEO CUSTOMER-USD'!EA$4),"-")</f>
        <v>0</v>
      </c>
      <c r="EB123" s="114">
        <f>IFERROR(SUMIFS('01. KE30'!$X:$X,'01. KE30'!$C:$C,'06. BC BH THEO CUSTOMER-USD'!$D123,'01. KE30'!$F:$F,'06. BC BH THEO CUSTOMER-USD'!$H123,'01. KE30'!$A:$A,'06. BC BH THEO CUSTOMER-USD'!EB$4)-SUMIFS('01. KE30'!$AA:$AA,'01. KE30'!$C:$C,'06. BC BH THEO CUSTOMER-USD'!$D123,'01. KE30'!$F:$F,'06. BC BH THEO CUSTOMER-USD'!$H123,'01. KE30'!$A:$A,'06. BC BH THEO CUSTOMER-USD'!EB$4),"-")</f>
        <v>0</v>
      </c>
      <c r="EC123" s="114">
        <f>IFERROR(SUMIFS('01. KE30'!$X:$X,'01. KE30'!$C:$C,'06. BC BH THEO CUSTOMER-USD'!$D123,'01. KE30'!$F:$F,'06. BC BH THEO CUSTOMER-USD'!$H123,'01. KE30'!$A:$A,'06. BC BH THEO CUSTOMER-USD'!EC$4)-SUMIFS('01. KE30'!$AA:$AA,'01. KE30'!$C:$C,'06. BC BH THEO CUSTOMER-USD'!$D123,'01. KE30'!$F:$F,'06. BC BH THEO CUSTOMER-USD'!$H123,'01. KE30'!$A:$A,'06. BC BH THEO CUSTOMER-USD'!EC$4),"-")</f>
        <v>0</v>
      </c>
      <c r="ED123" s="114">
        <f>IFERROR(SUMIFS('01. KE30'!$X:$X,'01. KE30'!$C:$C,'06. BC BH THEO CUSTOMER-USD'!$D123,'01. KE30'!$F:$F,'06. BC BH THEO CUSTOMER-USD'!$H123,'01. KE30'!$A:$A,'06. BC BH THEO CUSTOMER-USD'!ED$4)-SUMIFS('01. KE30'!$AA:$AA,'01. KE30'!$C:$C,'06. BC BH THEO CUSTOMER-USD'!$D123,'01. KE30'!$F:$F,'06. BC BH THEO CUSTOMER-USD'!$H123,'01. KE30'!$A:$A,'06. BC BH THEO CUSTOMER-USD'!ED$4),"-")</f>
        <v>0</v>
      </c>
      <c r="EE123" s="114">
        <f>IFERROR(SUMIFS('01. KE30'!$X:$X,'01. KE30'!$C:$C,'06. BC BH THEO CUSTOMER-USD'!$D123,'01. KE30'!$F:$F,'06. BC BH THEO CUSTOMER-USD'!$H123,'01. KE30'!$A:$A,'06. BC BH THEO CUSTOMER-USD'!EE$4)-SUMIFS('01. KE30'!$AA:$AA,'01. KE30'!$C:$C,'06. BC BH THEO CUSTOMER-USD'!$D123,'01. KE30'!$F:$F,'06. BC BH THEO CUSTOMER-USD'!$H123,'01. KE30'!$A:$A,'06. BC BH THEO CUSTOMER-USD'!EE$4),"-")</f>
        <v>0</v>
      </c>
      <c r="EF123" s="114">
        <f>IFERROR(SUMIFS('01. KE30'!$X:$X,'01. KE30'!$C:$C,'06. BC BH THEO CUSTOMER-USD'!$D123,'01. KE30'!$F:$F,'06. BC BH THEO CUSTOMER-USD'!$H123,'01. KE30'!$A:$A,'06. BC BH THEO CUSTOMER-USD'!EF$4)-SUMIFS('01. KE30'!$AA:$AA,'01. KE30'!$C:$C,'06. BC BH THEO CUSTOMER-USD'!$D123,'01. KE30'!$F:$F,'06. BC BH THEO CUSTOMER-USD'!$H123,'01. KE30'!$A:$A,'06. BC BH THEO CUSTOMER-USD'!EF$4),"-")</f>
        <v>0</v>
      </c>
      <c r="EH123" s="571">
        <f t="shared" si="531"/>
        <v>-0.33452282301597641</v>
      </c>
      <c r="EI123" s="572" t="str">
        <f t="shared" si="532"/>
        <v>-</v>
      </c>
      <c r="EJ123" s="572">
        <f t="shared" si="533"/>
        <v>-0.19188149452641587</v>
      </c>
      <c r="EK123" s="572" t="str">
        <f t="shared" si="534"/>
        <v>-</v>
      </c>
      <c r="EL123" s="572" t="str">
        <f t="shared" si="535"/>
        <v>-</v>
      </c>
      <c r="EM123" s="572" t="str">
        <f t="shared" si="536"/>
        <v>-</v>
      </c>
      <c r="EN123" s="572">
        <f t="shared" si="537"/>
        <v>-0.50308770247933876</v>
      </c>
      <c r="EO123" s="572" t="str">
        <f t="shared" si="538"/>
        <v>-</v>
      </c>
      <c r="EP123" s="572" t="str">
        <f t="shared" si="539"/>
        <v>-</v>
      </c>
      <c r="EQ123" s="572" t="str">
        <f t="shared" si="540"/>
        <v>-</v>
      </c>
      <c r="ER123" s="572" t="str">
        <f t="shared" si="541"/>
        <v>-</v>
      </c>
      <c r="ES123" s="572" t="str">
        <f t="shared" si="542"/>
        <v>-</v>
      </c>
      <c r="ET123" s="572" t="str">
        <f t="shared" si="543"/>
        <v>-</v>
      </c>
    </row>
    <row r="124" spans="1:150" ht="15.5" hidden="1" outlineLevel="1" x14ac:dyDescent="0.35">
      <c r="A124" s="27">
        <f>A121+1</f>
        <v>6</v>
      </c>
      <c r="B124" s="27" t="s">
        <v>95</v>
      </c>
      <c r="C124" s="442" t="s">
        <v>489</v>
      </c>
      <c r="D124" s="9" t="s">
        <v>1005</v>
      </c>
      <c r="E124" s="12" t="s">
        <v>1006</v>
      </c>
      <c r="F124" s="12" t="s">
        <v>245</v>
      </c>
      <c r="G124" s="12" t="str">
        <f>_xlfn.XLOOKUP(F124,'Quy đổi'!$G$5:$G$32,'Quy đổi'!$H$5:$H$32,0)</f>
        <v>Nội địa</v>
      </c>
      <c r="H124" s="76" t="s">
        <v>87</v>
      </c>
      <c r="I124" s="7" t="s">
        <v>86</v>
      </c>
      <c r="J124" s="13" t="s">
        <v>22</v>
      </c>
      <c r="K124" s="11"/>
      <c r="L124" s="92">
        <f>IFERROR(AVERAGE(M124:X124),"-")</f>
        <v>679.00178253119429</v>
      </c>
      <c r="M124" s="106" t="str">
        <f>IFERROR(SUMIFS('01. KE30'!$K:$K,'01. KE30'!$C:$C,'06. BC BH THEO CUSTOMER-USD'!$D124,'01. KE30'!$F:$F,'06. BC BH THEO CUSTOMER-USD'!$H124,'01. KE30'!$A:$A,'06. BC BH THEO CUSTOMER-USD'!M$4)/'06. BC BH THEO CUSTOMER-USD'!CS124/'02. Tỷ giá'!B$5,"-")</f>
        <v>-</v>
      </c>
      <c r="N124" s="106" t="str">
        <f>IFERROR(SUMIFS('01. KE30'!$K:$K,'01. KE30'!$C:$C,'06. BC BH THEO CUSTOMER-USD'!$D124,'01. KE30'!$F:$F,'06. BC BH THEO CUSTOMER-USD'!$H124,'01. KE30'!$A:$A,'06. BC BH THEO CUSTOMER-USD'!N$4)/'06. BC BH THEO CUSTOMER-USD'!CT124/'02. Tỷ giá'!C$5,"-")</f>
        <v>-</v>
      </c>
      <c r="O124" s="106" t="str">
        <f>IFERROR(SUMIFS('01. KE30'!$K:$K,'01. KE30'!$C:$C,'06. BC BH THEO CUSTOMER-USD'!$D124,'01. KE30'!$F:$F,'06. BC BH THEO CUSTOMER-USD'!$H124,'01. KE30'!$A:$A,'06. BC BH THEO CUSTOMER-USD'!O$4)/'06. BC BH THEO CUSTOMER-USD'!CU124/'02. Tỷ giá'!D$5,"-")</f>
        <v>-</v>
      </c>
      <c r="P124" s="106" t="str">
        <f>IFERROR(SUMIFS('01. KE30'!$K:$K,'01. KE30'!$C:$C,'06. BC BH THEO CUSTOMER-USD'!$D124,'01. KE30'!$F:$F,'06. BC BH THEO CUSTOMER-USD'!$H124,'01. KE30'!$A:$A,'06. BC BH THEO CUSTOMER-USD'!P$4)/'06. BC BH THEO CUSTOMER-USD'!CV124/'02. Tỷ giá'!E$5,"-")</f>
        <v>-</v>
      </c>
      <c r="Q124" s="106" t="str">
        <f>IFERROR(SUMIFS('01. KE30'!$K:$K,'01. KE30'!$C:$C,'06. BC BH THEO CUSTOMER-USD'!$D124,'01. KE30'!$F:$F,'06. BC BH THEO CUSTOMER-USD'!$H124,'01. KE30'!$A:$A,'06. BC BH THEO CUSTOMER-USD'!Q$4)/'06. BC BH THEO CUSTOMER-USD'!CW124/'02. Tỷ giá'!F$5,"-")</f>
        <v>-</v>
      </c>
      <c r="R124" s="106" t="str">
        <f>IFERROR(SUMIFS('01. KE30'!$K:$K,'01. KE30'!$C:$C,'06. BC BH THEO CUSTOMER-USD'!$D124,'01. KE30'!$F:$F,'06. BC BH THEO CUSTOMER-USD'!$H124,'01. KE30'!$A:$A,'06. BC BH THEO CUSTOMER-USD'!R$4)/'06. BC BH THEO CUSTOMER-USD'!CX124/'02. Tỷ giá'!G$5,"-")</f>
        <v>-</v>
      </c>
      <c r="S124" s="106" t="str">
        <f>IFERROR(SUMIFS('01. KE30'!$K:$K,'01. KE30'!$C:$C,'06. BC BH THEO CUSTOMER-USD'!$D124,'01. KE30'!$F:$F,'06. BC BH THEO CUSTOMER-USD'!$H124,'01. KE30'!$A:$A,'06. BC BH THEO CUSTOMER-USD'!S$4)/'06. BC BH THEO CUSTOMER-USD'!CY124/'02. Tỷ giá'!H$5,"-")</f>
        <v>-</v>
      </c>
      <c r="T124" s="106">
        <f>IFERROR(SUMIFS('01. KE30'!$K:$K,'01. KE30'!$C:$C,'06. BC BH THEO CUSTOMER-USD'!$D124,'01. KE30'!$F:$F,'06. BC BH THEO CUSTOMER-USD'!$H124,'01. KE30'!$A:$A,'06. BC BH THEO CUSTOMER-USD'!T$4)/'06. BC BH THEO CUSTOMER-USD'!CZ124/'02. Tỷ giá'!I$5,"-")</f>
        <v>679.90832696715051</v>
      </c>
      <c r="U124" s="106">
        <f>IFERROR(SUMIFS('01. KE30'!$K:$K,'01. KE30'!$C:$C,'06. BC BH THEO CUSTOMER-USD'!$D124,'01. KE30'!$F:$F,'06. BC BH THEO CUSTOMER-USD'!$H124,'01. KE30'!$A:$A,'06. BC BH THEO CUSTOMER-USD'!U$4)/'06. BC BH THEO CUSTOMER-USD'!DA124/'02. Tỷ giá'!J$5,"-")</f>
        <v>678.09523809523807</v>
      </c>
      <c r="V124" s="106" t="str">
        <f>IFERROR(SUMIFS('01. KE30'!$K:$K,'01. KE30'!$C:$C,'06. BC BH THEO CUSTOMER-USD'!$D124,'01. KE30'!$F:$F,'06. BC BH THEO CUSTOMER-USD'!$H124,'01. KE30'!$A:$A,'06. BC BH THEO CUSTOMER-USD'!V$4)/'06. BC BH THEO CUSTOMER-USD'!DB124/'02. Tỷ giá'!K$5,"-")</f>
        <v>-</v>
      </c>
      <c r="W124" s="106" t="str">
        <f>IFERROR(SUMIFS('01. KE30'!$K:$K,'01. KE30'!$C:$C,'06. BC BH THEO CUSTOMER-USD'!$D124,'01. KE30'!$F:$F,'06. BC BH THEO CUSTOMER-USD'!$H124,'01. KE30'!$A:$A,'06. BC BH THEO CUSTOMER-USD'!W$4)/'06. BC BH THEO CUSTOMER-USD'!DC124/'02. Tỷ giá'!L$5,"-")</f>
        <v>-</v>
      </c>
      <c r="X124" s="106" t="str">
        <f>IFERROR(SUMIFS('01. KE30'!$K:$K,'01. KE30'!$C:$C,'06. BC BH THEO CUSTOMER-USD'!$D124,'01. KE30'!$F:$F,'06. BC BH THEO CUSTOMER-USD'!$H124,'01. KE30'!$A:$A,'06. BC BH THEO CUSTOMER-USD'!X$4)/'06. BC BH THEO CUSTOMER-USD'!DD124/'02. Tỷ giá'!M$5,"-")</f>
        <v>-</v>
      </c>
      <c r="Z124" s="92">
        <f>IFERROR(AVERAGE(AA124:AL124),"-")</f>
        <v>679.00178253119429</v>
      </c>
      <c r="AA124" s="147" t="str">
        <f>IFERROR(SUMIFS('01. KE30'!$O:$O,'01. KE30'!$C:$C,'06. BC BH THEO CUSTOMER-USD'!$D124,'01. KE30'!$F:$F,'06. BC BH THEO CUSTOMER-USD'!$H124,'01. KE30'!$A:$A,'06. BC BH THEO CUSTOMER-USD'!M$4)/'06. BC BH THEO CUSTOMER-USD'!CS124/'02. Tỷ giá'!B$5,"-")</f>
        <v>-</v>
      </c>
      <c r="AB124" s="147" t="str">
        <f>IFERROR(SUMIFS('01. KE30'!$O:$O,'01. KE30'!$C:$C,'06. BC BH THEO CUSTOMER-USD'!$D124,'01. KE30'!$F:$F,'06. BC BH THEO CUSTOMER-USD'!$H124,'01. KE30'!$A:$A,'06. BC BH THEO CUSTOMER-USD'!N$4)/'06. BC BH THEO CUSTOMER-USD'!CT124/'02. Tỷ giá'!C$5,"-")</f>
        <v>-</v>
      </c>
      <c r="AC124" s="147" t="str">
        <f>IFERROR(SUMIFS('01. KE30'!$O:$O,'01. KE30'!$C:$C,'06. BC BH THEO CUSTOMER-USD'!$D124,'01. KE30'!$F:$F,'06. BC BH THEO CUSTOMER-USD'!$H124,'01. KE30'!$A:$A,'06. BC BH THEO CUSTOMER-USD'!O$4)/'06. BC BH THEO CUSTOMER-USD'!CU124/'02. Tỷ giá'!D$5,"-")</f>
        <v>-</v>
      </c>
      <c r="AD124" s="147" t="str">
        <f>IFERROR(SUMIFS('01. KE30'!$O:$O,'01. KE30'!$C:$C,'06. BC BH THEO CUSTOMER-USD'!$D124,'01. KE30'!$F:$F,'06. BC BH THEO CUSTOMER-USD'!$H124,'01. KE30'!$A:$A,'06. BC BH THEO CUSTOMER-USD'!P$4)/'06. BC BH THEO CUSTOMER-USD'!CV124/'02. Tỷ giá'!E$5,"-")</f>
        <v>-</v>
      </c>
      <c r="AE124" s="147" t="str">
        <f>IFERROR(SUMIFS('01. KE30'!$O:$O,'01. KE30'!$C:$C,'06. BC BH THEO CUSTOMER-USD'!$D124,'01. KE30'!$F:$F,'06. BC BH THEO CUSTOMER-USD'!$H124,'01. KE30'!$A:$A,'06. BC BH THEO CUSTOMER-USD'!Q$4)/'06. BC BH THEO CUSTOMER-USD'!CW124/'02. Tỷ giá'!F$5,"-")</f>
        <v>-</v>
      </c>
      <c r="AF124" s="147" t="str">
        <f>IFERROR(SUMIFS('01. KE30'!$O:$O,'01. KE30'!$C:$C,'06. BC BH THEO CUSTOMER-USD'!$D124,'01. KE30'!$F:$F,'06. BC BH THEO CUSTOMER-USD'!$H124,'01. KE30'!$A:$A,'06. BC BH THEO CUSTOMER-USD'!R$4)/'06. BC BH THEO CUSTOMER-USD'!CX124/'02. Tỷ giá'!G$5,"-")</f>
        <v>-</v>
      </c>
      <c r="AG124" s="147" t="str">
        <f>IFERROR(SUMIFS('01. KE30'!$O:$O,'01. KE30'!$C:$C,'06. BC BH THEO CUSTOMER-USD'!$D124,'01. KE30'!$F:$F,'06. BC BH THEO CUSTOMER-USD'!$H124,'01. KE30'!$A:$A,'06. BC BH THEO CUSTOMER-USD'!S$4)/'06. BC BH THEO CUSTOMER-USD'!CY124/'02. Tỷ giá'!H$5,"-")</f>
        <v>-</v>
      </c>
      <c r="AH124" s="147">
        <f>IFERROR(SUMIFS('01. KE30'!$O:$O,'01. KE30'!$C:$C,'06. BC BH THEO CUSTOMER-USD'!$D124,'01. KE30'!$F:$F,'06. BC BH THEO CUSTOMER-USD'!$H124,'01. KE30'!$A:$A,'06. BC BH THEO CUSTOMER-USD'!T$4)/'06. BC BH THEO CUSTOMER-USD'!CZ124/'02. Tỷ giá'!I$5,"-")</f>
        <v>679.90832696715051</v>
      </c>
      <c r="AI124" s="147">
        <f>IFERROR(SUMIFS('01. KE30'!$O:$O,'01. KE30'!$C:$C,'06. BC BH THEO CUSTOMER-USD'!$D124,'01. KE30'!$F:$F,'06. BC BH THEO CUSTOMER-USD'!$H124,'01. KE30'!$A:$A,'06. BC BH THEO CUSTOMER-USD'!U$4)/'06. BC BH THEO CUSTOMER-USD'!DA124/'02. Tỷ giá'!J$5,"-")</f>
        <v>678.09523809523807</v>
      </c>
      <c r="AJ124" s="147" t="str">
        <f>IFERROR(SUMIFS('01. KE30'!$O:$O,'01. KE30'!$C:$C,'06. BC BH THEO CUSTOMER-USD'!$D124,'01. KE30'!$F:$F,'06. BC BH THEO CUSTOMER-USD'!$H124,'01. KE30'!$A:$A,'06. BC BH THEO CUSTOMER-USD'!V$4)/'06. BC BH THEO CUSTOMER-USD'!DB124/'02. Tỷ giá'!K$5,"-")</f>
        <v>-</v>
      </c>
      <c r="AK124" s="147" t="str">
        <f>IFERROR(SUMIFS('01. KE30'!$O:$O,'01. KE30'!$C:$C,'06. BC BH THEO CUSTOMER-USD'!$D124,'01. KE30'!$F:$F,'06. BC BH THEO CUSTOMER-USD'!$H124,'01. KE30'!$A:$A,'06. BC BH THEO CUSTOMER-USD'!W$4)/'06. BC BH THEO CUSTOMER-USD'!DC124/'02. Tỷ giá'!L$5,"-")</f>
        <v>-</v>
      </c>
      <c r="AL124" s="147" t="str">
        <f>IFERROR(SUMIFS('01. KE30'!$O:$O,'01. KE30'!$C:$C,'06. BC BH THEO CUSTOMER-USD'!$D124,'01. KE30'!$F:$F,'06. BC BH THEO CUSTOMER-USD'!$H124,'01. KE30'!$A:$A,'06. BC BH THEO CUSTOMER-USD'!X$4)/'06. BC BH THEO CUSTOMER-USD'!DD124/'02. Tỷ giá'!M$5,"-")</f>
        <v>-</v>
      </c>
      <c r="AN124" s="55">
        <f>IFERROR(AVERAGE(AO124:AZ124),"-")</f>
        <v>862.22222222222217</v>
      </c>
      <c r="AO124" s="4">
        <v>950</v>
      </c>
      <c r="AP124" s="4">
        <v>950</v>
      </c>
      <c r="AQ124" s="4">
        <v>950</v>
      </c>
      <c r="AR124" s="4">
        <v>950</v>
      </c>
      <c r="AS124" s="4">
        <v>800</v>
      </c>
      <c r="AT124" s="4">
        <v>800</v>
      </c>
      <c r="AU124" s="4">
        <v>800</v>
      </c>
      <c r="AV124" s="4">
        <f t="shared" si="1165"/>
        <v>780</v>
      </c>
      <c r="AW124" s="4">
        <v>780</v>
      </c>
      <c r="AX124" s="4"/>
      <c r="AY124" s="4"/>
      <c r="AZ124" s="4"/>
      <c r="BB124" s="95">
        <f t="shared" si="637"/>
        <v>-183.22043969102788</v>
      </c>
      <c r="BC124" s="95" t="str">
        <f t="shared" si="638"/>
        <v>-</v>
      </c>
      <c r="BD124" s="95" t="str">
        <f t="shared" si="1147"/>
        <v>-</v>
      </c>
      <c r="BE124" s="95" t="str">
        <f t="shared" si="1147"/>
        <v>-</v>
      </c>
      <c r="BF124" s="95" t="str">
        <f t="shared" si="1147"/>
        <v>-</v>
      </c>
      <c r="BG124" s="95" t="str">
        <f t="shared" si="1147"/>
        <v>-</v>
      </c>
      <c r="BH124" s="95" t="str">
        <f t="shared" si="1147"/>
        <v>-</v>
      </c>
      <c r="BI124" s="95" t="str">
        <f t="shared" si="1147"/>
        <v>-</v>
      </c>
      <c r="BJ124" s="95">
        <f t="shared" si="1147"/>
        <v>-100.09167303284949</v>
      </c>
      <c r="BK124" s="95">
        <f t="shared" si="1147"/>
        <v>-101.90476190476193</v>
      </c>
      <c r="BL124" s="95" t="str">
        <f t="shared" si="1147"/>
        <v>-</v>
      </c>
      <c r="BM124" s="95" t="str">
        <f t="shared" si="1147"/>
        <v>-</v>
      </c>
      <c r="BN124" s="95" t="str">
        <f t="shared" si="1147"/>
        <v>-</v>
      </c>
      <c r="BP124" s="143">
        <f t="shared" si="639"/>
        <v>-0.21249793263134678</v>
      </c>
      <c r="BQ124" s="143" t="str">
        <f t="shared" si="517"/>
        <v>-</v>
      </c>
      <c r="BR124" s="143" t="str">
        <f t="shared" si="518"/>
        <v>-</v>
      </c>
      <c r="BS124" s="143" t="str">
        <f t="shared" si="519"/>
        <v>-</v>
      </c>
      <c r="BT124" s="143" t="str">
        <f t="shared" si="520"/>
        <v>-</v>
      </c>
      <c r="BU124" s="143" t="str">
        <f t="shared" si="521"/>
        <v>-</v>
      </c>
      <c r="BV124" s="143" t="str">
        <f t="shared" si="522"/>
        <v>-</v>
      </c>
      <c r="BW124" s="143" t="str">
        <f t="shared" si="523"/>
        <v>-</v>
      </c>
      <c r="BX124" s="143">
        <f t="shared" si="524"/>
        <v>-0.12832265773442242</v>
      </c>
      <c r="BY124" s="143">
        <f t="shared" si="525"/>
        <v>-0.13064713064713068</v>
      </c>
      <c r="BZ124" s="143" t="str">
        <f t="shared" si="526"/>
        <v>-</v>
      </c>
      <c r="CA124" s="143" t="str">
        <f t="shared" si="527"/>
        <v>-</v>
      </c>
      <c r="CB124" s="143" t="str">
        <f t="shared" si="528"/>
        <v>-</v>
      </c>
      <c r="CD124" s="112">
        <f>IFERROR(AVERAGE(CE124:CP124),"-")</f>
        <v>1050.1407481093447</v>
      </c>
      <c r="CE124" s="95" t="str">
        <f>IFERROR(SUMIFS('01. KE30'!$R:$R,'01. KE30'!$C:$C,'06. BC BH THEO CUSTOMER-USD'!$D124,'01. KE30'!$F:$F,'06. BC BH THEO CUSTOMER-USD'!$H124,'01. KE30'!$A:$A,'06. BC BH THEO CUSTOMER-USD'!CE$4)/CS124/'02. Tỷ giá'!B$5," -")</f>
        <v xml:space="preserve"> -</v>
      </c>
      <c r="CF124" s="95" t="str">
        <f>IFERROR(SUMIFS('01. KE30'!$R:$R,'01. KE30'!$C:$C,'06. BC BH THEO CUSTOMER-USD'!$D124,'01. KE30'!$F:$F,'06. BC BH THEO CUSTOMER-USD'!$H124,'01. KE30'!$A:$A,'06. BC BH THEO CUSTOMER-USD'!CF$4)/CT124/'02. Tỷ giá'!C$5," -")</f>
        <v xml:space="preserve"> -</v>
      </c>
      <c r="CG124" s="95" t="str">
        <f>IFERROR(SUMIFS('01. KE30'!$R:$R,'01. KE30'!$C:$C,'06. BC BH THEO CUSTOMER-USD'!$D124,'01. KE30'!$F:$F,'06. BC BH THEO CUSTOMER-USD'!$H124,'01. KE30'!$A:$A,'06. BC BH THEO CUSTOMER-USD'!CG$4)/CU124/'02. Tỷ giá'!D$5," -")</f>
        <v xml:space="preserve"> -</v>
      </c>
      <c r="CH124" s="95" t="str">
        <f>IFERROR(SUMIFS('01. KE30'!$R:$R,'01. KE30'!$C:$C,'06. BC BH THEO CUSTOMER-USD'!$D124,'01. KE30'!$F:$F,'06. BC BH THEO CUSTOMER-USD'!$H124,'01. KE30'!$A:$A,'06. BC BH THEO CUSTOMER-USD'!CH$4)/CV124/'02. Tỷ giá'!E$5," -")</f>
        <v xml:space="preserve"> -</v>
      </c>
      <c r="CI124" s="95" t="str">
        <f>IFERROR(SUMIFS('01. KE30'!$R:$R,'01. KE30'!$C:$C,'06. BC BH THEO CUSTOMER-USD'!$D124,'01. KE30'!$F:$F,'06. BC BH THEO CUSTOMER-USD'!$H124,'01. KE30'!$A:$A,'06. BC BH THEO CUSTOMER-USD'!CI$4)/CW124/'02. Tỷ giá'!F$5," -")</f>
        <v xml:space="preserve"> -</v>
      </c>
      <c r="CJ124" s="95" t="str">
        <f>IFERROR(SUMIFS('01. KE30'!$R:$R,'01. KE30'!$C:$C,'06. BC BH THEO CUSTOMER-USD'!$D124,'01. KE30'!$F:$F,'06. BC BH THEO CUSTOMER-USD'!$H124,'01. KE30'!$A:$A,'06. BC BH THEO CUSTOMER-USD'!CJ$4)/CX124/'02. Tỷ giá'!G$5," -")</f>
        <v xml:space="preserve"> -</v>
      </c>
      <c r="CK124" s="95" t="str">
        <f>IFERROR(SUMIFS('01. KE30'!$R:$R,'01. KE30'!$C:$C,'06. BC BH THEO CUSTOMER-USD'!$D124,'01. KE30'!$F:$F,'06. BC BH THEO CUSTOMER-USD'!$H124,'01. KE30'!$A:$A,'06. BC BH THEO CUSTOMER-USD'!CK$4)/CY124/'02. Tỷ giá'!H$5," -")</f>
        <v xml:space="preserve"> -</v>
      </c>
      <c r="CL124" s="95">
        <f>IFERROR(SUMIFS('01. KE30'!$R:$R,'01. KE30'!$C:$C,'06. BC BH THEO CUSTOMER-USD'!$D124,'01. KE30'!$F:$F,'06. BC BH THEO CUSTOMER-USD'!$H124,'01. KE30'!$A:$A,'06. BC BH THEO CUSTOMER-USD'!CL$4)/CZ124/'02. Tỷ giá'!I$5," -")</f>
        <v>1074.842828040307</v>
      </c>
      <c r="CM124" s="95">
        <f>IFERROR(SUMIFS('01. KE30'!$R:$R,'01. KE30'!$C:$C,'06. BC BH THEO CUSTOMER-USD'!$D124,'01. KE30'!$F:$F,'06. BC BH THEO CUSTOMER-USD'!$H124,'01. KE30'!$A:$A,'06. BC BH THEO CUSTOMER-USD'!CM$4)/DA124/'02. Tỷ giá'!J$5," -")</f>
        <v>1025.4386681783826</v>
      </c>
      <c r="CN124" s="95" t="str">
        <f>IFERROR(SUMIFS('01. KE30'!$R:$R,'01. KE30'!$C:$C,'06. BC BH THEO CUSTOMER-USD'!$D124,'01. KE30'!$F:$F,'06. BC BH THEO CUSTOMER-USD'!$H124,'01. KE30'!$A:$A,'06. BC BH THEO CUSTOMER-USD'!CN$4)/DB124/'02. Tỷ giá'!K$5," -")</f>
        <v xml:space="preserve"> -</v>
      </c>
      <c r="CO124" s="95" t="str">
        <f>IFERROR(SUMIFS('01. KE30'!$R:$R,'01. KE30'!$C:$C,'06. BC BH THEO CUSTOMER-USD'!$D124,'01. KE30'!$F:$F,'06. BC BH THEO CUSTOMER-USD'!$H124,'01. KE30'!$A:$A,'06. BC BH THEO CUSTOMER-USD'!CO$4)/DC124/'02. Tỷ giá'!L$5," -")</f>
        <v xml:space="preserve"> -</v>
      </c>
      <c r="CP124" s="95" t="str">
        <f>IFERROR(SUMIFS('01. KE30'!$R:$R,'01. KE30'!$C:$C,'06. BC BH THEO CUSTOMER-USD'!$D124,'01. KE30'!$F:$F,'06. BC BH THEO CUSTOMER-USD'!$H124,'01. KE30'!$A:$A,'06. BC BH THEO CUSTOMER-USD'!CP$4)/DD124/'02. Tỷ giá'!M$5," -")</f>
        <v xml:space="preserve"> -</v>
      </c>
      <c r="CR124" s="112">
        <f>SUM(CS124:DD124)</f>
        <v>35.700000000000003</v>
      </c>
      <c r="CS124" s="114">
        <f>SUMIFS('01. KE30'!$I:$I,'01. KE30'!$C:$C,'06. BC BH THEO CUSTOMER-USD'!$D124,'01. KE30'!$F:$F,'06. BC BH THEO CUSTOMER-USD'!$H124,'01. KE30'!$A:$A,'06. BC BH THEO CUSTOMER-USD'!CS$4)/1000</f>
        <v>0</v>
      </c>
      <c r="CT124" s="114">
        <f>SUMIFS('01. KE30'!$I:$I,'01. KE30'!$C:$C,'06. BC BH THEO CUSTOMER-USD'!$D124,'01. KE30'!$F:$F,'06. BC BH THEO CUSTOMER-USD'!$H124,'01. KE30'!$A:$A,'06. BC BH THEO CUSTOMER-USD'!CT$4)/1000</f>
        <v>0</v>
      </c>
      <c r="CU124" s="114">
        <f>SUMIFS('01. KE30'!$I:$I,'01. KE30'!$C:$C,'06. BC BH THEO CUSTOMER-USD'!$D124,'01. KE30'!$F:$F,'06. BC BH THEO CUSTOMER-USD'!$H124,'01. KE30'!$A:$A,'06. BC BH THEO CUSTOMER-USD'!CU$4)/1000</f>
        <v>0</v>
      </c>
      <c r="CV124" s="114">
        <f>SUMIFS('01. KE30'!$I:$I,'01. KE30'!$C:$C,'06. BC BH THEO CUSTOMER-USD'!$D124,'01. KE30'!$F:$F,'06. BC BH THEO CUSTOMER-USD'!$H124,'01. KE30'!$A:$A,'06. BC BH THEO CUSTOMER-USD'!CV$4)/1000</f>
        <v>0</v>
      </c>
      <c r="CW124" s="114">
        <f>SUMIFS('01. KE30'!$I:$I,'01. KE30'!$C:$C,'06. BC BH THEO CUSTOMER-USD'!$D124,'01. KE30'!$F:$F,'06. BC BH THEO CUSTOMER-USD'!$H124,'01. KE30'!$A:$A,'06. BC BH THEO CUSTOMER-USD'!CW$4)/1000</f>
        <v>0</v>
      </c>
      <c r="CX124" s="114">
        <f>SUMIFS('01. KE30'!$I:$I,'01. KE30'!$C:$C,'06. BC BH THEO CUSTOMER-USD'!$D124,'01. KE30'!$F:$F,'06. BC BH THEO CUSTOMER-USD'!$H124,'01. KE30'!$A:$A,'06. BC BH THEO CUSTOMER-USD'!CX$4)/1000</f>
        <v>0</v>
      </c>
      <c r="CY124" s="114">
        <f>SUMIFS('01. KE30'!$I:$I,'01. KE30'!$C:$C,'06. BC BH THEO CUSTOMER-USD'!$D124,'01. KE30'!$F:$F,'06. BC BH THEO CUSTOMER-USD'!$H124,'01. KE30'!$A:$A,'06. BC BH THEO CUSTOMER-USD'!CY$4)/1000</f>
        <v>0</v>
      </c>
      <c r="CZ124" s="114">
        <f>SUMIFS('01. KE30'!$I:$I,'01. KE30'!$C:$C,'06. BC BH THEO CUSTOMER-USD'!$D124,'01. KE30'!$F:$F,'06. BC BH THEO CUSTOMER-USD'!$H124,'01. KE30'!$A:$A,'06. BC BH THEO CUSTOMER-USD'!CZ$4)/1000</f>
        <v>10.5</v>
      </c>
      <c r="DA124" s="114">
        <f>SUMIFS('01. KE30'!$I:$I,'01. KE30'!$C:$C,'06. BC BH THEO CUSTOMER-USD'!$D124,'01. KE30'!$F:$F,'06. BC BH THEO CUSTOMER-USD'!$H124,'01. KE30'!$A:$A,'06. BC BH THEO CUSTOMER-USD'!DA$4)/1000</f>
        <v>25.2</v>
      </c>
      <c r="DB124" s="114">
        <f>SUMIFS('01. KE30'!$I:$I,'01. KE30'!$C:$C,'06. BC BH THEO CUSTOMER-USD'!$D124,'01. KE30'!$F:$F,'06. BC BH THEO CUSTOMER-USD'!$H124,'01. KE30'!$A:$A,'06. BC BH THEO CUSTOMER-USD'!DB$4)/1000</f>
        <v>0</v>
      </c>
      <c r="DC124" s="114">
        <f>SUMIFS('01. KE30'!$I:$I,'01. KE30'!$C:$C,'06. BC BH THEO CUSTOMER-USD'!$D124,'01. KE30'!$F:$F,'06. BC BH THEO CUSTOMER-USD'!$H124,'01. KE30'!$A:$A,'06. BC BH THEO CUSTOMER-USD'!DC$4)/1000</f>
        <v>0</v>
      </c>
      <c r="DD124" s="114">
        <f>SUMIFS('01. KE30'!$I:$I,'01. KE30'!$C:$C,'06. BC BH THEO CUSTOMER-USD'!$D124,'01. KE30'!$F:$F,'06. BC BH THEO CUSTOMER-USD'!$H124,'01. KE30'!$A:$A,'06. BC BH THEO CUSTOMER-USD'!DD$4)/1000</f>
        <v>0</v>
      </c>
      <c r="DF124" s="112">
        <f>SUM(DG124:DR124)</f>
        <v>24227.037433155081</v>
      </c>
      <c r="DG124" s="54" t="str">
        <f t="shared" si="1151"/>
        <v>-</v>
      </c>
      <c r="DH124" s="54" t="str">
        <f t="shared" si="1152"/>
        <v>-</v>
      </c>
      <c r="DI124" s="54" t="str">
        <f t="shared" si="1153"/>
        <v>-</v>
      </c>
      <c r="DJ124" s="54" t="str">
        <f t="shared" si="1154"/>
        <v>-</v>
      </c>
      <c r="DK124" s="54" t="str">
        <f t="shared" si="1155"/>
        <v>-</v>
      </c>
      <c r="DL124" s="54" t="str">
        <f t="shared" si="1156"/>
        <v>-</v>
      </c>
      <c r="DM124" s="54" t="str">
        <f t="shared" si="1157"/>
        <v>-</v>
      </c>
      <c r="DN124" s="54">
        <f t="shared" si="1158"/>
        <v>7139.0374331550802</v>
      </c>
      <c r="DO124" s="54">
        <f t="shared" si="1159"/>
        <v>17088</v>
      </c>
      <c r="DP124" s="54" t="str">
        <f t="shared" si="1160"/>
        <v>-</v>
      </c>
      <c r="DQ124" s="54" t="str">
        <f t="shared" si="1161"/>
        <v>-</v>
      </c>
      <c r="DR124" s="54" t="str">
        <f t="shared" si="1162"/>
        <v>-</v>
      </c>
      <c r="DT124" s="112">
        <f>SUM(DU124:EF124)</f>
        <v>-12899.866699363381</v>
      </c>
      <c r="DU124" s="114">
        <f>IFERROR(SUMIFS('01. KE30'!$X:$X,'01. KE30'!$C:$C,'06. BC BH THEO CUSTOMER-USD'!$D124,'01. KE30'!$F:$F,'06. BC BH THEO CUSTOMER-USD'!$H124,'01. KE30'!$A:$A,'06. BC BH THEO CUSTOMER-USD'!DU$4)-SUMIFS('01. KE30'!$AA:$AA,'01. KE30'!$C:$C,'06. BC BH THEO CUSTOMER-USD'!$D124,'01. KE30'!$F:$F,'06. BC BH THEO CUSTOMER-USD'!$H124,'01. KE30'!$A:$A,'06. BC BH THEO CUSTOMER-USD'!DU$4),"-")</f>
        <v>0</v>
      </c>
      <c r="DV124" s="114">
        <f>IFERROR(SUMIFS('01. KE30'!$X:$X,'01. KE30'!$C:$C,'06. BC BH THEO CUSTOMER-USD'!$D124,'01. KE30'!$F:$F,'06. BC BH THEO CUSTOMER-USD'!$H124,'01. KE30'!$A:$A,'06. BC BH THEO CUSTOMER-USD'!DV$4)-SUMIFS('01. KE30'!$AA:$AA,'01. KE30'!$C:$C,'06. BC BH THEO CUSTOMER-USD'!$D124,'01. KE30'!$F:$F,'06. BC BH THEO CUSTOMER-USD'!$H124,'01. KE30'!$A:$A,'06. BC BH THEO CUSTOMER-USD'!DV$4),"-")</f>
        <v>0</v>
      </c>
      <c r="DW124" s="114">
        <f>IFERROR(SUMIFS('01. KE30'!$X:$X,'01. KE30'!$C:$C,'06. BC BH THEO CUSTOMER-USD'!$D124,'01. KE30'!$F:$F,'06. BC BH THEO CUSTOMER-USD'!$H124,'01. KE30'!$A:$A,'06. BC BH THEO CUSTOMER-USD'!DW$4)-SUMIFS('01. KE30'!$AA:$AA,'01. KE30'!$C:$C,'06. BC BH THEO CUSTOMER-USD'!$D124,'01. KE30'!$F:$F,'06. BC BH THEO CUSTOMER-USD'!$H124,'01. KE30'!$A:$A,'06. BC BH THEO CUSTOMER-USD'!DW$4),"-")</f>
        <v>0</v>
      </c>
      <c r="DX124" s="114">
        <f>IFERROR(SUMIFS('01. KE30'!$X:$X,'01. KE30'!$C:$C,'06. BC BH THEO CUSTOMER-USD'!$D124,'01. KE30'!$F:$F,'06. BC BH THEO CUSTOMER-USD'!$H124,'01. KE30'!$A:$A,'06. BC BH THEO CUSTOMER-USD'!DX$4)-SUMIFS('01. KE30'!$AA:$AA,'01. KE30'!$C:$C,'06. BC BH THEO CUSTOMER-USD'!$D124,'01. KE30'!$F:$F,'06. BC BH THEO CUSTOMER-USD'!$H124,'01. KE30'!$A:$A,'06. BC BH THEO CUSTOMER-USD'!DX$4),"-")</f>
        <v>0</v>
      </c>
      <c r="DY124" s="114">
        <f>IFERROR(SUMIFS('01. KE30'!$X:$X,'01. KE30'!$C:$C,'06. BC BH THEO CUSTOMER-USD'!$D124,'01. KE30'!$F:$F,'06. BC BH THEO CUSTOMER-USD'!$H124,'01. KE30'!$A:$A,'06. BC BH THEO CUSTOMER-USD'!DY$4)-SUMIFS('01. KE30'!$AA:$AA,'01. KE30'!$C:$C,'06. BC BH THEO CUSTOMER-USD'!$D124,'01. KE30'!$F:$F,'06. BC BH THEO CUSTOMER-USD'!$H124,'01. KE30'!$A:$A,'06. BC BH THEO CUSTOMER-USD'!DY$4),"-")</f>
        <v>0</v>
      </c>
      <c r="DZ124" s="114">
        <f>IFERROR(SUMIFS('01. KE30'!$X:$X,'01. KE30'!$C:$C,'06. BC BH THEO CUSTOMER-USD'!$D124,'01. KE30'!$F:$F,'06. BC BH THEO CUSTOMER-USD'!$H124,'01. KE30'!$A:$A,'06. BC BH THEO CUSTOMER-USD'!DZ$4)-SUMIFS('01. KE30'!$AA:$AA,'01. KE30'!$C:$C,'06. BC BH THEO CUSTOMER-USD'!$D124,'01. KE30'!$F:$F,'06. BC BH THEO CUSTOMER-USD'!$H124,'01. KE30'!$A:$A,'06. BC BH THEO CUSTOMER-USD'!DZ$4),"-")</f>
        <v>0</v>
      </c>
      <c r="EA124" s="114">
        <f>IFERROR(SUMIFS('01. KE30'!$X:$X,'01. KE30'!$C:$C,'06. BC BH THEO CUSTOMER-USD'!$D124,'01. KE30'!$F:$F,'06. BC BH THEO CUSTOMER-USD'!$H124,'01. KE30'!$A:$A,'06. BC BH THEO CUSTOMER-USD'!EA$4)-SUMIFS('01. KE30'!$AA:$AA,'01. KE30'!$C:$C,'06. BC BH THEO CUSTOMER-USD'!$D124,'01. KE30'!$F:$F,'06. BC BH THEO CUSTOMER-USD'!$H124,'01. KE30'!$A:$A,'06. BC BH THEO CUSTOMER-USD'!EA$4),"-")</f>
        <v>0</v>
      </c>
      <c r="EB124" s="114">
        <f>IFERROR(SUMIFS('01. KE30'!$X:$X,'01. KE30'!$C:$C,'06. BC BH THEO CUSTOMER-USD'!$D124,'01. KE30'!$F:$F,'06. BC BH THEO CUSTOMER-USD'!$H124,'01. KE30'!$A:$A,'06. BC BH THEO CUSTOMER-USD'!EB$4)-SUMIFS('01. KE30'!$AA:$AA,'01. KE30'!$C:$C,'06. BC BH THEO CUSTOMER-USD'!$D124,'01. KE30'!$F:$F,'06. BC BH THEO CUSTOMER-USD'!$H124,'01. KE30'!$A:$A,'06. BC BH THEO CUSTOMER-USD'!EB$4),"-")</f>
        <v>-4146.8122612681445</v>
      </c>
      <c r="EC124" s="114">
        <f>IFERROR(SUMIFS('01. KE30'!$X:$X,'01. KE30'!$C:$C,'06. BC BH THEO CUSTOMER-USD'!$D124,'01. KE30'!$F:$F,'06. BC BH THEO CUSTOMER-USD'!$H124,'01. KE30'!$A:$A,'06. BC BH THEO CUSTOMER-USD'!EC$4)-SUMIFS('01. KE30'!$AA:$AA,'01. KE30'!$C:$C,'06. BC BH THEO CUSTOMER-USD'!$D124,'01. KE30'!$F:$F,'06. BC BH THEO CUSTOMER-USD'!$H124,'01. KE30'!$A:$A,'06. BC BH THEO CUSTOMER-USD'!EC$4),"-")</f>
        <v>-8753.0544380952379</v>
      </c>
      <c r="ED124" s="114">
        <f>IFERROR(SUMIFS('01. KE30'!$X:$X,'01. KE30'!$C:$C,'06. BC BH THEO CUSTOMER-USD'!$D124,'01. KE30'!$F:$F,'06. BC BH THEO CUSTOMER-USD'!$H124,'01. KE30'!$A:$A,'06. BC BH THEO CUSTOMER-USD'!ED$4)-SUMIFS('01. KE30'!$AA:$AA,'01. KE30'!$C:$C,'06. BC BH THEO CUSTOMER-USD'!$D124,'01. KE30'!$F:$F,'06. BC BH THEO CUSTOMER-USD'!$H124,'01. KE30'!$A:$A,'06. BC BH THEO CUSTOMER-USD'!ED$4),"-")</f>
        <v>0</v>
      </c>
      <c r="EE124" s="114">
        <f>IFERROR(SUMIFS('01. KE30'!$X:$X,'01. KE30'!$C:$C,'06. BC BH THEO CUSTOMER-USD'!$D124,'01. KE30'!$F:$F,'06. BC BH THEO CUSTOMER-USD'!$H124,'01. KE30'!$A:$A,'06. BC BH THEO CUSTOMER-USD'!EE$4)-SUMIFS('01. KE30'!$AA:$AA,'01. KE30'!$C:$C,'06. BC BH THEO CUSTOMER-USD'!$D124,'01. KE30'!$F:$F,'06. BC BH THEO CUSTOMER-USD'!$H124,'01. KE30'!$A:$A,'06. BC BH THEO CUSTOMER-USD'!EE$4),"-")</f>
        <v>0</v>
      </c>
      <c r="EF124" s="114">
        <f>IFERROR(SUMIFS('01. KE30'!$X:$X,'01. KE30'!$C:$C,'06. BC BH THEO CUSTOMER-USD'!$D124,'01. KE30'!$F:$F,'06. BC BH THEO CUSTOMER-USD'!$H124,'01. KE30'!$A:$A,'06. BC BH THEO CUSTOMER-USD'!EF$4)-SUMIFS('01. KE30'!$AA:$AA,'01. KE30'!$C:$C,'06. BC BH THEO CUSTOMER-USD'!$D124,'01. KE30'!$F:$F,'06. BC BH THEO CUSTOMER-USD'!$H124,'01. KE30'!$A:$A,'06. BC BH THEO CUSTOMER-USD'!EF$4),"-")</f>
        <v>0</v>
      </c>
      <c r="EH124" s="571">
        <f t="shared" si="531"/>
        <v>-0.53245745522767518</v>
      </c>
      <c r="EI124" s="572" t="str">
        <f t="shared" si="532"/>
        <v>-</v>
      </c>
      <c r="EJ124" s="572" t="str">
        <f t="shared" si="533"/>
        <v>-</v>
      </c>
      <c r="EK124" s="572" t="str">
        <f t="shared" si="534"/>
        <v>-</v>
      </c>
      <c r="EL124" s="572" t="str">
        <f t="shared" si="535"/>
        <v>-</v>
      </c>
      <c r="EM124" s="572" t="str">
        <f t="shared" si="536"/>
        <v>-</v>
      </c>
      <c r="EN124" s="572" t="str">
        <f t="shared" si="537"/>
        <v>-</v>
      </c>
      <c r="EO124" s="572" t="str">
        <f t="shared" si="538"/>
        <v>-</v>
      </c>
      <c r="EP124" s="572">
        <f t="shared" si="539"/>
        <v>-0.58086433921883374</v>
      </c>
      <c r="EQ124" s="572">
        <f t="shared" si="540"/>
        <v>-0.51223399099340106</v>
      </c>
      <c r="ER124" s="572" t="str">
        <f t="shared" si="541"/>
        <v>-</v>
      </c>
      <c r="ES124" s="572" t="str">
        <f t="shared" si="542"/>
        <v>-</v>
      </c>
      <c r="ET124" s="572" t="str">
        <f t="shared" si="543"/>
        <v>-</v>
      </c>
    </row>
    <row r="125" spans="1:150" ht="15.5" hidden="1" outlineLevel="1" x14ac:dyDescent="0.35">
      <c r="A125" s="27">
        <f>A122+1</f>
        <v>7</v>
      </c>
      <c r="B125" s="27" t="s">
        <v>95</v>
      </c>
      <c r="C125" s="442" t="s">
        <v>489</v>
      </c>
      <c r="D125" s="9" t="s">
        <v>89</v>
      </c>
      <c r="E125" s="12" t="s">
        <v>88</v>
      </c>
      <c r="F125" s="12" t="s">
        <v>245</v>
      </c>
      <c r="G125" s="12" t="str">
        <f>_xlfn.XLOOKUP(F125,'Quy đổi'!$G$5:$G$32,'Quy đổi'!$H$5:$H$32,0)</f>
        <v>Nội địa</v>
      </c>
      <c r="H125" s="76" t="s">
        <v>87</v>
      </c>
      <c r="I125" s="7" t="s">
        <v>86</v>
      </c>
      <c r="J125" s="13" t="s">
        <v>22</v>
      </c>
      <c r="K125" s="11"/>
      <c r="L125" s="92" t="str">
        <f>IFERROR(AVERAGE(M125:X125),"-")</f>
        <v>-</v>
      </c>
      <c r="M125" s="106" t="str">
        <f>IFERROR(SUMIFS('01. KE30'!$K:$K,'01. KE30'!$C:$C,'06. BC BH THEO CUSTOMER-USD'!$D125,'01. KE30'!$F:$F,'06. BC BH THEO CUSTOMER-USD'!$H125,'01. KE30'!$A:$A,'06. BC BH THEO CUSTOMER-USD'!M$4)/'06. BC BH THEO CUSTOMER-USD'!CS125/'02. Tỷ giá'!B$5,"-")</f>
        <v>-</v>
      </c>
      <c r="N125" s="106" t="str">
        <f>IFERROR(SUMIFS('01. KE30'!$K:$K,'01. KE30'!$C:$C,'06. BC BH THEO CUSTOMER-USD'!$D125,'01. KE30'!$F:$F,'06. BC BH THEO CUSTOMER-USD'!$H125,'01. KE30'!$A:$A,'06. BC BH THEO CUSTOMER-USD'!N$4)/'06. BC BH THEO CUSTOMER-USD'!CT125/'02. Tỷ giá'!C$5,"-")</f>
        <v>-</v>
      </c>
      <c r="O125" s="106" t="str">
        <f>IFERROR(SUMIFS('01. KE30'!$K:$K,'01. KE30'!$C:$C,'06. BC BH THEO CUSTOMER-USD'!$D125,'01. KE30'!$F:$F,'06. BC BH THEO CUSTOMER-USD'!$H125,'01. KE30'!$A:$A,'06. BC BH THEO CUSTOMER-USD'!O$4)/'06. BC BH THEO CUSTOMER-USD'!CU125/'02. Tỷ giá'!D$5,"-")</f>
        <v>-</v>
      </c>
      <c r="P125" s="106" t="str">
        <f>IFERROR(SUMIFS('01. KE30'!$K:$K,'01. KE30'!$C:$C,'06. BC BH THEO CUSTOMER-USD'!$D125,'01. KE30'!$F:$F,'06. BC BH THEO CUSTOMER-USD'!$H125,'01. KE30'!$A:$A,'06. BC BH THEO CUSTOMER-USD'!P$4)/'06. BC BH THEO CUSTOMER-USD'!CV125/'02. Tỷ giá'!E$5,"-")</f>
        <v>-</v>
      </c>
      <c r="Q125" s="106" t="str">
        <f>IFERROR(SUMIFS('01. KE30'!$K:$K,'01. KE30'!$C:$C,'06. BC BH THEO CUSTOMER-USD'!$D125,'01. KE30'!$F:$F,'06. BC BH THEO CUSTOMER-USD'!$H125,'01. KE30'!$A:$A,'06. BC BH THEO CUSTOMER-USD'!Q$4)/'06. BC BH THEO CUSTOMER-USD'!CW125/'02. Tỷ giá'!F$5,"-")</f>
        <v>-</v>
      </c>
      <c r="R125" s="106" t="str">
        <f>IFERROR(SUMIFS('01. KE30'!$K:$K,'01. KE30'!$C:$C,'06. BC BH THEO CUSTOMER-USD'!$D125,'01. KE30'!$F:$F,'06. BC BH THEO CUSTOMER-USD'!$H125,'01. KE30'!$A:$A,'06. BC BH THEO CUSTOMER-USD'!R$4)/'06. BC BH THEO CUSTOMER-USD'!CX125/'02. Tỷ giá'!G$5,"-")</f>
        <v>-</v>
      </c>
      <c r="S125" s="106" t="str">
        <f>IFERROR(SUMIFS('01. KE30'!$K:$K,'01. KE30'!$C:$C,'06. BC BH THEO CUSTOMER-USD'!$D125,'01. KE30'!$F:$F,'06. BC BH THEO CUSTOMER-USD'!$H125,'01. KE30'!$A:$A,'06. BC BH THEO CUSTOMER-USD'!S$4)/'06. BC BH THEO CUSTOMER-USD'!CY125/'02. Tỷ giá'!H$5,"-")</f>
        <v>-</v>
      </c>
      <c r="T125" s="106" t="str">
        <f>IFERROR(SUMIFS('01. KE30'!$K:$K,'01. KE30'!$C:$C,'06. BC BH THEO CUSTOMER-USD'!$D125,'01. KE30'!$F:$F,'06. BC BH THEO CUSTOMER-USD'!$H125,'01. KE30'!$A:$A,'06. BC BH THEO CUSTOMER-USD'!T$4)/'06. BC BH THEO CUSTOMER-USD'!CZ125/'02. Tỷ giá'!I$5,"-")</f>
        <v>-</v>
      </c>
      <c r="U125" s="106" t="str">
        <f>IFERROR(SUMIFS('01. KE30'!$K:$K,'01. KE30'!$C:$C,'06. BC BH THEO CUSTOMER-USD'!$D125,'01. KE30'!$F:$F,'06. BC BH THEO CUSTOMER-USD'!$H125,'01. KE30'!$A:$A,'06. BC BH THEO CUSTOMER-USD'!U$4)/'06. BC BH THEO CUSTOMER-USD'!DA125/'02. Tỷ giá'!J$5,"-")</f>
        <v>-</v>
      </c>
      <c r="V125" s="106" t="str">
        <f>IFERROR(SUMIFS('01. KE30'!$K:$K,'01. KE30'!$C:$C,'06. BC BH THEO CUSTOMER-USD'!$D125,'01. KE30'!$F:$F,'06. BC BH THEO CUSTOMER-USD'!$H125,'01. KE30'!$A:$A,'06. BC BH THEO CUSTOMER-USD'!V$4)/'06. BC BH THEO CUSTOMER-USD'!DB125/'02. Tỷ giá'!K$5,"-")</f>
        <v>-</v>
      </c>
      <c r="W125" s="106" t="str">
        <f>IFERROR(SUMIFS('01. KE30'!$K:$K,'01. KE30'!$C:$C,'06. BC BH THEO CUSTOMER-USD'!$D125,'01. KE30'!$F:$F,'06. BC BH THEO CUSTOMER-USD'!$H125,'01. KE30'!$A:$A,'06. BC BH THEO CUSTOMER-USD'!W$4)/'06. BC BH THEO CUSTOMER-USD'!DC125/'02. Tỷ giá'!L$5,"-")</f>
        <v>-</v>
      </c>
      <c r="X125" s="106" t="str">
        <f>IFERROR(SUMIFS('01. KE30'!$K:$K,'01. KE30'!$C:$C,'06. BC BH THEO CUSTOMER-USD'!$D125,'01. KE30'!$F:$F,'06. BC BH THEO CUSTOMER-USD'!$H125,'01. KE30'!$A:$A,'06. BC BH THEO CUSTOMER-USD'!X$4)/'06. BC BH THEO CUSTOMER-USD'!DD125/'02. Tỷ giá'!M$5,"-")</f>
        <v>-</v>
      </c>
      <c r="Z125" s="92" t="str">
        <f>IFERROR(AVERAGE(AA125:AL125),"-")</f>
        <v>-</v>
      </c>
      <c r="AA125" s="147" t="str">
        <f>IFERROR(SUMIFS('01. KE30'!$O:$O,'01. KE30'!$C:$C,'06. BC BH THEO CUSTOMER-USD'!$D125,'01. KE30'!$F:$F,'06. BC BH THEO CUSTOMER-USD'!$H125,'01. KE30'!$A:$A,'06. BC BH THEO CUSTOMER-USD'!M$4)/'06. BC BH THEO CUSTOMER-USD'!CS125/'02. Tỷ giá'!B$5,"-")</f>
        <v>-</v>
      </c>
      <c r="AB125" s="147" t="str">
        <f>IFERROR(SUMIFS('01. KE30'!$O:$O,'01. KE30'!$C:$C,'06. BC BH THEO CUSTOMER-USD'!$D125,'01. KE30'!$F:$F,'06. BC BH THEO CUSTOMER-USD'!$H125,'01. KE30'!$A:$A,'06. BC BH THEO CUSTOMER-USD'!N$4)/'06. BC BH THEO CUSTOMER-USD'!CT125/'02. Tỷ giá'!C$5,"-")</f>
        <v>-</v>
      </c>
      <c r="AC125" s="147" t="str">
        <f>IFERROR(SUMIFS('01. KE30'!$O:$O,'01. KE30'!$C:$C,'06. BC BH THEO CUSTOMER-USD'!$D125,'01. KE30'!$F:$F,'06. BC BH THEO CUSTOMER-USD'!$H125,'01. KE30'!$A:$A,'06. BC BH THEO CUSTOMER-USD'!O$4)/'06. BC BH THEO CUSTOMER-USD'!CU125/'02. Tỷ giá'!D$5,"-")</f>
        <v>-</v>
      </c>
      <c r="AD125" s="147" t="str">
        <f>IFERROR(SUMIFS('01. KE30'!$O:$O,'01. KE30'!$C:$C,'06. BC BH THEO CUSTOMER-USD'!$D125,'01. KE30'!$F:$F,'06. BC BH THEO CUSTOMER-USD'!$H125,'01. KE30'!$A:$A,'06. BC BH THEO CUSTOMER-USD'!P$4)/'06. BC BH THEO CUSTOMER-USD'!CV125/'02. Tỷ giá'!E$5,"-")</f>
        <v>-</v>
      </c>
      <c r="AE125" s="147" t="str">
        <f>IFERROR(SUMIFS('01. KE30'!$O:$O,'01. KE30'!$C:$C,'06. BC BH THEO CUSTOMER-USD'!$D125,'01. KE30'!$F:$F,'06. BC BH THEO CUSTOMER-USD'!$H125,'01. KE30'!$A:$A,'06. BC BH THEO CUSTOMER-USD'!Q$4)/'06. BC BH THEO CUSTOMER-USD'!CW125/'02. Tỷ giá'!F$5,"-")</f>
        <v>-</v>
      </c>
      <c r="AF125" s="147" t="str">
        <f>IFERROR(SUMIFS('01. KE30'!$O:$O,'01. KE30'!$C:$C,'06. BC BH THEO CUSTOMER-USD'!$D125,'01. KE30'!$F:$F,'06. BC BH THEO CUSTOMER-USD'!$H125,'01. KE30'!$A:$A,'06. BC BH THEO CUSTOMER-USD'!R$4)/'06. BC BH THEO CUSTOMER-USD'!CX125/'02. Tỷ giá'!G$5,"-")</f>
        <v>-</v>
      </c>
      <c r="AG125" s="147" t="str">
        <f>IFERROR(SUMIFS('01. KE30'!$O:$O,'01. KE30'!$C:$C,'06. BC BH THEO CUSTOMER-USD'!$D125,'01. KE30'!$F:$F,'06. BC BH THEO CUSTOMER-USD'!$H125,'01. KE30'!$A:$A,'06. BC BH THEO CUSTOMER-USD'!S$4)/'06. BC BH THEO CUSTOMER-USD'!CY125/'02. Tỷ giá'!H$5,"-")</f>
        <v>-</v>
      </c>
      <c r="AH125" s="147" t="str">
        <f>IFERROR(SUMIFS('01. KE30'!$O:$O,'01. KE30'!$C:$C,'06. BC BH THEO CUSTOMER-USD'!$D125,'01. KE30'!$F:$F,'06. BC BH THEO CUSTOMER-USD'!$H125,'01. KE30'!$A:$A,'06. BC BH THEO CUSTOMER-USD'!T$4)/'06. BC BH THEO CUSTOMER-USD'!CZ125/'02. Tỷ giá'!I$5,"-")</f>
        <v>-</v>
      </c>
      <c r="AI125" s="147" t="str">
        <f>IFERROR(SUMIFS('01. KE30'!$O:$O,'01. KE30'!$C:$C,'06. BC BH THEO CUSTOMER-USD'!$D125,'01. KE30'!$F:$F,'06. BC BH THEO CUSTOMER-USD'!$H125,'01. KE30'!$A:$A,'06. BC BH THEO CUSTOMER-USD'!U$4)/'06. BC BH THEO CUSTOMER-USD'!DA125/'02. Tỷ giá'!J$5,"-")</f>
        <v>-</v>
      </c>
      <c r="AJ125" s="147" t="str">
        <f>IFERROR(SUMIFS('01. KE30'!$O:$O,'01. KE30'!$C:$C,'06. BC BH THEO CUSTOMER-USD'!$D125,'01. KE30'!$F:$F,'06. BC BH THEO CUSTOMER-USD'!$H125,'01. KE30'!$A:$A,'06. BC BH THEO CUSTOMER-USD'!V$4)/'06. BC BH THEO CUSTOMER-USD'!DB125/'02. Tỷ giá'!K$5,"-")</f>
        <v>-</v>
      </c>
      <c r="AK125" s="147" t="str">
        <f>IFERROR(SUMIFS('01. KE30'!$O:$O,'01. KE30'!$C:$C,'06. BC BH THEO CUSTOMER-USD'!$D125,'01. KE30'!$F:$F,'06. BC BH THEO CUSTOMER-USD'!$H125,'01. KE30'!$A:$A,'06. BC BH THEO CUSTOMER-USD'!W$4)/'06. BC BH THEO CUSTOMER-USD'!DC125/'02. Tỷ giá'!L$5,"-")</f>
        <v>-</v>
      </c>
      <c r="AL125" s="147" t="str">
        <f>IFERROR(SUMIFS('01. KE30'!$O:$O,'01. KE30'!$C:$C,'06. BC BH THEO CUSTOMER-USD'!$D125,'01. KE30'!$F:$F,'06. BC BH THEO CUSTOMER-USD'!$H125,'01. KE30'!$A:$A,'06. BC BH THEO CUSTOMER-USD'!X$4)/'06. BC BH THEO CUSTOMER-USD'!DD125/'02. Tỷ giá'!M$5,"-")</f>
        <v>-</v>
      </c>
      <c r="AN125" s="55">
        <f>IFERROR(AVERAGE(AO125:AZ125),"-")</f>
        <v>862.22222222222217</v>
      </c>
      <c r="AO125" s="4">
        <v>950</v>
      </c>
      <c r="AP125" s="4">
        <v>950</v>
      </c>
      <c r="AQ125" s="4">
        <v>950</v>
      </c>
      <c r="AR125" s="4">
        <v>950</v>
      </c>
      <c r="AS125" s="4">
        <v>800</v>
      </c>
      <c r="AT125" s="4">
        <v>800</v>
      </c>
      <c r="AU125" s="4">
        <v>800</v>
      </c>
      <c r="AV125" s="4">
        <f t="shared" si="1165"/>
        <v>780</v>
      </c>
      <c r="AW125" s="4">
        <v>780</v>
      </c>
      <c r="AX125" s="4"/>
      <c r="AY125" s="4"/>
      <c r="AZ125" s="4"/>
      <c r="BB125" s="95" t="str">
        <f t="shared" ref="BB125:BN125" si="1226">IF(L125&lt;&gt;"-",Z125-AN125,"-")</f>
        <v>-</v>
      </c>
      <c r="BC125" s="95" t="str">
        <f t="shared" si="1226"/>
        <v>-</v>
      </c>
      <c r="BD125" s="95" t="str">
        <f t="shared" si="1226"/>
        <v>-</v>
      </c>
      <c r="BE125" s="95" t="str">
        <f t="shared" si="1226"/>
        <v>-</v>
      </c>
      <c r="BF125" s="95" t="str">
        <f t="shared" si="1226"/>
        <v>-</v>
      </c>
      <c r="BG125" s="95" t="str">
        <f t="shared" si="1226"/>
        <v>-</v>
      </c>
      <c r="BH125" s="95" t="str">
        <f t="shared" si="1226"/>
        <v>-</v>
      </c>
      <c r="BI125" s="95" t="str">
        <f t="shared" si="1226"/>
        <v>-</v>
      </c>
      <c r="BJ125" s="95" t="str">
        <f t="shared" si="1226"/>
        <v>-</v>
      </c>
      <c r="BK125" s="95" t="str">
        <f t="shared" si="1226"/>
        <v>-</v>
      </c>
      <c r="BL125" s="95" t="str">
        <f t="shared" si="1226"/>
        <v>-</v>
      </c>
      <c r="BM125" s="95" t="str">
        <f t="shared" si="1226"/>
        <v>-</v>
      </c>
      <c r="BN125" s="95" t="str">
        <f t="shared" si="1226"/>
        <v>-</v>
      </c>
      <c r="BP125" s="143" t="str">
        <f t="shared" ref="BP125:CB125" si="1227">IFERROR(IF(BB125&lt;&gt;"-",BB125/AN125,"-"),"-")</f>
        <v>-</v>
      </c>
      <c r="BQ125" s="143" t="str">
        <f t="shared" si="1227"/>
        <v>-</v>
      </c>
      <c r="BR125" s="143" t="str">
        <f t="shared" si="1227"/>
        <v>-</v>
      </c>
      <c r="BS125" s="143" t="str">
        <f t="shared" si="1227"/>
        <v>-</v>
      </c>
      <c r="BT125" s="143" t="str">
        <f t="shared" si="1227"/>
        <v>-</v>
      </c>
      <c r="BU125" s="143" t="str">
        <f t="shared" si="1227"/>
        <v>-</v>
      </c>
      <c r="BV125" s="143" t="str">
        <f t="shared" si="1227"/>
        <v>-</v>
      </c>
      <c r="BW125" s="143" t="str">
        <f t="shared" si="1227"/>
        <v>-</v>
      </c>
      <c r="BX125" s="143" t="str">
        <f t="shared" si="1227"/>
        <v>-</v>
      </c>
      <c r="BY125" s="143" t="str">
        <f t="shared" si="1227"/>
        <v>-</v>
      </c>
      <c r="BZ125" s="143" t="str">
        <f t="shared" si="1227"/>
        <v>-</v>
      </c>
      <c r="CA125" s="143" t="str">
        <f t="shared" si="1227"/>
        <v>-</v>
      </c>
      <c r="CB125" s="143" t="str">
        <f t="shared" si="1227"/>
        <v>-</v>
      </c>
      <c r="CD125" s="112" t="str">
        <f>IFERROR(AVERAGE(CE125:CP125),"-")</f>
        <v>-</v>
      </c>
      <c r="CE125" s="95" t="str">
        <f>IFERROR(SUMIFS('01. KE30'!$R:$R,'01. KE30'!$C:$C,'06. BC BH THEO CUSTOMER-USD'!$D125,'01. KE30'!$F:$F,'06. BC BH THEO CUSTOMER-USD'!$H125,'01. KE30'!$A:$A,'06. BC BH THEO CUSTOMER-USD'!CE$4)/CS125/'02. Tỷ giá'!B$5," -")</f>
        <v xml:space="preserve"> -</v>
      </c>
      <c r="CF125" s="95" t="str">
        <f>IFERROR(SUMIFS('01. KE30'!$R:$R,'01. KE30'!$C:$C,'06. BC BH THEO CUSTOMER-USD'!$D125,'01. KE30'!$F:$F,'06. BC BH THEO CUSTOMER-USD'!$H125,'01. KE30'!$A:$A,'06. BC BH THEO CUSTOMER-USD'!CF$4)/CT125/'02. Tỷ giá'!C$5," -")</f>
        <v xml:space="preserve"> -</v>
      </c>
      <c r="CG125" s="95" t="str">
        <f>IFERROR(SUMIFS('01. KE30'!$R:$R,'01. KE30'!$C:$C,'06. BC BH THEO CUSTOMER-USD'!$D125,'01. KE30'!$F:$F,'06. BC BH THEO CUSTOMER-USD'!$H125,'01. KE30'!$A:$A,'06. BC BH THEO CUSTOMER-USD'!CG$4)/CU125/'02. Tỷ giá'!D$5," -")</f>
        <v xml:space="preserve"> -</v>
      </c>
      <c r="CH125" s="95" t="str">
        <f>IFERROR(SUMIFS('01. KE30'!$R:$R,'01. KE30'!$C:$C,'06. BC BH THEO CUSTOMER-USD'!$D125,'01. KE30'!$F:$F,'06. BC BH THEO CUSTOMER-USD'!$H125,'01. KE30'!$A:$A,'06. BC BH THEO CUSTOMER-USD'!CH$4)/CV125/'02. Tỷ giá'!E$5," -")</f>
        <v xml:space="preserve"> -</v>
      </c>
      <c r="CI125" s="95" t="str">
        <f>IFERROR(SUMIFS('01. KE30'!$R:$R,'01. KE30'!$C:$C,'06. BC BH THEO CUSTOMER-USD'!$D125,'01. KE30'!$F:$F,'06. BC BH THEO CUSTOMER-USD'!$H125,'01. KE30'!$A:$A,'06. BC BH THEO CUSTOMER-USD'!CI$4)/CW125/'02. Tỷ giá'!F$5," -")</f>
        <v xml:space="preserve"> -</v>
      </c>
      <c r="CJ125" s="95" t="str">
        <f>IFERROR(SUMIFS('01. KE30'!$R:$R,'01. KE30'!$C:$C,'06. BC BH THEO CUSTOMER-USD'!$D125,'01. KE30'!$F:$F,'06. BC BH THEO CUSTOMER-USD'!$H125,'01. KE30'!$A:$A,'06. BC BH THEO CUSTOMER-USD'!CJ$4)/CX125/'02. Tỷ giá'!G$5," -")</f>
        <v xml:space="preserve"> -</v>
      </c>
      <c r="CK125" s="95" t="str">
        <f>IFERROR(SUMIFS('01. KE30'!$R:$R,'01. KE30'!$C:$C,'06. BC BH THEO CUSTOMER-USD'!$D125,'01. KE30'!$F:$F,'06. BC BH THEO CUSTOMER-USD'!$H125,'01. KE30'!$A:$A,'06. BC BH THEO CUSTOMER-USD'!CK$4)/CY125/'02. Tỷ giá'!H$5," -")</f>
        <v xml:space="preserve"> -</v>
      </c>
      <c r="CL125" s="95" t="str">
        <f>IFERROR(SUMIFS('01. KE30'!$R:$R,'01. KE30'!$C:$C,'06. BC BH THEO CUSTOMER-USD'!$D125,'01. KE30'!$F:$F,'06. BC BH THEO CUSTOMER-USD'!$H125,'01. KE30'!$A:$A,'06. BC BH THEO CUSTOMER-USD'!CL$4)/CZ125/'02. Tỷ giá'!I$5," -")</f>
        <v xml:space="preserve"> -</v>
      </c>
      <c r="CM125" s="95" t="str">
        <f>IFERROR(SUMIFS('01. KE30'!$R:$R,'01. KE30'!$C:$C,'06. BC BH THEO CUSTOMER-USD'!$D125,'01. KE30'!$F:$F,'06. BC BH THEO CUSTOMER-USD'!$H125,'01. KE30'!$A:$A,'06. BC BH THEO CUSTOMER-USD'!CM$4)/DA125/'02. Tỷ giá'!J$5," -")</f>
        <v xml:space="preserve"> -</v>
      </c>
      <c r="CN125" s="95" t="str">
        <f>IFERROR(SUMIFS('01. KE30'!$R:$R,'01. KE30'!$C:$C,'06. BC BH THEO CUSTOMER-USD'!$D125,'01. KE30'!$F:$F,'06. BC BH THEO CUSTOMER-USD'!$H125,'01. KE30'!$A:$A,'06. BC BH THEO CUSTOMER-USD'!CN$4)/DB125/'02. Tỷ giá'!K$5," -")</f>
        <v xml:space="preserve"> -</v>
      </c>
      <c r="CO125" s="95" t="str">
        <f>IFERROR(SUMIFS('01. KE30'!$R:$R,'01. KE30'!$C:$C,'06. BC BH THEO CUSTOMER-USD'!$D125,'01. KE30'!$F:$F,'06. BC BH THEO CUSTOMER-USD'!$H125,'01. KE30'!$A:$A,'06. BC BH THEO CUSTOMER-USD'!CO$4)/DC125/'02. Tỷ giá'!L$5," -")</f>
        <v xml:space="preserve"> -</v>
      </c>
      <c r="CP125" s="95" t="str">
        <f>IFERROR(SUMIFS('01. KE30'!$R:$R,'01. KE30'!$C:$C,'06. BC BH THEO CUSTOMER-USD'!$D125,'01. KE30'!$F:$F,'06. BC BH THEO CUSTOMER-USD'!$H125,'01. KE30'!$A:$A,'06. BC BH THEO CUSTOMER-USD'!CP$4)/DD125/'02. Tỷ giá'!M$5," -")</f>
        <v xml:space="preserve"> -</v>
      </c>
      <c r="CR125" s="112">
        <f>SUM(CS125:DD125)</f>
        <v>0</v>
      </c>
      <c r="CS125" s="114">
        <f>SUMIFS('01. KE30'!$I:$I,'01. KE30'!$C:$C,'06. BC BH THEO CUSTOMER-USD'!$D125,'01. KE30'!$F:$F,'06. BC BH THEO CUSTOMER-USD'!$H125,'01. KE30'!$A:$A,'06. BC BH THEO CUSTOMER-USD'!CS$4)/1000</f>
        <v>0</v>
      </c>
      <c r="CT125" s="114">
        <f>SUMIFS('01. KE30'!$I:$I,'01. KE30'!$C:$C,'06. BC BH THEO CUSTOMER-USD'!$D125,'01. KE30'!$F:$F,'06. BC BH THEO CUSTOMER-USD'!$H125,'01. KE30'!$A:$A,'06. BC BH THEO CUSTOMER-USD'!CT$4)/1000</f>
        <v>0</v>
      </c>
      <c r="CU125" s="114">
        <f>SUMIFS('01. KE30'!$I:$I,'01. KE30'!$C:$C,'06. BC BH THEO CUSTOMER-USD'!$D125,'01. KE30'!$F:$F,'06. BC BH THEO CUSTOMER-USD'!$H125,'01. KE30'!$A:$A,'06. BC BH THEO CUSTOMER-USD'!CU$4)/1000</f>
        <v>0</v>
      </c>
      <c r="CV125" s="114">
        <f>SUMIFS('01. KE30'!$I:$I,'01. KE30'!$C:$C,'06. BC BH THEO CUSTOMER-USD'!$D125,'01. KE30'!$F:$F,'06. BC BH THEO CUSTOMER-USD'!$H125,'01. KE30'!$A:$A,'06. BC BH THEO CUSTOMER-USD'!CV$4)/1000</f>
        <v>0</v>
      </c>
      <c r="CW125" s="114">
        <f>SUMIFS('01. KE30'!$I:$I,'01. KE30'!$C:$C,'06. BC BH THEO CUSTOMER-USD'!$D125,'01. KE30'!$F:$F,'06. BC BH THEO CUSTOMER-USD'!$H125,'01. KE30'!$A:$A,'06. BC BH THEO CUSTOMER-USD'!CW$4)/1000</f>
        <v>0</v>
      </c>
      <c r="CX125" s="114">
        <f>SUMIFS('01. KE30'!$I:$I,'01. KE30'!$C:$C,'06. BC BH THEO CUSTOMER-USD'!$D125,'01. KE30'!$F:$F,'06. BC BH THEO CUSTOMER-USD'!$H125,'01. KE30'!$A:$A,'06. BC BH THEO CUSTOMER-USD'!CX$4)/1000</f>
        <v>0</v>
      </c>
      <c r="CY125" s="114">
        <f>SUMIFS('01. KE30'!$I:$I,'01. KE30'!$C:$C,'06. BC BH THEO CUSTOMER-USD'!$D125,'01. KE30'!$F:$F,'06. BC BH THEO CUSTOMER-USD'!$H125,'01. KE30'!$A:$A,'06. BC BH THEO CUSTOMER-USD'!CY$4)/1000</f>
        <v>0</v>
      </c>
      <c r="CZ125" s="114">
        <f>SUMIFS('01. KE30'!$I:$I,'01. KE30'!$C:$C,'06. BC BH THEO CUSTOMER-USD'!$D125,'01. KE30'!$F:$F,'06. BC BH THEO CUSTOMER-USD'!$H125,'01. KE30'!$A:$A,'06. BC BH THEO CUSTOMER-USD'!CZ$4)/1000</f>
        <v>0</v>
      </c>
      <c r="DA125" s="114">
        <f>SUMIFS('01. KE30'!$I:$I,'01. KE30'!$C:$C,'06. BC BH THEO CUSTOMER-USD'!$D125,'01. KE30'!$F:$F,'06. BC BH THEO CUSTOMER-USD'!$H125,'01. KE30'!$A:$A,'06. BC BH THEO CUSTOMER-USD'!DA$4)/1000</f>
        <v>0</v>
      </c>
      <c r="DB125" s="114">
        <f>SUMIFS('01. KE30'!$I:$I,'01. KE30'!$C:$C,'06. BC BH THEO CUSTOMER-USD'!$D125,'01. KE30'!$F:$F,'06. BC BH THEO CUSTOMER-USD'!$H125,'01. KE30'!$A:$A,'06. BC BH THEO CUSTOMER-USD'!DB$4)/1000</f>
        <v>0</v>
      </c>
      <c r="DC125" s="114">
        <f>SUMIFS('01. KE30'!$I:$I,'01. KE30'!$C:$C,'06. BC BH THEO CUSTOMER-USD'!$D125,'01. KE30'!$F:$F,'06. BC BH THEO CUSTOMER-USD'!$H125,'01. KE30'!$A:$A,'06. BC BH THEO CUSTOMER-USD'!DC$4)/1000</f>
        <v>0</v>
      </c>
      <c r="DD125" s="114">
        <f>SUMIFS('01. KE30'!$I:$I,'01. KE30'!$C:$C,'06. BC BH THEO CUSTOMER-USD'!$D125,'01. KE30'!$F:$F,'06. BC BH THEO CUSTOMER-USD'!$H125,'01. KE30'!$A:$A,'06. BC BH THEO CUSTOMER-USD'!DD$4)/1000</f>
        <v>0</v>
      </c>
      <c r="DF125" s="112">
        <f>SUM(DG125:DR125)</f>
        <v>0</v>
      </c>
      <c r="DG125" s="54" t="str">
        <f t="shared" ref="DG125:DR125" si="1228">IFERROR(M125*CS125,"-")</f>
        <v>-</v>
      </c>
      <c r="DH125" s="54" t="str">
        <f t="shared" si="1228"/>
        <v>-</v>
      </c>
      <c r="DI125" s="54" t="str">
        <f t="shared" si="1228"/>
        <v>-</v>
      </c>
      <c r="DJ125" s="54" t="str">
        <f t="shared" si="1228"/>
        <v>-</v>
      </c>
      <c r="DK125" s="54" t="str">
        <f t="shared" si="1228"/>
        <v>-</v>
      </c>
      <c r="DL125" s="54" t="str">
        <f t="shared" si="1228"/>
        <v>-</v>
      </c>
      <c r="DM125" s="54" t="str">
        <f t="shared" si="1228"/>
        <v>-</v>
      </c>
      <c r="DN125" s="54" t="str">
        <f t="shared" si="1228"/>
        <v>-</v>
      </c>
      <c r="DO125" s="54" t="str">
        <f t="shared" si="1228"/>
        <v>-</v>
      </c>
      <c r="DP125" s="54" t="str">
        <f t="shared" si="1228"/>
        <v>-</v>
      </c>
      <c r="DQ125" s="54" t="str">
        <f t="shared" si="1228"/>
        <v>-</v>
      </c>
      <c r="DR125" s="54" t="str">
        <f t="shared" si="1228"/>
        <v>-</v>
      </c>
      <c r="DT125" s="112">
        <f>SUM(DU125:EF125)</f>
        <v>0</v>
      </c>
      <c r="DU125" s="114">
        <f>IFERROR(SUMIFS('01. KE30'!$X:$X,'01. KE30'!$C:$C,'06. BC BH THEO CUSTOMER-USD'!$D125,'01. KE30'!$F:$F,'06. BC BH THEO CUSTOMER-USD'!$H125,'01. KE30'!$A:$A,'06. BC BH THEO CUSTOMER-USD'!DU$4)-SUMIFS('01. KE30'!$AA:$AA,'01. KE30'!$C:$C,'06. BC BH THEO CUSTOMER-USD'!$D125,'01. KE30'!$F:$F,'06. BC BH THEO CUSTOMER-USD'!$H125,'01. KE30'!$A:$A,'06. BC BH THEO CUSTOMER-USD'!DU$4),"-")</f>
        <v>0</v>
      </c>
      <c r="DV125" s="114">
        <f>IFERROR(SUMIFS('01. KE30'!$X:$X,'01. KE30'!$C:$C,'06. BC BH THEO CUSTOMER-USD'!$D125,'01. KE30'!$F:$F,'06. BC BH THEO CUSTOMER-USD'!$H125,'01. KE30'!$A:$A,'06. BC BH THEO CUSTOMER-USD'!DV$4)-SUMIFS('01. KE30'!$AA:$AA,'01. KE30'!$C:$C,'06. BC BH THEO CUSTOMER-USD'!$D125,'01. KE30'!$F:$F,'06. BC BH THEO CUSTOMER-USD'!$H125,'01. KE30'!$A:$A,'06. BC BH THEO CUSTOMER-USD'!DV$4),"-")</f>
        <v>0</v>
      </c>
      <c r="DW125" s="114">
        <f>IFERROR(SUMIFS('01. KE30'!$X:$X,'01. KE30'!$C:$C,'06. BC BH THEO CUSTOMER-USD'!$D125,'01. KE30'!$F:$F,'06. BC BH THEO CUSTOMER-USD'!$H125,'01. KE30'!$A:$A,'06. BC BH THEO CUSTOMER-USD'!DW$4)-SUMIFS('01. KE30'!$AA:$AA,'01. KE30'!$C:$C,'06. BC BH THEO CUSTOMER-USD'!$D125,'01. KE30'!$F:$F,'06. BC BH THEO CUSTOMER-USD'!$H125,'01. KE30'!$A:$A,'06. BC BH THEO CUSTOMER-USD'!DW$4),"-")</f>
        <v>0</v>
      </c>
      <c r="DX125" s="114">
        <f>IFERROR(SUMIFS('01. KE30'!$X:$X,'01. KE30'!$C:$C,'06. BC BH THEO CUSTOMER-USD'!$D125,'01. KE30'!$F:$F,'06. BC BH THEO CUSTOMER-USD'!$H125,'01. KE30'!$A:$A,'06. BC BH THEO CUSTOMER-USD'!DX$4)-SUMIFS('01. KE30'!$AA:$AA,'01. KE30'!$C:$C,'06. BC BH THEO CUSTOMER-USD'!$D125,'01. KE30'!$F:$F,'06. BC BH THEO CUSTOMER-USD'!$H125,'01. KE30'!$A:$A,'06. BC BH THEO CUSTOMER-USD'!DX$4),"-")</f>
        <v>0</v>
      </c>
      <c r="DY125" s="114">
        <f>IFERROR(SUMIFS('01. KE30'!$X:$X,'01. KE30'!$C:$C,'06. BC BH THEO CUSTOMER-USD'!$D125,'01. KE30'!$F:$F,'06. BC BH THEO CUSTOMER-USD'!$H125,'01. KE30'!$A:$A,'06. BC BH THEO CUSTOMER-USD'!DY$4)-SUMIFS('01. KE30'!$AA:$AA,'01. KE30'!$C:$C,'06. BC BH THEO CUSTOMER-USD'!$D125,'01. KE30'!$F:$F,'06. BC BH THEO CUSTOMER-USD'!$H125,'01. KE30'!$A:$A,'06. BC BH THEO CUSTOMER-USD'!DY$4),"-")</f>
        <v>0</v>
      </c>
      <c r="DZ125" s="114">
        <f>IFERROR(SUMIFS('01. KE30'!$X:$X,'01. KE30'!$C:$C,'06. BC BH THEO CUSTOMER-USD'!$D125,'01. KE30'!$F:$F,'06. BC BH THEO CUSTOMER-USD'!$H125,'01. KE30'!$A:$A,'06. BC BH THEO CUSTOMER-USD'!DZ$4)-SUMIFS('01. KE30'!$AA:$AA,'01. KE30'!$C:$C,'06. BC BH THEO CUSTOMER-USD'!$D125,'01. KE30'!$F:$F,'06. BC BH THEO CUSTOMER-USD'!$H125,'01. KE30'!$A:$A,'06. BC BH THEO CUSTOMER-USD'!DZ$4),"-")</f>
        <v>0</v>
      </c>
      <c r="EA125" s="114">
        <f>IFERROR(SUMIFS('01. KE30'!$X:$X,'01. KE30'!$C:$C,'06. BC BH THEO CUSTOMER-USD'!$D125,'01. KE30'!$F:$F,'06. BC BH THEO CUSTOMER-USD'!$H125,'01. KE30'!$A:$A,'06. BC BH THEO CUSTOMER-USD'!EA$4)-SUMIFS('01. KE30'!$AA:$AA,'01. KE30'!$C:$C,'06. BC BH THEO CUSTOMER-USD'!$D125,'01. KE30'!$F:$F,'06. BC BH THEO CUSTOMER-USD'!$H125,'01. KE30'!$A:$A,'06. BC BH THEO CUSTOMER-USD'!EA$4),"-")</f>
        <v>0</v>
      </c>
      <c r="EB125" s="114">
        <f>IFERROR(SUMIFS('01. KE30'!$X:$X,'01. KE30'!$C:$C,'06. BC BH THEO CUSTOMER-USD'!$D125,'01. KE30'!$F:$F,'06. BC BH THEO CUSTOMER-USD'!$H125,'01. KE30'!$A:$A,'06. BC BH THEO CUSTOMER-USD'!EB$4)-SUMIFS('01. KE30'!$AA:$AA,'01. KE30'!$C:$C,'06. BC BH THEO CUSTOMER-USD'!$D125,'01. KE30'!$F:$F,'06. BC BH THEO CUSTOMER-USD'!$H125,'01. KE30'!$A:$A,'06. BC BH THEO CUSTOMER-USD'!EB$4),"-")</f>
        <v>0</v>
      </c>
      <c r="EC125" s="114">
        <f>IFERROR(SUMIFS('01. KE30'!$X:$X,'01. KE30'!$C:$C,'06. BC BH THEO CUSTOMER-USD'!$D125,'01. KE30'!$F:$F,'06. BC BH THEO CUSTOMER-USD'!$H125,'01. KE30'!$A:$A,'06. BC BH THEO CUSTOMER-USD'!EC$4)-SUMIFS('01. KE30'!$AA:$AA,'01. KE30'!$C:$C,'06. BC BH THEO CUSTOMER-USD'!$D125,'01. KE30'!$F:$F,'06. BC BH THEO CUSTOMER-USD'!$H125,'01. KE30'!$A:$A,'06. BC BH THEO CUSTOMER-USD'!EC$4),"-")</f>
        <v>0</v>
      </c>
      <c r="ED125" s="114">
        <f>IFERROR(SUMIFS('01. KE30'!$X:$X,'01. KE30'!$C:$C,'06. BC BH THEO CUSTOMER-USD'!$D125,'01. KE30'!$F:$F,'06. BC BH THEO CUSTOMER-USD'!$H125,'01. KE30'!$A:$A,'06. BC BH THEO CUSTOMER-USD'!ED$4)-SUMIFS('01. KE30'!$AA:$AA,'01. KE30'!$C:$C,'06. BC BH THEO CUSTOMER-USD'!$D125,'01. KE30'!$F:$F,'06. BC BH THEO CUSTOMER-USD'!$H125,'01. KE30'!$A:$A,'06. BC BH THEO CUSTOMER-USD'!ED$4),"-")</f>
        <v>0</v>
      </c>
      <c r="EE125" s="114">
        <f>IFERROR(SUMIFS('01. KE30'!$X:$X,'01. KE30'!$C:$C,'06. BC BH THEO CUSTOMER-USD'!$D125,'01. KE30'!$F:$F,'06. BC BH THEO CUSTOMER-USD'!$H125,'01. KE30'!$A:$A,'06. BC BH THEO CUSTOMER-USD'!EE$4)-SUMIFS('01. KE30'!$AA:$AA,'01. KE30'!$C:$C,'06. BC BH THEO CUSTOMER-USD'!$D125,'01. KE30'!$F:$F,'06. BC BH THEO CUSTOMER-USD'!$H125,'01. KE30'!$A:$A,'06. BC BH THEO CUSTOMER-USD'!EE$4),"-")</f>
        <v>0</v>
      </c>
      <c r="EF125" s="114">
        <f>IFERROR(SUMIFS('01. KE30'!$X:$X,'01. KE30'!$C:$C,'06. BC BH THEO CUSTOMER-USD'!$D125,'01. KE30'!$F:$F,'06. BC BH THEO CUSTOMER-USD'!$H125,'01. KE30'!$A:$A,'06. BC BH THEO CUSTOMER-USD'!EF$4)-SUMIFS('01. KE30'!$AA:$AA,'01. KE30'!$C:$C,'06. BC BH THEO CUSTOMER-USD'!$D125,'01. KE30'!$F:$F,'06. BC BH THEO CUSTOMER-USD'!$H125,'01. KE30'!$A:$A,'06. BC BH THEO CUSTOMER-USD'!EF$4),"-")</f>
        <v>0</v>
      </c>
      <c r="EH125" s="571" t="str">
        <f t="shared" ref="EH125:ET125" si="1229">IFERROR(DT125/DF125,"-")</f>
        <v>-</v>
      </c>
      <c r="EI125" s="572" t="str">
        <f t="shared" si="1229"/>
        <v>-</v>
      </c>
      <c r="EJ125" s="572" t="str">
        <f t="shared" si="1229"/>
        <v>-</v>
      </c>
      <c r="EK125" s="572" t="str">
        <f t="shared" si="1229"/>
        <v>-</v>
      </c>
      <c r="EL125" s="572" t="str">
        <f t="shared" si="1229"/>
        <v>-</v>
      </c>
      <c r="EM125" s="572" t="str">
        <f t="shared" si="1229"/>
        <v>-</v>
      </c>
      <c r="EN125" s="572" t="str">
        <f t="shared" si="1229"/>
        <v>-</v>
      </c>
      <c r="EO125" s="572" t="str">
        <f t="shared" si="1229"/>
        <v>-</v>
      </c>
      <c r="EP125" s="572" t="str">
        <f t="shared" si="1229"/>
        <v>-</v>
      </c>
      <c r="EQ125" s="572" t="str">
        <f t="shared" si="1229"/>
        <v>-</v>
      </c>
      <c r="ER125" s="572" t="str">
        <f t="shared" si="1229"/>
        <v>-</v>
      </c>
      <c r="ES125" s="572" t="str">
        <f t="shared" si="1229"/>
        <v>-</v>
      </c>
      <c r="ET125" s="572" t="str">
        <f t="shared" si="1229"/>
        <v>-</v>
      </c>
    </row>
    <row r="126" spans="1:150" ht="15.5" hidden="1" outlineLevel="1" x14ac:dyDescent="0.35">
      <c r="A126" s="27">
        <f>A123+1</f>
        <v>9</v>
      </c>
      <c r="B126" s="27" t="s">
        <v>95</v>
      </c>
      <c r="C126" s="442" t="s">
        <v>489</v>
      </c>
      <c r="D126" s="9" t="s">
        <v>89</v>
      </c>
      <c r="E126" s="12" t="s">
        <v>88</v>
      </c>
      <c r="F126" s="12" t="s">
        <v>245</v>
      </c>
      <c r="G126" s="12" t="str">
        <f>_xlfn.XLOOKUP(F126,'Quy đổi'!$G$5:$G$32,'Quy đổi'!$H$5:$H$32,0)</f>
        <v>Nội địa</v>
      </c>
      <c r="H126" s="56" t="s">
        <v>463</v>
      </c>
      <c r="I126" s="7" t="s">
        <v>470</v>
      </c>
      <c r="J126" s="13" t="s">
        <v>22</v>
      </c>
      <c r="K126" s="57"/>
      <c r="L126" s="92">
        <f t="shared" si="1164"/>
        <v>705.91230959791221</v>
      </c>
      <c r="M126" s="106">
        <f>IFERROR(SUMIFS('01. KE30'!$K:$K,'01. KE30'!$C:$C,'06. BC BH THEO CUSTOMER-USD'!$D126,'01. KE30'!$F:$F,'06. BC BH THEO CUSTOMER-USD'!$H126,'01. KE30'!$A:$A,'06. BC BH THEO CUSTOMER-USD'!M$4)/'06. BC BH THEO CUSTOMER-USD'!CS126/'02. Tỷ giá'!B$5,"-")</f>
        <v>762.74588518667201</v>
      </c>
      <c r="N126" s="106">
        <f>IFERROR(SUMIFS('01. KE30'!$K:$K,'01. KE30'!$C:$C,'06. BC BH THEO CUSTOMER-USD'!$D126,'01. KE30'!$F:$F,'06. BC BH THEO CUSTOMER-USD'!$H126,'01. KE30'!$A:$A,'06. BC BH THEO CUSTOMER-USD'!N$4)/'06. BC BH THEO CUSTOMER-USD'!CT126/'02. Tỷ giá'!C$5,"-")</f>
        <v>748.32611264277273</v>
      </c>
      <c r="O126" s="106">
        <f>IFERROR(SUMIFS('01. KE30'!$K:$K,'01. KE30'!$C:$C,'06. BC BH THEO CUSTOMER-USD'!$D126,'01. KE30'!$F:$F,'06. BC BH THEO CUSTOMER-USD'!$H126,'01. KE30'!$A:$A,'06. BC BH THEO CUSTOMER-USD'!O$4)/'06. BC BH THEO CUSTOMER-USD'!CU126/'02. Tỷ giá'!D$5,"-")</f>
        <v>748.03149606299212</v>
      </c>
      <c r="P126" s="106" t="str">
        <f>IFERROR(SUMIFS('01. KE30'!$K:$K,'01. KE30'!$C:$C,'06. BC BH THEO CUSTOMER-USD'!$D126,'01. KE30'!$F:$F,'06. BC BH THEO CUSTOMER-USD'!$H126,'01. KE30'!$A:$A,'06. BC BH THEO CUSTOMER-USD'!P$4)/'06. BC BH THEO CUSTOMER-USD'!CV126/'02. Tỷ giá'!E$5,"-")</f>
        <v>-</v>
      </c>
      <c r="Q126" s="106" t="str">
        <f>IFERROR(SUMIFS('01. KE30'!$K:$K,'01. KE30'!$C:$C,'06. BC BH THEO CUSTOMER-USD'!$D126,'01. KE30'!$F:$F,'06. BC BH THEO CUSTOMER-USD'!$H126,'01. KE30'!$A:$A,'06. BC BH THEO CUSTOMER-USD'!Q$4)/'06. BC BH THEO CUSTOMER-USD'!CW126/'02. Tỷ giá'!F$5,"-")</f>
        <v>-</v>
      </c>
      <c r="R126" s="106">
        <f>IFERROR(SUMIFS('01. KE30'!$K:$K,'01. KE30'!$C:$C,'06. BC BH THEO CUSTOMER-USD'!$D126,'01. KE30'!$F:$F,'06. BC BH THEO CUSTOMER-USD'!$H126,'01. KE30'!$A:$A,'06. BC BH THEO CUSTOMER-USD'!R$4)/'06. BC BH THEO CUSTOMER-USD'!CX126/'02. Tỷ giá'!G$5,"-")</f>
        <v>636.57407407407402</v>
      </c>
      <c r="S126" s="106">
        <f>IFERROR(SUMIFS('01. KE30'!$K:$K,'01. KE30'!$C:$C,'06. BC BH THEO CUSTOMER-USD'!$D126,'01. KE30'!$F:$F,'06. BC BH THEO CUSTOMER-USD'!$H126,'01. KE30'!$A:$A,'06. BC BH THEO CUSTOMER-USD'!S$4)/'06. BC BH THEO CUSTOMER-USD'!CY126/'02. Tỷ giá'!H$5,"-")</f>
        <v>633.8839800230503</v>
      </c>
      <c r="T126" s="106" t="str">
        <f>IFERROR(SUMIFS('01. KE30'!$K:$K,'01. KE30'!$C:$C,'06. BC BH THEO CUSTOMER-USD'!$D126,'01. KE30'!$F:$F,'06. BC BH THEO CUSTOMER-USD'!$H126,'01. KE30'!$A:$A,'06. BC BH THEO CUSTOMER-USD'!T$4)/'06. BC BH THEO CUSTOMER-USD'!CZ126/'02. Tỷ giá'!I$5,"-")</f>
        <v>-</v>
      </c>
      <c r="U126" s="106" t="str">
        <f>IFERROR(SUMIFS('01. KE30'!$K:$K,'01. KE30'!$C:$C,'06. BC BH THEO CUSTOMER-USD'!$D126,'01. KE30'!$F:$F,'06. BC BH THEO CUSTOMER-USD'!$H126,'01. KE30'!$A:$A,'06. BC BH THEO CUSTOMER-USD'!U$4)/'06. BC BH THEO CUSTOMER-USD'!DA126/'02. Tỷ giá'!J$5,"-")</f>
        <v>-</v>
      </c>
      <c r="V126" s="106" t="str">
        <f>IFERROR(SUMIFS('01. KE30'!$K:$K,'01. KE30'!$C:$C,'06. BC BH THEO CUSTOMER-USD'!$D126,'01. KE30'!$F:$F,'06. BC BH THEO CUSTOMER-USD'!$H126,'01. KE30'!$A:$A,'06. BC BH THEO CUSTOMER-USD'!V$4)/'06. BC BH THEO CUSTOMER-USD'!DB126/'02. Tỷ giá'!K$5,"-")</f>
        <v>-</v>
      </c>
      <c r="W126" s="106" t="str">
        <f>IFERROR(SUMIFS('01. KE30'!$K:$K,'01. KE30'!$C:$C,'06. BC BH THEO CUSTOMER-USD'!$D126,'01. KE30'!$F:$F,'06. BC BH THEO CUSTOMER-USD'!$H126,'01. KE30'!$A:$A,'06. BC BH THEO CUSTOMER-USD'!W$4)/'06. BC BH THEO CUSTOMER-USD'!DC126/'02. Tỷ giá'!L$5,"-")</f>
        <v>-</v>
      </c>
      <c r="X126" s="106" t="str">
        <f>IFERROR(SUMIFS('01. KE30'!$K:$K,'01. KE30'!$C:$C,'06. BC BH THEO CUSTOMER-USD'!$D126,'01. KE30'!$F:$F,'06. BC BH THEO CUSTOMER-USD'!$H126,'01. KE30'!$A:$A,'06. BC BH THEO CUSTOMER-USD'!X$4)/'06. BC BH THEO CUSTOMER-USD'!DD126/'02. Tỷ giá'!M$5,"-")</f>
        <v>-</v>
      </c>
      <c r="Z126" s="92">
        <f t="shared" si="1145"/>
        <v>705.91230959791221</v>
      </c>
      <c r="AA126" s="147">
        <f>IFERROR(SUMIFS('01. KE30'!$O:$O,'01. KE30'!$C:$C,'06. BC BH THEO CUSTOMER-USD'!$D126,'01. KE30'!$F:$F,'06. BC BH THEO CUSTOMER-USD'!$H126,'01. KE30'!$A:$A,'06. BC BH THEO CUSTOMER-USD'!M$4)/'06. BC BH THEO CUSTOMER-USD'!CS126/'02. Tỷ giá'!B$5,"-")</f>
        <v>762.74588518667201</v>
      </c>
      <c r="AB126" s="147">
        <f>IFERROR(SUMIFS('01. KE30'!$O:$O,'01. KE30'!$C:$C,'06. BC BH THEO CUSTOMER-USD'!$D126,'01. KE30'!$F:$F,'06. BC BH THEO CUSTOMER-USD'!$H126,'01. KE30'!$A:$A,'06. BC BH THEO CUSTOMER-USD'!N$4)/'06. BC BH THEO CUSTOMER-USD'!CT126/'02. Tỷ giá'!C$5,"-")</f>
        <v>748.32611264277273</v>
      </c>
      <c r="AC126" s="147">
        <f>IFERROR(SUMIFS('01. KE30'!$O:$O,'01. KE30'!$C:$C,'06. BC BH THEO CUSTOMER-USD'!$D126,'01. KE30'!$F:$F,'06. BC BH THEO CUSTOMER-USD'!$H126,'01. KE30'!$A:$A,'06. BC BH THEO CUSTOMER-USD'!O$4)/'06. BC BH THEO CUSTOMER-USD'!CU126/'02. Tỷ giá'!D$5,"-")</f>
        <v>748.03149606299212</v>
      </c>
      <c r="AD126" s="147" t="str">
        <f>IFERROR(SUMIFS('01. KE30'!$O:$O,'01. KE30'!$C:$C,'06. BC BH THEO CUSTOMER-USD'!$D126,'01. KE30'!$F:$F,'06. BC BH THEO CUSTOMER-USD'!$H126,'01. KE30'!$A:$A,'06. BC BH THEO CUSTOMER-USD'!P$4)/'06. BC BH THEO CUSTOMER-USD'!CV126/'02. Tỷ giá'!E$5,"-")</f>
        <v>-</v>
      </c>
      <c r="AE126" s="147" t="str">
        <f>IFERROR(SUMIFS('01. KE30'!$O:$O,'01. KE30'!$C:$C,'06. BC BH THEO CUSTOMER-USD'!$D126,'01. KE30'!$F:$F,'06. BC BH THEO CUSTOMER-USD'!$H126,'01. KE30'!$A:$A,'06. BC BH THEO CUSTOMER-USD'!Q$4)/'06. BC BH THEO CUSTOMER-USD'!CW126/'02. Tỷ giá'!F$5,"-")</f>
        <v>-</v>
      </c>
      <c r="AF126" s="147">
        <f>IFERROR(SUMIFS('01. KE30'!$O:$O,'01. KE30'!$C:$C,'06. BC BH THEO CUSTOMER-USD'!$D126,'01. KE30'!$F:$F,'06. BC BH THEO CUSTOMER-USD'!$H126,'01. KE30'!$A:$A,'06. BC BH THEO CUSTOMER-USD'!R$4)/'06. BC BH THEO CUSTOMER-USD'!CX126/'02. Tỷ giá'!G$5,"-")</f>
        <v>636.57407407407402</v>
      </c>
      <c r="AG126" s="147">
        <f>IFERROR(SUMIFS('01. KE30'!$O:$O,'01. KE30'!$C:$C,'06. BC BH THEO CUSTOMER-USD'!$D126,'01. KE30'!$F:$F,'06. BC BH THEO CUSTOMER-USD'!$H126,'01. KE30'!$A:$A,'06. BC BH THEO CUSTOMER-USD'!S$4)/'06. BC BH THEO CUSTOMER-USD'!CY126/'02. Tỷ giá'!H$5,"-")</f>
        <v>633.8839800230503</v>
      </c>
      <c r="AH126" s="147" t="str">
        <f>IFERROR(SUMIFS('01. KE30'!$O:$O,'01. KE30'!$C:$C,'06. BC BH THEO CUSTOMER-USD'!$D126,'01. KE30'!$F:$F,'06. BC BH THEO CUSTOMER-USD'!$H126,'01. KE30'!$A:$A,'06. BC BH THEO CUSTOMER-USD'!T$4)/'06. BC BH THEO CUSTOMER-USD'!CZ126/'02. Tỷ giá'!I$5,"-")</f>
        <v>-</v>
      </c>
      <c r="AI126" s="147" t="str">
        <f>IFERROR(SUMIFS('01. KE30'!$O:$O,'01. KE30'!$C:$C,'06. BC BH THEO CUSTOMER-USD'!$D126,'01. KE30'!$F:$F,'06. BC BH THEO CUSTOMER-USD'!$H126,'01. KE30'!$A:$A,'06. BC BH THEO CUSTOMER-USD'!U$4)/'06. BC BH THEO CUSTOMER-USD'!DA126/'02. Tỷ giá'!J$5,"-")</f>
        <v>-</v>
      </c>
      <c r="AJ126" s="147" t="str">
        <f>IFERROR(SUMIFS('01. KE30'!$O:$O,'01. KE30'!$C:$C,'06. BC BH THEO CUSTOMER-USD'!$D126,'01. KE30'!$F:$F,'06. BC BH THEO CUSTOMER-USD'!$H126,'01. KE30'!$A:$A,'06. BC BH THEO CUSTOMER-USD'!V$4)/'06. BC BH THEO CUSTOMER-USD'!DB126/'02. Tỷ giá'!K$5,"-")</f>
        <v>-</v>
      </c>
      <c r="AK126" s="147" t="str">
        <f>IFERROR(SUMIFS('01. KE30'!$O:$O,'01. KE30'!$C:$C,'06. BC BH THEO CUSTOMER-USD'!$D126,'01. KE30'!$F:$F,'06. BC BH THEO CUSTOMER-USD'!$H126,'01. KE30'!$A:$A,'06. BC BH THEO CUSTOMER-USD'!W$4)/'06. BC BH THEO CUSTOMER-USD'!DC126/'02. Tỷ giá'!L$5,"-")</f>
        <v>-</v>
      </c>
      <c r="AL126" s="147" t="str">
        <f>IFERROR(SUMIFS('01. KE30'!$O:$O,'01. KE30'!$C:$C,'06. BC BH THEO CUSTOMER-USD'!$D126,'01. KE30'!$F:$F,'06. BC BH THEO CUSTOMER-USD'!$H126,'01. KE30'!$A:$A,'06. BC BH THEO CUSTOMER-USD'!X$4)/'06. BC BH THEO CUSTOMER-USD'!DD126/'02. Tỷ giá'!M$5,"-")</f>
        <v>-</v>
      </c>
      <c r="AN126" s="64">
        <f t="shared" si="1146"/>
        <v>912.22222222222217</v>
      </c>
      <c r="AO126" s="4">
        <v>1000</v>
      </c>
      <c r="AP126" s="4">
        <v>1000</v>
      </c>
      <c r="AQ126" s="4">
        <v>1000</v>
      </c>
      <c r="AR126" s="4">
        <v>1000</v>
      </c>
      <c r="AS126" s="4">
        <v>850</v>
      </c>
      <c r="AT126" s="4">
        <v>850</v>
      </c>
      <c r="AU126" s="4">
        <v>850</v>
      </c>
      <c r="AV126" s="4">
        <f t="shared" si="1165"/>
        <v>830</v>
      </c>
      <c r="AW126" s="4">
        <v>830</v>
      </c>
      <c r="AX126" s="4"/>
      <c r="AY126" s="4"/>
      <c r="AZ126" s="4"/>
      <c r="BB126" s="95">
        <f t="shared" si="637"/>
        <v>-206.30991262430996</v>
      </c>
      <c r="BC126" s="95">
        <f t="shared" si="638"/>
        <v>-237.25411481332799</v>
      </c>
      <c r="BD126" s="95">
        <f t="shared" si="1147"/>
        <v>-251.67388735722727</v>
      </c>
      <c r="BE126" s="95">
        <f t="shared" si="1147"/>
        <v>-251.96850393700788</v>
      </c>
      <c r="BF126" s="95" t="str">
        <f t="shared" si="1147"/>
        <v>-</v>
      </c>
      <c r="BG126" s="95" t="str">
        <f t="shared" si="1147"/>
        <v>-</v>
      </c>
      <c r="BH126" s="95">
        <f t="shared" si="1147"/>
        <v>-213.42592592592598</v>
      </c>
      <c r="BI126" s="95">
        <f t="shared" si="1147"/>
        <v>-216.1160199769497</v>
      </c>
      <c r="BJ126" s="95" t="str">
        <f t="shared" si="1147"/>
        <v>-</v>
      </c>
      <c r="BK126" s="95" t="str">
        <f t="shared" si="1147"/>
        <v>-</v>
      </c>
      <c r="BL126" s="95" t="str">
        <f t="shared" si="1147"/>
        <v>-</v>
      </c>
      <c r="BM126" s="95" t="str">
        <f t="shared" si="1147"/>
        <v>-</v>
      </c>
      <c r="BN126" s="95" t="str">
        <f t="shared" si="1147"/>
        <v>-</v>
      </c>
      <c r="BP126" s="143">
        <f t="shared" si="639"/>
        <v>-0.22616190178060777</v>
      </c>
      <c r="BQ126" s="143">
        <f t="shared" si="517"/>
        <v>-0.23725411481332798</v>
      </c>
      <c r="BR126" s="143">
        <f t="shared" si="518"/>
        <v>-0.25167388735722729</v>
      </c>
      <c r="BS126" s="143">
        <f t="shared" si="519"/>
        <v>-0.25196850393700787</v>
      </c>
      <c r="BT126" s="143" t="str">
        <f t="shared" si="520"/>
        <v>-</v>
      </c>
      <c r="BU126" s="143" t="str">
        <f t="shared" si="521"/>
        <v>-</v>
      </c>
      <c r="BV126" s="143">
        <f t="shared" si="522"/>
        <v>-0.25108932461873645</v>
      </c>
      <c r="BW126" s="143">
        <f t="shared" si="523"/>
        <v>-0.25425414114935257</v>
      </c>
      <c r="BX126" s="143" t="str">
        <f t="shared" si="524"/>
        <v>-</v>
      </c>
      <c r="BY126" s="143" t="str">
        <f t="shared" si="525"/>
        <v>-</v>
      </c>
      <c r="BZ126" s="143" t="str">
        <f t="shared" si="526"/>
        <v>-</v>
      </c>
      <c r="CA126" s="143" t="str">
        <f t="shared" si="527"/>
        <v>-</v>
      </c>
      <c r="CB126" s="143" t="str">
        <f t="shared" si="528"/>
        <v>-</v>
      </c>
      <c r="CD126" s="153">
        <f t="shared" si="1148"/>
        <v>912.38785469677509</v>
      </c>
      <c r="CE126" s="95">
        <f>IFERROR(SUMIFS('01. KE30'!$R:$R,'01. KE30'!$C:$C,'06. BC BH THEO CUSTOMER-USD'!$D126,'01. KE30'!$F:$F,'06. BC BH THEO CUSTOMER-USD'!$H126,'01. KE30'!$A:$A,'06. BC BH THEO CUSTOMER-USD'!CE$4)/CS126/'02. Tỷ giá'!B$5," -")</f>
        <v>985.8523010109119</v>
      </c>
      <c r="CF126" s="95">
        <f>IFERROR(SUMIFS('01. KE30'!$R:$R,'01. KE30'!$C:$C,'06. BC BH THEO CUSTOMER-USD'!$D126,'01. KE30'!$F:$F,'06. BC BH THEO CUSTOMER-USD'!$H126,'01. KE30'!$A:$A,'06. BC BH THEO CUSTOMER-USD'!CF$4)/CT126/'02. Tỷ giá'!C$5," -")</f>
        <v>801.05696229725379</v>
      </c>
      <c r="CG126" s="95">
        <f>IFERROR(SUMIFS('01. KE30'!$R:$R,'01. KE30'!$C:$C,'06. BC BH THEO CUSTOMER-USD'!$D126,'01. KE30'!$F:$F,'06. BC BH THEO CUSTOMER-USD'!$H126,'01. KE30'!$A:$A,'06. BC BH THEO CUSTOMER-USD'!CG$4)/CU126/'02. Tỷ giá'!D$5," -")</f>
        <v>799.29088761632079</v>
      </c>
      <c r="CH126" s="95" t="str">
        <f>IFERROR(SUMIFS('01. KE30'!$R:$R,'01. KE30'!$C:$C,'06. BC BH THEO CUSTOMER-USD'!$D126,'01. KE30'!$F:$F,'06. BC BH THEO CUSTOMER-USD'!$H126,'01. KE30'!$A:$A,'06. BC BH THEO CUSTOMER-USD'!CH$4)/CV126/'02. Tỷ giá'!E$5," -")</f>
        <v xml:space="preserve"> -</v>
      </c>
      <c r="CI126" s="95" t="str">
        <f>IFERROR(SUMIFS('01. KE30'!$R:$R,'01. KE30'!$C:$C,'06. BC BH THEO CUSTOMER-USD'!$D126,'01. KE30'!$F:$F,'06. BC BH THEO CUSTOMER-USD'!$H126,'01. KE30'!$A:$A,'06. BC BH THEO CUSTOMER-USD'!CI$4)/CW126/'02. Tỷ giá'!F$5," -")</f>
        <v xml:space="preserve"> -</v>
      </c>
      <c r="CJ126" s="95">
        <f>IFERROR(SUMIFS('01. KE30'!$R:$R,'01. KE30'!$C:$C,'06. BC BH THEO CUSTOMER-USD'!$D126,'01. KE30'!$F:$F,'06. BC BH THEO CUSTOMER-USD'!$H126,'01. KE30'!$A:$A,'06. BC BH THEO CUSTOMER-USD'!CJ$4)/CX126/'02. Tỷ giá'!G$5," -")</f>
        <v>954.79248236331568</v>
      </c>
      <c r="CK126" s="95">
        <f>IFERROR(SUMIFS('01. KE30'!$R:$R,'01. KE30'!$C:$C,'06. BC BH THEO CUSTOMER-USD'!$D126,'01. KE30'!$F:$F,'06. BC BH THEO CUSTOMER-USD'!$H126,'01. KE30'!$A:$A,'06. BC BH THEO CUSTOMER-USD'!CK$4)/CY126/'02. Tỷ giá'!H$5," -")</f>
        <v>1020.9466401960736</v>
      </c>
      <c r="CL126" s="95" t="str">
        <f>IFERROR(SUMIFS('01. KE30'!$R:$R,'01. KE30'!$C:$C,'06. BC BH THEO CUSTOMER-USD'!$D126,'01. KE30'!$F:$F,'06. BC BH THEO CUSTOMER-USD'!$H126,'01. KE30'!$A:$A,'06. BC BH THEO CUSTOMER-USD'!CL$4)/CZ126/'02. Tỷ giá'!I$5," -")</f>
        <v xml:space="preserve"> -</v>
      </c>
      <c r="CM126" s="95" t="str">
        <f>IFERROR(SUMIFS('01. KE30'!$R:$R,'01. KE30'!$C:$C,'06. BC BH THEO CUSTOMER-USD'!$D126,'01. KE30'!$F:$F,'06. BC BH THEO CUSTOMER-USD'!$H126,'01. KE30'!$A:$A,'06. BC BH THEO CUSTOMER-USD'!CM$4)/DA126/'02. Tỷ giá'!J$5," -")</f>
        <v xml:space="preserve"> -</v>
      </c>
      <c r="CN126" s="95" t="str">
        <f>IFERROR(SUMIFS('01. KE30'!$R:$R,'01. KE30'!$C:$C,'06. BC BH THEO CUSTOMER-USD'!$D126,'01. KE30'!$F:$F,'06. BC BH THEO CUSTOMER-USD'!$H126,'01. KE30'!$A:$A,'06. BC BH THEO CUSTOMER-USD'!CN$4)/DB126/'02. Tỷ giá'!K$5," -")</f>
        <v xml:space="preserve"> -</v>
      </c>
      <c r="CO126" s="95" t="str">
        <f>IFERROR(SUMIFS('01. KE30'!$R:$R,'01. KE30'!$C:$C,'06. BC BH THEO CUSTOMER-USD'!$D126,'01. KE30'!$F:$F,'06. BC BH THEO CUSTOMER-USD'!$H126,'01. KE30'!$A:$A,'06. BC BH THEO CUSTOMER-USD'!CO$4)/DC126/'02. Tỷ giá'!L$5," -")</f>
        <v xml:space="preserve"> -</v>
      </c>
      <c r="CP126" s="95" t="str">
        <f>IFERROR(SUMIFS('01. KE30'!$R:$R,'01. KE30'!$C:$C,'06. BC BH THEO CUSTOMER-USD'!$D126,'01. KE30'!$F:$F,'06. BC BH THEO CUSTOMER-USD'!$H126,'01. KE30'!$A:$A,'06. BC BH THEO CUSTOMER-USD'!CP$4)/DD126/'02. Tỷ giá'!M$5," -")</f>
        <v xml:space="preserve"> -</v>
      </c>
      <c r="CR126" s="112">
        <f t="shared" si="1149"/>
        <v>97.1</v>
      </c>
      <c r="CS126" s="114">
        <f>SUMIFS('01. KE30'!$I:$I,'01. KE30'!$C:$C,'06. BC BH THEO CUSTOMER-USD'!$D126,'01. KE30'!$F:$F,'06. BC BH THEO CUSTOMER-USD'!$H126,'01. KE30'!$A:$A,'06. BC BH THEO CUSTOMER-USD'!CS$4)/1000</f>
        <v>11</v>
      </c>
      <c r="CT126" s="114">
        <f>SUMIFS('01. KE30'!$I:$I,'01. KE30'!$C:$C,'06. BC BH THEO CUSTOMER-USD'!$D126,'01. KE30'!$F:$F,'06. BC BH THEO CUSTOMER-USD'!$H126,'01. KE30'!$A:$A,'06. BC BH THEO CUSTOMER-USD'!CT$4)/1000</f>
        <v>11</v>
      </c>
      <c r="CU126" s="114">
        <f>SUMIFS('01. KE30'!$I:$I,'01. KE30'!$C:$C,'06. BC BH THEO CUSTOMER-USD'!$D126,'01. KE30'!$F:$F,'06. BC BH THEO CUSTOMER-USD'!$H126,'01. KE30'!$A:$A,'06. BC BH THEO CUSTOMER-USD'!CU$4)/1000</f>
        <v>33</v>
      </c>
      <c r="CV126" s="114">
        <f>SUMIFS('01. KE30'!$I:$I,'01. KE30'!$C:$C,'06. BC BH THEO CUSTOMER-USD'!$D126,'01. KE30'!$F:$F,'06. BC BH THEO CUSTOMER-USD'!$H126,'01. KE30'!$A:$A,'06. BC BH THEO CUSTOMER-USD'!CV$4)/1000</f>
        <v>0</v>
      </c>
      <c r="CW126" s="114">
        <f>SUMIFS('01. KE30'!$I:$I,'01. KE30'!$C:$C,'06. BC BH THEO CUSTOMER-USD'!$D126,'01. KE30'!$F:$F,'06. BC BH THEO CUSTOMER-USD'!$H126,'01. KE30'!$A:$A,'06. BC BH THEO CUSTOMER-USD'!CW$4)/1000</f>
        <v>0</v>
      </c>
      <c r="CX126" s="114">
        <f>SUMIFS('01. KE30'!$I:$I,'01. KE30'!$C:$C,'06. BC BH THEO CUSTOMER-USD'!$D126,'01. KE30'!$F:$F,'06. BC BH THEO CUSTOMER-USD'!$H126,'01. KE30'!$A:$A,'06. BC BH THEO CUSTOMER-USD'!CX$4)/1000</f>
        <v>10.5</v>
      </c>
      <c r="CY126" s="114">
        <f>SUMIFS('01. KE30'!$I:$I,'01. KE30'!$C:$C,'06. BC BH THEO CUSTOMER-USD'!$D126,'01. KE30'!$F:$F,'06. BC BH THEO CUSTOMER-USD'!$H126,'01. KE30'!$A:$A,'06. BC BH THEO CUSTOMER-USD'!CY$4)/1000</f>
        <v>31.6</v>
      </c>
      <c r="CZ126" s="114">
        <f>SUMIFS('01. KE30'!$I:$I,'01. KE30'!$C:$C,'06. BC BH THEO CUSTOMER-USD'!$D126,'01. KE30'!$F:$F,'06. BC BH THEO CUSTOMER-USD'!$H126,'01. KE30'!$A:$A,'06. BC BH THEO CUSTOMER-USD'!CZ$4)/1000</f>
        <v>0</v>
      </c>
      <c r="DA126" s="114">
        <f>SUMIFS('01. KE30'!$I:$I,'01. KE30'!$C:$C,'06. BC BH THEO CUSTOMER-USD'!$D126,'01. KE30'!$F:$F,'06. BC BH THEO CUSTOMER-USD'!$H126,'01. KE30'!$A:$A,'06. BC BH THEO CUSTOMER-USD'!DA$4)/1000</f>
        <v>0</v>
      </c>
      <c r="DB126" s="114">
        <f>SUMIFS('01. KE30'!$I:$I,'01. KE30'!$C:$C,'06. BC BH THEO CUSTOMER-USD'!$D126,'01. KE30'!$F:$F,'06. BC BH THEO CUSTOMER-USD'!$H126,'01. KE30'!$A:$A,'06. BC BH THEO CUSTOMER-USD'!DB$4)/1000</f>
        <v>0</v>
      </c>
      <c r="DC126" s="114">
        <f>SUMIFS('01. KE30'!$I:$I,'01. KE30'!$C:$C,'06. BC BH THEO CUSTOMER-USD'!$D126,'01. KE30'!$F:$F,'06. BC BH THEO CUSTOMER-USD'!$H126,'01. KE30'!$A:$A,'06. BC BH THEO CUSTOMER-USD'!DC$4)/1000</f>
        <v>0</v>
      </c>
      <c r="DD126" s="114">
        <f>SUMIFS('01. KE30'!$I:$I,'01. KE30'!$C:$C,'06. BC BH THEO CUSTOMER-USD'!$D126,'01. KE30'!$F:$F,'06. BC BH THEO CUSTOMER-USD'!$H126,'01. KE30'!$A:$A,'06. BC BH THEO CUSTOMER-USD'!DD$4)/1000</f>
        <v>0</v>
      </c>
      <c r="DF126" s="112">
        <f t="shared" si="1150"/>
        <v>68021.592892708795</v>
      </c>
      <c r="DG126" s="54">
        <f t="shared" ref="DG126" si="1230">IFERROR(M126*CS126,"-")</f>
        <v>8390.2047370533928</v>
      </c>
      <c r="DH126" s="54">
        <f t="shared" ref="DH126" si="1231">IFERROR(N126*CT126,"-")</f>
        <v>8231.5872390705008</v>
      </c>
      <c r="DI126" s="54">
        <f t="shared" ref="DI126" si="1232">IFERROR(O126*CU126,"-")</f>
        <v>24685.039370078739</v>
      </c>
      <c r="DJ126" s="54" t="str">
        <f t="shared" ref="DJ126" si="1233">IFERROR(P126*CV126,"-")</f>
        <v>-</v>
      </c>
      <c r="DK126" s="54" t="str">
        <f t="shared" ref="DK126" si="1234">IFERROR(Q126*CW126,"-")</f>
        <v>-</v>
      </c>
      <c r="DL126" s="54">
        <f t="shared" ref="DL126" si="1235">IFERROR(R126*CX126,"-")</f>
        <v>6684.0277777777774</v>
      </c>
      <c r="DM126" s="54">
        <f t="shared" ref="DM126" si="1236">IFERROR(S126*CY126,"-")</f>
        <v>20030.733768728391</v>
      </c>
      <c r="DN126" s="54" t="str">
        <f t="shared" ref="DN126" si="1237">IFERROR(T126*CZ126,"-")</f>
        <v>-</v>
      </c>
      <c r="DO126" s="54" t="str">
        <f t="shared" ref="DO126" si="1238">IFERROR(U126*DA126,"-")</f>
        <v>-</v>
      </c>
      <c r="DP126" s="54" t="str">
        <f t="shared" ref="DP126" si="1239">IFERROR(V126*DB126,"-")</f>
        <v>-</v>
      </c>
      <c r="DQ126" s="54" t="str">
        <f t="shared" ref="DQ126" si="1240">IFERROR(W126*DC126,"-")</f>
        <v>-</v>
      </c>
      <c r="DR126" s="54" t="str">
        <f t="shared" ref="DR126" si="1241">IFERROR(X126*DD126,"-")</f>
        <v>-</v>
      </c>
      <c r="DT126" s="112">
        <f t="shared" si="652"/>
        <v>-20298.243190030345</v>
      </c>
      <c r="DU126" s="114">
        <f>IFERROR(SUMIFS('01. KE30'!$X:$X,'01. KE30'!$C:$C,'06. BC BH THEO CUSTOMER-USD'!$D126,'01. KE30'!$F:$F,'06. BC BH THEO CUSTOMER-USD'!$H126,'01. KE30'!$A:$A,'06. BC BH THEO CUSTOMER-USD'!DU$4)-SUMIFS('01. KE30'!$AA:$AA,'01. KE30'!$C:$C,'06. BC BH THEO CUSTOMER-USD'!$D126,'01. KE30'!$F:$F,'06. BC BH THEO CUSTOMER-USD'!$H126,'01. KE30'!$A:$A,'06. BC BH THEO CUSTOMER-USD'!DU$4),"-")</f>
        <v>-2454.1705740666384</v>
      </c>
      <c r="DV126" s="114">
        <f>IFERROR(SUMIFS('01. KE30'!$X:$X,'01. KE30'!$C:$C,'06. BC BH THEO CUSTOMER-USD'!$D126,'01. KE30'!$F:$F,'06. BC BH THEO CUSTOMER-USD'!$H126,'01. KE30'!$A:$A,'06. BC BH THEO CUSTOMER-USD'!DV$4)-SUMIFS('01. KE30'!$AA:$AA,'01. KE30'!$C:$C,'06. BC BH THEO CUSTOMER-USD'!$D126,'01. KE30'!$F:$F,'06. BC BH THEO CUSTOMER-USD'!$H126,'01. KE30'!$A:$A,'06. BC BH THEO CUSTOMER-USD'!DV$4),"-")</f>
        <v>-580.03934619928987</v>
      </c>
      <c r="DW126" s="114">
        <f>IFERROR(SUMIFS('01. KE30'!$X:$X,'01. KE30'!$C:$C,'06. BC BH THEO CUSTOMER-USD'!$D126,'01. KE30'!$F:$F,'06. BC BH THEO CUSTOMER-USD'!$H126,'01. KE30'!$A:$A,'06. BC BH THEO CUSTOMER-USD'!DW$4)-SUMIFS('01. KE30'!$AA:$AA,'01. KE30'!$C:$C,'06. BC BH THEO CUSTOMER-USD'!$D126,'01. KE30'!$F:$F,'06. BC BH THEO CUSTOMER-USD'!$H126,'01. KE30'!$A:$A,'06. BC BH THEO CUSTOMER-USD'!DW$4),"-")</f>
        <v>-1691.5599212598427</v>
      </c>
      <c r="DX126" s="114">
        <f>IFERROR(SUMIFS('01. KE30'!$X:$X,'01. KE30'!$C:$C,'06. BC BH THEO CUSTOMER-USD'!$D126,'01. KE30'!$F:$F,'06. BC BH THEO CUSTOMER-USD'!$H126,'01. KE30'!$A:$A,'06. BC BH THEO CUSTOMER-USD'!DX$4)-SUMIFS('01. KE30'!$AA:$AA,'01. KE30'!$C:$C,'06. BC BH THEO CUSTOMER-USD'!$D126,'01. KE30'!$F:$F,'06. BC BH THEO CUSTOMER-USD'!$H126,'01. KE30'!$A:$A,'06. BC BH THEO CUSTOMER-USD'!DX$4),"-")</f>
        <v>0</v>
      </c>
      <c r="DY126" s="114">
        <f>IFERROR(SUMIFS('01. KE30'!$X:$X,'01. KE30'!$C:$C,'06. BC BH THEO CUSTOMER-USD'!$D126,'01. KE30'!$F:$F,'06. BC BH THEO CUSTOMER-USD'!$H126,'01. KE30'!$A:$A,'06. BC BH THEO CUSTOMER-USD'!DY$4)-SUMIFS('01. KE30'!$AA:$AA,'01. KE30'!$C:$C,'06. BC BH THEO CUSTOMER-USD'!$D126,'01. KE30'!$F:$F,'06. BC BH THEO CUSTOMER-USD'!$H126,'01. KE30'!$A:$A,'06. BC BH THEO CUSTOMER-USD'!DY$4),"-")</f>
        <v>0</v>
      </c>
      <c r="DZ126" s="114">
        <f>IFERROR(SUMIFS('01. KE30'!$X:$X,'01. KE30'!$C:$C,'06. BC BH THEO CUSTOMER-USD'!$D126,'01. KE30'!$F:$F,'06. BC BH THEO CUSTOMER-USD'!$H126,'01. KE30'!$A:$A,'06. BC BH THEO CUSTOMER-USD'!DZ$4)-SUMIFS('01. KE30'!$AA:$AA,'01. KE30'!$C:$C,'06. BC BH THEO CUSTOMER-USD'!$D126,'01. KE30'!$F:$F,'06. BC BH THEO CUSTOMER-USD'!$H126,'01. KE30'!$A:$A,'06. BC BH THEO CUSTOMER-USD'!DZ$4),"-")</f>
        <v>-3341.2932870370369</v>
      </c>
      <c r="EA126" s="114">
        <f>IFERROR(SUMIFS('01. KE30'!$X:$X,'01. KE30'!$C:$C,'06. BC BH THEO CUSTOMER-USD'!$D126,'01. KE30'!$F:$F,'06. BC BH THEO CUSTOMER-USD'!$H126,'01. KE30'!$A:$A,'06. BC BH THEO CUSTOMER-USD'!EA$4)-SUMIFS('01. KE30'!$AA:$AA,'01. KE30'!$C:$C,'06. BC BH THEO CUSTOMER-USD'!$D126,'01. KE30'!$F:$F,'06. BC BH THEO CUSTOMER-USD'!$H126,'01. KE30'!$A:$A,'06. BC BH THEO CUSTOMER-USD'!EA$4),"-")</f>
        <v>-12231.180061467538</v>
      </c>
      <c r="EB126" s="114">
        <f>IFERROR(SUMIFS('01. KE30'!$X:$X,'01. KE30'!$C:$C,'06. BC BH THEO CUSTOMER-USD'!$D126,'01. KE30'!$F:$F,'06. BC BH THEO CUSTOMER-USD'!$H126,'01. KE30'!$A:$A,'06. BC BH THEO CUSTOMER-USD'!EB$4)-SUMIFS('01. KE30'!$AA:$AA,'01. KE30'!$C:$C,'06. BC BH THEO CUSTOMER-USD'!$D126,'01. KE30'!$F:$F,'06. BC BH THEO CUSTOMER-USD'!$H126,'01. KE30'!$A:$A,'06. BC BH THEO CUSTOMER-USD'!EB$4),"-")</f>
        <v>0</v>
      </c>
      <c r="EC126" s="114">
        <f>IFERROR(SUMIFS('01. KE30'!$X:$X,'01. KE30'!$C:$C,'06. BC BH THEO CUSTOMER-USD'!$D126,'01. KE30'!$F:$F,'06. BC BH THEO CUSTOMER-USD'!$H126,'01. KE30'!$A:$A,'06. BC BH THEO CUSTOMER-USD'!EC$4)-SUMIFS('01. KE30'!$AA:$AA,'01. KE30'!$C:$C,'06. BC BH THEO CUSTOMER-USD'!$D126,'01. KE30'!$F:$F,'06. BC BH THEO CUSTOMER-USD'!$H126,'01. KE30'!$A:$A,'06. BC BH THEO CUSTOMER-USD'!EC$4),"-")</f>
        <v>0</v>
      </c>
      <c r="ED126" s="114">
        <f>IFERROR(SUMIFS('01. KE30'!$X:$X,'01. KE30'!$C:$C,'06. BC BH THEO CUSTOMER-USD'!$D126,'01. KE30'!$F:$F,'06. BC BH THEO CUSTOMER-USD'!$H126,'01. KE30'!$A:$A,'06. BC BH THEO CUSTOMER-USD'!ED$4)-SUMIFS('01. KE30'!$AA:$AA,'01. KE30'!$C:$C,'06. BC BH THEO CUSTOMER-USD'!$D126,'01. KE30'!$F:$F,'06. BC BH THEO CUSTOMER-USD'!$H126,'01. KE30'!$A:$A,'06. BC BH THEO CUSTOMER-USD'!ED$4),"-")</f>
        <v>0</v>
      </c>
      <c r="EE126" s="114">
        <f>IFERROR(SUMIFS('01. KE30'!$X:$X,'01. KE30'!$C:$C,'06. BC BH THEO CUSTOMER-USD'!$D126,'01. KE30'!$F:$F,'06. BC BH THEO CUSTOMER-USD'!$H126,'01. KE30'!$A:$A,'06. BC BH THEO CUSTOMER-USD'!EE$4)-SUMIFS('01. KE30'!$AA:$AA,'01. KE30'!$C:$C,'06. BC BH THEO CUSTOMER-USD'!$D126,'01. KE30'!$F:$F,'06. BC BH THEO CUSTOMER-USD'!$H126,'01. KE30'!$A:$A,'06. BC BH THEO CUSTOMER-USD'!EE$4),"-")</f>
        <v>0</v>
      </c>
      <c r="EF126" s="114">
        <f>IFERROR(SUMIFS('01. KE30'!$X:$X,'01. KE30'!$C:$C,'06. BC BH THEO CUSTOMER-USD'!$D126,'01. KE30'!$F:$F,'06. BC BH THEO CUSTOMER-USD'!$H126,'01. KE30'!$A:$A,'06. BC BH THEO CUSTOMER-USD'!EF$4)-SUMIFS('01. KE30'!$AA:$AA,'01. KE30'!$C:$C,'06. BC BH THEO CUSTOMER-USD'!$D126,'01. KE30'!$F:$F,'06. BC BH THEO CUSTOMER-USD'!$H126,'01. KE30'!$A:$A,'06. BC BH THEO CUSTOMER-USD'!EF$4),"-")</f>
        <v>0</v>
      </c>
      <c r="EH126" s="611">
        <f t="shared" si="531"/>
        <v>-0.29840881882973525</v>
      </c>
      <c r="EI126" s="575">
        <f t="shared" si="532"/>
        <v>-0.29250425358851656</v>
      </c>
      <c r="EJ126" s="575">
        <f t="shared" si="533"/>
        <v>-7.046506698564578E-2</v>
      </c>
      <c r="EK126" s="575">
        <f t="shared" si="534"/>
        <v>-6.8525712918660303E-2</v>
      </c>
      <c r="EL126" s="575" t="str">
        <f t="shared" si="535"/>
        <v>-</v>
      </c>
      <c r="EM126" s="575" t="str">
        <f t="shared" si="536"/>
        <v>-</v>
      </c>
      <c r="EN126" s="575">
        <f t="shared" si="537"/>
        <v>-0.49989219047619049</v>
      </c>
      <c r="EO126" s="575">
        <f t="shared" si="538"/>
        <v>-0.6106206693517453</v>
      </c>
      <c r="EP126" s="575" t="str">
        <f t="shared" si="539"/>
        <v>-</v>
      </c>
      <c r="EQ126" s="575" t="str">
        <f t="shared" si="540"/>
        <v>-</v>
      </c>
      <c r="ER126" s="575" t="str">
        <f t="shared" si="541"/>
        <v>-</v>
      </c>
      <c r="ES126" s="575" t="str">
        <f t="shared" si="542"/>
        <v>-</v>
      </c>
      <c r="ET126" s="575" t="str">
        <f t="shared" si="543"/>
        <v>-</v>
      </c>
    </row>
    <row r="127" spans="1:150" s="14" customFormat="1" ht="15" hidden="1" collapsed="1" x14ac:dyDescent="0.3">
      <c r="A127" s="58" t="s">
        <v>85</v>
      </c>
      <c r="B127" s="474"/>
      <c r="C127" s="59"/>
      <c r="D127" s="59"/>
      <c r="E127" s="60" t="s">
        <v>265</v>
      </c>
      <c r="F127" s="60"/>
      <c r="G127" s="60"/>
      <c r="H127" s="61"/>
      <c r="I127" s="61"/>
      <c r="J127" s="16"/>
      <c r="K127" s="60"/>
      <c r="L127" s="145">
        <f t="shared" ref="L127:AL127" si="1242">IFERROR(AVERAGE(L128:L156),"-")</f>
        <v>1182.5403353582135</v>
      </c>
      <c r="M127" s="145">
        <f t="shared" si="1242"/>
        <v>1396.5653017529773</v>
      </c>
      <c r="N127" s="145">
        <f t="shared" si="1242"/>
        <v>1296.4781902323748</v>
      </c>
      <c r="O127" s="145">
        <f t="shared" si="1242"/>
        <v>1263.982939632546</v>
      </c>
      <c r="P127" s="145">
        <f t="shared" si="1242"/>
        <v>1103.2051447498602</v>
      </c>
      <c r="Q127" s="145">
        <f t="shared" si="1242"/>
        <v>1314.4423498324311</v>
      </c>
      <c r="R127" s="145">
        <f t="shared" si="1242"/>
        <v>1271.4704486249916</v>
      </c>
      <c r="S127" s="145">
        <f t="shared" si="1242"/>
        <v>1131.7417851855259</v>
      </c>
      <c r="T127" s="145">
        <f t="shared" si="1242"/>
        <v>1195.8580681206636</v>
      </c>
      <c r="U127" s="145">
        <f t="shared" si="1242"/>
        <v>1222.9578456087224</v>
      </c>
      <c r="V127" s="145" t="str">
        <f t="shared" si="1242"/>
        <v>-</v>
      </c>
      <c r="W127" s="145" t="str">
        <f t="shared" si="1242"/>
        <v>-</v>
      </c>
      <c r="X127" s="145" t="str">
        <f t="shared" si="1242"/>
        <v>-</v>
      </c>
      <c r="Y127" s="145" t="str">
        <f t="shared" si="1242"/>
        <v>-</v>
      </c>
      <c r="Z127" s="71">
        <f t="shared" si="1242"/>
        <v>1152.6460233416033</v>
      </c>
      <c r="AA127" s="71">
        <f t="shared" si="1242"/>
        <v>1391.4339721313224</v>
      </c>
      <c r="AB127" s="71">
        <f t="shared" si="1242"/>
        <v>1292.7024490709614</v>
      </c>
      <c r="AC127" s="71">
        <f t="shared" si="1242"/>
        <v>1253.0567338152598</v>
      </c>
      <c r="AD127" s="71">
        <f t="shared" si="1242"/>
        <v>1099.8256372049407</v>
      </c>
      <c r="AE127" s="71">
        <f t="shared" si="1242"/>
        <v>1310.9522339851785</v>
      </c>
      <c r="AF127" s="71">
        <f t="shared" si="1242"/>
        <v>1241.4784634118896</v>
      </c>
      <c r="AG127" s="71">
        <f t="shared" si="1242"/>
        <v>1126.994181513604</v>
      </c>
      <c r="AH127" s="71">
        <f t="shared" si="1242"/>
        <v>1157.136653568801</v>
      </c>
      <c r="AI127" s="71">
        <f t="shared" si="1242"/>
        <v>1218.2218408731728</v>
      </c>
      <c r="AJ127" s="71" t="str">
        <f t="shared" si="1242"/>
        <v>-</v>
      </c>
      <c r="AK127" s="71" t="str">
        <f t="shared" si="1242"/>
        <v>-</v>
      </c>
      <c r="AL127" s="71" t="str">
        <f t="shared" si="1242"/>
        <v>-</v>
      </c>
      <c r="AN127" s="71">
        <f t="shared" ref="AN127:AZ127" si="1243">IFERROR(AVERAGE(AN128:AN156),0)</f>
        <v>1247.8544061302687</v>
      </c>
      <c r="AO127" s="71">
        <f t="shared" si="1243"/>
        <v>1284.4827586206898</v>
      </c>
      <c r="AP127" s="71">
        <f t="shared" si="1243"/>
        <v>1272.4137931034484</v>
      </c>
      <c r="AQ127" s="71">
        <f t="shared" si="1243"/>
        <v>1241.3793103448277</v>
      </c>
      <c r="AR127" s="71">
        <f t="shared" si="1243"/>
        <v>1241.3793103448277</v>
      </c>
      <c r="AS127" s="71">
        <f t="shared" si="1243"/>
        <v>1241.3793103448277</v>
      </c>
      <c r="AT127" s="71">
        <f t="shared" si="1243"/>
        <v>1241.3793103448277</v>
      </c>
      <c r="AU127" s="71">
        <f t="shared" si="1243"/>
        <v>1249.655172413793</v>
      </c>
      <c r="AV127" s="71">
        <f t="shared" si="1243"/>
        <v>1235.1724137931035</v>
      </c>
      <c r="AW127" s="71">
        <f t="shared" si="1243"/>
        <v>1223.4482758620691</v>
      </c>
      <c r="AX127" s="71">
        <f t="shared" si="1243"/>
        <v>0</v>
      </c>
      <c r="AY127" s="71">
        <f t="shared" si="1243"/>
        <v>0</v>
      </c>
      <c r="AZ127" s="71">
        <f t="shared" si="1243"/>
        <v>0</v>
      </c>
      <c r="BA127" s="71">
        <f>IFERROR(AVERAGE(BA128:BA206),0)</f>
        <v>0</v>
      </c>
      <c r="BB127" s="96">
        <f t="shared" si="637"/>
        <v>-95.208382788665403</v>
      </c>
      <c r="BC127" s="96">
        <f t="shared" si="638"/>
        <v>106.95121351063267</v>
      </c>
      <c r="BD127" s="96">
        <f t="shared" si="1147"/>
        <v>20.288655967513023</v>
      </c>
      <c r="BE127" s="96">
        <f t="shared" si="1147"/>
        <v>11.677423470432132</v>
      </c>
      <c r="BF127" s="96">
        <f t="shared" si="1147"/>
        <v>-141.553673139887</v>
      </c>
      <c r="BG127" s="96">
        <f t="shared" si="1147"/>
        <v>69.572923640350837</v>
      </c>
      <c r="BH127" s="96">
        <f t="shared" si="1147"/>
        <v>9.9153067061934053E-2</v>
      </c>
      <c r="BI127" s="96">
        <f t="shared" si="1147"/>
        <v>-122.66099090018906</v>
      </c>
      <c r="BJ127" s="96">
        <f t="shared" si="1147"/>
        <v>-78.035760224302521</v>
      </c>
      <c r="BK127" s="96">
        <f t="shared" si="1147"/>
        <v>-5.2264349888962442</v>
      </c>
      <c r="BL127" s="96" t="str">
        <f t="shared" si="1147"/>
        <v>-</v>
      </c>
      <c r="BM127" s="96" t="str">
        <f t="shared" si="1147"/>
        <v>-</v>
      </c>
      <c r="BN127" s="96" t="str">
        <f t="shared" si="1147"/>
        <v>-</v>
      </c>
      <c r="BP127" s="142">
        <f t="shared" si="639"/>
        <v>-7.6297669280118094E-2</v>
      </c>
      <c r="BQ127" s="142">
        <f t="shared" si="517"/>
        <v>8.3264031994854951E-2</v>
      </c>
      <c r="BR127" s="142">
        <f t="shared" si="518"/>
        <v>1.5945014175010232E-2</v>
      </c>
      <c r="BS127" s="142">
        <f t="shared" si="519"/>
        <v>9.4068133511814381E-3</v>
      </c>
      <c r="BT127" s="142">
        <f t="shared" si="520"/>
        <v>-0.11402934780713118</v>
      </c>
      <c r="BU127" s="142">
        <f t="shared" si="521"/>
        <v>5.6044855154727062E-2</v>
      </c>
      <c r="BV127" s="142">
        <f t="shared" si="522"/>
        <v>7.9873304022113541E-5</v>
      </c>
      <c r="BW127" s="142">
        <f t="shared" si="523"/>
        <v>-9.8155870201586171E-2</v>
      </c>
      <c r="BX127" s="142">
        <f t="shared" si="524"/>
        <v>-6.3178030332349894E-2</v>
      </c>
      <c r="BY127" s="142">
        <f t="shared" si="525"/>
        <v>-4.2718888015217324E-3</v>
      </c>
      <c r="BZ127" s="142" t="str">
        <f t="shared" si="526"/>
        <v>-</v>
      </c>
      <c r="CA127" s="142" t="str">
        <f t="shared" si="527"/>
        <v>-</v>
      </c>
      <c r="CB127" s="142" t="str">
        <f t="shared" si="528"/>
        <v>-</v>
      </c>
      <c r="CD127" s="113">
        <f>IFERROR(AVERAGE(CD128:CD156),0)</f>
        <v>1065.2191737699125</v>
      </c>
      <c r="CE127" s="113">
        <f t="shared" ref="CE127:CP127" si="1244">SUM(CE128:CE156)</f>
        <v>6656.4559605401064</v>
      </c>
      <c r="CF127" s="113">
        <f t="shared" si="1244"/>
        <v>9402.8792166374842</v>
      </c>
      <c r="CG127" s="113">
        <f t="shared" si="1244"/>
        <v>13942.778498426334</v>
      </c>
      <c r="CH127" s="113">
        <f t="shared" si="1244"/>
        <v>9636.6502134334896</v>
      </c>
      <c r="CI127" s="113">
        <f t="shared" si="1244"/>
        <v>8645.2824621895688</v>
      </c>
      <c r="CJ127" s="113">
        <f t="shared" si="1244"/>
        <v>9675.8108543036196</v>
      </c>
      <c r="CK127" s="113">
        <f t="shared" si="1244"/>
        <v>7011.5898396647544</v>
      </c>
      <c r="CL127" s="113">
        <f t="shared" si="1244"/>
        <v>8153.4897622513226</v>
      </c>
      <c r="CM127" s="113">
        <f t="shared" si="1244"/>
        <v>7174.4070311884934</v>
      </c>
      <c r="CN127" s="113">
        <f t="shared" si="1244"/>
        <v>0</v>
      </c>
      <c r="CO127" s="113">
        <f t="shared" si="1244"/>
        <v>0</v>
      </c>
      <c r="CP127" s="113">
        <f t="shared" si="1244"/>
        <v>0</v>
      </c>
      <c r="CR127" s="115">
        <f t="shared" ref="CR127:DD127" si="1245">SUM(CR128:CR156)</f>
        <v>2171.8249999999998</v>
      </c>
      <c r="CS127" s="115">
        <f t="shared" si="1245"/>
        <v>164.85</v>
      </c>
      <c r="CT127" s="115">
        <f t="shared" si="1245"/>
        <v>211</v>
      </c>
      <c r="CU127" s="115">
        <f t="shared" si="1245"/>
        <v>359.77500000000003</v>
      </c>
      <c r="CV127" s="115">
        <f t="shared" si="1245"/>
        <v>154.25</v>
      </c>
      <c r="CW127" s="115">
        <f t="shared" si="1245"/>
        <v>193.875</v>
      </c>
      <c r="CX127" s="115">
        <f t="shared" si="1245"/>
        <v>260.85000000000002</v>
      </c>
      <c r="CY127" s="115">
        <f t="shared" si="1245"/>
        <v>211.75</v>
      </c>
      <c r="CZ127" s="115">
        <f t="shared" si="1245"/>
        <v>361.1</v>
      </c>
      <c r="DA127" s="115">
        <f t="shared" si="1245"/>
        <v>254.375</v>
      </c>
      <c r="DB127" s="115">
        <f t="shared" si="1245"/>
        <v>0</v>
      </c>
      <c r="DC127" s="115">
        <f t="shared" si="1245"/>
        <v>0</v>
      </c>
      <c r="DD127" s="115">
        <f t="shared" si="1245"/>
        <v>0</v>
      </c>
      <c r="DF127" s="115">
        <f t="shared" ref="DF127:DR127" si="1246">SUM(DF128:DF156)</f>
        <v>2819098.3937312528</v>
      </c>
      <c r="DG127" s="115">
        <f t="shared" si="1246"/>
        <v>232345.41148133279</v>
      </c>
      <c r="DH127" s="115">
        <f t="shared" si="1246"/>
        <v>284895.12800315086</v>
      </c>
      <c r="DI127" s="115">
        <f t="shared" si="1246"/>
        <v>500501.67716535431</v>
      </c>
      <c r="DJ127" s="115">
        <f t="shared" si="1246"/>
        <v>183759.14827719706</v>
      </c>
      <c r="DK127" s="115">
        <f t="shared" si="1246"/>
        <v>255666.30413766432</v>
      </c>
      <c r="DL127" s="115">
        <f t="shared" si="1246"/>
        <v>325267.10227623454</v>
      </c>
      <c r="DM127" s="115">
        <f t="shared" si="1246"/>
        <v>267006.5362658471</v>
      </c>
      <c r="DN127" s="115">
        <f t="shared" si="1246"/>
        <v>464813.49667685252</v>
      </c>
      <c r="DO127" s="115">
        <f t="shared" si="1246"/>
        <v>304843.58944761904</v>
      </c>
      <c r="DP127" s="115">
        <f t="shared" si="1246"/>
        <v>0</v>
      </c>
      <c r="DQ127" s="115">
        <f t="shared" si="1246"/>
        <v>0</v>
      </c>
      <c r="DR127" s="115">
        <f t="shared" si="1246"/>
        <v>0</v>
      </c>
      <c r="DT127" s="115">
        <f t="shared" ref="DT127:EF127" si="1247">SUM(DT128:DT156)</f>
        <v>401303.3261319673</v>
      </c>
      <c r="DU127" s="115">
        <f t="shared" si="1247"/>
        <v>44673.204696908877</v>
      </c>
      <c r="DV127" s="115">
        <f t="shared" si="1247"/>
        <v>35498.570166148835</v>
      </c>
      <c r="DW127" s="115">
        <f t="shared" si="1247"/>
        <v>76480.952974628191</v>
      </c>
      <c r="DX127" s="115">
        <f t="shared" si="1247"/>
        <v>6381.3444659526094</v>
      </c>
      <c r="DY127" s="115">
        <f t="shared" si="1247"/>
        <v>37181.139158145001</v>
      </c>
      <c r="DZ127" s="115">
        <f t="shared" si="1247"/>
        <v>42886.930548411066</v>
      </c>
      <c r="EA127" s="115">
        <f t="shared" si="1247"/>
        <v>42620.560279449652</v>
      </c>
      <c r="EB127" s="115">
        <f t="shared" si="1247"/>
        <v>72161.173103584893</v>
      </c>
      <c r="EC127" s="115">
        <f t="shared" si="1247"/>
        <v>43419.450738738218</v>
      </c>
      <c r="ED127" s="115">
        <f t="shared" si="1247"/>
        <v>0</v>
      </c>
      <c r="EE127" s="115">
        <f t="shared" si="1247"/>
        <v>0</v>
      </c>
      <c r="EF127" s="115">
        <f t="shared" si="1247"/>
        <v>0</v>
      </c>
      <c r="EH127" s="574">
        <f t="shared" si="531"/>
        <v>0.14235165648149559</v>
      </c>
      <c r="EI127" s="574">
        <f t="shared" si="532"/>
        <v>0.19227065605510368</v>
      </c>
      <c r="EJ127" s="574">
        <f t="shared" si="533"/>
        <v>0.12460223667200174</v>
      </c>
      <c r="EK127" s="574">
        <f t="shared" si="534"/>
        <v>0.15280858479393394</v>
      </c>
      <c r="EL127" s="574">
        <f t="shared" si="535"/>
        <v>3.4726676335735278E-2</v>
      </c>
      <c r="EM127" s="574">
        <f t="shared" si="536"/>
        <v>0.14542839066553212</v>
      </c>
      <c r="EN127" s="574">
        <f t="shared" si="537"/>
        <v>0.13185142379381837</v>
      </c>
      <c r="EO127" s="574">
        <f t="shared" si="538"/>
        <v>0.15962365893924846</v>
      </c>
      <c r="EP127" s="574">
        <f t="shared" si="539"/>
        <v>0.15524758557893761</v>
      </c>
      <c r="EQ127" s="574">
        <f t="shared" si="540"/>
        <v>0.14243189701779488</v>
      </c>
      <c r="ER127" s="574" t="str">
        <f t="shared" si="541"/>
        <v>-</v>
      </c>
      <c r="ES127" s="574" t="str">
        <f t="shared" si="542"/>
        <v>-</v>
      </c>
      <c r="ET127" s="574" t="str">
        <f t="shared" si="543"/>
        <v>-</v>
      </c>
    </row>
    <row r="128" spans="1:150" ht="15.5" hidden="1" outlineLevel="1" x14ac:dyDescent="0.35">
      <c r="A128" s="65">
        <v>1</v>
      </c>
      <c r="B128" s="65" t="s">
        <v>265</v>
      </c>
      <c r="C128" s="442" t="s">
        <v>502</v>
      </c>
      <c r="D128" s="66" t="s">
        <v>82</v>
      </c>
      <c r="E128" s="67" t="s">
        <v>81</v>
      </c>
      <c r="F128" s="12" t="s">
        <v>245</v>
      </c>
      <c r="G128" s="12" t="str">
        <f>_xlfn.XLOOKUP(F128,'Quy đổi'!$G$5:$G$32,'Quy đổi'!$H$5:$H$32,0)</f>
        <v>Nội địa</v>
      </c>
      <c r="H128" s="79" t="s">
        <v>69</v>
      </c>
      <c r="I128" s="68" t="s">
        <v>64</v>
      </c>
      <c r="J128" s="69" t="s">
        <v>22</v>
      </c>
      <c r="K128" s="70"/>
      <c r="L128" s="92">
        <f>IFERROR(AVERAGE(M128:X128),"-")</f>
        <v>1367.8353160215718</v>
      </c>
      <c r="M128" s="106">
        <f>IFERROR(SUMIFS('01. KE30'!$K:$K,'01. KE30'!$C:$C,'06. BC BH THEO CUSTOMER-USD'!$D128,'01. KE30'!$F:$F,'06. BC BH THEO CUSTOMER-USD'!$H128,'01. KE30'!$A:$A,'06. BC BH THEO CUSTOMER-USD'!M$4)/'06. BC BH THEO CUSTOMER-USD'!CS128/'02. Tỷ giá'!B$5,"-")</f>
        <v>1408.8317944600562</v>
      </c>
      <c r="N128" s="106">
        <f>IFERROR(SUMIFS('01. KE30'!$K:$K,'01. KE30'!$C:$C,'06. BC BH THEO CUSTOMER-USD'!$D128,'01. KE30'!$F:$F,'06. BC BH THEO CUSTOMER-USD'!$H128,'01. KE30'!$A:$A,'06. BC BH THEO CUSTOMER-USD'!N$4)/'06. BC BH THEO CUSTOMER-USD'!CT128/'02. Tỷ giá'!C$5,"-")</f>
        <v>1400.5513981882632</v>
      </c>
      <c r="O128" s="106">
        <f>IFERROR(SUMIFS('01. KE30'!$K:$K,'01. KE30'!$C:$C,'06. BC BH THEO CUSTOMER-USD'!$D128,'01. KE30'!$F:$F,'06. BC BH THEO CUSTOMER-USD'!$H128,'01. KE30'!$A:$A,'06. BC BH THEO CUSTOMER-USD'!O$4)/'06. BC BH THEO CUSTOMER-USD'!CU128/'02. Tỷ giá'!D$5,"-")</f>
        <v>1400</v>
      </c>
      <c r="P128" s="106">
        <f>IFERROR(SUMIFS('01. KE30'!$K:$K,'01. KE30'!$C:$C,'06. BC BH THEO CUSTOMER-USD'!$D128,'01. KE30'!$F:$F,'06. BC BH THEO CUSTOMER-USD'!$H128,'01. KE30'!$A:$A,'06. BC BH THEO CUSTOMER-USD'!P$4)/'06. BC BH THEO CUSTOMER-USD'!CV128/'02. Tỷ giá'!E$5,"-")</f>
        <v>1340.5923344947735</v>
      </c>
      <c r="Q128" s="106">
        <f>IFERROR(SUMIFS('01. KE30'!$K:$K,'01. KE30'!$C:$C,'06. BC BH THEO CUSTOMER-USD'!$D128,'01. KE30'!$F:$F,'06. BC BH THEO CUSTOMER-USD'!$H128,'01. KE30'!$A:$A,'06. BC BH THEO CUSTOMER-USD'!Q$4)/'06. BC BH THEO CUSTOMER-USD'!CW128/'02. Tỷ giá'!F$5,"-")</f>
        <v>1339.0371229698376</v>
      </c>
      <c r="R128" s="106">
        <f>IFERROR(SUMIFS('01. KE30'!$K:$K,'01. KE30'!$C:$C,'06. BC BH THEO CUSTOMER-USD'!$D128,'01. KE30'!$F:$F,'06. BC BH THEO CUSTOMER-USD'!$H128,'01. KE30'!$A:$A,'06. BC BH THEO CUSTOMER-USD'!R$4)/'06. BC BH THEO CUSTOMER-USD'!CX128/'02. Tỷ giá'!G$5,"-")</f>
        <v>1335.9375</v>
      </c>
      <c r="S128" s="106">
        <f>IFERROR(SUMIFS('01. KE30'!$K:$K,'01. KE30'!$C:$C,'06. BC BH THEO CUSTOMER-USD'!$D128,'01. KE30'!$F:$F,'06. BC BH THEO CUSTOMER-USD'!$H128,'01. KE30'!$A:$A,'06. BC BH THEO CUSTOMER-USD'!S$4)/'06. BC BH THEO CUSTOMER-USD'!CY128/'02. Tỷ giá'!H$5,"-")</f>
        <v>1351.0413625304136</v>
      </c>
      <c r="T128" s="106">
        <f>IFERROR(SUMIFS('01. KE30'!$K:$K,'01. KE30'!$C:$C,'06. BC BH THEO CUSTOMER-USD'!$D128,'01. KE30'!$F:$F,'06. BC BH THEO CUSTOMER-USD'!$H128,'01. KE30'!$A:$A,'06. BC BH THEO CUSTOMER-USD'!T$4)/'06. BC BH THEO CUSTOMER-USD'!CZ128/'02. Tỷ giá'!I$5,"-")</f>
        <v>1369.0886172650878</v>
      </c>
      <c r="U128" s="106">
        <f>IFERROR(SUMIFS('01. KE30'!$K:$K,'01. KE30'!$C:$C,'06. BC BH THEO CUSTOMER-USD'!$D128,'01. KE30'!$F:$F,'06. BC BH THEO CUSTOMER-USD'!$H128,'01. KE30'!$A:$A,'06. BC BH THEO CUSTOMER-USD'!U$4)/'06. BC BH THEO CUSTOMER-USD'!DA128/'02. Tỷ giá'!J$5,"-")</f>
        <v>1365.4377142857143</v>
      </c>
      <c r="V128" s="106" t="str">
        <f>IFERROR(SUMIFS('01. KE30'!$K:$K,'01. KE30'!$C:$C,'06. BC BH THEO CUSTOMER-USD'!$D128,'01. KE30'!$F:$F,'06. BC BH THEO CUSTOMER-USD'!$H128,'01. KE30'!$A:$A,'06. BC BH THEO CUSTOMER-USD'!V$4)/'06. BC BH THEO CUSTOMER-USD'!DB128/'02. Tỷ giá'!K$5,"-")</f>
        <v>-</v>
      </c>
      <c r="W128" s="106" t="str">
        <f>IFERROR(SUMIFS('01. KE30'!$K:$K,'01. KE30'!$C:$C,'06. BC BH THEO CUSTOMER-USD'!$D128,'01. KE30'!$F:$F,'06. BC BH THEO CUSTOMER-USD'!$H128,'01. KE30'!$A:$A,'06. BC BH THEO CUSTOMER-USD'!W$4)/'06. BC BH THEO CUSTOMER-USD'!DC128/'02. Tỷ giá'!L$5,"-")</f>
        <v>-</v>
      </c>
      <c r="X128" s="106" t="str">
        <f>IFERROR(SUMIFS('01. KE30'!$K:$K,'01. KE30'!$C:$C,'06. BC BH THEO CUSTOMER-USD'!$D128,'01. KE30'!$F:$F,'06. BC BH THEO CUSTOMER-USD'!$H128,'01. KE30'!$A:$A,'06. BC BH THEO CUSTOMER-USD'!X$4)/'06. BC BH THEO CUSTOMER-USD'!DD128/'02. Tỷ giá'!M$5,"-")</f>
        <v>-</v>
      </c>
      <c r="Z128" s="92">
        <f>IFERROR(AVERAGE(AA128:AL128),"-")</f>
        <v>1367.8353160215718</v>
      </c>
      <c r="AA128" s="147">
        <f>IFERROR(SUMIFS('01. KE30'!$O:$O,'01. KE30'!$C:$C,'06. BC BH THEO CUSTOMER-USD'!$D128,'01. KE30'!$F:$F,'06. BC BH THEO CUSTOMER-USD'!$H128,'01. KE30'!$A:$A,'06. BC BH THEO CUSTOMER-USD'!M$4)/'06. BC BH THEO CUSTOMER-USD'!CS128/'02. Tỷ giá'!B$5,"-")</f>
        <v>1408.8317944600562</v>
      </c>
      <c r="AB128" s="147">
        <f>IFERROR(SUMIFS('01. KE30'!$O:$O,'01. KE30'!$C:$C,'06. BC BH THEO CUSTOMER-USD'!$D128,'01. KE30'!$F:$F,'06. BC BH THEO CUSTOMER-USD'!$H128,'01. KE30'!$A:$A,'06. BC BH THEO CUSTOMER-USD'!N$4)/'06. BC BH THEO CUSTOMER-USD'!CT128/'02. Tỷ giá'!C$5,"-")</f>
        <v>1400.5513981882632</v>
      </c>
      <c r="AC128" s="147">
        <f>IFERROR(SUMIFS('01. KE30'!$O:$O,'01. KE30'!$C:$C,'06. BC BH THEO CUSTOMER-USD'!$D128,'01. KE30'!$F:$F,'06. BC BH THEO CUSTOMER-USD'!$H128,'01. KE30'!$A:$A,'06. BC BH THEO CUSTOMER-USD'!O$4)/'06. BC BH THEO CUSTOMER-USD'!CU128/'02. Tỷ giá'!D$5,"-")</f>
        <v>1400</v>
      </c>
      <c r="AD128" s="147">
        <f>IFERROR(SUMIFS('01. KE30'!$O:$O,'01. KE30'!$C:$C,'06. BC BH THEO CUSTOMER-USD'!$D128,'01. KE30'!$F:$F,'06. BC BH THEO CUSTOMER-USD'!$H128,'01. KE30'!$A:$A,'06. BC BH THEO CUSTOMER-USD'!P$4)/'06. BC BH THEO CUSTOMER-USD'!CV128/'02. Tỷ giá'!E$5,"-")</f>
        <v>1340.5923344947735</v>
      </c>
      <c r="AE128" s="147">
        <f>IFERROR(SUMIFS('01. KE30'!$O:$O,'01. KE30'!$C:$C,'06. BC BH THEO CUSTOMER-USD'!$D128,'01. KE30'!$F:$F,'06. BC BH THEO CUSTOMER-USD'!$H128,'01. KE30'!$A:$A,'06. BC BH THEO CUSTOMER-USD'!Q$4)/'06. BC BH THEO CUSTOMER-USD'!CW128/'02. Tỷ giá'!F$5,"-")</f>
        <v>1339.0371229698376</v>
      </c>
      <c r="AF128" s="147">
        <f>IFERROR(SUMIFS('01. KE30'!$O:$O,'01. KE30'!$C:$C,'06. BC BH THEO CUSTOMER-USD'!$D128,'01. KE30'!$F:$F,'06. BC BH THEO CUSTOMER-USD'!$H128,'01. KE30'!$A:$A,'06. BC BH THEO CUSTOMER-USD'!R$4)/'06. BC BH THEO CUSTOMER-USD'!CX128/'02. Tỷ giá'!G$5,"-")</f>
        <v>1335.9375</v>
      </c>
      <c r="AG128" s="147">
        <f>IFERROR(SUMIFS('01. KE30'!$O:$O,'01. KE30'!$C:$C,'06. BC BH THEO CUSTOMER-USD'!$D128,'01. KE30'!$F:$F,'06. BC BH THEO CUSTOMER-USD'!$H128,'01. KE30'!$A:$A,'06. BC BH THEO CUSTOMER-USD'!S$4)/'06. BC BH THEO CUSTOMER-USD'!CY128/'02. Tỷ giá'!H$5,"-")</f>
        <v>1351.0413625304136</v>
      </c>
      <c r="AH128" s="147">
        <f>IFERROR(SUMIFS('01. KE30'!$O:$O,'01. KE30'!$C:$C,'06. BC BH THEO CUSTOMER-USD'!$D128,'01. KE30'!$F:$F,'06. BC BH THEO CUSTOMER-USD'!$H128,'01. KE30'!$A:$A,'06. BC BH THEO CUSTOMER-USD'!T$4)/'06. BC BH THEO CUSTOMER-USD'!CZ128/'02. Tỷ giá'!I$5,"-")</f>
        <v>1369.0886172650878</v>
      </c>
      <c r="AI128" s="147">
        <f>IFERROR(SUMIFS('01. KE30'!$O:$O,'01. KE30'!$C:$C,'06. BC BH THEO CUSTOMER-USD'!$D128,'01. KE30'!$F:$F,'06. BC BH THEO CUSTOMER-USD'!$H128,'01. KE30'!$A:$A,'06. BC BH THEO CUSTOMER-USD'!U$4)/'06. BC BH THEO CUSTOMER-USD'!DA128/'02. Tỷ giá'!J$5,"-")</f>
        <v>1365.4377142857143</v>
      </c>
      <c r="AJ128" s="147" t="str">
        <f>IFERROR(SUMIFS('01. KE30'!$O:$O,'01. KE30'!$C:$C,'06. BC BH THEO CUSTOMER-USD'!$D128,'01. KE30'!$F:$F,'06. BC BH THEO CUSTOMER-USD'!$H128,'01. KE30'!$A:$A,'06. BC BH THEO CUSTOMER-USD'!V$4)/'06. BC BH THEO CUSTOMER-USD'!DB128/'02. Tỷ giá'!K$5,"-")</f>
        <v>-</v>
      </c>
      <c r="AK128" s="147" t="str">
        <f>IFERROR(SUMIFS('01. KE30'!$O:$O,'01. KE30'!$C:$C,'06. BC BH THEO CUSTOMER-USD'!$D128,'01. KE30'!$F:$F,'06. BC BH THEO CUSTOMER-USD'!$H128,'01. KE30'!$A:$A,'06. BC BH THEO CUSTOMER-USD'!W$4)/'06. BC BH THEO CUSTOMER-USD'!DC128/'02. Tỷ giá'!L$5,"-")</f>
        <v>-</v>
      </c>
      <c r="AL128" s="147" t="str">
        <f>IFERROR(SUMIFS('01. KE30'!$O:$O,'01. KE30'!$C:$C,'06. BC BH THEO CUSTOMER-USD'!$D128,'01. KE30'!$F:$F,'06. BC BH THEO CUSTOMER-USD'!$H128,'01. KE30'!$A:$A,'06. BC BH THEO CUSTOMER-USD'!X$4)/'06. BC BH THEO CUSTOMER-USD'!DD128/'02. Tỷ giá'!M$5,"-")</f>
        <v>-</v>
      </c>
      <c r="AN128" s="55">
        <f>IFERROR(AVERAGE(AO128:AZ128),"-")</f>
        <v>1360</v>
      </c>
      <c r="AO128" s="4">
        <v>1350</v>
      </c>
      <c r="AP128" s="4">
        <v>1350</v>
      </c>
      <c r="AQ128" s="4">
        <v>1350</v>
      </c>
      <c r="AR128" s="4">
        <v>1350</v>
      </c>
      <c r="AS128" s="4">
        <v>1350</v>
      </c>
      <c r="AT128" s="4">
        <v>1350</v>
      </c>
      <c r="AU128" s="4">
        <v>1380</v>
      </c>
      <c r="AV128" s="4">
        <v>1380</v>
      </c>
      <c r="AW128" s="4">
        <v>1380</v>
      </c>
      <c r="AX128" s="4"/>
      <c r="AY128" s="4"/>
      <c r="AZ128" s="4"/>
      <c r="BB128" s="54">
        <f t="shared" si="637"/>
        <v>7.8353160215717708</v>
      </c>
      <c r="BC128" s="95">
        <f t="shared" si="638"/>
        <v>58.831794460056244</v>
      </c>
      <c r="BD128" s="95">
        <f t="shared" si="1147"/>
        <v>50.551398188263192</v>
      </c>
      <c r="BE128" s="95">
        <f t="shared" si="1147"/>
        <v>50</v>
      </c>
      <c r="BF128" s="95">
        <f t="shared" si="1147"/>
        <v>-9.4076655052265323</v>
      </c>
      <c r="BG128" s="95">
        <f t="shared" si="1147"/>
        <v>-10.962877030162417</v>
      </c>
      <c r="BH128" s="95">
        <f t="shared" si="1147"/>
        <v>-14.0625</v>
      </c>
      <c r="BI128" s="95">
        <f t="shared" si="1147"/>
        <v>-28.958637469586392</v>
      </c>
      <c r="BJ128" s="95">
        <f t="shared" si="1147"/>
        <v>-10.911382734912195</v>
      </c>
      <c r="BK128" s="95">
        <f t="shared" si="1147"/>
        <v>-14.562285714285736</v>
      </c>
      <c r="BL128" s="95" t="str">
        <f t="shared" si="1147"/>
        <v>-</v>
      </c>
      <c r="BM128" s="95" t="str">
        <f t="shared" si="1147"/>
        <v>-</v>
      </c>
      <c r="BN128" s="95" t="str">
        <f t="shared" si="1147"/>
        <v>-</v>
      </c>
      <c r="BP128" s="143">
        <f t="shared" si="639"/>
        <v>5.7612617805674789E-3</v>
      </c>
      <c r="BQ128" s="143">
        <f t="shared" si="517"/>
        <v>4.3579107007449068E-2</v>
      </c>
      <c r="BR128" s="143">
        <f t="shared" si="518"/>
        <v>3.7445480139454215E-2</v>
      </c>
      <c r="BS128" s="143">
        <f t="shared" si="519"/>
        <v>3.7037037037037035E-2</v>
      </c>
      <c r="BT128" s="143">
        <f t="shared" si="520"/>
        <v>-6.9686411149826166E-3</v>
      </c>
      <c r="BU128" s="143">
        <f t="shared" si="521"/>
        <v>-8.1206496519721609E-3</v>
      </c>
      <c r="BV128" s="143">
        <f t="shared" si="522"/>
        <v>-1.0416666666666666E-2</v>
      </c>
      <c r="BW128" s="143">
        <f t="shared" si="523"/>
        <v>-2.0984519905497385E-2</v>
      </c>
      <c r="BX128" s="143">
        <f t="shared" si="524"/>
        <v>-7.9067990832697062E-3</v>
      </c>
      <c r="BY128" s="143">
        <f t="shared" si="525"/>
        <v>-1.0552380952380968E-2</v>
      </c>
      <c r="BZ128" s="143" t="str">
        <f t="shared" si="526"/>
        <v>-</v>
      </c>
      <c r="CA128" s="143" t="str">
        <f t="shared" si="527"/>
        <v>-</v>
      </c>
      <c r="CB128" s="143" t="str">
        <f t="shared" si="528"/>
        <v>-</v>
      </c>
      <c r="CD128" s="112">
        <f t="shared" ref="CD128:CD151" si="1248">IFERROR(AVERAGE(CE128:CP128),"-")</f>
        <v>1070.4635785696926</v>
      </c>
      <c r="CE128" s="95">
        <f>IFERROR(SUMIFS('01. KE30'!$R:$R,'01. KE30'!$C:$C,'06. BC BH THEO CUSTOMER-USD'!$D128,'01. KE30'!$F:$F,'06. BC BH THEO CUSTOMER-USD'!$H128,'01. KE30'!$A:$A,'06. BC BH THEO CUSTOMER-USD'!CE$4)/CS128/'02. Tỷ giá'!B$5," -")</f>
        <v>1119.4856934371212</v>
      </c>
      <c r="CF128" s="95">
        <f>IFERROR(SUMIFS('01. KE30'!$R:$R,'01. KE30'!$C:$C,'06. BC BH THEO CUSTOMER-USD'!$D128,'01. KE30'!$F:$F,'06. BC BH THEO CUSTOMER-USD'!$H128,'01. KE30'!$A:$A,'06. BC BH THEO CUSTOMER-USD'!CF$4)/CT128/'02. Tỷ giá'!C$5," -")</f>
        <v>1100.3654675375826</v>
      </c>
      <c r="CG128" s="95">
        <f>IFERROR(SUMIFS('01. KE30'!$R:$R,'01. KE30'!$C:$C,'06. BC BH THEO CUSTOMER-USD'!$D128,'01. KE30'!$F:$F,'06. BC BH THEO CUSTOMER-USD'!$H128,'01. KE30'!$A:$A,'06. BC BH THEO CUSTOMER-USD'!CG$4)/CU128/'02. Tỷ giá'!D$5," -")</f>
        <v>1100.9324409448818</v>
      </c>
      <c r="CH128" s="95">
        <f>IFERROR(SUMIFS('01. KE30'!$R:$R,'01. KE30'!$C:$C,'06. BC BH THEO CUSTOMER-USD'!$D128,'01. KE30'!$F:$F,'06. BC BH THEO CUSTOMER-USD'!$H128,'01. KE30'!$A:$A,'06. BC BH THEO CUSTOMER-USD'!CH$4)/CV128/'02. Tỷ giá'!E$5," -")</f>
        <v>1078.975159258086</v>
      </c>
      <c r="CI128" s="95">
        <f>IFERROR(SUMIFS('01. KE30'!$R:$R,'01. KE30'!$C:$C,'06. BC BH THEO CUSTOMER-USD'!$D128,'01. KE30'!$F:$F,'06. BC BH THEO CUSTOMER-USD'!$H128,'01. KE30'!$A:$A,'06. BC BH THEO CUSTOMER-USD'!CI$4)/CW128/'02. Tỷ giá'!F$5," -")</f>
        <v>1062.5402024889263</v>
      </c>
      <c r="CJ128" s="95">
        <f>IFERROR(SUMIFS('01. KE30'!$R:$R,'01. KE30'!$C:$C,'06. BC BH THEO CUSTOMER-USD'!$D128,'01. KE30'!$F:$F,'06. BC BH THEO CUSTOMER-USD'!$H128,'01. KE30'!$A:$A,'06. BC BH THEO CUSTOMER-USD'!CJ$4)/CX128/'02. Tỷ giá'!G$5," -")</f>
        <v>1056.0314183501682</v>
      </c>
      <c r="CK128" s="95">
        <f>IFERROR(SUMIFS('01. KE30'!$R:$R,'01. KE30'!$C:$C,'06. BC BH THEO CUSTOMER-USD'!$D128,'01. KE30'!$F:$F,'06. BC BH THEO CUSTOMER-USD'!$H128,'01. KE30'!$A:$A,'06. BC BH THEO CUSTOMER-USD'!CK$4)/CY128/'02. Tỷ giá'!H$5," -")</f>
        <v>1049.222085239642</v>
      </c>
      <c r="CL128" s="95">
        <f>IFERROR(SUMIFS('01. KE30'!$R:$R,'01. KE30'!$C:$C,'06. BC BH THEO CUSTOMER-USD'!$D128,'01. KE30'!$F:$F,'06. BC BH THEO CUSTOMER-USD'!$H128,'01. KE30'!$A:$A,'06. BC BH THEO CUSTOMER-USD'!CL$4)/CZ128/'02. Tỷ giá'!I$5," -")</f>
        <v>1035.5712827279672</v>
      </c>
      <c r="CM128" s="95">
        <f>IFERROR(SUMIFS('01. KE30'!$R:$R,'01. KE30'!$C:$C,'06. BC BH THEO CUSTOMER-USD'!$D128,'01. KE30'!$F:$F,'06. BC BH THEO CUSTOMER-USD'!$H128,'01. KE30'!$A:$A,'06. BC BH THEO CUSTOMER-USD'!CM$4)/DA128/'02. Tỷ giá'!J$5," -")</f>
        <v>1031.0484571428572</v>
      </c>
      <c r="CN128" s="95" t="str">
        <f>IFERROR(SUMIFS('01. KE30'!$R:$R,'01. KE30'!$C:$C,'06. BC BH THEO CUSTOMER-USD'!$D128,'01. KE30'!$F:$F,'06. BC BH THEO CUSTOMER-USD'!$H128,'01. KE30'!$A:$A,'06. BC BH THEO CUSTOMER-USD'!CN$4)/DB128/'02. Tỷ giá'!K$5," -")</f>
        <v xml:space="preserve"> -</v>
      </c>
      <c r="CO128" s="95" t="str">
        <f>IFERROR(SUMIFS('01. KE30'!$R:$R,'01. KE30'!$C:$C,'06. BC BH THEO CUSTOMER-USD'!$D128,'01. KE30'!$F:$F,'06. BC BH THEO CUSTOMER-USD'!$H128,'01. KE30'!$A:$A,'06. BC BH THEO CUSTOMER-USD'!CO$4)/DC128/'02. Tỷ giá'!L$5," -")</f>
        <v xml:space="preserve"> -</v>
      </c>
      <c r="CP128" s="95" t="str">
        <f>IFERROR(SUMIFS('01. KE30'!$R:$R,'01. KE30'!$C:$C,'06. BC BH THEO CUSTOMER-USD'!$D128,'01. KE30'!$F:$F,'06. BC BH THEO CUSTOMER-USD'!$H128,'01. KE30'!$A:$A,'06. BC BH THEO CUSTOMER-USD'!CP$4)/DD128/'02. Tỷ giá'!M$5," -")</f>
        <v xml:space="preserve"> -</v>
      </c>
      <c r="CR128" s="112">
        <f t="shared" ref="CR128:CR185" si="1249">SUM(CS128:DD128)</f>
        <v>659.85</v>
      </c>
      <c r="CS128" s="114">
        <f>SUMIFS('01. KE30'!$I:$I,'01. KE30'!$C:$C,'06. BC BH THEO CUSTOMER-USD'!$D128,'01. KE30'!$F:$F,'06. BC BH THEO CUSTOMER-USD'!$H128,'01. KE30'!$A:$A,'06. BC BH THEO CUSTOMER-USD'!CS$4)/1000</f>
        <v>54.85</v>
      </c>
      <c r="CT128" s="114">
        <f>SUMIFS('01. KE30'!$I:$I,'01. KE30'!$C:$C,'06. BC BH THEO CUSTOMER-USD'!$D128,'01. KE30'!$F:$F,'06. BC BH THEO CUSTOMER-USD'!$H128,'01. KE30'!$A:$A,'06. BC BH THEO CUSTOMER-USD'!CT$4)/1000</f>
        <v>77</v>
      </c>
      <c r="CU128" s="114">
        <f>SUMIFS('01. KE30'!$I:$I,'01. KE30'!$C:$C,'06. BC BH THEO CUSTOMER-USD'!$D128,'01. KE30'!$F:$F,'06. BC BH THEO CUSTOMER-USD'!$H128,'01. KE30'!$A:$A,'06. BC BH THEO CUSTOMER-USD'!CU$4)/1000</f>
        <v>88</v>
      </c>
      <c r="CV128" s="114">
        <f>SUMIFS('01. KE30'!$I:$I,'01. KE30'!$C:$C,'06. BC BH THEO CUSTOMER-USD'!$D128,'01. KE30'!$F:$F,'06. BC BH THEO CUSTOMER-USD'!$H128,'01. KE30'!$A:$A,'06. BC BH THEO CUSTOMER-USD'!CV$4)/1000</f>
        <v>22</v>
      </c>
      <c r="CW128" s="114">
        <f>SUMIFS('01. KE30'!$I:$I,'01. KE30'!$C:$C,'06. BC BH THEO CUSTOMER-USD'!$D128,'01. KE30'!$F:$F,'06. BC BH THEO CUSTOMER-USD'!$H128,'01. KE30'!$A:$A,'06. BC BH THEO CUSTOMER-USD'!CW$4)/1000</f>
        <v>77</v>
      </c>
      <c r="CX128" s="114">
        <f>SUMIFS('01. KE30'!$I:$I,'01. KE30'!$C:$C,'06. BC BH THEO CUSTOMER-USD'!$D128,'01. KE30'!$F:$F,'06. BC BH THEO CUSTOMER-USD'!$H128,'01. KE30'!$A:$A,'06. BC BH THEO CUSTOMER-USD'!CX$4)/1000</f>
        <v>88</v>
      </c>
      <c r="CY128" s="114">
        <f>SUMIFS('01. KE30'!$I:$I,'01. KE30'!$C:$C,'06. BC BH THEO CUSTOMER-USD'!$D128,'01. KE30'!$F:$F,'06. BC BH THEO CUSTOMER-USD'!$H128,'01. KE30'!$A:$A,'06. BC BH THEO CUSTOMER-USD'!CY$4)/1000</f>
        <v>99</v>
      </c>
      <c r="CZ128" s="114">
        <f>SUMIFS('01. KE30'!$I:$I,'01. KE30'!$C:$C,'06. BC BH THEO CUSTOMER-USD'!$D128,'01. KE30'!$F:$F,'06. BC BH THEO CUSTOMER-USD'!$H128,'01. KE30'!$A:$A,'06. BC BH THEO CUSTOMER-USD'!CZ$4)/1000</f>
        <v>77</v>
      </c>
      <c r="DA128" s="114">
        <f>SUMIFS('01. KE30'!$I:$I,'01. KE30'!$C:$C,'06. BC BH THEO CUSTOMER-USD'!$D128,'01. KE30'!$F:$F,'06. BC BH THEO CUSTOMER-USD'!$H128,'01. KE30'!$A:$A,'06. BC BH THEO CUSTOMER-USD'!DA$4)/1000</f>
        <v>77</v>
      </c>
      <c r="DB128" s="114">
        <f>SUMIFS('01. KE30'!$I:$I,'01. KE30'!$C:$C,'06. BC BH THEO CUSTOMER-USD'!$D128,'01. KE30'!$F:$F,'06. BC BH THEO CUSTOMER-USD'!$H128,'01. KE30'!$A:$A,'06. BC BH THEO CUSTOMER-USD'!DB$4)/1000</f>
        <v>0</v>
      </c>
      <c r="DC128" s="114">
        <f>SUMIFS('01. KE30'!$I:$I,'01. KE30'!$C:$C,'06. BC BH THEO CUSTOMER-USD'!$D128,'01. KE30'!$F:$F,'06. BC BH THEO CUSTOMER-USD'!$H128,'01. KE30'!$A:$A,'06. BC BH THEO CUSTOMER-USD'!DC$4)/1000</f>
        <v>0</v>
      </c>
      <c r="DD128" s="114">
        <f>SUMIFS('01. KE30'!$I:$I,'01. KE30'!$C:$C,'06. BC BH THEO CUSTOMER-USD'!$D128,'01. KE30'!$F:$F,'06. BC BH THEO CUSTOMER-USD'!$H128,'01. KE30'!$A:$A,'06. BC BH THEO CUSTOMER-USD'!DD$4)/1000</f>
        <v>0</v>
      </c>
      <c r="DF128" s="112">
        <f t="shared" ref="DF128:DF148" si="1250">SUM(DG128:DR128)</f>
        <v>902789.89383411559</v>
      </c>
      <c r="DG128" s="54">
        <f t="shared" ref="DG128:DG149" si="1251">IFERROR(M128*CS128,"-")</f>
        <v>77274.423926134084</v>
      </c>
      <c r="DH128" s="54">
        <f t="shared" ref="DH128:DH149" si="1252">IFERROR(N128*CT128,"-")</f>
        <v>107842.45766049626</v>
      </c>
      <c r="DI128" s="54">
        <f t="shared" ref="DI128:DI149" si="1253">IFERROR(O128*CU128,"-")</f>
        <v>123200</v>
      </c>
      <c r="DJ128" s="54">
        <f t="shared" ref="DJ128:DJ149" si="1254">IFERROR(P128*CV128,"-")</f>
        <v>29493.031358885015</v>
      </c>
      <c r="DK128" s="54">
        <f t="shared" ref="DK128:DK149" si="1255">IFERROR(Q128*CW128,"-")</f>
        <v>103105.8584686775</v>
      </c>
      <c r="DL128" s="54">
        <f t="shared" ref="DL128:DL149" si="1256">IFERROR(R128*CX128,"-")</f>
        <v>117562.5</v>
      </c>
      <c r="DM128" s="54">
        <f t="shared" ref="DM128:DM149" si="1257">IFERROR(S128*CY128,"-")</f>
        <v>133753.09489051095</v>
      </c>
      <c r="DN128" s="54">
        <f t="shared" ref="DN128:DN149" si="1258">IFERROR(T128*CZ128,"-")</f>
        <v>105419.82352941176</v>
      </c>
      <c r="DO128" s="54">
        <f t="shared" ref="DO128:DO149" si="1259">IFERROR(U128*DA128,"-")</f>
        <v>105138.704</v>
      </c>
      <c r="DP128" s="54" t="str">
        <f t="shared" ref="DP128:DP149" si="1260">IFERROR(V128*DB128,"-")</f>
        <v>-</v>
      </c>
      <c r="DQ128" s="54" t="str">
        <f t="shared" ref="DQ128:DQ149" si="1261">IFERROR(W128*DC128,"-")</f>
        <v>-</v>
      </c>
      <c r="DR128" s="54" t="str">
        <f t="shared" ref="DR128:DR149" si="1262">IFERROR(X128*DD128,"-")</f>
        <v>-</v>
      </c>
      <c r="DT128" s="112">
        <f t="shared" si="652"/>
        <v>198289.38742662797</v>
      </c>
      <c r="DU128" s="114">
        <f>IFERROR(SUMIFS('01. KE30'!$X:$X,'01. KE30'!$C:$C,'06. BC BH THEO CUSTOMER-USD'!$D128,'01. KE30'!$F:$F,'06. BC BH THEO CUSTOMER-USD'!$H128,'01. KE30'!$A:$A,'06. BC BH THEO CUSTOMER-USD'!DU$4)-SUMIFS('01. KE30'!$AA:$AA,'01. KE30'!$C:$C,'06. BC BH THEO CUSTOMER-USD'!$D128,'01. KE30'!$F:$F,'06. BC BH THEO CUSTOMER-USD'!$H128,'01. KE30'!$A:$A,'06. BC BH THEO CUSTOMER-USD'!DU$4),"-")</f>
        <v>15870.63364110799</v>
      </c>
      <c r="DV128" s="114">
        <f>IFERROR(SUMIFS('01. KE30'!$X:$X,'01. KE30'!$C:$C,'06. BC BH THEO CUSTOMER-USD'!$D128,'01. KE30'!$F:$F,'06. BC BH THEO CUSTOMER-USD'!$H128,'01. KE30'!$A:$A,'06. BC BH THEO CUSTOMER-USD'!DV$4)-SUMIFS('01. KE30'!$AA:$AA,'01. KE30'!$C:$C,'06. BC BH THEO CUSTOMER-USD'!$D128,'01. KE30'!$F:$F,'06. BC BH THEO CUSTOMER-USD'!$H128,'01. KE30'!$A:$A,'06. BC BH THEO CUSTOMER-USD'!DV$4),"-")</f>
        <v>23114.316660102413</v>
      </c>
      <c r="DW128" s="114">
        <f>IFERROR(SUMIFS('01. KE30'!$X:$X,'01. KE30'!$C:$C,'06. BC BH THEO CUSTOMER-USD'!$D128,'01. KE30'!$F:$F,'06. BC BH THEO CUSTOMER-USD'!$H128,'01. KE30'!$A:$A,'06. BC BH THEO CUSTOMER-USD'!DW$4)-SUMIFS('01. KE30'!$AA:$AA,'01. KE30'!$C:$C,'06. BC BH THEO CUSTOMER-USD'!$D128,'01. KE30'!$F:$F,'06. BC BH THEO CUSTOMER-USD'!$H128,'01. KE30'!$A:$A,'06. BC BH THEO CUSTOMER-USD'!DW$4),"-")</f>
        <v>26317.9451968504</v>
      </c>
      <c r="DX128" s="114">
        <f>IFERROR(SUMIFS('01. KE30'!$X:$X,'01. KE30'!$C:$C,'06. BC BH THEO CUSTOMER-USD'!$D128,'01. KE30'!$F:$F,'06. BC BH THEO CUSTOMER-USD'!$H128,'01. KE30'!$A:$A,'06. BC BH THEO CUSTOMER-USD'!DX$4)-SUMIFS('01. KE30'!$AA:$AA,'01. KE30'!$C:$C,'06. BC BH THEO CUSTOMER-USD'!$D128,'01. KE30'!$F:$F,'06. BC BH THEO CUSTOMER-USD'!$H128,'01. KE30'!$A:$A,'06. BC BH THEO CUSTOMER-USD'!DX$4),"-")</f>
        <v>5755.5778552071242</v>
      </c>
      <c r="DY128" s="114">
        <f>IFERROR(SUMIFS('01. KE30'!$X:$X,'01. KE30'!$C:$C,'06. BC BH THEO CUSTOMER-USD'!$D128,'01. KE30'!$F:$F,'06. BC BH THEO CUSTOMER-USD'!$H128,'01. KE30'!$A:$A,'06. BC BH THEO CUSTOMER-USD'!DY$4)-SUMIFS('01. KE30'!$AA:$AA,'01. KE30'!$C:$C,'06. BC BH THEO CUSTOMER-USD'!$D128,'01. KE30'!$F:$F,'06. BC BH THEO CUSTOMER-USD'!$H128,'01. KE30'!$A:$A,'06. BC BH THEO CUSTOMER-USD'!DY$4),"-")</f>
        <v>21290.262877030167</v>
      </c>
      <c r="DZ128" s="114">
        <f>IFERROR(SUMIFS('01. KE30'!$X:$X,'01. KE30'!$C:$C,'06. BC BH THEO CUSTOMER-USD'!$D128,'01. KE30'!$F:$F,'06. BC BH THEO CUSTOMER-USD'!$H128,'01. KE30'!$A:$A,'06. BC BH THEO CUSTOMER-USD'!DZ$4)-SUMIFS('01. KE30'!$AA:$AA,'01. KE30'!$C:$C,'06. BC BH THEO CUSTOMER-USD'!$D128,'01. KE30'!$F:$F,'06. BC BH THEO CUSTOMER-USD'!$H128,'01. KE30'!$A:$A,'06. BC BH THEO CUSTOMER-USD'!DZ$4),"-")</f>
        <v>24631.735185185185</v>
      </c>
      <c r="EA128" s="114">
        <f>IFERROR(SUMIFS('01. KE30'!$X:$X,'01. KE30'!$C:$C,'06. BC BH THEO CUSTOMER-USD'!$D128,'01. KE30'!$F:$F,'06. BC BH THEO CUSTOMER-USD'!$H128,'01. KE30'!$A:$A,'06. BC BH THEO CUSTOMER-USD'!EA$4)-SUMIFS('01. KE30'!$AA:$AA,'01. KE30'!$C:$C,'06. BC BH THEO CUSTOMER-USD'!$D128,'01. KE30'!$F:$F,'06. BC BH THEO CUSTOMER-USD'!$H128,'01. KE30'!$A:$A,'06. BC BH THEO CUSTOMER-USD'!EA$4),"-")</f>
        <v>29880.108451786407</v>
      </c>
      <c r="EB128" s="114">
        <f>IFERROR(SUMIFS('01. KE30'!$X:$X,'01. KE30'!$C:$C,'06. BC BH THEO CUSTOMER-USD'!$D128,'01. KE30'!$F:$F,'06. BC BH THEO CUSTOMER-USD'!$H128,'01. KE30'!$A:$A,'06. BC BH THEO CUSTOMER-USD'!EB$4)-SUMIFS('01. KE30'!$AA:$AA,'01. KE30'!$C:$C,'06. BC BH THEO CUSTOMER-USD'!$D128,'01. KE30'!$F:$F,'06. BC BH THEO CUSTOMER-USD'!$H128,'01. KE30'!$A:$A,'06. BC BH THEO CUSTOMER-USD'!EB$4),"-")</f>
        <v>25680.834759358288</v>
      </c>
      <c r="EC128" s="114">
        <f>IFERROR(SUMIFS('01. KE30'!$X:$X,'01. KE30'!$C:$C,'06. BC BH THEO CUSTOMER-USD'!$D128,'01. KE30'!$F:$F,'06. BC BH THEO CUSTOMER-USD'!$H128,'01. KE30'!$A:$A,'06. BC BH THEO CUSTOMER-USD'!EC$4)-SUMIFS('01. KE30'!$AA:$AA,'01. KE30'!$C:$C,'06. BC BH THEO CUSTOMER-USD'!$D128,'01. KE30'!$F:$F,'06. BC BH THEO CUSTOMER-USD'!$H128,'01. KE30'!$A:$A,'06. BC BH THEO CUSTOMER-USD'!EC$4),"-")</f>
        <v>25747.972800000003</v>
      </c>
      <c r="ED128" s="114">
        <f>IFERROR(SUMIFS('01. KE30'!$X:$X,'01. KE30'!$C:$C,'06. BC BH THEO CUSTOMER-USD'!$D128,'01. KE30'!$F:$F,'06. BC BH THEO CUSTOMER-USD'!$H128,'01. KE30'!$A:$A,'06. BC BH THEO CUSTOMER-USD'!ED$4)-SUMIFS('01. KE30'!$AA:$AA,'01. KE30'!$C:$C,'06. BC BH THEO CUSTOMER-USD'!$D128,'01. KE30'!$F:$F,'06. BC BH THEO CUSTOMER-USD'!$H128,'01. KE30'!$A:$A,'06. BC BH THEO CUSTOMER-USD'!ED$4),"-")</f>
        <v>0</v>
      </c>
      <c r="EE128" s="114">
        <f>IFERROR(SUMIFS('01. KE30'!$X:$X,'01. KE30'!$C:$C,'06. BC BH THEO CUSTOMER-USD'!$D128,'01. KE30'!$F:$F,'06. BC BH THEO CUSTOMER-USD'!$H128,'01. KE30'!$A:$A,'06. BC BH THEO CUSTOMER-USD'!EE$4)-SUMIFS('01. KE30'!$AA:$AA,'01. KE30'!$C:$C,'06. BC BH THEO CUSTOMER-USD'!$D128,'01. KE30'!$F:$F,'06. BC BH THEO CUSTOMER-USD'!$H128,'01. KE30'!$A:$A,'06. BC BH THEO CUSTOMER-USD'!EE$4),"-")</f>
        <v>0</v>
      </c>
      <c r="EF128" s="114">
        <f>IFERROR(SUMIFS('01. KE30'!$X:$X,'01. KE30'!$C:$C,'06. BC BH THEO CUSTOMER-USD'!$D128,'01. KE30'!$F:$F,'06. BC BH THEO CUSTOMER-USD'!$H128,'01. KE30'!$A:$A,'06. BC BH THEO CUSTOMER-USD'!EF$4)-SUMIFS('01. KE30'!$AA:$AA,'01. KE30'!$C:$C,'06. BC BH THEO CUSTOMER-USD'!$D128,'01. KE30'!$F:$F,'06. BC BH THEO CUSTOMER-USD'!$H128,'01. KE30'!$A:$A,'06. BC BH THEO CUSTOMER-USD'!EF$4),"-")</f>
        <v>0</v>
      </c>
      <c r="EH128" s="571">
        <f t="shared" si="531"/>
        <v>0.21964068138213225</v>
      </c>
      <c r="EI128" s="572">
        <f t="shared" si="532"/>
        <v>0.20538016118086605</v>
      </c>
      <c r="EJ128" s="572">
        <f t="shared" si="533"/>
        <v>0.21433410515244045</v>
      </c>
      <c r="EK128" s="572">
        <f t="shared" si="534"/>
        <v>0.21361968503937012</v>
      </c>
      <c r="EL128" s="572">
        <f t="shared" si="535"/>
        <v>0.19515043350988776</v>
      </c>
      <c r="EM128" s="572">
        <f t="shared" si="536"/>
        <v>0.20648936145076499</v>
      </c>
      <c r="EN128" s="572">
        <f t="shared" si="537"/>
        <v>0.20952034181975704</v>
      </c>
      <c r="EO128" s="572">
        <f t="shared" si="538"/>
        <v>0.22339751073607669</v>
      </c>
      <c r="EP128" s="572">
        <f t="shared" si="539"/>
        <v>0.24360536661487983</v>
      </c>
      <c r="EQ128" s="572">
        <f t="shared" si="540"/>
        <v>0.24489528423329246</v>
      </c>
      <c r="ER128" s="572" t="str">
        <f t="shared" si="541"/>
        <v>-</v>
      </c>
      <c r="ES128" s="572" t="str">
        <f t="shared" si="542"/>
        <v>-</v>
      </c>
      <c r="ET128" s="572" t="str">
        <f t="shared" si="543"/>
        <v>-</v>
      </c>
    </row>
    <row r="129" spans="1:150" ht="15.5" hidden="1" outlineLevel="1" x14ac:dyDescent="0.35">
      <c r="A129" s="10">
        <f>A128+1</f>
        <v>2</v>
      </c>
      <c r="B129" s="10" t="s">
        <v>265</v>
      </c>
      <c r="C129" s="442" t="s">
        <v>502</v>
      </c>
      <c r="D129" s="9" t="s">
        <v>82</v>
      </c>
      <c r="E129" s="20" t="s">
        <v>81</v>
      </c>
      <c r="F129" s="12" t="s">
        <v>245</v>
      </c>
      <c r="G129" s="12" t="str">
        <f>_xlfn.XLOOKUP(F129,'Quy đổi'!$G$5:$G$32,'Quy đổi'!$H$5:$H$32,0)</f>
        <v>Nội địa</v>
      </c>
      <c r="H129" s="76" t="s">
        <v>75</v>
      </c>
      <c r="I129" s="7" t="s">
        <v>74</v>
      </c>
      <c r="J129" s="69" t="s">
        <v>22</v>
      </c>
      <c r="K129" s="26"/>
      <c r="L129" s="92">
        <f t="shared" ref="L129:L185" si="1263">IFERROR(AVERAGE(M129:X129),"-")</f>
        <v>1316.319935799288</v>
      </c>
      <c r="M129" s="106">
        <f>IFERROR(SUMIFS('01. KE30'!$K:$K,'01. KE30'!$C:$C,'06. BC BH THEO CUSTOMER-USD'!$D129,'01. KE30'!$F:$F,'06. BC BH THEO CUSTOMER-USD'!$H129,'01. KE30'!$A:$A,'06. BC BH THEO CUSTOMER-USD'!M$4)/'06. BC BH THEO CUSTOMER-USD'!CS129/'02. Tỷ giá'!B$5,"-")</f>
        <v>1376.555600160578</v>
      </c>
      <c r="N129" s="106">
        <f>IFERROR(SUMIFS('01. KE30'!$K:$K,'01. KE30'!$C:$C,'06. BC BH THEO CUSTOMER-USD'!$D129,'01. KE30'!$F:$F,'06. BC BH THEO CUSTOMER-USD'!$H129,'01. KE30'!$A:$A,'06. BC BH THEO CUSTOMER-USD'!N$4)/'06. BC BH THEO CUSTOMER-USD'!CT129/'02. Tỷ giá'!C$5,"-")</f>
        <v>1350.5317053958252</v>
      </c>
      <c r="O129" s="106">
        <f>IFERROR(SUMIFS('01. KE30'!$K:$K,'01. KE30'!$C:$C,'06. BC BH THEO CUSTOMER-USD'!$D129,'01. KE30'!$F:$F,'06. BC BH THEO CUSTOMER-USD'!$H129,'01. KE30'!$A:$A,'06. BC BH THEO CUSTOMER-USD'!O$4)/'06. BC BH THEO CUSTOMER-USD'!CU129/'02. Tỷ giá'!D$5,"-")</f>
        <v>1350</v>
      </c>
      <c r="P129" s="106">
        <f>IFERROR(SUMIFS('01. KE30'!$K:$K,'01. KE30'!$C:$C,'06. BC BH THEO CUSTOMER-USD'!$D129,'01. KE30'!$F:$F,'06. BC BH THEO CUSTOMER-USD'!$H129,'01. KE30'!$A:$A,'06. BC BH THEO CUSTOMER-USD'!P$4)/'06. BC BH THEO CUSTOMER-USD'!CV129/'02. Tỷ giá'!E$5,"-")</f>
        <v>1290.9407665505225</v>
      </c>
      <c r="Q129" s="106">
        <f>IFERROR(SUMIFS('01. KE30'!$K:$K,'01. KE30'!$C:$C,'06. BC BH THEO CUSTOMER-USD'!$D129,'01. KE30'!$F:$F,'06. BC BH THEO CUSTOMER-USD'!$H129,'01. KE30'!$A:$A,'06. BC BH THEO CUSTOMER-USD'!Q$4)/'06. BC BH THEO CUSTOMER-USD'!CW129/'02. Tỷ giá'!F$5,"-")</f>
        <v>1289.4431554524363</v>
      </c>
      <c r="R129" s="106">
        <f>IFERROR(SUMIFS('01. KE30'!$K:$K,'01. KE30'!$C:$C,'06. BC BH THEO CUSTOMER-USD'!$D129,'01. KE30'!$F:$F,'06. BC BH THEO CUSTOMER-USD'!$H129,'01. KE30'!$A:$A,'06. BC BH THEO CUSTOMER-USD'!R$4)/'06. BC BH THEO CUSTOMER-USD'!CX129/'02. Tỷ giá'!G$5,"-")</f>
        <v>1286.4583333333333</v>
      </c>
      <c r="S129" s="106">
        <f>IFERROR(SUMIFS('01. KE30'!$K:$K,'01. KE30'!$C:$C,'06. BC BH THEO CUSTOMER-USD'!$D129,'01. KE30'!$F:$F,'06. BC BH THEO CUSTOMER-USD'!$H129,'01. KE30'!$A:$A,'06. BC BH THEO CUSTOMER-USD'!S$4)/'06. BC BH THEO CUSTOMER-USD'!CY129/'02. Tỷ giá'!H$5,"-")</f>
        <v>1307.1313868613138</v>
      </c>
      <c r="T129" s="106">
        <f>IFERROR(SUMIFS('01. KE30'!$K:$K,'01. KE30'!$C:$C,'06. BC BH THEO CUSTOMER-USD'!$D129,'01. KE30'!$F:$F,'06. BC BH THEO CUSTOMER-USD'!$H129,'01. KE30'!$A:$A,'06. BC BH THEO CUSTOMER-USD'!T$4)/'06. BC BH THEO CUSTOMER-USD'!CZ129/'02. Tỷ giá'!I$5,"-")</f>
        <v>1299.6420923328008</v>
      </c>
      <c r="U129" s="106">
        <f>IFERROR(SUMIFS('01. KE30'!$K:$K,'01. KE30'!$C:$C,'06. BC BH THEO CUSTOMER-USD'!$D129,'01. KE30'!$F:$F,'06. BC BH THEO CUSTOMER-USD'!$H129,'01. KE30'!$A:$A,'06. BC BH THEO CUSTOMER-USD'!U$4)/'06. BC BH THEO CUSTOMER-USD'!DA129/'02. Tỷ giá'!J$5,"-")</f>
        <v>1296.1763821067821</v>
      </c>
      <c r="V129" s="106" t="str">
        <f>IFERROR(SUMIFS('01. KE30'!$K:$K,'01. KE30'!$C:$C,'06. BC BH THEO CUSTOMER-USD'!$D129,'01. KE30'!$F:$F,'06. BC BH THEO CUSTOMER-USD'!$H129,'01. KE30'!$A:$A,'06. BC BH THEO CUSTOMER-USD'!V$4)/'06. BC BH THEO CUSTOMER-USD'!DB129/'02. Tỷ giá'!K$5,"-")</f>
        <v>-</v>
      </c>
      <c r="W129" s="106" t="str">
        <f>IFERROR(SUMIFS('01. KE30'!$K:$K,'01. KE30'!$C:$C,'06. BC BH THEO CUSTOMER-USD'!$D129,'01. KE30'!$F:$F,'06. BC BH THEO CUSTOMER-USD'!$H129,'01. KE30'!$A:$A,'06. BC BH THEO CUSTOMER-USD'!W$4)/'06. BC BH THEO CUSTOMER-USD'!DC129/'02. Tỷ giá'!L$5,"-")</f>
        <v>-</v>
      </c>
      <c r="X129" s="106" t="str">
        <f>IFERROR(SUMIFS('01. KE30'!$K:$K,'01. KE30'!$C:$C,'06. BC BH THEO CUSTOMER-USD'!$D129,'01. KE30'!$F:$F,'06. BC BH THEO CUSTOMER-USD'!$H129,'01. KE30'!$A:$A,'06. BC BH THEO CUSTOMER-USD'!X$4)/'06. BC BH THEO CUSTOMER-USD'!DD129/'02. Tỷ giá'!M$5,"-")</f>
        <v>-</v>
      </c>
      <c r="Z129" s="92">
        <f t="shared" ref="Z129:Z185" si="1264">IFERROR(AVERAGE(AA129:AL129),"-")</f>
        <v>1316.319935799288</v>
      </c>
      <c r="AA129" s="147">
        <f>IFERROR(SUMIFS('01. KE30'!$O:$O,'01. KE30'!$C:$C,'06. BC BH THEO CUSTOMER-USD'!$D129,'01. KE30'!$F:$F,'06. BC BH THEO CUSTOMER-USD'!$H129,'01. KE30'!$A:$A,'06. BC BH THEO CUSTOMER-USD'!M$4)/'06. BC BH THEO CUSTOMER-USD'!CS129/'02. Tỷ giá'!B$5,"-")</f>
        <v>1376.555600160578</v>
      </c>
      <c r="AB129" s="147">
        <f>IFERROR(SUMIFS('01. KE30'!$O:$O,'01. KE30'!$C:$C,'06. BC BH THEO CUSTOMER-USD'!$D129,'01. KE30'!$F:$F,'06. BC BH THEO CUSTOMER-USD'!$H129,'01. KE30'!$A:$A,'06. BC BH THEO CUSTOMER-USD'!N$4)/'06. BC BH THEO CUSTOMER-USD'!CT129/'02. Tỷ giá'!C$5,"-")</f>
        <v>1350.5317053958252</v>
      </c>
      <c r="AC129" s="147">
        <f>IFERROR(SUMIFS('01. KE30'!$O:$O,'01. KE30'!$C:$C,'06. BC BH THEO CUSTOMER-USD'!$D129,'01. KE30'!$F:$F,'06. BC BH THEO CUSTOMER-USD'!$H129,'01. KE30'!$A:$A,'06. BC BH THEO CUSTOMER-USD'!O$4)/'06. BC BH THEO CUSTOMER-USD'!CU129/'02. Tỷ giá'!D$5,"-")</f>
        <v>1350</v>
      </c>
      <c r="AD129" s="147">
        <f>IFERROR(SUMIFS('01. KE30'!$O:$O,'01. KE30'!$C:$C,'06. BC BH THEO CUSTOMER-USD'!$D129,'01. KE30'!$F:$F,'06. BC BH THEO CUSTOMER-USD'!$H129,'01. KE30'!$A:$A,'06. BC BH THEO CUSTOMER-USD'!P$4)/'06. BC BH THEO CUSTOMER-USD'!CV129/'02. Tỷ giá'!E$5,"-")</f>
        <v>1290.9407665505225</v>
      </c>
      <c r="AE129" s="147">
        <f>IFERROR(SUMIFS('01. KE30'!$O:$O,'01. KE30'!$C:$C,'06. BC BH THEO CUSTOMER-USD'!$D129,'01. KE30'!$F:$F,'06. BC BH THEO CUSTOMER-USD'!$H129,'01. KE30'!$A:$A,'06. BC BH THEO CUSTOMER-USD'!Q$4)/'06. BC BH THEO CUSTOMER-USD'!CW129/'02. Tỷ giá'!F$5,"-")</f>
        <v>1289.4431554524363</v>
      </c>
      <c r="AF129" s="147">
        <f>IFERROR(SUMIFS('01. KE30'!$O:$O,'01. KE30'!$C:$C,'06. BC BH THEO CUSTOMER-USD'!$D129,'01. KE30'!$F:$F,'06. BC BH THEO CUSTOMER-USD'!$H129,'01. KE30'!$A:$A,'06. BC BH THEO CUSTOMER-USD'!R$4)/'06. BC BH THEO CUSTOMER-USD'!CX129/'02. Tỷ giá'!G$5,"-")</f>
        <v>1286.4583333333333</v>
      </c>
      <c r="AG129" s="147">
        <f>IFERROR(SUMIFS('01. KE30'!$O:$O,'01. KE30'!$C:$C,'06. BC BH THEO CUSTOMER-USD'!$D129,'01. KE30'!$F:$F,'06. BC BH THEO CUSTOMER-USD'!$H129,'01. KE30'!$A:$A,'06. BC BH THEO CUSTOMER-USD'!S$4)/'06. BC BH THEO CUSTOMER-USD'!CY129/'02. Tỷ giá'!H$5,"-")</f>
        <v>1307.1313868613138</v>
      </c>
      <c r="AH129" s="147">
        <f>IFERROR(SUMIFS('01. KE30'!$O:$O,'01. KE30'!$C:$C,'06. BC BH THEO CUSTOMER-USD'!$D129,'01. KE30'!$F:$F,'06. BC BH THEO CUSTOMER-USD'!$H129,'01. KE30'!$A:$A,'06. BC BH THEO CUSTOMER-USD'!T$4)/'06. BC BH THEO CUSTOMER-USD'!CZ129/'02. Tỷ giá'!I$5,"-")</f>
        <v>1299.6420923328008</v>
      </c>
      <c r="AI129" s="147">
        <f>IFERROR(SUMIFS('01. KE30'!$O:$O,'01. KE30'!$C:$C,'06. BC BH THEO CUSTOMER-USD'!$D129,'01. KE30'!$F:$F,'06. BC BH THEO CUSTOMER-USD'!$H129,'01. KE30'!$A:$A,'06. BC BH THEO CUSTOMER-USD'!U$4)/'06. BC BH THEO CUSTOMER-USD'!DA129/'02. Tỷ giá'!J$5,"-")</f>
        <v>1296.1763821067821</v>
      </c>
      <c r="AJ129" s="147" t="str">
        <f>IFERROR(SUMIFS('01. KE30'!$O:$O,'01. KE30'!$C:$C,'06. BC BH THEO CUSTOMER-USD'!$D129,'01. KE30'!$F:$F,'06. BC BH THEO CUSTOMER-USD'!$H129,'01. KE30'!$A:$A,'06. BC BH THEO CUSTOMER-USD'!V$4)/'06. BC BH THEO CUSTOMER-USD'!DB129/'02. Tỷ giá'!K$5,"-")</f>
        <v>-</v>
      </c>
      <c r="AK129" s="147" t="str">
        <f>IFERROR(SUMIFS('01. KE30'!$O:$O,'01. KE30'!$C:$C,'06. BC BH THEO CUSTOMER-USD'!$D129,'01. KE30'!$F:$F,'06. BC BH THEO CUSTOMER-USD'!$H129,'01. KE30'!$A:$A,'06. BC BH THEO CUSTOMER-USD'!W$4)/'06. BC BH THEO CUSTOMER-USD'!DC129/'02. Tỷ giá'!L$5,"-")</f>
        <v>-</v>
      </c>
      <c r="AL129" s="147" t="str">
        <f>IFERROR(SUMIFS('01. KE30'!$O:$O,'01. KE30'!$C:$C,'06. BC BH THEO CUSTOMER-USD'!$D129,'01. KE30'!$F:$F,'06. BC BH THEO CUSTOMER-USD'!$H129,'01. KE30'!$A:$A,'06. BC BH THEO CUSTOMER-USD'!X$4)/'06. BC BH THEO CUSTOMER-USD'!DD129/'02. Tỷ giá'!M$5,"-")</f>
        <v>-</v>
      </c>
      <c r="AN129" s="55">
        <f t="shared" ref="AN129:AN206" si="1265">IFERROR(AVERAGE(AO129:AZ129),"-")</f>
        <v>1310</v>
      </c>
      <c r="AO129" s="4">
        <v>1300</v>
      </c>
      <c r="AP129" s="4">
        <v>1300</v>
      </c>
      <c r="AQ129" s="4">
        <v>1300</v>
      </c>
      <c r="AR129" s="4">
        <v>1300</v>
      </c>
      <c r="AS129" s="4">
        <v>1300</v>
      </c>
      <c r="AT129" s="4">
        <v>1300</v>
      </c>
      <c r="AU129" s="4">
        <v>1330</v>
      </c>
      <c r="AV129" s="4">
        <v>1330</v>
      </c>
      <c r="AW129" s="4">
        <v>1330</v>
      </c>
      <c r="AX129" s="4"/>
      <c r="AY129" s="4"/>
      <c r="AZ129" s="4"/>
      <c r="BB129" s="54">
        <f t="shared" si="637"/>
        <v>6.3199357992880323</v>
      </c>
      <c r="BC129" s="95">
        <f t="shared" si="638"/>
        <v>76.555600160578024</v>
      </c>
      <c r="BD129" s="95">
        <f t="shared" si="1147"/>
        <v>50.531705395825156</v>
      </c>
      <c r="BE129" s="95">
        <f t="shared" si="1147"/>
        <v>50</v>
      </c>
      <c r="BF129" s="95">
        <f t="shared" si="1147"/>
        <v>-9.0592334494774605</v>
      </c>
      <c r="BG129" s="95">
        <f t="shared" si="1147"/>
        <v>-10.556844547563742</v>
      </c>
      <c r="BH129" s="95">
        <f t="shared" si="1147"/>
        <v>-13.541666666666742</v>
      </c>
      <c r="BI129" s="95">
        <f t="shared" si="1147"/>
        <v>-22.868613138686214</v>
      </c>
      <c r="BJ129" s="95">
        <f t="shared" si="1147"/>
        <v>-30.357907667199242</v>
      </c>
      <c r="BK129" s="95">
        <f t="shared" si="1147"/>
        <v>-33.823617893217943</v>
      </c>
      <c r="BL129" s="95" t="str">
        <f t="shared" si="1147"/>
        <v>-</v>
      </c>
      <c r="BM129" s="95" t="str">
        <f t="shared" si="1147"/>
        <v>-</v>
      </c>
      <c r="BN129" s="95" t="str">
        <f t="shared" si="1147"/>
        <v>-</v>
      </c>
      <c r="BP129" s="143">
        <f t="shared" si="639"/>
        <v>4.8243784727389563E-3</v>
      </c>
      <c r="BQ129" s="143">
        <f t="shared" si="517"/>
        <v>5.8888923200444636E-2</v>
      </c>
      <c r="BR129" s="143">
        <f t="shared" si="518"/>
        <v>3.8870542612173195E-2</v>
      </c>
      <c r="BS129" s="143">
        <f t="shared" si="519"/>
        <v>3.8461538461538464E-2</v>
      </c>
      <c r="BT129" s="143">
        <f t="shared" si="520"/>
        <v>-6.9686411149826617E-3</v>
      </c>
      <c r="BU129" s="143">
        <f t="shared" si="521"/>
        <v>-8.1206496519721089E-3</v>
      </c>
      <c r="BV129" s="143">
        <f t="shared" si="522"/>
        <v>-1.0416666666666725E-2</v>
      </c>
      <c r="BW129" s="143">
        <f t="shared" si="523"/>
        <v>-1.7194445968937003E-2</v>
      </c>
      <c r="BX129" s="143">
        <f t="shared" si="524"/>
        <v>-2.2825494486615971E-2</v>
      </c>
      <c r="BY129" s="143">
        <f t="shared" si="525"/>
        <v>-2.5431291649036049E-2</v>
      </c>
      <c r="BZ129" s="143" t="str">
        <f t="shared" si="526"/>
        <v>-</v>
      </c>
      <c r="CA129" s="143" t="str">
        <f t="shared" si="527"/>
        <v>-</v>
      </c>
      <c r="CB129" s="143" t="str">
        <f t="shared" si="528"/>
        <v>-</v>
      </c>
      <c r="CD129" s="112">
        <f t="shared" si="1248"/>
        <v>1053.5558571383806</v>
      </c>
      <c r="CE129" s="95">
        <f>IFERROR(SUMIFS('01. KE30'!$R:$R,'01. KE30'!$C:$C,'06. BC BH THEO CUSTOMER-USD'!$D129,'01. KE30'!$F:$F,'06. BC BH THEO CUSTOMER-USD'!$H129,'01. KE30'!$A:$A,'06. BC BH THEO CUSTOMER-USD'!CE$4)/CS129/'02. Tỷ giá'!B$5," -")</f>
        <v>1013.0659829933214</v>
      </c>
      <c r="CF129" s="95">
        <f>IFERROR(SUMIFS('01. KE30'!$R:$R,'01. KE30'!$C:$C,'06. BC BH THEO CUSTOMER-USD'!$D129,'01. KE30'!$F:$F,'06. BC BH THEO CUSTOMER-USD'!$H129,'01. KE30'!$A:$A,'06. BC BH THEO CUSTOMER-USD'!CF$4)/CT129/'02. Tỷ giá'!C$5," -")</f>
        <v>1037.6713469870028</v>
      </c>
      <c r="CG129" s="95">
        <f>IFERROR(SUMIFS('01. KE30'!$R:$R,'01. KE30'!$C:$C,'06. BC BH THEO CUSTOMER-USD'!$D129,'01. KE30'!$F:$F,'06. BC BH THEO CUSTOMER-USD'!$H129,'01. KE30'!$A:$A,'06. BC BH THEO CUSTOMER-USD'!CG$4)/CU129/'02. Tỷ giá'!D$5," -")</f>
        <v>1071.1166642806013</v>
      </c>
      <c r="CH129" s="95">
        <f>IFERROR(SUMIFS('01. KE30'!$R:$R,'01. KE30'!$C:$C,'06. BC BH THEO CUSTOMER-USD'!$D129,'01. KE30'!$F:$F,'06. BC BH THEO CUSTOMER-USD'!$H129,'01. KE30'!$A:$A,'06. BC BH THEO CUSTOMER-USD'!CH$4)/CV129/'02. Tỷ giá'!E$5," -")</f>
        <v>1054.0155457009116</v>
      </c>
      <c r="CI129" s="95">
        <f>IFERROR(SUMIFS('01. KE30'!$R:$R,'01. KE30'!$C:$C,'06. BC BH THEO CUSTOMER-USD'!$D129,'01. KE30'!$F:$F,'06. BC BH THEO CUSTOMER-USD'!$H129,'01. KE30'!$A:$A,'06. BC BH THEO CUSTOMER-USD'!CI$4)/CW129/'02. Tỷ giá'!F$5," -")</f>
        <v>1084.623251072207</v>
      </c>
      <c r="CJ129" s="95">
        <f>IFERROR(SUMIFS('01. KE30'!$R:$R,'01. KE30'!$C:$C,'06. BC BH THEO CUSTOMER-USD'!$D129,'01. KE30'!$F:$F,'06. BC BH THEO CUSTOMER-USD'!$H129,'01. KE30'!$A:$A,'06. BC BH THEO CUSTOMER-USD'!CJ$4)/CX129/'02. Tỷ giá'!G$5," -")</f>
        <v>1065.5986882716049</v>
      </c>
      <c r="CK129" s="95">
        <f>IFERROR(SUMIFS('01. KE30'!$R:$R,'01. KE30'!$C:$C,'06. BC BH THEO CUSTOMER-USD'!$D129,'01. KE30'!$F:$F,'06. BC BH THEO CUSTOMER-USD'!$H129,'01. KE30'!$A:$A,'06. BC BH THEO CUSTOMER-USD'!CK$4)/CY129/'02. Tỷ giá'!H$5," -")</f>
        <v>1065.1907658994867</v>
      </c>
      <c r="CL129" s="95">
        <f>IFERROR(SUMIFS('01. KE30'!$R:$R,'01. KE30'!$C:$C,'06. BC BH THEO CUSTOMER-USD'!$D129,'01. KE30'!$F:$F,'06. BC BH THEO CUSTOMER-USD'!$H129,'01. KE30'!$A:$A,'06. BC BH THEO CUSTOMER-USD'!CL$4)/CZ129/'02. Tỷ giá'!I$5," -")</f>
        <v>1024.5678814501007</v>
      </c>
      <c r="CM129" s="95">
        <f>IFERROR(SUMIFS('01. KE30'!$R:$R,'01. KE30'!$C:$C,'06. BC BH THEO CUSTOMER-USD'!$D129,'01. KE30'!$F:$F,'06. BC BH THEO CUSTOMER-USD'!$H129,'01. KE30'!$A:$A,'06. BC BH THEO CUSTOMER-USD'!CM$4)/DA129/'02. Tỷ giá'!J$5," -")</f>
        <v>1066.1525875901877</v>
      </c>
      <c r="CN129" s="95" t="str">
        <f>IFERROR(SUMIFS('01. KE30'!$R:$R,'01. KE30'!$C:$C,'06. BC BH THEO CUSTOMER-USD'!$D129,'01. KE30'!$F:$F,'06. BC BH THEO CUSTOMER-USD'!$H129,'01. KE30'!$A:$A,'06. BC BH THEO CUSTOMER-USD'!CN$4)/DB129/'02. Tỷ giá'!K$5," -")</f>
        <v xml:space="preserve"> -</v>
      </c>
      <c r="CO129" s="95" t="str">
        <f>IFERROR(SUMIFS('01. KE30'!$R:$R,'01. KE30'!$C:$C,'06. BC BH THEO CUSTOMER-USD'!$D129,'01. KE30'!$F:$F,'06. BC BH THEO CUSTOMER-USD'!$H129,'01. KE30'!$A:$A,'06. BC BH THEO CUSTOMER-USD'!CO$4)/DC129/'02. Tỷ giá'!L$5," -")</f>
        <v xml:space="preserve"> -</v>
      </c>
      <c r="CP129" s="95" t="str">
        <f>IFERROR(SUMIFS('01. KE30'!$R:$R,'01. KE30'!$C:$C,'06. BC BH THEO CUSTOMER-USD'!$D129,'01. KE30'!$F:$F,'06. BC BH THEO CUSTOMER-USD'!$H129,'01. KE30'!$A:$A,'06. BC BH THEO CUSTOMER-USD'!CP$4)/DD129/'02. Tỷ giá'!M$5," -")</f>
        <v xml:space="preserve"> -</v>
      </c>
      <c r="CR129" s="112">
        <f t="shared" si="1249"/>
        <v>297</v>
      </c>
      <c r="CS129" s="114">
        <f>SUMIFS('01. KE30'!$I:$I,'01. KE30'!$C:$C,'06. BC BH THEO CUSTOMER-USD'!$D129,'01. KE30'!$F:$F,'06. BC BH THEO CUSTOMER-USD'!$H129,'01. KE30'!$A:$A,'06. BC BH THEO CUSTOMER-USD'!CS$4)/1000</f>
        <v>22</v>
      </c>
      <c r="CT129" s="114">
        <f>SUMIFS('01. KE30'!$I:$I,'01. KE30'!$C:$C,'06. BC BH THEO CUSTOMER-USD'!$D129,'01. KE30'!$F:$F,'06. BC BH THEO CUSTOMER-USD'!$H129,'01. KE30'!$A:$A,'06. BC BH THEO CUSTOMER-USD'!CT$4)/1000</f>
        <v>44</v>
      </c>
      <c r="CU129" s="114">
        <f>SUMIFS('01. KE30'!$I:$I,'01. KE30'!$C:$C,'06. BC BH THEO CUSTOMER-USD'!$D129,'01. KE30'!$F:$F,'06. BC BH THEO CUSTOMER-USD'!$H129,'01. KE30'!$A:$A,'06. BC BH THEO CUSTOMER-USD'!CU$4)/1000</f>
        <v>44</v>
      </c>
      <c r="CV129" s="114">
        <f>SUMIFS('01. KE30'!$I:$I,'01. KE30'!$C:$C,'06. BC BH THEO CUSTOMER-USD'!$D129,'01. KE30'!$F:$F,'06. BC BH THEO CUSTOMER-USD'!$H129,'01. KE30'!$A:$A,'06. BC BH THEO CUSTOMER-USD'!CV$4)/1000</f>
        <v>22</v>
      </c>
      <c r="CW129" s="114">
        <f>SUMIFS('01. KE30'!$I:$I,'01. KE30'!$C:$C,'06. BC BH THEO CUSTOMER-USD'!$D129,'01. KE30'!$F:$F,'06. BC BH THEO CUSTOMER-USD'!$H129,'01. KE30'!$A:$A,'06. BC BH THEO CUSTOMER-USD'!CW$4)/1000</f>
        <v>33</v>
      </c>
      <c r="CX129" s="114">
        <f>SUMIFS('01. KE30'!$I:$I,'01. KE30'!$C:$C,'06. BC BH THEO CUSTOMER-USD'!$D129,'01. KE30'!$F:$F,'06. BC BH THEO CUSTOMER-USD'!$H129,'01. KE30'!$A:$A,'06. BC BH THEO CUSTOMER-USD'!CX$4)/1000</f>
        <v>44</v>
      </c>
      <c r="CY129" s="114">
        <f>SUMIFS('01. KE30'!$I:$I,'01. KE30'!$C:$C,'06. BC BH THEO CUSTOMER-USD'!$D129,'01. KE30'!$F:$F,'06. BC BH THEO CUSTOMER-USD'!$H129,'01. KE30'!$A:$A,'06. BC BH THEO CUSTOMER-USD'!CY$4)/1000</f>
        <v>11</v>
      </c>
      <c r="CZ129" s="114">
        <f>SUMIFS('01. KE30'!$I:$I,'01. KE30'!$C:$C,'06. BC BH THEO CUSTOMER-USD'!$D129,'01. KE30'!$F:$F,'06. BC BH THEO CUSTOMER-USD'!$H129,'01. KE30'!$A:$A,'06. BC BH THEO CUSTOMER-USD'!CZ$4)/1000</f>
        <v>44</v>
      </c>
      <c r="DA129" s="114">
        <f>SUMIFS('01. KE30'!$I:$I,'01. KE30'!$C:$C,'06. BC BH THEO CUSTOMER-USD'!$D129,'01. KE30'!$F:$F,'06. BC BH THEO CUSTOMER-USD'!$H129,'01. KE30'!$A:$A,'06. BC BH THEO CUSTOMER-USD'!DA$4)/1000</f>
        <v>33</v>
      </c>
      <c r="DB129" s="114">
        <f>SUMIFS('01. KE30'!$I:$I,'01. KE30'!$C:$C,'06. BC BH THEO CUSTOMER-USD'!$D129,'01. KE30'!$F:$F,'06. BC BH THEO CUSTOMER-USD'!$H129,'01. KE30'!$A:$A,'06. BC BH THEO CUSTOMER-USD'!DB$4)/1000</f>
        <v>0</v>
      </c>
      <c r="DC129" s="114">
        <f>SUMIFS('01. KE30'!$I:$I,'01. KE30'!$C:$C,'06. BC BH THEO CUSTOMER-USD'!$D129,'01. KE30'!$F:$F,'06. BC BH THEO CUSTOMER-USD'!$H129,'01. KE30'!$A:$A,'06. BC BH THEO CUSTOMER-USD'!DC$4)/1000</f>
        <v>0</v>
      </c>
      <c r="DD129" s="114">
        <f>SUMIFS('01. KE30'!$I:$I,'01. KE30'!$C:$C,'06. BC BH THEO CUSTOMER-USD'!$D129,'01. KE30'!$F:$F,'06. BC BH THEO CUSTOMER-USD'!$H129,'01. KE30'!$A:$A,'06. BC BH THEO CUSTOMER-USD'!DD$4)/1000</f>
        <v>0</v>
      </c>
      <c r="DF129" s="112">
        <f t="shared" si="1250"/>
        <v>391000.62382929912</v>
      </c>
      <c r="DG129" s="54">
        <f t="shared" si="1251"/>
        <v>30284.223203532718</v>
      </c>
      <c r="DH129" s="54">
        <f t="shared" si="1252"/>
        <v>59423.395037416311</v>
      </c>
      <c r="DI129" s="54">
        <f t="shared" si="1253"/>
        <v>59400</v>
      </c>
      <c r="DJ129" s="54">
        <f t="shared" si="1254"/>
        <v>28400.696864111495</v>
      </c>
      <c r="DK129" s="54">
        <f t="shared" si="1255"/>
        <v>42551.624129930395</v>
      </c>
      <c r="DL129" s="54">
        <f t="shared" si="1256"/>
        <v>56604.166666666664</v>
      </c>
      <c r="DM129" s="54">
        <f t="shared" si="1257"/>
        <v>14378.445255474451</v>
      </c>
      <c r="DN129" s="54">
        <f t="shared" si="1258"/>
        <v>57184.252062643231</v>
      </c>
      <c r="DO129" s="54">
        <f t="shared" si="1259"/>
        <v>42773.820609523806</v>
      </c>
      <c r="DP129" s="54" t="str">
        <f t="shared" si="1260"/>
        <v>-</v>
      </c>
      <c r="DQ129" s="54" t="str">
        <f t="shared" si="1261"/>
        <v>-</v>
      </c>
      <c r="DR129" s="54" t="str">
        <f t="shared" si="1262"/>
        <v>-</v>
      </c>
      <c r="DT129" s="112">
        <f t="shared" si="652"/>
        <v>78078.127533742954</v>
      </c>
      <c r="DU129" s="114">
        <f>IFERROR(SUMIFS('01. KE30'!$X:$X,'01. KE30'!$C:$C,'06. BC BH THEO CUSTOMER-USD'!$D129,'01. KE30'!$F:$F,'06. BC BH THEO CUSTOMER-USD'!$H129,'01. KE30'!$A:$A,'06. BC BH THEO CUSTOMER-USD'!DU$4)-SUMIFS('01. KE30'!$AA:$AA,'01. KE30'!$C:$C,'06. BC BH THEO CUSTOMER-USD'!$D129,'01. KE30'!$F:$F,'06. BC BH THEO CUSTOMER-USD'!$H129,'01. KE30'!$A:$A,'06. BC BH THEO CUSTOMER-USD'!DU$4),"-")</f>
        <v>7996.7715776796467</v>
      </c>
      <c r="DV129" s="114">
        <f>IFERROR(SUMIFS('01. KE30'!$X:$X,'01. KE30'!$C:$C,'06. BC BH THEO CUSTOMER-USD'!$D129,'01. KE30'!$F:$F,'06. BC BH THEO CUSTOMER-USD'!$H129,'01. KE30'!$A:$A,'06. BC BH THEO CUSTOMER-USD'!DV$4)-SUMIFS('01. KE30'!$AA:$AA,'01. KE30'!$C:$C,'06. BC BH THEO CUSTOMER-USD'!$D129,'01. KE30'!$F:$F,'06. BC BH THEO CUSTOMER-USD'!$H129,'01. KE30'!$A:$A,'06. BC BH THEO CUSTOMER-USD'!DV$4),"-")</f>
        <v>13765.855769988179</v>
      </c>
      <c r="DW129" s="114">
        <f>IFERROR(SUMIFS('01. KE30'!$X:$X,'01. KE30'!$C:$C,'06. BC BH THEO CUSTOMER-USD'!$D129,'01. KE30'!$F:$F,'06. BC BH THEO CUSTOMER-USD'!$H129,'01. KE30'!$A:$A,'06. BC BH THEO CUSTOMER-USD'!DW$4)-SUMIFS('01. KE30'!$AA:$AA,'01. KE30'!$C:$C,'06. BC BH THEO CUSTOMER-USD'!$D129,'01. KE30'!$F:$F,'06. BC BH THEO CUSTOMER-USD'!$H129,'01. KE30'!$A:$A,'06. BC BH THEO CUSTOMER-USD'!DW$4),"-")</f>
        <v>12270.866771653542</v>
      </c>
      <c r="DX129" s="114">
        <f>IFERROR(SUMIFS('01. KE30'!$X:$X,'01. KE30'!$C:$C,'06. BC BH THEO CUSTOMER-USD'!$D129,'01. KE30'!$F:$F,'06. BC BH THEO CUSTOMER-USD'!$H129,'01. KE30'!$A:$A,'06. BC BH THEO CUSTOMER-USD'!DX$4)-SUMIFS('01. KE30'!$AA:$AA,'01. KE30'!$C:$C,'06. BC BH THEO CUSTOMER-USD'!$D129,'01. KE30'!$F:$F,'06. BC BH THEO CUSTOMER-USD'!$H129,'01. KE30'!$A:$A,'06. BC BH THEO CUSTOMER-USD'!DX$4),"-")</f>
        <v>5212.354858691444</v>
      </c>
      <c r="DY129" s="114">
        <f>IFERROR(SUMIFS('01. KE30'!$X:$X,'01. KE30'!$C:$C,'06. BC BH THEO CUSTOMER-USD'!$D129,'01. KE30'!$F:$F,'06. BC BH THEO CUSTOMER-USD'!$H129,'01. KE30'!$A:$A,'06. BC BH THEO CUSTOMER-USD'!DY$4)-SUMIFS('01. KE30'!$AA:$AA,'01. KE30'!$C:$C,'06. BC BH THEO CUSTOMER-USD'!$D129,'01. KE30'!$F:$F,'06. BC BH THEO CUSTOMER-USD'!$H129,'01. KE30'!$A:$A,'06. BC BH THEO CUSTOMER-USD'!DY$4),"-")</f>
        <v>6759.0568445475656</v>
      </c>
      <c r="DZ129" s="114">
        <f>IFERROR(SUMIFS('01. KE30'!$X:$X,'01. KE30'!$C:$C,'06. BC BH THEO CUSTOMER-USD'!$D129,'01. KE30'!$F:$F,'06. BC BH THEO CUSTOMER-USD'!$H129,'01. KE30'!$A:$A,'06. BC BH THEO CUSTOMER-USD'!DZ$4)-SUMIFS('01. KE30'!$AA:$AA,'01. KE30'!$C:$C,'06. BC BH THEO CUSTOMER-USD'!$D129,'01. KE30'!$F:$F,'06. BC BH THEO CUSTOMER-USD'!$H129,'01. KE30'!$A:$A,'06. BC BH THEO CUSTOMER-USD'!DZ$4),"-")</f>
        <v>9717.8243827160477</v>
      </c>
      <c r="EA129" s="114">
        <f>IFERROR(SUMIFS('01. KE30'!$X:$X,'01. KE30'!$C:$C,'06. BC BH THEO CUSTOMER-USD'!$D129,'01. KE30'!$F:$F,'06. BC BH THEO CUSTOMER-USD'!$H129,'01. KE30'!$A:$A,'06. BC BH THEO CUSTOMER-USD'!EA$4)-SUMIFS('01. KE30'!$AA:$AA,'01. KE30'!$C:$C,'06. BC BH THEO CUSTOMER-USD'!$D129,'01. KE30'!$F:$F,'06. BC BH THEO CUSTOMER-USD'!$H129,'01. KE30'!$A:$A,'06. BC BH THEO CUSTOMER-USD'!EA$4),"-")</f>
        <v>2661.3468305800998</v>
      </c>
      <c r="EB129" s="114">
        <f>IFERROR(SUMIFS('01. KE30'!$X:$X,'01. KE30'!$C:$C,'06. BC BH THEO CUSTOMER-USD'!$D129,'01. KE30'!$F:$F,'06. BC BH THEO CUSTOMER-USD'!$H129,'01. KE30'!$A:$A,'06. BC BH THEO CUSTOMER-USD'!EB$4)-SUMIFS('01. KE30'!$AA:$AA,'01. KE30'!$C:$C,'06. BC BH THEO CUSTOMER-USD'!$D129,'01. KE30'!$F:$F,'06. BC BH THEO CUSTOMER-USD'!$H129,'01. KE30'!$A:$A,'06. BC BH THEO CUSTOMER-USD'!EB$4),"-")</f>
        <v>12103.265278838808</v>
      </c>
      <c r="EC129" s="114">
        <f>IFERROR(SUMIFS('01. KE30'!$X:$X,'01. KE30'!$C:$C,'06. BC BH THEO CUSTOMER-USD'!$D129,'01. KE30'!$F:$F,'06. BC BH THEO CUSTOMER-USD'!$H129,'01. KE30'!$A:$A,'06. BC BH THEO CUSTOMER-USD'!EC$4)-SUMIFS('01. KE30'!$AA:$AA,'01. KE30'!$C:$C,'06. BC BH THEO CUSTOMER-USD'!$D129,'01. KE30'!$F:$F,'06. BC BH THEO CUSTOMER-USD'!$H129,'01. KE30'!$A:$A,'06. BC BH THEO CUSTOMER-USD'!EC$4),"-")</f>
        <v>7590.785219047626</v>
      </c>
      <c r="ED129" s="114">
        <f>IFERROR(SUMIFS('01. KE30'!$X:$X,'01. KE30'!$C:$C,'06. BC BH THEO CUSTOMER-USD'!$D129,'01. KE30'!$F:$F,'06. BC BH THEO CUSTOMER-USD'!$H129,'01. KE30'!$A:$A,'06. BC BH THEO CUSTOMER-USD'!ED$4)-SUMIFS('01. KE30'!$AA:$AA,'01. KE30'!$C:$C,'06. BC BH THEO CUSTOMER-USD'!$D129,'01. KE30'!$F:$F,'06. BC BH THEO CUSTOMER-USD'!$H129,'01. KE30'!$A:$A,'06. BC BH THEO CUSTOMER-USD'!ED$4),"-")</f>
        <v>0</v>
      </c>
      <c r="EE129" s="114">
        <f>IFERROR(SUMIFS('01. KE30'!$X:$X,'01. KE30'!$C:$C,'06. BC BH THEO CUSTOMER-USD'!$D129,'01. KE30'!$F:$F,'06. BC BH THEO CUSTOMER-USD'!$H129,'01. KE30'!$A:$A,'06. BC BH THEO CUSTOMER-USD'!EE$4)-SUMIFS('01. KE30'!$AA:$AA,'01. KE30'!$C:$C,'06. BC BH THEO CUSTOMER-USD'!$D129,'01. KE30'!$F:$F,'06. BC BH THEO CUSTOMER-USD'!$H129,'01. KE30'!$A:$A,'06. BC BH THEO CUSTOMER-USD'!EE$4),"-")</f>
        <v>0</v>
      </c>
      <c r="EF129" s="114">
        <f>IFERROR(SUMIFS('01. KE30'!$X:$X,'01. KE30'!$C:$C,'06. BC BH THEO CUSTOMER-USD'!$D129,'01. KE30'!$F:$F,'06. BC BH THEO CUSTOMER-USD'!$H129,'01. KE30'!$A:$A,'06. BC BH THEO CUSTOMER-USD'!EF$4)-SUMIFS('01. KE30'!$AA:$AA,'01. KE30'!$C:$C,'06. BC BH THEO CUSTOMER-USD'!$D129,'01. KE30'!$F:$F,'06. BC BH THEO CUSTOMER-USD'!$H129,'01. KE30'!$A:$A,'06. BC BH THEO CUSTOMER-USD'!EF$4),"-")</f>
        <v>0</v>
      </c>
      <c r="EH129" s="571">
        <f t="shared" si="531"/>
        <v>0.19968798711643454</v>
      </c>
      <c r="EI129" s="572">
        <f t="shared" si="532"/>
        <v>0.26405734510458923</v>
      </c>
      <c r="EJ129" s="572">
        <f t="shared" si="533"/>
        <v>0.23165717410323697</v>
      </c>
      <c r="EK129" s="572">
        <f t="shared" si="534"/>
        <v>0.20658024868103605</v>
      </c>
      <c r="EL129" s="572">
        <f t="shared" si="535"/>
        <v>0.18352911844490793</v>
      </c>
      <c r="EM129" s="572">
        <f t="shared" si="536"/>
        <v>0.1588436865278971</v>
      </c>
      <c r="EN129" s="572">
        <f t="shared" si="537"/>
        <v>0.17168037186984553</v>
      </c>
      <c r="EO129" s="572">
        <f t="shared" si="538"/>
        <v>0.18509280963926319</v>
      </c>
      <c r="EP129" s="572">
        <f t="shared" si="539"/>
        <v>0.21165381800535099</v>
      </c>
      <c r="EQ129" s="572">
        <f t="shared" si="540"/>
        <v>0.17746334348626083</v>
      </c>
      <c r="ER129" s="572" t="str">
        <f t="shared" si="541"/>
        <v>-</v>
      </c>
      <c r="ES129" s="572" t="str">
        <f t="shared" si="542"/>
        <v>-</v>
      </c>
      <c r="ET129" s="572" t="str">
        <f t="shared" si="543"/>
        <v>-</v>
      </c>
    </row>
    <row r="130" spans="1:150" ht="15.5" hidden="1" outlineLevel="1" x14ac:dyDescent="0.35">
      <c r="A130" s="10">
        <f t="shared" ref="A130:A196" si="1266">A129+1</f>
        <v>3</v>
      </c>
      <c r="B130" s="10" t="s">
        <v>265</v>
      </c>
      <c r="C130" s="442" t="s">
        <v>502</v>
      </c>
      <c r="D130" s="9" t="s">
        <v>82</v>
      </c>
      <c r="E130" s="20" t="s">
        <v>81</v>
      </c>
      <c r="F130" s="12" t="s">
        <v>245</v>
      </c>
      <c r="G130" s="12" t="str">
        <f>_xlfn.XLOOKUP(F130,'Quy đổi'!$G$5:$G$32,'Quy đổi'!$H$5:$H$32,0)</f>
        <v>Nội địa</v>
      </c>
      <c r="H130" s="76" t="s">
        <v>84</v>
      </c>
      <c r="I130" s="7" t="s">
        <v>83</v>
      </c>
      <c r="J130" s="69" t="s">
        <v>22</v>
      </c>
      <c r="K130" s="26"/>
      <c r="L130" s="92">
        <f t="shared" si="1263"/>
        <v>1322.8490591316638</v>
      </c>
      <c r="M130" s="106">
        <f>IFERROR(SUMIFS('01. KE30'!$K:$K,'01. KE30'!$C:$C,'06. BC BH THEO CUSTOMER-USD'!$D130,'01. KE30'!$F:$F,'06. BC BH THEO CUSTOMER-USD'!$H130,'01. KE30'!$A:$A,'06. BC BH THEO CUSTOMER-USD'!M$4)/'06. BC BH THEO CUSTOMER-USD'!CS130/'02. Tỷ giá'!B$5,"-")</f>
        <v>1358.7314331593736</v>
      </c>
      <c r="N130" s="106">
        <f>IFERROR(SUMIFS('01. KE30'!$K:$K,'01. KE30'!$C:$C,'06. BC BH THEO CUSTOMER-USD'!$D130,'01. KE30'!$F:$F,'06. BC BH THEO CUSTOMER-USD'!$H130,'01. KE30'!$A:$A,'06. BC BH THEO CUSTOMER-USD'!N$4)/'06. BC BH THEO CUSTOMER-USD'!CT130/'02. Tỷ giá'!C$5,"-")</f>
        <v>1350.5317053958252</v>
      </c>
      <c r="O130" s="106">
        <f>IFERROR(SUMIFS('01. KE30'!$K:$K,'01. KE30'!$C:$C,'06. BC BH THEO CUSTOMER-USD'!$D130,'01. KE30'!$F:$F,'06. BC BH THEO CUSTOMER-USD'!$H130,'01. KE30'!$A:$A,'06. BC BH THEO CUSTOMER-USD'!O$4)/'06. BC BH THEO CUSTOMER-USD'!CU130/'02. Tỷ giá'!D$5,"-")</f>
        <v>1350</v>
      </c>
      <c r="P130" s="106" t="str">
        <f>IFERROR(SUMIFS('01. KE30'!$K:$K,'01. KE30'!$C:$C,'06. BC BH THEO CUSTOMER-USD'!$D130,'01. KE30'!$F:$F,'06. BC BH THEO CUSTOMER-USD'!$H130,'01. KE30'!$A:$A,'06. BC BH THEO CUSTOMER-USD'!P$4)/'06. BC BH THEO CUSTOMER-USD'!CV130/'02. Tỷ giá'!E$5,"-")</f>
        <v>-</v>
      </c>
      <c r="Q130" s="106">
        <f>IFERROR(SUMIFS('01. KE30'!$K:$K,'01. KE30'!$C:$C,'06. BC BH THEO CUSTOMER-USD'!$D130,'01. KE30'!$F:$F,'06. BC BH THEO CUSTOMER-USD'!$H130,'01. KE30'!$A:$A,'06. BC BH THEO CUSTOMER-USD'!Q$4)/'06. BC BH THEO CUSTOMER-USD'!CW130/'02. Tỷ giá'!F$5,"-")</f>
        <v>1289.4431554524363</v>
      </c>
      <c r="R130" s="106" t="str">
        <f>IFERROR(SUMIFS('01. KE30'!$K:$K,'01. KE30'!$C:$C,'06. BC BH THEO CUSTOMER-USD'!$D130,'01. KE30'!$F:$F,'06. BC BH THEO CUSTOMER-USD'!$H130,'01. KE30'!$A:$A,'06. BC BH THEO CUSTOMER-USD'!R$4)/'06. BC BH THEO CUSTOMER-USD'!CX130/'02. Tỷ giá'!G$5,"-")</f>
        <v>-</v>
      </c>
      <c r="S130" s="106">
        <f>IFERROR(SUMIFS('01. KE30'!$K:$K,'01. KE30'!$C:$C,'06. BC BH THEO CUSTOMER-USD'!$D130,'01. KE30'!$F:$F,'06. BC BH THEO CUSTOMER-USD'!$H130,'01. KE30'!$A:$A,'06. BC BH THEO CUSTOMER-USD'!S$4)/'06. BC BH THEO CUSTOMER-USD'!CY130/'02. Tỷ giá'!H$5,"-")</f>
        <v>1292.2116798299664</v>
      </c>
      <c r="T130" s="106" t="str">
        <f>IFERROR(SUMIFS('01. KE30'!$K:$K,'01. KE30'!$C:$C,'06. BC BH THEO CUSTOMER-USD'!$D130,'01. KE30'!$F:$F,'06. BC BH THEO CUSTOMER-USD'!$H130,'01. KE30'!$A:$A,'06. BC BH THEO CUSTOMER-USD'!T$4)/'06. BC BH THEO CUSTOMER-USD'!CZ130/'02. Tỷ giá'!I$5,"-")</f>
        <v>-</v>
      </c>
      <c r="U130" s="106">
        <f>IFERROR(SUMIFS('01. KE30'!$K:$K,'01. KE30'!$C:$C,'06. BC BH THEO CUSTOMER-USD'!$D130,'01. KE30'!$F:$F,'06. BC BH THEO CUSTOMER-USD'!$H130,'01. KE30'!$A:$A,'06. BC BH THEO CUSTOMER-USD'!U$4)/'06. BC BH THEO CUSTOMER-USD'!DA130/'02. Tỷ giá'!J$5,"-")</f>
        <v>1296.1763809523809</v>
      </c>
      <c r="V130" s="106" t="str">
        <f>IFERROR(SUMIFS('01. KE30'!$K:$K,'01. KE30'!$C:$C,'06. BC BH THEO CUSTOMER-USD'!$D130,'01. KE30'!$F:$F,'06. BC BH THEO CUSTOMER-USD'!$H130,'01. KE30'!$A:$A,'06. BC BH THEO CUSTOMER-USD'!V$4)/'06. BC BH THEO CUSTOMER-USD'!DB130/'02. Tỷ giá'!K$5,"-")</f>
        <v>-</v>
      </c>
      <c r="W130" s="106" t="str">
        <f>IFERROR(SUMIFS('01. KE30'!$K:$K,'01. KE30'!$C:$C,'06. BC BH THEO CUSTOMER-USD'!$D130,'01. KE30'!$F:$F,'06. BC BH THEO CUSTOMER-USD'!$H130,'01. KE30'!$A:$A,'06. BC BH THEO CUSTOMER-USD'!W$4)/'06. BC BH THEO CUSTOMER-USD'!DC130/'02. Tỷ giá'!L$5,"-")</f>
        <v>-</v>
      </c>
      <c r="X130" s="106" t="str">
        <f>IFERROR(SUMIFS('01. KE30'!$K:$K,'01. KE30'!$C:$C,'06. BC BH THEO CUSTOMER-USD'!$D130,'01. KE30'!$F:$F,'06. BC BH THEO CUSTOMER-USD'!$H130,'01. KE30'!$A:$A,'06. BC BH THEO CUSTOMER-USD'!X$4)/'06. BC BH THEO CUSTOMER-USD'!DD130/'02. Tỷ giá'!M$5,"-")</f>
        <v>-</v>
      </c>
      <c r="Z130" s="92">
        <f t="shared" si="1264"/>
        <v>1322.8490591316638</v>
      </c>
      <c r="AA130" s="147">
        <f>IFERROR(SUMIFS('01. KE30'!$O:$O,'01. KE30'!$C:$C,'06. BC BH THEO CUSTOMER-USD'!$D130,'01. KE30'!$F:$F,'06. BC BH THEO CUSTOMER-USD'!$H130,'01. KE30'!$A:$A,'06. BC BH THEO CUSTOMER-USD'!M$4)/'06. BC BH THEO CUSTOMER-USD'!CS130/'02. Tỷ giá'!B$5,"-")</f>
        <v>1358.7314331593736</v>
      </c>
      <c r="AB130" s="147">
        <f>IFERROR(SUMIFS('01. KE30'!$O:$O,'01. KE30'!$C:$C,'06. BC BH THEO CUSTOMER-USD'!$D130,'01. KE30'!$F:$F,'06. BC BH THEO CUSTOMER-USD'!$H130,'01. KE30'!$A:$A,'06. BC BH THEO CUSTOMER-USD'!N$4)/'06. BC BH THEO CUSTOMER-USD'!CT130/'02. Tỷ giá'!C$5,"-")</f>
        <v>1350.5317053958252</v>
      </c>
      <c r="AC130" s="147">
        <f>IFERROR(SUMIFS('01. KE30'!$O:$O,'01. KE30'!$C:$C,'06. BC BH THEO CUSTOMER-USD'!$D130,'01. KE30'!$F:$F,'06. BC BH THEO CUSTOMER-USD'!$H130,'01. KE30'!$A:$A,'06. BC BH THEO CUSTOMER-USD'!O$4)/'06. BC BH THEO CUSTOMER-USD'!CU130/'02. Tỷ giá'!D$5,"-")</f>
        <v>1350</v>
      </c>
      <c r="AD130" s="147" t="str">
        <f>IFERROR(SUMIFS('01. KE30'!$O:$O,'01. KE30'!$C:$C,'06. BC BH THEO CUSTOMER-USD'!$D130,'01. KE30'!$F:$F,'06. BC BH THEO CUSTOMER-USD'!$H130,'01. KE30'!$A:$A,'06. BC BH THEO CUSTOMER-USD'!P$4)/'06. BC BH THEO CUSTOMER-USD'!CV130/'02. Tỷ giá'!E$5,"-")</f>
        <v>-</v>
      </c>
      <c r="AE130" s="147">
        <f>IFERROR(SUMIFS('01. KE30'!$O:$O,'01. KE30'!$C:$C,'06. BC BH THEO CUSTOMER-USD'!$D130,'01. KE30'!$F:$F,'06. BC BH THEO CUSTOMER-USD'!$H130,'01. KE30'!$A:$A,'06. BC BH THEO CUSTOMER-USD'!Q$4)/'06. BC BH THEO CUSTOMER-USD'!CW130/'02. Tỷ giá'!F$5,"-")</f>
        <v>1289.4431554524363</v>
      </c>
      <c r="AF130" s="147" t="str">
        <f>IFERROR(SUMIFS('01. KE30'!$O:$O,'01. KE30'!$C:$C,'06. BC BH THEO CUSTOMER-USD'!$D130,'01. KE30'!$F:$F,'06. BC BH THEO CUSTOMER-USD'!$H130,'01. KE30'!$A:$A,'06. BC BH THEO CUSTOMER-USD'!R$4)/'06. BC BH THEO CUSTOMER-USD'!CX130/'02. Tỷ giá'!G$5,"-")</f>
        <v>-</v>
      </c>
      <c r="AG130" s="147">
        <f>IFERROR(SUMIFS('01. KE30'!$O:$O,'01. KE30'!$C:$C,'06. BC BH THEO CUSTOMER-USD'!$D130,'01. KE30'!$F:$F,'06. BC BH THEO CUSTOMER-USD'!$H130,'01. KE30'!$A:$A,'06. BC BH THEO CUSTOMER-USD'!S$4)/'06. BC BH THEO CUSTOMER-USD'!CY130/'02. Tỷ giá'!H$5,"-")</f>
        <v>1292.2116798299664</v>
      </c>
      <c r="AH130" s="147" t="str">
        <f>IFERROR(SUMIFS('01. KE30'!$O:$O,'01. KE30'!$C:$C,'06. BC BH THEO CUSTOMER-USD'!$D130,'01. KE30'!$F:$F,'06. BC BH THEO CUSTOMER-USD'!$H130,'01. KE30'!$A:$A,'06. BC BH THEO CUSTOMER-USD'!T$4)/'06. BC BH THEO CUSTOMER-USD'!CZ130/'02. Tỷ giá'!I$5,"-")</f>
        <v>-</v>
      </c>
      <c r="AI130" s="147">
        <f>IFERROR(SUMIFS('01. KE30'!$O:$O,'01. KE30'!$C:$C,'06. BC BH THEO CUSTOMER-USD'!$D130,'01. KE30'!$F:$F,'06. BC BH THEO CUSTOMER-USD'!$H130,'01. KE30'!$A:$A,'06. BC BH THEO CUSTOMER-USD'!U$4)/'06. BC BH THEO CUSTOMER-USD'!DA130/'02. Tỷ giá'!J$5,"-")</f>
        <v>1296.1763809523809</v>
      </c>
      <c r="AJ130" s="147" t="str">
        <f>IFERROR(SUMIFS('01. KE30'!$O:$O,'01. KE30'!$C:$C,'06. BC BH THEO CUSTOMER-USD'!$D130,'01. KE30'!$F:$F,'06. BC BH THEO CUSTOMER-USD'!$H130,'01. KE30'!$A:$A,'06. BC BH THEO CUSTOMER-USD'!V$4)/'06. BC BH THEO CUSTOMER-USD'!DB130/'02. Tỷ giá'!K$5,"-")</f>
        <v>-</v>
      </c>
      <c r="AK130" s="147" t="str">
        <f>IFERROR(SUMIFS('01. KE30'!$O:$O,'01. KE30'!$C:$C,'06. BC BH THEO CUSTOMER-USD'!$D130,'01. KE30'!$F:$F,'06. BC BH THEO CUSTOMER-USD'!$H130,'01. KE30'!$A:$A,'06. BC BH THEO CUSTOMER-USD'!W$4)/'06. BC BH THEO CUSTOMER-USD'!DC130/'02. Tỷ giá'!L$5,"-")</f>
        <v>-</v>
      </c>
      <c r="AL130" s="147" t="str">
        <f>IFERROR(SUMIFS('01. KE30'!$O:$O,'01. KE30'!$C:$C,'06. BC BH THEO CUSTOMER-USD'!$D130,'01. KE30'!$F:$F,'06. BC BH THEO CUSTOMER-USD'!$H130,'01. KE30'!$A:$A,'06. BC BH THEO CUSTOMER-USD'!X$4)/'06. BC BH THEO CUSTOMER-USD'!DD130/'02. Tỷ giá'!M$5,"-")</f>
        <v>-</v>
      </c>
      <c r="AN130" s="55">
        <f t="shared" si="1265"/>
        <v>1310</v>
      </c>
      <c r="AO130" s="4">
        <v>1300</v>
      </c>
      <c r="AP130" s="4">
        <v>1300</v>
      </c>
      <c r="AQ130" s="4">
        <v>1300</v>
      </c>
      <c r="AR130" s="4">
        <v>1300</v>
      </c>
      <c r="AS130" s="4">
        <v>1300</v>
      </c>
      <c r="AT130" s="4">
        <v>1300</v>
      </c>
      <c r="AU130" s="4">
        <v>1330</v>
      </c>
      <c r="AV130" s="4">
        <v>1330</v>
      </c>
      <c r="AW130" s="4">
        <v>1330</v>
      </c>
      <c r="AX130" s="4"/>
      <c r="AY130" s="4"/>
      <c r="AZ130" s="4"/>
      <c r="BB130" s="54">
        <f t="shared" si="637"/>
        <v>12.849059131663807</v>
      </c>
      <c r="BC130" s="95">
        <f t="shared" si="638"/>
        <v>58.731433159373637</v>
      </c>
      <c r="BD130" s="95">
        <f t="shared" si="1147"/>
        <v>50.531705395825156</v>
      </c>
      <c r="BE130" s="95">
        <f t="shared" si="1147"/>
        <v>50</v>
      </c>
      <c r="BF130" s="95" t="str">
        <f t="shared" si="1147"/>
        <v>-</v>
      </c>
      <c r="BG130" s="95">
        <f t="shared" si="1147"/>
        <v>-10.556844547563742</v>
      </c>
      <c r="BH130" s="95" t="str">
        <f t="shared" si="1147"/>
        <v>-</v>
      </c>
      <c r="BI130" s="95">
        <f t="shared" si="1147"/>
        <v>-37.788320170033558</v>
      </c>
      <c r="BJ130" s="95" t="str">
        <f t="shared" si="1147"/>
        <v>-</v>
      </c>
      <c r="BK130" s="95">
        <f t="shared" si="1147"/>
        <v>-33.823619047619104</v>
      </c>
      <c r="BL130" s="95" t="str">
        <f t="shared" si="1147"/>
        <v>-</v>
      </c>
      <c r="BM130" s="95" t="str">
        <f t="shared" si="1147"/>
        <v>-</v>
      </c>
      <c r="BN130" s="95" t="str">
        <f t="shared" si="1147"/>
        <v>-</v>
      </c>
      <c r="BP130" s="143">
        <f t="shared" si="639"/>
        <v>9.8084420852395469E-3</v>
      </c>
      <c r="BQ130" s="143">
        <f t="shared" si="517"/>
        <v>4.5178025507210492E-2</v>
      </c>
      <c r="BR130" s="143">
        <f t="shared" si="518"/>
        <v>3.8870542612173195E-2</v>
      </c>
      <c r="BS130" s="143">
        <f t="shared" si="519"/>
        <v>3.8461538461538464E-2</v>
      </c>
      <c r="BT130" s="143" t="str">
        <f t="shared" si="520"/>
        <v>-</v>
      </c>
      <c r="BU130" s="143">
        <f t="shared" si="521"/>
        <v>-8.1206496519721089E-3</v>
      </c>
      <c r="BV130" s="143" t="str">
        <f t="shared" si="522"/>
        <v>-</v>
      </c>
      <c r="BW130" s="143">
        <f t="shared" si="523"/>
        <v>-2.841227080453651E-2</v>
      </c>
      <c r="BX130" s="143" t="str">
        <f t="shared" si="524"/>
        <v>-</v>
      </c>
      <c r="BY130" s="143">
        <f t="shared" si="525"/>
        <v>-2.5431292517006845E-2</v>
      </c>
      <c r="BZ130" s="143" t="str">
        <f t="shared" si="526"/>
        <v>-</v>
      </c>
      <c r="CA130" s="143" t="str">
        <f t="shared" si="527"/>
        <v>-</v>
      </c>
      <c r="CB130" s="143" t="str">
        <f t="shared" si="528"/>
        <v>-</v>
      </c>
      <c r="CD130" s="112">
        <f t="shared" si="1248"/>
        <v>939.89626091932166</v>
      </c>
      <c r="CE130" s="95">
        <f>IFERROR(SUMIFS('01. KE30'!$R:$R,'01. KE30'!$C:$C,'06. BC BH THEO CUSTOMER-USD'!$D130,'01. KE30'!$F:$F,'06. BC BH THEO CUSTOMER-USD'!$H130,'01. KE30'!$A:$A,'06. BC BH THEO CUSTOMER-USD'!CE$4)/CS130/'02. Tỷ giá'!B$5," -")</f>
        <v>953.61151782781656</v>
      </c>
      <c r="CF130" s="95">
        <f>IFERROR(SUMIFS('01. KE30'!$R:$R,'01. KE30'!$C:$C,'06. BC BH THEO CUSTOMER-USD'!$D130,'01. KE30'!$F:$F,'06. BC BH THEO CUSTOMER-USD'!$H130,'01. KE30'!$A:$A,'06. BC BH THEO CUSTOMER-USD'!CF$4)/CT130/'02. Tỷ giá'!C$5," -")</f>
        <v>943.71356654373585</v>
      </c>
      <c r="CG130" s="95">
        <f>IFERROR(SUMIFS('01. KE30'!$R:$R,'01. KE30'!$C:$C,'06. BC BH THEO CUSTOMER-USD'!$D130,'01. KE30'!$F:$F,'06. BC BH THEO CUSTOMER-USD'!$H130,'01. KE30'!$A:$A,'06. BC BH THEO CUSTOMER-USD'!CG$4)/CU130/'02. Tỷ giá'!D$5," -")</f>
        <v>951.59469577666425</v>
      </c>
      <c r="CH130" s="95" t="str">
        <f>IFERROR(SUMIFS('01. KE30'!$R:$R,'01. KE30'!$C:$C,'06. BC BH THEO CUSTOMER-USD'!$D130,'01. KE30'!$F:$F,'06. BC BH THEO CUSTOMER-USD'!$H130,'01. KE30'!$A:$A,'06. BC BH THEO CUSTOMER-USD'!CH$4)/CV130/'02. Tỷ giá'!E$5," -")</f>
        <v xml:space="preserve"> -</v>
      </c>
      <c r="CI130" s="95">
        <f>IFERROR(SUMIFS('01. KE30'!$R:$R,'01. KE30'!$C:$C,'06. BC BH THEO CUSTOMER-USD'!$D130,'01. KE30'!$F:$F,'06. BC BH THEO CUSTOMER-USD'!$H130,'01. KE30'!$A:$A,'06. BC BH THEO CUSTOMER-USD'!CI$4)/CW130/'02. Tỷ giá'!F$5," -")</f>
        <v>936.22417914645291</v>
      </c>
      <c r="CJ130" s="95" t="str">
        <f>IFERROR(SUMIFS('01. KE30'!$R:$R,'01. KE30'!$C:$C,'06. BC BH THEO CUSTOMER-USD'!$D130,'01. KE30'!$F:$F,'06. BC BH THEO CUSTOMER-USD'!$H130,'01. KE30'!$A:$A,'06. BC BH THEO CUSTOMER-USD'!CJ$4)/CX130/'02. Tỷ giá'!G$5," -")</f>
        <v xml:space="preserve"> -</v>
      </c>
      <c r="CK130" s="95">
        <f>IFERROR(SUMIFS('01. KE30'!$R:$R,'01. KE30'!$C:$C,'06. BC BH THEO CUSTOMER-USD'!$D130,'01. KE30'!$F:$F,'06. BC BH THEO CUSTOMER-USD'!$H130,'01. KE30'!$A:$A,'06. BC BH THEO CUSTOMER-USD'!CK$4)/CY130/'02. Tỷ giá'!H$5," -")</f>
        <v>931.01821574506937</v>
      </c>
      <c r="CL130" s="95" t="str">
        <f>IFERROR(SUMIFS('01. KE30'!$R:$R,'01. KE30'!$C:$C,'06. BC BH THEO CUSTOMER-USD'!$D130,'01. KE30'!$F:$F,'06. BC BH THEO CUSTOMER-USD'!$H130,'01. KE30'!$A:$A,'06. BC BH THEO CUSTOMER-USD'!CL$4)/CZ130/'02. Tỷ giá'!I$5," -")</f>
        <v xml:space="preserve"> -</v>
      </c>
      <c r="CM130" s="95">
        <f>IFERROR(SUMIFS('01. KE30'!$R:$R,'01. KE30'!$C:$C,'06. BC BH THEO CUSTOMER-USD'!$D130,'01. KE30'!$F:$F,'06. BC BH THEO CUSTOMER-USD'!$H130,'01. KE30'!$A:$A,'06. BC BH THEO CUSTOMER-USD'!CM$4)/DA130/'02. Tỷ giá'!J$5," -")</f>
        <v>923.21539047619046</v>
      </c>
      <c r="CN130" s="95" t="str">
        <f>IFERROR(SUMIFS('01. KE30'!$R:$R,'01. KE30'!$C:$C,'06. BC BH THEO CUSTOMER-USD'!$D130,'01. KE30'!$F:$F,'06. BC BH THEO CUSTOMER-USD'!$H130,'01. KE30'!$A:$A,'06. BC BH THEO CUSTOMER-USD'!CN$4)/DB130/'02. Tỷ giá'!K$5," -")</f>
        <v xml:space="preserve"> -</v>
      </c>
      <c r="CO130" s="95" t="str">
        <f>IFERROR(SUMIFS('01. KE30'!$R:$R,'01. KE30'!$C:$C,'06. BC BH THEO CUSTOMER-USD'!$D130,'01. KE30'!$F:$F,'06. BC BH THEO CUSTOMER-USD'!$H130,'01. KE30'!$A:$A,'06. BC BH THEO CUSTOMER-USD'!CO$4)/DC130/'02. Tỷ giá'!L$5," -")</f>
        <v xml:space="preserve"> -</v>
      </c>
      <c r="CP130" s="95" t="str">
        <f>IFERROR(SUMIFS('01. KE30'!$R:$R,'01. KE30'!$C:$C,'06. BC BH THEO CUSTOMER-USD'!$D130,'01. KE30'!$F:$F,'06. BC BH THEO CUSTOMER-USD'!$H130,'01. KE30'!$A:$A,'06. BC BH THEO CUSTOMER-USD'!CP$4)/DD130/'02. Tỷ giá'!M$5," -")</f>
        <v xml:space="preserve"> -</v>
      </c>
      <c r="CR130" s="112">
        <f t="shared" si="1249"/>
        <v>37.125</v>
      </c>
      <c r="CS130" s="114">
        <f>SUMIFS('01. KE30'!$I:$I,'01. KE30'!$C:$C,'06. BC BH THEO CUSTOMER-USD'!$D130,'01. KE30'!$F:$F,'06. BC BH THEO CUSTOMER-USD'!$H130,'01. KE30'!$A:$A,'06. BC BH THEO CUSTOMER-USD'!CS$4)/1000</f>
        <v>5.5</v>
      </c>
      <c r="CT130" s="114">
        <f>SUMIFS('01. KE30'!$I:$I,'01. KE30'!$C:$C,'06. BC BH THEO CUSTOMER-USD'!$D130,'01. KE30'!$F:$F,'06. BC BH THEO CUSTOMER-USD'!$H130,'01. KE30'!$A:$A,'06. BC BH THEO CUSTOMER-USD'!CT$4)/1000</f>
        <v>5.5</v>
      </c>
      <c r="CU130" s="114">
        <f>SUMIFS('01. KE30'!$I:$I,'01. KE30'!$C:$C,'06. BC BH THEO CUSTOMER-USD'!$D130,'01. KE30'!$F:$F,'06. BC BH THEO CUSTOMER-USD'!$H130,'01. KE30'!$A:$A,'06. BC BH THEO CUSTOMER-USD'!CU$4)/1000</f>
        <v>5.5</v>
      </c>
      <c r="CV130" s="114">
        <f>SUMIFS('01. KE30'!$I:$I,'01. KE30'!$C:$C,'06. BC BH THEO CUSTOMER-USD'!$D130,'01. KE30'!$F:$F,'06. BC BH THEO CUSTOMER-USD'!$H130,'01. KE30'!$A:$A,'06. BC BH THEO CUSTOMER-USD'!CV$4)/1000</f>
        <v>0</v>
      </c>
      <c r="CW130" s="114">
        <f>SUMIFS('01. KE30'!$I:$I,'01. KE30'!$C:$C,'06. BC BH THEO CUSTOMER-USD'!$D130,'01. KE30'!$F:$F,'06. BC BH THEO CUSTOMER-USD'!$H130,'01. KE30'!$A:$A,'06. BC BH THEO CUSTOMER-USD'!CW$4)/1000</f>
        <v>5.5</v>
      </c>
      <c r="CX130" s="114">
        <f>SUMIFS('01. KE30'!$I:$I,'01. KE30'!$C:$C,'06. BC BH THEO CUSTOMER-USD'!$D130,'01. KE30'!$F:$F,'06. BC BH THEO CUSTOMER-USD'!$H130,'01. KE30'!$A:$A,'06. BC BH THEO CUSTOMER-USD'!CX$4)/1000</f>
        <v>0</v>
      </c>
      <c r="CY130" s="114">
        <f>SUMIFS('01. KE30'!$I:$I,'01. KE30'!$C:$C,'06. BC BH THEO CUSTOMER-USD'!$D130,'01. KE30'!$F:$F,'06. BC BH THEO CUSTOMER-USD'!$H130,'01. KE30'!$A:$A,'06. BC BH THEO CUSTOMER-USD'!CY$4)/1000</f>
        <v>9.625</v>
      </c>
      <c r="CZ130" s="114">
        <f>SUMIFS('01. KE30'!$I:$I,'01. KE30'!$C:$C,'06. BC BH THEO CUSTOMER-USD'!$D130,'01. KE30'!$F:$F,'06. BC BH THEO CUSTOMER-USD'!$H130,'01. KE30'!$A:$A,'06. BC BH THEO CUSTOMER-USD'!CZ$4)/1000</f>
        <v>0</v>
      </c>
      <c r="DA130" s="114">
        <f>SUMIFS('01. KE30'!$I:$I,'01. KE30'!$C:$C,'06. BC BH THEO CUSTOMER-USD'!$D130,'01. KE30'!$F:$F,'06. BC BH THEO CUSTOMER-USD'!$H130,'01. KE30'!$A:$A,'06. BC BH THEO CUSTOMER-USD'!DA$4)/1000</f>
        <v>5.5</v>
      </c>
      <c r="DB130" s="114">
        <f>SUMIFS('01. KE30'!$I:$I,'01. KE30'!$C:$C,'06. BC BH THEO CUSTOMER-USD'!$D130,'01. KE30'!$F:$F,'06. BC BH THEO CUSTOMER-USD'!$H130,'01. KE30'!$A:$A,'06. BC BH THEO CUSTOMER-USD'!DB$4)/1000</f>
        <v>0</v>
      </c>
      <c r="DC130" s="114">
        <f>SUMIFS('01. KE30'!$I:$I,'01. KE30'!$C:$C,'06. BC BH THEO CUSTOMER-USD'!$D130,'01. KE30'!$F:$F,'06. BC BH THEO CUSTOMER-USD'!$H130,'01. KE30'!$A:$A,'06. BC BH THEO CUSTOMER-USD'!DC$4)/1000</f>
        <v>0</v>
      </c>
      <c r="DD130" s="114">
        <f>SUMIFS('01. KE30'!$I:$I,'01. KE30'!$C:$C,'06. BC BH THEO CUSTOMER-USD'!$D130,'01. KE30'!$F:$F,'06. BC BH THEO CUSTOMER-USD'!$H130,'01. KE30'!$A:$A,'06. BC BH THEO CUSTOMER-USD'!DD$4)/1000</f>
        <v>0</v>
      </c>
      <c r="DF130" s="112">
        <f t="shared" si="1250"/>
        <v>48984.392130643515</v>
      </c>
      <c r="DG130" s="54">
        <f t="shared" si="1251"/>
        <v>7473.0228823765547</v>
      </c>
      <c r="DH130" s="54">
        <f t="shared" si="1252"/>
        <v>7427.9243796770388</v>
      </c>
      <c r="DI130" s="54">
        <f t="shared" si="1253"/>
        <v>7425</v>
      </c>
      <c r="DJ130" s="54" t="str">
        <f t="shared" si="1254"/>
        <v>-</v>
      </c>
      <c r="DK130" s="54">
        <f t="shared" si="1255"/>
        <v>7091.9373549883994</v>
      </c>
      <c r="DL130" s="54" t="str">
        <f t="shared" si="1256"/>
        <v>-</v>
      </c>
      <c r="DM130" s="54">
        <f t="shared" si="1257"/>
        <v>12437.537418363427</v>
      </c>
      <c r="DN130" s="54" t="str">
        <f t="shared" si="1258"/>
        <v>-</v>
      </c>
      <c r="DO130" s="54">
        <f t="shared" si="1259"/>
        <v>7128.9700952380954</v>
      </c>
      <c r="DP130" s="54" t="str">
        <f t="shared" si="1260"/>
        <v>-</v>
      </c>
      <c r="DQ130" s="54" t="str">
        <f t="shared" si="1261"/>
        <v>-</v>
      </c>
      <c r="DR130" s="54" t="str">
        <f t="shared" si="1262"/>
        <v>-</v>
      </c>
      <c r="DT130" s="112">
        <f t="shared" si="652"/>
        <v>14127.365380357493</v>
      </c>
      <c r="DU130" s="114">
        <f>IFERROR(SUMIFS('01. KE30'!$X:$X,'01. KE30'!$C:$C,'06. BC BH THEO CUSTOMER-USD'!$D130,'01. KE30'!$F:$F,'06. BC BH THEO CUSTOMER-USD'!$H130,'01. KE30'!$A:$A,'06. BC BH THEO CUSTOMER-USD'!DU$4)-SUMIFS('01. KE30'!$AA:$AA,'01. KE30'!$C:$C,'06. BC BH THEO CUSTOMER-USD'!$D130,'01. KE30'!$F:$F,'06. BC BH THEO CUSTOMER-USD'!$H130,'01. KE30'!$A:$A,'06. BC BH THEO CUSTOMER-USD'!DU$4),"-")</f>
        <v>2228.1595343235649</v>
      </c>
      <c r="DV130" s="114">
        <f>IFERROR(SUMIFS('01. KE30'!$X:$X,'01. KE30'!$C:$C,'06. BC BH THEO CUSTOMER-USD'!$D130,'01. KE30'!$F:$F,'06. BC BH THEO CUSTOMER-USD'!$H130,'01. KE30'!$A:$A,'06. BC BH THEO CUSTOMER-USD'!DV$4)-SUMIFS('01. KE30'!$AA:$AA,'01. KE30'!$C:$C,'06. BC BH THEO CUSTOMER-USD'!$D130,'01. KE30'!$F:$F,'06. BC BH THEO CUSTOMER-USD'!$H130,'01. KE30'!$A:$A,'06. BC BH THEO CUSTOMER-USD'!DV$4),"-")</f>
        <v>2237.49976368649</v>
      </c>
      <c r="DW130" s="114">
        <f>IFERROR(SUMIFS('01. KE30'!$X:$X,'01. KE30'!$C:$C,'06. BC BH THEO CUSTOMER-USD'!$D130,'01. KE30'!$F:$F,'06. BC BH THEO CUSTOMER-USD'!$H130,'01. KE30'!$A:$A,'06. BC BH THEO CUSTOMER-USD'!DW$4)-SUMIFS('01. KE30'!$AA:$AA,'01. KE30'!$C:$C,'06. BC BH THEO CUSTOMER-USD'!$D130,'01. KE30'!$F:$F,'06. BC BH THEO CUSTOMER-USD'!$H130,'01. KE30'!$A:$A,'06. BC BH THEO CUSTOMER-USD'!DW$4),"-")</f>
        <v>2191.2291732283466</v>
      </c>
      <c r="DX130" s="114">
        <f>IFERROR(SUMIFS('01. KE30'!$X:$X,'01. KE30'!$C:$C,'06. BC BH THEO CUSTOMER-USD'!$D130,'01. KE30'!$F:$F,'06. BC BH THEO CUSTOMER-USD'!$H130,'01. KE30'!$A:$A,'06. BC BH THEO CUSTOMER-USD'!DX$4)-SUMIFS('01. KE30'!$AA:$AA,'01. KE30'!$C:$C,'06. BC BH THEO CUSTOMER-USD'!$D130,'01. KE30'!$F:$F,'06. BC BH THEO CUSTOMER-USD'!$H130,'01. KE30'!$A:$A,'06. BC BH THEO CUSTOMER-USD'!DX$4),"-")</f>
        <v>0</v>
      </c>
      <c r="DY130" s="114">
        <f>IFERROR(SUMIFS('01. KE30'!$X:$X,'01. KE30'!$C:$C,'06. BC BH THEO CUSTOMER-USD'!$D130,'01. KE30'!$F:$F,'06. BC BH THEO CUSTOMER-USD'!$H130,'01. KE30'!$A:$A,'06. BC BH THEO CUSTOMER-USD'!DY$4)-SUMIFS('01. KE30'!$AA:$AA,'01. KE30'!$C:$C,'06. BC BH THEO CUSTOMER-USD'!$D130,'01. KE30'!$F:$F,'06. BC BH THEO CUSTOMER-USD'!$H130,'01. KE30'!$A:$A,'06. BC BH THEO CUSTOMER-USD'!DY$4),"-")</f>
        <v>1942.7043696829087</v>
      </c>
      <c r="DZ130" s="114">
        <f>IFERROR(SUMIFS('01. KE30'!$X:$X,'01. KE30'!$C:$C,'06. BC BH THEO CUSTOMER-USD'!$D130,'01. KE30'!$F:$F,'06. BC BH THEO CUSTOMER-USD'!$H130,'01. KE30'!$A:$A,'06. BC BH THEO CUSTOMER-USD'!DZ$4)-SUMIFS('01. KE30'!$AA:$AA,'01. KE30'!$C:$C,'06. BC BH THEO CUSTOMER-USD'!$D130,'01. KE30'!$F:$F,'06. BC BH THEO CUSTOMER-USD'!$H130,'01. KE30'!$A:$A,'06. BC BH THEO CUSTOMER-USD'!DZ$4),"-")</f>
        <v>0</v>
      </c>
      <c r="EA130" s="114">
        <f>IFERROR(SUMIFS('01. KE30'!$X:$X,'01. KE30'!$C:$C,'06. BC BH THEO CUSTOMER-USD'!$D130,'01. KE30'!$F:$F,'06. BC BH THEO CUSTOMER-USD'!$H130,'01. KE30'!$A:$A,'06. BC BH THEO CUSTOMER-USD'!EA$4)-SUMIFS('01. KE30'!$AA:$AA,'01. KE30'!$C:$C,'06. BC BH THEO CUSTOMER-USD'!$D130,'01. KE30'!$F:$F,'06. BC BH THEO CUSTOMER-USD'!$H130,'01. KE30'!$A:$A,'06. BC BH THEO CUSTOMER-USD'!EA$4),"-")</f>
        <v>3476.4870918171346</v>
      </c>
      <c r="EB130" s="114">
        <f>IFERROR(SUMIFS('01. KE30'!$X:$X,'01. KE30'!$C:$C,'06. BC BH THEO CUSTOMER-USD'!$D130,'01. KE30'!$F:$F,'06. BC BH THEO CUSTOMER-USD'!$H130,'01. KE30'!$A:$A,'06. BC BH THEO CUSTOMER-USD'!EB$4)-SUMIFS('01. KE30'!$AA:$AA,'01. KE30'!$C:$C,'06. BC BH THEO CUSTOMER-USD'!$D130,'01. KE30'!$F:$F,'06. BC BH THEO CUSTOMER-USD'!$H130,'01. KE30'!$A:$A,'06. BC BH THEO CUSTOMER-USD'!EB$4),"-")</f>
        <v>0</v>
      </c>
      <c r="EC130" s="114">
        <f>IFERROR(SUMIFS('01. KE30'!$X:$X,'01. KE30'!$C:$C,'06. BC BH THEO CUSTOMER-USD'!$D130,'01. KE30'!$F:$F,'06. BC BH THEO CUSTOMER-USD'!$H130,'01. KE30'!$A:$A,'06. BC BH THEO CUSTOMER-USD'!EC$4)-SUMIFS('01. KE30'!$AA:$AA,'01. KE30'!$C:$C,'06. BC BH THEO CUSTOMER-USD'!$D130,'01. KE30'!$F:$F,'06. BC BH THEO CUSTOMER-USD'!$H130,'01. KE30'!$A:$A,'06. BC BH THEO CUSTOMER-USD'!EC$4),"-")</f>
        <v>2051.2854476190478</v>
      </c>
      <c r="ED130" s="114">
        <f>IFERROR(SUMIFS('01. KE30'!$X:$X,'01. KE30'!$C:$C,'06. BC BH THEO CUSTOMER-USD'!$D130,'01. KE30'!$F:$F,'06. BC BH THEO CUSTOMER-USD'!$H130,'01. KE30'!$A:$A,'06. BC BH THEO CUSTOMER-USD'!ED$4)-SUMIFS('01. KE30'!$AA:$AA,'01. KE30'!$C:$C,'06. BC BH THEO CUSTOMER-USD'!$D130,'01. KE30'!$F:$F,'06. BC BH THEO CUSTOMER-USD'!$H130,'01. KE30'!$A:$A,'06. BC BH THEO CUSTOMER-USD'!ED$4),"-")</f>
        <v>0</v>
      </c>
      <c r="EE130" s="114">
        <f>IFERROR(SUMIFS('01. KE30'!$X:$X,'01. KE30'!$C:$C,'06. BC BH THEO CUSTOMER-USD'!$D130,'01. KE30'!$F:$F,'06. BC BH THEO CUSTOMER-USD'!$H130,'01. KE30'!$A:$A,'06. BC BH THEO CUSTOMER-USD'!EE$4)-SUMIFS('01. KE30'!$AA:$AA,'01. KE30'!$C:$C,'06. BC BH THEO CUSTOMER-USD'!$D130,'01. KE30'!$F:$F,'06. BC BH THEO CUSTOMER-USD'!$H130,'01. KE30'!$A:$A,'06. BC BH THEO CUSTOMER-USD'!EE$4),"-")</f>
        <v>0</v>
      </c>
      <c r="EF130" s="114">
        <f>IFERROR(SUMIFS('01. KE30'!$X:$X,'01. KE30'!$C:$C,'06. BC BH THEO CUSTOMER-USD'!$D130,'01. KE30'!$F:$F,'06. BC BH THEO CUSTOMER-USD'!$H130,'01. KE30'!$A:$A,'06. BC BH THEO CUSTOMER-USD'!EF$4)-SUMIFS('01. KE30'!$AA:$AA,'01. KE30'!$C:$C,'06. BC BH THEO CUSTOMER-USD'!$D130,'01. KE30'!$F:$F,'06. BC BH THEO CUSTOMER-USD'!$H130,'01. KE30'!$A:$A,'06. BC BH THEO CUSTOMER-USD'!EF$4),"-")</f>
        <v>0</v>
      </c>
      <c r="EH130" s="571">
        <f t="shared" si="531"/>
        <v>0.28840544438479898</v>
      </c>
      <c r="EI130" s="572">
        <f t="shared" si="532"/>
        <v>0.29816040568779451</v>
      </c>
      <c r="EJ130" s="572">
        <f t="shared" si="533"/>
        <v>0.30122812905962498</v>
      </c>
      <c r="EK130" s="572">
        <f t="shared" si="534"/>
        <v>0.29511504016543388</v>
      </c>
      <c r="EL130" s="572" t="str">
        <f t="shared" si="535"/>
        <v>-</v>
      </c>
      <c r="EM130" s="572">
        <f t="shared" si="536"/>
        <v>0.27393140582614278</v>
      </c>
      <c r="EN130" s="572" t="str">
        <f t="shared" si="537"/>
        <v>-</v>
      </c>
      <c r="EO130" s="572">
        <f t="shared" si="538"/>
        <v>0.27951570916958757</v>
      </c>
      <c r="EP130" s="572" t="str">
        <f t="shared" si="539"/>
        <v>-</v>
      </c>
      <c r="EQ130" s="572">
        <f t="shared" si="540"/>
        <v>0.28773938173611296</v>
      </c>
      <c r="ER130" s="572" t="str">
        <f t="shared" si="541"/>
        <v>-</v>
      </c>
      <c r="ES130" s="572" t="str">
        <f t="shared" si="542"/>
        <v>-</v>
      </c>
      <c r="ET130" s="572" t="str">
        <f t="shared" si="543"/>
        <v>-</v>
      </c>
    </row>
    <row r="131" spans="1:150" ht="15.5" hidden="1" outlineLevel="1" x14ac:dyDescent="0.35">
      <c r="A131" s="10">
        <f t="shared" si="1266"/>
        <v>4</v>
      </c>
      <c r="B131" s="10" t="s">
        <v>265</v>
      </c>
      <c r="C131" s="442" t="s">
        <v>502</v>
      </c>
      <c r="D131" s="9" t="s">
        <v>82</v>
      </c>
      <c r="E131" s="20" t="s">
        <v>81</v>
      </c>
      <c r="F131" s="12" t="s">
        <v>245</v>
      </c>
      <c r="G131" s="12" t="str">
        <f>_xlfn.XLOOKUP(F131,'Quy đổi'!$G$5:$G$32,'Quy đổi'!$H$5:$H$32,0)</f>
        <v>Nội địa</v>
      </c>
      <c r="H131" s="76" t="s">
        <v>80</v>
      </c>
      <c r="I131" s="7" t="s">
        <v>79</v>
      </c>
      <c r="J131" s="69" t="s">
        <v>22</v>
      </c>
      <c r="K131" s="26"/>
      <c r="L131" s="92">
        <f t="shared" si="1263"/>
        <v>1369.9345610737676</v>
      </c>
      <c r="M131" s="106">
        <f>IFERROR(SUMIFS('01. KE30'!$K:$K,'01. KE30'!$C:$C,'06. BC BH THEO CUSTOMER-USD'!$D131,'01. KE30'!$F:$F,'06. BC BH THEO CUSTOMER-USD'!$H131,'01. KE30'!$A:$A,'06. BC BH THEO CUSTOMER-USD'!M$4)/'06. BC BH THEO CUSTOMER-USD'!CS131/'02. Tỷ giá'!B$5,"-")</f>
        <v>1408.8317944600562</v>
      </c>
      <c r="N131" s="106">
        <f>IFERROR(SUMIFS('01. KE30'!$K:$K,'01. KE30'!$C:$C,'06. BC BH THEO CUSTOMER-USD'!$D131,'01. KE30'!$F:$F,'06. BC BH THEO CUSTOMER-USD'!$H131,'01. KE30'!$A:$A,'06. BC BH THEO CUSTOMER-USD'!N$4)/'06. BC BH THEO CUSTOMER-USD'!CT131/'02. Tỷ giá'!C$5,"-")</f>
        <v>1400.5513981882632</v>
      </c>
      <c r="O131" s="106">
        <f>IFERROR(SUMIFS('01. KE30'!$K:$K,'01. KE30'!$C:$C,'06. BC BH THEO CUSTOMER-USD'!$D131,'01. KE30'!$F:$F,'06. BC BH THEO CUSTOMER-USD'!$H131,'01. KE30'!$A:$A,'06. BC BH THEO CUSTOMER-USD'!O$4)/'06. BC BH THEO CUSTOMER-USD'!CU131/'02. Tỷ giá'!D$5,"-")</f>
        <v>1400</v>
      </c>
      <c r="P131" s="106">
        <f>IFERROR(SUMIFS('01. KE30'!$K:$K,'01. KE30'!$C:$C,'06. BC BH THEO CUSTOMER-USD'!$D131,'01. KE30'!$F:$F,'06. BC BH THEO CUSTOMER-USD'!$H131,'01. KE30'!$A:$A,'06. BC BH THEO CUSTOMER-USD'!P$4)/'06. BC BH THEO CUSTOMER-USD'!CV131/'02. Tỷ giá'!E$5,"-")</f>
        <v>1340.5923344947735</v>
      </c>
      <c r="Q131" s="106">
        <f>IFERROR(SUMIFS('01. KE30'!$K:$K,'01. KE30'!$C:$C,'06. BC BH THEO CUSTOMER-USD'!$D131,'01. KE30'!$F:$F,'06. BC BH THEO CUSTOMER-USD'!$H131,'01. KE30'!$A:$A,'06. BC BH THEO CUSTOMER-USD'!Q$4)/'06. BC BH THEO CUSTOMER-USD'!CW131/'02. Tỷ giá'!F$5,"-")</f>
        <v>1339.0371229698376</v>
      </c>
      <c r="R131" s="106">
        <f>IFERROR(SUMIFS('01. KE30'!$K:$K,'01. KE30'!$C:$C,'06. BC BH THEO CUSTOMER-USD'!$D131,'01. KE30'!$F:$F,'06. BC BH THEO CUSTOMER-USD'!$H131,'01. KE30'!$A:$A,'06. BC BH THEO CUSTOMER-USD'!R$4)/'06. BC BH THEO CUSTOMER-USD'!CX131/'02. Tỷ giá'!G$5,"-")</f>
        <v>1335.9375</v>
      </c>
      <c r="S131" s="106" t="str">
        <f>IFERROR(SUMIFS('01. KE30'!$K:$K,'01. KE30'!$C:$C,'06. BC BH THEO CUSTOMER-USD'!$D131,'01. KE30'!$F:$F,'06. BC BH THEO CUSTOMER-USD'!$H131,'01. KE30'!$A:$A,'06. BC BH THEO CUSTOMER-USD'!S$4)/'06. BC BH THEO CUSTOMER-USD'!CY131/'02. Tỷ giá'!H$5,"-")</f>
        <v>-</v>
      </c>
      <c r="T131" s="106">
        <f>IFERROR(SUMIFS('01. KE30'!$K:$K,'01. KE30'!$C:$C,'06. BC BH THEO CUSTOMER-USD'!$D131,'01. KE30'!$F:$F,'06. BC BH THEO CUSTOMER-USD'!$H131,'01. KE30'!$A:$A,'06. BC BH THEO CUSTOMER-USD'!T$4)/'06. BC BH THEO CUSTOMER-USD'!CZ131/'02. Tỷ giá'!I$5,"-")</f>
        <v>1369.0886172650878</v>
      </c>
      <c r="U131" s="106">
        <f>IFERROR(SUMIFS('01. KE30'!$K:$K,'01. KE30'!$C:$C,'06. BC BH THEO CUSTOMER-USD'!$D131,'01. KE30'!$F:$F,'06. BC BH THEO CUSTOMER-USD'!$H131,'01. KE30'!$A:$A,'06. BC BH THEO CUSTOMER-USD'!U$4)/'06. BC BH THEO CUSTOMER-USD'!DA131/'02. Tỷ giá'!J$5,"-")</f>
        <v>1365.4377212121212</v>
      </c>
      <c r="V131" s="106" t="str">
        <f>IFERROR(SUMIFS('01. KE30'!$K:$K,'01. KE30'!$C:$C,'06. BC BH THEO CUSTOMER-USD'!$D131,'01. KE30'!$F:$F,'06. BC BH THEO CUSTOMER-USD'!$H131,'01. KE30'!$A:$A,'06. BC BH THEO CUSTOMER-USD'!V$4)/'06. BC BH THEO CUSTOMER-USD'!DB131/'02. Tỷ giá'!K$5,"-")</f>
        <v>-</v>
      </c>
      <c r="W131" s="106" t="str">
        <f>IFERROR(SUMIFS('01. KE30'!$K:$K,'01. KE30'!$C:$C,'06. BC BH THEO CUSTOMER-USD'!$D131,'01. KE30'!$F:$F,'06. BC BH THEO CUSTOMER-USD'!$H131,'01. KE30'!$A:$A,'06. BC BH THEO CUSTOMER-USD'!W$4)/'06. BC BH THEO CUSTOMER-USD'!DC131/'02. Tỷ giá'!L$5,"-")</f>
        <v>-</v>
      </c>
      <c r="X131" s="106" t="str">
        <f>IFERROR(SUMIFS('01. KE30'!$K:$K,'01. KE30'!$C:$C,'06. BC BH THEO CUSTOMER-USD'!$D131,'01. KE30'!$F:$F,'06. BC BH THEO CUSTOMER-USD'!$H131,'01. KE30'!$A:$A,'06. BC BH THEO CUSTOMER-USD'!X$4)/'06. BC BH THEO CUSTOMER-USD'!DD131/'02. Tỷ giá'!M$5,"-")</f>
        <v>-</v>
      </c>
      <c r="Z131" s="92">
        <f t="shared" si="1264"/>
        <v>1369.9345610737676</v>
      </c>
      <c r="AA131" s="147">
        <f>IFERROR(SUMIFS('01. KE30'!$O:$O,'01. KE30'!$C:$C,'06. BC BH THEO CUSTOMER-USD'!$D131,'01. KE30'!$F:$F,'06. BC BH THEO CUSTOMER-USD'!$H131,'01. KE30'!$A:$A,'06. BC BH THEO CUSTOMER-USD'!M$4)/'06. BC BH THEO CUSTOMER-USD'!CS131/'02. Tỷ giá'!B$5,"-")</f>
        <v>1408.8317944600562</v>
      </c>
      <c r="AB131" s="147">
        <f>IFERROR(SUMIFS('01. KE30'!$O:$O,'01. KE30'!$C:$C,'06. BC BH THEO CUSTOMER-USD'!$D131,'01. KE30'!$F:$F,'06. BC BH THEO CUSTOMER-USD'!$H131,'01. KE30'!$A:$A,'06. BC BH THEO CUSTOMER-USD'!N$4)/'06. BC BH THEO CUSTOMER-USD'!CT131/'02. Tỷ giá'!C$5,"-")</f>
        <v>1400.5513981882632</v>
      </c>
      <c r="AC131" s="147">
        <f>IFERROR(SUMIFS('01. KE30'!$O:$O,'01. KE30'!$C:$C,'06. BC BH THEO CUSTOMER-USD'!$D131,'01. KE30'!$F:$F,'06. BC BH THEO CUSTOMER-USD'!$H131,'01. KE30'!$A:$A,'06. BC BH THEO CUSTOMER-USD'!O$4)/'06. BC BH THEO CUSTOMER-USD'!CU131/'02. Tỷ giá'!D$5,"-")</f>
        <v>1400</v>
      </c>
      <c r="AD131" s="147">
        <f>IFERROR(SUMIFS('01. KE30'!$O:$O,'01. KE30'!$C:$C,'06. BC BH THEO CUSTOMER-USD'!$D131,'01. KE30'!$F:$F,'06. BC BH THEO CUSTOMER-USD'!$H131,'01. KE30'!$A:$A,'06. BC BH THEO CUSTOMER-USD'!P$4)/'06. BC BH THEO CUSTOMER-USD'!CV131/'02. Tỷ giá'!E$5,"-")</f>
        <v>1340.5923344947735</v>
      </c>
      <c r="AE131" s="147">
        <f>IFERROR(SUMIFS('01. KE30'!$O:$O,'01. KE30'!$C:$C,'06. BC BH THEO CUSTOMER-USD'!$D131,'01. KE30'!$F:$F,'06. BC BH THEO CUSTOMER-USD'!$H131,'01. KE30'!$A:$A,'06. BC BH THEO CUSTOMER-USD'!Q$4)/'06. BC BH THEO CUSTOMER-USD'!CW131/'02. Tỷ giá'!F$5,"-")</f>
        <v>1339.0371229698376</v>
      </c>
      <c r="AF131" s="147">
        <f>IFERROR(SUMIFS('01. KE30'!$O:$O,'01. KE30'!$C:$C,'06. BC BH THEO CUSTOMER-USD'!$D131,'01. KE30'!$F:$F,'06. BC BH THEO CUSTOMER-USD'!$H131,'01. KE30'!$A:$A,'06. BC BH THEO CUSTOMER-USD'!R$4)/'06. BC BH THEO CUSTOMER-USD'!CX131/'02. Tỷ giá'!G$5,"-")</f>
        <v>1335.9375</v>
      </c>
      <c r="AG131" s="147" t="str">
        <f>IFERROR(SUMIFS('01. KE30'!$O:$O,'01. KE30'!$C:$C,'06. BC BH THEO CUSTOMER-USD'!$D131,'01. KE30'!$F:$F,'06. BC BH THEO CUSTOMER-USD'!$H131,'01. KE30'!$A:$A,'06. BC BH THEO CUSTOMER-USD'!S$4)/'06. BC BH THEO CUSTOMER-USD'!CY131/'02. Tỷ giá'!H$5,"-")</f>
        <v>-</v>
      </c>
      <c r="AH131" s="147">
        <f>IFERROR(SUMIFS('01. KE30'!$O:$O,'01. KE30'!$C:$C,'06. BC BH THEO CUSTOMER-USD'!$D131,'01. KE30'!$F:$F,'06. BC BH THEO CUSTOMER-USD'!$H131,'01. KE30'!$A:$A,'06. BC BH THEO CUSTOMER-USD'!T$4)/'06. BC BH THEO CUSTOMER-USD'!CZ131/'02. Tỷ giá'!I$5,"-")</f>
        <v>1369.0886172650878</v>
      </c>
      <c r="AI131" s="147">
        <f>IFERROR(SUMIFS('01. KE30'!$O:$O,'01. KE30'!$C:$C,'06. BC BH THEO CUSTOMER-USD'!$D131,'01. KE30'!$F:$F,'06. BC BH THEO CUSTOMER-USD'!$H131,'01. KE30'!$A:$A,'06. BC BH THEO CUSTOMER-USD'!U$4)/'06. BC BH THEO CUSTOMER-USD'!DA131/'02. Tỷ giá'!J$5,"-")</f>
        <v>1365.4377212121212</v>
      </c>
      <c r="AJ131" s="147" t="str">
        <f>IFERROR(SUMIFS('01. KE30'!$O:$O,'01. KE30'!$C:$C,'06. BC BH THEO CUSTOMER-USD'!$D131,'01. KE30'!$F:$F,'06. BC BH THEO CUSTOMER-USD'!$H131,'01. KE30'!$A:$A,'06. BC BH THEO CUSTOMER-USD'!V$4)/'06. BC BH THEO CUSTOMER-USD'!DB131/'02. Tỷ giá'!K$5,"-")</f>
        <v>-</v>
      </c>
      <c r="AK131" s="147" t="str">
        <f>IFERROR(SUMIFS('01. KE30'!$O:$O,'01. KE30'!$C:$C,'06. BC BH THEO CUSTOMER-USD'!$D131,'01. KE30'!$F:$F,'06. BC BH THEO CUSTOMER-USD'!$H131,'01. KE30'!$A:$A,'06. BC BH THEO CUSTOMER-USD'!W$4)/'06. BC BH THEO CUSTOMER-USD'!DC131/'02. Tỷ giá'!L$5,"-")</f>
        <v>-</v>
      </c>
      <c r="AL131" s="147" t="str">
        <f>IFERROR(SUMIFS('01. KE30'!$O:$O,'01. KE30'!$C:$C,'06. BC BH THEO CUSTOMER-USD'!$D131,'01. KE30'!$F:$F,'06. BC BH THEO CUSTOMER-USD'!$H131,'01. KE30'!$A:$A,'06. BC BH THEO CUSTOMER-USD'!X$4)/'06. BC BH THEO CUSTOMER-USD'!DD131/'02. Tỷ giá'!M$5,"-")</f>
        <v>-</v>
      </c>
      <c r="AN131" s="55">
        <f t="shared" si="1265"/>
        <v>1365.5555555555557</v>
      </c>
      <c r="AO131" s="4">
        <v>1350</v>
      </c>
      <c r="AP131" s="4">
        <v>1400</v>
      </c>
      <c r="AQ131" s="4">
        <f t="shared" ref="AQ131:AQ145" si="1267">AP131-50</f>
        <v>1350</v>
      </c>
      <c r="AR131" s="4">
        <v>1350</v>
      </c>
      <c r="AS131" s="4">
        <v>1350</v>
      </c>
      <c r="AT131" s="4">
        <v>1350</v>
      </c>
      <c r="AU131" s="4">
        <v>1380</v>
      </c>
      <c r="AV131" s="4">
        <v>1380</v>
      </c>
      <c r="AW131" s="4">
        <v>1380</v>
      </c>
      <c r="AX131" s="4"/>
      <c r="AY131" s="4"/>
      <c r="AZ131" s="4"/>
      <c r="BB131" s="54">
        <f t="shared" si="637"/>
        <v>4.3790055182118977</v>
      </c>
      <c r="BC131" s="95">
        <f t="shared" si="638"/>
        <v>58.831794460056244</v>
      </c>
      <c r="BD131" s="95">
        <f t="shared" si="1147"/>
        <v>0.55139818826319242</v>
      </c>
      <c r="BE131" s="95">
        <f t="shared" si="1147"/>
        <v>50</v>
      </c>
      <c r="BF131" s="95">
        <f t="shared" si="1147"/>
        <v>-9.4076655052265323</v>
      </c>
      <c r="BG131" s="95">
        <f t="shared" si="1147"/>
        <v>-10.962877030162417</v>
      </c>
      <c r="BH131" s="95">
        <f t="shared" si="1147"/>
        <v>-14.0625</v>
      </c>
      <c r="BI131" s="95" t="str">
        <f t="shared" si="1147"/>
        <v>-</v>
      </c>
      <c r="BJ131" s="95">
        <f t="shared" si="1147"/>
        <v>-10.911382734912195</v>
      </c>
      <c r="BK131" s="95">
        <f t="shared" si="1147"/>
        <v>-14.562278787878768</v>
      </c>
      <c r="BL131" s="95" t="str">
        <f t="shared" si="1147"/>
        <v>-</v>
      </c>
      <c r="BM131" s="95" t="str">
        <f t="shared" si="1147"/>
        <v>-</v>
      </c>
      <c r="BN131" s="95" t="str">
        <f t="shared" si="1147"/>
        <v>-</v>
      </c>
      <c r="BP131" s="143">
        <f t="shared" si="639"/>
        <v>3.2067574990974025E-3</v>
      </c>
      <c r="BQ131" s="143">
        <f t="shared" si="517"/>
        <v>4.3579107007449068E-2</v>
      </c>
      <c r="BR131" s="143">
        <f t="shared" si="518"/>
        <v>3.9385584875942318E-4</v>
      </c>
      <c r="BS131" s="143">
        <f t="shared" si="519"/>
        <v>3.7037037037037035E-2</v>
      </c>
      <c r="BT131" s="143">
        <f t="shared" si="520"/>
        <v>-6.9686411149826166E-3</v>
      </c>
      <c r="BU131" s="143">
        <f t="shared" si="521"/>
        <v>-8.1206496519721609E-3</v>
      </c>
      <c r="BV131" s="143">
        <f t="shared" si="522"/>
        <v>-1.0416666666666666E-2</v>
      </c>
      <c r="BW131" s="143" t="str">
        <f t="shared" si="523"/>
        <v>-</v>
      </c>
      <c r="BX131" s="143">
        <f t="shared" si="524"/>
        <v>-7.9067990832697062E-3</v>
      </c>
      <c r="BY131" s="143">
        <f t="shared" si="525"/>
        <v>-1.0552375933245484E-2</v>
      </c>
      <c r="BZ131" s="143" t="str">
        <f t="shared" si="526"/>
        <v>-</v>
      </c>
      <c r="CA131" s="143" t="str">
        <f t="shared" si="527"/>
        <v>-</v>
      </c>
      <c r="CB131" s="143" t="str">
        <f t="shared" si="528"/>
        <v>-</v>
      </c>
      <c r="CD131" s="112">
        <f t="shared" si="1248"/>
        <v>1092.1941797988095</v>
      </c>
      <c r="CE131" s="95">
        <f>IFERROR(SUMIFS('01. KE30'!$R:$R,'01. KE30'!$C:$C,'06. BC BH THEO CUSTOMER-USD'!$D131,'01. KE30'!$F:$F,'06. BC BH THEO CUSTOMER-USD'!$H131,'01. KE30'!$A:$A,'06. BC BH THEO CUSTOMER-USD'!CE$4)/CS131/'02. Tỷ giá'!B$5," -")</f>
        <v>1101.8364366264004</v>
      </c>
      <c r="CF131" s="95">
        <f>IFERROR(SUMIFS('01. KE30'!$R:$R,'01. KE30'!$C:$C,'06. BC BH THEO CUSTOMER-USD'!$D131,'01. KE30'!$F:$F,'06. BC BH THEO CUSTOMER-USD'!$H131,'01. KE30'!$A:$A,'06. BC BH THEO CUSTOMER-USD'!CF$4)/CT131/'02. Tỷ giá'!C$5," -")</f>
        <v>1110.728421622686</v>
      </c>
      <c r="CG131" s="95">
        <f>IFERROR(SUMIFS('01. KE30'!$R:$R,'01. KE30'!$C:$C,'06. BC BH THEO CUSTOMER-USD'!$D131,'01. KE30'!$F:$F,'06. BC BH THEO CUSTOMER-USD'!$H131,'01. KE30'!$A:$A,'06. BC BH THEO CUSTOMER-USD'!CG$4)/CU131/'02. Tỷ giá'!D$5," -")</f>
        <v>1111.9680100214746</v>
      </c>
      <c r="CH131" s="95">
        <f>IFERROR(SUMIFS('01. KE30'!$R:$R,'01. KE30'!$C:$C,'06. BC BH THEO CUSTOMER-USD'!$D131,'01. KE30'!$F:$F,'06. BC BH THEO CUSTOMER-USD'!$H131,'01. KE30'!$A:$A,'06. BC BH THEO CUSTOMER-USD'!CH$4)/CV131/'02. Tỷ giá'!E$5," -")</f>
        <v>1093.8368352514694</v>
      </c>
      <c r="CI131" s="95">
        <f>IFERROR(SUMIFS('01. KE30'!$R:$R,'01. KE30'!$C:$C,'06. BC BH THEO CUSTOMER-USD'!$D131,'01. KE30'!$F:$F,'06. BC BH THEO CUSTOMER-USD'!$H131,'01. KE30'!$A:$A,'06. BC BH THEO CUSTOMER-USD'!CI$4)/CW131/'02. Tỷ giá'!F$5," -")</f>
        <v>1091.1095479153485</v>
      </c>
      <c r="CJ131" s="95">
        <f>IFERROR(SUMIFS('01. KE30'!$R:$R,'01. KE30'!$C:$C,'06. BC BH THEO CUSTOMER-USD'!$D131,'01. KE30'!$F:$F,'06. BC BH THEO CUSTOMER-USD'!$H131,'01. KE30'!$A:$A,'06. BC BH THEO CUSTOMER-USD'!CJ$4)/CX131/'02. Tỷ giá'!G$5," -")</f>
        <v>1087.2016764870932</v>
      </c>
      <c r="CK131" s="95" t="str">
        <f>IFERROR(SUMIFS('01. KE30'!$R:$R,'01. KE30'!$C:$C,'06. BC BH THEO CUSTOMER-USD'!$D131,'01. KE30'!$F:$F,'06. BC BH THEO CUSTOMER-USD'!$H131,'01. KE30'!$A:$A,'06. BC BH THEO CUSTOMER-USD'!CK$4)/CY131/'02. Tỷ giá'!H$5," -")</f>
        <v xml:space="preserve"> -</v>
      </c>
      <c r="CL131" s="95">
        <f>IFERROR(SUMIFS('01. KE30'!$R:$R,'01. KE30'!$C:$C,'06. BC BH THEO CUSTOMER-USD'!$D131,'01. KE30'!$F:$F,'06. BC BH THEO CUSTOMER-USD'!$H131,'01. KE30'!$A:$A,'06. BC BH THEO CUSTOMER-USD'!CL$4)/CZ131/'02. Tỷ giá'!I$5," -")</f>
        <v>1070.9115546218488</v>
      </c>
      <c r="CM131" s="95">
        <f>IFERROR(SUMIFS('01. KE30'!$R:$R,'01. KE30'!$C:$C,'06. BC BH THEO CUSTOMER-USD'!$D131,'01. KE30'!$F:$F,'06. BC BH THEO CUSTOMER-USD'!$H131,'01. KE30'!$A:$A,'06. BC BH THEO CUSTOMER-USD'!CM$4)/DA131/'02. Tỷ giá'!J$5," -")</f>
        <v>1069.9609558441557</v>
      </c>
      <c r="CN131" s="95" t="str">
        <f>IFERROR(SUMIFS('01. KE30'!$R:$R,'01. KE30'!$C:$C,'06. BC BH THEO CUSTOMER-USD'!$D131,'01. KE30'!$F:$F,'06. BC BH THEO CUSTOMER-USD'!$H131,'01. KE30'!$A:$A,'06. BC BH THEO CUSTOMER-USD'!CN$4)/DB131/'02. Tỷ giá'!K$5," -")</f>
        <v xml:space="preserve"> -</v>
      </c>
      <c r="CO131" s="95" t="str">
        <f>IFERROR(SUMIFS('01. KE30'!$R:$R,'01. KE30'!$C:$C,'06. BC BH THEO CUSTOMER-USD'!$D131,'01. KE30'!$F:$F,'06. BC BH THEO CUSTOMER-USD'!$H131,'01. KE30'!$A:$A,'06. BC BH THEO CUSTOMER-USD'!CO$4)/DC131/'02. Tỷ giá'!L$5," -")</f>
        <v xml:space="preserve"> -</v>
      </c>
      <c r="CP131" s="95" t="str">
        <f>IFERROR(SUMIFS('01. KE30'!$R:$R,'01. KE30'!$C:$C,'06. BC BH THEO CUSTOMER-USD'!$D131,'01. KE30'!$F:$F,'06. BC BH THEO CUSTOMER-USD'!$H131,'01. KE30'!$A:$A,'06. BC BH THEO CUSTOMER-USD'!CP$4)/DD131/'02. Tỷ giá'!M$5," -")</f>
        <v xml:space="preserve"> -</v>
      </c>
      <c r="CR131" s="112">
        <f t="shared" si="1249"/>
        <v>189</v>
      </c>
      <c r="CS131" s="114">
        <f>SUMIFS('01. KE30'!$I:$I,'01. KE30'!$C:$C,'06. BC BH THEO CUSTOMER-USD'!$D131,'01. KE30'!$F:$F,'06. BC BH THEO CUSTOMER-USD'!$H131,'01. KE30'!$A:$A,'06. BC BH THEO CUSTOMER-USD'!CS$4)/1000</f>
        <v>11</v>
      </c>
      <c r="CT131" s="114">
        <f>SUMIFS('01. KE30'!$I:$I,'01. KE30'!$C:$C,'06. BC BH THEO CUSTOMER-USD'!$D131,'01. KE30'!$F:$F,'06. BC BH THEO CUSTOMER-USD'!$H131,'01. KE30'!$A:$A,'06. BC BH THEO CUSTOMER-USD'!CT$4)/1000</f>
        <v>24</v>
      </c>
      <c r="CU131" s="114">
        <f>SUMIFS('01. KE30'!$I:$I,'01. KE30'!$C:$C,'06. BC BH THEO CUSTOMER-USD'!$D131,'01. KE30'!$F:$F,'06. BC BH THEO CUSTOMER-USD'!$H131,'01. KE30'!$A:$A,'06. BC BH THEO CUSTOMER-USD'!CU$4)/1000</f>
        <v>44</v>
      </c>
      <c r="CV131" s="114">
        <f>SUMIFS('01. KE30'!$I:$I,'01. KE30'!$C:$C,'06. BC BH THEO CUSTOMER-USD'!$D131,'01. KE30'!$F:$F,'06. BC BH THEO CUSTOMER-USD'!$H131,'01. KE30'!$A:$A,'06. BC BH THEO CUSTOMER-USD'!CV$4)/1000</f>
        <v>22</v>
      </c>
      <c r="CW131" s="114">
        <f>SUMIFS('01. KE30'!$I:$I,'01. KE30'!$C:$C,'06. BC BH THEO CUSTOMER-USD'!$D131,'01. KE30'!$F:$F,'06. BC BH THEO CUSTOMER-USD'!$H131,'01. KE30'!$A:$A,'06. BC BH THEO CUSTOMER-USD'!CW$4)/1000</f>
        <v>11</v>
      </c>
      <c r="CX131" s="114">
        <f>SUMIFS('01. KE30'!$I:$I,'01. KE30'!$C:$C,'06. BC BH THEO CUSTOMER-USD'!$D131,'01. KE30'!$F:$F,'06. BC BH THEO CUSTOMER-USD'!$H131,'01. KE30'!$A:$A,'06. BC BH THEO CUSTOMER-USD'!CX$4)/1000</f>
        <v>33</v>
      </c>
      <c r="CY131" s="114">
        <f>SUMIFS('01. KE30'!$I:$I,'01. KE30'!$C:$C,'06. BC BH THEO CUSTOMER-USD'!$D131,'01. KE30'!$F:$F,'06. BC BH THEO CUSTOMER-USD'!$H131,'01. KE30'!$A:$A,'06. BC BH THEO CUSTOMER-USD'!CY$4)/1000</f>
        <v>0</v>
      </c>
      <c r="CZ131" s="114">
        <f>SUMIFS('01. KE30'!$I:$I,'01. KE30'!$C:$C,'06. BC BH THEO CUSTOMER-USD'!$D131,'01. KE30'!$F:$F,'06. BC BH THEO CUSTOMER-USD'!$H131,'01. KE30'!$A:$A,'06. BC BH THEO CUSTOMER-USD'!CZ$4)/1000</f>
        <v>22</v>
      </c>
      <c r="DA131" s="114">
        <f>SUMIFS('01. KE30'!$I:$I,'01. KE30'!$C:$C,'06. BC BH THEO CUSTOMER-USD'!$D131,'01. KE30'!$F:$F,'06. BC BH THEO CUSTOMER-USD'!$H131,'01. KE30'!$A:$A,'06. BC BH THEO CUSTOMER-USD'!DA$4)/1000</f>
        <v>22</v>
      </c>
      <c r="DB131" s="114">
        <f>SUMIFS('01. KE30'!$I:$I,'01. KE30'!$C:$C,'06. BC BH THEO CUSTOMER-USD'!$D131,'01. KE30'!$F:$F,'06. BC BH THEO CUSTOMER-USD'!$H131,'01. KE30'!$A:$A,'06. BC BH THEO CUSTOMER-USD'!DB$4)/1000</f>
        <v>0</v>
      </c>
      <c r="DC131" s="114">
        <f>SUMIFS('01. KE30'!$I:$I,'01. KE30'!$C:$C,'06. BC BH THEO CUSTOMER-USD'!$D131,'01. KE30'!$F:$F,'06. BC BH THEO CUSTOMER-USD'!$H131,'01. KE30'!$A:$A,'06. BC BH THEO CUSTOMER-USD'!DC$4)/1000</f>
        <v>0</v>
      </c>
      <c r="DD131" s="114">
        <f>SUMIFS('01. KE30'!$I:$I,'01. KE30'!$C:$C,'06. BC BH THEO CUSTOMER-USD'!$D131,'01. KE30'!$F:$F,'06. BC BH THEO CUSTOMER-USD'!$H131,'01. KE30'!$A:$A,'06. BC BH THEO CUSTOMER-USD'!DD$4)/1000</f>
        <v>0</v>
      </c>
      <c r="DF131" s="112">
        <f t="shared" si="1250"/>
        <v>259178.33995363078</v>
      </c>
      <c r="DG131" s="54">
        <f t="shared" si="1251"/>
        <v>15497.149739060618</v>
      </c>
      <c r="DH131" s="54">
        <f t="shared" si="1252"/>
        <v>33613.233556518317</v>
      </c>
      <c r="DI131" s="54">
        <f t="shared" si="1253"/>
        <v>61600</v>
      </c>
      <c r="DJ131" s="54">
        <f t="shared" si="1254"/>
        <v>29493.031358885015</v>
      </c>
      <c r="DK131" s="54">
        <f t="shared" si="1255"/>
        <v>14729.408352668213</v>
      </c>
      <c r="DL131" s="54">
        <f t="shared" si="1256"/>
        <v>44085.9375</v>
      </c>
      <c r="DM131" s="54" t="str">
        <f t="shared" si="1257"/>
        <v>-</v>
      </c>
      <c r="DN131" s="54">
        <f t="shared" si="1258"/>
        <v>30119.949579831933</v>
      </c>
      <c r="DO131" s="54">
        <f t="shared" si="1259"/>
        <v>30039.629866666666</v>
      </c>
      <c r="DP131" s="54" t="str">
        <f t="shared" si="1260"/>
        <v>-</v>
      </c>
      <c r="DQ131" s="54" t="str">
        <f t="shared" si="1261"/>
        <v>-</v>
      </c>
      <c r="DR131" s="54" t="str">
        <f t="shared" si="1262"/>
        <v>-</v>
      </c>
      <c r="DT131" s="112">
        <f t="shared" si="652"/>
        <v>52430.59863392367</v>
      </c>
      <c r="DU131" s="114">
        <f>IFERROR(SUMIFS('01. KE30'!$X:$X,'01. KE30'!$C:$C,'06. BC BH THEO CUSTOMER-USD'!$D131,'01. KE30'!$F:$F,'06. BC BH THEO CUSTOMER-USD'!$H131,'01. KE30'!$A:$A,'06. BC BH THEO CUSTOMER-USD'!DU$4)-SUMIFS('01. KE30'!$AA:$AA,'01. KE30'!$C:$C,'06. BC BH THEO CUSTOMER-USD'!$D131,'01. KE30'!$F:$F,'06. BC BH THEO CUSTOMER-USD'!$H131,'01. KE30'!$A:$A,'06. BC BH THEO CUSTOMER-USD'!DU$4),"-")</f>
        <v>3376.9489361702126</v>
      </c>
      <c r="DV131" s="114">
        <f>IFERROR(SUMIFS('01. KE30'!$X:$X,'01. KE30'!$C:$C,'06. BC BH THEO CUSTOMER-USD'!$D131,'01. KE30'!$F:$F,'06. BC BH THEO CUSTOMER-USD'!$H131,'01. KE30'!$A:$A,'06. BC BH THEO CUSTOMER-USD'!DV$4)-SUMIFS('01. KE30'!$AA:$AA,'01. KE30'!$C:$C,'06. BC BH THEO CUSTOMER-USD'!$D131,'01. KE30'!$F:$F,'06. BC BH THEO CUSTOMER-USD'!$H131,'01. KE30'!$A:$A,'06. BC BH THEO CUSTOMER-USD'!DV$4),"-")</f>
        <v>6955.7514375738501</v>
      </c>
      <c r="DW131" s="114">
        <f>IFERROR(SUMIFS('01. KE30'!$X:$X,'01. KE30'!$C:$C,'06. BC BH THEO CUSTOMER-USD'!$D131,'01. KE30'!$F:$F,'06. BC BH THEO CUSTOMER-USD'!$H131,'01. KE30'!$A:$A,'06. BC BH THEO CUSTOMER-USD'!DW$4)-SUMIFS('01. KE30'!$AA:$AA,'01. KE30'!$C:$C,'06. BC BH THEO CUSTOMER-USD'!$D131,'01. KE30'!$F:$F,'06. BC BH THEO CUSTOMER-USD'!$H131,'01. KE30'!$A:$A,'06. BC BH THEO CUSTOMER-USD'!DW$4),"-")</f>
        <v>12673.407559055115</v>
      </c>
      <c r="DX131" s="114">
        <f>IFERROR(SUMIFS('01. KE30'!$X:$X,'01. KE30'!$C:$C,'06. BC BH THEO CUSTOMER-USD'!$D131,'01. KE30'!$F:$F,'06. BC BH THEO CUSTOMER-USD'!$H131,'01. KE30'!$A:$A,'06. BC BH THEO CUSTOMER-USD'!DX$4)-SUMIFS('01. KE30'!$AA:$AA,'01. KE30'!$C:$C,'06. BC BH THEO CUSTOMER-USD'!$D131,'01. KE30'!$F:$F,'06. BC BH THEO CUSTOMER-USD'!$H131,'01. KE30'!$A:$A,'06. BC BH THEO CUSTOMER-USD'!DX$4),"-")</f>
        <v>5428.6209833526918</v>
      </c>
      <c r="DY131" s="114">
        <f>IFERROR(SUMIFS('01. KE30'!$X:$X,'01. KE30'!$C:$C,'06. BC BH THEO CUSTOMER-USD'!$D131,'01. KE30'!$F:$F,'06. BC BH THEO CUSTOMER-USD'!$H131,'01. KE30'!$A:$A,'06. BC BH THEO CUSTOMER-USD'!DY$4)-SUMIFS('01. KE30'!$AA:$AA,'01. KE30'!$C:$C,'06. BC BH THEO CUSTOMER-USD'!$D131,'01. KE30'!$F:$F,'06. BC BH THEO CUSTOMER-USD'!$H131,'01. KE30'!$A:$A,'06. BC BH THEO CUSTOMER-USD'!DY$4),"-")</f>
        <v>2727.2033255993811</v>
      </c>
      <c r="DZ131" s="114">
        <f>IFERROR(SUMIFS('01. KE30'!$X:$X,'01. KE30'!$C:$C,'06. BC BH THEO CUSTOMER-USD'!$D131,'01. KE30'!$F:$F,'06. BC BH THEO CUSTOMER-USD'!$H131,'01. KE30'!$A:$A,'06. BC BH THEO CUSTOMER-USD'!DZ$4)-SUMIFS('01. KE30'!$AA:$AA,'01. KE30'!$C:$C,'06. BC BH THEO CUSTOMER-USD'!$D131,'01. KE30'!$F:$F,'06. BC BH THEO CUSTOMER-USD'!$H131,'01. KE30'!$A:$A,'06. BC BH THEO CUSTOMER-USD'!DZ$4),"-")</f>
        <v>8208.2821759259241</v>
      </c>
      <c r="EA131" s="114">
        <f>IFERROR(SUMIFS('01. KE30'!$X:$X,'01. KE30'!$C:$C,'06. BC BH THEO CUSTOMER-USD'!$D131,'01. KE30'!$F:$F,'06. BC BH THEO CUSTOMER-USD'!$H131,'01. KE30'!$A:$A,'06. BC BH THEO CUSTOMER-USD'!EA$4)-SUMIFS('01. KE30'!$AA:$AA,'01. KE30'!$C:$C,'06. BC BH THEO CUSTOMER-USD'!$D131,'01. KE30'!$F:$F,'06. BC BH THEO CUSTOMER-USD'!$H131,'01. KE30'!$A:$A,'06. BC BH THEO CUSTOMER-USD'!EA$4),"-")</f>
        <v>0</v>
      </c>
      <c r="EB131" s="114">
        <f>IFERROR(SUMIFS('01. KE30'!$X:$X,'01. KE30'!$C:$C,'06. BC BH THEO CUSTOMER-USD'!$D131,'01. KE30'!$F:$F,'06. BC BH THEO CUSTOMER-USD'!$H131,'01. KE30'!$A:$A,'06. BC BH THEO CUSTOMER-USD'!EB$4)-SUMIFS('01. KE30'!$AA:$AA,'01. KE30'!$C:$C,'06. BC BH THEO CUSTOMER-USD'!$D131,'01. KE30'!$F:$F,'06. BC BH THEO CUSTOMER-USD'!$H131,'01. KE30'!$A:$A,'06. BC BH THEO CUSTOMER-USD'!EB$4),"-")</f>
        <v>6559.895378151261</v>
      </c>
      <c r="EC131" s="114">
        <f>IFERROR(SUMIFS('01. KE30'!$X:$X,'01. KE30'!$C:$C,'06. BC BH THEO CUSTOMER-USD'!$D131,'01. KE30'!$F:$F,'06. BC BH THEO CUSTOMER-USD'!$H131,'01. KE30'!$A:$A,'06. BC BH THEO CUSTOMER-USD'!EC$4)-SUMIFS('01. KE30'!$AA:$AA,'01. KE30'!$C:$C,'06. BC BH THEO CUSTOMER-USD'!$D131,'01. KE30'!$F:$F,'06. BC BH THEO CUSTOMER-USD'!$H131,'01. KE30'!$A:$A,'06. BC BH THEO CUSTOMER-USD'!EC$4),"-")</f>
        <v>6500.4888380952361</v>
      </c>
      <c r="ED131" s="114">
        <f>IFERROR(SUMIFS('01. KE30'!$X:$X,'01. KE30'!$C:$C,'06. BC BH THEO CUSTOMER-USD'!$D131,'01. KE30'!$F:$F,'06. BC BH THEO CUSTOMER-USD'!$H131,'01. KE30'!$A:$A,'06. BC BH THEO CUSTOMER-USD'!ED$4)-SUMIFS('01. KE30'!$AA:$AA,'01. KE30'!$C:$C,'06. BC BH THEO CUSTOMER-USD'!$D131,'01. KE30'!$F:$F,'06. BC BH THEO CUSTOMER-USD'!$H131,'01. KE30'!$A:$A,'06. BC BH THEO CUSTOMER-USD'!ED$4),"-")</f>
        <v>0</v>
      </c>
      <c r="EE131" s="114">
        <f>IFERROR(SUMIFS('01. KE30'!$X:$X,'01. KE30'!$C:$C,'06. BC BH THEO CUSTOMER-USD'!$D131,'01. KE30'!$F:$F,'06. BC BH THEO CUSTOMER-USD'!$H131,'01. KE30'!$A:$A,'06. BC BH THEO CUSTOMER-USD'!EE$4)-SUMIFS('01. KE30'!$AA:$AA,'01. KE30'!$C:$C,'06. BC BH THEO CUSTOMER-USD'!$D131,'01. KE30'!$F:$F,'06. BC BH THEO CUSTOMER-USD'!$H131,'01. KE30'!$A:$A,'06. BC BH THEO CUSTOMER-USD'!EE$4),"-")</f>
        <v>0</v>
      </c>
      <c r="EF131" s="114">
        <f>IFERROR(SUMIFS('01. KE30'!$X:$X,'01. KE30'!$C:$C,'06. BC BH THEO CUSTOMER-USD'!$D131,'01. KE30'!$F:$F,'06. BC BH THEO CUSTOMER-USD'!$H131,'01. KE30'!$A:$A,'06. BC BH THEO CUSTOMER-USD'!EF$4)-SUMIFS('01. KE30'!$AA:$AA,'01. KE30'!$C:$C,'06. BC BH THEO CUSTOMER-USD'!$D131,'01. KE30'!$F:$F,'06. BC BH THEO CUSTOMER-USD'!$H131,'01. KE30'!$A:$A,'06. BC BH THEO CUSTOMER-USD'!EF$4),"-")</f>
        <v>0</v>
      </c>
      <c r="EH131" s="571">
        <f t="shared" si="531"/>
        <v>0.20229544893027693</v>
      </c>
      <c r="EI131" s="572">
        <f t="shared" si="532"/>
        <v>0.2179077438774823</v>
      </c>
      <c r="EJ131" s="572">
        <f t="shared" si="533"/>
        <v>0.20693490930821151</v>
      </c>
      <c r="EK131" s="572">
        <f t="shared" si="534"/>
        <v>0.20573713569894667</v>
      </c>
      <c r="EL131" s="572">
        <f t="shared" si="535"/>
        <v>0.18406453094952127</v>
      </c>
      <c r="EM131" s="572">
        <f t="shared" si="536"/>
        <v>0.18515362330255117</v>
      </c>
      <c r="EN131" s="572">
        <f t="shared" si="537"/>
        <v>0.18618821876989514</v>
      </c>
      <c r="EO131" s="572" t="str">
        <f t="shared" si="538"/>
        <v>-</v>
      </c>
      <c r="EP131" s="572">
        <f t="shared" si="539"/>
        <v>0.21779237580609073</v>
      </c>
      <c r="EQ131" s="572">
        <f t="shared" si="540"/>
        <v>0.21639710166031284</v>
      </c>
      <c r="ER131" s="572" t="str">
        <f t="shared" si="541"/>
        <v>-</v>
      </c>
      <c r="ES131" s="572" t="str">
        <f t="shared" si="542"/>
        <v>-</v>
      </c>
      <c r="ET131" s="572" t="str">
        <f t="shared" si="543"/>
        <v>-</v>
      </c>
    </row>
    <row r="132" spans="1:150" ht="15.5" hidden="1" outlineLevel="1" x14ac:dyDescent="0.35">
      <c r="A132" s="10">
        <f t="shared" si="1266"/>
        <v>5</v>
      </c>
      <c r="B132" s="10" t="s">
        <v>265</v>
      </c>
      <c r="C132" s="497" t="s">
        <v>29</v>
      </c>
      <c r="D132" s="9">
        <v>1000</v>
      </c>
      <c r="E132" s="8" t="s">
        <v>29</v>
      </c>
      <c r="F132" s="12" t="s">
        <v>245</v>
      </c>
      <c r="G132" s="12" t="str">
        <f>_xlfn.XLOOKUP(F132,'Quy đổi'!$G$5:$G$32,'Quy đổi'!$H$5:$H$32,0)</f>
        <v>Nội địa</v>
      </c>
      <c r="H132" s="76" t="s">
        <v>69</v>
      </c>
      <c r="I132" s="7" t="s">
        <v>64</v>
      </c>
      <c r="J132" s="69" t="s">
        <v>22</v>
      </c>
      <c r="K132" s="5"/>
      <c r="L132" s="92" t="str">
        <f t="shared" si="1263"/>
        <v>-</v>
      </c>
      <c r="M132" s="106" t="str">
        <f>IFERROR(SUMIFS('01. KE30'!$K:$K,'01. KE30'!$C:$C,'06. BC BH THEO CUSTOMER-USD'!$D132,'01. KE30'!$F:$F,'06. BC BH THEO CUSTOMER-USD'!$H132,'01. KE30'!$A:$A,'06. BC BH THEO CUSTOMER-USD'!M$4)/'06. BC BH THEO CUSTOMER-USD'!CS132/'02. Tỷ giá'!B$5,"-")</f>
        <v>-</v>
      </c>
      <c r="N132" s="106" t="str">
        <f>IFERROR(SUMIFS('01. KE30'!$K:$K,'01. KE30'!$C:$C,'06. BC BH THEO CUSTOMER-USD'!$D132,'01. KE30'!$F:$F,'06. BC BH THEO CUSTOMER-USD'!$H132,'01. KE30'!$A:$A,'06. BC BH THEO CUSTOMER-USD'!N$4)/'06. BC BH THEO CUSTOMER-USD'!CT132/'02. Tỷ giá'!C$5,"-")</f>
        <v>-</v>
      </c>
      <c r="O132" s="106" t="str">
        <f>IFERROR(SUMIFS('01. KE30'!$K:$K,'01. KE30'!$C:$C,'06. BC BH THEO CUSTOMER-USD'!$D132,'01. KE30'!$F:$F,'06. BC BH THEO CUSTOMER-USD'!$H132,'01. KE30'!$A:$A,'06. BC BH THEO CUSTOMER-USD'!O$4)/'06. BC BH THEO CUSTOMER-USD'!CU132/'02. Tỷ giá'!D$5,"-")</f>
        <v>-</v>
      </c>
      <c r="P132" s="106" t="str">
        <f>IFERROR(SUMIFS('01. KE30'!$K:$K,'01. KE30'!$C:$C,'06. BC BH THEO CUSTOMER-USD'!$D132,'01. KE30'!$F:$F,'06. BC BH THEO CUSTOMER-USD'!$H132,'01. KE30'!$A:$A,'06. BC BH THEO CUSTOMER-USD'!P$4)/'06. BC BH THEO CUSTOMER-USD'!CV132/'02. Tỷ giá'!E$5,"-")</f>
        <v>-</v>
      </c>
      <c r="Q132" s="106" t="str">
        <f>IFERROR(SUMIFS('01. KE30'!$K:$K,'01. KE30'!$C:$C,'06. BC BH THEO CUSTOMER-USD'!$D132,'01. KE30'!$F:$F,'06. BC BH THEO CUSTOMER-USD'!$H132,'01. KE30'!$A:$A,'06. BC BH THEO CUSTOMER-USD'!Q$4)/'06. BC BH THEO CUSTOMER-USD'!CW132/'02. Tỷ giá'!F$5,"-")</f>
        <v>-</v>
      </c>
      <c r="R132" s="106" t="str">
        <f>IFERROR(SUMIFS('01. KE30'!$K:$K,'01. KE30'!$C:$C,'06. BC BH THEO CUSTOMER-USD'!$D132,'01. KE30'!$F:$F,'06. BC BH THEO CUSTOMER-USD'!$H132,'01. KE30'!$A:$A,'06. BC BH THEO CUSTOMER-USD'!R$4)/'06. BC BH THEO CUSTOMER-USD'!CX132/'02. Tỷ giá'!G$5,"-")</f>
        <v>-</v>
      </c>
      <c r="S132" s="106" t="str">
        <f>IFERROR(SUMIFS('01. KE30'!$K:$K,'01. KE30'!$C:$C,'06. BC BH THEO CUSTOMER-USD'!$D132,'01. KE30'!$F:$F,'06. BC BH THEO CUSTOMER-USD'!$H132,'01. KE30'!$A:$A,'06. BC BH THEO CUSTOMER-USD'!S$4)/'06. BC BH THEO CUSTOMER-USD'!CY132/'02. Tỷ giá'!H$5,"-")</f>
        <v>-</v>
      </c>
      <c r="T132" s="106" t="str">
        <f>IFERROR(SUMIFS('01. KE30'!$K:$K,'01. KE30'!$C:$C,'06. BC BH THEO CUSTOMER-USD'!$D132,'01. KE30'!$F:$F,'06. BC BH THEO CUSTOMER-USD'!$H132,'01. KE30'!$A:$A,'06. BC BH THEO CUSTOMER-USD'!T$4)/'06. BC BH THEO CUSTOMER-USD'!CZ132/'02. Tỷ giá'!I$5,"-")</f>
        <v>-</v>
      </c>
      <c r="U132" s="106" t="str">
        <f>IFERROR(SUMIFS('01. KE30'!$K:$K,'01. KE30'!$C:$C,'06. BC BH THEO CUSTOMER-USD'!$D132,'01. KE30'!$F:$F,'06. BC BH THEO CUSTOMER-USD'!$H132,'01. KE30'!$A:$A,'06. BC BH THEO CUSTOMER-USD'!U$4)/'06. BC BH THEO CUSTOMER-USD'!DA132/'02. Tỷ giá'!J$5,"-")</f>
        <v>-</v>
      </c>
      <c r="V132" s="106" t="str">
        <f>IFERROR(SUMIFS('01. KE30'!$K:$K,'01. KE30'!$C:$C,'06. BC BH THEO CUSTOMER-USD'!$D132,'01. KE30'!$F:$F,'06. BC BH THEO CUSTOMER-USD'!$H132,'01. KE30'!$A:$A,'06. BC BH THEO CUSTOMER-USD'!V$4)/'06. BC BH THEO CUSTOMER-USD'!DB132/'02. Tỷ giá'!K$5,"-")</f>
        <v>-</v>
      </c>
      <c r="W132" s="106" t="str">
        <f>IFERROR(SUMIFS('01. KE30'!$K:$K,'01. KE30'!$C:$C,'06. BC BH THEO CUSTOMER-USD'!$D132,'01. KE30'!$F:$F,'06. BC BH THEO CUSTOMER-USD'!$H132,'01. KE30'!$A:$A,'06. BC BH THEO CUSTOMER-USD'!W$4)/'06. BC BH THEO CUSTOMER-USD'!DC132/'02. Tỷ giá'!L$5,"-")</f>
        <v>-</v>
      </c>
      <c r="X132" s="106" t="str">
        <f>IFERROR(SUMIFS('01. KE30'!$K:$K,'01. KE30'!$C:$C,'06. BC BH THEO CUSTOMER-USD'!$D132,'01. KE30'!$F:$F,'06. BC BH THEO CUSTOMER-USD'!$H132,'01. KE30'!$A:$A,'06. BC BH THEO CUSTOMER-USD'!X$4)/'06. BC BH THEO CUSTOMER-USD'!DD132/'02. Tỷ giá'!M$5,"-")</f>
        <v>-</v>
      </c>
      <c r="Z132" s="92" t="str">
        <f t="shared" si="1264"/>
        <v>-</v>
      </c>
      <c r="AA132" s="147" t="str">
        <f>IFERROR(SUMIFS('01. KE30'!$O:$O,'01. KE30'!$C:$C,'06. BC BH THEO CUSTOMER-USD'!$D132,'01. KE30'!$F:$F,'06. BC BH THEO CUSTOMER-USD'!$H132,'01. KE30'!$A:$A,'06. BC BH THEO CUSTOMER-USD'!M$4)/'06. BC BH THEO CUSTOMER-USD'!CS132/'02. Tỷ giá'!B$5,"-")</f>
        <v>-</v>
      </c>
      <c r="AB132" s="147" t="str">
        <f>IFERROR(SUMIFS('01. KE30'!$O:$O,'01. KE30'!$C:$C,'06. BC BH THEO CUSTOMER-USD'!$D132,'01. KE30'!$F:$F,'06. BC BH THEO CUSTOMER-USD'!$H132,'01. KE30'!$A:$A,'06. BC BH THEO CUSTOMER-USD'!N$4)/'06. BC BH THEO CUSTOMER-USD'!CT132/'02. Tỷ giá'!C$5,"-")</f>
        <v>-</v>
      </c>
      <c r="AC132" s="147" t="str">
        <f>IFERROR(SUMIFS('01. KE30'!$O:$O,'01. KE30'!$C:$C,'06. BC BH THEO CUSTOMER-USD'!$D132,'01. KE30'!$F:$F,'06. BC BH THEO CUSTOMER-USD'!$H132,'01. KE30'!$A:$A,'06. BC BH THEO CUSTOMER-USD'!O$4)/'06. BC BH THEO CUSTOMER-USD'!CU132/'02. Tỷ giá'!D$5,"-")</f>
        <v>-</v>
      </c>
      <c r="AD132" s="147" t="str">
        <f>IFERROR(SUMIFS('01. KE30'!$O:$O,'01. KE30'!$C:$C,'06. BC BH THEO CUSTOMER-USD'!$D132,'01. KE30'!$F:$F,'06. BC BH THEO CUSTOMER-USD'!$H132,'01. KE30'!$A:$A,'06. BC BH THEO CUSTOMER-USD'!P$4)/'06. BC BH THEO CUSTOMER-USD'!CV132/'02. Tỷ giá'!E$5,"-")</f>
        <v>-</v>
      </c>
      <c r="AE132" s="147" t="str">
        <f>IFERROR(SUMIFS('01. KE30'!$O:$O,'01. KE30'!$C:$C,'06. BC BH THEO CUSTOMER-USD'!$D132,'01. KE30'!$F:$F,'06. BC BH THEO CUSTOMER-USD'!$H132,'01. KE30'!$A:$A,'06. BC BH THEO CUSTOMER-USD'!Q$4)/'06. BC BH THEO CUSTOMER-USD'!CW132/'02. Tỷ giá'!F$5,"-")</f>
        <v>-</v>
      </c>
      <c r="AF132" s="147" t="str">
        <f>IFERROR(SUMIFS('01. KE30'!$O:$O,'01. KE30'!$C:$C,'06. BC BH THEO CUSTOMER-USD'!$D132,'01. KE30'!$F:$F,'06. BC BH THEO CUSTOMER-USD'!$H132,'01. KE30'!$A:$A,'06. BC BH THEO CUSTOMER-USD'!R$4)/'06. BC BH THEO CUSTOMER-USD'!CX132/'02. Tỷ giá'!G$5,"-")</f>
        <v>-</v>
      </c>
      <c r="AG132" s="147" t="str">
        <f>IFERROR(SUMIFS('01. KE30'!$O:$O,'01. KE30'!$C:$C,'06. BC BH THEO CUSTOMER-USD'!$D132,'01. KE30'!$F:$F,'06. BC BH THEO CUSTOMER-USD'!$H132,'01. KE30'!$A:$A,'06. BC BH THEO CUSTOMER-USD'!S$4)/'06. BC BH THEO CUSTOMER-USD'!CY132/'02. Tỷ giá'!H$5,"-")</f>
        <v>-</v>
      </c>
      <c r="AH132" s="147" t="str">
        <f>IFERROR(SUMIFS('01. KE30'!$O:$O,'01. KE30'!$C:$C,'06. BC BH THEO CUSTOMER-USD'!$D132,'01. KE30'!$F:$F,'06. BC BH THEO CUSTOMER-USD'!$H132,'01. KE30'!$A:$A,'06. BC BH THEO CUSTOMER-USD'!T$4)/'06. BC BH THEO CUSTOMER-USD'!CZ132/'02. Tỷ giá'!I$5,"-")</f>
        <v>-</v>
      </c>
      <c r="AI132" s="147" t="str">
        <f>IFERROR(SUMIFS('01. KE30'!$O:$O,'01. KE30'!$C:$C,'06. BC BH THEO CUSTOMER-USD'!$D132,'01. KE30'!$F:$F,'06. BC BH THEO CUSTOMER-USD'!$H132,'01. KE30'!$A:$A,'06. BC BH THEO CUSTOMER-USD'!U$4)/'06. BC BH THEO CUSTOMER-USD'!DA132/'02. Tỷ giá'!J$5,"-")</f>
        <v>-</v>
      </c>
      <c r="AJ132" s="147" t="str">
        <f>IFERROR(SUMIFS('01. KE30'!$O:$O,'01. KE30'!$C:$C,'06. BC BH THEO CUSTOMER-USD'!$D132,'01. KE30'!$F:$F,'06. BC BH THEO CUSTOMER-USD'!$H132,'01. KE30'!$A:$A,'06. BC BH THEO CUSTOMER-USD'!V$4)/'06. BC BH THEO CUSTOMER-USD'!DB132/'02. Tỷ giá'!K$5,"-")</f>
        <v>-</v>
      </c>
      <c r="AK132" s="147" t="str">
        <f>IFERROR(SUMIFS('01. KE30'!$O:$O,'01. KE30'!$C:$C,'06. BC BH THEO CUSTOMER-USD'!$D132,'01. KE30'!$F:$F,'06. BC BH THEO CUSTOMER-USD'!$H132,'01. KE30'!$A:$A,'06. BC BH THEO CUSTOMER-USD'!W$4)/'06. BC BH THEO CUSTOMER-USD'!DC132/'02. Tỷ giá'!L$5,"-")</f>
        <v>-</v>
      </c>
      <c r="AL132" s="147" t="str">
        <f>IFERROR(SUMIFS('01. KE30'!$O:$O,'01. KE30'!$C:$C,'06. BC BH THEO CUSTOMER-USD'!$D132,'01. KE30'!$F:$F,'06. BC BH THEO CUSTOMER-USD'!$H132,'01. KE30'!$A:$A,'06. BC BH THEO CUSTOMER-USD'!X$4)/'06. BC BH THEO CUSTOMER-USD'!DD132/'02. Tỷ giá'!M$5,"-")</f>
        <v>-</v>
      </c>
      <c r="AN132" s="55">
        <f t="shared" si="1265"/>
        <v>1365.5555555555557</v>
      </c>
      <c r="AO132" s="4">
        <v>1350</v>
      </c>
      <c r="AP132" s="4">
        <v>1400</v>
      </c>
      <c r="AQ132" s="4">
        <f t="shared" ref="AQ132" si="1268">AP132-50</f>
        <v>1350</v>
      </c>
      <c r="AR132" s="4">
        <v>1350</v>
      </c>
      <c r="AS132" s="4">
        <v>1350</v>
      </c>
      <c r="AT132" s="4">
        <v>1350</v>
      </c>
      <c r="AU132" s="4">
        <v>1380</v>
      </c>
      <c r="AV132" s="4">
        <v>1380</v>
      </c>
      <c r="AW132" s="4">
        <v>1380</v>
      </c>
      <c r="AX132" s="4"/>
      <c r="AY132" s="4"/>
      <c r="AZ132" s="4"/>
      <c r="BB132" s="54" t="str">
        <f t="shared" si="637"/>
        <v>-</v>
      </c>
      <c r="BC132" s="95" t="str">
        <f t="shared" si="638"/>
        <v>-</v>
      </c>
      <c r="BD132" s="95" t="str">
        <f t="shared" si="1147"/>
        <v>-</v>
      </c>
      <c r="BE132" s="95" t="str">
        <f t="shared" si="1147"/>
        <v>-</v>
      </c>
      <c r="BF132" s="95" t="str">
        <f t="shared" si="1147"/>
        <v>-</v>
      </c>
      <c r="BG132" s="95" t="str">
        <f t="shared" si="1147"/>
        <v>-</v>
      </c>
      <c r="BH132" s="95" t="str">
        <f t="shared" si="1147"/>
        <v>-</v>
      </c>
      <c r="BI132" s="95" t="str">
        <f t="shared" si="1147"/>
        <v>-</v>
      </c>
      <c r="BJ132" s="95" t="str">
        <f t="shared" si="1147"/>
        <v>-</v>
      </c>
      <c r="BK132" s="95" t="str">
        <f t="shared" si="1147"/>
        <v>-</v>
      </c>
      <c r="BL132" s="95" t="str">
        <f t="shared" si="1147"/>
        <v>-</v>
      </c>
      <c r="BM132" s="95" t="str">
        <f t="shared" si="1147"/>
        <v>-</v>
      </c>
      <c r="BN132" s="95" t="str">
        <f t="shared" si="1147"/>
        <v>-</v>
      </c>
      <c r="BP132" s="143" t="str">
        <f t="shared" si="639"/>
        <v>-</v>
      </c>
      <c r="BQ132" s="143" t="str">
        <f t="shared" si="517"/>
        <v>-</v>
      </c>
      <c r="BR132" s="143" t="str">
        <f t="shared" si="518"/>
        <v>-</v>
      </c>
      <c r="BS132" s="143" t="str">
        <f t="shared" si="519"/>
        <v>-</v>
      </c>
      <c r="BT132" s="143" t="str">
        <f t="shared" si="520"/>
        <v>-</v>
      </c>
      <c r="BU132" s="143" t="str">
        <f t="shared" si="521"/>
        <v>-</v>
      </c>
      <c r="BV132" s="143" t="str">
        <f t="shared" si="522"/>
        <v>-</v>
      </c>
      <c r="BW132" s="143" t="str">
        <f t="shared" si="523"/>
        <v>-</v>
      </c>
      <c r="BX132" s="143" t="str">
        <f t="shared" si="524"/>
        <v>-</v>
      </c>
      <c r="BY132" s="143" t="str">
        <f t="shared" si="525"/>
        <v>-</v>
      </c>
      <c r="BZ132" s="143" t="str">
        <f t="shared" si="526"/>
        <v>-</v>
      </c>
      <c r="CA132" s="143" t="str">
        <f t="shared" si="527"/>
        <v>-</v>
      </c>
      <c r="CB132" s="143" t="str">
        <f t="shared" si="528"/>
        <v>-</v>
      </c>
      <c r="CD132" s="112" t="str">
        <f t="shared" si="1248"/>
        <v>-</v>
      </c>
      <c r="CE132" s="95" t="str">
        <f>IFERROR(SUMIFS('01. KE30'!$R:$R,'01. KE30'!$C:$C,'06. BC BH THEO CUSTOMER-USD'!$D132,'01. KE30'!$F:$F,'06. BC BH THEO CUSTOMER-USD'!$H132,'01. KE30'!$A:$A,'06. BC BH THEO CUSTOMER-USD'!CE$4)/CS132/'02. Tỷ giá'!B$5," -")</f>
        <v xml:space="preserve"> -</v>
      </c>
      <c r="CF132" s="95" t="str">
        <f>IFERROR(SUMIFS('01. KE30'!$R:$R,'01. KE30'!$C:$C,'06. BC BH THEO CUSTOMER-USD'!$D132,'01. KE30'!$F:$F,'06. BC BH THEO CUSTOMER-USD'!$H132,'01. KE30'!$A:$A,'06. BC BH THEO CUSTOMER-USD'!CF$4)/CT132/'02. Tỷ giá'!C$5," -")</f>
        <v xml:space="preserve"> -</v>
      </c>
      <c r="CG132" s="95" t="str">
        <f>IFERROR(SUMIFS('01. KE30'!$R:$R,'01. KE30'!$C:$C,'06. BC BH THEO CUSTOMER-USD'!$D132,'01. KE30'!$F:$F,'06. BC BH THEO CUSTOMER-USD'!$H132,'01. KE30'!$A:$A,'06. BC BH THEO CUSTOMER-USD'!CG$4)/CU132/'02. Tỷ giá'!D$5," -")</f>
        <v xml:space="preserve"> -</v>
      </c>
      <c r="CH132" s="95" t="str">
        <f>IFERROR(SUMIFS('01. KE30'!$R:$R,'01. KE30'!$C:$C,'06. BC BH THEO CUSTOMER-USD'!$D132,'01. KE30'!$F:$F,'06. BC BH THEO CUSTOMER-USD'!$H132,'01. KE30'!$A:$A,'06. BC BH THEO CUSTOMER-USD'!CH$4)/CV132/'02. Tỷ giá'!E$5," -")</f>
        <v xml:space="preserve"> -</v>
      </c>
      <c r="CI132" s="95" t="str">
        <f>IFERROR(SUMIFS('01. KE30'!$R:$R,'01. KE30'!$C:$C,'06. BC BH THEO CUSTOMER-USD'!$D132,'01. KE30'!$F:$F,'06. BC BH THEO CUSTOMER-USD'!$H132,'01. KE30'!$A:$A,'06. BC BH THEO CUSTOMER-USD'!CI$4)/CW132/'02. Tỷ giá'!F$5," -")</f>
        <v xml:space="preserve"> -</v>
      </c>
      <c r="CJ132" s="95" t="str">
        <f>IFERROR(SUMIFS('01. KE30'!$R:$R,'01. KE30'!$C:$C,'06. BC BH THEO CUSTOMER-USD'!$D132,'01. KE30'!$F:$F,'06. BC BH THEO CUSTOMER-USD'!$H132,'01. KE30'!$A:$A,'06. BC BH THEO CUSTOMER-USD'!CJ$4)/CX132/'02. Tỷ giá'!G$5," -")</f>
        <v xml:space="preserve"> -</v>
      </c>
      <c r="CK132" s="95" t="str">
        <f>IFERROR(SUMIFS('01. KE30'!$R:$R,'01. KE30'!$C:$C,'06. BC BH THEO CUSTOMER-USD'!$D132,'01. KE30'!$F:$F,'06. BC BH THEO CUSTOMER-USD'!$H132,'01. KE30'!$A:$A,'06. BC BH THEO CUSTOMER-USD'!CK$4)/CY132/'02. Tỷ giá'!H$5," -")</f>
        <v xml:space="preserve"> -</v>
      </c>
      <c r="CL132" s="95" t="str">
        <f>IFERROR(SUMIFS('01. KE30'!$R:$R,'01. KE30'!$C:$C,'06. BC BH THEO CUSTOMER-USD'!$D132,'01. KE30'!$F:$F,'06. BC BH THEO CUSTOMER-USD'!$H132,'01. KE30'!$A:$A,'06. BC BH THEO CUSTOMER-USD'!CL$4)/CZ132/'02. Tỷ giá'!I$5," -")</f>
        <v xml:space="preserve"> -</v>
      </c>
      <c r="CM132" s="95" t="str">
        <f>IFERROR(SUMIFS('01. KE30'!$R:$R,'01. KE30'!$C:$C,'06. BC BH THEO CUSTOMER-USD'!$D132,'01. KE30'!$F:$F,'06. BC BH THEO CUSTOMER-USD'!$H132,'01. KE30'!$A:$A,'06. BC BH THEO CUSTOMER-USD'!CM$4)/DA132/'02. Tỷ giá'!J$5," -")</f>
        <v xml:space="preserve"> -</v>
      </c>
      <c r="CN132" s="95" t="str">
        <f>IFERROR(SUMIFS('01. KE30'!$R:$R,'01. KE30'!$C:$C,'06. BC BH THEO CUSTOMER-USD'!$D132,'01. KE30'!$F:$F,'06. BC BH THEO CUSTOMER-USD'!$H132,'01. KE30'!$A:$A,'06. BC BH THEO CUSTOMER-USD'!CN$4)/DB132/'02. Tỷ giá'!K$5," -")</f>
        <v xml:space="preserve"> -</v>
      </c>
      <c r="CO132" s="95" t="str">
        <f>IFERROR(SUMIFS('01. KE30'!$R:$R,'01. KE30'!$C:$C,'06. BC BH THEO CUSTOMER-USD'!$D132,'01. KE30'!$F:$F,'06. BC BH THEO CUSTOMER-USD'!$H132,'01. KE30'!$A:$A,'06. BC BH THEO CUSTOMER-USD'!CO$4)/DC132/'02. Tỷ giá'!L$5," -")</f>
        <v xml:space="preserve"> -</v>
      </c>
      <c r="CP132" s="95" t="str">
        <f>IFERROR(SUMIFS('01. KE30'!$R:$R,'01. KE30'!$C:$C,'06. BC BH THEO CUSTOMER-USD'!$D132,'01. KE30'!$F:$F,'06. BC BH THEO CUSTOMER-USD'!$H132,'01. KE30'!$A:$A,'06. BC BH THEO CUSTOMER-USD'!CP$4)/DD132/'02. Tỷ giá'!M$5," -")</f>
        <v xml:space="preserve"> -</v>
      </c>
      <c r="CR132" s="112">
        <f t="shared" si="1249"/>
        <v>0</v>
      </c>
      <c r="CS132" s="114">
        <f>SUMIFS('01. KE30'!$I:$I,'01. KE30'!$C:$C,'06. BC BH THEO CUSTOMER-USD'!$D132,'01. KE30'!$F:$F,'06. BC BH THEO CUSTOMER-USD'!$H132,'01. KE30'!$A:$A,'06. BC BH THEO CUSTOMER-USD'!CS$4)/1000</f>
        <v>0</v>
      </c>
      <c r="CT132" s="114">
        <f>SUMIFS('01. KE30'!$I:$I,'01. KE30'!$C:$C,'06. BC BH THEO CUSTOMER-USD'!$D132,'01. KE30'!$F:$F,'06. BC BH THEO CUSTOMER-USD'!$H132,'01. KE30'!$A:$A,'06. BC BH THEO CUSTOMER-USD'!CT$4)/1000</f>
        <v>0</v>
      </c>
      <c r="CU132" s="114">
        <f>SUMIFS('01. KE30'!$I:$I,'01. KE30'!$C:$C,'06. BC BH THEO CUSTOMER-USD'!$D132,'01. KE30'!$F:$F,'06. BC BH THEO CUSTOMER-USD'!$H132,'01. KE30'!$A:$A,'06. BC BH THEO CUSTOMER-USD'!CU$4)/1000</f>
        <v>0</v>
      </c>
      <c r="CV132" s="114">
        <f>SUMIFS('01. KE30'!$I:$I,'01. KE30'!$C:$C,'06. BC BH THEO CUSTOMER-USD'!$D132,'01. KE30'!$F:$F,'06. BC BH THEO CUSTOMER-USD'!$H132,'01. KE30'!$A:$A,'06. BC BH THEO CUSTOMER-USD'!CV$4)/1000</f>
        <v>0</v>
      </c>
      <c r="CW132" s="114">
        <f>SUMIFS('01. KE30'!$I:$I,'01. KE30'!$C:$C,'06. BC BH THEO CUSTOMER-USD'!$D132,'01. KE30'!$F:$F,'06. BC BH THEO CUSTOMER-USD'!$H132,'01. KE30'!$A:$A,'06. BC BH THEO CUSTOMER-USD'!CW$4)/1000</f>
        <v>0</v>
      </c>
      <c r="CX132" s="114">
        <f>SUMIFS('01. KE30'!$I:$I,'01. KE30'!$C:$C,'06. BC BH THEO CUSTOMER-USD'!$D132,'01. KE30'!$F:$F,'06. BC BH THEO CUSTOMER-USD'!$H132,'01. KE30'!$A:$A,'06. BC BH THEO CUSTOMER-USD'!CX$4)/1000</f>
        <v>0</v>
      </c>
      <c r="CY132" s="114">
        <f>SUMIFS('01. KE30'!$I:$I,'01. KE30'!$C:$C,'06. BC BH THEO CUSTOMER-USD'!$D132,'01. KE30'!$F:$F,'06. BC BH THEO CUSTOMER-USD'!$H132,'01. KE30'!$A:$A,'06. BC BH THEO CUSTOMER-USD'!CY$4)/1000</f>
        <v>0</v>
      </c>
      <c r="CZ132" s="114">
        <f>SUMIFS('01. KE30'!$I:$I,'01. KE30'!$C:$C,'06. BC BH THEO CUSTOMER-USD'!$D132,'01. KE30'!$F:$F,'06. BC BH THEO CUSTOMER-USD'!$H132,'01. KE30'!$A:$A,'06. BC BH THEO CUSTOMER-USD'!CZ$4)/1000</f>
        <v>0</v>
      </c>
      <c r="DA132" s="114">
        <f>SUMIFS('01. KE30'!$I:$I,'01. KE30'!$C:$C,'06. BC BH THEO CUSTOMER-USD'!$D132,'01. KE30'!$F:$F,'06. BC BH THEO CUSTOMER-USD'!$H132,'01. KE30'!$A:$A,'06. BC BH THEO CUSTOMER-USD'!DA$4)/1000</f>
        <v>0</v>
      </c>
      <c r="DB132" s="114">
        <f>SUMIFS('01. KE30'!$I:$I,'01. KE30'!$C:$C,'06. BC BH THEO CUSTOMER-USD'!$D132,'01. KE30'!$F:$F,'06. BC BH THEO CUSTOMER-USD'!$H132,'01. KE30'!$A:$A,'06. BC BH THEO CUSTOMER-USD'!DB$4)/1000</f>
        <v>0</v>
      </c>
      <c r="DC132" s="114">
        <f>SUMIFS('01. KE30'!$I:$I,'01. KE30'!$C:$C,'06. BC BH THEO CUSTOMER-USD'!$D132,'01. KE30'!$F:$F,'06. BC BH THEO CUSTOMER-USD'!$H132,'01. KE30'!$A:$A,'06. BC BH THEO CUSTOMER-USD'!DC$4)/1000</f>
        <v>0</v>
      </c>
      <c r="DD132" s="114">
        <f>SUMIFS('01. KE30'!$I:$I,'01. KE30'!$C:$C,'06. BC BH THEO CUSTOMER-USD'!$D132,'01. KE30'!$F:$F,'06. BC BH THEO CUSTOMER-USD'!$H132,'01. KE30'!$A:$A,'06. BC BH THEO CUSTOMER-USD'!DD$4)/1000</f>
        <v>0</v>
      </c>
      <c r="DF132" s="112">
        <f t="shared" si="1250"/>
        <v>0</v>
      </c>
      <c r="DG132" s="54" t="str">
        <f t="shared" si="1251"/>
        <v>-</v>
      </c>
      <c r="DH132" s="54" t="str">
        <f t="shared" si="1252"/>
        <v>-</v>
      </c>
      <c r="DI132" s="54" t="str">
        <f t="shared" si="1253"/>
        <v>-</v>
      </c>
      <c r="DJ132" s="54" t="str">
        <f t="shared" si="1254"/>
        <v>-</v>
      </c>
      <c r="DK132" s="54" t="str">
        <f t="shared" si="1255"/>
        <v>-</v>
      </c>
      <c r="DL132" s="54" t="str">
        <f t="shared" si="1256"/>
        <v>-</v>
      </c>
      <c r="DM132" s="54" t="str">
        <f t="shared" si="1257"/>
        <v>-</v>
      </c>
      <c r="DN132" s="54" t="str">
        <f t="shared" si="1258"/>
        <v>-</v>
      </c>
      <c r="DO132" s="54" t="str">
        <f t="shared" si="1259"/>
        <v>-</v>
      </c>
      <c r="DP132" s="54" t="str">
        <f t="shared" si="1260"/>
        <v>-</v>
      </c>
      <c r="DQ132" s="54" t="str">
        <f t="shared" si="1261"/>
        <v>-</v>
      </c>
      <c r="DR132" s="54" t="str">
        <f t="shared" si="1262"/>
        <v>-</v>
      </c>
      <c r="DT132" s="112">
        <f t="shared" si="652"/>
        <v>0</v>
      </c>
      <c r="DU132" s="114">
        <f>IFERROR(SUMIFS('01. KE30'!$X:$X,'01. KE30'!$C:$C,'06. BC BH THEO CUSTOMER-USD'!$D132,'01. KE30'!$F:$F,'06. BC BH THEO CUSTOMER-USD'!$H132,'01. KE30'!$A:$A,'06. BC BH THEO CUSTOMER-USD'!DU$4)-SUMIFS('01. KE30'!$AA:$AA,'01. KE30'!$C:$C,'06. BC BH THEO CUSTOMER-USD'!$D132,'01. KE30'!$F:$F,'06. BC BH THEO CUSTOMER-USD'!$H132,'01. KE30'!$A:$A,'06. BC BH THEO CUSTOMER-USD'!DU$4),"-")</f>
        <v>0</v>
      </c>
      <c r="DV132" s="114">
        <f>IFERROR(SUMIFS('01. KE30'!$X:$X,'01. KE30'!$C:$C,'06. BC BH THEO CUSTOMER-USD'!$D132,'01. KE30'!$F:$F,'06. BC BH THEO CUSTOMER-USD'!$H132,'01. KE30'!$A:$A,'06. BC BH THEO CUSTOMER-USD'!DV$4)-SUMIFS('01. KE30'!$AA:$AA,'01. KE30'!$C:$C,'06. BC BH THEO CUSTOMER-USD'!$D132,'01. KE30'!$F:$F,'06. BC BH THEO CUSTOMER-USD'!$H132,'01. KE30'!$A:$A,'06. BC BH THEO CUSTOMER-USD'!DV$4),"-")</f>
        <v>0</v>
      </c>
      <c r="DW132" s="114">
        <f>IFERROR(SUMIFS('01. KE30'!$X:$X,'01. KE30'!$C:$C,'06. BC BH THEO CUSTOMER-USD'!$D132,'01. KE30'!$F:$F,'06. BC BH THEO CUSTOMER-USD'!$H132,'01. KE30'!$A:$A,'06. BC BH THEO CUSTOMER-USD'!DW$4)-SUMIFS('01. KE30'!$AA:$AA,'01. KE30'!$C:$C,'06. BC BH THEO CUSTOMER-USD'!$D132,'01. KE30'!$F:$F,'06. BC BH THEO CUSTOMER-USD'!$H132,'01. KE30'!$A:$A,'06. BC BH THEO CUSTOMER-USD'!DW$4),"-")</f>
        <v>0</v>
      </c>
      <c r="DX132" s="114">
        <f>IFERROR(SUMIFS('01. KE30'!$X:$X,'01. KE30'!$C:$C,'06. BC BH THEO CUSTOMER-USD'!$D132,'01. KE30'!$F:$F,'06. BC BH THEO CUSTOMER-USD'!$H132,'01. KE30'!$A:$A,'06. BC BH THEO CUSTOMER-USD'!DX$4)-SUMIFS('01. KE30'!$AA:$AA,'01. KE30'!$C:$C,'06. BC BH THEO CUSTOMER-USD'!$D132,'01. KE30'!$F:$F,'06. BC BH THEO CUSTOMER-USD'!$H132,'01. KE30'!$A:$A,'06. BC BH THEO CUSTOMER-USD'!DX$4),"-")</f>
        <v>0</v>
      </c>
      <c r="DY132" s="114">
        <f>IFERROR(SUMIFS('01. KE30'!$X:$X,'01. KE30'!$C:$C,'06. BC BH THEO CUSTOMER-USD'!$D132,'01. KE30'!$F:$F,'06. BC BH THEO CUSTOMER-USD'!$H132,'01. KE30'!$A:$A,'06. BC BH THEO CUSTOMER-USD'!DY$4)-SUMIFS('01. KE30'!$AA:$AA,'01. KE30'!$C:$C,'06. BC BH THEO CUSTOMER-USD'!$D132,'01. KE30'!$F:$F,'06. BC BH THEO CUSTOMER-USD'!$H132,'01. KE30'!$A:$A,'06. BC BH THEO CUSTOMER-USD'!DY$4),"-")</f>
        <v>0</v>
      </c>
      <c r="DZ132" s="114">
        <f>IFERROR(SUMIFS('01. KE30'!$X:$X,'01. KE30'!$C:$C,'06. BC BH THEO CUSTOMER-USD'!$D132,'01. KE30'!$F:$F,'06. BC BH THEO CUSTOMER-USD'!$H132,'01. KE30'!$A:$A,'06. BC BH THEO CUSTOMER-USD'!DZ$4)-SUMIFS('01. KE30'!$AA:$AA,'01. KE30'!$C:$C,'06. BC BH THEO CUSTOMER-USD'!$D132,'01. KE30'!$F:$F,'06. BC BH THEO CUSTOMER-USD'!$H132,'01. KE30'!$A:$A,'06. BC BH THEO CUSTOMER-USD'!DZ$4),"-")</f>
        <v>0</v>
      </c>
      <c r="EA132" s="114">
        <f>IFERROR(SUMIFS('01. KE30'!$X:$X,'01. KE30'!$C:$C,'06. BC BH THEO CUSTOMER-USD'!$D132,'01. KE30'!$F:$F,'06. BC BH THEO CUSTOMER-USD'!$H132,'01. KE30'!$A:$A,'06. BC BH THEO CUSTOMER-USD'!EA$4)-SUMIFS('01. KE30'!$AA:$AA,'01. KE30'!$C:$C,'06. BC BH THEO CUSTOMER-USD'!$D132,'01. KE30'!$F:$F,'06. BC BH THEO CUSTOMER-USD'!$H132,'01. KE30'!$A:$A,'06. BC BH THEO CUSTOMER-USD'!EA$4),"-")</f>
        <v>0</v>
      </c>
      <c r="EB132" s="114">
        <f>IFERROR(SUMIFS('01. KE30'!$X:$X,'01. KE30'!$C:$C,'06. BC BH THEO CUSTOMER-USD'!$D132,'01. KE30'!$F:$F,'06. BC BH THEO CUSTOMER-USD'!$H132,'01. KE30'!$A:$A,'06. BC BH THEO CUSTOMER-USD'!EB$4)-SUMIFS('01. KE30'!$AA:$AA,'01. KE30'!$C:$C,'06. BC BH THEO CUSTOMER-USD'!$D132,'01. KE30'!$F:$F,'06. BC BH THEO CUSTOMER-USD'!$H132,'01. KE30'!$A:$A,'06. BC BH THEO CUSTOMER-USD'!EB$4),"-")</f>
        <v>0</v>
      </c>
      <c r="EC132" s="114">
        <f>IFERROR(SUMIFS('01. KE30'!$X:$X,'01. KE30'!$C:$C,'06. BC BH THEO CUSTOMER-USD'!$D132,'01. KE30'!$F:$F,'06. BC BH THEO CUSTOMER-USD'!$H132,'01. KE30'!$A:$A,'06. BC BH THEO CUSTOMER-USD'!EC$4)-SUMIFS('01. KE30'!$AA:$AA,'01. KE30'!$C:$C,'06. BC BH THEO CUSTOMER-USD'!$D132,'01. KE30'!$F:$F,'06. BC BH THEO CUSTOMER-USD'!$H132,'01. KE30'!$A:$A,'06. BC BH THEO CUSTOMER-USD'!EC$4),"-")</f>
        <v>0</v>
      </c>
      <c r="ED132" s="114">
        <f>IFERROR(SUMIFS('01. KE30'!$X:$X,'01. KE30'!$C:$C,'06. BC BH THEO CUSTOMER-USD'!$D132,'01. KE30'!$F:$F,'06. BC BH THEO CUSTOMER-USD'!$H132,'01. KE30'!$A:$A,'06. BC BH THEO CUSTOMER-USD'!ED$4)-SUMIFS('01. KE30'!$AA:$AA,'01. KE30'!$C:$C,'06. BC BH THEO CUSTOMER-USD'!$D132,'01. KE30'!$F:$F,'06. BC BH THEO CUSTOMER-USD'!$H132,'01. KE30'!$A:$A,'06. BC BH THEO CUSTOMER-USD'!ED$4),"-")</f>
        <v>0</v>
      </c>
      <c r="EE132" s="114">
        <f>IFERROR(SUMIFS('01. KE30'!$X:$X,'01. KE30'!$C:$C,'06. BC BH THEO CUSTOMER-USD'!$D132,'01. KE30'!$F:$F,'06. BC BH THEO CUSTOMER-USD'!$H132,'01. KE30'!$A:$A,'06. BC BH THEO CUSTOMER-USD'!EE$4)-SUMIFS('01. KE30'!$AA:$AA,'01. KE30'!$C:$C,'06. BC BH THEO CUSTOMER-USD'!$D132,'01. KE30'!$F:$F,'06. BC BH THEO CUSTOMER-USD'!$H132,'01. KE30'!$A:$A,'06. BC BH THEO CUSTOMER-USD'!EE$4),"-")</f>
        <v>0</v>
      </c>
      <c r="EF132" s="114">
        <f>IFERROR(SUMIFS('01. KE30'!$X:$X,'01. KE30'!$C:$C,'06. BC BH THEO CUSTOMER-USD'!$D132,'01. KE30'!$F:$F,'06. BC BH THEO CUSTOMER-USD'!$H132,'01. KE30'!$A:$A,'06. BC BH THEO CUSTOMER-USD'!EF$4)-SUMIFS('01. KE30'!$AA:$AA,'01. KE30'!$C:$C,'06. BC BH THEO CUSTOMER-USD'!$D132,'01. KE30'!$F:$F,'06. BC BH THEO CUSTOMER-USD'!$H132,'01. KE30'!$A:$A,'06. BC BH THEO CUSTOMER-USD'!EF$4),"-")</f>
        <v>0</v>
      </c>
      <c r="EH132" s="571" t="str">
        <f t="shared" si="531"/>
        <v>-</v>
      </c>
      <c r="EI132" s="572" t="str">
        <f t="shared" si="532"/>
        <v>-</v>
      </c>
      <c r="EJ132" s="572" t="str">
        <f t="shared" si="533"/>
        <v>-</v>
      </c>
      <c r="EK132" s="572" t="str">
        <f t="shared" si="534"/>
        <v>-</v>
      </c>
      <c r="EL132" s="572" t="str">
        <f t="shared" si="535"/>
        <v>-</v>
      </c>
      <c r="EM132" s="572" t="str">
        <f t="shared" si="536"/>
        <v>-</v>
      </c>
      <c r="EN132" s="572" t="str">
        <f t="shared" si="537"/>
        <v>-</v>
      </c>
      <c r="EO132" s="572" t="str">
        <f t="shared" si="538"/>
        <v>-</v>
      </c>
      <c r="EP132" s="572" t="str">
        <f t="shared" si="539"/>
        <v>-</v>
      </c>
      <c r="EQ132" s="572" t="str">
        <f t="shared" si="540"/>
        <v>-</v>
      </c>
      <c r="ER132" s="572" t="str">
        <f t="shared" si="541"/>
        <v>-</v>
      </c>
      <c r="ES132" s="572" t="str">
        <f t="shared" si="542"/>
        <v>-</v>
      </c>
      <c r="ET132" s="572" t="str">
        <f t="shared" si="543"/>
        <v>-</v>
      </c>
    </row>
    <row r="133" spans="1:150" ht="15.5" hidden="1" outlineLevel="1" x14ac:dyDescent="0.35">
      <c r="A133" s="10">
        <f t="shared" si="1266"/>
        <v>6</v>
      </c>
      <c r="B133" s="10" t="s">
        <v>265</v>
      </c>
      <c r="C133" s="497" t="s">
        <v>29</v>
      </c>
      <c r="D133" s="9">
        <v>1000</v>
      </c>
      <c r="E133" s="8" t="s">
        <v>29</v>
      </c>
      <c r="F133" s="12" t="s">
        <v>245</v>
      </c>
      <c r="G133" s="12" t="str">
        <f>_xlfn.XLOOKUP(F133,'Quy đổi'!$G$5:$G$32,'Quy đổi'!$H$5:$H$32,0)</f>
        <v>Nội địa</v>
      </c>
      <c r="H133" s="76" t="s">
        <v>647</v>
      </c>
      <c r="I133" s="7" t="s">
        <v>648</v>
      </c>
      <c r="J133" s="69" t="s">
        <v>22</v>
      </c>
      <c r="K133" s="5"/>
      <c r="L133" s="92">
        <f t="shared" ref="L133" si="1269">IFERROR(AVERAGE(M133:X133),"-")</f>
        <v>1332.927230884334</v>
      </c>
      <c r="M133" s="106" t="str">
        <f>IFERROR(SUMIFS('01. KE30'!$K:$K,'01. KE30'!$C:$C,'06. BC BH THEO CUSTOMER-USD'!$D133,'01. KE30'!$F:$F,'06. BC BH THEO CUSTOMER-USD'!$H133,'01. KE30'!$A:$A,'06. BC BH THEO CUSTOMER-USD'!M$4)/'06. BC BH THEO CUSTOMER-USD'!CS133/'02. Tỷ giá'!B$5,"-")</f>
        <v>-</v>
      </c>
      <c r="N133" s="106" t="str">
        <f>IFERROR(SUMIFS('01. KE30'!$K:$K,'01. KE30'!$C:$C,'06. BC BH THEO CUSTOMER-USD'!$D133,'01. KE30'!$F:$F,'06. BC BH THEO CUSTOMER-USD'!$H133,'01. KE30'!$A:$A,'06. BC BH THEO CUSTOMER-USD'!N$4)/'06. BC BH THEO CUSTOMER-USD'!CT133/'02. Tỷ giá'!C$5,"-")</f>
        <v>-</v>
      </c>
      <c r="O133" s="106">
        <f>IFERROR(SUMIFS('01. KE30'!$K:$K,'01. KE30'!$C:$C,'06. BC BH THEO CUSTOMER-USD'!$D133,'01. KE30'!$F:$F,'06. BC BH THEO CUSTOMER-USD'!$H133,'01. KE30'!$A:$A,'06. BC BH THEO CUSTOMER-USD'!O$4)/'06. BC BH THEO CUSTOMER-USD'!CU133/'02. Tỷ giá'!D$5,"-")</f>
        <v>1344.6850393700788</v>
      </c>
      <c r="P133" s="106" t="str">
        <f>IFERROR(SUMIFS('01. KE30'!$K:$K,'01. KE30'!$C:$C,'06. BC BH THEO CUSTOMER-USD'!$D133,'01. KE30'!$F:$F,'06. BC BH THEO CUSTOMER-USD'!$H133,'01. KE30'!$A:$A,'06. BC BH THEO CUSTOMER-USD'!P$4)/'06. BC BH THEO CUSTOMER-USD'!CV133/'02. Tỷ giá'!E$5,"-")</f>
        <v>-</v>
      </c>
      <c r="Q133" s="106" t="str">
        <f>IFERROR(SUMIFS('01. KE30'!$K:$K,'01. KE30'!$C:$C,'06. BC BH THEO CUSTOMER-USD'!$D133,'01. KE30'!$F:$F,'06. BC BH THEO CUSTOMER-USD'!$H133,'01. KE30'!$A:$A,'06. BC BH THEO CUSTOMER-USD'!Q$4)/'06. BC BH THEO CUSTOMER-USD'!CW133/'02. Tỷ giá'!F$5,"-")</f>
        <v>-</v>
      </c>
      <c r="R133" s="106">
        <f>IFERROR(SUMIFS('01. KE30'!$K:$K,'01. KE30'!$C:$C,'06. BC BH THEO CUSTOMER-USD'!$D133,'01. KE30'!$F:$F,'06. BC BH THEO CUSTOMER-USD'!$H133,'01. KE30'!$A:$A,'06. BC BH THEO CUSTOMER-USD'!R$4)/'06. BC BH THEO CUSTOMER-USD'!CX133/'02. Tỷ giá'!G$5,"-")</f>
        <v>1321.1694223985892</v>
      </c>
      <c r="S133" s="106" t="str">
        <f>IFERROR(SUMIFS('01. KE30'!$K:$K,'01. KE30'!$C:$C,'06. BC BH THEO CUSTOMER-USD'!$D133,'01. KE30'!$F:$F,'06. BC BH THEO CUSTOMER-USD'!$H133,'01. KE30'!$A:$A,'06. BC BH THEO CUSTOMER-USD'!S$4)/'06. BC BH THEO CUSTOMER-USD'!CY133/'02. Tỷ giá'!H$5,"-")</f>
        <v>-</v>
      </c>
      <c r="T133" s="106" t="str">
        <f>IFERROR(SUMIFS('01. KE30'!$K:$K,'01. KE30'!$C:$C,'06. BC BH THEO CUSTOMER-USD'!$D133,'01. KE30'!$F:$F,'06. BC BH THEO CUSTOMER-USD'!$H133,'01. KE30'!$A:$A,'06. BC BH THEO CUSTOMER-USD'!T$4)/'06. BC BH THEO CUSTOMER-USD'!CZ133/'02. Tỷ giá'!I$5,"-")</f>
        <v>-</v>
      </c>
      <c r="U133" s="106" t="str">
        <f>IFERROR(SUMIFS('01. KE30'!$K:$K,'01. KE30'!$C:$C,'06. BC BH THEO CUSTOMER-USD'!$D133,'01. KE30'!$F:$F,'06. BC BH THEO CUSTOMER-USD'!$H133,'01. KE30'!$A:$A,'06. BC BH THEO CUSTOMER-USD'!U$4)/'06. BC BH THEO CUSTOMER-USD'!DA133/'02. Tỷ giá'!J$5,"-")</f>
        <v>-</v>
      </c>
      <c r="V133" s="106" t="str">
        <f>IFERROR(SUMIFS('01. KE30'!$K:$K,'01. KE30'!$C:$C,'06. BC BH THEO CUSTOMER-USD'!$D133,'01. KE30'!$F:$F,'06. BC BH THEO CUSTOMER-USD'!$H133,'01. KE30'!$A:$A,'06. BC BH THEO CUSTOMER-USD'!V$4)/'06. BC BH THEO CUSTOMER-USD'!DB133/'02. Tỷ giá'!K$5,"-")</f>
        <v>-</v>
      </c>
      <c r="W133" s="106" t="str">
        <f>IFERROR(SUMIFS('01. KE30'!$K:$K,'01. KE30'!$C:$C,'06. BC BH THEO CUSTOMER-USD'!$D133,'01. KE30'!$F:$F,'06. BC BH THEO CUSTOMER-USD'!$H133,'01. KE30'!$A:$A,'06. BC BH THEO CUSTOMER-USD'!W$4)/'06. BC BH THEO CUSTOMER-USD'!DC133/'02. Tỷ giá'!L$5,"-")</f>
        <v>-</v>
      </c>
      <c r="X133" s="106" t="str">
        <f>IFERROR(SUMIFS('01. KE30'!$K:$K,'01. KE30'!$C:$C,'06. BC BH THEO CUSTOMER-USD'!$D133,'01. KE30'!$F:$F,'06. BC BH THEO CUSTOMER-USD'!$H133,'01. KE30'!$A:$A,'06. BC BH THEO CUSTOMER-USD'!X$4)/'06. BC BH THEO CUSTOMER-USD'!DD133/'02. Tỷ giá'!M$5,"-")</f>
        <v>-</v>
      </c>
      <c r="Z133" s="92">
        <f t="shared" ref="Z133" si="1270">IFERROR(AVERAGE(AA133:AL133),"-")</f>
        <v>1332.927230884334</v>
      </c>
      <c r="AA133" s="147" t="str">
        <f>IFERROR(SUMIFS('01. KE30'!$O:$O,'01. KE30'!$C:$C,'06. BC BH THEO CUSTOMER-USD'!$D133,'01. KE30'!$F:$F,'06. BC BH THEO CUSTOMER-USD'!$H133,'01. KE30'!$A:$A,'06. BC BH THEO CUSTOMER-USD'!M$4)/'06. BC BH THEO CUSTOMER-USD'!CS133/'02. Tỷ giá'!B$5,"-")</f>
        <v>-</v>
      </c>
      <c r="AB133" s="147" t="str">
        <f>IFERROR(SUMIFS('01. KE30'!$O:$O,'01. KE30'!$C:$C,'06. BC BH THEO CUSTOMER-USD'!$D133,'01. KE30'!$F:$F,'06. BC BH THEO CUSTOMER-USD'!$H133,'01. KE30'!$A:$A,'06. BC BH THEO CUSTOMER-USD'!N$4)/'06. BC BH THEO CUSTOMER-USD'!CT133/'02. Tỷ giá'!C$5,"-")</f>
        <v>-</v>
      </c>
      <c r="AC133" s="147">
        <f>IFERROR(SUMIFS('01. KE30'!$O:$O,'01. KE30'!$C:$C,'06. BC BH THEO CUSTOMER-USD'!$D133,'01. KE30'!$F:$F,'06. BC BH THEO CUSTOMER-USD'!$H133,'01. KE30'!$A:$A,'06. BC BH THEO CUSTOMER-USD'!O$4)/'06. BC BH THEO CUSTOMER-USD'!CU133/'02. Tỷ giá'!D$5,"-")</f>
        <v>1344.6850393700788</v>
      </c>
      <c r="AD133" s="147" t="str">
        <f>IFERROR(SUMIFS('01. KE30'!$O:$O,'01. KE30'!$C:$C,'06. BC BH THEO CUSTOMER-USD'!$D133,'01. KE30'!$F:$F,'06. BC BH THEO CUSTOMER-USD'!$H133,'01. KE30'!$A:$A,'06. BC BH THEO CUSTOMER-USD'!P$4)/'06. BC BH THEO CUSTOMER-USD'!CV133/'02. Tỷ giá'!E$5,"-")</f>
        <v>-</v>
      </c>
      <c r="AE133" s="147" t="str">
        <f>IFERROR(SUMIFS('01. KE30'!$O:$O,'01. KE30'!$C:$C,'06. BC BH THEO CUSTOMER-USD'!$D133,'01. KE30'!$F:$F,'06. BC BH THEO CUSTOMER-USD'!$H133,'01. KE30'!$A:$A,'06. BC BH THEO CUSTOMER-USD'!Q$4)/'06. BC BH THEO CUSTOMER-USD'!CW133/'02. Tỷ giá'!F$5,"-")</f>
        <v>-</v>
      </c>
      <c r="AF133" s="147">
        <f>IFERROR(SUMIFS('01. KE30'!$O:$O,'01. KE30'!$C:$C,'06. BC BH THEO CUSTOMER-USD'!$D133,'01. KE30'!$F:$F,'06. BC BH THEO CUSTOMER-USD'!$H133,'01. KE30'!$A:$A,'06. BC BH THEO CUSTOMER-USD'!R$4)/'06. BC BH THEO CUSTOMER-USD'!CX133/'02. Tỷ giá'!G$5,"-")</f>
        <v>1321.1694223985892</v>
      </c>
      <c r="AG133" s="147" t="str">
        <f>IFERROR(SUMIFS('01. KE30'!$O:$O,'01. KE30'!$C:$C,'06. BC BH THEO CUSTOMER-USD'!$D133,'01. KE30'!$F:$F,'06. BC BH THEO CUSTOMER-USD'!$H133,'01. KE30'!$A:$A,'06. BC BH THEO CUSTOMER-USD'!S$4)/'06. BC BH THEO CUSTOMER-USD'!CY133/'02. Tỷ giá'!H$5,"-")</f>
        <v>-</v>
      </c>
      <c r="AH133" s="147" t="str">
        <f>IFERROR(SUMIFS('01. KE30'!$O:$O,'01. KE30'!$C:$C,'06. BC BH THEO CUSTOMER-USD'!$D133,'01. KE30'!$F:$F,'06. BC BH THEO CUSTOMER-USD'!$H133,'01. KE30'!$A:$A,'06. BC BH THEO CUSTOMER-USD'!T$4)/'06. BC BH THEO CUSTOMER-USD'!CZ133/'02. Tỷ giá'!I$5,"-")</f>
        <v>-</v>
      </c>
      <c r="AI133" s="147" t="str">
        <f>IFERROR(SUMIFS('01. KE30'!$O:$O,'01. KE30'!$C:$C,'06. BC BH THEO CUSTOMER-USD'!$D133,'01. KE30'!$F:$F,'06. BC BH THEO CUSTOMER-USD'!$H133,'01. KE30'!$A:$A,'06. BC BH THEO CUSTOMER-USD'!U$4)/'06. BC BH THEO CUSTOMER-USD'!DA133/'02. Tỷ giá'!J$5,"-")</f>
        <v>-</v>
      </c>
      <c r="AJ133" s="147" t="str">
        <f>IFERROR(SUMIFS('01. KE30'!$O:$O,'01. KE30'!$C:$C,'06. BC BH THEO CUSTOMER-USD'!$D133,'01. KE30'!$F:$F,'06. BC BH THEO CUSTOMER-USD'!$H133,'01. KE30'!$A:$A,'06. BC BH THEO CUSTOMER-USD'!V$4)/'06. BC BH THEO CUSTOMER-USD'!DB133/'02. Tỷ giá'!K$5,"-")</f>
        <v>-</v>
      </c>
      <c r="AK133" s="147" t="str">
        <f>IFERROR(SUMIFS('01. KE30'!$O:$O,'01. KE30'!$C:$C,'06. BC BH THEO CUSTOMER-USD'!$D133,'01. KE30'!$F:$F,'06. BC BH THEO CUSTOMER-USD'!$H133,'01. KE30'!$A:$A,'06. BC BH THEO CUSTOMER-USD'!W$4)/'06. BC BH THEO CUSTOMER-USD'!DC133/'02. Tỷ giá'!L$5,"-")</f>
        <v>-</v>
      </c>
      <c r="AL133" s="147" t="str">
        <f>IFERROR(SUMIFS('01. KE30'!$O:$O,'01. KE30'!$C:$C,'06. BC BH THEO CUSTOMER-USD'!$D133,'01. KE30'!$F:$F,'06. BC BH THEO CUSTOMER-USD'!$H133,'01. KE30'!$A:$A,'06. BC BH THEO CUSTOMER-USD'!X$4)/'06. BC BH THEO CUSTOMER-USD'!DD133/'02. Tỷ giá'!M$5,"-")</f>
        <v>-</v>
      </c>
      <c r="AN133" s="55">
        <f t="shared" ref="AN133" si="1271">IFERROR(AVERAGE(AO133:AZ133),"-")</f>
        <v>1354.4444444444443</v>
      </c>
      <c r="AO133" s="4">
        <v>1400</v>
      </c>
      <c r="AP133" s="4">
        <v>1400</v>
      </c>
      <c r="AQ133" s="4">
        <v>1350</v>
      </c>
      <c r="AR133" s="4">
        <v>1350</v>
      </c>
      <c r="AS133" s="4">
        <v>1350</v>
      </c>
      <c r="AT133" s="4">
        <v>1350</v>
      </c>
      <c r="AU133" s="4">
        <v>1350</v>
      </c>
      <c r="AV133" s="4">
        <f t="shared" ref="AV133:AV196" si="1272">AU133-20</f>
        <v>1330</v>
      </c>
      <c r="AW133" s="4">
        <v>1310</v>
      </c>
      <c r="AX133" s="4"/>
      <c r="AY133" s="4"/>
      <c r="AZ133" s="4"/>
      <c r="BB133" s="54">
        <f t="shared" ref="BB133" si="1273">IF(L133&lt;&gt;"-",Z133-AN133,"-")</f>
        <v>-21.517213560110349</v>
      </c>
      <c r="BC133" s="95" t="str">
        <f t="shared" ref="BC133" si="1274">IF(M133&lt;&gt;"-",AA133-AO133,"-")</f>
        <v>-</v>
      </c>
      <c r="BD133" s="95" t="str">
        <f t="shared" ref="BD133" si="1275">IF(N133&lt;&gt;"-",AB133-AP133,"-")</f>
        <v>-</v>
      </c>
      <c r="BE133" s="95">
        <f t="shared" ref="BE133" si="1276">IF(O133&lt;&gt;"-",AC133-AQ133,"-")</f>
        <v>-5.3149606299211882</v>
      </c>
      <c r="BF133" s="95" t="str">
        <f t="shared" ref="BF133" si="1277">IF(P133&lt;&gt;"-",AD133-AR133,"-")</f>
        <v>-</v>
      </c>
      <c r="BG133" s="95" t="str">
        <f t="shared" ref="BG133" si="1278">IF(Q133&lt;&gt;"-",AE133-AS133,"-")</f>
        <v>-</v>
      </c>
      <c r="BH133" s="95">
        <f t="shared" ref="BH133" si="1279">IF(R133&lt;&gt;"-",AF133-AT133,"-")</f>
        <v>-28.830577601410823</v>
      </c>
      <c r="BI133" s="95" t="str">
        <f t="shared" ref="BI133" si="1280">IF(S133&lt;&gt;"-",AG133-AU133,"-")</f>
        <v>-</v>
      </c>
      <c r="BJ133" s="95" t="str">
        <f t="shared" ref="BJ133" si="1281">IF(T133&lt;&gt;"-",AH133-AV133,"-")</f>
        <v>-</v>
      </c>
      <c r="BK133" s="95" t="str">
        <f t="shared" ref="BK133" si="1282">IF(U133&lt;&gt;"-",AI133-AW133,"-")</f>
        <v>-</v>
      </c>
      <c r="BL133" s="95" t="str">
        <f t="shared" ref="BL133" si="1283">IF(V133&lt;&gt;"-",AJ133-AX133,"-")</f>
        <v>-</v>
      </c>
      <c r="BM133" s="95" t="str">
        <f t="shared" ref="BM133" si="1284">IF(W133&lt;&gt;"-",AK133-AY133,"-")</f>
        <v>-</v>
      </c>
      <c r="BN133" s="95" t="str">
        <f t="shared" ref="BN133" si="1285">IF(X133&lt;&gt;"-",AL133-AZ133,"-")</f>
        <v>-</v>
      </c>
      <c r="BP133" s="143">
        <f t="shared" ref="BP133" si="1286">IFERROR(IF(BB133&lt;&gt;"-",BB133/AN133,"-"),"-")</f>
        <v>-1.5886375885233235E-2</v>
      </c>
      <c r="BQ133" s="143" t="str">
        <f t="shared" ref="BQ133" si="1287">IFERROR(IF(BC133&lt;&gt;"-",BC133/AO133,"-"),"-")</f>
        <v>-</v>
      </c>
      <c r="BR133" s="143" t="str">
        <f t="shared" ref="BR133" si="1288">IFERROR(IF(BD133&lt;&gt;"-",BD133/AP133,"-"),"-")</f>
        <v>-</v>
      </c>
      <c r="BS133" s="143">
        <f t="shared" ref="BS133" si="1289">IFERROR(IF(BE133&lt;&gt;"-",BE133/AQ133,"-"),"-")</f>
        <v>-3.9370078740156951E-3</v>
      </c>
      <c r="BT133" s="143" t="str">
        <f t="shared" ref="BT133" si="1290">IFERROR(IF(BF133&lt;&gt;"-",BF133/AR133,"-"),"-")</f>
        <v>-</v>
      </c>
      <c r="BU133" s="143" t="str">
        <f t="shared" ref="BU133" si="1291">IFERROR(IF(BG133&lt;&gt;"-",BG133/AS133,"-"),"-")</f>
        <v>-</v>
      </c>
      <c r="BV133" s="143">
        <f t="shared" ref="BV133" si="1292">IFERROR(IF(BH133&lt;&gt;"-",BH133/AT133,"-"),"-")</f>
        <v>-2.1355983408452461E-2</v>
      </c>
      <c r="BW133" s="143" t="str">
        <f t="shared" ref="BW133" si="1293">IFERROR(IF(BI133&lt;&gt;"-",BI133/AU133,"-"),"-")</f>
        <v>-</v>
      </c>
      <c r="BX133" s="143" t="str">
        <f t="shared" ref="BX133" si="1294">IFERROR(IF(BJ133&lt;&gt;"-",BJ133/AV133,"-"),"-")</f>
        <v>-</v>
      </c>
      <c r="BY133" s="143" t="str">
        <f t="shared" ref="BY133" si="1295">IFERROR(IF(BK133&lt;&gt;"-",BK133/AW133,"-"),"-")</f>
        <v>-</v>
      </c>
      <c r="BZ133" s="143" t="str">
        <f t="shared" ref="BZ133" si="1296">IFERROR(IF(BL133&lt;&gt;"-",BL133/AX133,"-"),"-")</f>
        <v>-</v>
      </c>
      <c r="CA133" s="143" t="str">
        <f t="shared" ref="CA133" si="1297">IFERROR(IF(BM133&lt;&gt;"-",BM133/AY133,"-"),"-")</f>
        <v>-</v>
      </c>
      <c r="CB133" s="143" t="str">
        <f t="shared" ref="CB133" si="1298">IFERROR(IF(BN133&lt;&gt;"-",BN133/AZ133,"-"),"-")</f>
        <v>-</v>
      </c>
      <c r="CD133" s="112">
        <f t="shared" ref="CD133" si="1299">IFERROR(AVERAGE(CE133:CP133),"-")</f>
        <v>1188.4484949103585</v>
      </c>
      <c r="CE133" s="95" t="str">
        <f>IFERROR(SUMIFS('01. KE30'!$R:$R,'01. KE30'!$C:$C,'06. BC BH THEO CUSTOMER-USD'!$D133,'01. KE30'!$F:$F,'06. BC BH THEO CUSTOMER-USD'!$H133,'01. KE30'!$A:$A,'06. BC BH THEO CUSTOMER-USD'!CE$4)/CS133/'02. Tỷ giá'!B$5," -")</f>
        <v xml:space="preserve"> -</v>
      </c>
      <c r="CF133" s="95" t="str">
        <f>IFERROR(SUMIFS('01. KE30'!$R:$R,'01. KE30'!$C:$C,'06. BC BH THEO CUSTOMER-USD'!$D133,'01. KE30'!$F:$F,'06. BC BH THEO CUSTOMER-USD'!$H133,'01. KE30'!$A:$A,'06. BC BH THEO CUSTOMER-USD'!CF$4)/CT133/'02. Tỷ giá'!C$5," -")</f>
        <v xml:space="preserve"> -</v>
      </c>
      <c r="CG133" s="95">
        <f>IFERROR(SUMIFS('01. KE30'!$R:$R,'01. KE30'!$C:$C,'06. BC BH THEO CUSTOMER-USD'!$D133,'01. KE30'!$F:$F,'06. BC BH THEO CUSTOMER-USD'!$H133,'01. KE30'!$A:$A,'06. BC BH THEO CUSTOMER-USD'!CG$4)/CU133/'02. Tỷ giá'!D$5," -")</f>
        <v>1201.8603937007874</v>
      </c>
      <c r="CH133" s="95" t="str">
        <f>IFERROR(SUMIFS('01. KE30'!$R:$R,'01. KE30'!$C:$C,'06. BC BH THEO CUSTOMER-USD'!$D133,'01. KE30'!$F:$F,'06. BC BH THEO CUSTOMER-USD'!$H133,'01. KE30'!$A:$A,'06. BC BH THEO CUSTOMER-USD'!CH$4)/CV133/'02. Tỷ giá'!E$5," -")</f>
        <v xml:space="preserve"> -</v>
      </c>
      <c r="CI133" s="95" t="str">
        <f>IFERROR(SUMIFS('01. KE30'!$R:$R,'01. KE30'!$C:$C,'06. BC BH THEO CUSTOMER-USD'!$D133,'01. KE30'!$F:$F,'06. BC BH THEO CUSTOMER-USD'!$H133,'01. KE30'!$A:$A,'06. BC BH THEO CUSTOMER-USD'!CI$4)/CW133/'02. Tỷ giá'!F$5," -")</f>
        <v xml:space="preserve"> -</v>
      </c>
      <c r="CJ133" s="95">
        <f>IFERROR(SUMIFS('01. KE30'!$R:$R,'01. KE30'!$C:$C,'06. BC BH THEO CUSTOMER-USD'!$D133,'01. KE30'!$F:$F,'06. BC BH THEO CUSTOMER-USD'!$H133,'01. KE30'!$A:$A,'06. BC BH THEO CUSTOMER-USD'!CJ$4)/CX133/'02. Tỷ giá'!G$5," -")</f>
        <v>1175.0365961199295</v>
      </c>
      <c r="CK133" s="95" t="str">
        <f>IFERROR(SUMIFS('01. KE30'!$R:$R,'01. KE30'!$C:$C,'06. BC BH THEO CUSTOMER-USD'!$D133,'01. KE30'!$F:$F,'06. BC BH THEO CUSTOMER-USD'!$H133,'01. KE30'!$A:$A,'06. BC BH THEO CUSTOMER-USD'!CK$4)/CY133/'02. Tỷ giá'!H$5," -")</f>
        <v xml:space="preserve"> -</v>
      </c>
      <c r="CL133" s="95" t="str">
        <f>IFERROR(SUMIFS('01. KE30'!$R:$R,'01. KE30'!$C:$C,'06. BC BH THEO CUSTOMER-USD'!$D133,'01. KE30'!$F:$F,'06. BC BH THEO CUSTOMER-USD'!$H133,'01. KE30'!$A:$A,'06. BC BH THEO CUSTOMER-USD'!CL$4)/CZ133/'02. Tỷ giá'!I$5," -")</f>
        <v xml:space="preserve"> -</v>
      </c>
      <c r="CM133" s="95" t="str">
        <f>IFERROR(SUMIFS('01. KE30'!$R:$R,'01. KE30'!$C:$C,'06. BC BH THEO CUSTOMER-USD'!$D133,'01. KE30'!$F:$F,'06. BC BH THEO CUSTOMER-USD'!$H133,'01. KE30'!$A:$A,'06. BC BH THEO CUSTOMER-USD'!CM$4)/DA133/'02. Tỷ giá'!J$5," -")</f>
        <v xml:space="preserve"> -</v>
      </c>
      <c r="CN133" s="95" t="str">
        <f>IFERROR(SUMIFS('01. KE30'!$R:$R,'01. KE30'!$C:$C,'06. BC BH THEO CUSTOMER-USD'!$D133,'01. KE30'!$F:$F,'06. BC BH THEO CUSTOMER-USD'!$H133,'01. KE30'!$A:$A,'06. BC BH THEO CUSTOMER-USD'!CN$4)/DB133/'02. Tỷ giá'!K$5," -")</f>
        <v xml:space="preserve"> -</v>
      </c>
      <c r="CO133" s="95" t="str">
        <f>IFERROR(SUMIFS('01. KE30'!$R:$R,'01. KE30'!$C:$C,'06. BC BH THEO CUSTOMER-USD'!$D133,'01. KE30'!$F:$F,'06. BC BH THEO CUSTOMER-USD'!$H133,'01. KE30'!$A:$A,'06. BC BH THEO CUSTOMER-USD'!CO$4)/DC133/'02. Tỷ giá'!L$5," -")</f>
        <v xml:space="preserve"> -</v>
      </c>
      <c r="CP133" s="95" t="str">
        <f>IFERROR(SUMIFS('01. KE30'!$R:$R,'01. KE30'!$C:$C,'06. BC BH THEO CUSTOMER-USD'!$D133,'01. KE30'!$F:$F,'06. BC BH THEO CUSTOMER-USD'!$H133,'01. KE30'!$A:$A,'06. BC BH THEO CUSTOMER-USD'!CP$4)/DD133/'02. Tỷ giá'!M$5," -")</f>
        <v xml:space="preserve"> -</v>
      </c>
      <c r="CR133" s="112">
        <f t="shared" ref="CR133" si="1300">SUM(CS133:DD133)</f>
        <v>0.85</v>
      </c>
      <c r="CS133" s="114">
        <f>SUMIFS('01. KE30'!$I:$I,'01. KE30'!$C:$C,'06. BC BH THEO CUSTOMER-USD'!$D133,'01. KE30'!$F:$F,'06. BC BH THEO CUSTOMER-USD'!$H133,'01. KE30'!$A:$A,'06. BC BH THEO CUSTOMER-USD'!CS$4)/1000</f>
        <v>0</v>
      </c>
      <c r="CT133" s="114">
        <f>SUMIFS('01. KE30'!$I:$I,'01. KE30'!$C:$C,'06. BC BH THEO CUSTOMER-USD'!$D133,'01. KE30'!$F:$F,'06. BC BH THEO CUSTOMER-USD'!$H133,'01. KE30'!$A:$A,'06. BC BH THEO CUSTOMER-USD'!CT$4)/1000</f>
        <v>0</v>
      </c>
      <c r="CU133" s="114">
        <f>SUMIFS('01. KE30'!$I:$I,'01. KE30'!$C:$C,'06. BC BH THEO CUSTOMER-USD'!$D133,'01. KE30'!$F:$F,'06. BC BH THEO CUSTOMER-USD'!$H133,'01. KE30'!$A:$A,'06. BC BH THEO CUSTOMER-USD'!CU$4)/1000</f>
        <v>0.5</v>
      </c>
      <c r="CV133" s="114">
        <f>SUMIFS('01. KE30'!$I:$I,'01. KE30'!$C:$C,'06. BC BH THEO CUSTOMER-USD'!$D133,'01. KE30'!$F:$F,'06. BC BH THEO CUSTOMER-USD'!$H133,'01. KE30'!$A:$A,'06. BC BH THEO CUSTOMER-USD'!CV$4)/1000</f>
        <v>0</v>
      </c>
      <c r="CW133" s="114">
        <f>SUMIFS('01. KE30'!$I:$I,'01. KE30'!$C:$C,'06. BC BH THEO CUSTOMER-USD'!$D133,'01. KE30'!$F:$F,'06. BC BH THEO CUSTOMER-USD'!$H133,'01. KE30'!$A:$A,'06. BC BH THEO CUSTOMER-USD'!CW$4)/1000</f>
        <v>0</v>
      </c>
      <c r="CX133" s="114">
        <f>SUMIFS('01. KE30'!$I:$I,'01. KE30'!$C:$C,'06. BC BH THEO CUSTOMER-USD'!$D133,'01. KE30'!$F:$F,'06. BC BH THEO CUSTOMER-USD'!$H133,'01. KE30'!$A:$A,'06. BC BH THEO CUSTOMER-USD'!CX$4)/1000</f>
        <v>0.35</v>
      </c>
      <c r="CY133" s="114">
        <f>SUMIFS('01. KE30'!$I:$I,'01. KE30'!$C:$C,'06. BC BH THEO CUSTOMER-USD'!$D133,'01. KE30'!$F:$F,'06. BC BH THEO CUSTOMER-USD'!$H133,'01. KE30'!$A:$A,'06. BC BH THEO CUSTOMER-USD'!CY$4)/1000</f>
        <v>0</v>
      </c>
      <c r="CZ133" s="114">
        <f>SUMIFS('01. KE30'!$I:$I,'01. KE30'!$C:$C,'06. BC BH THEO CUSTOMER-USD'!$D133,'01. KE30'!$F:$F,'06. BC BH THEO CUSTOMER-USD'!$H133,'01. KE30'!$A:$A,'06. BC BH THEO CUSTOMER-USD'!CZ$4)/1000</f>
        <v>0</v>
      </c>
      <c r="DA133" s="114">
        <f>SUMIFS('01. KE30'!$I:$I,'01. KE30'!$C:$C,'06. BC BH THEO CUSTOMER-USD'!$D133,'01. KE30'!$F:$F,'06. BC BH THEO CUSTOMER-USD'!$H133,'01. KE30'!$A:$A,'06. BC BH THEO CUSTOMER-USD'!DA$4)/1000</f>
        <v>0</v>
      </c>
      <c r="DB133" s="114">
        <f>SUMIFS('01. KE30'!$I:$I,'01. KE30'!$C:$C,'06. BC BH THEO CUSTOMER-USD'!$D133,'01. KE30'!$F:$F,'06. BC BH THEO CUSTOMER-USD'!$H133,'01. KE30'!$A:$A,'06. BC BH THEO CUSTOMER-USD'!DB$4)/1000</f>
        <v>0</v>
      </c>
      <c r="DC133" s="114">
        <f>SUMIFS('01. KE30'!$I:$I,'01. KE30'!$C:$C,'06. BC BH THEO CUSTOMER-USD'!$D133,'01. KE30'!$F:$F,'06. BC BH THEO CUSTOMER-USD'!$H133,'01. KE30'!$A:$A,'06. BC BH THEO CUSTOMER-USD'!DC$4)/1000</f>
        <v>0</v>
      </c>
      <c r="DD133" s="114">
        <f>SUMIFS('01. KE30'!$I:$I,'01. KE30'!$C:$C,'06. BC BH THEO CUSTOMER-USD'!$D133,'01. KE30'!$F:$F,'06. BC BH THEO CUSTOMER-USD'!$H133,'01. KE30'!$A:$A,'06. BC BH THEO CUSTOMER-USD'!DD$4)/1000</f>
        <v>0</v>
      </c>
      <c r="DF133" s="112">
        <f t="shared" ref="DF133" si="1301">SUM(DG133:DR133)</f>
        <v>1134.7518175245455</v>
      </c>
      <c r="DG133" s="54" t="str">
        <f t="shared" ref="DG133" si="1302">IFERROR(M133*CS133,"-")</f>
        <v>-</v>
      </c>
      <c r="DH133" s="54" t="str">
        <f t="shared" ref="DH133" si="1303">IFERROR(N133*CT133,"-")</f>
        <v>-</v>
      </c>
      <c r="DI133" s="54">
        <f t="shared" ref="DI133" si="1304">IFERROR(O133*CU133,"-")</f>
        <v>672.34251968503941</v>
      </c>
      <c r="DJ133" s="54" t="str">
        <f t="shared" ref="DJ133" si="1305">IFERROR(P133*CV133,"-")</f>
        <v>-</v>
      </c>
      <c r="DK133" s="54" t="str">
        <f t="shared" ref="DK133" si="1306">IFERROR(Q133*CW133,"-")</f>
        <v>-</v>
      </c>
      <c r="DL133" s="54">
        <f t="shared" ref="DL133" si="1307">IFERROR(R133*CX133,"-")</f>
        <v>462.40929783950617</v>
      </c>
      <c r="DM133" s="54" t="str">
        <f t="shared" ref="DM133" si="1308">IFERROR(S133*CY133,"-")</f>
        <v>-</v>
      </c>
      <c r="DN133" s="54" t="str">
        <f t="shared" ref="DN133" si="1309">IFERROR(T133*CZ133,"-")</f>
        <v>-</v>
      </c>
      <c r="DO133" s="54" t="str">
        <f t="shared" ref="DO133" si="1310">IFERROR(U133*DA133,"-")</f>
        <v>-</v>
      </c>
      <c r="DP133" s="54" t="str">
        <f t="shared" ref="DP133" si="1311">IFERROR(V133*DB133,"-")</f>
        <v>-</v>
      </c>
      <c r="DQ133" s="54" t="str">
        <f t="shared" ref="DQ133" si="1312">IFERROR(W133*DC133,"-")</f>
        <v>-</v>
      </c>
      <c r="DR133" s="54" t="str">
        <f t="shared" ref="DR133" si="1313">IFERROR(X133*DD133,"-")</f>
        <v>-</v>
      </c>
      <c r="DT133" s="112">
        <f t="shared" ref="DT133" si="1314">SUM(DU133:EF133)</f>
        <v>122.55881203217655</v>
      </c>
      <c r="DU133" s="114">
        <f>IFERROR(SUMIFS('01. KE30'!$X:$X,'01. KE30'!$C:$C,'06. BC BH THEO CUSTOMER-USD'!$D133,'01. KE30'!$F:$F,'06. BC BH THEO CUSTOMER-USD'!$H133,'01. KE30'!$A:$A,'06. BC BH THEO CUSTOMER-USD'!DU$4)-SUMIFS('01. KE30'!$AA:$AA,'01. KE30'!$C:$C,'06. BC BH THEO CUSTOMER-USD'!$D133,'01. KE30'!$F:$F,'06. BC BH THEO CUSTOMER-USD'!$H133,'01. KE30'!$A:$A,'06. BC BH THEO CUSTOMER-USD'!DU$4),"-")</f>
        <v>0</v>
      </c>
      <c r="DV133" s="114">
        <f>IFERROR(SUMIFS('01. KE30'!$X:$X,'01. KE30'!$C:$C,'06. BC BH THEO CUSTOMER-USD'!$D133,'01. KE30'!$F:$F,'06. BC BH THEO CUSTOMER-USD'!$H133,'01. KE30'!$A:$A,'06. BC BH THEO CUSTOMER-USD'!DV$4)-SUMIFS('01. KE30'!$AA:$AA,'01. KE30'!$C:$C,'06. BC BH THEO CUSTOMER-USD'!$D133,'01. KE30'!$F:$F,'06. BC BH THEO CUSTOMER-USD'!$H133,'01. KE30'!$A:$A,'06. BC BH THEO CUSTOMER-USD'!DV$4),"-")</f>
        <v>0</v>
      </c>
      <c r="DW133" s="114">
        <f>IFERROR(SUMIFS('01. KE30'!$X:$X,'01. KE30'!$C:$C,'06. BC BH THEO CUSTOMER-USD'!$D133,'01. KE30'!$F:$F,'06. BC BH THEO CUSTOMER-USD'!$H133,'01. KE30'!$A:$A,'06. BC BH THEO CUSTOMER-USD'!DW$4)-SUMIFS('01. KE30'!$AA:$AA,'01. KE30'!$C:$C,'06. BC BH THEO CUSTOMER-USD'!$D133,'01. KE30'!$F:$F,'06. BC BH THEO CUSTOMER-USD'!$H133,'01. KE30'!$A:$A,'06. BC BH THEO CUSTOMER-USD'!DW$4),"-")</f>
        <v>71.412322834645693</v>
      </c>
      <c r="DX133" s="114">
        <f>IFERROR(SUMIFS('01. KE30'!$X:$X,'01. KE30'!$C:$C,'06. BC BH THEO CUSTOMER-USD'!$D133,'01. KE30'!$F:$F,'06. BC BH THEO CUSTOMER-USD'!$H133,'01. KE30'!$A:$A,'06. BC BH THEO CUSTOMER-USD'!DX$4)-SUMIFS('01. KE30'!$AA:$AA,'01. KE30'!$C:$C,'06. BC BH THEO CUSTOMER-USD'!$D133,'01. KE30'!$F:$F,'06. BC BH THEO CUSTOMER-USD'!$H133,'01. KE30'!$A:$A,'06. BC BH THEO CUSTOMER-USD'!DX$4),"-")</f>
        <v>0</v>
      </c>
      <c r="DY133" s="114">
        <f>IFERROR(SUMIFS('01. KE30'!$X:$X,'01. KE30'!$C:$C,'06. BC BH THEO CUSTOMER-USD'!$D133,'01. KE30'!$F:$F,'06. BC BH THEO CUSTOMER-USD'!$H133,'01. KE30'!$A:$A,'06. BC BH THEO CUSTOMER-USD'!DY$4)-SUMIFS('01. KE30'!$AA:$AA,'01. KE30'!$C:$C,'06. BC BH THEO CUSTOMER-USD'!$D133,'01. KE30'!$F:$F,'06. BC BH THEO CUSTOMER-USD'!$H133,'01. KE30'!$A:$A,'06. BC BH THEO CUSTOMER-USD'!DY$4),"-")</f>
        <v>0</v>
      </c>
      <c r="DZ133" s="114">
        <f>IFERROR(SUMIFS('01. KE30'!$X:$X,'01. KE30'!$C:$C,'06. BC BH THEO CUSTOMER-USD'!$D133,'01. KE30'!$F:$F,'06. BC BH THEO CUSTOMER-USD'!$H133,'01. KE30'!$A:$A,'06. BC BH THEO CUSTOMER-USD'!DZ$4)-SUMIFS('01. KE30'!$AA:$AA,'01. KE30'!$C:$C,'06. BC BH THEO CUSTOMER-USD'!$D133,'01. KE30'!$F:$F,'06. BC BH THEO CUSTOMER-USD'!$H133,'01. KE30'!$A:$A,'06. BC BH THEO CUSTOMER-USD'!DZ$4),"-")</f>
        <v>51.146489197530855</v>
      </c>
      <c r="EA133" s="114">
        <f>IFERROR(SUMIFS('01. KE30'!$X:$X,'01. KE30'!$C:$C,'06. BC BH THEO CUSTOMER-USD'!$D133,'01. KE30'!$F:$F,'06. BC BH THEO CUSTOMER-USD'!$H133,'01. KE30'!$A:$A,'06. BC BH THEO CUSTOMER-USD'!EA$4)-SUMIFS('01. KE30'!$AA:$AA,'01. KE30'!$C:$C,'06. BC BH THEO CUSTOMER-USD'!$D133,'01. KE30'!$F:$F,'06. BC BH THEO CUSTOMER-USD'!$H133,'01. KE30'!$A:$A,'06. BC BH THEO CUSTOMER-USD'!EA$4),"-")</f>
        <v>0</v>
      </c>
      <c r="EB133" s="114">
        <f>IFERROR(SUMIFS('01. KE30'!$X:$X,'01. KE30'!$C:$C,'06. BC BH THEO CUSTOMER-USD'!$D133,'01. KE30'!$F:$F,'06. BC BH THEO CUSTOMER-USD'!$H133,'01. KE30'!$A:$A,'06. BC BH THEO CUSTOMER-USD'!EB$4)-SUMIFS('01. KE30'!$AA:$AA,'01. KE30'!$C:$C,'06. BC BH THEO CUSTOMER-USD'!$D133,'01. KE30'!$F:$F,'06. BC BH THEO CUSTOMER-USD'!$H133,'01. KE30'!$A:$A,'06. BC BH THEO CUSTOMER-USD'!EB$4),"-")</f>
        <v>0</v>
      </c>
      <c r="EC133" s="114">
        <f>IFERROR(SUMIFS('01. KE30'!$X:$X,'01. KE30'!$C:$C,'06. BC BH THEO CUSTOMER-USD'!$D133,'01. KE30'!$F:$F,'06. BC BH THEO CUSTOMER-USD'!$H133,'01. KE30'!$A:$A,'06. BC BH THEO CUSTOMER-USD'!EC$4)-SUMIFS('01. KE30'!$AA:$AA,'01. KE30'!$C:$C,'06. BC BH THEO CUSTOMER-USD'!$D133,'01. KE30'!$F:$F,'06. BC BH THEO CUSTOMER-USD'!$H133,'01. KE30'!$A:$A,'06. BC BH THEO CUSTOMER-USD'!EC$4),"-")</f>
        <v>0</v>
      </c>
      <c r="ED133" s="114">
        <f>IFERROR(SUMIFS('01. KE30'!$X:$X,'01. KE30'!$C:$C,'06. BC BH THEO CUSTOMER-USD'!$D133,'01. KE30'!$F:$F,'06. BC BH THEO CUSTOMER-USD'!$H133,'01. KE30'!$A:$A,'06. BC BH THEO CUSTOMER-USD'!ED$4)-SUMIFS('01. KE30'!$AA:$AA,'01. KE30'!$C:$C,'06. BC BH THEO CUSTOMER-USD'!$D133,'01. KE30'!$F:$F,'06. BC BH THEO CUSTOMER-USD'!$H133,'01. KE30'!$A:$A,'06. BC BH THEO CUSTOMER-USD'!ED$4),"-")</f>
        <v>0</v>
      </c>
      <c r="EE133" s="114">
        <f>IFERROR(SUMIFS('01. KE30'!$X:$X,'01. KE30'!$C:$C,'06. BC BH THEO CUSTOMER-USD'!$D133,'01. KE30'!$F:$F,'06. BC BH THEO CUSTOMER-USD'!$H133,'01. KE30'!$A:$A,'06. BC BH THEO CUSTOMER-USD'!EE$4)-SUMIFS('01. KE30'!$AA:$AA,'01. KE30'!$C:$C,'06. BC BH THEO CUSTOMER-USD'!$D133,'01. KE30'!$F:$F,'06. BC BH THEO CUSTOMER-USD'!$H133,'01. KE30'!$A:$A,'06. BC BH THEO CUSTOMER-USD'!EE$4),"-")</f>
        <v>0</v>
      </c>
      <c r="EF133" s="114">
        <f>IFERROR(SUMIFS('01. KE30'!$X:$X,'01. KE30'!$C:$C,'06. BC BH THEO CUSTOMER-USD'!$D133,'01. KE30'!$F:$F,'06. BC BH THEO CUSTOMER-USD'!$H133,'01. KE30'!$A:$A,'06. BC BH THEO CUSTOMER-USD'!EF$4)-SUMIFS('01. KE30'!$AA:$AA,'01. KE30'!$C:$C,'06. BC BH THEO CUSTOMER-USD'!$D133,'01. KE30'!$F:$F,'06. BC BH THEO CUSTOMER-USD'!$H133,'01. KE30'!$A:$A,'06. BC BH THEO CUSTOMER-USD'!EF$4),"-")</f>
        <v>0</v>
      </c>
      <c r="EH133" s="571">
        <f t="shared" ref="EH133" si="1315">IFERROR(DT133/DF133,"-")</f>
        <v>0.108004948870263</v>
      </c>
      <c r="EI133" s="572" t="str">
        <f t="shared" ref="EI133" si="1316">IFERROR(DU133/DG133,"-")</f>
        <v>-</v>
      </c>
      <c r="EJ133" s="572" t="str">
        <f t="shared" ref="EJ133" si="1317">IFERROR(DV133/DH133,"-")</f>
        <v>-</v>
      </c>
      <c r="EK133" s="572">
        <f t="shared" ref="EK133" si="1318">IFERROR(DW133/DI133,"-")</f>
        <v>0.10621419997072173</v>
      </c>
      <c r="EL133" s="572" t="str">
        <f t="shared" ref="EL133" si="1319">IFERROR(DX133/DJ133,"-")</f>
        <v>-</v>
      </c>
      <c r="EM133" s="572" t="str">
        <f t="shared" ref="EM133" si="1320">IFERROR(DY133/DK133,"-")</f>
        <v>-</v>
      </c>
      <c r="EN133" s="572">
        <f t="shared" ref="EN133" si="1321">IFERROR(DZ133/DL133,"-")</f>
        <v>0.1106086954490324</v>
      </c>
      <c r="EO133" s="572" t="str">
        <f t="shared" ref="EO133" si="1322">IFERROR(EA133/DM133,"-")</f>
        <v>-</v>
      </c>
      <c r="EP133" s="572" t="str">
        <f t="shared" ref="EP133" si="1323">IFERROR(EB133/DN133,"-")</f>
        <v>-</v>
      </c>
      <c r="EQ133" s="572" t="str">
        <f t="shared" ref="EQ133" si="1324">IFERROR(EC133/DO133,"-")</f>
        <v>-</v>
      </c>
      <c r="ER133" s="572" t="str">
        <f t="shared" ref="ER133" si="1325">IFERROR(ED133/DP133,"-")</f>
        <v>-</v>
      </c>
      <c r="ES133" s="572" t="str">
        <f t="shared" ref="ES133" si="1326">IFERROR(EE133/DQ133,"-")</f>
        <v>-</v>
      </c>
      <c r="ET133" s="572" t="str">
        <f t="shared" ref="ET133" si="1327">IFERROR(EF133/DR133,"-")</f>
        <v>-</v>
      </c>
    </row>
    <row r="134" spans="1:150" ht="15.5" hidden="1" outlineLevel="1" x14ac:dyDescent="0.35">
      <c r="A134" s="10">
        <f>A132+1</f>
        <v>6</v>
      </c>
      <c r="B134" s="10" t="s">
        <v>265</v>
      </c>
      <c r="C134" s="497" t="s">
        <v>29</v>
      </c>
      <c r="D134" s="9" t="s">
        <v>30</v>
      </c>
      <c r="E134" s="8" t="s">
        <v>29</v>
      </c>
      <c r="F134" s="12" t="s">
        <v>245</v>
      </c>
      <c r="G134" s="12" t="str">
        <f>_xlfn.XLOOKUP(F134,'Quy đổi'!$G$5:$G$32,'Quy đổi'!$H$5:$H$32,0)</f>
        <v>Nội địa</v>
      </c>
      <c r="H134" s="76" t="s">
        <v>50</v>
      </c>
      <c r="I134" s="7" t="s">
        <v>78</v>
      </c>
      <c r="J134" s="69" t="s">
        <v>22</v>
      </c>
      <c r="K134" s="5"/>
      <c r="L134" s="92" t="str">
        <f t="shared" si="1263"/>
        <v>-</v>
      </c>
      <c r="M134" s="106" t="str">
        <f>IFERROR(SUMIFS('01. KE30'!$K:$K,'01. KE30'!$C:$C,'06. BC BH THEO CUSTOMER-USD'!$D134,'01. KE30'!$F:$F,'06. BC BH THEO CUSTOMER-USD'!$H134,'01. KE30'!$A:$A,'06. BC BH THEO CUSTOMER-USD'!M$4)/'06. BC BH THEO CUSTOMER-USD'!CS134/'02. Tỷ giá'!B$5,"-")</f>
        <v>-</v>
      </c>
      <c r="N134" s="106" t="str">
        <f>IFERROR(SUMIFS('01. KE30'!$K:$K,'01. KE30'!$C:$C,'06. BC BH THEO CUSTOMER-USD'!$D134,'01. KE30'!$F:$F,'06. BC BH THEO CUSTOMER-USD'!$H134,'01. KE30'!$A:$A,'06. BC BH THEO CUSTOMER-USD'!N$4)/'06. BC BH THEO CUSTOMER-USD'!CT134/'02. Tỷ giá'!C$5,"-")</f>
        <v>-</v>
      </c>
      <c r="O134" s="106" t="str">
        <f>IFERROR(SUMIFS('01. KE30'!$K:$K,'01. KE30'!$C:$C,'06. BC BH THEO CUSTOMER-USD'!$D134,'01. KE30'!$F:$F,'06. BC BH THEO CUSTOMER-USD'!$H134,'01. KE30'!$A:$A,'06. BC BH THEO CUSTOMER-USD'!O$4)/'06. BC BH THEO CUSTOMER-USD'!CU134/'02. Tỷ giá'!D$5,"-")</f>
        <v>-</v>
      </c>
      <c r="P134" s="106" t="str">
        <f>IFERROR(SUMIFS('01. KE30'!$K:$K,'01. KE30'!$C:$C,'06. BC BH THEO CUSTOMER-USD'!$D134,'01. KE30'!$F:$F,'06. BC BH THEO CUSTOMER-USD'!$H134,'01. KE30'!$A:$A,'06. BC BH THEO CUSTOMER-USD'!P$4)/'06. BC BH THEO CUSTOMER-USD'!CV134/'02. Tỷ giá'!E$5,"-")</f>
        <v>-</v>
      </c>
      <c r="Q134" s="106" t="str">
        <f>IFERROR(SUMIFS('01. KE30'!$K:$K,'01. KE30'!$C:$C,'06. BC BH THEO CUSTOMER-USD'!$D134,'01. KE30'!$F:$F,'06. BC BH THEO CUSTOMER-USD'!$H134,'01. KE30'!$A:$A,'06. BC BH THEO CUSTOMER-USD'!Q$4)/'06. BC BH THEO CUSTOMER-USD'!CW134/'02. Tỷ giá'!F$5,"-")</f>
        <v>-</v>
      </c>
      <c r="R134" s="106" t="str">
        <f>IFERROR(SUMIFS('01. KE30'!$K:$K,'01. KE30'!$C:$C,'06. BC BH THEO CUSTOMER-USD'!$D134,'01. KE30'!$F:$F,'06. BC BH THEO CUSTOMER-USD'!$H134,'01. KE30'!$A:$A,'06. BC BH THEO CUSTOMER-USD'!R$4)/'06. BC BH THEO CUSTOMER-USD'!CX134/'02. Tỷ giá'!G$5,"-")</f>
        <v>-</v>
      </c>
      <c r="S134" s="106" t="str">
        <f>IFERROR(SUMIFS('01. KE30'!$K:$K,'01. KE30'!$C:$C,'06. BC BH THEO CUSTOMER-USD'!$D134,'01. KE30'!$F:$F,'06. BC BH THEO CUSTOMER-USD'!$H134,'01. KE30'!$A:$A,'06. BC BH THEO CUSTOMER-USD'!S$4)/'06. BC BH THEO CUSTOMER-USD'!CY134/'02. Tỷ giá'!H$5,"-")</f>
        <v>-</v>
      </c>
      <c r="T134" s="106" t="str">
        <f>IFERROR(SUMIFS('01. KE30'!$K:$K,'01. KE30'!$C:$C,'06. BC BH THEO CUSTOMER-USD'!$D134,'01. KE30'!$F:$F,'06. BC BH THEO CUSTOMER-USD'!$H134,'01. KE30'!$A:$A,'06. BC BH THEO CUSTOMER-USD'!T$4)/'06. BC BH THEO CUSTOMER-USD'!CZ134/'02. Tỷ giá'!I$5,"-")</f>
        <v>-</v>
      </c>
      <c r="U134" s="106" t="str">
        <f>IFERROR(SUMIFS('01. KE30'!$K:$K,'01. KE30'!$C:$C,'06. BC BH THEO CUSTOMER-USD'!$D134,'01. KE30'!$F:$F,'06. BC BH THEO CUSTOMER-USD'!$H134,'01. KE30'!$A:$A,'06. BC BH THEO CUSTOMER-USD'!U$4)/'06. BC BH THEO CUSTOMER-USD'!DA134/'02. Tỷ giá'!J$5,"-")</f>
        <v>-</v>
      </c>
      <c r="V134" s="106" t="str">
        <f>IFERROR(SUMIFS('01. KE30'!$K:$K,'01. KE30'!$C:$C,'06. BC BH THEO CUSTOMER-USD'!$D134,'01. KE30'!$F:$F,'06. BC BH THEO CUSTOMER-USD'!$H134,'01. KE30'!$A:$A,'06. BC BH THEO CUSTOMER-USD'!V$4)/'06. BC BH THEO CUSTOMER-USD'!DB134/'02. Tỷ giá'!K$5,"-")</f>
        <v>-</v>
      </c>
      <c r="W134" s="106" t="str">
        <f>IFERROR(SUMIFS('01. KE30'!$K:$K,'01. KE30'!$C:$C,'06. BC BH THEO CUSTOMER-USD'!$D134,'01. KE30'!$F:$F,'06. BC BH THEO CUSTOMER-USD'!$H134,'01. KE30'!$A:$A,'06. BC BH THEO CUSTOMER-USD'!W$4)/'06. BC BH THEO CUSTOMER-USD'!DC134/'02. Tỷ giá'!L$5,"-")</f>
        <v>-</v>
      </c>
      <c r="X134" s="106" t="str">
        <f>IFERROR(SUMIFS('01. KE30'!$K:$K,'01. KE30'!$C:$C,'06. BC BH THEO CUSTOMER-USD'!$D134,'01. KE30'!$F:$F,'06. BC BH THEO CUSTOMER-USD'!$H134,'01. KE30'!$A:$A,'06. BC BH THEO CUSTOMER-USD'!X$4)/'06. BC BH THEO CUSTOMER-USD'!DD134/'02. Tỷ giá'!M$5,"-")</f>
        <v>-</v>
      </c>
      <c r="Z134" s="92" t="str">
        <f t="shared" si="1264"/>
        <v>-</v>
      </c>
      <c r="AA134" s="147" t="str">
        <f>IFERROR(SUMIFS('01. KE30'!$O:$O,'01. KE30'!$C:$C,'06. BC BH THEO CUSTOMER-USD'!$D134,'01. KE30'!$F:$F,'06. BC BH THEO CUSTOMER-USD'!$H134,'01. KE30'!$A:$A,'06. BC BH THEO CUSTOMER-USD'!M$4)/'06. BC BH THEO CUSTOMER-USD'!CS134/'02. Tỷ giá'!B$5,"-")</f>
        <v>-</v>
      </c>
      <c r="AB134" s="147" t="str">
        <f>IFERROR(SUMIFS('01. KE30'!$O:$O,'01. KE30'!$C:$C,'06. BC BH THEO CUSTOMER-USD'!$D134,'01. KE30'!$F:$F,'06. BC BH THEO CUSTOMER-USD'!$H134,'01. KE30'!$A:$A,'06. BC BH THEO CUSTOMER-USD'!N$4)/'06. BC BH THEO CUSTOMER-USD'!CT134/'02. Tỷ giá'!C$5,"-")</f>
        <v>-</v>
      </c>
      <c r="AC134" s="147" t="str">
        <f>IFERROR(SUMIFS('01. KE30'!$O:$O,'01. KE30'!$C:$C,'06. BC BH THEO CUSTOMER-USD'!$D134,'01. KE30'!$F:$F,'06. BC BH THEO CUSTOMER-USD'!$H134,'01. KE30'!$A:$A,'06. BC BH THEO CUSTOMER-USD'!O$4)/'06. BC BH THEO CUSTOMER-USD'!CU134/'02. Tỷ giá'!D$5,"-")</f>
        <v>-</v>
      </c>
      <c r="AD134" s="147" t="str">
        <f>IFERROR(SUMIFS('01. KE30'!$O:$O,'01. KE30'!$C:$C,'06. BC BH THEO CUSTOMER-USD'!$D134,'01. KE30'!$F:$F,'06. BC BH THEO CUSTOMER-USD'!$H134,'01. KE30'!$A:$A,'06. BC BH THEO CUSTOMER-USD'!P$4)/'06. BC BH THEO CUSTOMER-USD'!CV134/'02. Tỷ giá'!E$5,"-")</f>
        <v>-</v>
      </c>
      <c r="AE134" s="147" t="str">
        <f>IFERROR(SUMIFS('01. KE30'!$O:$O,'01. KE30'!$C:$C,'06. BC BH THEO CUSTOMER-USD'!$D134,'01. KE30'!$F:$F,'06. BC BH THEO CUSTOMER-USD'!$H134,'01. KE30'!$A:$A,'06. BC BH THEO CUSTOMER-USD'!Q$4)/'06. BC BH THEO CUSTOMER-USD'!CW134/'02. Tỷ giá'!F$5,"-")</f>
        <v>-</v>
      </c>
      <c r="AF134" s="147" t="str">
        <f>IFERROR(SUMIFS('01. KE30'!$O:$O,'01. KE30'!$C:$C,'06. BC BH THEO CUSTOMER-USD'!$D134,'01. KE30'!$F:$F,'06. BC BH THEO CUSTOMER-USD'!$H134,'01. KE30'!$A:$A,'06. BC BH THEO CUSTOMER-USD'!R$4)/'06. BC BH THEO CUSTOMER-USD'!CX134/'02. Tỷ giá'!G$5,"-")</f>
        <v>-</v>
      </c>
      <c r="AG134" s="147" t="str">
        <f>IFERROR(SUMIFS('01. KE30'!$O:$O,'01. KE30'!$C:$C,'06. BC BH THEO CUSTOMER-USD'!$D134,'01. KE30'!$F:$F,'06. BC BH THEO CUSTOMER-USD'!$H134,'01. KE30'!$A:$A,'06. BC BH THEO CUSTOMER-USD'!S$4)/'06. BC BH THEO CUSTOMER-USD'!CY134/'02. Tỷ giá'!H$5,"-")</f>
        <v>-</v>
      </c>
      <c r="AH134" s="147" t="str">
        <f>IFERROR(SUMIFS('01. KE30'!$O:$O,'01. KE30'!$C:$C,'06. BC BH THEO CUSTOMER-USD'!$D134,'01. KE30'!$F:$F,'06. BC BH THEO CUSTOMER-USD'!$H134,'01. KE30'!$A:$A,'06. BC BH THEO CUSTOMER-USD'!T$4)/'06. BC BH THEO CUSTOMER-USD'!CZ134/'02. Tỷ giá'!I$5,"-")</f>
        <v>-</v>
      </c>
      <c r="AI134" s="147" t="str">
        <f>IFERROR(SUMIFS('01. KE30'!$O:$O,'01. KE30'!$C:$C,'06. BC BH THEO CUSTOMER-USD'!$D134,'01. KE30'!$F:$F,'06. BC BH THEO CUSTOMER-USD'!$H134,'01. KE30'!$A:$A,'06. BC BH THEO CUSTOMER-USD'!U$4)/'06. BC BH THEO CUSTOMER-USD'!DA134/'02. Tỷ giá'!J$5,"-")</f>
        <v>-</v>
      </c>
      <c r="AJ134" s="147" t="str">
        <f>IFERROR(SUMIFS('01. KE30'!$O:$O,'01. KE30'!$C:$C,'06. BC BH THEO CUSTOMER-USD'!$D134,'01. KE30'!$F:$F,'06. BC BH THEO CUSTOMER-USD'!$H134,'01. KE30'!$A:$A,'06. BC BH THEO CUSTOMER-USD'!V$4)/'06. BC BH THEO CUSTOMER-USD'!DB134/'02. Tỷ giá'!K$5,"-")</f>
        <v>-</v>
      </c>
      <c r="AK134" s="147" t="str">
        <f>IFERROR(SUMIFS('01. KE30'!$O:$O,'01. KE30'!$C:$C,'06. BC BH THEO CUSTOMER-USD'!$D134,'01. KE30'!$F:$F,'06. BC BH THEO CUSTOMER-USD'!$H134,'01. KE30'!$A:$A,'06. BC BH THEO CUSTOMER-USD'!W$4)/'06. BC BH THEO CUSTOMER-USD'!DC134/'02. Tỷ giá'!L$5,"-")</f>
        <v>-</v>
      </c>
      <c r="AL134" s="147" t="str">
        <f>IFERROR(SUMIFS('01. KE30'!$O:$O,'01. KE30'!$C:$C,'06. BC BH THEO CUSTOMER-USD'!$D134,'01. KE30'!$F:$F,'06. BC BH THEO CUSTOMER-USD'!$H134,'01. KE30'!$A:$A,'06. BC BH THEO CUSTOMER-USD'!X$4)/'06. BC BH THEO CUSTOMER-USD'!DD134/'02. Tỷ giá'!M$5,"-")</f>
        <v>-</v>
      </c>
      <c r="AN134" s="55">
        <f t="shared" si="1265"/>
        <v>1262.2222222222222</v>
      </c>
      <c r="AO134" s="4">
        <v>1350</v>
      </c>
      <c r="AP134" s="4">
        <v>1300</v>
      </c>
      <c r="AQ134" s="4">
        <f t="shared" ref="AQ134" si="1328">AP134-50</f>
        <v>1250</v>
      </c>
      <c r="AR134" s="4">
        <v>1250</v>
      </c>
      <c r="AS134" s="4">
        <v>1250</v>
      </c>
      <c r="AT134" s="4">
        <v>1250</v>
      </c>
      <c r="AU134" s="4">
        <v>1250</v>
      </c>
      <c r="AV134" s="4">
        <f t="shared" ref="AV134" si="1329">AU134-20</f>
        <v>1230</v>
      </c>
      <c r="AW134" s="4">
        <v>1230</v>
      </c>
      <c r="AX134" s="4"/>
      <c r="AY134" s="4"/>
      <c r="AZ134" s="4"/>
      <c r="BB134" s="54" t="str">
        <f t="shared" si="637"/>
        <v>-</v>
      </c>
      <c r="BC134" s="95" t="str">
        <f t="shared" si="638"/>
        <v>-</v>
      </c>
      <c r="BD134" s="95" t="str">
        <f t="shared" si="1147"/>
        <v>-</v>
      </c>
      <c r="BE134" s="95" t="str">
        <f t="shared" si="1147"/>
        <v>-</v>
      </c>
      <c r="BF134" s="95" t="str">
        <f t="shared" si="1147"/>
        <v>-</v>
      </c>
      <c r="BG134" s="95" t="str">
        <f t="shared" si="1147"/>
        <v>-</v>
      </c>
      <c r="BH134" s="95" t="str">
        <f t="shared" si="1147"/>
        <v>-</v>
      </c>
      <c r="BI134" s="95" t="str">
        <f t="shared" si="1147"/>
        <v>-</v>
      </c>
      <c r="BJ134" s="95" t="str">
        <f t="shared" si="1147"/>
        <v>-</v>
      </c>
      <c r="BK134" s="95" t="str">
        <f t="shared" si="1147"/>
        <v>-</v>
      </c>
      <c r="BL134" s="95" t="str">
        <f t="shared" si="1147"/>
        <v>-</v>
      </c>
      <c r="BM134" s="95" t="str">
        <f t="shared" si="1147"/>
        <v>-</v>
      </c>
      <c r="BN134" s="95" t="str">
        <f t="shared" si="1147"/>
        <v>-</v>
      </c>
      <c r="BP134" s="143" t="str">
        <f t="shared" si="639"/>
        <v>-</v>
      </c>
      <c r="BQ134" s="143" t="str">
        <f t="shared" si="517"/>
        <v>-</v>
      </c>
      <c r="BR134" s="143" t="str">
        <f t="shared" si="518"/>
        <v>-</v>
      </c>
      <c r="BS134" s="143" t="str">
        <f t="shared" si="519"/>
        <v>-</v>
      </c>
      <c r="BT134" s="143" t="str">
        <f t="shared" si="520"/>
        <v>-</v>
      </c>
      <c r="BU134" s="143" t="str">
        <f t="shared" si="521"/>
        <v>-</v>
      </c>
      <c r="BV134" s="143" t="str">
        <f t="shared" si="522"/>
        <v>-</v>
      </c>
      <c r="BW134" s="143" t="str">
        <f t="shared" si="523"/>
        <v>-</v>
      </c>
      <c r="BX134" s="143" t="str">
        <f t="shared" si="524"/>
        <v>-</v>
      </c>
      <c r="BY134" s="143" t="str">
        <f t="shared" si="525"/>
        <v>-</v>
      </c>
      <c r="BZ134" s="143" t="str">
        <f t="shared" si="526"/>
        <v>-</v>
      </c>
      <c r="CA134" s="143" t="str">
        <f t="shared" si="527"/>
        <v>-</v>
      </c>
      <c r="CB134" s="143" t="str">
        <f t="shared" si="528"/>
        <v>-</v>
      </c>
      <c r="CD134" s="112" t="str">
        <f t="shared" si="1248"/>
        <v>-</v>
      </c>
      <c r="CE134" s="95" t="str">
        <f>IFERROR(SUMIFS('01. KE30'!$R:$R,'01. KE30'!$C:$C,'06. BC BH THEO CUSTOMER-USD'!$D134,'01. KE30'!$F:$F,'06. BC BH THEO CUSTOMER-USD'!$H134,'01. KE30'!$A:$A,'06. BC BH THEO CUSTOMER-USD'!CE$4)/CS134/'02. Tỷ giá'!B$5," -")</f>
        <v xml:space="preserve"> -</v>
      </c>
      <c r="CF134" s="95" t="str">
        <f>IFERROR(SUMIFS('01. KE30'!$R:$R,'01. KE30'!$C:$C,'06. BC BH THEO CUSTOMER-USD'!$D134,'01. KE30'!$F:$F,'06. BC BH THEO CUSTOMER-USD'!$H134,'01. KE30'!$A:$A,'06. BC BH THEO CUSTOMER-USD'!CF$4)/CT134/'02. Tỷ giá'!C$5," -")</f>
        <v xml:space="preserve"> -</v>
      </c>
      <c r="CG134" s="95" t="str">
        <f>IFERROR(SUMIFS('01. KE30'!$R:$R,'01. KE30'!$C:$C,'06. BC BH THEO CUSTOMER-USD'!$D134,'01. KE30'!$F:$F,'06. BC BH THEO CUSTOMER-USD'!$H134,'01. KE30'!$A:$A,'06. BC BH THEO CUSTOMER-USD'!CG$4)/CU134/'02. Tỷ giá'!D$5," -")</f>
        <v xml:space="preserve"> -</v>
      </c>
      <c r="CH134" s="95" t="str">
        <f>IFERROR(SUMIFS('01. KE30'!$R:$R,'01. KE30'!$C:$C,'06. BC BH THEO CUSTOMER-USD'!$D134,'01. KE30'!$F:$F,'06. BC BH THEO CUSTOMER-USD'!$H134,'01. KE30'!$A:$A,'06. BC BH THEO CUSTOMER-USD'!CH$4)/CV134/'02. Tỷ giá'!E$5," -")</f>
        <v xml:space="preserve"> -</v>
      </c>
      <c r="CI134" s="95" t="str">
        <f>IFERROR(SUMIFS('01. KE30'!$R:$R,'01. KE30'!$C:$C,'06. BC BH THEO CUSTOMER-USD'!$D134,'01. KE30'!$F:$F,'06. BC BH THEO CUSTOMER-USD'!$H134,'01. KE30'!$A:$A,'06. BC BH THEO CUSTOMER-USD'!CI$4)/CW134/'02. Tỷ giá'!F$5," -")</f>
        <v xml:space="preserve"> -</v>
      </c>
      <c r="CJ134" s="95" t="str">
        <f>IFERROR(SUMIFS('01. KE30'!$R:$R,'01. KE30'!$C:$C,'06. BC BH THEO CUSTOMER-USD'!$D134,'01. KE30'!$F:$F,'06. BC BH THEO CUSTOMER-USD'!$H134,'01. KE30'!$A:$A,'06. BC BH THEO CUSTOMER-USD'!CJ$4)/CX134/'02. Tỷ giá'!G$5," -")</f>
        <v xml:space="preserve"> -</v>
      </c>
      <c r="CK134" s="95" t="str">
        <f>IFERROR(SUMIFS('01. KE30'!$R:$R,'01. KE30'!$C:$C,'06. BC BH THEO CUSTOMER-USD'!$D134,'01. KE30'!$F:$F,'06. BC BH THEO CUSTOMER-USD'!$H134,'01. KE30'!$A:$A,'06. BC BH THEO CUSTOMER-USD'!CK$4)/CY134/'02. Tỷ giá'!H$5," -")</f>
        <v xml:space="preserve"> -</v>
      </c>
      <c r="CL134" s="95" t="str">
        <f>IFERROR(SUMIFS('01. KE30'!$R:$R,'01. KE30'!$C:$C,'06. BC BH THEO CUSTOMER-USD'!$D134,'01. KE30'!$F:$F,'06. BC BH THEO CUSTOMER-USD'!$H134,'01. KE30'!$A:$A,'06. BC BH THEO CUSTOMER-USD'!CL$4)/CZ134/'02. Tỷ giá'!I$5," -")</f>
        <v xml:space="preserve"> -</v>
      </c>
      <c r="CM134" s="95" t="str">
        <f>IFERROR(SUMIFS('01. KE30'!$R:$R,'01. KE30'!$C:$C,'06. BC BH THEO CUSTOMER-USD'!$D134,'01. KE30'!$F:$F,'06. BC BH THEO CUSTOMER-USD'!$H134,'01. KE30'!$A:$A,'06. BC BH THEO CUSTOMER-USD'!CM$4)/DA134/'02. Tỷ giá'!J$5," -")</f>
        <v xml:space="preserve"> -</v>
      </c>
      <c r="CN134" s="95" t="str">
        <f>IFERROR(SUMIFS('01. KE30'!$R:$R,'01. KE30'!$C:$C,'06. BC BH THEO CUSTOMER-USD'!$D134,'01. KE30'!$F:$F,'06. BC BH THEO CUSTOMER-USD'!$H134,'01. KE30'!$A:$A,'06. BC BH THEO CUSTOMER-USD'!CN$4)/DB134/'02. Tỷ giá'!K$5," -")</f>
        <v xml:space="preserve"> -</v>
      </c>
      <c r="CO134" s="95" t="str">
        <f>IFERROR(SUMIFS('01. KE30'!$R:$R,'01. KE30'!$C:$C,'06. BC BH THEO CUSTOMER-USD'!$D134,'01. KE30'!$F:$F,'06. BC BH THEO CUSTOMER-USD'!$H134,'01. KE30'!$A:$A,'06. BC BH THEO CUSTOMER-USD'!CO$4)/DC134/'02. Tỷ giá'!L$5," -")</f>
        <v xml:space="preserve"> -</v>
      </c>
      <c r="CP134" s="95" t="str">
        <f>IFERROR(SUMIFS('01. KE30'!$R:$R,'01. KE30'!$C:$C,'06. BC BH THEO CUSTOMER-USD'!$D134,'01. KE30'!$F:$F,'06. BC BH THEO CUSTOMER-USD'!$H134,'01. KE30'!$A:$A,'06. BC BH THEO CUSTOMER-USD'!CP$4)/DD134/'02. Tỷ giá'!M$5," -")</f>
        <v xml:space="preserve"> -</v>
      </c>
      <c r="CR134" s="112">
        <f t="shared" si="1249"/>
        <v>0</v>
      </c>
      <c r="CS134" s="114">
        <f>SUMIFS('01. KE30'!$I:$I,'01. KE30'!$C:$C,'06. BC BH THEO CUSTOMER-USD'!$D134,'01. KE30'!$F:$F,'06. BC BH THEO CUSTOMER-USD'!$H134,'01. KE30'!$A:$A,'06. BC BH THEO CUSTOMER-USD'!CS$4)/1000</f>
        <v>0</v>
      </c>
      <c r="CT134" s="114">
        <f>SUMIFS('01. KE30'!$I:$I,'01. KE30'!$C:$C,'06. BC BH THEO CUSTOMER-USD'!$D134,'01. KE30'!$F:$F,'06. BC BH THEO CUSTOMER-USD'!$H134,'01. KE30'!$A:$A,'06. BC BH THEO CUSTOMER-USD'!CT$4)/1000</f>
        <v>0</v>
      </c>
      <c r="CU134" s="114">
        <f>SUMIFS('01. KE30'!$I:$I,'01. KE30'!$C:$C,'06. BC BH THEO CUSTOMER-USD'!$D134,'01. KE30'!$F:$F,'06. BC BH THEO CUSTOMER-USD'!$H134,'01. KE30'!$A:$A,'06. BC BH THEO CUSTOMER-USD'!CU$4)/1000</f>
        <v>0</v>
      </c>
      <c r="CV134" s="114">
        <f>SUMIFS('01. KE30'!$I:$I,'01. KE30'!$C:$C,'06. BC BH THEO CUSTOMER-USD'!$D134,'01. KE30'!$F:$F,'06. BC BH THEO CUSTOMER-USD'!$H134,'01. KE30'!$A:$A,'06. BC BH THEO CUSTOMER-USD'!CV$4)/1000</f>
        <v>0</v>
      </c>
      <c r="CW134" s="114">
        <f>SUMIFS('01. KE30'!$I:$I,'01. KE30'!$C:$C,'06. BC BH THEO CUSTOMER-USD'!$D134,'01. KE30'!$F:$F,'06. BC BH THEO CUSTOMER-USD'!$H134,'01. KE30'!$A:$A,'06. BC BH THEO CUSTOMER-USD'!CW$4)/1000</f>
        <v>0</v>
      </c>
      <c r="CX134" s="114">
        <f>SUMIFS('01. KE30'!$I:$I,'01. KE30'!$C:$C,'06. BC BH THEO CUSTOMER-USD'!$D134,'01. KE30'!$F:$F,'06. BC BH THEO CUSTOMER-USD'!$H134,'01. KE30'!$A:$A,'06. BC BH THEO CUSTOMER-USD'!CX$4)/1000</f>
        <v>0</v>
      </c>
      <c r="CY134" s="114">
        <f>SUMIFS('01. KE30'!$I:$I,'01. KE30'!$C:$C,'06. BC BH THEO CUSTOMER-USD'!$D134,'01. KE30'!$F:$F,'06. BC BH THEO CUSTOMER-USD'!$H134,'01. KE30'!$A:$A,'06. BC BH THEO CUSTOMER-USD'!CY$4)/1000</f>
        <v>0</v>
      </c>
      <c r="CZ134" s="114">
        <f>SUMIFS('01. KE30'!$I:$I,'01. KE30'!$C:$C,'06. BC BH THEO CUSTOMER-USD'!$D134,'01. KE30'!$F:$F,'06. BC BH THEO CUSTOMER-USD'!$H134,'01. KE30'!$A:$A,'06. BC BH THEO CUSTOMER-USD'!CZ$4)/1000</f>
        <v>0</v>
      </c>
      <c r="DA134" s="114">
        <f>SUMIFS('01. KE30'!$I:$I,'01. KE30'!$C:$C,'06. BC BH THEO CUSTOMER-USD'!$D134,'01. KE30'!$F:$F,'06. BC BH THEO CUSTOMER-USD'!$H134,'01. KE30'!$A:$A,'06. BC BH THEO CUSTOMER-USD'!DA$4)/1000</f>
        <v>0</v>
      </c>
      <c r="DB134" s="114">
        <f>SUMIFS('01. KE30'!$I:$I,'01. KE30'!$C:$C,'06. BC BH THEO CUSTOMER-USD'!$D134,'01. KE30'!$F:$F,'06. BC BH THEO CUSTOMER-USD'!$H134,'01. KE30'!$A:$A,'06. BC BH THEO CUSTOMER-USD'!DB$4)/1000</f>
        <v>0</v>
      </c>
      <c r="DC134" s="114">
        <f>SUMIFS('01. KE30'!$I:$I,'01. KE30'!$C:$C,'06. BC BH THEO CUSTOMER-USD'!$D134,'01. KE30'!$F:$F,'06. BC BH THEO CUSTOMER-USD'!$H134,'01. KE30'!$A:$A,'06. BC BH THEO CUSTOMER-USD'!DC$4)/1000</f>
        <v>0</v>
      </c>
      <c r="DD134" s="114">
        <f>SUMIFS('01. KE30'!$I:$I,'01. KE30'!$C:$C,'06. BC BH THEO CUSTOMER-USD'!$D134,'01. KE30'!$F:$F,'06. BC BH THEO CUSTOMER-USD'!$H134,'01. KE30'!$A:$A,'06. BC BH THEO CUSTOMER-USD'!DD$4)/1000</f>
        <v>0</v>
      </c>
      <c r="DF134" s="112">
        <f t="shared" si="1250"/>
        <v>0</v>
      </c>
      <c r="DG134" s="54" t="str">
        <f t="shared" si="1251"/>
        <v>-</v>
      </c>
      <c r="DH134" s="54" t="str">
        <f t="shared" si="1252"/>
        <v>-</v>
      </c>
      <c r="DI134" s="54" t="str">
        <f t="shared" si="1253"/>
        <v>-</v>
      </c>
      <c r="DJ134" s="54" t="str">
        <f t="shared" si="1254"/>
        <v>-</v>
      </c>
      <c r="DK134" s="54" t="str">
        <f t="shared" si="1255"/>
        <v>-</v>
      </c>
      <c r="DL134" s="54" t="str">
        <f t="shared" si="1256"/>
        <v>-</v>
      </c>
      <c r="DM134" s="54" t="str">
        <f t="shared" si="1257"/>
        <v>-</v>
      </c>
      <c r="DN134" s="54" t="str">
        <f t="shared" si="1258"/>
        <v>-</v>
      </c>
      <c r="DO134" s="54" t="str">
        <f t="shared" si="1259"/>
        <v>-</v>
      </c>
      <c r="DP134" s="54" t="str">
        <f t="shared" si="1260"/>
        <v>-</v>
      </c>
      <c r="DQ134" s="54" t="str">
        <f t="shared" si="1261"/>
        <v>-</v>
      </c>
      <c r="DR134" s="54" t="str">
        <f t="shared" si="1262"/>
        <v>-</v>
      </c>
      <c r="DT134" s="112">
        <f t="shared" si="652"/>
        <v>0</v>
      </c>
      <c r="DU134" s="114">
        <f>IFERROR(SUMIFS('01. KE30'!$X:$X,'01. KE30'!$C:$C,'06. BC BH THEO CUSTOMER-USD'!$D134,'01. KE30'!$F:$F,'06. BC BH THEO CUSTOMER-USD'!$H134,'01. KE30'!$A:$A,'06. BC BH THEO CUSTOMER-USD'!DU$4)-SUMIFS('01. KE30'!$AA:$AA,'01. KE30'!$C:$C,'06. BC BH THEO CUSTOMER-USD'!$D134,'01. KE30'!$F:$F,'06. BC BH THEO CUSTOMER-USD'!$H134,'01. KE30'!$A:$A,'06. BC BH THEO CUSTOMER-USD'!DU$4),"-")</f>
        <v>0</v>
      </c>
      <c r="DV134" s="114">
        <f>IFERROR(SUMIFS('01. KE30'!$X:$X,'01. KE30'!$C:$C,'06. BC BH THEO CUSTOMER-USD'!$D134,'01. KE30'!$F:$F,'06. BC BH THEO CUSTOMER-USD'!$H134,'01. KE30'!$A:$A,'06. BC BH THEO CUSTOMER-USD'!DV$4)-SUMIFS('01. KE30'!$AA:$AA,'01. KE30'!$C:$C,'06. BC BH THEO CUSTOMER-USD'!$D134,'01. KE30'!$F:$F,'06. BC BH THEO CUSTOMER-USD'!$H134,'01. KE30'!$A:$A,'06. BC BH THEO CUSTOMER-USD'!DV$4),"-")</f>
        <v>0</v>
      </c>
      <c r="DW134" s="114">
        <f>IFERROR(SUMIFS('01. KE30'!$X:$X,'01. KE30'!$C:$C,'06. BC BH THEO CUSTOMER-USD'!$D134,'01. KE30'!$F:$F,'06. BC BH THEO CUSTOMER-USD'!$H134,'01. KE30'!$A:$A,'06. BC BH THEO CUSTOMER-USD'!DW$4)-SUMIFS('01. KE30'!$AA:$AA,'01. KE30'!$C:$C,'06. BC BH THEO CUSTOMER-USD'!$D134,'01. KE30'!$F:$F,'06. BC BH THEO CUSTOMER-USD'!$H134,'01. KE30'!$A:$A,'06. BC BH THEO CUSTOMER-USD'!DW$4),"-")</f>
        <v>0</v>
      </c>
      <c r="DX134" s="114">
        <f>IFERROR(SUMIFS('01. KE30'!$X:$X,'01. KE30'!$C:$C,'06. BC BH THEO CUSTOMER-USD'!$D134,'01. KE30'!$F:$F,'06. BC BH THEO CUSTOMER-USD'!$H134,'01. KE30'!$A:$A,'06. BC BH THEO CUSTOMER-USD'!DX$4)-SUMIFS('01. KE30'!$AA:$AA,'01. KE30'!$C:$C,'06. BC BH THEO CUSTOMER-USD'!$D134,'01. KE30'!$F:$F,'06. BC BH THEO CUSTOMER-USD'!$H134,'01. KE30'!$A:$A,'06. BC BH THEO CUSTOMER-USD'!DX$4),"-")</f>
        <v>0</v>
      </c>
      <c r="DY134" s="114">
        <f>IFERROR(SUMIFS('01. KE30'!$X:$X,'01. KE30'!$C:$C,'06. BC BH THEO CUSTOMER-USD'!$D134,'01. KE30'!$F:$F,'06. BC BH THEO CUSTOMER-USD'!$H134,'01. KE30'!$A:$A,'06. BC BH THEO CUSTOMER-USD'!DY$4)-SUMIFS('01. KE30'!$AA:$AA,'01. KE30'!$C:$C,'06. BC BH THEO CUSTOMER-USD'!$D134,'01. KE30'!$F:$F,'06. BC BH THEO CUSTOMER-USD'!$H134,'01. KE30'!$A:$A,'06. BC BH THEO CUSTOMER-USD'!DY$4),"-")</f>
        <v>0</v>
      </c>
      <c r="DZ134" s="114">
        <f>IFERROR(SUMIFS('01. KE30'!$X:$X,'01. KE30'!$C:$C,'06. BC BH THEO CUSTOMER-USD'!$D134,'01. KE30'!$F:$F,'06. BC BH THEO CUSTOMER-USD'!$H134,'01. KE30'!$A:$A,'06. BC BH THEO CUSTOMER-USD'!DZ$4)-SUMIFS('01. KE30'!$AA:$AA,'01. KE30'!$C:$C,'06. BC BH THEO CUSTOMER-USD'!$D134,'01. KE30'!$F:$F,'06. BC BH THEO CUSTOMER-USD'!$H134,'01. KE30'!$A:$A,'06. BC BH THEO CUSTOMER-USD'!DZ$4),"-")</f>
        <v>0</v>
      </c>
      <c r="EA134" s="114">
        <f>IFERROR(SUMIFS('01. KE30'!$X:$X,'01. KE30'!$C:$C,'06. BC BH THEO CUSTOMER-USD'!$D134,'01. KE30'!$F:$F,'06. BC BH THEO CUSTOMER-USD'!$H134,'01. KE30'!$A:$A,'06. BC BH THEO CUSTOMER-USD'!EA$4)-SUMIFS('01. KE30'!$AA:$AA,'01. KE30'!$C:$C,'06. BC BH THEO CUSTOMER-USD'!$D134,'01. KE30'!$F:$F,'06. BC BH THEO CUSTOMER-USD'!$H134,'01. KE30'!$A:$A,'06. BC BH THEO CUSTOMER-USD'!EA$4),"-")</f>
        <v>0</v>
      </c>
      <c r="EB134" s="114">
        <f>IFERROR(SUMIFS('01. KE30'!$X:$X,'01. KE30'!$C:$C,'06. BC BH THEO CUSTOMER-USD'!$D134,'01. KE30'!$F:$F,'06. BC BH THEO CUSTOMER-USD'!$H134,'01. KE30'!$A:$A,'06. BC BH THEO CUSTOMER-USD'!EB$4)-SUMIFS('01. KE30'!$AA:$AA,'01. KE30'!$C:$C,'06. BC BH THEO CUSTOMER-USD'!$D134,'01. KE30'!$F:$F,'06. BC BH THEO CUSTOMER-USD'!$H134,'01. KE30'!$A:$A,'06. BC BH THEO CUSTOMER-USD'!EB$4),"-")</f>
        <v>0</v>
      </c>
      <c r="EC134" s="114">
        <f>IFERROR(SUMIFS('01. KE30'!$X:$X,'01. KE30'!$C:$C,'06. BC BH THEO CUSTOMER-USD'!$D134,'01. KE30'!$F:$F,'06. BC BH THEO CUSTOMER-USD'!$H134,'01. KE30'!$A:$A,'06. BC BH THEO CUSTOMER-USD'!EC$4)-SUMIFS('01. KE30'!$AA:$AA,'01. KE30'!$C:$C,'06. BC BH THEO CUSTOMER-USD'!$D134,'01. KE30'!$F:$F,'06. BC BH THEO CUSTOMER-USD'!$H134,'01. KE30'!$A:$A,'06. BC BH THEO CUSTOMER-USD'!EC$4),"-")</f>
        <v>0</v>
      </c>
      <c r="ED134" s="114">
        <f>IFERROR(SUMIFS('01. KE30'!$X:$X,'01. KE30'!$C:$C,'06. BC BH THEO CUSTOMER-USD'!$D134,'01. KE30'!$F:$F,'06. BC BH THEO CUSTOMER-USD'!$H134,'01. KE30'!$A:$A,'06. BC BH THEO CUSTOMER-USD'!ED$4)-SUMIFS('01. KE30'!$AA:$AA,'01. KE30'!$C:$C,'06. BC BH THEO CUSTOMER-USD'!$D134,'01. KE30'!$F:$F,'06. BC BH THEO CUSTOMER-USD'!$H134,'01. KE30'!$A:$A,'06. BC BH THEO CUSTOMER-USD'!ED$4),"-")</f>
        <v>0</v>
      </c>
      <c r="EE134" s="114">
        <f>IFERROR(SUMIFS('01. KE30'!$X:$X,'01. KE30'!$C:$C,'06. BC BH THEO CUSTOMER-USD'!$D134,'01. KE30'!$F:$F,'06. BC BH THEO CUSTOMER-USD'!$H134,'01. KE30'!$A:$A,'06. BC BH THEO CUSTOMER-USD'!EE$4)-SUMIFS('01. KE30'!$AA:$AA,'01. KE30'!$C:$C,'06. BC BH THEO CUSTOMER-USD'!$D134,'01. KE30'!$F:$F,'06. BC BH THEO CUSTOMER-USD'!$H134,'01. KE30'!$A:$A,'06. BC BH THEO CUSTOMER-USD'!EE$4),"-")</f>
        <v>0</v>
      </c>
      <c r="EF134" s="114">
        <f>IFERROR(SUMIFS('01. KE30'!$X:$X,'01. KE30'!$C:$C,'06. BC BH THEO CUSTOMER-USD'!$D134,'01. KE30'!$F:$F,'06. BC BH THEO CUSTOMER-USD'!$H134,'01. KE30'!$A:$A,'06. BC BH THEO CUSTOMER-USD'!EF$4)-SUMIFS('01. KE30'!$AA:$AA,'01. KE30'!$C:$C,'06. BC BH THEO CUSTOMER-USD'!$D134,'01. KE30'!$F:$F,'06. BC BH THEO CUSTOMER-USD'!$H134,'01. KE30'!$A:$A,'06. BC BH THEO CUSTOMER-USD'!EF$4),"-")</f>
        <v>0</v>
      </c>
      <c r="EH134" s="571" t="str">
        <f t="shared" si="531"/>
        <v>-</v>
      </c>
      <c r="EI134" s="572" t="str">
        <f t="shared" si="532"/>
        <v>-</v>
      </c>
      <c r="EJ134" s="572" t="str">
        <f t="shared" si="533"/>
        <v>-</v>
      </c>
      <c r="EK134" s="572" t="str">
        <f t="shared" si="534"/>
        <v>-</v>
      </c>
      <c r="EL134" s="572" t="str">
        <f t="shared" si="535"/>
        <v>-</v>
      </c>
      <c r="EM134" s="572" t="str">
        <f t="shared" si="536"/>
        <v>-</v>
      </c>
      <c r="EN134" s="572" t="str">
        <f t="shared" si="537"/>
        <v>-</v>
      </c>
      <c r="EO134" s="572" t="str">
        <f t="shared" si="538"/>
        <v>-</v>
      </c>
      <c r="EP134" s="572" t="str">
        <f t="shared" si="539"/>
        <v>-</v>
      </c>
      <c r="EQ134" s="572" t="str">
        <f t="shared" si="540"/>
        <v>-</v>
      </c>
      <c r="ER134" s="572" t="str">
        <f t="shared" si="541"/>
        <v>-</v>
      </c>
      <c r="ES134" s="572" t="str">
        <f t="shared" si="542"/>
        <v>-</v>
      </c>
      <c r="ET134" s="572" t="str">
        <f t="shared" si="543"/>
        <v>-</v>
      </c>
    </row>
    <row r="135" spans="1:150" ht="15.5" hidden="1" outlineLevel="1" x14ac:dyDescent="0.35">
      <c r="A135" s="10">
        <f t="shared" si="1266"/>
        <v>7</v>
      </c>
      <c r="B135" s="10" t="s">
        <v>265</v>
      </c>
      <c r="C135" s="497" t="s">
        <v>29</v>
      </c>
      <c r="D135" s="9" t="s">
        <v>30</v>
      </c>
      <c r="E135" s="8" t="s">
        <v>29</v>
      </c>
      <c r="F135" s="12" t="s">
        <v>245</v>
      </c>
      <c r="G135" s="12" t="str">
        <f>_xlfn.XLOOKUP(F135,'Quy đổi'!$G$5:$G$32,'Quy đổi'!$H$5:$H$32,0)</f>
        <v>Nội địa</v>
      </c>
      <c r="H135" s="76" t="s">
        <v>84</v>
      </c>
      <c r="I135" s="7" t="s">
        <v>83</v>
      </c>
      <c r="J135" s="69" t="s">
        <v>22</v>
      </c>
      <c r="K135" s="5"/>
      <c r="L135" s="92">
        <f t="shared" si="1263"/>
        <v>1287.9507443928846</v>
      </c>
      <c r="M135" s="106" t="str">
        <f>IFERROR(SUMIFS('01. KE30'!$K:$K,'01. KE30'!$C:$C,'06. BC BH THEO CUSTOMER-USD'!$D135,'01. KE30'!$F:$F,'06. BC BH THEO CUSTOMER-USD'!$H135,'01. KE30'!$A:$A,'06. BC BH THEO CUSTOMER-USD'!M$4)/'06. BC BH THEO CUSTOMER-USD'!CS135/'02. Tỷ giá'!B$5,"-")</f>
        <v>-</v>
      </c>
      <c r="N135" s="106" t="str">
        <f>IFERROR(SUMIFS('01. KE30'!$K:$K,'01. KE30'!$C:$C,'06. BC BH THEO CUSTOMER-USD'!$D135,'01. KE30'!$F:$F,'06. BC BH THEO CUSTOMER-USD'!$H135,'01. KE30'!$A:$A,'06. BC BH THEO CUSTOMER-USD'!N$4)/'06. BC BH THEO CUSTOMER-USD'!CT135/'02. Tỷ giá'!C$5,"-")</f>
        <v>-</v>
      </c>
      <c r="O135" s="106" t="str">
        <f>IFERROR(SUMIFS('01. KE30'!$K:$K,'01. KE30'!$C:$C,'06. BC BH THEO CUSTOMER-USD'!$D135,'01. KE30'!$F:$F,'06. BC BH THEO CUSTOMER-USD'!$H135,'01. KE30'!$A:$A,'06. BC BH THEO CUSTOMER-USD'!O$4)/'06. BC BH THEO CUSTOMER-USD'!CU135/'02. Tỷ giá'!D$5,"-")</f>
        <v>-</v>
      </c>
      <c r="P135" s="106" t="str">
        <f>IFERROR(SUMIFS('01. KE30'!$K:$K,'01. KE30'!$C:$C,'06. BC BH THEO CUSTOMER-USD'!$D135,'01. KE30'!$F:$F,'06. BC BH THEO CUSTOMER-USD'!$H135,'01. KE30'!$A:$A,'06. BC BH THEO CUSTOMER-USD'!P$4)/'06. BC BH THEO CUSTOMER-USD'!CV135/'02. Tỷ giá'!E$5,"-")</f>
        <v>-</v>
      </c>
      <c r="Q135" s="106">
        <f>IFERROR(SUMIFS('01. KE30'!$K:$K,'01. KE30'!$C:$C,'06. BC BH THEO CUSTOMER-USD'!$D135,'01. KE30'!$F:$F,'06. BC BH THEO CUSTOMER-USD'!$H135,'01. KE30'!$A:$A,'06. BC BH THEO CUSTOMER-USD'!Q$4)/'06. BC BH THEO CUSTOMER-USD'!CW135/'02. Tỷ giá'!F$5,"-")</f>
        <v>1289.4431554524363</v>
      </c>
      <c r="R135" s="106">
        <f>IFERROR(SUMIFS('01. KE30'!$K:$K,'01. KE30'!$C:$C,'06. BC BH THEO CUSTOMER-USD'!$D135,'01. KE30'!$F:$F,'06. BC BH THEO CUSTOMER-USD'!$H135,'01. KE30'!$A:$A,'06. BC BH THEO CUSTOMER-USD'!R$4)/'06. BC BH THEO CUSTOMER-USD'!CX135/'02. Tỷ giá'!G$5,"-")</f>
        <v>1286.4583333333333</v>
      </c>
      <c r="S135" s="106" t="str">
        <f>IFERROR(SUMIFS('01. KE30'!$K:$K,'01. KE30'!$C:$C,'06. BC BH THEO CUSTOMER-USD'!$D135,'01. KE30'!$F:$F,'06. BC BH THEO CUSTOMER-USD'!$H135,'01. KE30'!$A:$A,'06. BC BH THEO CUSTOMER-USD'!S$4)/'06. BC BH THEO CUSTOMER-USD'!CY135/'02. Tỷ giá'!H$5,"-")</f>
        <v>-</v>
      </c>
      <c r="T135" s="106" t="str">
        <f>IFERROR(SUMIFS('01. KE30'!$K:$K,'01. KE30'!$C:$C,'06. BC BH THEO CUSTOMER-USD'!$D135,'01. KE30'!$F:$F,'06. BC BH THEO CUSTOMER-USD'!$H135,'01. KE30'!$A:$A,'06. BC BH THEO CUSTOMER-USD'!T$4)/'06. BC BH THEO CUSTOMER-USD'!CZ135/'02. Tỷ giá'!I$5,"-")</f>
        <v>-</v>
      </c>
      <c r="U135" s="106" t="str">
        <f>IFERROR(SUMIFS('01. KE30'!$K:$K,'01. KE30'!$C:$C,'06. BC BH THEO CUSTOMER-USD'!$D135,'01. KE30'!$F:$F,'06. BC BH THEO CUSTOMER-USD'!$H135,'01. KE30'!$A:$A,'06. BC BH THEO CUSTOMER-USD'!U$4)/'06. BC BH THEO CUSTOMER-USD'!DA135/'02. Tỷ giá'!J$5,"-")</f>
        <v>-</v>
      </c>
      <c r="V135" s="106" t="str">
        <f>IFERROR(SUMIFS('01. KE30'!$K:$K,'01. KE30'!$C:$C,'06. BC BH THEO CUSTOMER-USD'!$D135,'01. KE30'!$F:$F,'06. BC BH THEO CUSTOMER-USD'!$H135,'01. KE30'!$A:$A,'06. BC BH THEO CUSTOMER-USD'!V$4)/'06. BC BH THEO CUSTOMER-USD'!DB135/'02. Tỷ giá'!K$5,"-")</f>
        <v>-</v>
      </c>
      <c r="W135" s="106" t="str">
        <f>IFERROR(SUMIFS('01. KE30'!$K:$K,'01. KE30'!$C:$C,'06. BC BH THEO CUSTOMER-USD'!$D135,'01. KE30'!$F:$F,'06. BC BH THEO CUSTOMER-USD'!$H135,'01. KE30'!$A:$A,'06. BC BH THEO CUSTOMER-USD'!W$4)/'06. BC BH THEO CUSTOMER-USD'!DC135/'02. Tỷ giá'!L$5,"-")</f>
        <v>-</v>
      </c>
      <c r="X135" s="106" t="str">
        <f>IFERROR(SUMIFS('01. KE30'!$K:$K,'01. KE30'!$C:$C,'06. BC BH THEO CUSTOMER-USD'!$D135,'01. KE30'!$F:$F,'06. BC BH THEO CUSTOMER-USD'!$H135,'01. KE30'!$A:$A,'06. BC BH THEO CUSTOMER-USD'!X$4)/'06. BC BH THEO CUSTOMER-USD'!DD135/'02. Tỷ giá'!M$5,"-")</f>
        <v>-</v>
      </c>
      <c r="Z135" s="92">
        <f t="shared" si="1264"/>
        <v>1287.9507443928846</v>
      </c>
      <c r="AA135" s="147" t="str">
        <f>IFERROR(SUMIFS('01. KE30'!$O:$O,'01. KE30'!$C:$C,'06. BC BH THEO CUSTOMER-USD'!$D135,'01. KE30'!$F:$F,'06. BC BH THEO CUSTOMER-USD'!$H135,'01. KE30'!$A:$A,'06. BC BH THEO CUSTOMER-USD'!M$4)/'06. BC BH THEO CUSTOMER-USD'!CS135/'02. Tỷ giá'!B$5,"-")</f>
        <v>-</v>
      </c>
      <c r="AB135" s="147" t="str">
        <f>IFERROR(SUMIFS('01. KE30'!$O:$O,'01. KE30'!$C:$C,'06. BC BH THEO CUSTOMER-USD'!$D135,'01. KE30'!$F:$F,'06. BC BH THEO CUSTOMER-USD'!$H135,'01. KE30'!$A:$A,'06. BC BH THEO CUSTOMER-USD'!N$4)/'06. BC BH THEO CUSTOMER-USD'!CT135/'02. Tỷ giá'!C$5,"-")</f>
        <v>-</v>
      </c>
      <c r="AC135" s="147" t="str">
        <f>IFERROR(SUMIFS('01. KE30'!$O:$O,'01. KE30'!$C:$C,'06. BC BH THEO CUSTOMER-USD'!$D135,'01. KE30'!$F:$F,'06. BC BH THEO CUSTOMER-USD'!$H135,'01. KE30'!$A:$A,'06. BC BH THEO CUSTOMER-USD'!O$4)/'06. BC BH THEO CUSTOMER-USD'!CU135/'02. Tỷ giá'!D$5,"-")</f>
        <v>-</v>
      </c>
      <c r="AD135" s="147" t="str">
        <f>IFERROR(SUMIFS('01. KE30'!$O:$O,'01. KE30'!$C:$C,'06. BC BH THEO CUSTOMER-USD'!$D135,'01. KE30'!$F:$F,'06. BC BH THEO CUSTOMER-USD'!$H135,'01. KE30'!$A:$A,'06. BC BH THEO CUSTOMER-USD'!P$4)/'06. BC BH THEO CUSTOMER-USD'!CV135/'02. Tỷ giá'!E$5,"-")</f>
        <v>-</v>
      </c>
      <c r="AE135" s="147">
        <f>IFERROR(SUMIFS('01. KE30'!$O:$O,'01. KE30'!$C:$C,'06. BC BH THEO CUSTOMER-USD'!$D135,'01. KE30'!$F:$F,'06. BC BH THEO CUSTOMER-USD'!$H135,'01. KE30'!$A:$A,'06. BC BH THEO CUSTOMER-USD'!Q$4)/'06. BC BH THEO CUSTOMER-USD'!CW135/'02. Tỷ giá'!F$5,"-")</f>
        <v>1289.4431554524363</v>
      </c>
      <c r="AF135" s="147">
        <f>IFERROR(SUMIFS('01. KE30'!$O:$O,'01. KE30'!$C:$C,'06. BC BH THEO CUSTOMER-USD'!$D135,'01. KE30'!$F:$F,'06. BC BH THEO CUSTOMER-USD'!$H135,'01. KE30'!$A:$A,'06. BC BH THEO CUSTOMER-USD'!R$4)/'06. BC BH THEO CUSTOMER-USD'!CX135/'02. Tỷ giá'!G$5,"-")</f>
        <v>1286.4583333333333</v>
      </c>
      <c r="AG135" s="147" t="str">
        <f>IFERROR(SUMIFS('01. KE30'!$O:$O,'01. KE30'!$C:$C,'06. BC BH THEO CUSTOMER-USD'!$D135,'01. KE30'!$F:$F,'06. BC BH THEO CUSTOMER-USD'!$H135,'01. KE30'!$A:$A,'06. BC BH THEO CUSTOMER-USD'!S$4)/'06. BC BH THEO CUSTOMER-USD'!CY135/'02. Tỷ giá'!H$5,"-")</f>
        <v>-</v>
      </c>
      <c r="AH135" s="147" t="str">
        <f>IFERROR(SUMIFS('01. KE30'!$O:$O,'01. KE30'!$C:$C,'06. BC BH THEO CUSTOMER-USD'!$D135,'01. KE30'!$F:$F,'06. BC BH THEO CUSTOMER-USD'!$H135,'01. KE30'!$A:$A,'06. BC BH THEO CUSTOMER-USD'!T$4)/'06. BC BH THEO CUSTOMER-USD'!CZ135/'02. Tỷ giá'!I$5,"-")</f>
        <v>-</v>
      </c>
      <c r="AI135" s="147" t="str">
        <f>IFERROR(SUMIFS('01. KE30'!$O:$O,'01. KE30'!$C:$C,'06. BC BH THEO CUSTOMER-USD'!$D135,'01. KE30'!$F:$F,'06. BC BH THEO CUSTOMER-USD'!$H135,'01. KE30'!$A:$A,'06. BC BH THEO CUSTOMER-USD'!U$4)/'06. BC BH THEO CUSTOMER-USD'!DA135/'02. Tỷ giá'!J$5,"-")</f>
        <v>-</v>
      </c>
      <c r="AJ135" s="147" t="str">
        <f>IFERROR(SUMIFS('01. KE30'!$O:$O,'01. KE30'!$C:$C,'06. BC BH THEO CUSTOMER-USD'!$D135,'01. KE30'!$F:$F,'06. BC BH THEO CUSTOMER-USD'!$H135,'01. KE30'!$A:$A,'06. BC BH THEO CUSTOMER-USD'!V$4)/'06. BC BH THEO CUSTOMER-USD'!DB135/'02. Tỷ giá'!K$5,"-")</f>
        <v>-</v>
      </c>
      <c r="AK135" s="147" t="str">
        <f>IFERROR(SUMIFS('01. KE30'!$O:$O,'01. KE30'!$C:$C,'06. BC BH THEO CUSTOMER-USD'!$D135,'01. KE30'!$F:$F,'06. BC BH THEO CUSTOMER-USD'!$H135,'01. KE30'!$A:$A,'06. BC BH THEO CUSTOMER-USD'!W$4)/'06. BC BH THEO CUSTOMER-USD'!DC135/'02. Tỷ giá'!L$5,"-")</f>
        <v>-</v>
      </c>
      <c r="AL135" s="147" t="str">
        <f>IFERROR(SUMIFS('01. KE30'!$O:$O,'01. KE30'!$C:$C,'06. BC BH THEO CUSTOMER-USD'!$D135,'01. KE30'!$F:$F,'06. BC BH THEO CUSTOMER-USD'!$H135,'01. KE30'!$A:$A,'06. BC BH THEO CUSTOMER-USD'!X$4)/'06. BC BH THEO CUSTOMER-USD'!DD135/'02. Tỷ giá'!M$5,"-")</f>
        <v>-</v>
      </c>
      <c r="AN135" s="55">
        <f t="shared" si="1265"/>
        <v>1310</v>
      </c>
      <c r="AO135" s="4">
        <v>1300</v>
      </c>
      <c r="AP135" s="4">
        <v>1300</v>
      </c>
      <c r="AQ135" s="4">
        <v>1300</v>
      </c>
      <c r="AR135" s="4">
        <v>1300</v>
      </c>
      <c r="AS135" s="4">
        <v>1300</v>
      </c>
      <c r="AT135" s="4">
        <v>1300</v>
      </c>
      <c r="AU135" s="4">
        <v>1330</v>
      </c>
      <c r="AV135" s="4">
        <v>1330</v>
      </c>
      <c r="AW135" s="4">
        <v>1330</v>
      </c>
      <c r="AX135" s="4"/>
      <c r="AY135" s="4"/>
      <c r="AZ135" s="4"/>
      <c r="BB135" s="54">
        <f t="shared" si="637"/>
        <v>-22.049255607115356</v>
      </c>
      <c r="BC135" s="95" t="str">
        <f t="shared" si="638"/>
        <v>-</v>
      </c>
      <c r="BD135" s="95" t="str">
        <f t="shared" ref="BD135:BN149" si="1330">IF(N135&lt;&gt;"-",AB135-AP135,"-")</f>
        <v>-</v>
      </c>
      <c r="BE135" s="95" t="str">
        <f t="shared" si="1330"/>
        <v>-</v>
      </c>
      <c r="BF135" s="95" t="str">
        <f t="shared" si="1330"/>
        <v>-</v>
      </c>
      <c r="BG135" s="95">
        <f t="shared" si="1330"/>
        <v>-10.556844547563742</v>
      </c>
      <c r="BH135" s="95">
        <f t="shared" si="1330"/>
        <v>-13.541666666666742</v>
      </c>
      <c r="BI135" s="95" t="str">
        <f t="shared" si="1330"/>
        <v>-</v>
      </c>
      <c r="BJ135" s="95" t="str">
        <f t="shared" si="1330"/>
        <v>-</v>
      </c>
      <c r="BK135" s="95" t="str">
        <f t="shared" si="1330"/>
        <v>-</v>
      </c>
      <c r="BL135" s="95" t="str">
        <f t="shared" si="1330"/>
        <v>-</v>
      </c>
      <c r="BM135" s="95" t="str">
        <f t="shared" si="1330"/>
        <v>-</v>
      </c>
      <c r="BN135" s="95" t="str">
        <f t="shared" si="1330"/>
        <v>-</v>
      </c>
      <c r="BP135" s="143">
        <f t="shared" si="639"/>
        <v>-1.683149282985905E-2</v>
      </c>
      <c r="BQ135" s="143" t="str">
        <f t="shared" ref="BQ135:BQ180" si="1331">IFERROR(IF(BC135&lt;&gt;"-",BC135/AO135,"-"),"-")</f>
        <v>-</v>
      </c>
      <c r="BR135" s="143" t="str">
        <f t="shared" si="518"/>
        <v>-</v>
      </c>
      <c r="BS135" s="143" t="str">
        <f t="shared" si="519"/>
        <v>-</v>
      </c>
      <c r="BT135" s="143" t="str">
        <f t="shared" si="520"/>
        <v>-</v>
      </c>
      <c r="BU135" s="143">
        <f t="shared" si="521"/>
        <v>-8.1206496519721089E-3</v>
      </c>
      <c r="BV135" s="143">
        <f t="shared" si="522"/>
        <v>-1.0416666666666725E-2</v>
      </c>
      <c r="BW135" s="143" t="str">
        <f t="shared" si="523"/>
        <v>-</v>
      </c>
      <c r="BX135" s="143" t="str">
        <f t="shared" si="524"/>
        <v>-</v>
      </c>
      <c r="BY135" s="143" t="str">
        <f t="shared" si="525"/>
        <v>-</v>
      </c>
      <c r="BZ135" s="143" t="str">
        <f t="shared" si="526"/>
        <v>-</v>
      </c>
      <c r="CA135" s="143" t="str">
        <f t="shared" si="527"/>
        <v>-</v>
      </c>
      <c r="CB135" s="143" t="str">
        <f t="shared" si="528"/>
        <v>-</v>
      </c>
      <c r="CD135" s="112">
        <f t="shared" si="1248"/>
        <v>935.15004213636757</v>
      </c>
      <c r="CE135" s="95" t="str">
        <f>IFERROR(SUMIFS('01. KE30'!$R:$R,'01. KE30'!$C:$C,'06. BC BH THEO CUSTOMER-USD'!$D135,'01. KE30'!$F:$F,'06. BC BH THEO CUSTOMER-USD'!$H135,'01. KE30'!$A:$A,'06. BC BH THEO CUSTOMER-USD'!CE$4)/CS135/'02. Tỷ giá'!B$5," -")</f>
        <v xml:space="preserve"> -</v>
      </c>
      <c r="CF135" s="95" t="str">
        <f>IFERROR(SUMIFS('01. KE30'!$R:$R,'01. KE30'!$C:$C,'06. BC BH THEO CUSTOMER-USD'!$D135,'01. KE30'!$F:$F,'06. BC BH THEO CUSTOMER-USD'!$H135,'01. KE30'!$A:$A,'06. BC BH THEO CUSTOMER-USD'!CF$4)/CT135/'02. Tỷ giá'!C$5," -")</f>
        <v xml:space="preserve"> -</v>
      </c>
      <c r="CG135" s="95" t="str">
        <f>IFERROR(SUMIFS('01. KE30'!$R:$R,'01. KE30'!$C:$C,'06. BC BH THEO CUSTOMER-USD'!$D135,'01. KE30'!$F:$F,'06. BC BH THEO CUSTOMER-USD'!$H135,'01. KE30'!$A:$A,'06. BC BH THEO CUSTOMER-USD'!CG$4)/CU135/'02. Tỷ giá'!D$5," -")</f>
        <v xml:space="preserve"> -</v>
      </c>
      <c r="CH135" s="95" t="str">
        <f>IFERROR(SUMIFS('01. KE30'!$R:$R,'01. KE30'!$C:$C,'06. BC BH THEO CUSTOMER-USD'!$D135,'01. KE30'!$F:$F,'06. BC BH THEO CUSTOMER-USD'!$H135,'01. KE30'!$A:$A,'06. BC BH THEO CUSTOMER-USD'!CH$4)/CV135/'02. Tỷ giá'!E$5," -")</f>
        <v xml:space="preserve"> -</v>
      </c>
      <c r="CI135" s="95">
        <f>IFERROR(SUMIFS('01. KE30'!$R:$R,'01. KE30'!$C:$C,'06. BC BH THEO CUSTOMER-USD'!$D135,'01. KE30'!$F:$F,'06. BC BH THEO CUSTOMER-USD'!$H135,'01. KE30'!$A:$A,'06. BC BH THEO CUSTOMER-USD'!CI$4)/CW135/'02. Tỷ giá'!F$5," -")</f>
        <v>936.22428460943547</v>
      </c>
      <c r="CJ135" s="95">
        <f>IFERROR(SUMIFS('01. KE30'!$R:$R,'01. KE30'!$C:$C,'06. BC BH THEO CUSTOMER-USD'!$D135,'01. KE30'!$F:$F,'06. BC BH THEO CUSTOMER-USD'!$H135,'01. KE30'!$A:$A,'06. BC BH THEO CUSTOMER-USD'!CJ$4)/CX135/'02. Tỷ giá'!G$5," -")</f>
        <v>934.07579966329968</v>
      </c>
      <c r="CK135" s="95" t="str">
        <f>IFERROR(SUMIFS('01. KE30'!$R:$R,'01. KE30'!$C:$C,'06. BC BH THEO CUSTOMER-USD'!$D135,'01. KE30'!$F:$F,'06. BC BH THEO CUSTOMER-USD'!$H135,'01. KE30'!$A:$A,'06. BC BH THEO CUSTOMER-USD'!CK$4)/CY135/'02. Tỷ giá'!H$5," -")</f>
        <v xml:space="preserve"> -</v>
      </c>
      <c r="CL135" s="95" t="str">
        <f>IFERROR(SUMIFS('01. KE30'!$R:$R,'01. KE30'!$C:$C,'06. BC BH THEO CUSTOMER-USD'!$D135,'01. KE30'!$F:$F,'06. BC BH THEO CUSTOMER-USD'!$H135,'01. KE30'!$A:$A,'06. BC BH THEO CUSTOMER-USD'!CL$4)/CZ135/'02. Tỷ giá'!I$5," -")</f>
        <v xml:space="preserve"> -</v>
      </c>
      <c r="CM135" s="95" t="str">
        <f>IFERROR(SUMIFS('01. KE30'!$R:$R,'01. KE30'!$C:$C,'06. BC BH THEO CUSTOMER-USD'!$D135,'01. KE30'!$F:$F,'06. BC BH THEO CUSTOMER-USD'!$H135,'01. KE30'!$A:$A,'06. BC BH THEO CUSTOMER-USD'!CM$4)/DA135/'02. Tỷ giá'!J$5," -")</f>
        <v xml:space="preserve"> -</v>
      </c>
      <c r="CN135" s="95" t="str">
        <f>IFERROR(SUMIFS('01. KE30'!$R:$R,'01. KE30'!$C:$C,'06. BC BH THEO CUSTOMER-USD'!$D135,'01. KE30'!$F:$F,'06. BC BH THEO CUSTOMER-USD'!$H135,'01. KE30'!$A:$A,'06. BC BH THEO CUSTOMER-USD'!CN$4)/DB135/'02. Tỷ giá'!K$5," -")</f>
        <v xml:space="preserve"> -</v>
      </c>
      <c r="CO135" s="95" t="str">
        <f>IFERROR(SUMIFS('01. KE30'!$R:$R,'01. KE30'!$C:$C,'06. BC BH THEO CUSTOMER-USD'!$D135,'01. KE30'!$F:$F,'06. BC BH THEO CUSTOMER-USD'!$H135,'01. KE30'!$A:$A,'06. BC BH THEO CUSTOMER-USD'!CO$4)/DC135/'02. Tỷ giá'!L$5," -")</f>
        <v xml:space="preserve"> -</v>
      </c>
      <c r="CP135" s="95" t="str">
        <f>IFERROR(SUMIFS('01. KE30'!$R:$R,'01. KE30'!$C:$C,'06. BC BH THEO CUSTOMER-USD'!$D135,'01. KE30'!$F:$F,'06. BC BH THEO CUSTOMER-USD'!$H135,'01. KE30'!$A:$A,'06. BC BH THEO CUSTOMER-USD'!CP$4)/DD135/'02. Tỷ giá'!M$5," -")</f>
        <v xml:space="preserve"> -</v>
      </c>
      <c r="CR135" s="112">
        <f t="shared" si="1249"/>
        <v>5.5250000000000004</v>
      </c>
      <c r="CS135" s="114">
        <f>SUMIFS('01. KE30'!$I:$I,'01. KE30'!$C:$C,'06. BC BH THEO CUSTOMER-USD'!$D135,'01. KE30'!$F:$F,'06. BC BH THEO CUSTOMER-USD'!$H135,'01. KE30'!$A:$A,'06. BC BH THEO CUSTOMER-USD'!CS$4)/1000</f>
        <v>0</v>
      </c>
      <c r="CT135" s="114">
        <f>SUMIFS('01. KE30'!$I:$I,'01. KE30'!$C:$C,'06. BC BH THEO CUSTOMER-USD'!$D135,'01. KE30'!$F:$F,'06. BC BH THEO CUSTOMER-USD'!$H135,'01. KE30'!$A:$A,'06. BC BH THEO CUSTOMER-USD'!CT$4)/1000</f>
        <v>0</v>
      </c>
      <c r="CU135" s="114">
        <f>SUMIFS('01. KE30'!$I:$I,'01. KE30'!$C:$C,'06. BC BH THEO CUSTOMER-USD'!$D135,'01. KE30'!$F:$F,'06. BC BH THEO CUSTOMER-USD'!$H135,'01. KE30'!$A:$A,'06. BC BH THEO CUSTOMER-USD'!CU$4)/1000</f>
        <v>0</v>
      </c>
      <c r="CV135" s="114">
        <f>SUMIFS('01. KE30'!$I:$I,'01. KE30'!$C:$C,'06. BC BH THEO CUSTOMER-USD'!$D135,'01. KE30'!$F:$F,'06. BC BH THEO CUSTOMER-USD'!$H135,'01. KE30'!$A:$A,'06. BC BH THEO CUSTOMER-USD'!CV$4)/1000</f>
        <v>0</v>
      </c>
      <c r="CW135" s="114">
        <f>SUMIFS('01. KE30'!$I:$I,'01. KE30'!$C:$C,'06. BC BH THEO CUSTOMER-USD'!$D135,'01. KE30'!$F:$F,'06. BC BH THEO CUSTOMER-USD'!$H135,'01. KE30'!$A:$A,'06. BC BH THEO CUSTOMER-USD'!CW$4)/1000</f>
        <v>2.5000000000000001E-2</v>
      </c>
      <c r="CX135" s="114">
        <f>SUMIFS('01. KE30'!$I:$I,'01. KE30'!$C:$C,'06. BC BH THEO CUSTOMER-USD'!$D135,'01. KE30'!$F:$F,'06. BC BH THEO CUSTOMER-USD'!$H135,'01. KE30'!$A:$A,'06. BC BH THEO CUSTOMER-USD'!CX$4)/1000</f>
        <v>5.5</v>
      </c>
      <c r="CY135" s="114">
        <f>SUMIFS('01. KE30'!$I:$I,'01. KE30'!$C:$C,'06. BC BH THEO CUSTOMER-USD'!$D135,'01. KE30'!$F:$F,'06. BC BH THEO CUSTOMER-USD'!$H135,'01. KE30'!$A:$A,'06. BC BH THEO CUSTOMER-USD'!CY$4)/1000</f>
        <v>0</v>
      </c>
      <c r="CZ135" s="114">
        <f>SUMIFS('01. KE30'!$I:$I,'01. KE30'!$C:$C,'06. BC BH THEO CUSTOMER-USD'!$D135,'01. KE30'!$F:$F,'06. BC BH THEO CUSTOMER-USD'!$H135,'01. KE30'!$A:$A,'06. BC BH THEO CUSTOMER-USD'!CZ$4)/1000</f>
        <v>0</v>
      </c>
      <c r="DA135" s="114">
        <f>SUMIFS('01. KE30'!$I:$I,'01. KE30'!$C:$C,'06. BC BH THEO CUSTOMER-USD'!$D135,'01. KE30'!$F:$F,'06. BC BH THEO CUSTOMER-USD'!$H135,'01. KE30'!$A:$A,'06. BC BH THEO CUSTOMER-USD'!DA$4)/1000</f>
        <v>0</v>
      </c>
      <c r="DB135" s="114">
        <f>SUMIFS('01. KE30'!$I:$I,'01. KE30'!$C:$C,'06. BC BH THEO CUSTOMER-USD'!$D135,'01. KE30'!$F:$F,'06. BC BH THEO CUSTOMER-USD'!$H135,'01. KE30'!$A:$A,'06. BC BH THEO CUSTOMER-USD'!DB$4)/1000</f>
        <v>0</v>
      </c>
      <c r="DC135" s="114">
        <f>SUMIFS('01. KE30'!$I:$I,'01. KE30'!$C:$C,'06. BC BH THEO CUSTOMER-USD'!$D135,'01. KE30'!$F:$F,'06. BC BH THEO CUSTOMER-USD'!$H135,'01. KE30'!$A:$A,'06. BC BH THEO CUSTOMER-USD'!DC$4)/1000</f>
        <v>0</v>
      </c>
      <c r="DD135" s="114">
        <f>SUMIFS('01. KE30'!$I:$I,'01. KE30'!$C:$C,'06. BC BH THEO CUSTOMER-USD'!$D135,'01. KE30'!$F:$F,'06. BC BH THEO CUSTOMER-USD'!$H135,'01. KE30'!$A:$A,'06. BC BH THEO CUSTOMER-USD'!DD$4)/1000</f>
        <v>0</v>
      </c>
      <c r="DF135" s="112">
        <f t="shared" si="1250"/>
        <v>7107.7569122196437</v>
      </c>
      <c r="DG135" s="54" t="str">
        <f t="shared" si="1251"/>
        <v>-</v>
      </c>
      <c r="DH135" s="54" t="str">
        <f t="shared" si="1252"/>
        <v>-</v>
      </c>
      <c r="DI135" s="54" t="str">
        <f t="shared" si="1253"/>
        <v>-</v>
      </c>
      <c r="DJ135" s="54" t="str">
        <f t="shared" si="1254"/>
        <v>-</v>
      </c>
      <c r="DK135" s="54">
        <f t="shared" si="1255"/>
        <v>32.236078886310906</v>
      </c>
      <c r="DL135" s="54">
        <f t="shared" si="1256"/>
        <v>7075.520833333333</v>
      </c>
      <c r="DM135" s="54" t="str">
        <f t="shared" si="1257"/>
        <v>-</v>
      </c>
      <c r="DN135" s="54" t="str">
        <f t="shared" si="1258"/>
        <v>-</v>
      </c>
      <c r="DO135" s="54" t="str">
        <f t="shared" si="1259"/>
        <v>-</v>
      </c>
      <c r="DP135" s="54" t="str">
        <f t="shared" si="1260"/>
        <v>-</v>
      </c>
      <c r="DQ135" s="54" t="str">
        <f t="shared" si="1261"/>
        <v>-</v>
      </c>
      <c r="DR135" s="54" t="str">
        <f t="shared" si="1262"/>
        <v>-</v>
      </c>
      <c r="DT135" s="112">
        <f t="shared" si="652"/>
        <v>1946.9344069562601</v>
      </c>
      <c r="DU135" s="114">
        <f>IFERROR(SUMIFS('01. KE30'!$X:$X,'01. KE30'!$C:$C,'06. BC BH THEO CUSTOMER-USD'!$D135,'01. KE30'!$F:$F,'06. BC BH THEO CUSTOMER-USD'!$H135,'01. KE30'!$A:$A,'06. BC BH THEO CUSTOMER-USD'!DU$4)-SUMIFS('01. KE30'!$AA:$AA,'01. KE30'!$C:$C,'06. BC BH THEO CUSTOMER-USD'!$D135,'01. KE30'!$F:$F,'06. BC BH THEO CUSTOMER-USD'!$H135,'01. KE30'!$A:$A,'06. BC BH THEO CUSTOMER-USD'!DU$4),"-")</f>
        <v>0</v>
      </c>
      <c r="DV135" s="114">
        <f>IFERROR(SUMIFS('01. KE30'!$X:$X,'01. KE30'!$C:$C,'06. BC BH THEO CUSTOMER-USD'!$D135,'01. KE30'!$F:$F,'06. BC BH THEO CUSTOMER-USD'!$H135,'01. KE30'!$A:$A,'06. BC BH THEO CUSTOMER-USD'!DV$4)-SUMIFS('01. KE30'!$AA:$AA,'01. KE30'!$C:$C,'06. BC BH THEO CUSTOMER-USD'!$D135,'01. KE30'!$F:$F,'06. BC BH THEO CUSTOMER-USD'!$H135,'01. KE30'!$A:$A,'06. BC BH THEO CUSTOMER-USD'!DV$4),"-")</f>
        <v>0</v>
      </c>
      <c r="DW135" s="114">
        <f>IFERROR(SUMIFS('01. KE30'!$X:$X,'01. KE30'!$C:$C,'06. BC BH THEO CUSTOMER-USD'!$D135,'01. KE30'!$F:$F,'06. BC BH THEO CUSTOMER-USD'!$H135,'01. KE30'!$A:$A,'06. BC BH THEO CUSTOMER-USD'!DW$4)-SUMIFS('01. KE30'!$AA:$AA,'01. KE30'!$C:$C,'06. BC BH THEO CUSTOMER-USD'!$D135,'01. KE30'!$F:$F,'06. BC BH THEO CUSTOMER-USD'!$H135,'01. KE30'!$A:$A,'06. BC BH THEO CUSTOMER-USD'!DW$4),"-")</f>
        <v>0</v>
      </c>
      <c r="DX135" s="114">
        <f>IFERROR(SUMIFS('01. KE30'!$X:$X,'01. KE30'!$C:$C,'06. BC BH THEO CUSTOMER-USD'!$D135,'01. KE30'!$F:$F,'06. BC BH THEO CUSTOMER-USD'!$H135,'01. KE30'!$A:$A,'06. BC BH THEO CUSTOMER-USD'!DX$4)-SUMIFS('01. KE30'!$AA:$AA,'01. KE30'!$C:$C,'06. BC BH THEO CUSTOMER-USD'!$D135,'01. KE30'!$F:$F,'06. BC BH THEO CUSTOMER-USD'!$H135,'01. KE30'!$A:$A,'06. BC BH THEO CUSTOMER-USD'!DX$4),"-")</f>
        <v>0</v>
      </c>
      <c r="DY135" s="114">
        <f>IFERROR(SUMIFS('01. KE30'!$X:$X,'01. KE30'!$C:$C,'06. BC BH THEO CUSTOMER-USD'!$D135,'01. KE30'!$F:$F,'06. BC BH THEO CUSTOMER-USD'!$H135,'01. KE30'!$A:$A,'06. BC BH THEO CUSTOMER-USD'!DY$4)-SUMIFS('01. KE30'!$AA:$AA,'01. KE30'!$C:$C,'06. BC BH THEO CUSTOMER-USD'!$D135,'01. KE30'!$F:$F,'06. BC BH THEO CUSTOMER-USD'!$H135,'01. KE30'!$A:$A,'06. BC BH THEO CUSTOMER-USD'!DY$4),"-")</f>
        <v>8.8304717710750218</v>
      </c>
      <c r="DZ135" s="114">
        <f>IFERROR(SUMIFS('01. KE30'!$X:$X,'01. KE30'!$C:$C,'06. BC BH THEO CUSTOMER-USD'!$D135,'01. KE30'!$F:$F,'06. BC BH THEO CUSTOMER-USD'!$H135,'01. KE30'!$A:$A,'06. BC BH THEO CUSTOMER-USD'!DZ$4)-SUMIFS('01. KE30'!$AA:$AA,'01. KE30'!$C:$C,'06. BC BH THEO CUSTOMER-USD'!$D135,'01. KE30'!$F:$F,'06. BC BH THEO CUSTOMER-USD'!$H135,'01. KE30'!$A:$A,'06. BC BH THEO CUSTOMER-USD'!DZ$4),"-")</f>
        <v>1938.103935185185</v>
      </c>
      <c r="EA135" s="114">
        <f>IFERROR(SUMIFS('01. KE30'!$X:$X,'01. KE30'!$C:$C,'06. BC BH THEO CUSTOMER-USD'!$D135,'01. KE30'!$F:$F,'06. BC BH THEO CUSTOMER-USD'!$H135,'01. KE30'!$A:$A,'06. BC BH THEO CUSTOMER-USD'!EA$4)-SUMIFS('01. KE30'!$AA:$AA,'01. KE30'!$C:$C,'06. BC BH THEO CUSTOMER-USD'!$D135,'01. KE30'!$F:$F,'06. BC BH THEO CUSTOMER-USD'!$H135,'01. KE30'!$A:$A,'06. BC BH THEO CUSTOMER-USD'!EA$4),"-")</f>
        <v>0</v>
      </c>
      <c r="EB135" s="114">
        <f>IFERROR(SUMIFS('01. KE30'!$X:$X,'01. KE30'!$C:$C,'06. BC BH THEO CUSTOMER-USD'!$D135,'01. KE30'!$F:$F,'06. BC BH THEO CUSTOMER-USD'!$H135,'01. KE30'!$A:$A,'06. BC BH THEO CUSTOMER-USD'!EB$4)-SUMIFS('01. KE30'!$AA:$AA,'01. KE30'!$C:$C,'06. BC BH THEO CUSTOMER-USD'!$D135,'01. KE30'!$F:$F,'06. BC BH THEO CUSTOMER-USD'!$H135,'01. KE30'!$A:$A,'06. BC BH THEO CUSTOMER-USD'!EB$4),"-")</f>
        <v>0</v>
      </c>
      <c r="EC135" s="114">
        <f>IFERROR(SUMIFS('01. KE30'!$X:$X,'01. KE30'!$C:$C,'06. BC BH THEO CUSTOMER-USD'!$D135,'01. KE30'!$F:$F,'06. BC BH THEO CUSTOMER-USD'!$H135,'01. KE30'!$A:$A,'06. BC BH THEO CUSTOMER-USD'!EC$4)-SUMIFS('01. KE30'!$AA:$AA,'01. KE30'!$C:$C,'06. BC BH THEO CUSTOMER-USD'!$D135,'01. KE30'!$F:$F,'06. BC BH THEO CUSTOMER-USD'!$H135,'01. KE30'!$A:$A,'06. BC BH THEO CUSTOMER-USD'!EC$4),"-")</f>
        <v>0</v>
      </c>
      <c r="ED135" s="114">
        <f>IFERROR(SUMIFS('01. KE30'!$X:$X,'01. KE30'!$C:$C,'06. BC BH THEO CUSTOMER-USD'!$D135,'01. KE30'!$F:$F,'06. BC BH THEO CUSTOMER-USD'!$H135,'01. KE30'!$A:$A,'06. BC BH THEO CUSTOMER-USD'!ED$4)-SUMIFS('01. KE30'!$AA:$AA,'01. KE30'!$C:$C,'06. BC BH THEO CUSTOMER-USD'!$D135,'01. KE30'!$F:$F,'06. BC BH THEO CUSTOMER-USD'!$H135,'01. KE30'!$A:$A,'06. BC BH THEO CUSTOMER-USD'!ED$4),"-")</f>
        <v>0</v>
      </c>
      <c r="EE135" s="114">
        <f>IFERROR(SUMIFS('01. KE30'!$X:$X,'01. KE30'!$C:$C,'06. BC BH THEO CUSTOMER-USD'!$D135,'01. KE30'!$F:$F,'06. BC BH THEO CUSTOMER-USD'!$H135,'01. KE30'!$A:$A,'06. BC BH THEO CUSTOMER-USD'!EE$4)-SUMIFS('01. KE30'!$AA:$AA,'01. KE30'!$C:$C,'06. BC BH THEO CUSTOMER-USD'!$D135,'01. KE30'!$F:$F,'06. BC BH THEO CUSTOMER-USD'!$H135,'01. KE30'!$A:$A,'06. BC BH THEO CUSTOMER-USD'!EE$4),"-")</f>
        <v>0</v>
      </c>
      <c r="EF135" s="114">
        <f>IFERROR(SUMIFS('01. KE30'!$X:$X,'01. KE30'!$C:$C,'06. BC BH THEO CUSTOMER-USD'!$D135,'01. KE30'!$F:$F,'06. BC BH THEO CUSTOMER-USD'!$H135,'01. KE30'!$A:$A,'06. BC BH THEO CUSTOMER-USD'!EF$4)-SUMIFS('01. KE30'!$AA:$AA,'01. KE30'!$C:$C,'06. BC BH THEO CUSTOMER-USD'!$D135,'01. KE30'!$F:$F,'06. BC BH THEO CUSTOMER-USD'!$H135,'01. KE30'!$A:$A,'06. BC BH THEO CUSTOMER-USD'!EF$4),"-")</f>
        <v>0</v>
      </c>
      <c r="EH135" s="571">
        <f t="shared" si="531"/>
        <v>0.27391685323524412</v>
      </c>
      <c r="EI135" s="572" t="str">
        <f t="shared" si="532"/>
        <v>-</v>
      </c>
      <c r="EJ135" s="572" t="str">
        <f t="shared" si="533"/>
        <v>-</v>
      </c>
      <c r="EK135" s="572" t="str">
        <f t="shared" si="534"/>
        <v>-</v>
      </c>
      <c r="EL135" s="572" t="str">
        <f t="shared" si="535"/>
        <v>-</v>
      </c>
      <c r="EM135" s="572">
        <f t="shared" si="536"/>
        <v>0.27393132403658726</v>
      </c>
      <c r="EN135" s="572">
        <f t="shared" si="537"/>
        <v>0.27391678730626096</v>
      </c>
      <c r="EO135" s="572" t="str">
        <f t="shared" si="538"/>
        <v>-</v>
      </c>
      <c r="EP135" s="572" t="str">
        <f t="shared" si="539"/>
        <v>-</v>
      </c>
      <c r="EQ135" s="572" t="str">
        <f t="shared" si="540"/>
        <v>-</v>
      </c>
      <c r="ER135" s="572" t="str">
        <f t="shared" si="541"/>
        <v>-</v>
      </c>
      <c r="ES135" s="572" t="str">
        <f t="shared" si="542"/>
        <v>-</v>
      </c>
      <c r="ET135" s="572" t="str">
        <f t="shared" si="543"/>
        <v>-</v>
      </c>
    </row>
    <row r="136" spans="1:150" ht="15.5" hidden="1" outlineLevel="1" x14ac:dyDescent="0.35">
      <c r="A136" s="10">
        <f t="shared" si="1266"/>
        <v>8</v>
      </c>
      <c r="B136" s="10" t="s">
        <v>265</v>
      </c>
      <c r="C136" s="497" t="s">
        <v>29</v>
      </c>
      <c r="D136" s="9" t="s">
        <v>30</v>
      </c>
      <c r="E136" s="8" t="s">
        <v>29</v>
      </c>
      <c r="F136" s="12" t="s">
        <v>245</v>
      </c>
      <c r="G136" s="12" t="str">
        <f>_xlfn.XLOOKUP(F136,'Quy đổi'!$G$5:$G$32,'Quy đổi'!$H$5:$H$32,0)</f>
        <v>Nội địa</v>
      </c>
      <c r="H136" s="76" t="s">
        <v>75</v>
      </c>
      <c r="I136" s="7" t="s">
        <v>74</v>
      </c>
      <c r="J136" s="69" t="s">
        <v>22</v>
      </c>
      <c r="K136" s="5"/>
      <c r="L136" s="92" t="str">
        <f t="shared" si="1263"/>
        <v>-</v>
      </c>
      <c r="M136" s="106" t="str">
        <f>IFERROR(SUMIFS('01. KE30'!$K:$K,'01. KE30'!$C:$C,'06. BC BH THEO CUSTOMER-USD'!$D136,'01. KE30'!$F:$F,'06. BC BH THEO CUSTOMER-USD'!$H136,'01. KE30'!$A:$A,'06. BC BH THEO CUSTOMER-USD'!M$4)/'06. BC BH THEO CUSTOMER-USD'!CS136/'02. Tỷ giá'!B$5,"-")</f>
        <v>-</v>
      </c>
      <c r="N136" s="106" t="str">
        <f>IFERROR(SUMIFS('01. KE30'!$K:$K,'01. KE30'!$C:$C,'06. BC BH THEO CUSTOMER-USD'!$D136,'01. KE30'!$F:$F,'06. BC BH THEO CUSTOMER-USD'!$H136,'01. KE30'!$A:$A,'06. BC BH THEO CUSTOMER-USD'!N$4)/'06. BC BH THEO CUSTOMER-USD'!CT136/'02. Tỷ giá'!C$5,"-")</f>
        <v>-</v>
      </c>
      <c r="O136" s="106" t="str">
        <f>IFERROR(SUMIFS('01. KE30'!$K:$K,'01. KE30'!$C:$C,'06. BC BH THEO CUSTOMER-USD'!$D136,'01. KE30'!$F:$F,'06. BC BH THEO CUSTOMER-USD'!$H136,'01. KE30'!$A:$A,'06. BC BH THEO CUSTOMER-USD'!O$4)/'06. BC BH THEO CUSTOMER-USD'!CU136/'02. Tỷ giá'!D$5,"-")</f>
        <v>-</v>
      </c>
      <c r="P136" s="106" t="str">
        <f>IFERROR(SUMIFS('01. KE30'!$K:$K,'01. KE30'!$C:$C,'06. BC BH THEO CUSTOMER-USD'!$D136,'01. KE30'!$F:$F,'06. BC BH THEO CUSTOMER-USD'!$H136,'01. KE30'!$A:$A,'06. BC BH THEO CUSTOMER-USD'!P$4)/'06. BC BH THEO CUSTOMER-USD'!CV136/'02. Tỷ giá'!E$5,"-")</f>
        <v>-</v>
      </c>
      <c r="Q136" s="106" t="str">
        <f>IFERROR(SUMIFS('01. KE30'!$K:$K,'01. KE30'!$C:$C,'06. BC BH THEO CUSTOMER-USD'!$D136,'01. KE30'!$F:$F,'06. BC BH THEO CUSTOMER-USD'!$H136,'01. KE30'!$A:$A,'06. BC BH THEO CUSTOMER-USD'!Q$4)/'06. BC BH THEO CUSTOMER-USD'!CW136/'02. Tỷ giá'!F$5,"-")</f>
        <v>-</v>
      </c>
      <c r="R136" s="106" t="str">
        <f>IFERROR(SUMIFS('01. KE30'!$K:$K,'01. KE30'!$C:$C,'06. BC BH THEO CUSTOMER-USD'!$D136,'01. KE30'!$F:$F,'06. BC BH THEO CUSTOMER-USD'!$H136,'01. KE30'!$A:$A,'06. BC BH THEO CUSTOMER-USD'!R$4)/'06. BC BH THEO CUSTOMER-USD'!CX136/'02. Tỷ giá'!G$5,"-")</f>
        <v>-</v>
      </c>
      <c r="S136" s="106" t="str">
        <f>IFERROR(SUMIFS('01. KE30'!$K:$K,'01. KE30'!$C:$C,'06. BC BH THEO CUSTOMER-USD'!$D136,'01. KE30'!$F:$F,'06. BC BH THEO CUSTOMER-USD'!$H136,'01. KE30'!$A:$A,'06. BC BH THEO CUSTOMER-USD'!S$4)/'06. BC BH THEO CUSTOMER-USD'!CY136/'02. Tỷ giá'!H$5,"-")</f>
        <v>-</v>
      </c>
      <c r="T136" s="106" t="str">
        <f>IFERROR(SUMIFS('01. KE30'!$K:$K,'01. KE30'!$C:$C,'06. BC BH THEO CUSTOMER-USD'!$D136,'01. KE30'!$F:$F,'06. BC BH THEO CUSTOMER-USD'!$H136,'01. KE30'!$A:$A,'06. BC BH THEO CUSTOMER-USD'!T$4)/'06. BC BH THEO CUSTOMER-USD'!CZ136/'02. Tỷ giá'!I$5,"-")</f>
        <v>-</v>
      </c>
      <c r="U136" s="106" t="str">
        <f>IFERROR(SUMIFS('01. KE30'!$K:$K,'01. KE30'!$C:$C,'06. BC BH THEO CUSTOMER-USD'!$D136,'01. KE30'!$F:$F,'06. BC BH THEO CUSTOMER-USD'!$H136,'01. KE30'!$A:$A,'06. BC BH THEO CUSTOMER-USD'!U$4)/'06. BC BH THEO CUSTOMER-USD'!DA136/'02. Tỷ giá'!J$5,"-")</f>
        <v>-</v>
      </c>
      <c r="V136" s="106" t="str">
        <f>IFERROR(SUMIFS('01. KE30'!$K:$K,'01. KE30'!$C:$C,'06. BC BH THEO CUSTOMER-USD'!$D136,'01. KE30'!$F:$F,'06. BC BH THEO CUSTOMER-USD'!$H136,'01. KE30'!$A:$A,'06. BC BH THEO CUSTOMER-USD'!V$4)/'06. BC BH THEO CUSTOMER-USD'!DB136/'02. Tỷ giá'!K$5,"-")</f>
        <v>-</v>
      </c>
      <c r="W136" s="106" t="str">
        <f>IFERROR(SUMIFS('01. KE30'!$K:$K,'01. KE30'!$C:$C,'06. BC BH THEO CUSTOMER-USD'!$D136,'01. KE30'!$F:$F,'06. BC BH THEO CUSTOMER-USD'!$H136,'01. KE30'!$A:$A,'06. BC BH THEO CUSTOMER-USD'!W$4)/'06. BC BH THEO CUSTOMER-USD'!DC136/'02. Tỷ giá'!L$5,"-")</f>
        <v>-</v>
      </c>
      <c r="X136" s="106" t="str">
        <f>IFERROR(SUMIFS('01. KE30'!$K:$K,'01. KE30'!$C:$C,'06. BC BH THEO CUSTOMER-USD'!$D136,'01. KE30'!$F:$F,'06. BC BH THEO CUSTOMER-USD'!$H136,'01. KE30'!$A:$A,'06. BC BH THEO CUSTOMER-USD'!X$4)/'06. BC BH THEO CUSTOMER-USD'!DD136/'02. Tỷ giá'!M$5,"-")</f>
        <v>-</v>
      </c>
      <c r="Z136" s="92" t="str">
        <f t="shared" si="1264"/>
        <v>-</v>
      </c>
      <c r="AA136" s="147" t="str">
        <f>IFERROR(SUMIFS('01. KE30'!$O:$O,'01. KE30'!$C:$C,'06. BC BH THEO CUSTOMER-USD'!$D136,'01. KE30'!$F:$F,'06. BC BH THEO CUSTOMER-USD'!$H136,'01. KE30'!$A:$A,'06. BC BH THEO CUSTOMER-USD'!M$4)/'06. BC BH THEO CUSTOMER-USD'!CS136/'02. Tỷ giá'!B$5,"-")</f>
        <v>-</v>
      </c>
      <c r="AB136" s="147" t="str">
        <f>IFERROR(SUMIFS('01. KE30'!$O:$O,'01. KE30'!$C:$C,'06. BC BH THEO CUSTOMER-USD'!$D136,'01. KE30'!$F:$F,'06. BC BH THEO CUSTOMER-USD'!$H136,'01. KE30'!$A:$A,'06. BC BH THEO CUSTOMER-USD'!N$4)/'06. BC BH THEO CUSTOMER-USD'!CT136/'02. Tỷ giá'!C$5,"-")</f>
        <v>-</v>
      </c>
      <c r="AC136" s="147" t="str">
        <f>IFERROR(SUMIFS('01. KE30'!$O:$O,'01. KE30'!$C:$C,'06. BC BH THEO CUSTOMER-USD'!$D136,'01. KE30'!$F:$F,'06. BC BH THEO CUSTOMER-USD'!$H136,'01. KE30'!$A:$A,'06. BC BH THEO CUSTOMER-USD'!O$4)/'06. BC BH THEO CUSTOMER-USD'!CU136/'02. Tỷ giá'!D$5,"-")</f>
        <v>-</v>
      </c>
      <c r="AD136" s="147" t="str">
        <f>IFERROR(SUMIFS('01. KE30'!$O:$O,'01. KE30'!$C:$C,'06. BC BH THEO CUSTOMER-USD'!$D136,'01. KE30'!$F:$F,'06. BC BH THEO CUSTOMER-USD'!$H136,'01. KE30'!$A:$A,'06. BC BH THEO CUSTOMER-USD'!P$4)/'06. BC BH THEO CUSTOMER-USD'!CV136/'02. Tỷ giá'!E$5,"-")</f>
        <v>-</v>
      </c>
      <c r="AE136" s="147" t="str">
        <f>IFERROR(SUMIFS('01. KE30'!$O:$O,'01. KE30'!$C:$C,'06. BC BH THEO CUSTOMER-USD'!$D136,'01. KE30'!$F:$F,'06. BC BH THEO CUSTOMER-USD'!$H136,'01. KE30'!$A:$A,'06. BC BH THEO CUSTOMER-USD'!Q$4)/'06. BC BH THEO CUSTOMER-USD'!CW136/'02. Tỷ giá'!F$5,"-")</f>
        <v>-</v>
      </c>
      <c r="AF136" s="147" t="str">
        <f>IFERROR(SUMIFS('01. KE30'!$O:$O,'01. KE30'!$C:$C,'06. BC BH THEO CUSTOMER-USD'!$D136,'01. KE30'!$F:$F,'06. BC BH THEO CUSTOMER-USD'!$H136,'01. KE30'!$A:$A,'06. BC BH THEO CUSTOMER-USD'!R$4)/'06. BC BH THEO CUSTOMER-USD'!CX136/'02. Tỷ giá'!G$5,"-")</f>
        <v>-</v>
      </c>
      <c r="AG136" s="147" t="str">
        <f>IFERROR(SUMIFS('01. KE30'!$O:$O,'01. KE30'!$C:$C,'06. BC BH THEO CUSTOMER-USD'!$D136,'01. KE30'!$F:$F,'06. BC BH THEO CUSTOMER-USD'!$H136,'01. KE30'!$A:$A,'06. BC BH THEO CUSTOMER-USD'!S$4)/'06. BC BH THEO CUSTOMER-USD'!CY136/'02. Tỷ giá'!H$5,"-")</f>
        <v>-</v>
      </c>
      <c r="AH136" s="147" t="str">
        <f>IFERROR(SUMIFS('01. KE30'!$O:$O,'01. KE30'!$C:$C,'06. BC BH THEO CUSTOMER-USD'!$D136,'01. KE30'!$F:$F,'06. BC BH THEO CUSTOMER-USD'!$H136,'01. KE30'!$A:$A,'06. BC BH THEO CUSTOMER-USD'!T$4)/'06. BC BH THEO CUSTOMER-USD'!CZ136/'02. Tỷ giá'!I$5,"-")</f>
        <v>-</v>
      </c>
      <c r="AI136" s="147" t="str">
        <f>IFERROR(SUMIFS('01. KE30'!$O:$O,'01. KE30'!$C:$C,'06. BC BH THEO CUSTOMER-USD'!$D136,'01. KE30'!$F:$F,'06. BC BH THEO CUSTOMER-USD'!$H136,'01. KE30'!$A:$A,'06. BC BH THEO CUSTOMER-USD'!U$4)/'06. BC BH THEO CUSTOMER-USD'!DA136/'02. Tỷ giá'!J$5,"-")</f>
        <v>-</v>
      </c>
      <c r="AJ136" s="147" t="str">
        <f>IFERROR(SUMIFS('01. KE30'!$O:$O,'01. KE30'!$C:$C,'06. BC BH THEO CUSTOMER-USD'!$D136,'01. KE30'!$F:$F,'06. BC BH THEO CUSTOMER-USD'!$H136,'01. KE30'!$A:$A,'06. BC BH THEO CUSTOMER-USD'!V$4)/'06. BC BH THEO CUSTOMER-USD'!DB136/'02. Tỷ giá'!K$5,"-")</f>
        <v>-</v>
      </c>
      <c r="AK136" s="147" t="str">
        <f>IFERROR(SUMIFS('01. KE30'!$O:$O,'01. KE30'!$C:$C,'06. BC BH THEO CUSTOMER-USD'!$D136,'01. KE30'!$F:$F,'06. BC BH THEO CUSTOMER-USD'!$H136,'01. KE30'!$A:$A,'06. BC BH THEO CUSTOMER-USD'!W$4)/'06. BC BH THEO CUSTOMER-USD'!DC136/'02. Tỷ giá'!L$5,"-")</f>
        <v>-</v>
      </c>
      <c r="AL136" s="147" t="str">
        <f>IFERROR(SUMIFS('01. KE30'!$O:$O,'01. KE30'!$C:$C,'06. BC BH THEO CUSTOMER-USD'!$D136,'01. KE30'!$F:$F,'06. BC BH THEO CUSTOMER-USD'!$H136,'01. KE30'!$A:$A,'06. BC BH THEO CUSTOMER-USD'!X$4)/'06. BC BH THEO CUSTOMER-USD'!DD136/'02. Tỷ giá'!M$5,"-")</f>
        <v>-</v>
      </c>
      <c r="AN136" s="55">
        <f t="shared" si="1265"/>
        <v>1310</v>
      </c>
      <c r="AO136" s="4">
        <v>1300</v>
      </c>
      <c r="AP136" s="4">
        <v>1300</v>
      </c>
      <c r="AQ136" s="4">
        <v>1300</v>
      </c>
      <c r="AR136" s="4">
        <v>1300</v>
      </c>
      <c r="AS136" s="4">
        <v>1300</v>
      </c>
      <c r="AT136" s="4">
        <v>1300</v>
      </c>
      <c r="AU136" s="4">
        <v>1330</v>
      </c>
      <c r="AV136" s="4">
        <v>1330</v>
      </c>
      <c r="AW136" s="4">
        <v>1330</v>
      </c>
      <c r="AX136" s="4"/>
      <c r="AY136" s="4"/>
      <c r="AZ136" s="4"/>
      <c r="BB136" s="54" t="str">
        <f t="shared" si="637"/>
        <v>-</v>
      </c>
      <c r="BC136" s="95" t="str">
        <f t="shared" si="638"/>
        <v>-</v>
      </c>
      <c r="BD136" s="95" t="str">
        <f t="shared" si="1330"/>
        <v>-</v>
      </c>
      <c r="BE136" s="95" t="str">
        <f t="shared" si="1330"/>
        <v>-</v>
      </c>
      <c r="BF136" s="95" t="str">
        <f t="shared" si="1330"/>
        <v>-</v>
      </c>
      <c r="BG136" s="95" t="str">
        <f t="shared" si="1330"/>
        <v>-</v>
      </c>
      <c r="BH136" s="95" t="str">
        <f t="shared" si="1330"/>
        <v>-</v>
      </c>
      <c r="BI136" s="95" t="str">
        <f t="shared" si="1330"/>
        <v>-</v>
      </c>
      <c r="BJ136" s="95" t="str">
        <f t="shared" si="1330"/>
        <v>-</v>
      </c>
      <c r="BK136" s="95" t="str">
        <f t="shared" si="1330"/>
        <v>-</v>
      </c>
      <c r="BL136" s="95" t="str">
        <f t="shared" si="1330"/>
        <v>-</v>
      </c>
      <c r="BM136" s="95" t="str">
        <f t="shared" si="1330"/>
        <v>-</v>
      </c>
      <c r="BN136" s="95" t="str">
        <f t="shared" si="1330"/>
        <v>-</v>
      </c>
      <c r="BP136" s="143" t="str">
        <f t="shared" si="639"/>
        <v>-</v>
      </c>
      <c r="BQ136" s="143" t="str">
        <f t="shared" si="1331"/>
        <v>-</v>
      </c>
      <c r="BR136" s="143" t="str">
        <f t="shared" si="518"/>
        <v>-</v>
      </c>
      <c r="BS136" s="143" t="str">
        <f t="shared" si="519"/>
        <v>-</v>
      </c>
      <c r="BT136" s="143" t="str">
        <f t="shared" si="520"/>
        <v>-</v>
      </c>
      <c r="BU136" s="143" t="str">
        <f t="shared" si="521"/>
        <v>-</v>
      </c>
      <c r="BV136" s="143" t="str">
        <f t="shared" si="522"/>
        <v>-</v>
      </c>
      <c r="BW136" s="143" t="str">
        <f t="shared" si="523"/>
        <v>-</v>
      </c>
      <c r="BX136" s="143" t="str">
        <f t="shared" si="524"/>
        <v>-</v>
      </c>
      <c r="BY136" s="143" t="str">
        <f t="shared" si="525"/>
        <v>-</v>
      </c>
      <c r="BZ136" s="143" t="str">
        <f t="shared" si="526"/>
        <v>-</v>
      </c>
      <c r="CA136" s="143" t="str">
        <f t="shared" si="527"/>
        <v>-</v>
      </c>
      <c r="CB136" s="143" t="str">
        <f t="shared" si="528"/>
        <v>-</v>
      </c>
      <c r="CD136" s="112" t="str">
        <f t="shared" si="1248"/>
        <v>-</v>
      </c>
      <c r="CE136" s="95" t="str">
        <f>IFERROR(SUMIFS('01. KE30'!$R:$R,'01. KE30'!$C:$C,'06. BC BH THEO CUSTOMER-USD'!$D136,'01. KE30'!$F:$F,'06. BC BH THEO CUSTOMER-USD'!$H136,'01. KE30'!$A:$A,'06. BC BH THEO CUSTOMER-USD'!CE$4)/CS136/'02. Tỷ giá'!B$5," -")</f>
        <v xml:space="preserve"> -</v>
      </c>
      <c r="CF136" s="95" t="str">
        <f>IFERROR(SUMIFS('01. KE30'!$R:$R,'01. KE30'!$C:$C,'06. BC BH THEO CUSTOMER-USD'!$D136,'01. KE30'!$F:$F,'06. BC BH THEO CUSTOMER-USD'!$H136,'01. KE30'!$A:$A,'06. BC BH THEO CUSTOMER-USD'!CF$4)/CT136/'02. Tỷ giá'!C$5," -")</f>
        <v xml:space="preserve"> -</v>
      </c>
      <c r="CG136" s="95" t="str">
        <f>IFERROR(SUMIFS('01. KE30'!$R:$R,'01. KE30'!$C:$C,'06. BC BH THEO CUSTOMER-USD'!$D136,'01. KE30'!$F:$F,'06. BC BH THEO CUSTOMER-USD'!$H136,'01. KE30'!$A:$A,'06. BC BH THEO CUSTOMER-USD'!CG$4)/CU136/'02. Tỷ giá'!D$5," -")</f>
        <v xml:space="preserve"> -</v>
      </c>
      <c r="CH136" s="95" t="str">
        <f>IFERROR(SUMIFS('01. KE30'!$R:$R,'01. KE30'!$C:$C,'06. BC BH THEO CUSTOMER-USD'!$D136,'01. KE30'!$F:$F,'06. BC BH THEO CUSTOMER-USD'!$H136,'01. KE30'!$A:$A,'06. BC BH THEO CUSTOMER-USD'!CH$4)/CV136/'02. Tỷ giá'!E$5," -")</f>
        <v xml:space="preserve"> -</v>
      </c>
      <c r="CI136" s="95" t="str">
        <f>IFERROR(SUMIFS('01. KE30'!$R:$R,'01. KE30'!$C:$C,'06. BC BH THEO CUSTOMER-USD'!$D136,'01. KE30'!$F:$F,'06. BC BH THEO CUSTOMER-USD'!$H136,'01. KE30'!$A:$A,'06. BC BH THEO CUSTOMER-USD'!CI$4)/CW136/'02. Tỷ giá'!F$5," -")</f>
        <v xml:space="preserve"> -</v>
      </c>
      <c r="CJ136" s="95" t="str">
        <f>IFERROR(SUMIFS('01. KE30'!$R:$R,'01. KE30'!$C:$C,'06. BC BH THEO CUSTOMER-USD'!$D136,'01. KE30'!$F:$F,'06. BC BH THEO CUSTOMER-USD'!$H136,'01. KE30'!$A:$A,'06. BC BH THEO CUSTOMER-USD'!CJ$4)/CX136/'02. Tỷ giá'!G$5," -")</f>
        <v xml:space="preserve"> -</v>
      </c>
      <c r="CK136" s="95" t="str">
        <f>IFERROR(SUMIFS('01. KE30'!$R:$R,'01. KE30'!$C:$C,'06. BC BH THEO CUSTOMER-USD'!$D136,'01. KE30'!$F:$F,'06. BC BH THEO CUSTOMER-USD'!$H136,'01. KE30'!$A:$A,'06. BC BH THEO CUSTOMER-USD'!CK$4)/CY136/'02. Tỷ giá'!H$5," -")</f>
        <v xml:space="preserve"> -</v>
      </c>
      <c r="CL136" s="95" t="str">
        <f>IFERROR(SUMIFS('01. KE30'!$R:$R,'01. KE30'!$C:$C,'06. BC BH THEO CUSTOMER-USD'!$D136,'01. KE30'!$F:$F,'06. BC BH THEO CUSTOMER-USD'!$H136,'01. KE30'!$A:$A,'06. BC BH THEO CUSTOMER-USD'!CL$4)/CZ136/'02. Tỷ giá'!I$5," -")</f>
        <v xml:space="preserve"> -</v>
      </c>
      <c r="CM136" s="95" t="str">
        <f>IFERROR(SUMIFS('01. KE30'!$R:$R,'01. KE30'!$C:$C,'06. BC BH THEO CUSTOMER-USD'!$D136,'01. KE30'!$F:$F,'06. BC BH THEO CUSTOMER-USD'!$H136,'01. KE30'!$A:$A,'06. BC BH THEO CUSTOMER-USD'!CM$4)/DA136/'02. Tỷ giá'!J$5," -")</f>
        <v xml:space="preserve"> -</v>
      </c>
      <c r="CN136" s="95" t="str">
        <f>IFERROR(SUMIFS('01. KE30'!$R:$R,'01. KE30'!$C:$C,'06. BC BH THEO CUSTOMER-USD'!$D136,'01. KE30'!$F:$F,'06. BC BH THEO CUSTOMER-USD'!$H136,'01. KE30'!$A:$A,'06. BC BH THEO CUSTOMER-USD'!CN$4)/DB136/'02. Tỷ giá'!K$5," -")</f>
        <v xml:space="preserve"> -</v>
      </c>
      <c r="CO136" s="95" t="str">
        <f>IFERROR(SUMIFS('01. KE30'!$R:$R,'01. KE30'!$C:$C,'06. BC BH THEO CUSTOMER-USD'!$D136,'01. KE30'!$F:$F,'06. BC BH THEO CUSTOMER-USD'!$H136,'01. KE30'!$A:$A,'06. BC BH THEO CUSTOMER-USD'!CO$4)/DC136/'02. Tỷ giá'!L$5," -")</f>
        <v xml:space="preserve"> -</v>
      </c>
      <c r="CP136" s="95" t="str">
        <f>IFERROR(SUMIFS('01. KE30'!$R:$R,'01. KE30'!$C:$C,'06. BC BH THEO CUSTOMER-USD'!$D136,'01. KE30'!$F:$F,'06. BC BH THEO CUSTOMER-USD'!$H136,'01. KE30'!$A:$A,'06. BC BH THEO CUSTOMER-USD'!CP$4)/DD136/'02. Tỷ giá'!M$5," -")</f>
        <v xml:space="preserve"> -</v>
      </c>
      <c r="CR136" s="112">
        <f t="shared" ref="CR136" si="1332">SUM(CS136:DD136)</f>
        <v>0</v>
      </c>
      <c r="CS136" s="114">
        <f>SUMIFS('01. KE30'!$I:$I,'01. KE30'!$C:$C,'06. BC BH THEO CUSTOMER-USD'!$D136,'01. KE30'!$F:$F,'06. BC BH THEO CUSTOMER-USD'!$H136,'01. KE30'!$A:$A,'06. BC BH THEO CUSTOMER-USD'!CS$4)/1000</f>
        <v>0</v>
      </c>
      <c r="CT136" s="114">
        <f>SUMIFS('01. KE30'!$I:$I,'01. KE30'!$C:$C,'06. BC BH THEO CUSTOMER-USD'!$D136,'01. KE30'!$F:$F,'06. BC BH THEO CUSTOMER-USD'!$H136,'01. KE30'!$A:$A,'06. BC BH THEO CUSTOMER-USD'!CT$4)/1000</f>
        <v>0</v>
      </c>
      <c r="CU136" s="114">
        <f>SUMIFS('01. KE30'!$I:$I,'01. KE30'!$C:$C,'06. BC BH THEO CUSTOMER-USD'!$D136,'01. KE30'!$F:$F,'06. BC BH THEO CUSTOMER-USD'!$H136,'01. KE30'!$A:$A,'06. BC BH THEO CUSTOMER-USD'!CU$4)/1000</f>
        <v>0</v>
      </c>
      <c r="CV136" s="114">
        <f>SUMIFS('01. KE30'!$I:$I,'01. KE30'!$C:$C,'06. BC BH THEO CUSTOMER-USD'!$D136,'01. KE30'!$F:$F,'06. BC BH THEO CUSTOMER-USD'!$H136,'01. KE30'!$A:$A,'06. BC BH THEO CUSTOMER-USD'!CV$4)/1000</f>
        <v>0</v>
      </c>
      <c r="CW136" s="114">
        <f>SUMIFS('01. KE30'!$I:$I,'01. KE30'!$C:$C,'06. BC BH THEO CUSTOMER-USD'!$D136,'01. KE30'!$F:$F,'06. BC BH THEO CUSTOMER-USD'!$H136,'01. KE30'!$A:$A,'06. BC BH THEO CUSTOMER-USD'!CW$4)/1000</f>
        <v>0</v>
      </c>
      <c r="CX136" s="114">
        <f>SUMIFS('01. KE30'!$I:$I,'01. KE30'!$C:$C,'06. BC BH THEO CUSTOMER-USD'!$D136,'01. KE30'!$F:$F,'06. BC BH THEO CUSTOMER-USD'!$H136,'01. KE30'!$A:$A,'06. BC BH THEO CUSTOMER-USD'!CX$4)/1000</f>
        <v>0</v>
      </c>
      <c r="CY136" s="114">
        <f>SUMIFS('01. KE30'!$I:$I,'01. KE30'!$C:$C,'06. BC BH THEO CUSTOMER-USD'!$D136,'01. KE30'!$F:$F,'06. BC BH THEO CUSTOMER-USD'!$H136,'01. KE30'!$A:$A,'06. BC BH THEO CUSTOMER-USD'!CY$4)/1000</f>
        <v>0</v>
      </c>
      <c r="CZ136" s="114">
        <f>SUMIFS('01. KE30'!$I:$I,'01. KE30'!$C:$C,'06. BC BH THEO CUSTOMER-USD'!$D136,'01. KE30'!$F:$F,'06. BC BH THEO CUSTOMER-USD'!$H136,'01. KE30'!$A:$A,'06. BC BH THEO CUSTOMER-USD'!CZ$4)/1000</f>
        <v>0</v>
      </c>
      <c r="DA136" s="114">
        <f>SUMIFS('01. KE30'!$I:$I,'01. KE30'!$C:$C,'06. BC BH THEO CUSTOMER-USD'!$D136,'01. KE30'!$F:$F,'06. BC BH THEO CUSTOMER-USD'!$H136,'01. KE30'!$A:$A,'06. BC BH THEO CUSTOMER-USD'!DA$4)/1000</f>
        <v>0</v>
      </c>
      <c r="DB136" s="114">
        <f>SUMIFS('01. KE30'!$I:$I,'01. KE30'!$C:$C,'06. BC BH THEO CUSTOMER-USD'!$D136,'01. KE30'!$F:$F,'06. BC BH THEO CUSTOMER-USD'!$H136,'01. KE30'!$A:$A,'06. BC BH THEO CUSTOMER-USD'!DB$4)/1000</f>
        <v>0</v>
      </c>
      <c r="DC136" s="114">
        <f>SUMIFS('01. KE30'!$I:$I,'01. KE30'!$C:$C,'06. BC BH THEO CUSTOMER-USD'!$D136,'01. KE30'!$F:$F,'06. BC BH THEO CUSTOMER-USD'!$H136,'01. KE30'!$A:$A,'06. BC BH THEO CUSTOMER-USD'!DC$4)/1000</f>
        <v>0</v>
      </c>
      <c r="DD136" s="114">
        <f>SUMIFS('01. KE30'!$I:$I,'01. KE30'!$C:$C,'06. BC BH THEO CUSTOMER-USD'!$D136,'01. KE30'!$F:$F,'06. BC BH THEO CUSTOMER-USD'!$H136,'01. KE30'!$A:$A,'06. BC BH THEO CUSTOMER-USD'!DD$4)/1000</f>
        <v>0</v>
      </c>
      <c r="DF136" s="112">
        <f t="shared" si="1250"/>
        <v>0</v>
      </c>
      <c r="DG136" s="54" t="str">
        <f t="shared" si="1251"/>
        <v>-</v>
      </c>
      <c r="DH136" s="54" t="str">
        <f t="shared" si="1252"/>
        <v>-</v>
      </c>
      <c r="DI136" s="54" t="str">
        <f t="shared" si="1253"/>
        <v>-</v>
      </c>
      <c r="DJ136" s="54" t="str">
        <f t="shared" si="1254"/>
        <v>-</v>
      </c>
      <c r="DK136" s="54" t="str">
        <f t="shared" si="1255"/>
        <v>-</v>
      </c>
      <c r="DL136" s="54" t="str">
        <f t="shared" si="1256"/>
        <v>-</v>
      </c>
      <c r="DM136" s="54" t="str">
        <f t="shared" si="1257"/>
        <v>-</v>
      </c>
      <c r="DN136" s="54" t="str">
        <f t="shared" si="1258"/>
        <v>-</v>
      </c>
      <c r="DO136" s="54" t="str">
        <f t="shared" si="1259"/>
        <v>-</v>
      </c>
      <c r="DP136" s="54" t="str">
        <f t="shared" si="1260"/>
        <v>-</v>
      </c>
      <c r="DQ136" s="54" t="str">
        <f t="shared" si="1261"/>
        <v>-</v>
      </c>
      <c r="DR136" s="54" t="str">
        <f t="shared" si="1262"/>
        <v>-</v>
      </c>
      <c r="DT136" s="112">
        <f t="shared" si="652"/>
        <v>0</v>
      </c>
      <c r="DU136" s="114">
        <f>IFERROR(SUMIFS('01. KE30'!$X:$X,'01. KE30'!$C:$C,'06. BC BH THEO CUSTOMER-USD'!$D136,'01. KE30'!$F:$F,'06. BC BH THEO CUSTOMER-USD'!$H136,'01. KE30'!$A:$A,'06. BC BH THEO CUSTOMER-USD'!DU$4)-SUMIFS('01. KE30'!$AA:$AA,'01. KE30'!$C:$C,'06. BC BH THEO CUSTOMER-USD'!$D136,'01. KE30'!$F:$F,'06. BC BH THEO CUSTOMER-USD'!$H136,'01. KE30'!$A:$A,'06. BC BH THEO CUSTOMER-USD'!DU$4),"-")</f>
        <v>0</v>
      </c>
      <c r="DV136" s="114">
        <f>IFERROR(SUMIFS('01. KE30'!$X:$X,'01. KE30'!$C:$C,'06. BC BH THEO CUSTOMER-USD'!$D136,'01. KE30'!$F:$F,'06. BC BH THEO CUSTOMER-USD'!$H136,'01. KE30'!$A:$A,'06. BC BH THEO CUSTOMER-USD'!DV$4)-SUMIFS('01. KE30'!$AA:$AA,'01. KE30'!$C:$C,'06. BC BH THEO CUSTOMER-USD'!$D136,'01. KE30'!$F:$F,'06. BC BH THEO CUSTOMER-USD'!$H136,'01. KE30'!$A:$A,'06. BC BH THEO CUSTOMER-USD'!DV$4),"-")</f>
        <v>0</v>
      </c>
      <c r="DW136" s="114">
        <f>IFERROR(SUMIFS('01. KE30'!$X:$X,'01. KE30'!$C:$C,'06. BC BH THEO CUSTOMER-USD'!$D136,'01. KE30'!$F:$F,'06. BC BH THEO CUSTOMER-USD'!$H136,'01. KE30'!$A:$A,'06. BC BH THEO CUSTOMER-USD'!DW$4)-SUMIFS('01. KE30'!$AA:$AA,'01. KE30'!$C:$C,'06. BC BH THEO CUSTOMER-USD'!$D136,'01. KE30'!$F:$F,'06. BC BH THEO CUSTOMER-USD'!$H136,'01. KE30'!$A:$A,'06. BC BH THEO CUSTOMER-USD'!DW$4),"-")</f>
        <v>0</v>
      </c>
      <c r="DX136" s="114">
        <f>IFERROR(SUMIFS('01. KE30'!$X:$X,'01. KE30'!$C:$C,'06. BC BH THEO CUSTOMER-USD'!$D136,'01. KE30'!$F:$F,'06. BC BH THEO CUSTOMER-USD'!$H136,'01. KE30'!$A:$A,'06. BC BH THEO CUSTOMER-USD'!DX$4)-SUMIFS('01. KE30'!$AA:$AA,'01. KE30'!$C:$C,'06. BC BH THEO CUSTOMER-USD'!$D136,'01. KE30'!$F:$F,'06. BC BH THEO CUSTOMER-USD'!$H136,'01. KE30'!$A:$A,'06. BC BH THEO CUSTOMER-USD'!DX$4),"-")</f>
        <v>0</v>
      </c>
      <c r="DY136" s="114">
        <f>IFERROR(SUMIFS('01. KE30'!$X:$X,'01. KE30'!$C:$C,'06. BC BH THEO CUSTOMER-USD'!$D136,'01. KE30'!$F:$F,'06. BC BH THEO CUSTOMER-USD'!$H136,'01. KE30'!$A:$A,'06. BC BH THEO CUSTOMER-USD'!DY$4)-SUMIFS('01. KE30'!$AA:$AA,'01. KE30'!$C:$C,'06. BC BH THEO CUSTOMER-USD'!$D136,'01. KE30'!$F:$F,'06. BC BH THEO CUSTOMER-USD'!$H136,'01. KE30'!$A:$A,'06. BC BH THEO CUSTOMER-USD'!DY$4),"-")</f>
        <v>0</v>
      </c>
      <c r="DZ136" s="114">
        <f>IFERROR(SUMIFS('01. KE30'!$X:$X,'01. KE30'!$C:$C,'06. BC BH THEO CUSTOMER-USD'!$D136,'01. KE30'!$F:$F,'06. BC BH THEO CUSTOMER-USD'!$H136,'01. KE30'!$A:$A,'06. BC BH THEO CUSTOMER-USD'!DZ$4)-SUMIFS('01. KE30'!$AA:$AA,'01. KE30'!$C:$C,'06. BC BH THEO CUSTOMER-USD'!$D136,'01. KE30'!$F:$F,'06. BC BH THEO CUSTOMER-USD'!$H136,'01. KE30'!$A:$A,'06. BC BH THEO CUSTOMER-USD'!DZ$4),"-")</f>
        <v>0</v>
      </c>
      <c r="EA136" s="114">
        <f>IFERROR(SUMIFS('01. KE30'!$X:$X,'01. KE30'!$C:$C,'06. BC BH THEO CUSTOMER-USD'!$D136,'01. KE30'!$F:$F,'06. BC BH THEO CUSTOMER-USD'!$H136,'01. KE30'!$A:$A,'06. BC BH THEO CUSTOMER-USD'!EA$4)-SUMIFS('01. KE30'!$AA:$AA,'01. KE30'!$C:$C,'06. BC BH THEO CUSTOMER-USD'!$D136,'01. KE30'!$F:$F,'06. BC BH THEO CUSTOMER-USD'!$H136,'01. KE30'!$A:$A,'06. BC BH THEO CUSTOMER-USD'!EA$4),"-")</f>
        <v>0</v>
      </c>
      <c r="EB136" s="114">
        <f>IFERROR(SUMIFS('01. KE30'!$X:$X,'01. KE30'!$C:$C,'06. BC BH THEO CUSTOMER-USD'!$D136,'01. KE30'!$F:$F,'06. BC BH THEO CUSTOMER-USD'!$H136,'01. KE30'!$A:$A,'06. BC BH THEO CUSTOMER-USD'!EB$4)-SUMIFS('01. KE30'!$AA:$AA,'01. KE30'!$C:$C,'06. BC BH THEO CUSTOMER-USD'!$D136,'01. KE30'!$F:$F,'06. BC BH THEO CUSTOMER-USD'!$H136,'01. KE30'!$A:$A,'06. BC BH THEO CUSTOMER-USD'!EB$4),"-")</f>
        <v>0</v>
      </c>
      <c r="EC136" s="114">
        <f>IFERROR(SUMIFS('01. KE30'!$X:$X,'01. KE30'!$C:$C,'06. BC BH THEO CUSTOMER-USD'!$D136,'01. KE30'!$F:$F,'06. BC BH THEO CUSTOMER-USD'!$H136,'01. KE30'!$A:$A,'06. BC BH THEO CUSTOMER-USD'!EC$4)-SUMIFS('01. KE30'!$AA:$AA,'01. KE30'!$C:$C,'06. BC BH THEO CUSTOMER-USD'!$D136,'01. KE30'!$F:$F,'06. BC BH THEO CUSTOMER-USD'!$H136,'01. KE30'!$A:$A,'06. BC BH THEO CUSTOMER-USD'!EC$4),"-")</f>
        <v>0</v>
      </c>
      <c r="ED136" s="114">
        <f>IFERROR(SUMIFS('01. KE30'!$X:$X,'01. KE30'!$C:$C,'06. BC BH THEO CUSTOMER-USD'!$D136,'01. KE30'!$F:$F,'06. BC BH THEO CUSTOMER-USD'!$H136,'01. KE30'!$A:$A,'06. BC BH THEO CUSTOMER-USD'!ED$4)-SUMIFS('01. KE30'!$AA:$AA,'01. KE30'!$C:$C,'06. BC BH THEO CUSTOMER-USD'!$D136,'01. KE30'!$F:$F,'06. BC BH THEO CUSTOMER-USD'!$H136,'01. KE30'!$A:$A,'06. BC BH THEO CUSTOMER-USD'!ED$4),"-")</f>
        <v>0</v>
      </c>
      <c r="EE136" s="114">
        <f>IFERROR(SUMIFS('01. KE30'!$X:$X,'01. KE30'!$C:$C,'06. BC BH THEO CUSTOMER-USD'!$D136,'01. KE30'!$F:$F,'06. BC BH THEO CUSTOMER-USD'!$H136,'01. KE30'!$A:$A,'06. BC BH THEO CUSTOMER-USD'!EE$4)-SUMIFS('01. KE30'!$AA:$AA,'01. KE30'!$C:$C,'06. BC BH THEO CUSTOMER-USD'!$D136,'01. KE30'!$F:$F,'06. BC BH THEO CUSTOMER-USD'!$H136,'01. KE30'!$A:$A,'06. BC BH THEO CUSTOMER-USD'!EE$4),"-")</f>
        <v>0</v>
      </c>
      <c r="EF136" s="114">
        <f>IFERROR(SUMIFS('01. KE30'!$X:$X,'01. KE30'!$C:$C,'06. BC BH THEO CUSTOMER-USD'!$D136,'01. KE30'!$F:$F,'06. BC BH THEO CUSTOMER-USD'!$H136,'01. KE30'!$A:$A,'06. BC BH THEO CUSTOMER-USD'!EF$4)-SUMIFS('01. KE30'!$AA:$AA,'01. KE30'!$C:$C,'06. BC BH THEO CUSTOMER-USD'!$D136,'01. KE30'!$F:$F,'06. BC BH THEO CUSTOMER-USD'!$H136,'01. KE30'!$A:$A,'06. BC BH THEO CUSTOMER-USD'!EF$4),"-")</f>
        <v>0</v>
      </c>
      <c r="EH136" s="571" t="str">
        <f t="shared" si="531"/>
        <v>-</v>
      </c>
      <c r="EI136" s="572" t="str">
        <f t="shared" si="532"/>
        <v>-</v>
      </c>
      <c r="EJ136" s="572" t="str">
        <f t="shared" si="533"/>
        <v>-</v>
      </c>
      <c r="EK136" s="572" t="str">
        <f t="shared" si="534"/>
        <v>-</v>
      </c>
      <c r="EL136" s="572" t="str">
        <f t="shared" si="535"/>
        <v>-</v>
      </c>
      <c r="EM136" s="572" t="str">
        <f t="shared" si="536"/>
        <v>-</v>
      </c>
      <c r="EN136" s="572" t="str">
        <f t="shared" si="537"/>
        <v>-</v>
      </c>
      <c r="EO136" s="572" t="str">
        <f t="shared" si="538"/>
        <v>-</v>
      </c>
      <c r="EP136" s="572" t="str">
        <f t="shared" si="539"/>
        <v>-</v>
      </c>
      <c r="EQ136" s="572" t="str">
        <f t="shared" si="540"/>
        <v>-</v>
      </c>
      <c r="ER136" s="572" t="str">
        <f t="shared" si="541"/>
        <v>-</v>
      </c>
      <c r="ES136" s="572" t="str">
        <f t="shared" si="542"/>
        <v>-</v>
      </c>
      <c r="ET136" s="572" t="str">
        <f t="shared" si="543"/>
        <v>-</v>
      </c>
    </row>
    <row r="137" spans="1:150" ht="15.5" hidden="1" outlineLevel="1" x14ac:dyDescent="0.35">
      <c r="A137" s="10">
        <f t="shared" si="1266"/>
        <v>9</v>
      </c>
      <c r="B137" s="10" t="s">
        <v>265</v>
      </c>
      <c r="C137" s="442" t="s">
        <v>503</v>
      </c>
      <c r="D137" s="9" t="s">
        <v>77</v>
      </c>
      <c r="E137" s="8" t="s">
        <v>76</v>
      </c>
      <c r="F137" s="12" t="s">
        <v>245</v>
      </c>
      <c r="G137" s="12" t="str">
        <f>_xlfn.XLOOKUP(F137,'Quy đổi'!$G$5:$G$32,'Quy đổi'!$H$5:$H$32,0)</f>
        <v>Nội địa</v>
      </c>
      <c r="H137" s="76" t="s">
        <v>69</v>
      </c>
      <c r="I137" s="7" t="s">
        <v>64</v>
      </c>
      <c r="J137" s="69" t="s">
        <v>22</v>
      </c>
      <c r="K137" s="5"/>
      <c r="L137" s="92">
        <f t="shared" si="1263"/>
        <v>1408.1205953858</v>
      </c>
      <c r="M137" s="106">
        <f>IFERROR(SUMIFS('01. KE30'!$K:$K,'01. KE30'!$C:$C,'06. BC BH THEO CUSTOMER-USD'!$D137,'01. KE30'!$F:$F,'06. BC BH THEO CUSTOMER-USD'!$H137,'01. KE30'!$A:$A,'06. BC BH THEO CUSTOMER-USD'!M$4)/'06. BC BH THEO CUSTOMER-USD'!CS137/'02. Tỷ giá'!B$5,"-")</f>
        <v>1441.2685668406264</v>
      </c>
      <c r="N137" s="106">
        <f>IFERROR(SUMIFS('01. KE30'!$K:$K,'01. KE30'!$C:$C,'06. BC BH THEO CUSTOMER-USD'!$D137,'01. KE30'!$F:$F,'06. BC BH THEO CUSTOMER-USD'!$H137,'01. KE30'!$A:$A,'06. BC BH THEO CUSTOMER-USD'!N$4)/'06. BC BH THEO CUSTOMER-USD'!CT137/'02. Tỷ giá'!C$5,"-")</f>
        <v>1432.3749507680188</v>
      </c>
      <c r="O137" s="106">
        <f>IFERROR(SUMIFS('01. KE30'!$K:$K,'01. KE30'!$C:$C,'06. BC BH THEO CUSTOMER-USD'!$D137,'01. KE30'!$F:$F,'06. BC BH THEO CUSTOMER-USD'!$H137,'01. KE30'!$A:$A,'06. BC BH THEO CUSTOMER-USD'!O$4)/'06. BC BH THEO CUSTOMER-USD'!CU137/'02. Tỷ giá'!D$5,"-")</f>
        <v>1431.8110236220473</v>
      </c>
      <c r="P137" s="106">
        <f>IFERROR(SUMIFS('01. KE30'!$K:$K,'01. KE30'!$C:$C,'06. BC BH THEO CUSTOMER-USD'!$D137,'01. KE30'!$F:$F,'06. BC BH THEO CUSTOMER-USD'!$H137,'01. KE30'!$A:$A,'06. BC BH THEO CUSTOMER-USD'!P$4)/'06. BC BH THEO CUSTOMER-USD'!CV137/'02. Tỷ giá'!E$5,"-")</f>
        <v>1407.975222609369</v>
      </c>
      <c r="Q137" s="106">
        <f>IFERROR(SUMIFS('01. KE30'!$K:$K,'01. KE30'!$C:$C,'06. BC BH THEO CUSTOMER-USD'!$D137,'01. KE30'!$F:$F,'06. BC BH THEO CUSTOMER-USD'!$H137,'01. KE30'!$A:$A,'06. BC BH THEO CUSTOMER-USD'!Q$4)/'06. BC BH THEO CUSTOMER-USD'!CW137/'02. Tỷ giá'!F$5,"-")</f>
        <v>1370.3016241299304</v>
      </c>
      <c r="R137" s="106">
        <f>IFERROR(SUMIFS('01. KE30'!$K:$K,'01. KE30'!$C:$C,'06. BC BH THEO CUSTOMER-USD'!$D137,'01. KE30'!$F:$F,'06. BC BH THEO CUSTOMER-USD'!$H137,'01. KE30'!$A:$A,'06. BC BH THEO CUSTOMER-USD'!R$4)/'06. BC BH THEO CUSTOMER-USD'!CX137/'02. Tỷ giá'!G$5,"-")</f>
        <v>1367.1296296296296</v>
      </c>
      <c r="S137" s="106">
        <f>IFERROR(SUMIFS('01. KE30'!$K:$K,'01. KE30'!$C:$C,'06. BC BH THEO CUSTOMER-USD'!$D137,'01. KE30'!$F:$F,'06. BC BH THEO CUSTOMER-USD'!$H137,'01. KE30'!$A:$A,'06. BC BH THEO CUSTOMER-USD'!S$4)/'06. BC BH THEO CUSTOMER-USD'!CY137/'02. Tỷ giá'!H$5,"-")</f>
        <v>1414.0577440231687</v>
      </c>
      <c r="T137" s="106">
        <f>IFERROR(SUMIFS('01. KE30'!$K:$K,'01. KE30'!$C:$C,'06. BC BH THEO CUSTOMER-USD'!$D137,'01. KE30'!$F:$F,'06. BC BH THEO CUSTOMER-USD'!$H137,'01. KE30'!$A:$A,'06. BC BH THEO CUSTOMER-USD'!T$4)/'06. BC BH THEO CUSTOMER-USD'!CZ137/'02. Tỷ giá'!I$5,"-")</f>
        <v>1405.9600034428172</v>
      </c>
      <c r="U137" s="106">
        <f>IFERROR(SUMIFS('01. KE30'!$K:$K,'01. KE30'!$C:$C,'06. BC BH THEO CUSTOMER-USD'!$D137,'01. KE30'!$F:$F,'06. BC BH THEO CUSTOMER-USD'!$H137,'01. KE30'!$A:$A,'06. BC BH THEO CUSTOMER-USD'!U$4)/'06. BC BH THEO CUSTOMER-USD'!DA137/'02. Tỷ giá'!J$5,"-")</f>
        <v>1402.2065934065936</v>
      </c>
      <c r="V137" s="106" t="str">
        <f>IFERROR(SUMIFS('01. KE30'!$K:$K,'01. KE30'!$C:$C,'06. BC BH THEO CUSTOMER-USD'!$D137,'01. KE30'!$F:$F,'06. BC BH THEO CUSTOMER-USD'!$H137,'01. KE30'!$A:$A,'06. BC BH THEO CUSTOMER-USD'!V$4)/'06. BC BH THEO CUSTOMER-USD'!DB137/'02. Tỷ giá'!K$5,"-")</f>
        <v>-</v>
      </c>
      <c r="W137" s="106" t="str">
        <f>IFERROR(SUMIFS('01. KE30'!$K:$K,'01. KE30'!$C:$C,'06. BC BH THEO CUSTOMER-USD'!$D137,'01. KE30'!$F:$F,'06. BC BH THEO CUSTOMER-USD'!$H137,'01. KE30'!$A:$A,'06. BC BH THEO CUSTOMER-USD'!W$4)/'06. BC BH THEO CUSTOMER-USD'!DC137/'02. Tỷ giá'!L$5,"-")</f>
        <v>-</v>
      </c>
      <c r="X137" s="106" t="str">
        <f>IFERROR(SUMIFS('01. KE30'!$K:$K,'01. KE30'!$C:$C,'06. BC BH THEO CUSTOMER-USD'!$D137,'01. KE30'!$F:$F,'06. BC BH THEO CUSTOMER-USD'!$H137,'01. KE30'!$A:$A,'06. BC BH THEO CUSTOMER-USD'!X$4)/'06. BC BH THEO CUSTOMER-USD'!DD137/'02. Tỷ giá'!M$5,"-")</f>
        <v>-</v>
      </c>
      <c r="Z137" s="92">
        <f t="shared" si="1264"/>
        <v>1377.3447394073762</v>
      </c>
      <c r="AA137" s="147">
        <f>IFERROR(SUMIFS('01. KE30'!$O:$O,'01. KE30'!$C:$C,'06. BC BH THEO CUSTOMER-USD'!$D137,'01. KE30'!$F:$F,'06. BC BH THEO CUSTOMER-USD'!$H137,'01. KE30'!$A:$A,'06. BC BH THEO CUSTOMER-USD'!M$4)/'06. BC BH THEO CUSTOMER-USD'!CS137/'02. Tỷ giá'!B$5,"-")</f>
        <v>1410.4805891106973</v>
      </c>
      <c r="AB137" s="147">
        <f>IFERROR(SUMIFS('01. KE30'!$O:$O,'01. KE30'!$C:$C,'06. BC BH THEO CUSTOMER-USD'!$D137,'01. KE30'!$F:$F,'06. BC BH THEO CUSTOMER-USD'!$H137,'01. KE30'!$A:$A,'06. BC BH THEO CUSTOMER-USD'!N$4)/'06. BC BH THEO CUSTOMER-USD'!CT137/'02. Tỷ giá'!C$5,"-")</f>
        <v>1402.1690214767104</v>
      </c>
      <c r="AC137" s="147">
        <f>IFERROR(SUMIFS('01. KE30'!$O:$O,'01. KE30'!$C:$C,'06. BC BH THEO CUSTOMER-USD'!$D137,'01. KE30'!$F:$F,'06. BC BH THEO CUSTOMER-USD'!$H137,'01. KE30'!$A:$A,'06. BC BH THEO CUSTOMER-USD'!O$4)/'06. BC BH THEO CUSTOMER-USD'!CU137/'02. Tỷ giá'!D$5,"-")</f>
        <v>1400.8805464973445</v>
      </c>
      <c r="AD137" s="147">
        <f>IFERROR(SUMIFS('01. KE30'!$O:$O,'01. KE30'!$C:$C,'06. BC BH THEO CUSTOMER-USD'!$D137,'01. KE30'!$F:$F,'06. BC BH THEO CUSTOMER-USD'!$H137,'01. KE30'!$A:$A,'06. BC BH THEO CUSTOMER-USD'!P$4)/'06. BC BH THEO CUSTOMER-USD'!CV137/'02. Tỷ giá'!E$5,"-")</f>
        <v>1377.559654705093</v>
      </c>
      <c r="AE137" s="147">
        <f>IFERROR(SUMIFS('01. KE30'!$O:$O,'01. KE30'!$C:$C,'06. BC BH THEO CUSTOMER-USD'!$D137,'01. KE30'!$F:$F,'06. BC BH THEO CUSTOMER-USD'!$H137,'01. KE30'!$A:$A,'06. BC BH THEO CUSTOMER-USD'!Q$4)/'06. BC BH THEO CUSTOMER-USD'!CW137/'02. Tỷ giá'!F$5,"-")</f>
        <v>1342.3806973519099</v>
      </c>
      <c r="AF137" s="147">
        <f>IFERROR(SUMIFS('01. KE30'!$O:$O,'01. KE30'!$C:$C,'06. BC BH THEO CUSTOMER-USD'!$D137,'01. KE30'!$F:$F,'06. BC BH THEO CUSTOMER-USD'!$H137,'01. KE30'!$A:$A,'06. BC BH THEO CUSTOMER-USD'!R$4)/'06. BC BH THEO CUSTOMER-USD'!CX137/'02. Tỷ giá'!G$5,"-")</f>
        <v>1339.56200089602</v>
      </c>
      <c r="AG137" s="147">
        <f>IFERROR(SUMIFS('01. KE30'!$O:$O,'01. KE30'!$C:$C,'06. BC BH THEO CUSTOMER-USD'!$D137,'01. KE30'!$F:$F,'06. BC BH THEO CUSTOMER-USD'!$H137,'01. KE30'!$A:$A,'06. BC BH THEO CUSTOMER-USD'!S$4)/'06. BC BH THEO CUSTOMER-USD'!CY137/'02. Tỷ giá'!H$5,"-")</f>
        <v>1380.8245183197162</v>
      </c>
      <c r="AH137" s="147">
        <f>IFERROR(SUMIFS('01. KE30'!$O:$O,'01. KE30'!$C:$C,'06. BC BH THEO CUSTOMER-USD'!$D137,'01. KE30'!$F:$F,'06. BC BH THEO CUSTOMER-USD'!$H137,'01. KE30'!$A:$A,'06. BC BH THEO CUSTOMER-USD'!T$4)/'06. BC BH THEO CUSTOMER-USD'!CZ137/'02. Tỷ giá'!I$5,"-")</f>
        <v>1373.1910660511494</v>
      </c>
      <c r="AI137" s="147">
        <f>IFERROR(SUMIFS('01. KE30'!$O:$O,'01. KE30'!$C:$C,'06. BC BH THEO CUSTOMER-USD'!$D137,'01. KE30'!$F:$F,'06. BC BH THEO CUSTOMER-USD'!$H137,'01. KE30'!$A:$A,'06. BC BH THEO CUSTOMER-USD'!U$4)/'06. BC BH THEO CUSTOMER-USD'!DA137/'02. Tỷ giá'!J$5,"-")</f>
        <v>1369.0545602577454</v>
      </c>
      <c r="AJ137" s="147" t="str">
        <f>IFERROR(SUMIFS('01. KE30'!$O:$O,'01. KE30'!$C:$C,'06. BC BH THEO CUSTOMER-USD'!$D137,'01. KE30'!$F:$F,'06. BC BH THEO CUSTOMER-USD'!$H137,'01. KE30'!$A:$A,'06. BC BH THEO CUSTOMER-USD'!V$4)/'06. BC BH THEO CUSTOMER-USD'!DB137/'02. Tỷ giá'!K$5,"-")</f>
        <v>-</v>
      </c>
      <c r="AK137" s="147" t="str">
        <f>IFERROR(SUMIFS('01. KE30'!$O:$O,'01. KE30'!$C:$C,'06. BC BH THEO CUSTOMER-USD'!$D137,'01. KE30'!$F:$F,'06. BC BH THEO CUSTOMER-USD'!$H137,'01. KE30'!$A:$A,'06. BC BH THEO CUSTOMER-USD'!W$4)/'06. BC BH THEO CUSTOMER-USD'!DC137/'02. Tỷ giá'!L$5,"-")</f>
        <v>-</v>
      </c>
      <c r="AL137" s="147" t="str">
        <f>IFERROR(SUMIFS('01. KE30'!$O:$O,'01. KE30'!$C:$C,'06. BC BH THEO CUSTOMER-USD'!$D137,'01. KE30'!$F:$F,'06. BC BH THEO CUSTOMER-USD'!$H137,'01. KE30'!$A:$A,'06. BC BH THEO CUSTOMER-USD'!X$4)/'06. BC BH THEO CUSTOMER-USD'!DD137/'02. Tỷ giá'!M$5,"-")</f>
        <v>-</v>
      </c>
      <c r="AN137" s="55">
        <f t="shared" si="1265"/>
        <v>1354.4444444444443</v>
      </c>
      <c r="AO137" s="4">
        <v>1400</v>
      </c>
      <c r="AP137" s="4">
        <v>1400</v>
      </c>
      <c r="AQ137" s="4">
        <v>1350</v>
      </c>
      <c r="AR137" s="4">
        <v>1350</v>
      </c>
      <c r="AS137" s="4">
        <v>1350</v>
      </c>
      <c r="AT137" s="4">
        <v>1350</v>
      </c>
      <c r="AU137" s="4">
        <v>1350</v>
      </c>
      <c r="AV137" s="4">
        <f t="shared" si="1272"/>
        <v>1330</v>
      </c>
      <c r="AW137" s="4">
        <v>1310</v>
      </c>
      <c r="AX137" s="4"/>
      <c r="AY137" s="4"/>
      <c r="AZ137" s="4"/>
      <c r="BB137" s="54">
        <f t="shared" si="637"/>
        <v>22.900294962931866</v>
      </c>
      <c r="BC137" s="95">
        <f t="shared" ref="BC137:BC182" si="1333">IF(M137&lt;&gt;"-",AA137-AO137,"-")</f>
        <v>10.480589110697338</v>
      </c>
      <c r="BD137" s="95">
        <f t="shared" si="1330"/>
        <v>2.1690214767104408</v>
      </c>
      <c r="BE137" s="95">
        <f t="shared" si="1330"/>
        <v>50.88054649734454</v>
      </c>
      <c r="BF137" s="95">
        <f t="shared" si="1330"/>
        <v>27.559654705092953</v>
      </c>
      <c r="BG137" s="95">
        <f t="shared" si="1330"/>
        <v>-7.6193026480900699</v>
      </c>
      <c r="BH137" s="95">
        <f t="shared" si="1330"/>
        <v>-10.437999103980019</v>
      </c>
      <c r="BI137" s="95">
        <f t="shared" si="1330"/>
        <v>30.824518319716162</v>
      </c>
      <c r="BJ137" s="95">
        <f t="shared" si="1330"/>
        <v>43.191066051149392</v>
      </c>
      <c r="BK137" s="95">
        <f t="shared" si="1330"/>
        <v>59.054560257745379</v>
      </c>
      <c r="BL137" s="95" t="str">
        <f t="shared" si="1330"/>
        <v>-</v>
      </c>
      <c r="BM137" s="95" t="str">
        <f t="shared" si="1330"/>
        <v>-</v>
      </c>
      <c r="BN137" s="95" t="str">
        <f t="shared" si="1330"/>
        <v>-</v>
      </c>
      <c r="BP137" s="143">
        <f t="shared" si="639"/>
        <v>1.6907518840556753E-2</v>
      </c>
      <c r="BQ137" s="143">
        <f t="shared" si="1331"/>
        <v>7.4861350790695266E-3</v>
      </c>
      <c r="BR137" s="143">
        <f t="shared" si="518"/>
        <v>1.5493010547931721E-3</v>
      </c>
      <c r="BS137" s="143">
        <f t="shared" si="519"/>
        <v>3.7689293701736695E-2</v>
      </c>
      <c r="BT137" s="143">
        <f t="shared" si="520"/>
        <v>2.0414559040809594E-2</v>
      </c>
      <c r="BU137" s="143">
        <f t="shared" si="521"/>
        <v>-5.6439278874741254E-3</v>
      </c>
      <c r="BV137" s="143">
        <f t="shared" si="522"/>
        <v>-7.7318511881333471E-3</v>
      </c>
      <c r="BW137" s="143">
        <f t="shared" si="523"/>
        <v>2.2832976533123082E-2</v>
      </c>
      <c r="BX137" s="143">
        <f t="shared" si="524"/>
        <v>3.2474485752743906E-2</v>
      </c>
      <c r="BY137" s="143">
        <f t="shared" si="525"/>
        <v>4.5079816990645324E-2</v>
      </c>
      <c r="BZ137" s="143" t="str">
        <f t="shared" si="526"/>
        <v>-</v>
      </c>
      <c r="CA137" s="143" t="str">
        <f t="shared" si="527"/>
        <v>-</v>
      </c>
      <c r="CB137" s="143" t="str">
        <f t="shared" si="528"/>
        <v>-</v>
      </c>
      <c r="CD137" s="112">
        <f t="shared" si="1248"/>
        <v>1070.4635783327883</v>
      </c>
      <c r="CE137" s="95">
        <f>IFERROR(SUMIFS('01. KE30'!$R:$R,'01. KE30'!$C:$C,'06. BC BH THEO CUSTOMER-USD'!$D137,'01. KE30'!$F:$F,'06. BC BH THEO CUSTOMER-USD'!$H137,'01. KE30'!$A:$A,'06. BC BH THEO CUSTOMER-USD'!CE$4)/CS137/'02. Tỷ giá'!B$5," -")</f>
        <v>1119.4856935472753</v>
      </c>
      <c r="CF137" s="95">
        <f>IFERROR(SUMIFS('01. KE30'!$R:$R,'01. KE30'!$C:$C,'06. BC BH THEO CUSTOMER-USD'!$D137,'01. KE30'!$F:$F,'06. BC BH THEO CUSTOMER-USD'!$H137,'01. KE30'!$A:$A,'06. BC BH THEO CUSTOMER-USD'!CF$4)/CT137/'02. Tỷ giá'!C$5," -")</f>
        <v>1100.3654664009134</v>
      </c>
      <c r="CG137" s="95">
        <f>IFERROR(SUMIFS('01. KE30'!$R:$R,'01. KE30'!$C:$C,'06. BC BH THEO CUSTOMER-USD'!$D137,'01. KE30'!$F:$F,'06. BC BH THEO CUSTOMER-USD'!$H137,'01. KE30'!$A:$A,'06. BC BH THEO CUSTOMER-USD'!CG$4)/CU137/'02. Tỷ giá'!D$5," -")</f>
        <v>1100.9324425355921</v>
      </c>
      <c r="CH137" s="95">
        <f>IFERROR(SUMIFS('01. KE30'!$R:$R,'01. KE30'!$C:$C,'06. BC BH THEO CUSTOMER-USD'!$D137,'01. KE30'!$F:$F,'06. BC BH THEO CUSTOMER-USD'!$H137,'01. KE30'!$A:$A,'06. BC BH THEO CUSTOMER-USD'!CH$4)/CV137/'02. Tỷ giá'!E$5," -")</f>
        <v>1078.975159258086</v>
      </c>
      <c r="CI137" s="95">
        <f>IFERROR(SUMIFS('01. KE30'!$R:$R,'01. KE30'!$C:$C,'06. BC BH THEO CUSTOMER-USD'!$D137,'01. KE30'!$F:$F,'06. BC BH THEO CUSTOMER-USD'!$H137,'01. KE30'!$A:$A,'06. BC BH THEO CUSTOMER-USD'!CI$4)/CW137/'02. Tỷ giá'!F$5," -")</f>
        <v>1062.540201707719</v>
      </c>
      <c r="CJ137" s="95">
        <f>IFERROR(SUMIFS('01. KE30'!$R:$R,'01. KE30'!$C:$C,'06. BC BH THEO CUSTOMER-USD'!$D137,'01. KE30'!$F:$F,'06. BC BH THEO CUSTOMER-USD'!$H137,'01. KE30'!$A:$A,'06. BC BH THEO CUSTOMER-USD'!CJ$4)/CX137/'02. Tỷ giá'!G$5," -")</f>
        <v>1056.0314191295674</v>
      </c>
      <c r="CK137" s="95">
        <f>IFERROR(SUMIFS('01. KE30'!$R:$R,'01. KE30'!$C:$C,'06. BC BH THEO CUSTOMER-USD'!$D137,'01. KE30'!$F:$F,'06. BC BH THEO CUSTOMER-USD'!$H137,'01. KE30'!$A:$A,'06. BC BH THEO CUSTOMER-USD'!CK$4)/CY137/'02. Tỷ giá'!H$5," -")</f>
        <v>1049.2220831799777</v>
      </c>
      <c r="CL137" s="95">
        <f>IFERROR(SUMIFS('01. KE30'!$R:$R,'01. KE30'!$C:$C,'06. BC BH THEO CUSTOMER-USD'!$D137,'01. KE30'!$F:$F,'06. BC BH THEO CUSTOMER-USD'!$H137,'01. KE30'!$A:$A,'06. BC BH THEO CUSTOMER-USD'!CL$4)/CZ137/'02. Tỷ giá'!I$5," -")</f>
        <v>1035.5712826259073</v>
      </c>
      <c r="CM137" s="95">
        <f>IFERROR(SUMIFS('01. KE30'!$R:$R,'01. KE30'!$C:$C,'06. BC BH THEO CUSTOMER-USD'!$D137,'01. KE30'!$F:$F,'06. BC BH THEO CUSTOMER-USD'!$H137,'01. KE30'!$A:$A,'06. BC BH THEO CUSTOMER-USD'!CM$4)/DA137/'02. Tỷ giá'!J$5," -")</f>
        <v>1031.0484566100565</v>
      </c>
      <c r="CN137" s="95" t="str">
        <f>IFERROR(SUMIFS('01. KE30'!$R:$R,'01. KE30'!$C:$C,'06. BC BH THEO CUSTOMER-USD'!$D137,'01. KE30'!$F:$F,'06. BC BH THEO CUSTOMER-USD'!$H137,'01. KE30'!$A:$A,'06. BC BH THEO CUSTOMER-USD'!CN$4)/DB137/'02. Tỷ giá'!K$5," -")</f>
        <v xml:space="preserve"> -</v>
      </c>
      <c r="CO137" s="95" t="str">
        <f>IFERROR(SUMIFS('01. KE30'!$R:$R,'01. KE30'!$C:$C,'06. BC BH THEO CUSTOMER-USD'!$D137,'01. KE30'!$F:$F,'06. BC BH THEO CUSTOMER-USD'!$H137,'01. KE30'!$A:$A,'06. BC BH THEO CUSTOMER-USD'!CO$4)/DC137/'02. Tỷ giá'!L$5," -")</f>
        <v xml:space="preserve"> -</v>
      </c>
      <c r="CP137" s="95" t="str">
        <f>IFERROR(SUMIFS('01. KE30'!$R:$R,'01. KE30'!$C:$C,'06. BC BH THEO CUSTOMER-USD'!$D137,'01. KE30'!$F:$F,'06. BC BH THEO CUSTOMER-USD'!$H137,'01. KE30'!$A:$A,'06. BC BH THEO CUSTOMER-USD'!CP$4)/DD137/'02. Tỷ giá'!M$5," -")</f>
        <v xml:space="preserve"> -</v>
      </c>
      <c r="CR137" s="112">
        <f t="shared" si="1249"/>
        <v>280.47500000000002</v>
      </c>
      <c r="CS137" s="114">
        <f>SUMIFS('01. KE30'!$I:$I,'01. KE30'!$C:$C,'06. BC BH THEO CUSTOMER-USD'!$D137,'01. KE30'!$F:$F,'06. BC BH THEO CUSTOMER-USD'!$H137,'01. KE30'!$A:$A,'06. BC BH THEO CUSTOMER-USD'!CS$4)/1000</f>
        <v>49.5</v>
      </c>
      <c r="CT137" s="114">
        <f>SUMIFS('01. KE30'!$I:$I,'01. KE30'!$C:$C,'06. BC BH THEO CUSTOMER-USD'!$D137,'01. KE30'!$F:$F,'06. BC BH THEO CUSTOMER-USD'!$H137,'01. KE30'!$A:$A,'06. BC BH THEO CUSTOMER-USD'!CT$4)/1000</f>
        <v>24.75</v>
      </c>
      <c r="CU137" s="114">
        <f>SUMIFS('01. KE30'!$I:$I,'01. KE30'!$C:$C,'06. BC BH THEO CUSTOMER-USD'!$D137,'01. KE30'!$F:$F,'06. BC BH THEO CUSTOMER-USD'!$H137,'01. KE30'!$A:$A,'06. BC BH THEO CUSTOMER-USD'!CU$4)/1000</f>
        <v>24.75</v>
      </c>
      <c r="CV137" s="114">
        <f>SUMIFS('01. KE30'!$I:$I,'01. KE30'!$C:$C,'06. BC BH THEO CUSTOMER-USD'!$D137,'01. KE30'!$F:$F,'06. BC BH THEO CUSTOMER-USD'!$H137,'01. KE30'!$A:$A,'06. BC BH THEO CUSTOMER-USD'!CV$4)/1000</f>
        <v>24.75</v>
      </c>
      <c r="CW137" s="114">
        <f>SUMIFS('01. KE30'!$I:$I,'01. KE30'!$C:$C,'06. BC BH THEO CUSTOMER-USD'!$D137,'01. KE30'!$F:$F,'06. BC BH THEO CUSTOMER-USD'!$H137,'01. KE30'!$A:$A,'06. BC BH THEO CUSTOMER-USD'!CW$4)/1000</f>
        <v>24.75</v>
      </c>
      <c r="CX137" s="114">
        <f>SUMIFS('01. KE30'!$I:$I,'01. KE30'!$C:$C,'06. BC BH THEO CUSTOMER-USD'!$D137,'01. KE30'!$F:$F,'06. BC BH THEO CUSTOMER-USD'!$H137,'01. KE30'!$A:$A,'06. BC BH THEO CUSTOMER-USD'!CX$4)/1000</f>
        <v>24.75</v>
      </c>
      <c r="CY137" s="114">
        <f>SUMIFS('01. KE30'!$I:$I,'01. KE30'!$C:$C,'06. BC BH THEO CUSTOMER-USD'!$D137,'01. KE30'!$F:$F,'06. BC BH THEO CUSTOMER-USD'!$H137,'01. KE30'!$A:$A,'06. BC BH THEO CUSTOMER-USD'!CY$4)/1000</f>
        <v>35.75</v>
      </c>
      <c r="CZ137" s="114">
        <f>SUMIFS('01. KE30'!$I:$I,'01. KE30'!$C:$C,'06. BC BH THEO CUSTOMER-USD'!$D137,'01. KE30'!$F:$F,'06. BC BH THEO CUSTOMER-USD'!$H137,'01. KE30'!$A:$A,'06. BC BH THEO CUSTOMER-USD'!CZ$4)/1000</f>
        <v>35.725000000000001</v>
      </c>
      <c r="DA137" s="114">
        <f>SUMIFS('01. KE30'!$I:$I,'01. KE30'!$C:$C,'06. BC BH THEO CUSTOMER-USD'!$D137,'01. KE30'!$F:$F,'06. BC BH THEO CUSTOMER-USD'!$H137,'01. KE30'!$A:$A,'06. BC BH THEO CUSTOMER-USD'!DA$4)/1000</f>
        <v>35.75</v>
      </c>
      <c r="DB137" s="114">
        <f>SUMIFS('01. KE30'!$I:$I,'01. KE30'!$C:$C,'06. BC BH THEO CUSTOMER-USD'!$D137,'01. KE30'!$F:$F,'06. BC BH THEO CUSTOMER-USD'!$H137,'01. KE30'!$A:$A,'06. BC BH THEO CUSTOMER-USD'!DB$4)/1000</f>
        <v>0</v>
      </c>
      <c r="DC137" s="114">
        <f>SUMIFS('01. KE30'!$I:$I,'01. KE30'!$C:$C,'06. BC BH THEO CUSTOMER-USD'!$D137,'01. KE30'!$F:$F,'06. BC BH THEO CUSTOMER-USD'!$H137,'01. KE30'!$A:$A,'06. BC BH THEO CUSTOMER-USD'!DC$4)/1000</f>
        <v>0</v>
      </c>
      <c r="DD137" s="114">
        <f>SUMIFS('01. KE30'!$I:$I,'01. KE30'!$C:$C,'06. BC BH THEO CUSTOMER-USD'!$D137,'01. KE30'!$F:$F,'06. BC BH THEO CUSTOMER-USD'!$H137,'01. KE30'!$A:$A,'06. BC BH THEO CUSTOMER-USD'!DD$4)/1000</f>
        <v>0</v>
      </c>
      <c r="DF137" s="112">
        <f t="shared" si="1250"/>
        <v>395739.57840100472</v>
      </c>
      <c r="DG137" s="54">
        <f t="shared" si="1251"/>
        <v>71342.794058611005</v>
      </c>
      <c r="DH137" s="54">
        <f t="shared" si="1252"/>
        <v>35451.280031508468</v>
      </c>
      <c r="DI137" s="54">
        <f t="shared" si="1253"/>
        <v>35437.322834645667</v>
      </c>
      <c r="DJ137" s="54">
        <f t="shared" si="1254"/>
        <v>34847.386759581881</v>
      </c>
      <c r="DK137" s="54">
        <f t="shared" si="1255"/>
        <v>33914.965197215774</v>
      </c>
      <c r="DL137" s="54">
        <f t="shared" si="1256"/>
        <v>33836.458333333328</v>
      </c>
      <c r="DM137" s="54">
        <f t="shared" si="1257"/>
        <v>50552.56434882828</v>
      </c>
      <c r="DN137" s="54">
        <f t="shared" si="1258"/>
        <v>50227.921122994645</v>
      </c>
      <c r="DO137" s="54">
        <f t="shared" si="1259"/>
        <v>50128.885714285723</v>
      </c>
      <c r="DP137" s="54" t="str">
        <f t="shared" si="1260"/>
        <v>-</v>
      </c>
      <c r="DQ137" s="54" t="str">
        <f t="shared" si="1261"/>
        <v>-</v>
      </c>
      <c r="DR137" s="54" t="str">
        <f t="shared" si="1262"/>
        <v>-</v>
      </c>
      <c r="DT137" s="112">
        <f t="shared" si="652"/>
        <v>86630.973344312893</v>
      </c>
      <c r="DU137" s="114">
        <f>IFERROR(SUMIFS('01. KE30'!$X:$X,'01. KE30'!$C:$C,'06. BC BH THEO CUSTOMER-USD'!$D137,'01. KE30'!$F:$F,'06. BC BH THEO CUSTOMER-USD'!$H137,'01. KE30'!$A:$A,'06. BC BH THEO CUSTOMER-USD'!DU$4)-SUMIFS('01. KE30'!$AA:$AA,'01. KE30'!$C:$C,'06. BC BH THEO CUSTOMER-USD'!$D137,'01. KE30'!$F:$F,'06. BC BH THEO CUSTOMER-USD'!$H137,'01. KE30'!$A:$A,'06. BC BH THEO CUSTOMER-USD'!DU$4),"-")</f>
        <v>14404.247330389408</v>
      </c>
      <c r="DV137" s="114">
        <f>IFERROR(SUMIFS('01. KE30'!$X:$X,'01. KE30'!$C:$C,'06. BC BH THEO CUSTOMER-USD'!$D137,'01. KE30'!$F:$F,'06. BC BH THEO CUSTOMER-USD'!$H137,'01. KE30'!$A:$A,'06. BC BH THEO CUSTOMER-USD'!DV$4)-SUMIFS('01. KE30'!$AA:$AA,'01. KE30'!$C:$C,'06. BC BH THEO CUSTOMER-USD'!$D137,'01. KE30'!$F:$F,'06. BC BH THEO CUSTOMER-USD'!$H137,'01. KE30'!$A:$A,'06. BC BH THEO CUSTOMER-USD'!DV$4),"-")</f>
        <v>7469.6379881259745</v>
      </c>
      <c r="DW137" s="114">
        <f>IFERROR(SUMIFS('01. KE30'!$X:$X,'01. KE30'!$C:$C,'06. BC BH THEO CUSTOMER-USD'!$D137,'01. KE30'!$F:$F,'06. BC BH THEO CUSTOMER-USD'!$H137,'01. KE30'!$A:$A,'06. BC BH THEO CUSTOMER-USD'!DW$4)-SUMIFS('01. KE30'!$AA:$AA,'01. KE30'!$C:$C,'06. BC BH THEO CUSTOMER-USD'!$D137,'01. KE30'!$F:$F,'06. BC BH THEO CUSTOMER-USD'!$H137,'01. KE30'!$A:$A,'06. BC BH THEO CUSTOMER-USD'!DW$4),"-")</f>
        <v>7423.7155730533705</v>
      </c>
      <c r="DX137" s="114">
        <f>IFERROR(SUMIFS('01. KE30'!$X:$X,'01. KE30'!$C:$C,'06. BC BH THEO CUSTOMER-USD'!$D137,'01. KE30'!$F:$F,'06. BC BH THEO CUSTOMER-USD'!$H137,'01. KE30'!$A:$A,'06. BC BH THEO CUSTOMER-USD'!DX$4)-SUMIFS('01. KE30'!$AA:$AA,'01. KE30'!$C:$C,'06. BC BH THEO CUSTOMER-USD'!$D137,'01. KE30'!$F:$F,'06. BC BH THEO CUSTOMER-USD'!$H137,'01. KE30'!$A:$A,'06. BC BH THEO CUSTOMER-USD'!DX$4),"-")</f>
        <v>7389.9662623134209</v>
      </c>
      <c r="DY137" s="114">
        <f>IFERROR(SUMIFS('01. KE30'!$X:$X,'01. KE30'!$C:$C,'06. BC BH THEO CUSTOMER-USD'!$D137,'01. KE30'!$F:$F,'06. BC BH THEO CUSTOMER-USD'!$H137,'01. KE30'!$A:$A,'06. BC BH THEO CUSTOMER-USD'!DY$4)-SUMIFS('01. KE30'!$AA:$AA,'01. KE30'!$C:$C,'06. BC BH THEO CUSTOMER-USD'!$D137,'01. KE30'!$F:$F,'06. BC BH THEO CUSTOMER-USD'!$H137,'01. KE30'!$A:$A,'06. BC BH THEO CUSTOMER-USD'!DY$4),"-")</f>
        <v>6926.0522671937179</v>
      </c>
      <c r="DZ137" s="114">
        <f>IFERROR(SUMIFS('01. KE30'!$X:$X,'01. KE30'!$C:$C,'06. BC BH THEO CUSTOMER-USD'!$D137,'01. KE30'!$F:$F,'06. BC BH THEO CUSTOMER-USD'!$H137,'01. KE30'!$A:$A,'06. BC BH THEO CUSTOMER-USD'!DZ$4)-SUMIFS('01. KE30'!$AA:$AA,'01. KE30'!$C:$C,'06. BC BH THEO CUSTOMER-USD'!$D137,'01. KE30'!$F:$F,'06. BC BH THEO CUSTOMER-USD'!$H137,'01. KE30'!$A:$A,'06. BC BH THEO CUSTOMER-USD'!DZ$4),"-")</f>
        <v>7017.3818987197046</v>
      </c>
      <c r="EA137" s="114">
        <f>IFERROR(SUMIFS('01. KE30'!$X:$X,'01. KE30'!$C:$C,'06. BC BH THEO CUSTOMER-USD'!$D137,'01. KE30'!$F:$F,'06. BC BH THEO CUSTOMER-USD'!$H137,'01. KE30'!$A:$A,'06. BC BH THEO CUSTOMER-USD'!EA$4)-SUMIFS('01. KE30'!$AA:$AA,'01. KE30'!$C:$C,'06. BC BH THEO CUSTOMER-USD'!$D137,'01. KE30'!$F:$F,'06. BC BH THEO CUSTOMER-USD'!$H137,'01. KE30'!$A:$A,'06. BC BH THEO CUSTOMER-USD'!EA$4),"-")</f>
        <v>11854.787056245645</v>
      </c>
      <c r="EB137" s="114">
        <f>IFERROR(SUMIFS('01. KE30'!$X:$X,'01. KE30'!$C:$C,'06. BC BH THEO CUSTOMER-USD'!$D137,'01. KE30'!$F:$F,'06. BC BH THEO CUSTOMER-USD'!$H137,'01. KE30'!$A:$A,'06. BC BH THEO CUSTOMER-USD'!EB$4)-SUMIFS('01. KE30'!$AA:$AA,'01. KE30'!$C:$C,'06. BC BH THEO CUSTOMER-USD'!$D137,'01. KE30'!$F:$F,'06. BC BH THEO CUSTOMER-USD'!$H137,'01. KE30'!$A:$A,'06. BC BH THEO CUSTOMER-USD'!EB$4),"-")</f>
        <v>12061.466762866774</v>
      </c>
      <c r="EC137" s="114">
        <f>IFERROR(SUMIFS('01. KE30'!$X:$X,'01. KE30'!$C:$C,'06. BC BH THEO CUSTOMER-USD'!$D137,'01. KE30'!$F:$F,'06. BC BH THEO CUSTOMER-USD'!$H137,'01. KE30'!$A:$A,'06. BC BH THEO CUSTOMER-USD'!EC$4)-SUMIFS('01. KE30'!$AA:$AA,'01. KE30'!$C:$C,'06. BC BH THEO CUSTOMER-USD'!$D137,'01. KE30'!$F:$F,'06. BC BH THEO CUSTOMER-USD'!$H137,'01. KE30'!$A:$A,'06. BC BH THEO CUSTOMER-USD'!EC$4),"-")</f>
        <v>12083.718205404868</v>
      </c>
      <c r="ED137" s="114">
        <f>IFERROR(SUMIFS('01. KE30'!$X:$X,'01. KE30'!$C:$C,'06. BC BH THEO CUSTOMER-USD'!$D137,'01. KE30'!$F:$F,'06. BC BH THEO CUSTOMER-USD'!$H137,'01. KE30'!$A:$A,'06. BC BH THEO CUSTOMER-USD'!ED$4)-SUMIFS('01. KE30'!$AA:$AA,'01. KE30'!$C:$C,'06. BC BH THEO CUSTOMER-USD'!$D137,'01. KE30'!$F:$F,'06. BC BH THEO CUSTOMER-USD'!$H137,'01. KE30'!$A:$A,'06. BC BH THEO CUSTOMER-USD'!ED$4),"-")</f>
        <v>0</v>
      </c>
      <c r="EE137" s="114">
        <f>IFERROR(SUMIFS('01. KE30'!$X:$X,'01. KE30'!$C:$C,'06. BC BH THEO CUSTOMER-USD'!$D137,'01. KE30'!$F:$F,'06. BC BH THEO CUSTOMER-USD'!$H137,'01. KE30'!$A:$A,'06. BC BH THEO CUSTOMER-USD'!EE$4)-SUMIFS('01. KE30'!$AA:$AA,'01. KE30'!$C:$C,'06. BC BH THEO CUSTOMER-USD'!$D137,'01. KE30'!$F:$F,'06. BC BH THEO CUSTOMER-USD'!$H137,'01. KE30'!$A:$A,'06. BC BH THEO CUSTOMER-USD'!EE$4),"-")</f>
        <v>0</v>
      </c>
      <c r="EF137" s="114">
        <f>IFERROR(SUMIFS('01. KE30'!$X:$X,'01. KE30'!$C:$C,'06. BC BH THEO CUSTOMER-USD'!$D137,'01. KE30'!$F:$F,'06. BC BH THEO CUSTOMER-USD'!$H137,'01. KE30'!$A:$A,'06. BC BH THEO CUSTOMER-USD'!EF$4)-SUMIFS('01. KE30'!$AA:$AA,'01. KE30'!$C:$C,'06. BC BH THEO CUSTOMER-USD'!$D137,'01. KE30'!$F:$F,'06. BC BH THEO CUSTOMER-USD'!$H137,'01. KE30'!$A:$A,'06. BC BH THEO CUSTOMER-USD'!EF$4),"-")</f>
        <v>0</v>
      </c>
      <c r="EH137" s="571">
        <f t="shared" si="531"/>
        <v>0.21890904542413328</v>
      </c>
      <c r="EI137" s="572">
        <f t="shared" si="532"/>
        <v>0.20190192324897918</v>
      </c>
      <c r="EJ137" s="572">
        <f t="shared" si="533"/>
        <v>0.21070150306243082</v>
      </c>
      <c r="EK137" s="572">
        <f t="shared" si="534"/>
        <v>0.20948861198384597</v>
      </c>
      <c r="EL137" s="572">
        <f t="shared" si="535"/>
        <v>0.21206658373834658</v>
      </c>
      <c r="EM137" s="572">
        <f t="shared" si="536"/>
        <v>0.20421817409862203</v>
      </c>
      <c r="EN137" s="572">
        <f t="shared" si="537"/>
        <v>0.20739114683899015</v>
      </c>
      <c r="EO137" s="572">
        <f t="shared" si="538"/>
        <v>0.23450416826422413</v>
      </c>
      <c r="EP137" s="572">
        <f t="shared" si="539"/>
        <v>0.24013469984814803</v>
      </c>
      <c r="EQ137" s="572">
        <f t="shared" si="540"/>
        <v>0.24105299835063462</v>
      </c>
      <c r="ER137" s="572" t="str">
        <f t="shared" si="541"/>
        <v>-</v>
      </c>
      <c r="ES137" s="572" t="str">
        <f t="shared" si="542"/>
        <v>-</v>
      </c>
      <c r="ET137" s="572" t="str">
        <f t="shared" si="543"/>
        <v>-</v>
      </c>
    </row>
    <row r="138" spans="1:150" ht="15.5" hidden="1" outlineLevel="1" x14ac:dyDescent="0.35">
      <c r="A138" s="10">
        <f t="shared" si="1266"/>
        <v>10</v>
      </c>
      <c r="B138" s="10" t="s">
        <v>265</v>
      </c>
      <c r="C138" s="442" t="s">
        <v>503</v>
      </c>
      <c r="D138" s="9" t="s">
        <v>77</v>
      </c>
      <c r="E138" s="8" t="s">
        <v>76</v>
      </c>
      <c r="F138" s="12" t="s">
        <v>245</v>
      </c>
      <c r="G138" s="12" t="str">
        <f>_xlfn.XLOOKUP(F138,'Quy đổi'!$G$5:$G$32,'Quy đổi'!$H$5:$H$32,0)</f>
        <v>Nội địa</v>
      </c>
      <c r="H138" s="76" t="s">
        <v>75</v>
      </c>
      <c r="I138" s="7" t="s">
        <v>74</v>
      </c>
      <c r="J138" s="69" t="s">
        <v>22</v>
      </c>
      <c r="K138" s="5"/>
      <c r="L138" s="92" t="str">
        <f t="shared" si="1263"/>
        <v>-</v>
      </c>
      <c r="M138" s="106" t="str">
        <f>IFERROR(SUMIFS('01. KE30'!$K:$K,'01. KE30'!$C:$C,'06. BC BH THEO CUSTOMER-USD'!$D138,'01. KE30'!$F:$F,'06. BC BH THEO CUSTOMER-USD'!$H138,'01. KE30'!$A:$A,'06. BC BH THEO CUSTOMER-USD'!M$4)/'06. BC BH THEO CUSTOMER-USD'!CS138/'02. Tỷ giá'!B$5,"-")</f>
        <v>-</v>
      </c>
      <c r="N138" s="106" t="str">
        <f>IFERROR(SUMIFS('01. KE30'!$K:$K,'01. KE30'!$C:$C,'06. BC BH THEO CUSTOMER-USD'!$D138,'01. KE30'!$F:$F,'06. BC BH THEO CUSTOMER-USD'!$H138,'01. KE30'!$A:$A,'06. BC BH THEO CUSTOMER-USD'!N$4)/'06. BC BH THEO CUSTOMER-USD'!CT138/'02. Tỷ giá'!C$5,"-")</f>
        <v>-</v>
      </c>
      <c r="O138" s="106" t="str">
        <f>IFERROR(SUMIFS('01. KE30'!$K:$K,'01. KE30'!$C:$C,'06. BC BH THEO CUSTOMER-USD'!$D138,'01. KE30'!$F:$F,'06. BC BH THEO CUSTOMER-USD'!$H138,'01. KE30'!$A:$A,'06. BC BH THEO CUSTOMER-USD'!O$4)/'06. BC BH THEO CUSTOMER-USD'!CU138/'02. Tỷ giá'!D$5,"-")</f>
        <v>-</v>
      </c>
      <c r="P138" s="106" t="str">
        <f>IFERROR(SUMIFS('01. KE30'!$K:$K,'01. KE30'!$C:$C,'06. BC BH THEO CUSTOMER-USD'!$D138,'01. KE30'!$F:$F,'06. BC BH THEO CUSTOMER-USD'!$H138,'01. KE30'!$A:$A,'06. BC BH THEO CUSTOMER-USD'!P$4)/'06. BC BH THEO CUSTOMER-USD'!CV138/'02. Tỷ giá'!E$5,"-")</f>
        <v>-</v>
      </c>
      <c r="Q138" s="106" t="str">
        <f>IFERROR(SUMIFS('01. KE30'!$K:$K,'01. KE30'!$C:$C,'06. BC BH THEO CUSTOMER-USD'!$D138,'01. KE30'!$F:$F,'06. BC BH THEO CUSTOMER-USD'!$H138,'01. KE30'!$A:$A,'06. BC BH THEO CUSTOMER-USD'!Q$4)/'06. BC BH THEO CUSTOMER-USD'!CW138/'02. Tỷ giá'!F$5,"-")</f>
        <v>-</v>
      </c>
      <c r="R138" s="106" t="str">
        <f>IFERROR(SUMIFS('01. KE30'!$K:$K,'01. KE30'!$C:$C,'06. BC BH THEO CUSTOMER-USD'!$D138,'01. KE30'!$F:$F,'06. BC BH THEO CUSTOMER-USD'!$H138,'01. KE30'!$A:$A,'06. BC BH THEO CUSTOMER-USD'!R$4)/'06. BC BH THEO CUSTOMER-USD'!CX138/'02. Tỷ giá'!G$5,"-")</f>
        <v>-</v>
      </c>
      <c r="S138" s="106" t="str">
        <f>IFERROR(SUMIFS('01. KE30'!$K:$K,'01. KE30'!$C:$C,'06. BC BH THEO CUSTOMER-USD'!$D138,'01. KE30'!$F:$F,'06. BC BH THEO CUSTOMER-USD'!$H138,'01. KE30'!$A:$A,'06. BC BH THEO CUSTOMER-USD'!S$4)/'06. BC BH THEO CUSTOMER-USD'!CY138/'02. Tỷ giá'!H$5,"-")</f>
        <v>-</v>
      </c>
      <c r="T138" s="106" t="str">
        <f>IFERROR(SUMIFS('01. KE30'!$K:$K,'01. KE30'!$C:$C,'06. BC BH THEO CUSTOMER-USD'!$D138,'01. KE30'!$F:$F,'06. BC BH THEO CUSTOMER-USD'!$H138,'01. KE30'!$A:$A,'06. BC BH THEO CUSTOMER-USD'!T$4)/'06. BC BH THEO CUSTOMER-USD'!CZ138/'02. Tỷ giá'!I$5,"-")</f>
        <v>-</v>
      </c>
      <c r="U138" s="106" t="str">
        <f>IFERROR(SUMIFS('01. KE30'!$K:$K,'01. KE30'!$C:$C,'06. BC BH THEO CUSTOMER-USD'!$D138,'01. KE30'!$F:$F,'06. BC BH THEO CUSTOMER-USD'!$H138,'01. KE30'!$A:$A,'06. BC BH THEO CUSTOMER-USD'!U$4)/'06. BC BH THEO CUSTOMER-USD'!DA138/'02. Tỷ giá'!J$5,"-")</f>
        <v>-</v>
      </c>
      <c r="V138" s="106" t="str">
        <f>IFERROR(SUMIFS('01. KE30'!$K:$K,'01. KE30'!$C:$C,'06. BC BH THEO CUSTOMER-USD'!$D138,'01. KE30'!$F:$F,'06. BC BH THEO CUSTOMER-USD'!$H138,'01. KE30'!$A:$A,'06. BC BH THEO CUSTOMER-USD'!V$4)/'06. BC BH THEO CUSTOMER-USD'!DB138/'02. Tỷ giá'!K$5,"-")</f>
        <v>-</v>
      </c>
      <c r="W138" s="106" t="str">
        <f>IFERROR(SUMIFS('01. KE30'!$K:$K,'01. KE30'!$C:$C,'06. BC BH THEO CUSTOMER-USD'!$D138,'01. KE30'!$F:$F,'06. BC BH THEO CUSTOMER-USD'!$H138,'01. KE30'!$A:$A,'06. BC BH THEO CUSTOMER-USD'!W$4)/'06. BC BH THEO CUSTOMER-USD'!DC138/'02. Tỷ giá'!L$5,"-")</f>
        <v>-</v>
      </c>
      <c r="X138" s="106" t="str">
        <f>IFERROR(SUMIFS('01. KE30'!$K:$K,'01. KE30'!$C:$C,'06. BC BH THEO CUSTOMER-USD'!$D138,'01. KE30'!$F:$F,'06. BC BH THEO CUSTOMER-USD'!$H138,'01. KE30'!$A:$A,'06. BC BH THEO CUSTOMER-USD'!X$4)/'06. BC BH THEO CUSTOMER-USD'!DD138/'02. Tỷ giá'!M$5,"-")</f>
        <v>-</v>
      </c>
      <c r="Z138" s="92" t="str">
        <f t="shared" si="1264"/>
        <v>-</v>
      </c>
      <c r="AA138" s="147" t="str">
        <f>IFERROR(SUMIFS('01. KE30'!$O:$O,'01. KE30'!$C:$C,'06. BC BH THEO CUSTOMER-USD'!$D138,'01. KE30'!$F:$F,'06. BC BH THEO CUSTOMER-USD'!$H138,'01. KE30'!$A:$A,'06. BC BH THEO CUSTOMER-USD'!M$4)/'06. BC BH THEO CUSTOMER-USD'!CS138/'02. Tỷ giá'!B$5,"-")</f>
        <v>-</v>
      </c>
      <c r="AB138" s="147" t="str">
        <f>IFERROR(SUMIFS('01. KE30'!$O:$O,'01. KE30'!$C:$C,'06. BC BH THEO CUSTOMER-USD'!$D138,'01. KE30'!$F:$F,'06. BC BH THEO CUSTOMER-USD'!$H138,'01. KE30'!$A:$A,'06. BC BH THEO CUSTOMER-USD'!N$4)/'06. BC BH THEO CUSTOMER-USD'!CT138/'02. Tỷ giá'!C$5,"-")</f>
        <v>-</v>
      </c>
      <c r="AC138" s="147" t="str">
        <f>IFERROR(SUMIFS('01. KE30'!$O:$O,'01. KE30'!$C:$C,'06. BC BH THEO CUSTOMER-USD'!$D138,'01. KE30'!$F:$F,'06. BC BH THEO CUSTOMER-USD'!$H138,'01. KE30'!$A:$A,'06. BC BH THEO CUSTOMER-USD'!O$4)/'06. BC BH THEO CUSTOMER-USD'!CU138/'02. Tỷ giá'!D$5,"-")</f>
        <v>-</v>
      </c>
      <c r="AD138" s="147" t="str">
        <f>IFERROR(SUMIFS('01. KE30'!$O:$O,'01. KE30'!$C:$C,'06. BC BH THEO CUSTOMER-USD'!$D138,'01. KE30'!$F:$F,'06. BC BH THEO CUSTOMER-USD'!$H138,'01. KE30'!$A:$A,'06. BC BH THEO CUSTOMER-USD'!P$4)/'06. BC BH THEO CUSTOMER-USD'!CV138/'02. Tỷ giá'!E$5,"-")</f>
        <v>-</v>
      </c>
      <c r="AE138" s="147" t="str">
        <f>IFERROR(SUMIFS('01. KE30'!$O:$O,'01. KE30'!$C:$C,'06. BC BH THEO CUSTOMER-USD'!$D138,'01. KE30'!$F:$F,'06. BC BH THEO CUSTOMER-USD'!$H138,'01. KE30'!$A:$A,'06. BC BH THEO CUSTOMER-USD'!Q$4)/'06. BC BH THEO CUSTOMER-USD'!CW138/'02. Tỷ giá'!F$5,"-")</f>
        <v>-</v>
      </c>
      <c r="AF138" s="147" t="str">
        <f>IFERROR(SUMIFS('01. KE30'!$O:$O,'01. KE30'!$C:$C,'06. BC BH THEO CUSTOMER-USD'!$D138,'01. KE30'!$F:$F,'06. BC BH THEO CUSTOMER-USD'!$H138,'01. KE30'!$A:$A,'06. BC BH THEO CUSTOMER-USD'!R$4)/'06. BC BH THEO CUSTOMER-USD'!CX138/'02. Tỷ giá'!G$5,"-")</f>
        <v>-</v>
      </c>
      <c r="AG138" s="147" t="str">
        <f>IFERROR(SUMIFS('01. KE30'!$O:$O,'01. KE30'!$C:$C,'06. BC BH THEO CUSTOMER-USD'!$D138,'01. KE30'!$F:$F,'06. BC BH THEO CUSTOMER-USD'!$H138,'01. KE30'!$A:$A,'06. BC BH THEO CUSTOMER-USD'!S$4)/'06. BC BH THEO CUSTOMER-USD'!CY138/'02. Tỷ giá'!H$5,"-")</f>
        <v>-</v>
      </c>
      <c r="AH138" s="147" t="str">
        <f>IFERROR(SUMIFS('01. KE30'!$O:$O,'01. KE30'!$C:$C,'06. BC BH THEO CUSTOMER-USD'!$D138,'01. KE30'!$F:$F,'06. BC BH THEO CUSTOMER-USD'!$H138,'01. KE30'!$A:$A,'06. BC BH THEO CUSTOMER-USD'!T$4)/'06. BC BH THEO CUSTOMER-USD'!CZ138/'02. Tỷ giá'!I$5,"-")</f>
        <v>-</v>
      </c>
      <c r="AI138" s="147" t="str">
        <f>IFERROR(SUMIFS('01. KE30'!$O:$O,'01. KE30'!$C:$C,'06. BC BH THEO CUSTOMER-USD'!$D138,'01. KE30'!$F:$F,'06. BC BH THEO CUSTOMER-USD'!$H138,'01. KE30'!$A:$A,'06. BC BH THEO CUSTOMER-USD'!U$4)/'06. BC BH THEO CUSTOMER-USD'!DA138/'02. Tỷ giá'!J$5,"-")</f>
        <v>-</v>
      </c>
      <c r="AJ138" s="147" t="str">
        <f>IFERROR(SUMIFS('01. KE30'!$O:$O,'01. KE30'!$C:$C,'06. BC BH THEO CUSTOMER-USD'!$D138,'01. KE30'!$F:$F,'06. BC BH THEO CUSTOMER-USD'!$H138,'01. KE30'!$A:$A,'06. BC BH THEO CUSTOMER-USD'!V$4)/'06. BC BH THEO CUSTOMER-USD'!DB138/'02. Tỷ giá'!K$5,"-")</f>
        <v>-</v>
      </c>
      <c r="AK138" s="147" t="str">
        <f>IFERROR(SUMIFS('01. KE30'!$O:$O,'01. KE30'!$C:$C,'06. BC BH THEO CUSTOMER-USD'!$D138,'01. KE30'!$F:$F,'06. BC BH THEO CUSTOMER-USD'!$H138,'01. KE30'!$A:$A,'06. BC BH THEO CUSTOMER-USD'!W$4)/'06. BC BH THEO CUSTOMER-USD'!DC138/'02. Tỷ giá'!L$5,"-")</f>
        <v>-</v>
      </c>
      <c r="AL138" s="147" t="str">
        <f>IFERROR(SUMIFS('01. KE30'!$O:$O,'01. KE30'!$C:$C,'06. BC BH THEO CUSTOMER-USD'!$D138,'01. KE30'!$F:$F,'06. BC BH THEO CUSTOMER-USD'!$H138,'01. KE30'!$A:$A,'06. BC BH THEO CUSTOMER-USD'!X$4)/'06. BC BH THEO CUSTOMER-USD'!DD138/'02. Tỷ giá'!M$5,"-")</f>
        <v>-</v>
      </c>
      <c r="AN138" s="55">
        <f t="shared" si="1265"/>
        <v>1310</v>
      </c>
      <c r="AO138" s="4">
        <v>1300</v>
      </c>
      <c r="AP138" s="4">
        <v>1300</v>
      </c>
      <c r="AQ138" s="4">
        <v>1300</v>
      </c>
      <c r="AR138" s="4">
        <v>1300</v>
      </c>
      <c r="AS138" s="4">
        <v>1300</v>
      </c>
      <c r="AT138" s="4">
        <v>1300</v>
      </c>
      <c r="AU138" s="4">
        <v>1330</v>
      </c>
      <c r="AV138" s="4">
        <v>1330</v>
      </c>
      <c r="AW138" s="4">
        <v>1330</v>
      </c>
      <c r="AX138" s="4"/>
      <c r="AY138" s="4"/>
      <c r="AZ138" s="4"/>
      <c r="BB138" s="54" t="str">
        <f t="shared" si="637"/>
        <v>-</v>
      </c>
      <c r="BC138" s="95" t="str">
        <f t="shared" si="1333"/>
        <v>-</v>
      </c>
      <c r="BD138" s="95" t="str">
        <f t="shared" si="1330"/>
        <v>-</v>
      </c>
      <c r="BE138" s="95" t="str">
        <f t="shared" si="1330"/>
        <v>-</v>
      </c>
      <c r="BF138" s="95" t="str">
        <f t="shared" si="1330"/>
        <v>-</v>
      </c>
      <c r="BG138" s="95" t="str">
        <f t="shared" si="1330"/>
        <v>-</v>
      </c>
      <c r="BH138" s="95" t="str">
        <f t="shared" si="1330"/>
        <v>-</v>
      </c>
      <c r="BI138" s="95" t="str">
        <f t="shared" si="1330"/>
        <v>-</v>
      </c>
      <c r="BJ138" s="95" t="str">
        <f t="shared" si="1330"/>
        <v>-</v>
      </c>
      <c r="BK138" s="95" t="str">
        <f t="shared" si="1330"/>
        <v>-</v>
      </c>
      <c r="BL138" s="95" t="str">
        <f t="shared" si="1330"/>
        <v>-</v>
      </c>
      <c r="BM138" s="95" t="str">
        <f t="shared" si="1330"/>
        <v>-</v>
      </c>
      <c r="BN138" s="95" t="str">
        <f t="shared" si="1330"/>
        <v>-</v>
      </c>
      <c r="BP138" s="143" t="str">
        <f t="shared" si="639"/>
        <v>-</v>
      </c>
      <c r="BQ138" s="143" t="str">
        <f t="shared" si="1331"/>
        <v>-</v>
      </c>
      <c r="BR138" s="143" t="str">
        <f t="shared" si="518"/>
        <v>-</v>
      </c>
      <c r="BS138" s="143" t="str">
        <f t="shared" si="519"/>
        <v>-</v>
      </c>
      <c r="BT138" s="143" t="str">
        <f t="shared" si="520"/>
        <v>-</v>
      </c>
      <c r="BU138" s="143" t="str">
        <f t="shared" si="521"/>
        <v>-</v>
      </c>
      <c r="BV138" s="143" t="str">
        <f t="shared" si="522"/>
        <v>-</v>
      </c>
      <c r="BW138" s="143" t="str">
        <f t="shared" si="523"/>
        <v>-</v>
      </c>
      <c r="BX138" s="143" t="str">
        <f t="shared" si="524"/>
        <v>-</v>
      </c>
      <c r="BY138" s="143" t="str">
        <f t="shared" si="525"/>
        <v>-</v>
      </c>
      <c r="BZ138" s="143" t="str">
        <f t="shared" si="526"/>
        <v>-</v>
      </c>
      <c r="CA138" s="143" t="str">
        <f t="shared" si="527"/>
        <v>-</v>
      </c>
      <c r="CB138" s="143" t="str">
        <f t="shared" si="528"/>
        <v>-</v>
      </c>
      <c r="CD138" s="112" t="str">
        <f t="shared" si="1248"/>
        <v>-</v>
      </c>
      <c r="CE138" s="95" t="str">
        <f>IFERROR(SUMIFS('01. KE30'!$R:$R,'01. KE30'!$C:$C,'06. BC BH THEO CUSTOMER-USD'!$D138,'01. KE30'!$F:$F,'06. BC BH THEO CUSTOMER-USD'!$H138,'01. KE30'!$A:$A,'06. BC BH THEO CUSTOMER-USD'!CE$4)/CS138/'02. Tỷ giá'!B$5," -")</f>
        <v xml:space="preserve"> -</v>
      </c>
      <c r="CF138" s="95" t="str">
        <f>IFERROR(SUMIFS('01. KE30'!$R:$R,'01. KE30'!$C:$C,'06. BC BH THEO CUSTOMER-USD'!$D138,'01. KE30'!$F:$F,'06. BC BH THEO CUSTOMER-USD'!$H138,'01. KE30'!$A:$A,'06. BC BH THEO CUSTOMER-USD'!CF$4)/CT138/'02. Tỷ giá'!C$5," -")</f>
        <v xml:space="preserve"> -</v>
      </c>
      <c r="CG138" s="95" t="str">
        <f>IFERROR(SUMIFS('01. KE30'!$R:$R,'01. KE30'!$C:$C,'06. BC BH THEO CUSTOMER-USD'!$D138,'01. KE30'!$F:$F,'06. BC BH THEO CUSTOMER-USD'!$H138,'01. KE30'!$A:$A,'06. BC BH THEO CUSTOMER-USD'!CG$4)/CU138/'02. Tỷ giá'!D$5," -")</f>
        <v xml:space="preserve"> -</v>
      </c>
      <c r="CH138" s="95" t="str">
        <f>IFERROR(SUMIFS('01. KE30'!$R:$R,'01. KE30'!$C:$C,'06. BC BH THEO CUSTOMER-USD'!$D138,'01. KE30'!$F:$F,'06. BC BH THEO CUSTOMER-USD'!$H138,'01. KE30'!$A:$A,'06. BC BH THEO CUSTOMER-USD'!CH$4)/CV138/'02. Tỷ giá'!E$5," -")</f>
        <v xml:space="preserve"> -</v>
      </c>
      <c r="CI138" s="95" t="str">
        <f>IFERROR(SUMIFS('01. KE30'!$R:$R,'01. KE30'!$C:$C,'06. BC BH THEO CUSTOMER-USD'!$D138,'01. KE30'!$F:$F,'06. BC BH THEO CUSTOMER-USD'!$H138,'01. KE30'!$A:$A,'06. BC BH THEO CUSTOMER-USD'!CI$4)/CW138/'02. Tỷ giá'!F$5," -")</f>
        <v xml:space="preserve"> -</v>
      </c>
      <c r="CJ138" s="95" t="str">
        <f>IFERROR(SUMIFS('01. KE30'!$R:$R,'01. KE30'!$C:$C,'06. BC BH THEO CUSTOMER-USD'!$D138,'01. KE30'!$F:$F,'06. BC BH THEO CUSTOMER-USD'!$H138,'01. KE30'!$A:$A,'06. BC BH THEO CUSTOMER-USD'!CJ$4)/CX138/'02. Tỷ giá'!G$5," -")</f>
        <v xml:space="preserve"> -</v>
      </c>
      <c r="CK138" s="95" t="str">
        <f>IFERROR(SUMIFS('01. KE30'!$R:$R,'01. KE30'!$C:$C,'06. BC BH THEO CUSTOMER-USD'!$D138,'01. KE30'!$F:$F,'06. BC BH THEO CUSTOMER-USD'!$H138,'01. KE30'!$A:$A,'06. BC BH THEO CUSTOMER-USD'!CK$4)/CY138/'02. Tỷ giá'!H$5," -")</f>
        <v xml:space="preserve"> -</v>
      </c>
      <c r="CL138" s="95" t="str">
        <f>IFERROR(SUMIFS('01. KE30'!$R:$R,'01. KE30'!$C:$C,'06. BC BH THEO CUSTOMER-USD'!$D138,'01. KE30'!$F:$F,'06. BC BH THEO CUSTOMER-USD'!$H138,'01. KE30'!$A:$A,'06. BC BH THEO CUSTOMER-USD'!CL$4)/CZ138/'02. Tỷ giá'!I$5," -")</f>
        <v xml:space="preserve"> -</v>
      </c>
      <c r="CM138" s="95" t="str">
        <f>IFERROR(SUMIFS('01. KE30'!$R:$R,'01. KE30'!$C:$C,'06. BC BH THEO CUSTOMER-USD'!$D138,'01. KE30'!$F:$F,'06. BC BH THEO CUSTOMER-USD'!$H138,'01. KE30'!$A:$A,'06. BC BH THEO CUSTOMER-USD'!CM$4)/DA138/'02. Tỷ giá'!J$5," -")</f>
        <v xml:space="preserve"> -</v>
      </c>
      <c r="CN138" s="95" t="str">
        <f>IFERROR(SUMIFS('01. KE30'!$R:$R,'01. KE30'!$C:$C,'06. BC BH THEO CUSTOMER-USD'!$D138,'01. KE30'!$F:$F,'06. BC BH THEO CUSTOMER-USD'!$H138,'01. KE30'!$A:$A,'06. BC BH THEO CUSTOMER-USD'!CN$4)/DB138/'02. Tỷ giá'!K$5," -")</f>
        <v xml:space="preserve"> -</v>
      </c>
      <c r="CO138" s="95" t="str">
        <f>IFERROR(SUMIFS('01. KE30'!$R:$R,'01. KE30'!$C:$C,'06. BC BH THEO CUSTOMER-USD'!$D138,'01. KE30'!$F:$F,'06. BC BH THEO CUSTOMER-USD'!$H138,'01. KE30'!$A:$A,'06. BC BH THEO CUSTOMER-USD'!CO$4)/DC138/'02. Tỷ giá'!L$5," -")</f>
        <v xml:space="preserve"> -</v>
      </c>
      <c r="CP138" s="95" t="str">
        <f>IFERROR(SUMIFS('01. KE30'!$R:$R,'01. KE30'!$C:$C,'06. BC BH THEO CUSTOMER-USD'!$D138,'01. KE30'!$F:$F,'06. BC BH THEO CUSTOMER-USD'!$H138,'01. KE30'!$A:$A,'06. BC BH THEO CUSTOMER-USD'!CP$4)/DD138/'02. Tỷ giá'!M$5," -")</f>
        <v xml:space="preserve"> -</v>
      </c>
      <c r="CR138" s="112">
        <f t="shared" si="1249"/>
        <v>0</v>
      </c>
      <c r="CS138" s="114">
        <f>SUMIFS('01. KE30'!$I:$I,'01. KE30'!$C:$C,'06. BC BH THEO CUSTOMER-USD'!$D138,'01. KE30'!$F:$F,'06. BC BH THEO CUSTOMER-USD'!$H138,'01. KE30'!$A:$A,'06. BC BH THEO CUSTOMER-USD'!CS$4)/1000</f>
        <v>0</v>
      </c>
      <c r="CT138" s="114">
        <f>SUMIFS('01. KE30'!$I:$I,'01. KE30'!$C:$C,'06. BC BH THEO CUSTOMER-USD'!$D138,'01. KE30'!$F:$F,'06. BC BH THEO CUSTOMER-USD'!$H138,'01. KE30'!$A:$A,'06. BC BH THEO CUSTOMER-USD'!CT$4)/1000</f>
        <v>0</v>
      </c>
      <c r="CU138" s="114">
        <f>SUMIFS('01. KE30'!$I:$I,'01. KE30'!$C:$C,'06. BC BH THEO CUSTOMER-USD'!$D138,'01. KE30'!$F:$F,'06. BC BH THEO CUSTOMER-USD'!$H138,'01. KE30'!$A:$A,'06. BC BH THEO CUSTOMER-USD'!CU$4)/1000</f>
        <v>0</v>
      </c>
      <c r="CV138" s="114">
        <f>SUMIFS('01. KE30'!$I:$I,'01. KE30'!$C:$C,'06. BC BH THEO CUSTOMER-USD'!$D138,'01. KE30'!$F:$F,'06. BC BH THEO CUSTOMER-USD'!$H138,'01. KE30'!$A:$A,'06. BC BH THEO CUSTOMER-USD'!CV$4)/1000</f>
        <v>0</v>
      </c>
      <c r="CW138" s="114">
        <f>SUMIFS('01. KE30'!$I:$I,'01. KE30'!$C:$C,'06. BC BH THEO CUSTOMER-USD'!$D138,'01. KE30'!$F:$F,'06. BC BH THEO CUSTOMER-USD'!$H138,'01. KE30'!$A:$A,'06. BC BH THEO CUSTOMER-USD'!CW$4)/1000</f>
        <v>0</v>
      </c>
      <c r="CX138" s="114">
        <f>SUMIFS('01. KE30'!$I:$I,'01. KE30'!$C:$C,'06. BC BH THEO CUSTOMER-USD'!$D138,'01. KE30'!$F:$F,'06. BC BH THEO CUSTOMER-USD'!$H138,'01. KE30'!$A:$A,'06. BC BH THEO CUSTOMER-USD'!CX$4)/1000</f>
        <v>0</v>
      </c>
      <c r="CY138" s="114">
        <f>SUMIFS('01. KE30'!$I:$I,'01. KE30'!$C:$C,'06. BC BH THEO CUSTOMER-USD'!$D138,'01. KE30'!$F:$F,'06. BC BH THEO CUSTOMER-USD'!$H138,'01. KE30'!$A:$A,'06. BC BH THEO CUSTOMER-USD'!CY$4)/1000</f>
        <v>0</v>
      </c>
      <c r="CZ138" s="114">
        <f>SUMIFS('01. KE30'!$I:$I,'01. KE30'!$C:$C,'06. BC BH THEO CUSTOMER-USD'!$D138,'01. KE30'!$F:$F,'06. BC BH THEO CUSTOMER-USD'!$H138,'01. KE30'!$A:$A,'06. BC BH THEO CUSTOMER-USD'!CZ$4)/1000</f>
        <v>0</v>
      </c>
      <c r="DA138" s="114">
        <f>SUMIFS('01. KE30'!$I:$I,'01. KE30'!$C:$C,'06. BC BH THEO CUSTOMER-USD'!$D138,'01. KE30'!$F:$F,'06. BC BH THEO CUSTOMER-USD'!$H138,'01. KE30'!$A:$A,'06. BC BH THEO CUSTOMER-USD'!DA$4)/1000</f>
        <v>0</v>
      </c>
      <c r="DB138" s="114">
        <f>SUMIFS('01. KE30'!$I:$I,'01. KE30'!$C:$C,'06. BC BH THEO CUSTOMER-USD'!$D138,'01. KE30'!$F:$F,'06. BC BH THEO CUSTOMER-USD'!$H138,'01. KE30'!$A:$A,'06. BC BH THEO CUSTOMER-USD'!DB$4)/1000</f>
        <v>0</v>
      </c>
      <c r="DC138" s="114">
        <f>SUMIFS('01. KE30'!$I:$I,'01. KE30'!$C:$C,'06. BC BH THEO CUSTOMER-USD'!$D138,'01. KE30'!$F:$F,'06. BC BH THEO CUSTOMER-USD'!$H138,'01. KE30'!$A:$A,'06. BC BH THEO CUSTOMER-USD'!DC$4)/1000</f>
        <v>0</v>
      </c>
      <c r="DD138" s="114">
        <f>SUMIFS('01. KE30'!$I:$I,'01. KE30'!$C:$C,'06. BC BH THEO CUSTOMER-USD'!$D138,'01. KE30'!$F:$F,'06. BC BH THEO CUSTOMER-USD'!$H138,'01. KE30'!$A:$A,'06. BC BH THEO CUSTOMER-USD'!DD$4)/1000</f>
        <v>0</v>
      </c>
      <c r="DF138" s="112">
        <f t="shared" si="1250"/>
        <v>0</v>
      </c>
      <c r="DG138" s="54" t="str">
        <f t="shared" si="1251"/>
        <v>-</v>
      </c>
      <c r="DH138" s="54" t="str">
        <f t="shared" si="1252"/>
        <v>-</v>
      </c>
      <c r="DI138" s="54" t="str">
        <f t="shared" si="1253"/>
        <v>-</v>
      </c>
      <c r="DJ138" s="54" t="str">
        <f t="shared" si="1254"/>
        <v>-</v>
      </c>
      <c r="DK138" s="54" t="str">
        <f t="shared" si="1255"/>
        <v>-</v>
      </c>
      <c r="DL138" s="54" t="str">
        <f t="shared" si="1256"/>
        <v>-</v>
      </c>
      <c r="DM138" s="54" t="str">
        <f t="shared" si="1257"/>
        <v>-</v>
      </c>
      <c r="DN138" s="54" t="str">
        <f t="shared" si="1258"/>
        <v>-</v>
      </c>
      <c r="DO138" s="54" t="str">
        <f t="shared" si="1259"/>
        <v>-</v>
      </c>
      <c r="DP138" s="54" t="str">
        <f t="shared" si="1260"/>
        <v>-</v>
      </c>
      <c r="DQ138" s="54" t="str">
        <f t="shared" si="1261"/>
        <v>-</v>
      </c>
      <c r="DR138" s="54" t="str">
        <f t="shared" si="1262"/>
        <v>-</v>
      </c>
      <c r="DT138" s="112">
        <f t="shared" si="652"/>
        <v>0</v>
      </c>
      <c r="DU138" s="114">
        <f>IFERROR(SUMIFS('01. KE30'!$X:$X,'01. KE30'!$C:$C,'06. BC BH THEO CUSTOMER-USD'!$D138,'01. KE30'!$F:$F,'06. BC BH THEO CUSTOMER-USD'!$H138,'01. KE30'!$A:$A,'06. BC BH THEO CUSTOMER-USD'!DU$4)-SUMIFS('01. KE30'!$AA:$AA,'01. KE30'!$C:$C,'06. BC BH THEO CUSTOMER-USD'!$D138,'01. KE30'!$F:$F,'06. BC BH THEO CUSTOMER-USD'!$H138,'01. KE30'!$A:$A,'06. BC BH THEO CUSTOMER-USD'!DU$4),"-")</f>
        <v>0</v>
      </c>
      <c r="DV138" s="114">
        <f>IFERROR(SUMIFS('01. KE30'!$X:$X,'01. KE30'!$C:$C,'06. BC BH THEO CUSTOMER-USD'!$D138,'01. KE30'!$F:$F,'06. BC BH THEO CUSTOMER-USD'!$H138,'01. KE30'!$A:$A,'06. BC BH THEO CUSTOMER-USD'!DV$4)-SUMIFS('01. KE30'!$AA:$AA,'01. KE30'!$C:$C,'06. BC BH THEO CUSTOMER-USD'!$D138,'01. KE30'!$F:$F,'06. BC BH THEO CUSTOMER-USD'!$H138,'01. KE30'!$A:$A,'06. BC BH THEO CUSTOMER-USD'!DV$4),"-")</f>
        <v>0</v>
      </c>
      <c r="DW138" s="114">
        <f>IFERROR(SUMIFS('01. KE30'!$X:$X,'01. KE30'!$C:$C,'06. BC BH THEO CUSTOMER-USD'!$D138,'01. KE30'!$F:$F,'06. BC BH THEO CUSTOMER-USD'!$H138,'01. KE30'!$A:$A,'06. BC BH THEO CUSTOMER-USD'!DW$4)-SUMIFS('01. KE30'!$AA:$AA,'01. KE30'!$C:$C,'06. BC BH THEO CUSTOMER-USD'!$D138,'01. KE30'!$F:$F,'06. BC BH THEO CUSTOMER-USD'!$H138,'01. KE30'!$A:$A,'06. BC BH THEO CUSTOMER-USD'!DW$4),"-")</f>
        <v>0</v>
      </c>
      <c r="DX138" s="114">
        <f>IFERROR(SUMIFS('01. KE30'!$X:$X,'01. KE30'!$C:$C,'06. BC BH THEO CUSTOMER-USD'!$D138,'01. KE30'!$F:$F,'06. BC BH THEO CUSTOMER-USD'!$H138,'01. KE30'!$A:$A,'06. BC BH THEO CUSTOMER-USD'!DX$4)-SUMIFS('01. KE30'!$AA:$AA,'01. KE30'!$C:$C,'06. BC BH THEO CUSTOMER-USD'!$D138,'01. KE30'!$F:$F,'06. BC BH THEO CUSTOMER-USD'!$H138,'01. KE30'!$A:$A,'06. BC BH THEO CUSTOMER-USD'!DX$4),"-")</f>
        <v>0</v>
      </c>
      <c r="DY138" s="114">
        <f>IFERROR(SUMIFS('01. KE30'!$X:$X,'01. KE30'!$C:$C,'06. BC BH THEO CUSTOMER-USD'!$D138,'01. KE30'!$F:$F,'06. BC BH THEO CUSTOMER-USD'!$H138,'01. KE30'!$A:$A,'06. BC BH THEO CUSTOMER-USD'!DY$4)-SUMIFS('01. KE30'!$AA:$AA,'01. KE30'!$C:$C,'06. BC BH THEO CUSTOMER-USD'!$D138,'01. KE30'!$F:$F,'06. BC BH THEO CUSTOMER-USD'!$H138,'01. KE30'!$A:$A,'06. BC BH THEO CUSTOMER-USD'!DY$4),"-")</f>
        <v>0</v>
      </c>
      <c r="DZ138" s="114">
        <f>IFERROR(SUMIFS('01. KE30'!$X:$X,'01. KE30'!$C:$C,'06. BC BH THEO CUSTOMER-USD'!$D138,'01. KE30'!$F:$F,'06. BC BH THEO CUSTOMER-USD'!$H138,'01. KE30'!$A:$A,'06. BC BH THEO CUSTOMER-USD'!DZ$4)-SUMIFS('01. KE30'!$AA:$AA,'01. KE30'!$C:$C,'06. BC BH THEO CUSTOMER-USD'!$D138,'01. KE30'!$F:$F,'06. BC BH THEO CUSTOMER-USD'!$H138,'01. KE30'!$A:$A,'06. BC BH THEO CUSTOMER-USD'!DZ$4),"-")</f>
        <v>0</v>
      </c>
      <c r="EA138" s="114">
        <f>IFERROR(SUMIFS('01. KE30'!$X:$X,'01. KE30'!$C:$C,'06. BC BH THEO CUSTOMER-USD'!$D138,'01. KE30'!$F:$F,'06. BC BH THEO CUSTOMER-USD'!$H138,'01. KE30'!$A:$A,'06. BC BH THEO CUSTOMER-USD'!EA$4)-SUMIFS('01. KE30'!$AA:$AA,'01. KE30'!$C:$C,'06. BC BH THEO CUSTOMER-USD'!$D138,'01. KE30'!$F:$F,'06. BC BH THEO CUSTOMER-USD'!$H138,'01. KE30'!$A:$A,'06. BC BH THEO CUSTOMER-USD'!EA$4),"-")</f>
        <v>0</v>
      </c>
      <c r="EB138" s="114">
        <f>IFERROR(SUMIFS('01. KE30'!$X:$X,'01. KE30'!$C:$C,'06. BC BH THEO CUSTOMER-USD'!$D138,'01. KE30'!$F:$F,'06. BC BH THEO CUSTOMER-USD'!$H138,'01. KE30'!$A:$A,'06. BC BH THEO CUSTOMER-USD'!EB$4)-SUMIFS('01. KE30'!$AA:$AA,'01. KE30'!$C:$C,'06. BC BH THEO CUSTOMER-USD'!$D138,'01. KE30'!$F:$F,'06. BC BH THEO CUSTOMER-USD'!$H138,'01. KE30'!$A:$A,'06. BC BH THEO CUSTOMER-USD'!EB$4),"-")</f>
        <v>0</v>
      </c>
      <c r="EC138" s="114">
        <f>IFERROR(SUMIFS('01. KE30'!$X:$X,'01. KE30'!$C:$C,'06. BC BH THEO CUSTOMER-USD'!$D138,'01. KE30'!$F:$F,'06. BC BH THEO CUSTOMER-USD'!$H138,'01. KE30'!$A:$A,'06. BC BH THEO CUSTOMER-USD'!EC$4)-SUMIFS('01. KE30'!$AA:$AA,'01. KE30'!$C:$C,'06. BC BH THEO CUSTOMER-USD'!$D138,'01. KE30'!$F:$F,'06. BC BH THEO CUSTOMER-USD'!$H138,'01. KE30'!$A:$A,'06. BC BH THEO CUSTOMER-USD'!EC$4),"-")</f>
        <v>0</v>
      </c>
      <c r="ED138" s="114">
        <f>IFERROR(SUMIFS('01. KE30'!$X:$X,'01. KE30'!$C:$C,'06. BC BH THEO CUSTOMER-USD'!$D138,'01. KE30'!$F:$F,'06. BC BH THEO CUSTOMER-USD'!$H138,'01. KE30'!$A:$A,'06. BC BH THEO CUSTOMER-USD'!ED$4)-SUMIFS('01. KE30'!$AA:$AA,'01. KE30'!$C:$C,'06. BC BH THEO CUSTOMER-USD'!$D138,'01. KE30'!$F:$F,'06. BC BH THEO CUSTOMER-USD'!$H138,'01. KE30'!$A:$A,'06. BC BH THEO CUSTOMER-USD'!ED$4),"-")</f>
        <v>0</v>
      </c>
      <c r="EE138" s="114">
        <f>IFERROR(SUMIFS('01. KE30'!$X:$X,'01. KE30'!$C:$C,'06. BC BH THEO CUSTOMER-USD'!$D138,'01. KE30'!$F:$F,'06. BC BH THEO CUSTOMER-USD'!$H138,'01. KE30'!$A:$A,'06. BC BH THEO CUSTOMER-USD'!EE$4)-SUMIFS('01. KE30'!$AA:$AA,'01. KE30'!$C:$C,'06. BC BH THEO CUSTOMER-USD'!$D138,'01. KE30'!$F:$F,'06. BC BH THEO CUSTOMER-USD'!$H138,'01. KE30'!$A:$A,'06. BC BH THEO CUSTOMER-USD'!EE$4),"-")</f>
        <v>0</v>
      </c>
      <c r="EF138" s="114">
        <f>IFERROR(SUMIFS('01. KE30'!$X:$X,'01. KE30'!$C:$C,'06. BC BH THEO CUSTOMER-USD'!$D138,'01. KE30'!$F:$F,'06. BC BH THEO CUSTOMER-USD'!$H138,'01. KE30'!$A:$A,'06. BC BH THEO CUSTOMER-USD'!EF$4)-SUMIFS('01. KE30'!$AA:$AA,'01. KE30'!$C:$C,'06. BC BH THEO CUSTOMER-USD'!$D138,'01. KE30'!$F:$F,'06. BC BH THEO CUSTOMER-USD'!$H138,'01. KE30'!$A:$A,'06. BC BH THEO CUSTOMER-USD'!EF$4),"-")</f>
        <v>0</v>
      </c>
      <c r="EH138" s="571" t="str">
        <f t="shared" si="531"/>
        <v>-</v>
      </c>
      <c r="EI138" s="572" t="str">
        <f t="shared" si="532"/>
        <v>-</v>
      </c>
      <c r="EJ138" s="572" t="str">
        <f t="shared" si="533"/>
        <v>-</v>
      </c>
      <c r="EK138" s="572" t="str">
        <f t="shared" si="534"/>
        <v>-</v>
      </c>
      <c r="EL138" s="572" t="str">
        <f t="shared" si="535"/>
        <v>-</v>
      </c>
      <c r="EM138" s="572" t="str">
        <f t="shared" si="536"/>
        <v>-</v>
      </c>
      <c r="EN138" s="572" t="str">
        <f t="shared" si="537"/>
        <v>-</v>
      </c>
      <c r="EO138" s="572" t="str">
        <f t="shared" si="538"/>
        <v>-</v>
      </c>
      <c r="EP138" s="572" t="str">
        <f t="shared" si="539"/>
        <v>-</v>
      </c>
      <c r="EQ138" s="572" t="str">
        <f t="shared" si="540"/>
        <v>-</v>
      </c>
      <c r="ER138" s="572" t="str">
        <f t="shared" si="541"/>
        <v>-</v>
      </c>
      <c r="ES138" s="572" t="str">
        <f t="shared" si="542"/>
        <v>-</v>
      </c>
      <c r="ET138" s="572" t="str">
        <f t="shared" si="543"/>
        <v>-</v>
      </c>
    </row>
    <row r="139" spans="1:150" ht="15.5" hidden="1" outlineLevel="1" x14ac:dyDescent="0.35">
      <c r="A139" s="10">
        <f t="shared" si="1266"/>
        <v>11</v>
      </c>
      <c r="B139" s="10" t="s">
        <v>265</v>
      </c>
      <c r="C139" s="442" t="s">
        <v>503</v>
      </c>
      <c r="D139" s="9" t="s">
        <v>73</v>
      </c>
      <c r="E139" s="8" t="s">
        <v>72</v>
      </c>
      <c r="F139" s="12" t="s">
        <v>245</v>
      </c>
      <c r="G139" s="12" t="str">
        <f>_xlfn.XLOOKUP(F139,'Quy đổi'!$G$5:$G$32,'Quy đổi'!$H$5:$H$32,0)</f>
        <v>Nội địa</v>
      </c>
      <c r="H139" s="76" t="s">
        <v>69</v>
      </c>
      <c r="I139" s="7" t="s">
        <v>64</v>
      </c>
      <c r="J139" s="69" t="s">
        <v>22</v>
      </c>
      <c r="K139" s="5"/>
      <c r="L139" s="92">
        <f t="shared" si="1263"/>
        <v>1387.9978914805336</v>
      </c>
      <c r="M139" s="106" t="str">
        <f>IFERROR(SUMIFS('01. KE30'!$K:$K,'01. KE30'!$C:$C,'06. BC BH THEO CUSTOMER-USD'!$D139,'01. KE30'!$F:$F,'06. BC BH THEO CUSTOMER-USD'!$H139,'01. KE30'!$A:$A,'06. BC BH THEO CUSTOMER-USD'!M$4)/'06. BC BH THEO CUSTOMER-USD'!CS139/'02. Tỷ giá'!B$5,"-")</f>
        <v>-</v>
      </c>
      <c r="N139" s="106">
        <f>IFERROR(SUMIFS('01. KE30'!$K:$K,'01. KE30'!$C:$C,'06. BC BH THEO CUSTOMER-USD'!$D139,'01. KE30'!$F:$F,'06. BC BH THEO CUSTOMER-USD'!$H139,'01. KE30'!$A:$A,'06. BC BH THEO CUSTOMER-USD'!N$4)/'06. BC BH THEO CUSTOMER-USD'!CT139/'02. Tỷ giá'!C$5,"-")</f>
        <v>1408.7435998424576</v>
      </c>
      <c r="O139" s="106">
        <f>IFERROR(SUMIFS('01. KE30'!$K:$K,'01. KE30'!$C:$C,'06. BC BH THEO CUSTOMER-USD'!$D139,'01. KE30'!$F:$F,'06. BC BH THEO CUSTOMER-USD'!$H139,'01. KE30'!$A:$A,'06. BC BH THEO CUSTOMER-USD'!O$4)/'06. BC BH THEO CUSTOMER-USD'!CU139/'02. Tỷ giá'!D$5,"-")</f>
        <v>1408.1889763779527</v>
      </c>
      <c r="P139" s="106" t="str">
        <f>IFERROR(SUMIFS('01. KE30'!$K:$K,'01. KE30'!$C:$C,'06. BC BH THEO CUSTOMER-USD'!$D139,'01. KE30'!$F:$F,'06. BC BH THEO CUSTOMER-USD'!$H139,'01. KE30'!$A:$A,'06. BC BH THEO CUSTOMER-USD'!P$4)/'06. BC BH THEO CUSTOMER-USD'!CV139/'02. Tỷ giá'!E$5,"-")</f>
        <v>-</v>
      </c>
      <c r="Q139" s="106">
        <f>IFERROR(SUMIFS('01. KE30'!$K:$K,'01. KE30'!$C:$C,'06. BC BH THEO CUSTOMER-USD'!$D139,'01. KE30'!$F:$F,'06. BC BH THEO CUSTOMER-USD'!$H139,'01. KE30'!$A:$A,'06. BC BH THEO CUSTOMER-USD'!Q$4)/'06. BC BH THEO CUSTOMER-USD'!CW139/'02. Tỷ giá'!F$5,"-")</f>
        <v>1347.0610982211911</v>
      </c>
      <c r="R139" s="106" t="str">
        <f>IFERROR(SUMIFS('01. KE30'!$K:$K,'01. KE30'!$C:$C,'06. BC BH THEO CUSTOMER-USD'!$D139,'01. KE30'!$F:$F,'06. BC BH THEO CUSTOMER-USD'!$H139,'01. KE30'!$A:$A,'06. BC BH THEO CUSTOMER-USD'!R$4)/'06. BC BH THEO CUSTOMER-USD'!CX139/'02. Tỷ giá'!G$5,"-")</f>
        <v>-</v>
      </c>
      <c r="S139" s="106" t="str">
        <f>IFERROR(SUMIFS('01. KE30'!$K:$K,'01. KE30'!$C:$C,'06. BC BH THEO CUSTOMER-USD'!$D139,'01. KE30'!$F:$F,'06. BC BH THEO CUSTOMER-USD'!$H139,'01. KE30'!$A:$A,'06. BC BH THEO CUSTOMER-USD'!S$4)/'06. BC BH THEO CUSTOMER-USD'!CY139/'02. Tỷ giá'!H$5,"-")</f>
        <v>-</v>
      </c>
      <c r="T139" s="106" t="str">
        <f>IFERROR(SUMIFS('01. KE30'!$K:$K,'01. KE30'!$C:$C,'06. BC BH THEO CUSTOMER-USD'!$D139,'01. KE30'!$F:$F,'06. BC BH THEO CUSTOMER-USD'!$H139,'01. KE30'!$A:$A,'06. BC BH THEO CUSTOMER-USD'!T$4)/'06. BC BH THEO CUSTOMER-USD'!CZ139/'02. Tỷ giá'!I$5,"-")</f>
        <v>-</v>
      </c>
      <c r="U139" s="106" t="str">
        <f>IFERROR(SUMIFS('01. KE30'!$K:$K,'01. KE30'!$C:$C,'06. BC BH THEO CUSTOMER-USD'!$D139,'01. KE30'!$F:$F,'06. BC BH THEO CUSTOMER-USD'!$H139,'01. KE30'!$A:$A,'06. BC BH THEO CUSTOMER-USD'!U$4)/'06. BC BH THEO CUSTOMER-USD'!DA139/'02. Tỷ giá'!J$5,"-")</f>
        <v>-</v>
      </c>
      <c r="V139" s="106" t="str">
        <f>IFERROR(SUMIFS('01. KE30'!$K:$K,'01. KE30'!$C:$C,'06. BC BH THEO CUSTOMER-USD'!$D139,'01. KE30'!$F:$F,'06. BC BH THEO CUSTOMER-USD'!$H139,'01. KE30'!$A:$A,'06. BC BH THEO CUSTOMER-USD'!V$4)/'06. BC BH THEO CUSTOMER-USD'!DB139/'02. Tỷ giá'!K$5,"-")</f>
        <v>-</v>
      </c>
      <c r="W139" s="106" t="str">
        <f>IFERROR(SUMIFS('01. KE30'!$K:$K,'01. KE30'!$C:$C,'06. BC BH THEO CUSTOMER-USD'!$D139,'01. KE30'!$F:$F,'06. BC BH THEO CUSTOMER-USD'!$H139,'01. KE30'!$A:$A,'06. BC BH THEO CUSTOMER-USD'!W$4)/'06. BC BH THEO CUSTOMER-USD'!DC139/'02. Tỷ giá'!L$5,"-")</f>
        <v>-</v>
      </c>
      <c r="X139" s="106" t="str">
        <f>IFERROR(SUMIFS('01. KE30'!$K:$K,'01. KE30'!$C:$C,'06. BC BH THEO CUSTOMER-USD'!$D139,'01. KE30'!$F:$F,'06. BC BH THEO CUSTOMER-USD'!$H139,'01. KE30'!$A:$A,'06. BC BH THEO CUSTOMER-USD'!X$4)/'06. BC BH THEO CUSTOMER-USD'!DD139/'02. Tỷ giá'!M$5,"-")</f>
        <v>-</v>
      </c>
      <c r="Z139" s="92">
        <f t="shared" si="1264"/>
        <v>1387.9978914805336</v>
      </c>
      <c r="AA139" s="147" t="str">
        <f>IFERROR(SUMIFS('01. KE30'!$O:$O,'01. KE30'!$C:$C,'06. BC BH THEO CUSTOMER-USD'!$D139,'01. KE30'!$F:$F,'06. BC BH THEO CUSTOMER-USD'!$H139,'01. KE30'!$A:$A,'06. BC BH THEO CUSTOMER-USD'!M$4)/'06. BC BH THEO CUSTOMER-USD'!CS139/'02. Tỷ giá'!B$5,"-")</f>
        <v>-</v>
      </c>
      <c r="AB139" s="147">
        <f>IFERROR(SUMIFS('01. KE30'!$O:$O,'01. KE30'!$C:$C,'06. BC BH THEO CUSTOMER-USD'!$D139,'01. KE30'!$F:$F,'06. BC BH THEO CUSTOMER-USD'!$H139,'01. KE30'!$A:$A,'06. BC BH THEO CUSTOMER-USD'!N$4)/'06. BC BH THEO CUSTOMER-USD'!CT139/'02. Tỷ giá'!C$5,"-")</f>
        <v>1408.7435998424576</v>
      </c>
      <c r="AC139" s="147">
        <f>IFERROR(SUMIFS('01. KE30'!$O:$O,'01. KE30'!$C:$C,'06. BC BH THEO CUSTOMER-USD'!$D139,'01. KE30'!$F:$F,'06. BC BH THEO CUSTOMER-USD'!$H139,'01. KE30'!$A:$A,'06. BC BH THEO CUSTOMER-USD'!O$4)/'06. BC BH THEO CUSTOMER-USD'!CU139/'02. Tỷ giá'!D$5,"-")</f>
        <v>1408.1889763779527</v>
      </c>
      <c r="AD139" s="147" t="str">
        <f>IFERROR(SUMIFS('01. KE30'!$O:$O,'01. KE30'!$C:$C,'06. BC BH THEO CUSTOMER-USD'!$D139,'01. KE30'!$F:$F,'06. BC BH THEO CUSTOMER-USD'!$H139,'01. KE30'!$A:$A,'06. BC BH THEO CUSTOMER-USD'!P$4)/'06. BC BH THEO CUSTOMER-USD'!CV139/'02. Tỷ giá'!E$5,"-")</f>
        <v>-</v>
      </c>
      <c r="AE139" s="147">
        <f>IFERROR(SUMIFS('01. KE30'!$O:$O,'01. KE30'!$C:$C,'06. BC BH THEO CUSTOMER-USD'!$D139,'01. KE30'!$F:$F,'06. BC BH THEO CUSTOMER-USD'!$H139,'01. KE30'!$A:$A,'06. BC BH THEO CUSTOMER-USD'!Q$4)/'06. BC BH THEO CUSTOMER-USD'!CW139/'02. Tỷ giá'!F$5,"-")</f>
        <v>1347.0610982211911</v>
      </c>
      <c r="AF139" s="147" t="str">
        <f>IFERROR(SUMIFS('01. KE30'!$O:$O,'01. KE30'!$C:$C,'06. BC BH THEO CUSTOMER-USD'!$D139,'01. KE30'!$F:$F,'06. BC BH THEO CUSTOMER-USD'!$H139,'01. KE30'!$A:$A,'06. BC BH THEO CUSTOMER-USD'!R$4)/'06. BC BH THEO CUSTOMER-USD'!CX139/'02. Tỷ giá'!G$5,"-")</f>
        <v>-</v>
      </c>
      <c r="AG139" s="147" t="str">
        <f>IFERROR(SUMIFS('01. KE30'!$O:$O,'01. KE30'!$C:$C,'06. BC BH THEO CUSTOMER-USD'!$D139,'01. KE30'!$F:$F,'06. BC BH THEO CUSTOMER-USD'!$H139,'01. KE30'!$A:$A,'06. BC BH THEO CUSTOMER-USD'!S$4)/'06. BC BH THEO CUSTOMER-USD'!CY139/'02. Tỷ giá'!H$5,"-")</f>
        <v>-</v>
      </c>
      <c r="AH139" s="147" t="str">
        <f>IFERROR(SUMIFS('01. KE30'!$O:$O,'01. KE30'!$C:$C,'06. BC BH THEO CUSTOMER-USD'!$D139,'01. KE30'!$F:$F,'06. BC BH THEO CUSTOMER-USD'!$H139,'01. KE30'!$A:$A,'06. BC BH THEO CUSTOMER-USD'!T$4)/'06. BC BH THEO CUSTOMER-USD'!CZ139/'02. Tỷ giá'!I$5,"-")</f>
        <v>-</v>
      </c>
      <c r="AI139" s="147" t="str">
        <f>IFERROR(SUMIFS('01. KE30'!$O:$O,'01. KE30'!$C:$C,'06. BC BH THEO CUSTOMER-USD'!$D139,'01. KE30'!$F:$F,'06. BC BH THEO CUSTOMER-USD'!$H139,'01. KE30'!$A:$A,'06. BC BH THEO CUSTOMER-USD'!U$4)/'06. BC BH THEO CUSTOMER-USD'!DA139/'02. Tỷ giá'!J$5,"-")</f>
        <v>-</v>
      </c>
      <c r="AJ139" s="147" t="str">
        <f>IFERROR(SUMIFS('01. KE30'!$O:$O,'01. KE30'!$C:$C,'06. BC BH THEO CUSTOMER-USD'!$D139,'01. KE30'!$F:$F,'06. BC BH THEO CUSTOMER-USD'!$H139,'01. KE30'!$A:$A,'06. BC BH THEO CUSTOMER-USD'!V$4)/'06. BC BH THEO CUSTOMER-USD'!DB139/'02. Tỷ giá'!K$5,"-")</f>
        <v>-</v>
      </c>
      <c r="AK139" s="147" t="str">
        <f>IFERROR(SUMIFS('01. KE30'!$O:$O,'01. KE30'!$C:$C,'06. BC BH THEO CUSTOMER-USD'!$D139,'01. KE30'!$F:$F,'06. BC BH THEO CUSTOMER-USD'!$H139,'01. KE30'!$A:$A,'06. BC BH THEO CUSTOMER-USD'!W$4)/'06. BC BH THEO CUSTOMER-USD'!DC139/'02. Tỷ giá'!L$5,"-")</f>
        <v>-</v>
      </c>
      <c r="AL139" s="147" t="str">
        <f>IFERROR(SUMIFS('01. KE30'!$O:$O,'01. KE30'!$C:$C,'06. BC BH THEO CUSTOMER-USD'!$D139,'01. KE30'!$F:$F,'06. BC BH THEO CUSTOMER-USD'!$H139,'01. KE30'!$A:$A,'06. BC BH THEO CUSTOMER-USD'!X$4)/'06. BC BH THEO CUSTOMER-USD'!DD139/'02. Tỷ giá'!M$5,"-")</f>
        <v>-</v>
      </c>
      <c r="AN139" s="55">
        <f t="shared" si="1265"/>
        <v>1354.4444444444443</v>
      </c>
      <c r="AO139" s="4">
        <v>1400</v>
      </c>
      <c r="AP139" s="4">
        <v>1400</v>
      </c>
      <c r="AQ139" s="4">
        <v>1350</v>
      </c>
      <c r="AR139" s="4">
        <v>1350</v>
      </c>
      <c r="AS139" s="4">
        <v>1350</v>
      </c>
      <c r="AT139" s="4">
        <v>1350</v>
      </c>
      <c r="AU139" s="4">
        <v>1350</v>
      </c>
      <c r="AV139" s="4">
        <f t="shared" ref="AV139:AV140" si="1334">AU139-20</f>
        <v>1330</v>
      </c>
      <c r="AW139" s="4">
        <v>1310</v>
      </c>
      <c r="AX139" s="4"/>
      <c r="AY139" s="4"/>
      <c r="AZ139" s="4"/>
      <c r="BB139" s="54">
        <f t="shared" si="637"/>
        <v>33.55344703608921</v>
      </c>
      <c r="BC139" s="95" t="str">
        <f t="shared" si="1333"/>
        <v>-</v>
      </c>
      <c r="BD139" s="95">
        <f t="shared" si="1330"/>
        <v>8.74359984245757</v>
      </c>
      <c r="BE139" s="95">
        <f t="shared" si="1330"/>
        <v>58.188976377952713</v>
      </c>
      <c r="BF139" s="95" t="str">
        <f t="shared" si="1330"/>
        <v>-</v>
      </c>
      <c r="BG139" s="95">
        <f t="shared" si="1330"/>
        <v>-2.9389017788089404</v>
      </c>
      <c r="BH139" s="95" t="str">
        <f t="shared" si="1330"/>
        <v>-</v>
      </c>
      <c r="BI139" s="95" t="str">
        <f t="shared" si="1330"/>
        <v>-</v>
      </c>
      <c r="BJ139" s="95" t="str">
        <f t="shared" si="1330"/>
        <v>-</v>
      </c>
      <c r="BK139" s="95" t="str">
        <f t="shared" si="1330"/>
        <v>-</v>
      </c>
      <c r="BL139" s="95" t="str">
        <f t="shared" si="1330"/>
        <v>-</v>
      </c>
      <c r="BM139" s="95" t="str">
        <f t="shared" si="1330"/>
        <v>-</v>
      </c>
      <c r="BN139" s="95" t="str">
        <f t="shared" si="1330"/>
        <v>-</v>
      </c>
      <c r="BP139" s="143">
        <f t="shared" si="639"/>
        <v>2.4772848509007621E-2</v>
      </c>
      <c r="BQ139" s="143" t="str">
        <f t="shared" si="1331"/>
        <v>-</v>
      </c>
      <c r="BR139" s="143">
        <f t="shared" si="518"/>
        <v>6.2454284588982639E-3</v>
      </c>
      <c r="BS139" s="143">
        <f t="shared" si="519"/>
        <v>4.3102945465150158E-2</v>
      </c>
      <c r="BT139" s="143" t="str">
        <f t="shared" si="520"/>
        <v>-</v>
      </c>
      <c r="BU139" s="143">
        <f t="shared" si="521"/>
        <v>-2.1769642805992153E-3</v>
      </c>
      <c r="BV139" s="143" t="str">
        <f t="shared" si="522"/>
        <v>-</v>
      </c>
      <c r="BW139" s="143" t="str">
        <f t="shared" si="523"/>
        <v>-</v>
      </c>
      <c r="BX139" s="143" t="str">
        <f t="shared" si="524"/>
        <v>-</v>
      </c>
      <c r="BY139" s="143" t="str">
        <f t="shared" si="525"/>
        <v>-</v>
      </c>
      <c r="BZ139" s="143" t="str">
        <f t="shared" si="526"/>
        <v>-</v>
      </c>
      <c r="CA139" s="143" t="str">
        <f t="shared" si="527"/>
        <v>-</v>
      </c>
      <c r="CB139" s="143" t="str">
        <f t="shared" si="528"/>
        <v>-</v>
      </c>
      <c r="CD139" s="112">
        <f t="shared" si="1248"/>
        <v>1087.9460376706418</v>
      </c>
      <c r="CE139" s="95" t="str">
        <f>IFERROR(SUMIFS('01. KE30'!$R:$R,'01. KE30'!$C:$C,'06. BC BH THEO CUSTOMER-USD'!$D139,'01. KE30'!$F:$F,'06. BC BH THEO CUSTOMER-USD'!$H139,'01. KE30'!$A:$A,'06. BC BH THEO CUSTOMER-USD'!CE$4)/CS139/'02. Tỷ giá'!B$5," -")</f>
        <v xml:space="preserve"> -</v>
      </c>
      <c r="CF139" s="95">
        <f>IFERROR(SUMIFS('01. KE30'!$R:$R,'01. KE30'!$C:$C,'06. BC BH THEO CUSTOMER-USD'!$D139,'01. KE30'!$F:$F,'06. BC BH THEO CUSTOMER-USD'!$H139,'01. KE30'!$A:$A,'06. BC BH THEO CUSTOMER-USD'!CF$4)/CT139/'02. Tỷ giá'!C$5," -")</f>
        <v>1100.3654695835869</v>
      </c>
      <c r="CG139" s="95">
        <f>IFERROR(SUMIFS('01. KE30'!$R:$R,'01. KE30'!$C:$C,'06. BC BH THEO CUSTOMER-USD'!$D139,'01. KE30'!$F:$F,'06. BC BH THEO CUSTOMER-USD'!$H139,'01. KE30'!$A:$A,'06. BC BH THEO CUSTOMER-USD'!CG$4)/CU139/'02. Tỷ giá'!D$5," -")</f>
        <v>1100.9324429900807</v>
      </c>
      <c r="CH139" s="95" t="str">
        <f>IFERROR(SUMIFS('01. KE30'!$R:$R,'01. KE30'!$C:$C,'06. BC BH THEO CUSTOMER-USD'!$D139,'01. KE30'!$F:$F,'06. BC BH THEO CUSTOMER-USD'!$H139,'01. KE30'!$A:$A,'06. BC BH THEO CUSTOMER-USD'!CH$4)/CV139/'02. Tỷ giá'!E$5," -")</f>
        <v xml:space="preserve"> -</v>
      </c>
      <c r="CI139" s="95">
        <f>IFERROR(SUMIFS('01. KE30'!$R:$R,'01. KE30'!$C:$C,'06. BC BH THEO CUSTOMER-USD'!$D139,'01. KE30'!$F:$F,'06. BC BH THEO CUSTOMER-USD'!$H139,'01. KE30'!$A:$A,'06. BC BH THEO CUSTOMER-USD'!CI$4)/CW139/'02. Tỷ giá'!F$5," -")</f>
        <v>1062.5402004382574</v>
      </c>
      <c r="CJ139" s="95" t="str">
        <f>IFERROR(SUMIFS('01. KE30'!$R:$R,'01. KE30'!$C:$C,'06. BC BH THEO CUSTOMER-USD'!$D139,'01. KE30'!$F:$F,'06. BC BH THEO CUSTOMER-USD'!$H139,'01. KE30'!$A:$A,'06. BC BH THEO CUSTOMER-USD'!CJ$4)/CX139/'02. Tỷ giá'!G$5," -")</f>
        <v xml:space="preserve"> -</v>
      </c>
      <c r="CK139" s="95" t="str">
        <f>IFERROR(SUMIFS('01. KE30'!$R:$R,'01. KE30'!$C:$C,'06. BC BH THEO CUSTOMER-USD'!$D139,'01. KE30'!$F:$F,'06. BC BH THEO CUSTOMER-USD'!$H139,'01. KE30'!$A:$A,'06. BC BH THEO CUSTOMER-USD'!CK$4)/CY139/'02. Tỷ giá'!H$5," -")</f>
        <v xml:space="preserve"> -</v>
      </c>
      <c r="CL139" s="95" t="str">
        <f>IFERROR(SUMIFS('01. KE30'!$R:$R,'01. KE30'!$C:$C,'06. BC BH THEO CUSTOMER-USD'!$D139,'01. KE30'!$F:$F,'06. BC BH THEO CUSTOMER-USD'!$H139,'01. KE30'!$A:$A,'06. BC BH THEO CUSTOMER-USD'!CL$4)/CZ139/'02. Tỷ giá'!I$5," -")</f>
        <v xml:space="preserve"> -</v>
      </c>
      <c r="CM139" s="95" t="str">
        <f>IFERROR(SUMIFS('01. KE30'!$R:$R,'01. KE30'!$C:$C,'06. BC BH THEO CUSTOMER-USD'!$D139,'01. KE30'!$F:$F,'06. BC BH THEO CUSTOMER-USD'!$H139,'01. KE30'!$A:$A,'06. BC BH THEO CUSTOMER-USD'!CM$4)/DA139/'02. Tỷ giá'!J$5," -")</f>
        <v xml:space="preserve"> -</v>
      </c>
      <c r="CN139" s="95" t="str">
        <f>IFERROR(SUMIFS('01. KE30'!$R:$R,'01. KE30'!$C:$C,'06. BC BH THEO CUSTOMER-USD'!$D139,'01. KE30'!$F:$F,'06. BC BH THEO CUSTOMER-USD'!$H139,'01. KE30'!$A:$A,'06. BC BH THEO CUSTOMER-USD'!CN$4)/DB139/'02. Tỷ giá'!K$5," -")</f>
        <v xml:space="preserve"> -</v>
      </c>
      <c r="CO139" s="95" t="str">
        <f>IFERROR(SUMIFS('01. KE30'!$R:$R,'01. KE30'!$C:$C,'06. BC BH THEO CUSTOMER-USD'!$D139,'01. KE30'!$F:$F,'06. BC BH THEO CUSTOMER-USD'!$H139,'01. KE30'!$A:$A,'06. BC BH THEO CUSTOMER-USD'!CO$4)/DC139/'02. Tỷ giá'!L$5," -")</f>
        <v xml:space="preserve"> -</v>
      </c>
      <c r="CP139" s="95" t="str">
        <f>IFERROR(SUMIFS('01. KE30'!$R:$R,'01. KE30'!$C:$C,'06. BC BH THEO CUSTOMER-USD'!$D139,'01. KE30'!$F:$F,'06. BC BH THEO CUSTOMER-USD'!$H139,'01. KE30'!$A:$A,'06. BC BH THEO CUSTOMER-USD'!CP$4)/DD139/'02. Tỷ giá'!M$5," -")</f>
        <v xml:space="preserve"> -</v>
      </c>
      <c r="CR139" s="112">
        <f t="shared" si="1249"/>
        <v>21.975000000000001</v>
      </c>
      <c r="CS139" s="114">
        <f>SUMIFS('01. KE30'!$I:$I,'01. KE30'!$C:$C,'06. BC BH THEO CUSTOMER-USD'!$D139,'01. KE30'!$F:$F,'06. BC BH THEO CUSTOMER-USD'!$H139,'01. KE30'!$A:$A,'06. BC BH THEO CUSTOMER-USD'!CS$4)/1000</f>
        <v>0</v>
      </c>
      <c r="CT139" s="114">
        <f>SUMIFS('01. KE30'!$I:$I,'01. KE30'!$C:$C,'06. BC BH THEO CUSTOMER-USD'!$D139,'01. KE30'!$F:$F,'06. BC BH THEO CUSTOMER-USD'!$H139,'01. KE30'!$A:$A,'06. BC BH THEO CUSTOMER-USD'!CT$4)/1000</f>
        <v>2.75</v>
      </c>
      <c r="CU139" s="114">
        <f>SUMIFS('01. KE30'!$I:$I,'01. KE30'!$C:$C,'06. BC BH THEO CUSTOMER-USD'!$D139,'01. KE30'!$F:$F,'06. BC BH THEO CUSTOMER-USD'!$H139,'01. KE30'!$A:$A,'06. BC BH THEO CUSTOMER-USD'!CU$4)/1000</f>
        <v>9.625</v>
      </c>
      <c r="CV139" s="114">
        <f>SUMIFS('01. KE30'!$I:$I,'01. KE30'!$C:$C,'06. BC BH THEO CUSTOMER-USD'!$D139,'01. KE30'!$F:$F,'06. BC BH THEO CUSTOMER-USD'!$H139,'01. KE30'!$A:$A,'06. BC BH THEO CUSTOMER-USD'!CV$4)/1000</f>
        <v>0</v>
      </c>
      <c r="CW139" s="114">
        <f>SUMIFS('01. KE30'!$I:$I,'01. KE30'!$C:$C,'06. BC BH THEO CUSTOMER-USD'!$D139,'01. KE30'!$F:$F,'06. BC BH THEO CUSTOMER-USD'!$H139,'01. KE30'!$A:$A,'06. BC BH THEO CUSTOMER-USD'!CW$4)/1000</f>
        <v>9.6</v>
      </c>
      <c r="CX139" s="114">
        <f>SUMIFS('01. KE30'!$I:$I,'01. KE30'!$C:$C,'06. BC BH THEO CUSTOMER-USD'!$D139,'01. KE30'!$F:$F,'06. BC BH THEO CUSTOMER-USD'!$H139,'01. KE30'!$A:$A,'06. BC BH THEO CUSTOMER-USD'!CX$4)/1000</f>
        <v>0</v>
      </c>
      <c r="CY139" s="114">
        <f>SUMIFS('01. KE30'!$I:$I,'01. KE30'!$C:$C,'06. BC BH THEO CUSTOMER-USD'!$D139,'01. KE30'!$F:$F,'06. BC BH THEO CUSTOMER-USD'!$H139,'01. KE30'!$A:$A,'06. BC BH THEO CUSTOMER-USD'!CY$4)/1000</f>
        <v>0</v>
      </c>
      <c r="CZ139" s="114">
        <f>SUMIFS('01. KE30'!$I:$I,'01. KE30'!$C:$C,'06. BC BH THEO CUSTOMER-USD'!$D139,'01. KE30'!$F:$F,'06. BC BH THEO CUSTOMER-USD'!$H139,'01. KE30'!$A:$A,'06. BC BH THEO CUSTOMER-USD'!CZ$4)/1000</f>
        <v>0</v>
      </c>
      <c r="DA139" s="114">
        <f>SUMIFS('01. KE30'!$I:$I,'01. KE30'!$C:$C,'06. BC BH THEO CUSTOMER-USD'!$D139,'01. KE30'!$F:$F,'06. BC BH THEO CUSTOMER-USD'!$H139,'01. KE30'!$A:$A,'06. BC BH THEO CUSTOMER-USD'!DA$4)/1000</f>
        <v>0</v>
      </c>
      <c r="DB139" s="114">
        <f>SUMIFS('01. KE30'!$I:$I,'01. KE30'!$C:$C,'06. BC BH THEO CUSTOMER-USD'!$D139,'01. KE30'!$F:$F,'06. BC BH THEO CUSTOMER-USD'!$H139,'01. KE30'!$A:$A,'06. BC BH THEO CUSTOMER-USD'!DB$4)/1000</f>
        <v>0</v>
      </c>
      <c r="DC139" s="114">
        <f>SUMIFS('01. KE30'!$I:$I,'01. KE30'!$C:$C,'06. BC BH THEO CUSTOMER-USD'!$D139,'01. KE30'!$F:$F,'06. BC BH THEO CUSTOMER-USD'!$H139,'01. KE30'!$A:$A,'06. BC BH THEO CUSTOMER-USD'!DC$4)/1000</f>
        <v>0</v>
      </c>
      <c r="DD139" s="114">
        <f>SUMIFS('01. KE30'!$I:$I,'01. KE30'!$C:$C,'06. BC BH THEO CUSTOMER-USD'!$D139,'01. KE30'!$F:$F,'06. BC BH THEO CUSTOMER-USD'!$H139,'01. KE30'!$A:$A,'06. BC BH THEO CUSTOMER-USD'!DD$4)/1000</f>
        <v>0</v>
      </c>
      <c r="DF139" s="112">
        <f t="shared" si="1250"/>
        <v>30359.650340127988</v>
      </c>
      <c r="DG139" s="54" t="str">
        <f t="shared" si="1251"/>
        <v>-</v>
      </c>
      <c r="DH139" s="54">
        <f t="shared" si="1252"/>
        <v>3874.0448995667584</v>
      </c>
      <c r="DI139" s="54">
        <f t="shared" si="1253"/>
        <v>13553.818897637795</v>
      </c>
      <c r="DJ139" s="54" t="str">
        <f t="shared" si="1254"/>
        <v>-</v>
      </c>
      <c r="DK139" s="54">
        <f t="shared" si="1255"/>
        <v>12931.786542923433</v>
      </c>
      <c r="DL139" s="54" t="str">
        <f t="shared" si="1256"/>
        <v>-</v>
      </c>
      <c r="DM139" s="54" t="str">
        <f t="shared" si="1257"/>
        <v>-</v>
      </c>
      <c r="DN139" s="54" t="str">
        <f t="shared" si="1258"/>
        <v>-</v>
      </c>
      <c r="DO139" s="54" t="str">
        <f t="shared" si="1259"/>
        <v>-</v>
      </c>
      <c r="DP139" s="54" t="str">
        <f t="shared" si="1260"/>
        <v>-</v>
      </c>
      <c r="DQ139" s="54" t="str">
        <f t="shared" si="1261"/>
        <v>-</v>
      </c>
      <c r="DR139" s="54" t="str">
        <f t="shared" si="1262"/>
        <v>-</v>
      </c>
      <c r="DT139" s="112">
        <f t="shared" si="652"/>
        <v>6536.7846107863261</v>
      </c>
      <c r="DU139" s="114">
        <f>IFERROR(SUMIFS('01. KE30'!$X:$X,'01. KE30'!$C:$C,'06. BC BH THEO CUSTOMER-USD'!$D139,'01. KE30'!$F:$F,'06. BC BH THEO CUSTOMER-USD'!$H139,'01. KE30'!$A:$A,'06. BC BH THEO CUSTOMER-USD'!DU$4)-SUMIFS('01. KE30'!$AA:$AA,'01. KE30'!$C:$C,'06. BC BH THEO CUSTOMER-USD'!$D139,'01. KE30'!$F:$F,'06. BC BH THEO CUSTOMER-USD'!$H139,'01. KE30'!$A:$A,'06. BC BH THEO CUSTOMER-USD'!DU$4),"-")</f>
        <v>0</v>
      </c>
      <c r="DV139" s="114">
        <f>IFERROR(SUMIFS('01. KE30'!$X:$X,'01. KE30'!$C:$C,'06. BC BH THEO CUSTOMER-USD'!$D139,'01. KE30'!$F:$F,'06. BC BH THEO CUSTOMER-USD'!$H139,'01. KE30'!$A:$A,'06. BC BH THEO CUSTOMER-USD'!DV$4)-SUMIFS('01. KE30'!$AA:$AA,'01. KE30'!$C:$C,'06. BC BH THEO CUSTOMER-USD'!$D139,'01. KE30'!$F:$F,'06. BC BH THEO CUSTOMER-USD'!$H139,'01. KE30'!$A:$A,'06. BC BH THEO CUSTOMER-USD'!DV$4),"-")</f>
        <v>848.03985821189417</v>
      </c>
      <c r="DW139" s="114">
        <f>IFERROR(SUMIFS('01. KE30'!$X:$X,'01. KE30'!$C:$C,'06. BC BH THEO CUSTOMER-USD'!$D139,'01. KE30'!$F:$F,'06. BC BH THEO CUSTOMER-USD'!$H139,'01. KE30'!$A:$A,'06. BC BH THEO CUSTOMER-USD'!DW$4)-SUMIFS('01. KE30'!$AA:$AA,'01. KE30'!$C:$C,'06. BC BH THEO CUSTOMER-USD'!$D139,'01. KE30'!$F:$F,'06. BC BH THEO CUSTOMER-USD'!$H139,'01. KE30'!$A:$A,'06. BC BH THEO CUSTOMER-USD'!DW$4),"-")</f>
        <v>2957.344133858267</v>
      </c>
      <c r="DX139" s="114">
        <f>IFERROR(SUMIFS('01. KE30'!$X:$X,'01. KE30'!$C:$C,'06. BC BH THEO CUSTOMER-USD'!$D139,'01. KE30'!$F:$F,'06. BC BH THEO CUSTOMER-USD'!$H139,'01. KE30'!$A:$A,'06. BC BH THEO CUSTOMER-USD'!DX$4)-SUMIFS('01. KE30'!$AA:$AA,'01. KE30'!$C:$C,'06. BC BH THEO CUSTOMER-USD'!$D139,'01. KE30'!$F:$F,'06. BC BH THEO CUSTOMER-USD'!$H139,'01. KE30'!$A:$A,'06. BC BH THEO CUSTOMER-USD'!DX$4),"-")</f>
        <v>0</v>
      </c>
      <c r="DY139" s="114">
        <f>IFERROR(SUMIFS('01. KE30'!$X:$X,'01. KE30'!$C:$C,'06. BC BH THEO CUSTOMER-USD'!$D139,'01. KE30'!$F:$F,'06. BC BH THEO CUSTOMER-USD'!$H139,'01. KE30'!$A:$A,'06. BC BH THEO CUSTOMER-USD'!DY$4)-SUMIFS('01. KE30'!$AA:$AA,'01. KE30'!$C:$C,'06. BC BH THEO CUSTOMER-USD'!$D139,'01. KE30'!$F:$F,'06. BC BH THEO CUSTOMER-USD'!$H139,'01. KE30'!$A:$A,'06. BC BH THEO CUSTOMER-USD'!DY$4),"-")</f>
        <v>2731.4006187161649</v>
      </c>
      <c r="DZ139" s="114">
        <f>IFERROR(SUMIFS('01. KE30'!$X:$X,'01. KE30'!$C:$C,'06. BC BH THEO CUSTOMER-USD'!$D139,'01. KE30'!$F:$F,'06. BC BH THEO CUSTOMER-USD'!$H139,'01. KE30'!$A:$A,'06. BC BH THEO CUSTOMER-USD'!DZ$4)-SUMIFS('01. KE30'!$AA:$AA,'01. KE30'!$C:$C,'06. BC BH THEO CUSTOMER-USD'!$D139,'01. KE30'!$F:$F,'06. BC BH THEO CUSTOMER-USD'!$H139,'01. KE30'!$A:$A,'06. BC BH THEO CUSTOMER-USD'!DZ$4),"-")</f>
        <v>0</v>
      </c>
      <c r="EA139" s="114">
        <f>IFERROR(SUMIFS('01. KE30'!$X:$X,'01. KE30'!$C:$C,'06. BC BH THEO CUSTOMER-USD'!$D139,'01. KE30'!$F:$F,'06. BC BH THEO CUSTOMER-USD'!$H139,'01. KE30'!$A:$A,'06. BC BH THEO CUSTOMER-USD'!EA$4)-SUMIFS('01. KE30'!$AA:$AA,'01. KE30'!$C:$C,'06. BC BH THEO CUSTOMER-USD'!$D139,'01. KE30'!$F:$F,'06. BC BH THEO CUSTOMER-USD'!$H139,'01. KE30'!$A:$A,'06. BC BH THEO CUSTOMER-USD'!EA$4),"-")</f>
        <v>0</v>
      </c>
      <c r="EB139" s="114">
        <f>IFERROR(SUMIFS('01. KE30'!$X:$X,'01. KE30'!$C:$C,'06. BC BH THEO CUSTOMER-USD'!$D139,'01. KE30'!$F:$F,'06. BC BH THEO CUSTOMER-USD'!$H139,'01. KE30'!$A:$A,'06. BC BH THEO CUSTOMER-USD'!EB$4)-SUMIFS('01. KE30'!$AA:$AA,'01. KE30'!$C:$C,'06. BC BH THEO CUSTOMER-USD'!$D139,'01. KE30'!$F:$F,'06. BC BH THEO CUSTOMER-USD'!$H139,'01. KE30'!$A:$A,'06. BC BH THEO CUSTOMER-USD'!EB$4),"-")</f>
        <v>0</v>
      </c>
      <c r="EC139" s="114">
        <f>IFERROR(SUMIFS('01. KE30'!$X:$X,'01. KE30'!$C:$C,'06. BC BH THEO CUSTOMER-USD'!$D139,'01. KE30'!$F:$F,'06. BC BH THEO CUSTOMER-USD'!$H139,'01. KE30'!$A:$A,'06. BC BH THEO CUSTOMER-USD'!EC$4)-SUMIFS('01. KE30'!$AA:$AA,'01. KE30'!$C:$C,'06. BC BH THEO CUSTOMER-USD'!$D139,'01. KE30'!$F:$F,'06. BC BH THEO CUSTOMER-USD'!$H139,'01. KE30'!$A:$A,'06. BC BH THEO CUSTOMER-USD'!EC$4),"-")</f>
        <v>0</v>
      </c>
      <c r="ED139" s="114">
        <f>IFERROR(SUMIFS('01. KE30'!$X:$X,'01. KE30'!$C:$C,'06. BC BH THEO CUSTOMER-USD'!$D139,'01. KE30'!$F:$F,'06. BC BH THEO CUSTOMER-USD'!$H139,'01. KE30'!$A:$A,'06. BC BH THEO CUSTOMER-USD'!ED$4)-SUMIFS('01. KE30'!$AA:$AA,'01. KE30'!$C:$C,'06. BC BH THEO CUSTOMER-USD'!$D139,'01. KE30'!$F:$F,'06. BC BH THEO CUSTOMER-USD'!$H139,'01. KE30'!$A:$A,'06. BC BH THEO CUSTOMER-USD'!ED$4),"-")</f>
        <v>0</v>
      </c>
      <c r="EE139" s="114">
        <f>IFERROR(SUMIFS('01. KE30'!$X:$X,'01. KE30'!$C:$C,'06. BC BH THEO CUSTOMER-USD'!$D139,'01. KE30'!$F:$F,'06. BC BH THEO CUSTOMER-USD'!$H139,'01. KE30'!$A:$A,'06. BC BH THEO CUSTOMER-USD'!EE$4)-SUMIFS('01. KE30'!$AA:$AA,'01. KE30'!$C:$C,'06. BC BH THEO CUSTOMER-USD'!$D139,'01. KE30'!$F:$F,'06. BC BH THEO CUSTOMER-USD'!$H139,'01. KE30'!$A:$A,'06. BC BH THEO CUSTOMER-USD'!EE$4),"-")</f>
        <v>0</v>
      </c>
      <c r="EF139" s="114">
        <f>IFERROR(SUMIFS('01. KE30'!$X:$X,'01. KE30'!$C:$C,'06. BC BH THEO CUSTOMER-USD'!$D139,'01. KE30'!$F:$F,'06. BC BH THEO CUSTOMER-USD'!$H139,'01. KE30'!$A:$A,'06. BC BH THEO CUSTOMER-USD'!EF$4)-SUMIFS('01. KE30'!$AA:$AA,'01. KE30'!$C:$C,'06. BC BH THEO CUSTOMER-USD'!$D139,'01. KE30'!$F:$F,'06. BC BH THEO CUSTOMER-USD'!$H139,'01. KE30'!$A:$A,'06. BC BH THEO CUSTOMER-USD'!EF$4),"-")</f>
        <v>0</v>
      </c>
      <c r="EH139" s="571">
        <f t="shared" si="531"/>
        <v>0.21531159079741788</v>
      </c>
      <c r="EI139" s="572" t="str">
        <f t="shared" si="532"/>
        <v>-</v>
      </c>
      <c r="EJ139" s="572">
        <f t="shared" si="533"/>
        <v>0.21890295032634546</v>
      </c>
      <c r="EK139" s="572">
        <f t="shared" si="534"/>
        <v>0.21819268474759412</v>
      </c>
      <c r="EL139" s="572" t="str">
        <f t="shared" si="535"/>
        <v>-</v>
      </c>
      <c r="EM139" s="572">
        <f t="shared" si="536"/>
        <v>0.21121603033347694</v>
      </c>
      <c r="EN139" s="572" t="str">
        <f t="shared" si="537"/>
        <v>-</v>
      </c>
      <c r="EO139" s="572" t="str">
        <f t="shared" si="538"/>
        <v>-</v>
      </c>
      <c r="EP139" s="572" t="str">
        <f t="shared" si="539"/>
        <v>-</v>
      </c>
      <c r="EQ139" s="572" t="str">
        <f t="shared" si="540"/>
        <v>-</v>
      </c>
      <c r="ER139" s="572" t="str">
        <f t="shared" si="541"/>
        <v>-</v>
      </c>
      <c r="ES139" s="572" t="str">
        <f t="shared" si="542"/>
        <v>-</v>
      </c>
      <c r="ET139" s="572" t="str">
        <f t="shared" si="543"/>
        <v>-</v>
      </c>
    </row>
    <row r="140" spans="1:150" ht="15.5" hidden="1" outlineLevel="1" x14ac:dyDescent="0.35">
      <c r="A140" s="10">
        <f t="shared" si="1266"/>
        <v>12</v>
      </c>
      <c r="B140" s="10" t="s">
        <v>265</v>
      </c>
      <c r="C140" s="442" t="s">
        <v>503</v>
      </c>
      <c r="D140" s="9" t="s">
        <v>73</v>
      </c>
      <c r="E140" s="8" t="s">
        <v>72</v>
      </c>
      <c r="F140" s="12" t="s">
        <v>245</v>
      </c>
      <c r="G140" s="12" t="str">
        <f>_xlfn.XLOOKUP(F140,'Quy đổi'!$G$5:$G$32,'Quy đổi'!$H$5:$H$32,0)</f>
        <v>Nội địa</v>
      </c>
      <c r="H140" s="76" t="s">
        <v>80</v>
      </c>
      <c r="I140" s="7" t="s">
        <v>79</v>
      </c>
      <c r="J140" s="69" t="s">
        <v>22</v>
      </c>
      <c r="K140" s="5"/>
      <c r="L140" s="92" t="str">
        <f t="shared" ref="L140:L141" si="1335">IFERROR(AVERAGE(M140:X140),"-")</f>
        <v>-</v>
      </c>
      <c r="M140" s="106" t="str">
        <f>IFERROR(SUMIFS('01. KE30'!$K:$K,'01. KE30'!$C:$C,'06. BC BH THEO CUSTOMER-USD'!$D140,'01. KE30'!$F:$F,'06. BC BH THEO CUSTOMER-USD'!$H140,'01. KE30'!$A:$A,'06. BC BH THEO CUSTOMER-USD'!M$4)/'06. BC BH THEO CUSTOMER-USD'!CS140/'02. Tỷ giá'!B$5,"-")</f>
        <v>-</v>
      </c>
      <c r="N140" s="106" t="str">
        <f>IFERROR(SUMIFS('01. KE30'!$K:$K,'01. KE30'!$C:$C,'06. BC BH THEO CUSTOMER-USD'!$D140,'01. KE30'!$F:$F,'06. BC BH THEO CUSTOMER-USD'!$H140,'01. KE30'!$A:$A,'06. BC BH THEO CUSTOMER-USD'!N$4)/'06. BC BH THEO CUSTOMER-USD'!CT140/'02. Tỷ giá'!C$5,"-")</f>
        <v>-</v>
      </c>
      <c r="O140" s="106" t="str">
        <f>IFERROR(SUMIFS('01. KE30'!$K:$K,'01. KE30'!$C:$C,'06. BC BH THEO CUSTOMER-USD'!$D140,'01. KE30'!$F:$F,'06. BC BH THEO CUSTOMER-USD'!$H140,'01. KE30'!$A:$A,'06. BC BH THEO CUSTOMER-USD'!O$4)/'06. BC BH THEO CUSTOMER-USD'!CU140/'02. Tỷ giá'!D$5,"-")</f>
        <v>-</v>
      </c>
      <c r="P140" s="106" t="str">
        <f>IFERROR(SUMIFS('01. KE30'!$K:$K,'01. KE30'!$C:$C,'06. BC BH THEO CUSTOMER-USD'!$D140,'01. KE30'!$F:$F,'06. BC BH THEO CUSTOMER-USD'!$H140,'01. KE30'!$A:$A,'06. BC BH THEO CUSTOMER-USD'!P$4)/'06. BC BH THEO CUSTOMER-USD'!CV140/'02. Tỷ giá'!E$5,"-")</f>
        <v>-</v>
      </c>
      <c r="Q140" s="106" t="str">
        <f>IFERROR(SUMIFS('01. KE30'!$K:$K,'01. KE30'!$C:$C,'06. BC BH THEO CUSTOMER-USD'!$D140,'01. KE30'!$F:$F,'06. BC BH THEO CUSTOMER-USD'!$H140,'01. KE30'!$A:$A,'06. BC BH THEO CUSTOMER-USD'!Q$4)/'06. BC BH THEO CUSTOMER-USD'!CW140/'02. Tỷ giá'!F$5,"-")</f>
        <v>-</v>
      </c>
      <c r="R140" s="106" t="str">
        <f>IFERROR(SUMIFS('01. KE30'!$K:$K,'01. KE30'!$C:$C,'06. BC BH THEO CUSTOMER-USD'!$D140,'01. KE30'!$F:$F,'06. BC BH THEO CUSTOMER-USD'!$H140,'01. KE30'!$A:$A,'06. BC BH THEO CUSTOMER-USD'!R$4)/'06. BC BH THEO CUSTOMER-USD'!CX140/'02. Tỷ giá'!G$5,"-")</f>
        <v>-</v>
      </c>
      <c r="S140" s="106" t="str">
        <f>IFERROR(SUMIFS('01. KE30'!$K:$K,'01. KE30'!$C:$C,'06. BC BH THEO CUSTOMER-USD'!$D140,'01. KE30'!$F:$F,'06. BC BH THEO CUSTOMER-USD'!$H140,'01. KE30'!$A:$A,'06. BC BH THEO CUSTOMER-USD'!S$4)/'06. BC BH THEO CUSTOMER-USD'!CY140/'02. Tỷ giá'!H$5,"-")</f>
        <v>-</v>
      </c>
      <c r="T140" s="106" t="str">
        <f>IFERROR(SUMIFS('01. KE30'!$K:$K,'01. KE30'!$C:$C,'06. BC BH THEO CUSTOMER-USD'!$D140,'01. KE30'!$F:$F,'06. BC BH THEO CUSTOMER-USD'!$H140,'01. KE30'!$A:$A,'06. BC BH THEO CUSTOMER-USD'!T$4)/'06. BC BH THEO CUSTOMER-USD'!CZ140/'02. Tỷ giá'!I$5,"-")</f>
        <v>-</v>
      </c>
      <c r="U140" s="106" t="str">
        <f>IFERROR(SUMIFS('01. KE30'!$K:$K,'01. KE30'!$C:$C,'06. BC BH THEO CUSTOMER-USD'!$D140,'01. KE30'!$F:$F,'06. BC BH THEO CUSTOMER-USD'!$H140,'01. KE30'!$A:$A,'06. BC BH THEO CUSTOMER-USD'!U$4)/'06. BC BH THEO CUSTOMER-USD'!DA140/'02. Tỷ giá'!J$5,"-")</f>
        <v>-</v>
      </c>
      <c r="V140" s="106" t="str">
        <f>IFERROR(SUMIFS('01. KE30'!$K:$K,'01. KE30'!$C:$C,'06. BC BH THEO CUSTOMER-USD'!$D140,'01. KE30'!$F:$F,'06. BC BH THEO CUSTOMER-USD'!$H140,'01. KE30'!$A:$A,'06. BC BH THEO CUSTOMER-USD'!V$4)/'06. BC BH THEO CUSTOMER-USD'!DB140/'02. Tỷ giá'!K$5,"-")</f>
        <v>-</v>
      </c>
      <c r="W140" s="106" t="str">
        <f>IFERROR(SUMIFS('01. KE30'!$K:$K,'01. KE30'!$C:$C,'06. BC BH THEO CUSTOMER-USD'!$D140,'01. KE30'!$F:$F,'06. BC BH THEO CUSTOMER-USD'!$H140,'01. KE30'!$A:$A,'06. BC BH THEO CUSTOMER-USD'!W$4)/'06. BC BH THEO CUSTOMER-USD'!DC140/'02. Tỷ giá'!L$5,"-")</f>
        <v>-</v>
      </c>
      <c r="X140" s="106" t="str">
        <f>IFERROR(SUMIFS('01. KE30'!$K:$K,'01. KE30'!$C:$C,'06. BC BH THEO CUSTOMER-USD'!$D140,'01. KE30'!$F:$F,'06. BC BH THEO CUSTOMER-USD'!$H140,'01. KE30'!$A:$A,'06. BC BH THEO CUSTOMER-USD'!X$4)/'06. BC BH THEO CUSTOMER-USD'!DD140/'02. Tỷ giá'!M$5,"-")</f>
        <v>-</v>
      </c>
      <c r="Z140" s="92" t="str">
        <f t="shared" ref="Z140:Z141" si="1336">IFERROR(AVERAGE(AA140:AL140),"-")</f>
        <v>-</v>
      </c>
      <c r="AA140" s="147" t="str">
        <f>IFERROR(SUMIFS('01. KE30'!$O:$O,'01. KE30'!$C:$C,'06. BC BH THEO CUSTOMER-USD'!$D140,'01. KE30'!$F:$F,'06. BC BH THEO CUSTOMER-USD'!$H140,'01. KE30'!$A:$A,'06. BC BH THEO CUSTOMER-USD'!M$4)/'06. BC BH THEO CUSTOMER-USD'!CS140/'02. Tỷ giá'!B$5,"-")</f>
        <v>-</v>
      </c>
      <c r="AB140" s="147" t="str">
        <f>IFERROR(SUMIFS('01. KE30'!$O:$O,'01. KE30'!$C:$C,'06. BC BH THEO CUSTOMER-USD'!$D140,'01. KE30'!$F:$F,'06. BC BH THEO CUSTOMER-USD'!$H140,'01. KE30'!$A:$A,'06. BC BH THEO CUSTOMER-USD'!N$4)/'06. BC BH THEO CUSTOMER-USD'!CT140/'02. Tỷ giá'!C$5,"-")</f>
        <v>-</v>
      </c>
      <c r="AC140" s="147" t="str">
        <f>IFERROR(SUMIFS('01. KE30'!$O:$O,'01. KE30'!$C:$C,'06. BC BH THEO CUSTOMER-USD'!$D140,'01. KE30'!$F:$F,'06. BC BH THEO CUSTOMER-USD'!$H140,'01. KE30'!$A:$A,'06. BC BH THEO CUSTOMER-USD'!O$4)/'06. BC BH THEO CUSTOMER-USD'!CU140/'02. Tỷ giá'!D$5,"-")</f>
        <v>-</v>
      </c>
      <c r="AD140" s="147" t="str">
        <f>IFERROR(SUMIFS('01. KE30'!$O:$O,'01. KE30'!$C:$C,'06. BC BH THEO CUSTOMER-USD'!$D140,'01. KE30'!$F:$F,'06. BC BH THEO CUSTOMER-USD'!$H140,'01. KE30'!$A:$A,'06. BC BH THEO CUSTOMER-USD'!P$4)/'06. BC BH THEO CUSTOMER-USD'!CV140/'02. Tỷ giá'!E$5,"-")</f>
        <v>-</v>
      </c>
      <c r="AE140" s="147" t="str">
        <f>IFERROR(SUMIFS('01. KE30'!$O:$O,'01. KE30'!$C:$C,'06. BC BH THEO CUSTOMER-USD'!$D140,'01. KE30'!$F:$F,'06. BC BH THEO CUSTOMER-USD'!$H140,'01. KE30'!$A:$A,'06. BC BH THEO CUSTOMER-USD'!Q$4)/'06. BC BH THEO CUSTOMER-USD'!CW140/'02. Tỷ giá'!F$5,"-")</f>
        <v>-</v>
      </c>
      <c r="AF140" s="147" t="str">
        <f>IFERROR(SUMIFS('01. KE30'!$O:$O,'01. KE30'!$C:$C,'06. BC BH THEO CUSTOMER-USD'!$D140,'01. KE30'!$F:$F,'06. BC BH THEO CUSTOMER-USD'!$H140,'01. KE30'!$A:$A,'06. BC BH THEO CUSTOMER-USD'!R$4)/'06. BC BH THEO CUSTOMER-USD'!CX140/'02. Tỷ giá'!G$5,"-")</f>
        <v>-</v>
      </c>
      <c r="AG140" s="147" t="str">
        <f>IFERROR(SUMIFS('01. KE30'!$O:$O,'01. KE30'!$C:$C,'06. BC BH THEO CUSTOMER-USD'!$D140,'01. KE30'!$F:$F,'06. BC BH THEO CUSTOMER-USD'!$H140,'01. KE30'!$A:$A,'06. BC BH THEO CUSTOMER-USD'!S$4)/'06. BC BH THEO CUSTOMER-USD'!CY140/'02. Tỷ giá'!H$5,"-")</f>
        <v>-</v>
      </c>
      <c r="AH140" s="147" t="str">
        <f>IFERROR(SUMIFS('01. KE30'!$O:$O,'01. KE30'!$C:$C,'06. BC BH THEO CUSTOMER-USD'!$D140,'01. KE30'!$F:$F,'06. BC BH THEO CUSTOMER-USD'!$H140,'01. KE30'!$A:$A,'06. BC BH THEO CUSTOMER-USD'!T$4)/'06. BC BH THEO CUSTOMER-USD'!CZ140/'02. Tỷ giá'!I$5,"-")</f>
        <v>-</v>
      </c>
      <c r="AI140" s="147" t="str">
        <f>IFERROR(SUMIFS('01. KE30'!$O:$O,'01. KE30'!$C:$C,'06. BC BH THEO CUSTOMER-USD'!$D140,'01. KE30'!$F:$F,'06. BC BH THEO CUSTOMER-USD'!$H140,'01. KE30'!$A:$A,'06. BC BH THEO CUSTOMER-USD'!U$4)/'06. BC BH THEO CUSTOMER-USD'!DA140/'02. Tỷ giá'!J$5,"-")</f>
        <v>-</v>
      </c>
      <c r="AJ140" s="147" t="str">
        <f>IFERROR(SUMIFS('01. KE30'!$O:$O,'01. KE30'!$C:$C,'06. BC BH THEO CUSTOMER-USD'!$D140,'01. KE30'!$F:$F,'06. BC BH THEO CUSTOMER-USD'!$H140,'01. KE30'!$A:$A,'06. BC BH THEO CUSTOMER-USD'!V$4)/'06. BC BH THEO CUSTOMER-USD'!DB140/'02. Tỷ giá'!K$5,"-")</f>
        <v>-</v>
      </c>
      <c r="AK140" s="147" t="str">
        <f>IFERROR(SUMIFS('01. KE30'!$O:$O,'01. KE30'!$C:$C,'06. BC BH THEO CUSTOMER-USD'!$D140,'01. KE30'!$F:$F,'06. BC BH THEO CUSTOMER-USD'!$H140,'01. KE30'!$A:$A,'06. BC BH THEO CUSTOMER-USD'!W$4)/'06. BC BH THEO CUSTOMER-USD'!DC140/'02. Tỷ giá'!L$5,"-")</f>
        <v>-</v>
      </c>
      <c r="AL140" s="147" t="str">
        <f>IFERROR(SUMIFS('01. KE30'!$O:$O,'01. KE30'!$C:$C,'06. BC BH THEO CUSTOMER-USD'!$D140,'01. KE30'!$F:$F,'06. BC BH THEO CUSTOMER-USD'!$H140,'01. KE30'!$A:$A,'06. BC BH THEO CUSTOMER-USD'!X$4)/'06. BC BH THEO CUSTOMER-USD'!DD140/'02. Tỷ giá'!M$5,"-")</f>
        <v>-</v>
      </c>
      <c r="AN140" s="55">
        <f t="shared" ref="AN140:AN141" si="1337">IFERROR(AVERAGE(AO140:AZ140),"-")</f>
        <v>1354.4444444444443</v>
      </c>
      <c r="AO140" s="4">
        <v>1400</v>
      </c>
      <c r="AP140" s="4">
        <v>1400</v>
      </c>
      <c r="AQ140" s="4">
        <f t="shared" si="1267"/>
        <v>1350</v>
      </c>
      <c r="AR140" s="4">
        <v>1350</v>
      </c>
      <c r="AS140" s="4">
        <v>1350</v>
      </c>
      <c r="AT140" s="4">
        <v>1350</v>
      </c>
      <c r="AU140" s="4">
        <v>1350</v>
      </c>
      <c r="AV140" s="4">
        <f t="shared" si="1334"/>
        <v>1330</v>
      </c>
      <c r="AW140" s="4">
        <v>1310</v>
      </c>
      <c r="AX140" s="4"/>
      <c r="AY140" s="4"/>
      <c r="AZ140" s="4"/>
      <c r="BB140" s="54" t="str">
        <f t="shared" ref="BB140:BB141" si="1338">IF(L140&lt;&gt;"-",Z140-AN140,"-")</f>
        <v>-</v>
      </c>
      <c r="BC140" s="95" t="str">
        <f t="shared" ref="BC140:BC141" si="1339">IF(M140&lt;&gt;"-",AA140-AO140,"-")</f>
        <v>-</v>
      </c>
      <c r="BD140" s="95" t="str">
        <f t="shared" ref="BD140:BD141" si="1340">IF(N140&lt;&gt;"-",AB140-AP140,"-")</f>
        <v>-</v>
      </c>
      <c r="BE140" s="95" t="str">
        <f t="shared" ref="BE140:BE141" si="1341">IF(O140&lt;&gt;"-",AC140-AQ140,"-")</f>
        <v>-</v>
      </c>
      <c r="BF140" s="95" t="str">
        <f t="shared" ref="BF140:BF141" si="1342">IF(P140&lt;&gt;"-",AD140-AR140,"-")</f>
        <v>-</v>
      </c>
      <c r="BG140" s="95" t="str">
        <f t="shared" ref="BG140:BG141" si="1343">IF(Q140&lt;&gt;"-",AE140-AS140,"-")</f>
        <v>-</v>
      </c>
      <c r="BH140" s="95" t="str">
        <f t="shared" ref="BH140:BH141" si="1344">IF(R140&lt;&gt;"-",AF140-AT140,"-")</f>
        <v>-</v>
      </c>
      <c r="BI140" s="95" t="str">
        <f t="shared" ref="BI140:BI141" si="1345">IF(S140&lt;&gt;"-",AG140-AU140,"-")</f>
        <v>-</v>
      </c>
      <c r="BJ140" s="95" t="str">
        <f t="shared" ref="BJ140:BJ141" si="1346">IF(T140&lt;&gt;"-",AH140-AV140,"-")</f>
        <v>-</v>
      </c>
      <c r="BK140" s="95" t="str">
        <f t="shared" ref="BK140:BK141" si="1347">IF(U140&lt;&gt;"-",AI140-AW140,"-")</f>
        <v>-</v>
      </c>
      <c r="BL140" s="95" t="str">
        <f t="shared" ref="BL140:BL141" si="1348">IF(V140&lt;&gt;"-",AJ140-AX140,"-")</f>
        <v>-</v>
      </c>
      <c r="BM140" s="95" t="str">
        <f t="shared" ref="BM140:BM141" si="1349">IF(W140&lt;&gt;"-",AK140-AY140,"-")</f>
        <v>-</v>
      </c>
      <c r="BN140" s="95" t="str">
        <f t="shared" ref="BN140:BN141" si="1350">IF(X140&lt;&gt;"-",AL140-AZ140,"-")</f>
        <v>-</v>
      </c>
      <c r="BP140" s="143" t="str">
        <f t="shared" ref="BP140:BP141" si="1351">IFERROR(IF(BB140&lt;&gt;"-",BB140/AN140,"-"),"-")</f>
        <v>-</v>
      </c>
      <c r="BQ140" s="143" t="str">
        <f t="shared" ref="BQ140:BQ141" si="1352">IFERROR(IF(BC140&lt;&gt;"-",BC140/AO140,"-"),"-")</f>
        <v>-</v>
      </c>
      <c r="BR140" s="143" t="str">
        <f t="shared" ref="BR140:BR141" si="1353">IFERROR(IF(BD140&lt;&gt;"-",BD140/AP140,"-"),"-")</f>
        <v>-</v>
      </c>
      <c r="BS140" s="143" t="str">
        <f t="shared" ref="BS140:BS141" si="1354">IFERROR(IF(BE140&lt;&gt;"-",BE140/AQ140,"-"),"-")</f>
        <v>-</v>
      </c>
      <c r="BT140" s="143" t="str">
        <f t="shared" ref="BT140:BT141" si="1355">IFERROR(IF(BF140&lt;&gt;"-",BF140/AR140,"-"),"-")</f>
        <v>-</v>
      </c>
      <c r="BU140" s="143" t="str">
        <f t="shared" ref="BU140:BU141" si="1356">IFERROR(IF(BG140&lt;&gt;"-",BG140/AS140,"-"),"-")</f>
        <v>-</v>
      </c>
      <c r="BV140" s="143" t="str">
        <f t="shared" ref="BV140:BV141" si="1357">IFERROR(IF(BH140&lt;&gt;"-",BH140/AT140,"-"),"-")</f>
        <v>-</v>
      </c>
      <c r="BW140" s="143" t="str">
        <f t="shared" ref="BW140:BW141" si="1358">IFERROR(IF(BI140&lt;&gt;"-",BI140/AU140,"-"),"-")</f>
        <v>-</v>
      </c>
      <c r="BX140" s="143" t="str">
        <f t="shared" ref="BX140:BX141" si="1359">IFERROR(IF(BJ140&lt;&gt;"-",BJ140/AV140,"-"),"-")</f>
        <v>-</v>
      </c>
      <c r="BY140" s="143" t="str">
        <f t="shared" ref="BY140:BY141" si="1360">IFERROR(IF(BK140&lt;&gt;"-",BK140/AW140,"-"),"-")</f>
        <v>-</v>
      </c>
      <c r="BZ140" s="143" t="str">
        <f t="shared" ref="BZ140:BZ141" si="1361">IFERROR(IF(BL140&lt;&gt;"-",BL140/AX140,"-"),"-")</f>
        <v>-</v>
      </c>
      <c r="CA140" s="143" t="str">
        <f t="shared" ref="CA140:CA141" si="1362">IFERROR(IF(BM140&lt;&gt;"-",BM140/AY140,"-"),"-")</f>
        <v>-</v>
      </c>
      <c r="CB140" s="143" t="str">
        <f t="shared" ref="CB140:CB141" si="1363">IFERROR(IF(BN140&lt;&gt;"-",BN140/AZ140,"-"),"-")</f>
        <v>-</v>
      </c>
      <c r="CD140" s="112" t="str">
        <f t="shared" ref="CD140:CD141" si="1364">IFERROR(AVERAGE(CE140:CP140),"-")</f>
        <v>-</v>
      </c>
      <c r="CE140" s="95" t="str">
        <f>IFERROR(SUMIFS('01. KE30'!$R:$R,'01. KE30'!$C:$C,'06. BC BH THEO CUSTOMER-USD'!$D140,'01. KE30'!$F:$F,'06. BC BH THEO CUSTOMER-USD'!$H140,'01. KE30'!$A:$A,'06. BC BH THEO CUSTOMER-USD'!CE$4)/CS140/'02. Tỷ giá'!B$5," -")</f>
        <v xml:space="preserve"> -</v>
      </c>
      <c r="CF140" s="95" t="str">
        <f>IFERROR(SUMIFS('01. KE30'!$R:$R,'01. KE30'!$C:$C,'06. BC BH THEO CUSTOMER-USD'!$D140,'01. KE30'!$F:$F,'06. BC BH THEO CUSTOMER-USD'!$H140,'01. KE30'!$A:$A,'06. BC BH THEO CUSTOMER-USD'!CF$4)/CT140/'02. Tỷ giá'!C$5," -")</f>
        <v xml:space="preserve"> -</v>
      </c>
      <c r="CG140" s="95" t="str">
        <f>IFERROR(SUMIFS('01. KE30'!$R:$R,'01. KE30'!$C:$C,'06. BC BH THEO CUSTOMER-USD'!$D140,'01. KE30'!$F:$F,'06. BC BH THEO CUSTOMER-USD'!$H140,'01. KE30'!$A:$A,'06. BC BH THEO CUSTOMER-USD'!CG$4)/CU140/'02. Tỷ giá'!D$5," -")</f>
        <v xml:space="preserve"> -</v>
      </c>
      <c r="CH140" s="95" t="str">
        <f>IFERROR(SUMIFS('01. KE30'!$R:$R,'01. KE30'!$C:$C,'06. BC BH THEO CUSTOMER-USD'!$D140,'01. KE30'!$F:$F,'06. BC BH THEO CUSTOMER-USD'!$H140,'01. KE30'!$A:$A,'06. BC BH THEO CUSTOMER-USD'!CH$4)/CV140/'02. Tỷ giá'!E$5," -")</f>
        <v xml:space="preserve"> -</v>
      </c>
      <c r="CI140" s="95" t="str">
        <f>IFERROR(SUMIFS('01. KE30'!$R:$R,'01. KE30'!$C:$C,'06. BC BH THEO CUSTOMER-USD'!$D140,'01. KE30'!$F:$F,'06. BC BH THEO CUSTOMER-USD'!$H140,'01. KE30'!$A:$A,'06. BC BH THEO CUSTOMER-USD'!CI$4)/CW140/'02. Tỷ giá'!F$5," -")</f>
        <v xml:space="preserve"> -</v>
      </c>
      <c r="CJ140" s="95" t="str">
        <f>IFERROR(SUMIFS('01. KE30'!$R:$R,'01. KE30'!$C:$C,'06. BC BH THEO CUSTOMER-USD'!$D140,'01. KE30'!$F:$F,'06. BC BH THEO CUSTOMER-USD'!$H140,'01. KE30'!$A:$A,'06. BC BH THEO CUSTOMER-USD'!CJ$4)/CX140/'02. Tỷ giá'!G$5," -")</f>
        <v xml:space="preserve"> -</v>
      </c>
      <c r="CK140" s="95" t="str">
        <f>IFERROR(SUMIFS('01. KE30'!$R:$R,'01. KE30'!$C:$C,'06. BC BH THEO CUSTOMER-USD'!$D140,'01. KE30'!$F:$F,'06. BC BH THEO CUSTOMER-USD'!$H140,'01. KE30'!$A:$A,'06. BC BH THEO CUSTOMER-USD'!CK$4)/CY140/'02. Tỷ giá'!H$5," -")</f>
        <v xml:space="preserve"> -</v>
      </c>
      <c r="CL140" s="95" t="str">
        <f>IFERROR(SUMIFS('01. KE30'!$R:$R,'01. KE30'!$C:$C,'06. BC BH THEO CUSTOMER-USD'!$D140,'01. KE30'!$F:$F,'06. BC BH THEO CUSTOMER-USD'!$H140,'01. KE30'!$A:$A,'06. BC BH THEO CUSTOMER-USD'!CL$4)/CZ140/'02. Tỷ giá'!I$5," -")</f>
        <v xml:space="preserve"> -</v>
      </c>
      <c r="CM140" s="95" t="str">
        <f>IFERROR(SUMIFS('01. KE30'!$R:$R,'01. KE30'!$C:$C,'06. BC BH THEO CUSTOMER-USD'!$D140,'01. KE30'!$F:$F,'06. BC BH THEO CUSTOMER-USD'!$H140,'01. KE30'!$A:$A,'06. BC BH THEO CUSTOMER-USD'!CM$4)/DA140/'02. Tỷ giá'!J$5," -")</f>
        <v xml:space="preserve"> -</v>
      </c>
      <c r="CN140" s="95" t="str">
        <f>IFERROR(SUMIFS('01. KE30'!$R:$R,'01. KE30'!$C:$C,'06. BC BH THEO CUSTOMER-USD'!$D140,'01. KE30'!$F:$F,'06. BC BH THEO CUSTOMER-USD'!$H140,'01. KE30'!$A:$A,'06. BC BH THEO CUSTOMER-USD'!CN$4)/DB140/'02. Tỷ giá'!K$5," -")</f>
        <v xml:space="preserve"> -</v>
      </c>
      <c r="CO140" s="95" t="str">
        <f>IFERROR(SUMIFS('01. KE30'!$R:$R,'01. KE30'!$C:$C,'06. BC BH THEO CUSTOMER-USD'!$D140,'01. KE30'!$F:$F,'06. BC BH THEO CUSTOMER-USD'!$H140,'01. KE30'!$A:$A,'06. BC BH THEO CUSTOMER-USD'!CO$4)/DC140/'02. Tỷ giá'!L$5," -")</f>
        <v xml:space="preserve"> -</v>
      </c>
      <c r="CP140" s="95" t="str">
        <f>IFERROR(SUMIFS('01. KE30'!$R:$R,'01. KE30'!$C:$C,'06. BC BH THEO CUSTOMER-USD'!$D140,'01. KE30'!$F:$F,'06. BC BH THEO CUSTOMER-USD'!$H140,'01. KE30'!$A:$A,'06. BC BH THEO CUSTOMER-USD'!CP$4)/DD140/'02. Tỷ giá'!M$5," -")</f>
        <v xml:space="preserve"> -</v>
      </c>
      <c r="CR140" s="112">
        <f t="shared" ref="CR140:CR141" si="1365">SUM(CS140:DD140)</f>
        <v>0</v>
      </c>
      <c r="CS140" s="114">
        <f>SUMIFS('01. KE30'!$I:$I,'01. KE30'!$C:$C,'06. BC BH THEO CUSTOMER-USD'!$D140,'01. KE30'!$F:$F,'06. BC BH THEO CUSTOMER-USD'!$H140,'01. KE30'!$A:$A,'06. BC BH THEO CUSTOMER-USD'!CS$4)/1000</f>
        <v>0</v>
      </c>
      <c r="CT140" s="114">
        <f>SUMIFS('01. KE30'!$I:$I,'01. KE30'!$C:$C,'06. BC BH THEO CUSTOMER-USD'!$D140,'01. KE30'!$F:$F,'06. BC BH THEO CUSTOMER-USD'!$H140,'01. KE30'!$A:$A,'06. BC BH THEO CUSTOMER-USD'!CT$4)/1000</f>
        <v>0</v>
      </c>
      <c r="CU140" s="114">
        <f>SUMIFS('01. KE30'!$I:$I,'01. KE30'!$C:$C,'06. BC BH THEO CUSTOMER-USD'!$D140,'01. KE30'!$F:$F,'06. BC BH THEO CUSTOMER-USD'!$H140,'01. KE30'!$A:$A,'06. BC BH THEO CUSTOMER-USD'!CU$4)/1000</f>
        <v>0</v>
      </c>
      <c r="CV140" s="114">
        <f>SUMIFS('01. KE30'!$I:$I,'01. KE30'!$C:$C,'06. BC BH THEO CUSTOMER-USD'!$D140,'01. KE30'!$F:$F,'06. BC BH THEO CUSTOMER-USD'!$H140,'01. KE30'!$A:$A,'06. BC BH THEO CUSTOMER-USD'!CV$4)/1000</f>
        <v>0</v>
      </c>
      <c r="CW140" s="114">
        <f>SUMIFS('01. KE30'!$I:$I,'01. KE30'!$C:$C,'06. BC BH THEO CUSTOMER-USD'!$D140,'01. KE30'!$F:$F,'06. BC BH THEO CUSTOMER-USD'!$H140,'01. KE30'!$A:$A,'06. BC BH THEO CUSTOMER-USD'!CW$4)/1000</f>
        <v>0</v>
      </c>
      <c r="CX140" s="114">
        <f>SUMIFS('01. KE30'!$I:$I,'01. KE30'!$C:$C,'06. BC BH THEO CUSTOMER-USD'!$D140,'01. KE30'!$F:$F,'06. BC BH THEO CUSTOMER-USD'!$H140,'01. KE30'!$A:$A,'06. BC BH THEO CUSTOMER-USD'!CX$4)/1000</f>
        <v>0</v>
      </c>
      <c r="CY140" s="114">
        <f>SUMIFS('01. KE30'!$I:$I,'01. KE30'!$C:$C,'06. BC BH THEO CUSTOMER-USD'!$D140,'01. KE30'!$F:$F,'06. BC BH THEO CUSTOMER-USD'!$H140,'01. KE30'!$A:$A,'06. BC BH THEO CUSTOMER-USD'!CY$4)/1000</f>
        <v>0</v>
      </c>
      <c r="CZ140" s="114">
        <f>SUMIFS('01. KE30'!$I:$I,'01. KE30'!$C:$C,'06. BC BH THEO CUSTOMER-USD'!$D140,'01. KE30'!$F:$F,'06. BC BH THEO CUSTOMER-USD'!$H140,'01. KE30'!$A:$A,'06. BC BH THEO CUSTOMER-USD'!CZ$4)/1000</f>
        <v>0</v>
      </c>
      <c r="DA140" s="114">
        <f>SUMIFS('01. KE30'!$I:$I,'01. KE30'!$C:$C,'06. BC BH THEO CUSTOMER-USD'!$D140,'01. KE30'!$F:$F,'06. BC BH THEO CUSTOMER-USD'!$H140,'01. KE30'!$A:$A,'06. BC BH THEO CUSTOMER-USD'!DA$4)/1000</f>
        <v>0</v>
      </c>
      <c r="DB140" s="114">
        <f>SUMIFS('01. KE30'!$I:$I,'01. KE30'!$C:$C,'06. BC BH THEO CUSTOMER-USD'!$D140,'01. KE30'!$F:$F,'06. BC BH THEO CUSTOMER-USD'!$H140,'01. KE30'!$A:$A,'06. BC BH THEO CUSTOMER-USD'!DB$4)/1000</f>
        <v>0</v>
      </c>
      <c r="DC140" s="114">
        <f>SUMIFS('01. KE30'!$I:$I,'01. KE30'!$C:$C,'06. BC BH THEO CUSTOMER-USD'!$D140,'01. KE30'!$F:$F,'06. BC BH THEO CUSTOMER-USD'!$H140,'01. KE30'!$A:$A,'06. BC BH THEO CUSTOMER-USD'!DC$4)/1000</f>
        <v>0</v>
      </c>
      <c r="DD140" s="114">
        <f>SUMIFS('01. KE30'!$I:$I,'01. KE30'!$C:$C,'06. BC BH THEO CUSTOMER-USD'!$D140,'01. KE30'!$F:$F,'06. BC BH THEO CUSTOMER-USD'!$H140,'01. KE30'!$A:$A,'06. BC BH THEO CUSTOMER-USD'!DD$4)/1000</f>
        <v>0</v>
      </c>
      <c r="DF140" s="112">
        <f t="shared" ref="DF140:DF141" si="1366">SUM(DG140:DR140)</f>
        <v>0</v>
      </c>
      <c r="DG140" s="54" t="str">
        <f t="shared" ref="DG140:DG141" si="1367">IFERROR(M140*CS140,"-")</f>
        <v>-</v>
      </c>
      <c r="DH140" s="54" t="str">
        <f t="shared" ref="DH140:DH141" si="1368">IFERROR(N140*CT140,"-")</f>
        <v>-</v>
      </c>
      <c r="DI140" s="54" t="str">
        <f t="shared" ref="DI140:DI141" si="1369">IFERROR(O140*CU140,"-")</f>
        <v>-</v>
      </c>
      <c r="DJ140" s="54" t="str">
        <f t="shared" ref="DJ140:DJ141" si="1370">IFERROR(P140*CV140,"-")</f>
        <v>-</v>
      </c>
      <c r="DK140" s="54" t="str">
        <f t="shared" ref="DK140:DK141" si="1371">IFERROR(Q140*CW140,"-")</f>
        <v>-</v>
      </c>
      <c r="DL140" s="54" t="str">
        <f t="shared" ref="DL140:DL141" si="1372">IFERROR(R140*CX140,"-")</f>
        <v>-</v>
      </c>
      <c r="DM140" s="54" t="str">
        <f t="shared" ref="DM140:DM141" si="1373">IFERROR(S140*CY140,"-")</f>
        <v>-</v>
      </c>
      <c r="DN140" s="54" t="str">
        <f t="shared" ref="DN140:DN141" si="1374">IFERROR(T140*CZ140,"-")</f>
        <v>-</v>
      </c>
      <c r="DO140" s="54" t="str">
        <f t="shared" ref="DO140:DO141" si="1375">IFERROR(U140*DA140,"-")</f>
        <v>-</v>
      </c>
      <c r="DP140" s="54" t="str">
        <f t="shared" ref="DP140:DP141" si="1376">IFERROR(V140*DB140,"-")</f>
        <v>-</v>
      </c>
      <c r="DQ140" s="54" t="str">
        <f t="shared" ref="DQ140:DQ141" si="1377">IFERROR(W140*DC140,"-")</f>
        <v>-</v>
      </c>
      <c r="DR140" s="54" t="str">
        <f t="shared" ref="DR140:DR141" si="1378">IFERROR(X140*DD140,"-")</f>
        <v>-</v>
      </c>
      <c r="DT140" s="112">
        <f t="shared" ref="DT140:DT141" si="1379">SUM(DU140:EF140)</f>
        <v>0</v>
      </c>
      <c r="DU140" s="114">
        <f>IFERROR(SUMIFS('01. KE30'!$X:$X,'01. KE30'!$C:$C,'06. BC BH THEO CUSTOMER-USD'!$D140,'01. KE30'!$F:$F,'06. BC BH THEO CUSTOMER-USD'!$H140,'01. KE30'!$A:$A,'06. BC BH THEO CUSTOMER-USD'!DU$4)-SUMIFS('01. KE30'!$AA:$AA,'01. KE30'!$C:$C,'06. BC BH THEO CUSTOMER-USD'!$D140,'01. KE30'!$F:$F,'06. BC BH THEO CUSTOMER-USD'!$H140,'01. KE30'!$A:$A,'06. BC BH THEO CUSTOMER-USD'!DU$4),"-")</f>
        <v>0</v>
      </c>
      <c r="DV140" s="114">
        <f>IFERROR(SUMIFS('01. KE30'!$X:$X,'01. KE30'!$C:$C,'06. BC BH THEO CUSTOMER-USD'!$D140,'01. KE30'!$F:$F,'06. BC BH THEO CUSTOMER-USD'!$H140,'01. KE30'!$A:$A,'06. BC BH THEO CUSTOMER-USD'!DV$4)-SUMIFS('01. KE30'!$AA:$AA,'01. KE30'!$C:$C,'06. BC BH THEO CUSTOMER-USD'!$D140,'01. KE30'!$F:$F,'06. BC BH THEO CUSTOMER-USD'!$H140,'01. KE30'!$A:$A,'06. BC BH THEO CUSTOMER-USD'!DV$4),"-")</f>
        <v>0</v>
      </c>
      <c r="DW140" s="114">
        <f>IFERROR(SUMIFS('01. KE30'!$X:$X,'01. KE30'!$C:$C,'06. BC BH THEO CUSTOMER-USD'!$D140,'01. KE30'!$F:$F,'06. BC BH THEO CUSTOMER-USD'!$H140,'01. KE30'!$A:$A,'06. BC BH THEO CUSTOMER-USD'!DW$4)-SUMIFS('01. KE30'!$AA:$AA,'01. KE30'!$C:$C,'06. BC BH THEO CUSTOMER-USD'!$D140,'01. KE30'!$F:$F,'06. BC BH THEO CUSTOMER-USD'!$H140,'01. KE30'!$A:$A,'06. BC BH THEO CUSTOMER-USD'!DW$4),"-")</f>
        <v>0</v>
      </c>
      <c r="DX140" s="114">
        <f>IFERROR(SUMIFS('01. KE30'!$X:$X,'01. KE30'!$C:$C,'06. BC BH THEO CUSTOMER-USD'!$D140,'01. KE30'!$F:$F,'06. BC BH THEO CUSTOMER-USD'!$H140,'01. KE30'!$A:$A,'06. BC BH THEO CUSTOMER-USD'!DX$4)-SUMIFS('01. KE30'!$AA:$AA,'01. KE30'!$C:$C,'06. BC BH THEO CUSTOMER-USD'!$D140,'01. KE30'!$F:$F,'06. BC BH THEO CUSTOMER-USD'!$H140,'01. KE30'!$A:$A,'06. BC BH THEO CUSTOMER-USD'!DX$4),"-")</f>
        <v>0</v>
      </c>
      <c r="DY140" s="114">
        <f>IFERROR(SUMIFS('01. KE30'!$X:$X,'01. KE30'!$C:$C,'06. BC BH THEO CUSTOMER-USD'!$D140,'01. KE30'!$F:$F,'06. BC BH THEO CUSTOMER-USD'!$H140,'01. KE30'!$A:$A,'06. BC BH THEO CUSTOMER-USD'!DY$4)-SUMIFS('01. KE30'!$AA:$AA,'01. KE30'!$C:$C,'06. BC BH THEO CUSTOMER-USD'!$D140,'01. KE30'!$F:$F,'06. BC BH THEO CUSTOMER-USD'!$H140,'01. KE30'!$A:$A,'06. BC BH THEO CUSTOMER-USD'!DY$4),"-")</f>
        <v>0</v>
      </c>
      <c r="DZ140" s="114">
        <f>IFERROR(SUMIFS('01. KE30'!$X:$X,'01. KE30'!$C:$C,'06. BC BH THEO CUSTOMER-USD'!$D140,'01. KE30'!$F:$F,'06. BC BH THEO CUSTOMER-USD'!$H140,'01. KE30'!$A:$A,'06. BC BH THEO CUSTOMER-USD'!DZ$4)-SUMIFS('01. KE30'!$AA:$AA,'01. KE30'!$C:$C,'06. BC BH THEO CUSTOMER-USD'!$D140,'01. KE30'!$F:$F,'06. BC BH THEO CUSTOMER-USD'!$H140,'01. KE30'!$A:$A,'06. BC BH THEO CUSTOMER-USD'!DZ$4),"-")</f>
        <v>0</v>
      </c>
      <c r="EA140" s="114">
        <f>IFERROR(SUMIFS('01. KE30'!$X:$X,'01. KE30'!$C:$C,'06. BC BH THEO CUSTOMER-USD'!$D140,'01. KE30'!$F:$F,'06. BC BH THEO CUSTOMER-USD'!$H140,'01. KE30'!$A:$A,'06. BC BH THEO CUSTOMER-USD'!EA$4)-SUMIFS('01. KE30'!$AA:$AA,'01. KE30'!$C:$C,'06. BC BH THEO CUSTOMER-USD'!$D140,'01. KE30'!$F:$F,'06. BC BH THEO CUSTOMER-USD'!$H140,'01. KE30'!$A:$A,'06. BC BH THEO CUSTOMER-USD'!EA$4),"-")</f>
        <v>0</v>
      </c>
      <c r="EB140" s="114">
        <f>IFERROR(SUMIFS('01. KE30'!$X:$X,'01. KE30'!$C:$C,'06. BC BH THEO CUSTOMER-USD'!$D140,'01. KE30'!$F:$F,'06. BC BH THEO CUSTOMER-USD'!$H140,'01. KE30'!$A:$A,'06. BC BH THEO CUSTOMER-USD'!EB$4)-SUMIFS('01. KE30'!$AA:$AA,'01. KE30'!$C:$C,'06. BC BH THEO CUSTOMER-USD'!$D140,'01. KE30'!$F:$F,'06. BC BH THEO CUSTOMER-USD'!$H140,'01. KE30'!$A:$A,'06. BC BH THEO CUSTOMER-USD'!EB$4),"-")</f>
        <v>0</v>
      </c>
      <c r="EC140" s="114">
        <f>IFERROR(SUMIFS('01. KE30'!$X:$X,'01. KE30'!$C:$C,'06. BC BH THEO CUSTOMER-USD'!$D140,'01. KE30'!$F:$F,'06. BC BH THEO CUSTOMER-USD'!$H140,'01. KE30'!$A:$A,'06. BC BH THEO CUSTOMER-USD'!EC$4)-SUMIFS('01. KE30'!$AA:$AA,'01. KE30'!$C:$C,'06. BC BH THEO CUSTOMER-USD'!$D140,'01. KE30'!$F:$F,'06. BC BH THEO CUSTOMER-USD'!$H140,'01. KE30'!$A:$A,'06. BC BH THEO CUSTOMER-USD'!EC$4),"-")</f>
        <v>0</v>
      </c>
      <c r="ED140" s="114">
        <f>IFERROR(SUMIFS('01. KE30'!$X:$X,'01. KE30'!$C:$C,'06. BC BH THEO CUSTOMER-USD'!$D140,'01. KE30'!$F:$F,'06. BC BH THEO CUSTOMER-USD'!$H140,'01. KE30'!$A:$A,'06. BC BH THEO CUSTOMER-USD'!ED$4)-SUMIFS('01. KE30'!$AA:$AA,'01. KE30'!$C:$C,'06. BC BH THEO CUSTOMER-USD'!$D140,'01. KE30'!$F:$F,'06. BC BH THEO CUSTOMER-USD'!$H140,'01. KE30'!$A:$A,'06. BC BH THEO CUSTOMER-USD'!ED$4),"-")</f>
        <v>0</v>
      </c>
      <c r="EE140" s="114">
        <f>IFERROR(SUMIFS('01. KE30'!$X:$X,'01. KE30'!$C:$C,'06. BC BH THEO CUSTOMER-USD'!$D140,'01. KE30'!$F:$F,'06. BC BH THEO CUSTOMER-USD'!$H140,'01. KE30'!$A:$A,'06. BC BH THEO CUSTOMER-USD'!EE$4)-SUMIFS('01. KE30'!$AA:$AA,'01. KE30'!$C:$C,'06. BC BH THEO CUSTOMER-USD'!$D140,'01. KE30'!$F:$F,'06. BC BH THEO CUSTOMER-USD'!$H140,'01. KE30'!$A:$A,'06. BC BH THEO CUSTOMER-USD'!EE$4),"-")</f>
        <v>0</v>
      </c>
      <c r="EF140" s="114">
        <f>IFERROR(SUMIFS('01. KE30'!$X:$X,'01. KE30'!$C:$C,'06. BC BH THEO CUSTOMER-USD'!$D140,'01. KE30'!$F:$F,'06. BC BH THEO CUSTOMER-USD'!$H140,'01. KE30'!$A:$A,'06. BC BH THEO CUSTOMER-USD'!EF$4)-SUMIFS('01. KE30'!$AA:$AA,'01. KE30'!$C:$C,'06. BC BH THEO CUSTOMER-USD'!$D140,'01. KE30'!$F:$F,'06. BC BH THEO CUSTOMER-USD'!$H140,'01. KE30'!$A:$A,'06. BC BH THEO CUSTOMER-USD'!EF$4),"-")</f>
        <v>0</v>
      </c>
      <c r="EH140" s="571" t="str">
        <f t="shared" si="531"/>
        <v>-</v>
      </c>
      <c r="EI140" s="572" t="str">
        <f t="shared" si="532"/>
        <v>-</v>
      </c>
      <c r="EJ140" s="572" t="str">
        <f t="shared" si="533"/>
        <v>-</v>
      </c>
      <c r="EK140" s="572" t="str">
        <f t="shared" si="534"/>
        <v>-</v>
      </c>
      <c r="EL140" s="572" t="str">
        <f t="shared" si="535"/>
        <v>-</v>
      </c>
      <c r="EM140" s="572" t="str">
        <f t="shared" si="536"/>
        <v>-</v>
      </c>
      <c r="EN140" s="572" t="str">
        <f t="shared" si="537"/>
        <v>-</v>
      </c>
      <c r="EO140" s="572" t="str">
        <f t="shared" si="538"/>
        <v>-</v>
      </c>
      <c r="EP140" s="572" t="str">
        <f t="shared" si="539"/>
        <v>-</v>
      </c>
      <c r="EQ140" s="572" t="str">
        <f t="shared" si="540"/>
        <v>-</v>
      </c>
      <c r="ER140" s="572" t="str">
        <f t="shared" si="541"/>
        <v>-</v>
      </c>
      <c r="ES140" s="572" t="str">
        <f t="shared" si="542"/>
        <v>-</v>
      </c>
      <c r="ET140" s="572" t="str">
        <f t="shared" si="543"/>
        <v>-</v>
      </c>
    </row>
    <row r="141" spans="1:150" ht="15.5" hidden="1" outlineLevel="1" x14ac:dyDescent="0.35">
      <c r="A141" s="10">
        <f t="shared" si="1266"/>
        <v>13</v>
      </c>
      <c r="B141" s="10" t="s">
        <v>265</v>
      </c>
      <c r="C141" s="442" t="s">
        <v>804</v>
      </c>
      <c r="D141" s="9" t="s">
        <v>71</v>
      </c>
      <c r="E141" s="12" t="s">
        <v>70</v>
      </c>
      <c r="F141" s="12" t="s">
        <v>245</v>
      </c>
      <c r="G141" s="12" t="str">
        <f>_xlfn.XLOOKUP(F141,'Quy đổi'!$G$5:$G$32,'Quy đổi'!$H$5:$H$32,0)</f>
        <v>Nội địa</v>
      </c>
      <c r="H141" s="76" t="s">
        <v>187</v>
      </c>
      <c r="I141" s="7" t="s">
        <v>188</v>
      </c>
      <c r="J141" s="69" t="s">
        <v>22</v>
      </c>
      <c r="K141" s="5"/>
      <c r="L141" s="92">
        <f t="shared" si="1335"/>
        <v>1288.8090437267131</v>
      </c>
      <c r="M141" s="106">
        <f>IFERROR(SUMIFS('01. KE30'!$K:$K,'01. KE30'!$C:$C,'06. BC BH THEO CUSTOMER-USD'!$D141,'01. KE30'!$F:$F,'06. BC BH THEO CUSTOMER-USD'!$H141,'01. KE30'!$A:$A,'06. BC BH THEO CUSTOMER-USD'!M$4)/'06. BC BH THEO CUSTOMER-USD'!CS141/'02. Tỷ giá'!B$5,"-")</f>
        <v>1385.1726214371738</v>
      </c>
      <c r="N141" s="106">
        <f>IFERROR(SUMIFS('01. KE30'!$K:$K,'01. KE30'!$C:$C,'06. BC BH THEO CUSTOMER-USD'!$D141,'01. KE30'!$F:$F,'06. BC BH THEO CUSTOMER-USD'!$H141,'01. KE30'!$A:$A,'06. BC BH THEO CUSTOMER-USD'!N$4)/'06. BC BH THEO CUSTOMER-USD'!CT141/'02. Tỷ giá'!C$5,"-")</f>
        <v>1358.9858211894446</v>
      </c>
      <c r="O141" s="106">
        <f>IFERROR(SUMIFS('01. KE30'!$K:$K,'01. KE30'!$C:$C,'06. BC BH THEO CUSTOMER-USD'!$D141,'01. KE30'!$F:$F,'06. BC BH THEO CUSTOMER-USD'!$H141,'01. KE30'!$A:$A,'06. BC BH THEO CUSTOMER-USD'!O$4)/'06. BC BH THEO CUSTOMER-USD'!CU141/'02. Tỷ giá'!D$5,"-")</f>
        <v>1344.6850393700788</v>
      </c>
      <c r="P141" s="106">
        <f>IFERROR(SUMIFS('01. KE30'!$K:$K,'01. KE30'!$C:$C,'06. BC BH THEO CUSTOMER-USD'!$D141,'01. KE30'!$F:$F,'06. BC BH THEO CUSTOMER-USD'!$H141,'01. KE30'!$A:$A,'06. BC BH THEO CUSTOMER-USD'!P$4)/'06. BC BH THEO CUSTOMER-USD'!CV141/'02. Tỷ giá'!E$5,"-")</f>
        <v>1246.1285327138985</v>
      </c>
      <c r="Q141" s="106">
        <f>IFERROR(SUMIFS('01. KE30'!$K:$K,'01. KE30'!$C:$C,'06. BC BH THEO CUSTOMER-USD'!$D141,'01. KE30'!$F:$F,'06. BC BH THEO CUSTOMER-USD'!$H141,'01. KE30'!$A:$A,'06. BC BH THEO CUSTOMER-USD'!Q$4)/'06. BC BH THEO CUSTOMER-USD'!CW141/'02. Tỷ giá'!F$5,"-")</f>
        <v>1251.7723640113431</v>
      </c>
      <c r="R141" s="106">
        <f>IFERROR(SUMIFS('01. KE30'!$K:$K,'01. KE30'!$C:$C,'06. BC BH THEO CUSTOMER-USD'!$D141,'01. KE30'!$F:$F,'06. BC BH THEO CUSTOMER-USD'!$H141,'01. KE30'!$A:$A,'06. BC BH THEO CUSTOMER-USD'!R$4)/'06. BC BH THEO CUSTOMER-USD'!CX141/'02. Tỷ giá'!G$5,"-")</f>
        <v>1261.0918209876543</v>
      </c>
      <c r="S141" s="106">
        <f>IFERROR(SUMIFS('01. KE30'!$K:$K,'01. KE30'!$C:$C,'06. BC BH THEO CUSTOMER-USD'!$D141,'01. KE30'!$F:$F,'06. BC BH THEO CUSTOMER-USD'!$H141,'01. KE30'!$A:$A,'06. BC BH THEO CUSTOMER-USD'!S$4)/'06. BC BH THEO CUSTOMER-USD'!CY141/'02. Tỷ giá'!H$5,"-")</f>
        <v>1261.5251632731463</v>
      </c>
      <c r="T141" s="106">
        <f>IFERROR(SUMIFS('01. KE30'!$K:$K,'01. KE30'!$C:$C,'06. BC BH THEO CUSTOMER-USD'!$D141,'01. KE30'!$F:$F,'06. BC BH THEO CUSTOMER-USD'!$H141,'01. KE30'!$A:$A,'06. BC BH THEO CUSTOMER-USD'!T$4)/'06. BC BH THEO CUSTOMER-USD'!CZ141/'02. Tỷ giá'!I$5,"-")</f>
        <v>1254.2971734148205</v>
      </c>
      <c r="U141" s="106">
        <f>IFERROR(SUMIFS('01. KE30'!$K:$K,'01. KE30'!$C:$C,'06. BC BH THEO CUSTOMER-USD'!$D141,'01. KE30'!$F:$F,'06. BC BH THEO CUSTOMER-USD'!$H141,'01. KE30'!$A:$A,'06. BC BH THEO CUSTOMER-USD'!U$4)/'06. BC BH THEO CUSTOMER-USD'!DA141/'02. Tỷ giá'!J$5,"-")</f>
        <v>1235.6228571428571</v>
      </c>
      <c r="V141" s="106" t="str">
        <f>IFERROR(SUMIFS('01. KE30'!$K:$K,'01. KE30'!$C:$C,'06. BC BH THEO CUSTOMER-USD'!$D141,'01. KE30'!$F:$F,'06. BC BH THEO CUSTOMER-USD'!$H141,'01. KE30'!$A:$A,'06. BC BH THEO CUSTOMER-USD'!V$4)/'06. BC BH THEO CUSTOMER-USD'!DB141/'02. Tỷ giá'!K$5,"-")</f>
        <v>-</v>
      </c>
      <c r="W141" s="106" t="str">
        <f>IFERROR(SUMIFS('01. KE30'!$K:$K,'01. KE30'!$C:$C,'06. BC BH THEO CUSTOMER-USD'!$D141,'01. KE30'!$F:$F,'06. BC BH THEO CUSTOMER-USD'!$H141,'01. KE30'!$A:$A,'06. BC BH THEO CUSTOMER-USD'!W$4)/'06. BC BH THEO CUSTOMER-USD'!DC141/'02. Tỷ giá'!L$5,"-")</f>
        <v>-</v>
      </c>
      <c r="X141" s="106" t="str">
        <f>IFERROR(SUMIFS('01. KE30'!$K:$K,'01. KE30'!$C:$C,'06. BC BH THEO CUSTOMER-USD'!$D141,'01. KE30'!$F:$F,'06. BC BH THEO CUSTOMER-USD'!$H141,'01. KE30'!$A:$A,'06. BC BH THEO CUSTOMER-USD'!X$4)/'06. BC BH THEO CUSTOMER-USD'!DD141/'02. Tỷ giá'!M$5,"-")</f>
        <v>-</v>
      </c>
      <c r="Z141" s="92">
        <f t="shared" si="1336"/>
        <v>1288.8090437267131</v>
      </c>
      <c r="AA141" s="147">
        <f>IFERROR(SUMIFS('01. KE30'!$O:$O,'01. KE30'!$C:$C,'06. BC BH THEO CUSTOMER-USD'!$D141,'01. KE30'!$F:$F,'06. BC BH THEO CUSTOMER-USD'!$H141,'01. KE30'!$A:$A,'06. BC BH THEO CUSTOMER-USD'!M$4)/'06. BC BH THEO CUSTOMER-USD'!CS141/'02. Tỷ giá'!B$5,"-")</f>
        <v>1385.1726214371738</v>
      </c>
      <c r="AB141" s="147">
        <f>IFERROR(SUMIFS('01. KE30'!$O:$O,'01. KE30'!$C:$C,'06. BC BH THEO CUSTOMER-USD'!$D141,'01. KE30'!$F:$F,'06. BC BH THEO CUSTOMER-USD'!$H141,'01. KE30'!$A:$A,'06. BC BH THEO CUSTOMER-USD'!N$4)/'06. BC BH THEO CUSTOMER-USD'!CT141/'02. Tỷ giá'!C$5,"-")</f>
        <v>1358.9858211894446</v>
      </c>
      <c r="AC141" s="147">
        <f>IFERROR(SUMIFS('01. KE30'!$O:$O,'01. KE30'!$C:$C,'06. BC BH THEO CUSTOMER-USD'!$D141,'01. KE30'!$F:$F,'06. BC BH THEO CUSTOMER-USD'!$H141,'01. KE30'!$A:$A,'06. BC BH THEO CUSTOMER-USD'!O$4)/'06. BC BH THEO CUSTOMER-USD'!CU141/'02. Tỷ giá'!D$5,"-")</f>
        <v>1344.6850393700788</v>
      </c>
      <c r="AD141" s="147">
        <f>IFERROR(SUMIFS('01. KE30'!$O:$O,'01. KE30'!$C:$C,'06. BC BH THEO CUSTOMER-USD'!$D141,'01. KE30'!$F:$F,'06. BC BH THEO CUSTOMER-USD'!$H141,'01. KE30'!$A:$A,'06. BC BH THEO CUSTOMER-USD'!P$4)/'06. BC BH THEO CUSTOMER-USD'!CV141/'02. Tỷ giá'!E$5,"-")</f>
        <v>1246.1285327138985</v>
      </c>
      <c r="AE141" s="147">
        <f>IFERROR(SUMIFS('01. KE30'!$O:$O,'01. KE30'!$C:$C,'06. BC BH THEO CUSTOMER-USD'!$D141,'01. KE30'!$F:$F,'06. BC BH THEO CUSTOMER-USD'!$H141,'01. KE30'!$A:$A,'06. BC BH THEO CUSTOMER-USD'!Q$4)/'06. BC BH THEO CUSTOMER-USD'!CW141/'02. Tỷ giá'!F$5,"-")</f>
        <v>1251.7723640113431</v>
      </c>
      <c r="AF141" s="147">
        <f>IFERROR(SUMIFS('01. KE30'!$O:$O,'01. KE30'!$C:$C,'06. BC BH THEO CUSTOMER-USD'!$D141,'01. KE30'!$F:$F,'06. BC BH THEO CUSTOMER-USD'!$H141,'01. KE30'!$A:$A,'06. BC BH THEO CUSTOMER-USD'!R$4)/'06. BC BH THEO CUSTOMER-USD'!CX141/'02. Tỷ giá'!G$5,"-")</f>
        <v>1261.0918209876543</v>
      </c>
      <c r="AG141" s="147">
        <f>IFERROR(SUMIFS('01. KE30'!$O:$O,'01. KE30'!$C:$C,'06. BC BH THEO CUSTOMER-USD'!$D141,'01. KE30'!$F:$F,'06. BC BH THEO CUSTOMER-USD'!$H141,'01. KE30'!$A:$A,'06. BC BH THEO CUSTOMER-USD'!S$4)/'06. BC BH THEO CUSTOMER-USD'!CY141/'02. Tỷ giá'!H$5,"-")</f>
        <v>1261.5251632731463</v>
      </c>
      <c r="AH141" s="147">
        <f>IFERROR(SUMIFS('01. KE30'!$O:$O,'01. KE30'!$C:$C,'06. BC BH THEO CUSTOMER-USD'!$D141,'01. KE30'!$F:$F,'06. BC BH THEO CUSTOMER-USD'!$H141,'01. KE30'!$A:$A,'06. BC BH THEO CUSTOMER-USD'!T$4)/'06. BC BH THEO CUSTOMER-USD'!CZ141/'02. Tỷ giá'!I$5,"-")</f>
        <v>1254.2971734148205</v>
      </c>
      <c r="AI141" s="147">
        <f>IFERROR(SUMIFS('01. KE30'!$O:$O,'01. KE30'!$C:$C,'06. BC BH THEO CUSTOMER-USD'!$D141,'01. KE30'!$F:$F,'06. BC BH THEO CUSTOMER-USD'!$H141,'01. KE30'!$A:$A,'06. BC BH THEO CUSTOMER-USD'!U$4)/'06. BC BH THEO CUSTOMER-USD'!DA141/'02. Tỷ giá'!J$5,"-")</f>
        <v>1235.6228571428571</v>
      </c>
      <c r="AJ141" s="147" t="str">
        <f>IFERROR(SUMIFS('01. KE30'!$O:$O,'01. KE30'!$C:$C,'06. BC BH THEO CUSTOMER-USD'!$D141,'01. KE30'!$F:$F,'06. BC BH THEO CUSTOMER-USD'!$H141,'01. KE30'!$A:$A,'06. BC BH THEO CUSTOMER-USD'!V$4)/'06. BC BH THEO CUSTOMER-USD'!DB141/'02. Tỷ giá'!K$5,"-")</f>
        <v>-</v>
      </c>
      <c r="AK141" s="147" t="str">
        <f>IFERROR(SUMIFS('01. KE30'!$O:$O,'01. KE30'!$C:$C,'06. BC BH THEO CUSTOMER-USD'!$D141,'01. KE30'!$F:$F,'06. BC BH THEO CUSTOMER-USD'!$H141,'01. KE30'!$A:$A,'06. BC BH THEO CUSTOMER-USD'!W$4)/'06. BC BH THEO CUSTOMER-USD'!DC141/'02. Tỷ giá'!L$5,"-")</f>
        <v>-</v>
      </c>
      <c r="AL141" s="147" t="str">
        <f>IFERROR(SUMIFS('01. KE30'!$O:$O,'01. KE30'!$C:$C,'06. BC BH THEO CUSTOMER-USD'!$D141,'01. KE30'!$F:$F,'06. BC BH THEO CUSTOMER-USD'!$H141,'01. KE30'!$A:$A,'06. BC BH THEO CUSTOMER-USD'!X$4)/'06. BC BH THEO CUSTOMER-USD'!DD141/'02. Tỷ giá'!M$5,"-")</f>
        <v>-</v>
      </c>
      <c r="AN141" s="55">
        <f t="shared" si="1337"/>
        <v>1260</v>
      </c>
      <c r="AO141" s="4">
        <v>1350</v>
      </c>
      <c r="AP141" s="4">
        <v>1300</v>
      </c>
      <c r="AQ141" s="4">
        <f t="shared" si="1267"/>
        <v>1250</v>
      </c>
      <c r="AR141" s="4">
        <v>1250</v>
      </c>
      <c r="AS141" s="4">
        <v>1250</v>
      </c>
      <c r="AT141" s="4">
        <v>1250</v>
      </c>
      <c r="AU141" s="4">
        <v>1250</v>
      </c>
      <c r="AV141" s="4">
        <f t="shared" si="1272"/>
        <v>1230</v>
      </c>
      <c r="AW141" s="4">
        <v>1210</v>
      </c>
      <c r="AX141" s="4"/>
      <c r="AY141" s="4"/>
      <c r="AZ141" s="4"/>
      <c r="BB141" s="54">
        <f t="shared" si="1338"/>
        <v>28.809043726713071</v>
      </c>
      <c r="BC141" s="95">
        <f t="shared" si="1339"/>
        <v>35.172621437173802</v>
      </c>
      <c r="BD141" s="95">
        <f t="shared" si="1340"/>
        <v>58.98582118944455</v>
      </c>
      <c r="BE141" s="95">
        <f t="shared" si="1341"/>
        <v>94.685039370078812</v>
      </c>
      <c r="BF141" s="95">
        <f t="shared" si="1342"/>
        <v>-3.871467286101506</v>
      </c>
      <c r="BG141" s="95">
        <f t="shared" si="1343"/>
        <v>1.7723640113431429</v>
      </c>
      <c r="BH141" s="95">
        <f t="shared" si="1344"/>
        <v>11.091820987654273</v>
      </c>
      <c r="BI141" s="95">
        <f t="shared" si="1345"/>
        <v>11.525163273146291</v>
      </c>
      <c r="BJ141" s="95">
        <f t="shared" si="1346"/>
        <v>24.297173414820463</v>
      </c>
      <c r="BK141" s="95">
        <f t="shared" si="1347"/>
        <v>25.622857142857129</v>
      </c>
      <c r="BL141" s="95" t="str">
        <f t="shared" si="1348"/>
        <v>-</v>
      </c>
      <c r="BM141" s="95" t="str">
        <f t="shared" si="1349"/>
        <v>-</v>
      </c>
      <c r="BN141" s="95" t="str">
        <f t="shared" si="1350"/>
        <v>-</v>
      </c>
      <c r="BP141" s="143">
        <f t="shared" si="1351"/>
        <v>2.2864320418026246E-2</v>
      </c>
      <c r="BQ141" s="143">
        <f t="shared" si="1352"/>
        <v>2.6053793657165779E-2</v>
      </c>
      <c r="BR141" s="143">
        <f t="shared" si="1353"/>
        <v>4.5373708607265036E-2</v>
      </c>
      <c r="BS141" s="143">
        <f t="shared" si="1354"/>
        <v>7.5748031496063045E-2</v>
      </c>
      <c r="BT141" s="143">
        <f t="shared" si="1355"/>
        <v>-3.0971738288812049E-3</v>
      </c>
      <c r="BU141" s="143">
        <f t="shared" si="1356"/>
        <v>1.4178912090745143E-3</v>
      </c>
      <c r="BV141" s="143">
        <f t="shared" si="1357"/>
        <v>8.8734567901234181E-3</v>
      </c>
      <c r="BW141" s="143">
        <f t="shared" si="1358"/>
        <v>9.2201306185170327E-3</v>
      </c>
      <c r="BX141" s="143">
        <f t="shared" si="1359"/>
        <v>1.9753799524244279E-2</v>
      </c>
      <c r="BY141" s="143">
        <f t="shared" si="1360"/>
        <v>2.1175914994096802E-2</v>
      </c>
      <c r="BZ141" s="143" t="str">
        <f t="shared" si="1361"/>
        <v>-</v>
      </c>
      <c r="CA141" s="143" t="str">
        <f t="shared" si="1362"/>
        <v>-</v>
      </c>
      <c r="CB141" s="143" t="str">
        <f t="shared" si="1363"/>
        <v>-</v>
      </c>
      <c r="CD141" s="112">
        <f t="shared" si="1364"/>
        <v>1469.786006918604</v>
      </c>
      <c r="CE141" s="95">
        <f>IFERROR(SUMIFS('01. KE30'!$R:$R,'01. KE30'!$C:$C,'06. BC BH THEO CUSTOMER-USD'!$D141,'01. KE30'!$F:$F,'06. BC BH THEO CUSTOMER-USD'!$H141,'01. KE30'!$A:$A,'06. BC BH THEO CUSTOMER-USD'!CE$4)/CS141/'02. Tỷ giá'!B$5," -")</f>
        <v>1348.9706361081712</v>
      </c>
      <c r="CF141" s="95">
        <f>IFERROR(SUMIFS('01. KE30'!$R:$R,'01. KE30'!$C:$C,'06. BC BH THEO CUSTOMER-USD'!$D141,'01. KE30'!$F:$F,'06. BC BH THEO CUSTOMER-USD'!$H141,'01. KE30'!$A:$A,'06. BC BH THEO CUSTOMER-USD'!CF$4)/CT141/'02. Tỷ giá'!C$5," -")</f>
        <v>2095.3599538114504</v>
      </c>
      <c r="CG141" s="95">
        <f>IFERROR(SUMIFS('01. KE30'!$R:$R,'01. KE30'!$C:$C,'06. BC BH THEO CUSTOMER-USD'!$D141,'01. KE30'!$F:$F,'06. BC BH THEO CUSTOMER-USD'!$H141,'01. KE30'!$A:$A,'06. BC BH THEO CUSTOMER-USD'!CG$4)/CU141/'02. Tỷ giá'!D$5," -")</f>
        <v>1677.8938833214029</v>
      </c>
      <c r="CH141" s="95">
        <f>IFERROR(SUMIFS('01. KE30'!$R:$R,'01. KE30'!$C:$C,'06. BC BH THEO CUSTOMER-USD'!$D141,'01. KE30'!$F:$F,'06. BC BH THEO CUSTOMER-USD'!$H141,'01. KE30'!$A:$A,'06. BC BH THEO CUSTOMER-USD'!CH$4)/CV141/'02. Tỷ giá'!E$5," -")</f>
        <v>1565.7895470383276</v>
      </c>
      <c r="CI141" s="95">
        <f>IFERROR(SUMIFS('01. KE30'!$R:$R,'01. KE30'!$C:$C,'06. BC BH THEO CUSTOMER-USD'!$D141,'01. KE30'!$F:$F,'06. BC BH THEO CUSTOMER-USD'!$H141,'01. KE30'!$A:$A,'06. BC BH THEO CUSTOMER-USD'!CI$4)/CW141/'02. Tỷ giá'!F$5," -")</f>
        <v>1409.4805948112212</v>
      </c>
      <c r="CJ141" s="95">
        <f>IFERROR(SUMIFS('01. KE30'!$R:$R,'01. KE30'!$C:$C,'06. BC BH THEO CUSTOMER-USD'!$D141,'01. KE30'!$F:$F,'06. BC BH THEO CUSTOMER-USD'!$H141,'01. KE30'!$A:$A,'06. BC BH THEO CUSTOMER-USD'!CJ$4)/CX141/'02. Tỷ giá'!G$5," -")</f>
        <v>1375.2042590254396</v>
      </c>
      <c r="CK141" s="95">
        <f>IFERROR(SUMIFS('01. KE30'!$R:$R,'01. KE30'!$C:$C,'06. BC BH THEO CUSTOMER-USD'!$D141,'01. KE30'!$F:$F,'06. BC BH THEO CUSTOMER-USD'!$H141,'01. KE30'!$A:$A,'06. BC BH THEO CUSTOMER-USD'!CK$4)/CY141/'02. Tỷ giá'!H$5," -")</f>
        <v>1268.9907740485919</v>
      </c>
      <c r="CL141" s="95">
        <f>IFERROR(SUMIFS('01. KE30'!$R:$R,'01. KE30'!$C:$C,'06. BC BH THEO CUSTOMER-USD'!$D141,'01. KE30'!$F:$F,'06. BC BH THEO CUSTOMER-USD'!$H141,'01. KE30'!$A:$A,'06. BC BH THEO CUSTOMER-USD'!CL$4)/CZ141/'02. Tỷ giá'!I$5," -")</f>
        <v>1255.8825612889784</v>
      </c>
      <c r="CM141" s="95">
        <f>IFERROR(SUMIFS('01. KE30'!$R:$R,'01. KE30'!$C:$C,'06. BC BH THEO CUSTOMER-USD'!$D141,'01. KE30'!$F:$F,'06. BC BH THEO CUSTOMER-USD'!$H141,'01. KE30'!$A:$A,'06. BC BH THEO CUSTOMER-USD'!CM$4)/DA141/'02. Tỷ giá'!J$5," -")</f>
        <v>1230.5018528138528</v>
      </c>
      <c r="CN141" s="95" t="str">
        <f>IFERROR(SUMIFS('01. KE30'!$R:$R,'01. KE30'!$C:$C,'06. BC BH THEO CUSTOMER-USD'!$D141,'01. KE30'!$F:$F,'06. BC BH THEO CUSTOMER-USD'!$H141,'01. KE30'!$A:$A,'06. BC BH THEO CUSTOMER-USD'!CN$4)/DB141/'02. Tỷ giá'!K$5," -")</f>
        <v xml:space="preserve"> -</v>
      </c>
      <c r="CO141" s="95" t="str">
        <f>IFERROR(SUMIFS('01. KE30'!$R:$R,'01. KE30'!$C:$C,'06. BC BH THEO CUSTOMER-USD'!$D141,'01. KE30'!$F:$F,'06. BC BH THEO CUSTOMER-USD'!$H141,'01. KE30'!$A:$A,'06. BC BH THEO CUSTOMER-USD'!CO$4)/DC141/'02. Tỷ giá'!L$5," -")</f>
        <v xml:space="preserve"> -</v>
      </c>
      <c r="CP141" s="95" t="str">
        <f>IFERROR(SUMIFS('01. KE30'!$R:$R,'01. KE30'!$C:$C,'06. BC BH THEO CUSTOMER-USD'!$D141,'01. KE30'!$F:$F,'06. BC BH THEO CUSTOMER-USD'!$H141,'01. KE30'!$A:$A,'06. BC BH THEO CUSTOMER-USD'!CP$4)/DD141/'02. Tỷ giá'!M$5," -")</f>
        <v xml:space="preserve"> -</v>
      </c>
      <c r="CR141" s="112">
        <f t="shared" si="1365"/>
        <v>275</v>
      </c>
      <c r="CS141" s="114">
        <f>SUMIFS('01. KE30'!$I:$I,'01. KE30'!$C:$C,'06. BC BH THEO CUSTOMER-USD'!$D141,'01. KE30'!$F:$F,'06. BC BH THEO CUSTOMER-USD'!$H141,'01. KE30'!$A:$A,'06. BC BH THEO CUSTOMER-USD'!CS$4)/1000</f>
        <v>22</v>
      </c>
      <c r="CT141" s="114">
        <f>SUMIFS('01. KE30'!$I:$I,'01. KE30'!$C:$C,'06. BC BH THEO CUSTOMER-USD'!$D141,'01. KE30'!$F:$F,'06. BC BH THEO CUSTOMER-USD'!$H141,'01. KE30'!$A:$A,'06. BC BH THEO CUSTOMER-USD'!CT$4)/1000</f>
        <v>22</v>
      </c>
      <c r="CU141" s="114">
        <f>SUMIFS('01. KE30'!$I:$I,'01. KE30'!$C:$C,'06. BC BH THEO CUSTOMER-USD'!$D141,'01. KE30'!$F:$F,'06. BC BH THEO CUSTOMER-USD'!$H141,'01. KE30'!$A:$A,'06. BC BH THEO CUSTOMER-USD'!CU$4)/1000</f>
        <v>33</v>
      </c>
      <c r="CV141" s="114">
        <f>SUMIFS('01. KE30'!$I:$I,'01. KE30'!$C:$C,'06. BC BH THEO CUSTOMER-USD'!$D141,'01. KE30'!$F:$F,'06. BC BH THEO CUSTOMER-USD'!$H141,'01. KE30'!$A:$A,'06. BC BH THEO CUSTOMER-USD'!CV$4)/1000</f>
        <v>33</v>
      </c>
      <c r="CW141" s="114">
        <f>SUMIFS('01. KE30'!$I:$I,'01. KE30'!$C:$C,'06. BC BH THEO CUSTOMER-USD'!$D141,'01. KE30'!$F:$F,'06. BC BH THEO CUSTOMER-USD'!$H141,'01. KE30'!$A:$A,'06. BC BH THEO CUSTOMER-USD'!CW$4)/1000</f>
        <v>33</v>
      </c>
      <c r="CX141" s="114">
        <f>SUMIFS('01. KE30'!$I:$I,'01. KE30'!$C:$C,'06. BC BH THEO CUSTOMER-USD'!$D141,'01. KE30'!$F:$F,'06. BC BH THEO CUSTOMER-USD'!$H141,'01. KE30'!$A:$A,'06. BC BH THEO CUSTOMER-USD'!CX$4)/1000</f>
        <v>33</v>
      </c>
      <c r="CY141" s="114">
        <f>SUMIFS('01. KE30'!$I:$I,'01. KE30'!$C:$C,'06. BC BH THEO CUSTOMER-USD'!$D141,'01. KE30'!$F:$F,'06. BC BH THEO CUSTOMER-USD'!$H141,'01. KE30'!$A:$A,'06. BC BH THEO CUSTOMER-USD'!CY$4)/1000</f>
        <v>33</v>
      </c>
      <c r="CZ141" s="114">
        <f>SUMIFS('01. KE30'!$I:$I,'01. KE30'!$C:$C,'06. BC BH THEO CUSTOMER-USD'!$D141,'01. KE30'!$F:$F,'06. BC BH THEO CUSTOMER-USD'!$H141,'01. KE30'!$A:$A,'06. BC BH THEO CUSTOMER-USD'!CZ$4)/1000</f>
        <v>33</v>
      </c>
      <c r="DA141" s="114">
        <f>SUMIFS('01. KE30'!$I:$I,'01. KE30'!$C:$C,'06. BC BH THEO CUSTOMER-USD'!$D141,'01. KE30'!$F:$F,'06. BC BH THEO CUSTOMER-USD'!$H141,'01. KE30'!$A:$A,'06. BC BH THEO CUSTOMER-USD'!DA$4)/1000</f>
        <v>33</v>
      </c>
      <c r="DB141" s="114">
        <f>SUMIFS('01. KE30'!$I:$I,'01. KE30'!$C:$C,'06. BC BH THEO CUSTOMER-USD'!$D141,'01. KE30'!$F:$F,'06. BC BH THEO CUSTOMER-USD'!$H141,'01. KE30'!$A:$A,'06. BC BH THEO CUSTOMER-USD'!DB$4)/1000</f>
        <v>0</v>
      </c>
      <c r="DC141" s="114">
        <f>SUMIFS('01. KE30'!$I:$I,'01. KE30'!$C:$C,'06. BC BH THEO CUSTOMER-USD'!$D141,'01. KE30'!$F:$F,'06. BC BH THEO CUSTOMER-USD'!$H141,'01. KE30'!$A:$A,'06. BC BH THEO CUSTOMER-USD'!DC$4)/1000</f>
        <v>0</v>
      </c>
      <c r="DD141" s="114">
        <f>SUMIFS('01. KE30'!$I:$I,'01. KE30'!$C:$C,'06. BC BH THEO CUSTOMER-USD'!$D141,'01. KE30'!$F:$F,'06. BC BH THEO CUSTOMER-USD'!$H141,'01. KE30'!$A:$A,'06. BC BH THEO CUSTOMER-USD'!DD$4)/1000</f>
        <v>0</v>
      </c>
      <c r="DF141" s="112">
        <f t="shared" si="1366"/>
        <v>352590.54311794095</v>
      </c>
      <c r="DG141" s="54">
        <f t="shared" si="1367"/>
        <v>30473.797671617824</v>
      </c>
      <c r="DH141" s="54">
        <f t="shared" si="1368"/>
        <v>29897.688066167779</v>
      </c>
      <c r="DI141" s="54">
        <f t="shared" si="1369"/>
        <v>44374.606299212603</v>
      </c>
      <c r="DJ141" s="54">
        <f t="shared" si="1370"/>
        <v>41122.241579558649</v>
      </c>
      <c r="DK141" s="54">
        <f t="shared" si="1371"/>
        <v>41308.488012374321</v>
      </c>
      <c r="DL141" s="54">
        <f t="shared" si="1372"/>
        <v>41616.030092592591</v>
      </c>
      <c r="DM141" s="54">
        <f t="shared" si="1373"/>
        <v>41630.330388013826</v>
      </c>
      <c r="DN141" s="54">
        <f t="shared" si="1374"/>
        <v>41391.806722689078</v>
      </c>
      <c r="DO141" s="54">
        <f t="shared" si="1375"/>
        <v>40775.554285714286</v>
      </c>
      <c r="DP141" s="54" t="str">
        <f t="shared" si="1376"/>
        <v>-</v>
      </c>
      <c r="DQ141" s="54" t="str">
        <f t="shared" si="1377"/>
        <v>-</v>
      </c>
      <c r="DR141" s="54" t="str">
        <f t="shared" si="1378"/>
        <v>-</v>
      </c>
      <c r="DT141" s="112">
        <f t="shared" si="1379"/>
        <v>-46048.26444776859</v>
      </c>
      <c r="DU141" s="114">
        <f>IFERROR(SUMIFS('01. KE30'!$X:$X,'01. KE30'!$C:$C,'06. BC BH THEO CUSTOMER-USD'!$D141,'01. KE30'!$F:$F,'06. BC BH THEO CUSTOMER-USD'!$H141,'01. KE30'!$A:$A,'06. BC BH THEO CUSTOMER-USD'!DU$4)-SUMIFS('01. KE30'!$AA:$AA,'01. KE30'!$C:$C,'06. BC BH THEO CUSTOMER-USD'!$D141,'01. KE30'!$F:$F,'06. BC BH THEO CUSTOMER-USD'!$H141,'01. KE30'!$A:$A,'06. BC BH THEO CUSTOMER-USD'!DU$4),"-")</f>
        <v>796.44367723805772</v>
      </c>
      <c r="DV141" s="114">
        <f>IFERROR(SUMIFS('01. KE30'!$X:$X,'01. KE30'!$C:$C,'06. BC BH THEO CUSTOMER-USD'!$D141,'01. KE30'!$F:$F,'06. BC BH THEO CUSTOMER-USD'!$H141,'01. KE30'!$A:$A,'06. BC BH THEO CUSTOMER-USD'!DV$4)-SUMIFS('01. KE30'!$AA:$AA,'01. KE30'!$C:$C,'06. BC BH THEO CUSTOMER-USD'!$D141,'01. KE30'!$F:$F,'06. BC BH THEO CUSTOMER-USD'!$H141,'01. KE30'!$A:$A,'06. BC BH THEO CUSTOMER-USD'!DV$4),"-")</f>
        <v>-16200.230917684126</v>
      </c>
      <c r="DW141" s="114">
        <f>IFERROR(SUMIFS('01. KE30'!$X:$X,'01. KE30'!$C:$C,'06. BC BH THEO CUSTOMER-USD'!$D141,'01. KE30'!$F:$F,'06. BC BH THEO CUSTOMER-USD'!$H141,'01. KE30'!$A:$A,'06. BC BH THEO CUSTOMER-USD'!DW$4)-SUMIFS('01. KE30'!$AA:$AA,'01. KE30'!$C:$C,'06. BC BH THEO CUSTOMER-USD'!$D141,'01. KE30'!$F:$F,'06. BC BH THEO CUSTOMER-USD'!$H141,'01. KE30'!$A:$A,'06. BC BH THEO CUSTOMER-USD'!DW$4),"-")</f>
        <v>-10995.891850393702</v>
      </c>
      <c r="DX141" s="114">
        <f>IFERROR(SUMIFS('01. KE30'!$X:$X,'01. KE30'!$C:$C,'06. BC BH THEO CUSTOMER-USD'!$D141,'01. KE30'!$F:$F,'06. BC BH THEO CUSTOMER-USD'!$H141,'01. KE30'!$A:$A,'06. BC BH THEO CUSTOMER-USD'!DX$4)-SUMIFS('01. KE30'!$AA:$AA,'01. KE30'!$C:$C,'06. BC BH THEO CUSTOMER-USD'!$D141,'01. KE30'!$F:$F,'06. BC BH THEO CUSTOMER-USD'!$H141,'01. KE30'!$A:$A,'06. BC BH THEO CUSTOMER-USD'!DX$4),"-")</f>
        <v>-10548.813472706148</v>
      </c>
      <c r="DY141" s="114">
        <f>IFERROR(SUMIFS('01. KE30'!$X:$X,'01. KE30'!$C:$C,'06. BC BH THEO CUSTOMER-USD'!$D141,'01. KE30'!$F:$F,'06. BC BH THEO CUSTOMER-USD'!$H141,'01. KE30'!$A:$A,'06. BC BH THEO CUSTOMER-USD'!DY$4)-SUMIFS('01. KE30'!$AA:$AA,'01. KE30'!$C:$C,'06. BC BH THEO CUSTOMER-USD'!$D141,'01. KE30'!$F:$F,'06. BC BH THEO CUSTOMER-USD'!$H141,'01. KE30'!$A:$A,'06. BC BH THEO CUSTOMER-USD'!DY$4),"-")</f>
        <v>-5204.3716163959834</v>
      </c>
      <c r="DZ141" s="114">
        <f>IFERROR(SUMIFS('01. KE30'!$X:$X,'01. KE30'!$C:$C,'06. BC BH THEO CUSTOMER-USD'!$D141,'01. KE30'!$F:$F,'06. BC BH THEO CUSTOMER-USD'!$H141,'01. KE30'!$A:$A,'06. BC BH THEO CUSTOMER-USD'!DZ$4)-SUMIFS('01. KE30'!$AA:$AA,'01. KE30'!$C:$C,'06. BC BH THEO CUSTOMER-USD'!$D141,'01. KE30'!$F:$F,'06. BC BH THEO CUSTOMER-USD'!$H141,'01. KE30'!$A:$A,'06. BC BH THEO CUSTOMER-USD'!DZ$4),"-")</f>
        <v>-3765.7104552469173</v>
      </c>
      <c r="EA141" s="114">
        <f>IFERROR(SUMIFS('01. KE30'!$X:$X,'01. KE30'!$C:$C,'06. BC BH THEO CUSTOMER-USD'!$D141,'01. KE30'!$F:$F,'06. BC BH THEO CUSTOMER-USD'!$H141,'01. KE30'!$A:$A,'06. BC BH THEO CUSTOMER-USD'!EA$4)-SUMIFS('01. KE30'!$AA:$AA,'01. KE30'!$C:$C,'06. BC BH THEO CUSTOMER-USD'!$D141,'01. KE30'!$F:$F,'06. BC BH THEO CUSTOMER-USD'!$H141,'01. KE30'!$A:$A,'06. BC BH THEO CUSTOMER-USD'!EA$4),"-")</f>
        <v>-246.36515558970132</v>
      </c>
      <c r="EB141" s="114">
        <f>IFERROR(SUMIFS('01. KE30'!$X:$X,'01. KE30'!$C:$C,'06. BC BH THEO CUSTOMER-USD'!$D141,'01. KE30'!$F:$F,'06. BC BH THEO CUSTOMER-USD'!$H141,'01. KE30'!$A:$A,'06. BC BH THEO CUSTOMER-USD'!EB$4)-SUMIFS('01. KE30'!$AA:$AA,'01. KE30'!$C:$C,'06. BC BH THEO CUSTOMER-USD'!$D141,'01. KE30'!$F:$F,'06. BC BH THEO CUSTOMER-USD'!$H141,'01. KE30'!$A:$A,'06. BC BH THEO CUSTOMER-USD'!EB$4),"-")</f>
        <v>-52.317799847209244</v>
      </c>
      <c r="EC141" s="114">
        <f>IFERROR(SUMIFS('01. KE30'!$X:$X,'01. KE30'!$C:$C,'06. BC BH THEO CUSTOMER-USD'!$D141,'01. KE30'!$F:$F,'06. BC BH THEO CUSTOMER-USD'!$H141,'01. KE30'!$A:$A,'06. BC BH THEO CUSTOMER-USD'!EC$4)-SUMIFS('01. KE30'!$AA:$AA,'01. KE30'!$C:$C,'06. BC BH THEO CUSTOMER-USD'!$D141,'01. KE30'!$F:$F,'06. BC BH THEO CUSTOMER-USD'!$H141,'01. KE30'!$A:$A,'06. BC BH THEO CUSTOMER-USD'!EC$4),"-")</f>
        <v>168.99314285714354</v>
      </c>
      <c r="ED141" s="114">
        <f>IFERROR(SUMIFS('01. KE30'!$X:$X,'01. KE30'!$C:$C,'06. BC BH THEO CUSTOMER-USD'!$D141,'01. KE30'!$F:$F,'06. BC BH THEO CUSTOMER-USD'!$H141,'01. KE30'!$A:$A,'06. BC BH THEO CUSTOMER-USD'!ED$4)-SUMIFS('01. KE30'!$AA:$AA,'01. KE30'!$C:$C,'06. BC BH THEO CUSTOMER-USD'!$D141,'01. KE30'!$F:$F,'06. BC BH THEO CUSTOMER-USD'!$H141,'01. KE30'!$A:$A,'06. BC BH THEO CUSTOMER-USD'!ED$4),"-")</f>
        <v>0</v>
      </c>
      <c r="EE141" s="114">
        <f>IFERROR(SUMIFS('01. KE30'!$X:$X,'01. KE30'!$C:$C,'06. BC BH THEO CUSTOMER-USD'!$D141,'01. KE30'!$F:$F,'06. BC BH THEO CUSTOMER-USD'!$H141,'01. KE30'!$A:$A,'06. BC BH THEO CUSTOMER-USD'!EE$4)-SUMIFS('01. KE30'!$AA:$AA,'01. KE30'!$C:$C,'06. BC BH THEO CUSTOMER-USD'!$D141,'01. KE30'!$F:$F,'06. BC BH THEO CUSTOMER-USD'!$H141,'01. KE30'!$A:$A,'06. BC BH THEO CUSTOMER-USD'!EE$4),"-")</f>
        <v>0</v>
      </c>
      <c r="EF141" s="114">
        <f>IFERROR(SUMIFS('01. KE30'!$X:$X,'01. KE30'!$C:$C,'06. BC BH THEO CUSTOMER-USD'!$D141,'01. KE30'!$F:$F,'06. BC BH THEO CUSTOMER-USD'!$H141,'01. KE30'!$A:$A,'06. BC BH THEO CUSTOMER-USD'!EF$4)-SUMIFS('01. KE30'!$AA:$AA,'01. KE30'!$C:$C,'06. BC BH THEO CUSTOMER-USD'!$D141,'01. KE30'!$F:$F,'06. BC BH THEO CUSTOMER-USD'!$H141,'01. KE30'!$A:$A,'06. BC BH THEO CUSTOMER-USD'!EF$4),"-")</f>
        <v>0</v>
      </c>
      <c r="EH141" s="571">
        <f t="shared" si="531"/>
        <v>-0.13059982845985044</v>
      </c>
      <c r="EI141" s="572">
        <f t="shared" si="532"/>
        <v>2.6135360148427975E-2</v>
      </c>
      <c r="EJ141" s="572">
        <f t="shared" si="533"/>
        <v>-0.54185564053751389</v>
      </c>
      <c r="EK141" s="572">
        <f t="shared" si="534"/>
        <v>-0.24779694441117367</v>
      </c>
      <c r="EL141" s="572">
        <f t="shared" si="535"/>
        <v>-0.25652330873786389</v>
      </c>
      <c r="EM141" s="572">
        <f t="shared" si="536"/>
        <v>-0.12598794743678268</v>
      </c>
      <c r="EN141" s="572">
        <f t="shared" si="537"/>
        <v>-9.0487017787820936E-2</v>
      </c>
      <c r="EO141" s="572">
        <f t="shared" si="538"/>
        <v>-5.9179245827132463E-3</v>
      </c>
      <c r="EP141" s="572">
        <f t="shared" si="539"/>
        <v>-1.2639651174861869E-3</v>
      </c>
      <c r="EQ141" s="572">
        <f t="shared" si="540"/>
        <v>4.1444719959662273E-3</v>
      </c>
      <c r="ER141" s="572" t="str">
        <f t="shared" si="541"/>
        <v>-</v>
      </c>
      <c r="ES141" s="572" t="str">
        <f t="shared" si="542"/>
        <v>-</v>
      </c>
      <c r="ET141" s="572" t="str">
        <f t="shared" si="543"/>
        <v>-</v>
      </c>
    </row>
    <row r="142" spans="1:150" ht="15.5" hidden="1" outlineLevel="1" x14ac:dyDescent="0.35">
      <c r="A142" s="10">
        <f t="shared" si="1266"/>
        <v>14</v>
      </c>
      <c r="B142" s="10" t="s">
        <v>265</v>
      </c>
      <c r="C142" s="442" t="s">
        <v>489</v>
      </c>
      <c r="D142" s="9" t="s">
        <v>58</v>
      </c>
      <c r="E142" s="12" t="s">
        <v>57</v>
      </c>
      <c r="F142" s="12" t="s">
        <v>245</v>
      </c>
      <c r="G142" s="12" t="str">
        <f>_xlfn.XLOOKUP(F142,'Quy đổi'!$G$5:$G$32,'Quy đổi'!$H$5:$H$32,0)</f>
        <v>Nội địa</v>
      </c>
      <c r="H142" s="76" t="s">
        <v>63</v>
      </c>
      <c r="I142" s="7" t="s">
        <v>62</v>
      </c>
      <c r="J142" s="69" t="s">
        <v>22</v>
      </c>
      <c r="K142" s="11"/>
      <c r="L142" s="92" t="str">
        <f t="shared" si="1263"/>
        <v>-</v>
      </c>
      <c r="M142" s="106" t="str">
        <f>IFERROR(SUMIFS('01. KE30'!$K:$K,'01. KE30'!$C:$C,'06. BC BH THEO CUSTOMER-USD'!$D142,'01. KE30'!$F:$F,'06. BC BH THEO CUSTOMER-USD'!$H142,'01. KE30'!$A:$A,'06. BC BH THEO CUSTOMER-USD'!M$4)/'06. BC BH THEO CUSTOMER-USD'!CS142/'02. Tỷ giá'!B$5,"-")</f>
        <v>-</v>
      </c>
      <c r="N142" s="106" t="str">
        <f>IFERROR(SUMIFS('01. KE30'!$K:$K,'01. KE30'!$C:$C,'06. BC BH THEO CUSTOMER-USD'!$D142,'01. KE30'!$F:$F,'06. BC BH THEO CUSTOMER-USD'!$H142,'01. KE30'!$A:$A,'06. BC BH THEO CUSTOMER-USD'!N$4)/'06. BC BH THEO CUSTOMER-USD'!CT142/'02. Tỷ giá'!C$5,"-")</f>
        <v>-</v>
      </c>
      <c r="O142" s="106" t="str">
        <f>IFERROR(SUMIFS('01. KE30'!$K:$K,'01. KE30'!$C:$C,'06. BC BH THEO CUSTOMER-USD'!$D142,'01. KE30'!$F:$F,'06. BC BH THEO CUSTOMER-USD'!$H142,'01. KE30'!$A:$A,'06. BC BH THEO CUSTOMER-USD'!O$4)/'06. BC BH THEO CUSTOMER-USD'!CU142/'02. Tỷ giá'!D$5,"-")</f>
        <v>-</v>
      </c>
      <c r="P142" s="106" t="str">
        <f>IFERROR(SUMIFS('01. KE30'!$K:$K,'01. KE30'!$C:$C,'06. BC BH THEO CUSTOMER-USD'!$D142,'01. KE30'!$F:$F,'06. BC BH THEO CUSTOMER-USD'!$H142,'01. KE30'!$A:$A,'06. BC BH THEO CUSTOMER-USD'!P$4)/'06. BC BH THEO CUSTOMER-USD'!CV142/'02. Tỷ giá'!E$5,"-")</f>
        <v>-</v>
      </c>
      <c r="Q142" s="106" t="str">
        <f>IFERROR(SUMIFS('01. KE30'!$K:$K,'01. KE30'!$C:$C,'06. BC BH THEO CUSTOMER-USD'!$D142,'01. KE30'!$F:$F,'06. BC BH THEO CUSTOMER-USD'!$H142,'01. KE30'!$A:$A,'06. BC BH THEO CUSTOMER-USD'!Q$4)/'06. BC BH THEO CUSTOMER-USD'!CW142/'02. Tỷ giá'!F$5,"-")</f>
        <v>-</v>
      </c>
      <c r="R142" s="106" t="str">
        <f>IFERROR(SUMIFS('01. KE30'!$K:$K,'01. KE30'!$C:$C,'06. BC BH THEO CUSTOMER-USD'!$D142,'01. KE30'!$F:$F,'06. BC BH THEO CUSTOMER-USD'!$H142,'01. KE30'!$A:$A,'06. BC BH THEO CUSTOMER-USD'!R$4)/'06. BC BH THEO CUSTOMER-USD'!CX142/'02. Tỷ giá'!G$5,"-")</f>
        <v>-</v>
      </c>
      <c r="S142" s="106" t="str">
        <f>IFERROR(SUMIFS('01. KE30'!$K:$K,'01. KE30'!$C:$C,'06. BC BH THEO CUSTOMER-USD'!$D142,'01. KE30'!$F:$F,'06. BC BH THEO CUSTOMER-USD'!$H142,'01. KE30'!$A:$A,'06. BC BH THEO CUSTOMER-USD'!S$4)/'06. BC BH THEO CUSTOMER-USD'!CY142/'02. Tỷ giá'!H$5,"-")</f>
        <v>-</v>
      </c>
      <c r="T142" s="106" t="str">
        <f>IFERROR(SUMIFS('01. KE30'!$K:$K,'01. KE30'!$C:$C,'06. BC BH THEO CUSTOMER-USD'!$D142,'01. KE30'!$F:$F,'06. BC BH THEO CUSTOMER-USD'!$H142,'01. KE30'!$A:$A,'06. BC BH THEO CUSTOMER-USD'!T$4)/'06. BC BH THEO CUSTOMER-USD'!CZ142/'02. Tỷ giá'!I$5,"-")</f>
        <v>-</v>
      </c>
      <c r="U142" s="106" t="str">
        <f>IFERROR(SUMIFS('01. KE30'!$K:$K,'01. KE30'!$C:$C,'06. BC BH THEO CUSTOMER-USD'!$D142,'01. KE30'!$F:$F,'06. BC BH THEO CUSTOMER-USD'!$H142,'01. KE30'!$A:$A,'06. BC BH THEO CUSTOMER-USD'!U$4)/'06. BC BH THEO CUSTOMER-USD'!DA142/'02. Tỷ giá'!J$5,"-")</f>
        <v>-</v>
      </c>
      <c r="V142" s="106" t="str">
        <f>IFERROR(SUMIFS('01. KE30'!$K:$K,'01. KE30'!$C:$C,'06. BC BH THEO CUSTOMER-USD'!$D142,'01. KE30'!$F:$F,'06. BC BH THEO CUSTOMER-USD'!$H142,'01. KE30'!$A:$A,'06. BC BH THEO CUSTOMER-USD'!V$4)/'06. BC BH THEO CUSTOMER-USD'!DB142/'02. Tỷ giá'!K$5,"-")</f>
        <v>-</v>
      </c>
      <c r="W142" s="106" t="str">
        <f>IFERROR(SUMIFS('01. KE30'!$K:$K,'01. KE30'!$C:$C,'06. BC BH THEO CUSTOMER-USD'!$D142,'01. KE30'!$F:$F,'06. BC BH THEO CUSTOMER-USD'!$H142,'01. KE30'!$A:$A,'06. BC BH THEO CUSTOMER-USD'!W$4)/'06. BC BH THEO CUSTOMER-USD'!DC142/'02. Tỷ giá'!L$5,"-")</f>
        <v>-</v>
      </c>
      <c r="X142" s="106" t="str">
        <f>IFERROR(SUMIFS('01. KE30'!$K:$K,'01. KE30'!$C:$C,'06. BC BH THEO CUSTOMER-USD'!$D142,'01. KE30'!$F:$F,'06. BC BH THEO CUSTOMER-USD'!$H142,'01. KE30'!$A:$A,'06. BC BH THEO CUSTOMER-USD'!X$4)/'06. BC BH THEO CUSTOMER-USD'!DD142/'02. Tỷ giá'!M$5,"-")</f>
        <v>-</v>
      </c>
      <c r="Z142" s="92" t="str">
        <f t="shared" si="1264"/>
        <v>-</v>
      </c>
      <c r="AA142" s="147" t="str">
        <f>IFERROR(SUMIFS('01. KE30'!$O:$O,'01. KE30'!$C:$C,'06. BC BH THEO CUSTOMER-USD'!$D142,'01. KE30'!$F:$F,'06. BC BH THEO CUSTOMER-USD'!$H142,'01. KE30'!$A:$A,'06. BC BH THEO CUSTOMER-USD'!M$4)/'06. BC BH THEO CUSTOMER-USD'!CS142/'02. Tỷ giá'!B$5,"-")</f>
        <v>-</v>
      </c>
      <c r="AB142" s="147" t="str">
        <f>IFERROR(SUMIFS('01. KE30'!$O:$O,'01. KE30'!$C:$C,'06. BC BH THEO CUSTOMER-USD'!$D142,'01. KE30'!$F:$F,'06. BC BH THEO CUSTOMER-USD'!$H142,'01. KE30'!$A:$A,'06. BC BH THEO CUSTOMER-USD'!N$4)/'06. BC BH THEO CUSTOMER-USD'!CT142/'02. Tỷ giá'!C$5,"-")</f>
        <v>-</v>
      </c>
      <c r="AC142" s="147" t="str">
        <f>IFERROR(SUMIFS('01. KE30'!$O:$O,'01. KE30'!$C:$C,'06. BC BH THEO CUSTOMER-USD'!$D142,'01. KE30'!$F:$F,'06. BC BH THEO CUSTOMER-USD'!$H142,'01. KE30'!$A:$A,'06. BC BH THEO CUSTOMER-USD'!O$4)/'06. BC BH THEO CUSTOMER-USD'!CU142/'02. Tỷ giá'!D$5,"-")</f>
        <v>-</v>
      </c>
      <c r="AD142" s="147" t="str">
        <f>IFERROR(SUMIFS('01. KE30'!$O:$O,'01. KE30'!$C:$C,'06. BC BH THEO CUSTOMER-USD'!$D142,'01. KE30'!$F:$F,'06. BC BH THEO CUSTOMER-USD'!$H142,'01. KE30'!$A:$A,'06. BC BH THEO CUSTOMER-USD'!P$4)/'06. BC BH THEO CUSTOMER-USD'!CV142/'02. Tỷ giá'!E$5,"-")</f>
        <v>-</v>
      </c>
      <c r="AE142" s="147" t="str">
        <f>IFERROR(SUMIFS('01. KE30'!$O:$O,'01. KE30'!$C:$C,'06. BC BH THEO CUSTOMER-USD'!$D142,'01. KE30'!$F:$F,'06. BC BH THEO CUSTOMER-USD'!$H142,'01. KE30'!$A:$A,'06. BC BH THEO CUSTOMER-USD'!Q$4)/'06. BC BH THEO CUSTOMER-USD'!CW142/'02. Tỷ giá'!F$5,"-")</f>
        <v>-</v>
      </c>
      <c r="AF142" s="147" t="str">
        <f>IFERROR(SUMIFS('01. KE30'!$O:$O,'01. KE30'!$C:$C,'06. BC BH THEO CUSTOMER-USD'!$D142,'01. KE30'!$F:$F,'06. BC BH THEO CUSTOMER-USD'!$H142,'01. KE30'!$A:$A,'06. BC BH THEO CUSTOMER-USD'!R$4)/'06. BC BH THEO CUSTOMER-USD'!CX142/'02. Tỷ giá'!G$5,"-")</f>
        <v>-</v>
      </c>
      <c r="AG142" s="147" t="str">
        <f>IFERROR(SUMIFS('01. KE30'!$O:$O,'01. KE30'!$C:$C,'06. BC BH THEO CUSTOMER-USD'!$D142,'01. KE30'!$F:$F,'06. BC BH THEO CUSTOMER-USD'!$H142,'01. KE30'!$A:$A,'06. BC BH THEO CUSTOMER-USD'!S$4)/'06. BC BH THEO CUSTOMER-USD'!CY142/'02. Tỷ giá'!H$5,"-")</f>
        <v>-</v>
      </c>
      <c r="AH142" s="147" t="str">
        <f>IFERROR(SUMIFS('01. KE30'!$O:$O,'01. KE30'!$C:$C,'06. BC BH THEO CUSTOMER-USD'!$D142,'01. KE30'!$F:$F,'06. BC BH THEO CUSTOMER-USD'!$H142,'01. KE30'!$A:$A,'06. BC BH THEO CUSTOMER-USD'!T$4)/'06. BC BH THEO CUSTOMER-USD'!CZ142/'02. Tỷ giá'!I$5,"-")</f>
        <v>-</v>
      </c>
      <c r="AI142" s="147" t="str">
        <f>IFERROR(SUMIFS('01. KE30'!$O:$O,'01. KE30'!$C:$C,'06. BC BH THEO CUSTOMER-USD'!$D142,'01. KE30'!$F:$F,'06. BC BH THEO CUSTOMER-USD'!$H142,'01. KE30'!$A:$A,'06. BC BH THEO CUSTOMER-USD'!U$4)/'06. BC BH THEO CUSTOMER-USD'!DA142/'02. Tỷ giá'!J$5,"-")</f>
        <v>-</v>
      </c>
      <c r="AJ142" s="147" t="str">
        <f>IFERROR(SUMIFS('01. KE30'!$O:$O,'01. KE30'!$C:$C,'06. BC BH THEO CUSTOMER-USD'!$D142,'01. KE30'!$F:$F,'06. BC BH THEO CUSTOMER-USD'!$H142,'01. KE30'!$A:$A,'06. BC BH THEO CUSTOMER-USD'!V$4)/'06. BC BH THEO CUSTOMER-USD'!DB142/'02. Tỷ giá'!K$5,"-")</f>
        <v>-</v>
      </c>
      <c r="AK142" s="147" t="str">
        <f>IFERROR(SUMIFS('01. KE30'!$O:$O,'01. KE30'!$C:$C,'06. BC BH THEO CUSTOMER-USD'!$D142,'01. KE30'!$F:$F,'06. BC BH THEO CUSTOMER-USD'!$H142,'01. KE30'!$A:$A,'06. BC BH THEO CUSTOMER-USD'!W$4)/'06. BC BH THEO CUSTOMER-USD'!DC142/'02. Tỷ giá'!L$5,"-")</f>
        <v>-</v>
      </c>
      <c r="AL142" s="147" t="str">
        <f>IFERROR(SUMIFS('01. KE30'!$O:$O,'01. KE30'!$C:$C,'06. BC BH THEO CUSTOMER-USD'!$D142,'01. KE30'!$F:$F,'06. BC BH THEO CUSTOMER-USD'!$H142,'01. KE30'!$A:$A,'06. BC BH THEO CUSTOMER-USD'!X$4)/'06. BC BH THEO CUSTOMER-USD'!DD142/'02. Tỷ giá'!M$5,"-")</f>
        <v>-</v>
      </c>
      <c r="AN142" s="55">
        <f t="shared" si="1265"/>
        <v>1262.2222222222222</v>
      </c>
      <c r="AO142" s="4">
        <v>1350</v>
      </c>
      <c r="AP142" s="4">
        <v>1300</v>
      </c>
      <c r="AQ142" s="4">
        <f t="shared" si="1267"/>
        <v>1250</v>
      </c>
      <c r="AR142" s="4">
        <v>1250</v>
      </c>
      <c r="AS142" s="4">
        <v>1250</v>
      </c>
      <c r="AT142" s="4">
        <v>1250</v>
      </c>
      <c r="AU142" s="4">
        <v>1250</v>
      </c>
      <c r="AV142" s="4">
        <f t="shared" si="1272"/>
        <v>1230</v>
      </c>
      <c r="AW142" s="4">
        <v>1230</v>
      </c>
      <c r="AX142" s="4"/>
      <c r="AY142" s="4"/>
      <c r="AZ142" s="4"/>
      <c r="BB142" s="54" t="str">
        <f t="shared" si="637"/>
        <v>-</v>
      </c>
      <c r="BC142" s="95" t="str">
        <f t="shared" si="1333"/>
        <v>-</v>
      </c>
      <c r="BD142" s="95" t="str">
        <f t="shared" si="1330"/>
        <v>-</v>
      </c>
      <c r="BE142" s="95" t="str">
        <f t="shared" si="1330"/>
        <v>-</v>
      </c>
      <c r="BF142" s="95" t="str">
        <f t="shared" si="1330"/>
        <v>-</v>
      </c>
      <c r="BG142" s="95" t="str">
        <f t="shared" si="1330"/>
        <v>-</v>
      </c>
      <c r="BH142" s="95" t="str">
        <f t="shared" si="1330"/>
        <v>-</v>
      </c>
      <c r="BI142" s="95" t="str">
        <f t="shared" si="1330"/>
        <v>-</v>
      </c>
      <c r="BJ142" s="95" t="str">
        <f t="shared" si="1330"/>
        <v>-</v>
      </c>
      <c r="BK142" s="95" t="str">
        <f t="shared" si="1330"/>
        <v>-</v>
      </c>
      <c r="BL142" s="95" t="str">
        <f t="shared" si="1330"/>
        <v>-</v>
      </c>
      <c r="BM142" s="95" t="str">
        <f t="shared" si="1330"/>
        <v>-</v>
      </c>
      <c r="BN142" s="95" t="str">
        <f t="shared" si="1330"/>
        <v>-</v>
      </c>
      <c r="BP142" s="143" t="str">
        <f t="shared" si="639"/>
        <v>-</v>
      </c>
      <c r="BQ142" s="143" t="str">
        <f t="shared" si="1331"/>
        <v>-</v>
      </c>
      <c r="BR142" s="143" t="str">
        <f t="shared" si="518"/>
        <v>-</v>
      </c>
      <c r="BS142" s="143" t="str">
        <f t="shared" si="519"/>
        <v>-</v>
      </c>
      <c r="BT142" s="143" t="str">
        <f t="shared" si="520"/>
        <v>-</v>
      </c>
      <c r="BU142" s="143" t="str">
        <f t="shared" si="521"/>
        <v>-</v>
      </c>
      <c r="BV142" s="143" t="str">
        <f t="shared" si="522"/>
        <v>-</v>
      </c>
      <c r="BW142" s="143" t="str">
        <f t="shared" si="523"/>
        <v>-</v>
      </c>
      <c r="BX142" s="143" t="str">
        <f t="shared" si="524"/>
        <v>-</v>
      </c>
      <c r="BY142" s="143" t="str">
        <f t="shared" si="525"/>
        <v>-</v>
      </c>
      <c r="BZ142" s="143" t="str">
        <f t="shared" si="526"/>
        <v>-</v>
      </c>
      <c r="CA142" s="143" t="str">
        <f t="shared" si="527"/>
        <v>-</v>
      </c>
      <c r="CB142" s="143" t="str">
        <f t="shared" si="528"/>
        <v>-</v>
      </c>
      <c r="CD142" s="112" t="str">
        <f t="shared" si="1248"/>
        <v>-</v>
      </c>
      <c r="CE142" s="95" t="str">
        <f>IFERROR(SUMIFS('01. KE30'!$R:$R,'01. KE30'!$C:$C,'06. BC BH THEO CUSTOMER-USD'!$D142,'01. KE30'!$F:$F,'06. BC BH THEO CUSTOMER-USD'!$H142,'01. KE30'!$A:$A,'06. BC BH THEO CUSTOMER-USD'!CE$4)/CS142/'02. Tỷ giá'!B$5," -")</f>
        <v xml:space="preserve"> -</v>
      </c>
      <c r="CF142" s="95" t="str">
        <f>IFERROR(SUMIFS('01. KE30'!$R:$R,'01. KE30'!$C:$C,'06. BC BH THEO CUSTOMER-USD'!$D142,'01. KE30'!$F:$F,'06. BC BH THEO CUSTOMER-USD'!$H142,'01. KE30'!$A:$A,'06. BC BH THEO CUSTOMER-USD'!CF$4)/CT142/'02. Tỷ giá'!C$5," -")</f>
        <v xml:space="preserve"> -</v>
      </c>
      <c r="CG142" s="95" t="str">
        <f>IFERROR(SUMIFS('01. KE30'!$R:$R,'01. KE30'!$C:$C,'06. BC BH THEO CUSTOMER-USD'!$D142,'01. KE30'!$F:$F,'06. BC BH THEO CUSTOMER-USD'!$H142,'01. KE30'!$A:$A,'06. BC BH THEO CUSTOMER-USD'!CG$4)/CU142/'02. Tỷ giá'!D$5," -")</f>
        <v xml:space="preserve"> -</v>
      </c>
      <c r="CH142" s="95" t="str">
        <f>IFERROR(SUMIFS('01. KE30'!$R:$R,'01. KE30'!$C:$C,'06. BC BH THEO CUSTOMER-USD'!$D142,'01. KE30'!$F:$F,'06. BC BH THEO CUSTOMER-USD'!$H142,'01. KE30'!$A:$A,'06. BC BH THEO CUSTOMER-USD'!CH$4)/CV142/'02. Tỷ giá'!E$5," -")</f>
        <v xml:space="preserve"> -</v>
      </c>
      <c r="CI142" s="95" t="str">
        <f>IFERROR(SUMIFS('01. KE30'!$R:$R,'01. KE30'!$C:$C,'06. BC BH THEO CUSTOMER-USD'!$D142,'01. KE30'!$F:$F,'06. BC BH THEO CUSTOMER-USD'!$H142,'01. KE30'!$A:$A,'06. BC BH THEO CUSTOMER-USD'!CI$4)/CW142/'02. Tỷ giá'!F$5," -")</f>
        <v xml:space="preserve"> -</v>
      </c>
      <c r="CJ142" s="95" t="str">
        <f>IFERROR(SUMIFS('01. KE30'!$R:$R,'01. KE30'!$C:$C,'06. BC BH THEO CUSTOMER-USD'!$D142,'01. KE30'!$F:$F,'06. BC BH THEO CUSTOMER-USD'!$H142,'01. KE30'!$A:$A,'06. BC BH THEO CUSTOMER-USD'!CJ$4)/CX142/'02. Tỷ giá'!G$5," -")</f>
        <v xml:space="preserve"> -</v>
      </c>
      <c r="CK142" s="95" t="str">
        <f>IFERROR(SUMIFS('01. KE30'!$R:$R,'01. KE30'!$C:$C,'06. BC BH THEO CUSTOMER-USD'!$D142,'01. KE30'!$F:$F,'06. BC BH THEO CUSTOMER-USD'!$H142,'01. KE30'!$A:$A,'06. BC BH THEO CUSTOMER-USD'!CK$4)/CY142/'02. Tỷ giá'!H$5," -")</f>
        <v xml:space="preserve"> -</v>
      </c>
      <c r="CL142" s="95" t="str">
        <f>IFERROR(SUMIFS('01. KE30'!$R:$R,'01. KE30'!$C:$C,'06. BC BH THEO CUSTOMER-USD'!$D142,'01. KE30'!$F:$F,'06. BC BH THEO CUSTOMER-USD'!$H142,'01. KE30'!$A:$A,'06. BC BH THEO CUSTOMER-USD'!CL$4)/CZ142/'02. Tỷ giá'!I$5," -")</f>
        <v xml:space="preserve"> -</v>
      </c>
      <c r="CM142" s="95" t="str">
        <f>IFERROR(SUMIFS('01. KE30'!$R:$R,'01. KE30'!$C:$C,'06. BC BH THEO CUSTOMER-USD'!$D142,'01. KE30'!$F:$F,'06. BC BH THEO CUSTOMER-USD'!$H142,'01. KE30'!$A:$A,'06. BC BH THEO CUSTOMER-USD'!CM$4)/DA142/'02. Tỷ giá'!J$5," -")</f>
        <v xml:space="preserve"> -</v>
      </c>
      <c r="CN142" s="95" t="str">
        <f>IFERROR(SUMIFS('01. KE30'!$R:$R,'01. KE30'!$C:$C,'06. BC BH THEO CUSTOMER-USD'!$D142,'01. KE30'!$F:$F,'06. BC BH THEO CUSTOMER-USD'!$H142,'01. KE30'!$A:$A,'06. BC BH THEO CUSTOMER-USD'!CN$4)/DB142/'02. Tỷ giá'!K$5," -")</f>
        <v xml:space="preserve"> -</v>
      </c>
      <c r="CO142" s="95" t="str">
        <f>IFERROR(SUMIFS('01. KE30'!$R:$R,'01. KE30'!$C:$C,'06. BC BH THEO CUSTOMER-USD'!$D142,'01. KE30'!$F:$F,'06. BC BH THEO CUSTOMER-USD'!$H142,'01. KE30'!$A:$A,'06. BC BH THEO CUSTOMER-USD'!CO$4)/DC142/'02. Tỷ giá'!L$5," -")</f>
        <v xml:space="preserve"> -</v>
      </c>
      <c r="CP142" s="95" t="str">
        <f>IFERROR(SUMIFS('01. KE30'!$R:$R,'01. KE30'!$C:$C,'06. BC BH THEO CUSTOMER-USD'!$D142,'01. KE30'!$F:$F,'06. BC BH THEO CUSTOMER-USD'!$H142,'01. KE30'!$A:$A,'06. BC BH THEO CUSTOMER-USD'!CP$4)/DD142/'02. Tỷ giá'!M$5," -")</f>
        <v xml:space="preserve"> -</v>
      </c>
      <c r="CR142" s="112">
        <f t="shared" si="1249"/>
        <v>0</v>
      </c>
      <c r="CS142" s="114">
        <f>SUMIFS('01. KE30'!$I:$I,'01. KE30'!$C:$C,'06. BC BH THEO CUSTOMER-USD'!$D142,'01. KE30'!$F:$F,'06. BC BH THEO CUSTOMER-USD'!$H142,'01. KE30'!$A:$A,'06. BC BH THEO CUSTOMER-USD'!CS$4)/1000</f>
        <v>0</v>
      </c>
      <c r="CT142" s="114">
        <f>SUMIFS('01. KE30'!$I:$I,'01. KE30'!$C:$C,'06. BC BH THEO CUSTOMER-USD'!$D142,'01. KE30'!$F:$F,'06. BC BH THEO CUSTOMER-USD'!$H142,'01. KE30'!$A:$A,'06. BC BH THEO CUSTOMER-USD'!CT$4)/1000</f>
        <v>0</v>
      </c>
      <c r="CU142" s="114">
        <f>SUMIFS('01. KE30'!$I:$I,'01. KE30'!$C:$C,'06. BC BH THEO CUSTOMER-USD'!$D142,'01. KE30'!$F:$F,'06. BC BH THEO CUSTOMER-USD'!$H142,'01. KE30'!$A:$A,'06. BC BH THEO CUSTOMER-USD'!CU$4)/1000</f>
        <v>0</v>
      </c>
      <c r="CV142" s="114">
        <f>SUMIFS('01. KE30'!$I:$I,'01. KE30'!$C:$C,'06. BC BH THEO CUSTOMER-USD'!$D142,'01. KE30'!$F:$F,'06. BC BH THEO CUSTOMER-USD'!$H142,'01. KE30'!$A:$A,'06. BC BH THEO CUSTOMER-USD'!CV$4)/1000</f>
        <v>0</v>
      </c>
      <c r="CW142" s="114">
        <f>SUMIFS('01. KE30'!$I:$I,'01. KE30'!$C:$C,'06. BC BH THEO CUSTOMER-USD'!$D142,'01. KE30'!$F:$F,'06. BC BH THEO CUSTOMER-USD'!$H142,'01. KE30'!$A:$A,'06. BC BH THEO CUSTOMER-USD'!CW$4)/1000</f>
        <v>0</v>
      </c>
      <c r="CX142" s="114">
        <f>SUMIFS('01. KE30'!$I:$I,'01. KE30'!$C:$C,'06. BC BH THEO CUSTOMER-USD'!$D142,'01. KE30'!$F:$F,'06. BC BH THEO CUSTOMER-USD'!$H142,'01. KE30'!$A:$A,'06. BC BH THEO CUSTOMER-USD'!CX$4)/1000</f>
        <v>0</v>
      </c>
      <c r="CY142" s="114">
        <f>SUMIFS('01. KE30'!$I:$I,'01. KE30'!$C:$C,'06. BC BH THEO CUSTOMER-USD'!$D142,'01. KE30'!$F:$F,'06. BC BH THEO CUSTOMER-USD'!$H142,'01. KE30'!$A:$A,'06. BC BH THEO CUSTOMER-USD'!CY$4)/1000</f>
        <v>0</v>
      </c>
      <c r="CZ142" s="114">
        <f>SUMIFS('01. KE30'!$I:$I,'01. KE30'!$C:$C,'06. BC BH THEO CUSTOMER-USD'!$D142,'01. KE30'!$F:$F,'06. BC BH THEO CUSTOMER-USD'!$H142,'01. KE30'!$A:$A,'06. BC BH THEO CUSTOMER-USD'!CZ$4)/1000</f>
        <v>0</v>
      </c>
      <c r="DA142" s="114">
        <f>SUMIFS('01. KE30'!$I:$I,'01. KE30'!$C:$C,'06. BC BH THEO CUSTOMER-USD'!$D142,'01. KE30'!$F:$F,'06. BC BH THEO CUSTOMER-USD'!$H142,'01. KE30'!$A:$A,'06. BC BH THEO CUSTOMER-USD'!DA$4)/1000</f>
        <v>0</v>
      </c>
      <c r="DB142" s="114">
        <f>SUMIFS('01. KE30'!$I:$I,'01. KE30'!$C:$C,'06. BC BH THEO CUSTOMER-USD'!$D142,'01. KE30'!$F:$F,'06. BC BH THEO CUSTOMER-USD'!$H142,'01. KE30'!$A:$A,'06. BC BH THEO CUSTOMER-USD'!DB$4)/1000</f>
        <v>0</v>
      </c>
      <c r="DC142" s="114">
        <f>SUMIFS('01. KE30'!$I:$I,'01. KE30'!$C:$C,'06. BC BH THEO CUSTOMER-USD'!$D142,'01. KE30'!$F:$F,'06. BC BH THEO CUSTOMER-USD'!$H142,'01. KE30'!$A:$A,'06. BC BH THEO CUSTOMER-USD'!DC$4)/1000</f>
        <v>0</v>
      </c>
      <c r="DD142" s="114">
        <f>SUMIFS('01. KE30'!$I:$I,'01. KE30'!$C:$C,'06. BC BH THEO CUSTOMER-USD'!$D142,'01. KE30'!$F:$F,'06. BC BH THEO CUSTOMER-USD'!$H142,'01. KE30'!$A:$A,'06. BC BH THEO CUSTOMER-USD'!DD$4)/1000</f>
        <v>0</v>
      </c>
      <c r="DF142" s="112">
        <f t="shared" si="1250"/>
        <v>0</v>
      </c>
      <c r="DG142" s="54" t="str">
        <f t="shared" si="1251"/>
        <v>-</v>
      </c>
      <c r="DH142" s="54" t="str">
        <f t="shared" si="1252"/>
        <v>-</v>
      </c>
      <c r="DI142" s="54" t="str">
        <f t="shared" si="1253"/>
        <v>-</v>
      </c>
      <c r="DJ142" s="54" t="str">
        <f t="shared" si="1254"/>
        <v>-</v>
      </c>
      <c r="DK142" s="54" t="str">
        <f t="shared" si="1255"/>
        <v>-</v>
      </c>
      <c r="DL142" s="54" t="str">
        <f t="shared" si="1256"/>
        <v>-</v>
      </c>
      <c r="DM142" s="54" t="str">
        <f t="shared" si="1257"/>
        <v>-</v>
      </c>
      <c r="DN142" s="54" t="str">
        <f t="shared" si="1258"/>
        <v>-</v>
      </c>
      <c r="DO142" s="54" t="str">
        <f t="shared" si="1259"/>
        <v>-</v>
      </c>
      <c r="DP142" s="54" t="str">
        <f t="shared" si="1260"/>
        <v>-</v>
      </c>
      <c r="DQ142" s="54" t="str">
        <f t="shared" si="1261"/>
        <v>-</v>
      </c>
      <c r="DR142" s="54" t="str">
        <f t="shared" si="1262"/>
        <v>-</v>
      </c>
      <c r="DT142" s="112">
        <f t="shared" si="652"/>
        <v>0</v>
      </c>
      <c r="DU142" s="114">
        <f>IFERROR(SUMIFS('01. KE30'!$X:$X,'01. KE30'!$C:$C,'06. BC BH THEO CUSTOMER-USD'!$D142,'01. KE30'!$F:$F,'06. BC BH THEO CUSTOMER-USD'!$H142,'01. KE30'!$A:$A,'06. BC BH THEO CUSTOMER-USD'!DU$4)-SUMIFS('01. KE30'!$AA:$AA,'01. KE30'!$C:$C,'06. BC BH THEO CUSTOMER-USD'!$D142,'01. KE30'!$F:$F,'06. BC BH THEO CUSTOMER-USD'!$H142,'01. KE30'!$A:$A,'06. BC BH THEO CUSTOMER-USD'!DU$4),"-")</f>
        <v>0</v>
      </c>
      <c r="DV142" s="114">
        <f>IFERROR(SUMIFS('01. KE30'!$X:$X,'01. KE30'!$C:$C,'06. BC BH THEO CUSTOMER-USD'!$D142,'01. KE30'!$F:$F,'06. BC BH THEO CUSTOMER-USD'!$H142,'01. KE30'!$A:$A,'06. BC BH THEO CUSTOMER-USD'!DV$4)-SUMIFS('01. KE30'!$AA:$AA,'01. KE30'!$C:$C,'06. BC BH THEO CUSTOMER-USD'!$D142,'01. KE30'!$F:$F,'06. BC BH THEO CUSTOMER-USD'!$H142,'01. KE30'!$A:$A,'06. BC BH THEO CUSTOMER-USD'!DV$4),"-")</f>
        <v>0</v>
      </c>
      <c r="DW142" s="114">
        <f>IFERROR(SUMIFS('01. KE30'!$X:$X,'01. KE30'!$C:$C,'06. BC BH THEO CUSTOMER-USD'!$D142,'01. KE30'!$F:$F,'06. BC BH THEO CUSTOMER-USD'!$H142,'01. KE30'!$A:$A,'06. BC BH THEO CUSTOMER-USD'!DW$4)-SUMIFS('01. KE30'!$AA:$AA,'01. KE30'!$C:$C,'06. BC BH THEO CUSTOMER-USD'!$D142,'01. KE30'!$F:$F,'06. BC BH THEO CUSTOMER-USD'!$H142,'01. KE30'!$A:$A,'06. BC BH THEO CUSTOMER-USD'!DW$4),"-")</f>
        <v>0</v>
      </c>
      <c r="DX142" s="114">
        <f>IFERROR(SUMIFS('01. KE30'!$X:$X,'01. KE30'!$C:$C,'06. BC BH THEO CUSTOMER-USD'!$D142,'01. KE30'!$F:$F,'06. BC BH THEO CUSTOMER-USD'!$H142,'01. KE30'!$A:$A,'06. BC BH THEO CUSTOMER-USD'!DX$4)-SUMIFS('01. KE30'!$AA:$AA,'01. KE30'!$C:$C,'06. BC BH THEO CUSTOMER-USD'!$D142,'01. KE30'!$F:$F,'06. BC BH THEO CUSTOMER-USD'!$H142,'01. KE30'!$A:$A,'06. BC BH THEO CUSTOMER-USD'!DX$4),"-")</f>
        <v>0</v>
      </c>
      <c r="DY142" s="114">
        <f>IFERROR(SUMIFS('01. KE30'!$X:$X,'01. KE30'!$C:$C,'06. BC BH THEO CUSTOMER-USD'!$D142,'01. KE30'!$F:$F,'06. BC BH THEO CUSTOMER-USD'!$H142,'01. KE30'!$A:$A,'06. BC BH THEO CUSTOMER-USD'!DY$4)-SUMIFS('01. KE30'!$AA:$AA,'01. KE30'!$C:$C,'06. BC BH THEO CUSTOMER-USD'!$D142,'01. KE30'!$F:$F,'06. BC BH THEO CUSTOMER-USD'!$H142,'01. KE30'!$A:$A,'06. BC BH THEO CUSTOMER-USD'!DY$4),"-")</f>
        <v>0</v>
      </c>
      <c r="DZ142" s="114">
        <f>IFERROR(SUMIFS('01. KE30'!$X:$X,'01. KE30'!$C:$C,'06. BC BH THEO CUSTOMER-USD'!$D142,'01. KE30'!$F:$F,'06. BC BH THEO CUSTOMER-USD'!$H142,'01. KE30'!$A:$A,'06. BC BH THEO CUSTOMER-USD'!DZ$4)-SUMIFS('01. KE30'!$AA:$AA,'01. KE30'!$C:$C,'06. BC BH THEO CUSTOMER-USD'!$D142,'01. KE30'!$F:$F,'06. BC BH THEO CUSTOMER-USD'!$H142,'01. KE30'!$A:$A,'06. BC BH THEO CUSTOMER-USD'!DZ$4),"-")</f>
        <v>0</v>
      </c>
      <c r="EA142" s="114">
        <f>IFERROR(SUMIFS('01. KE30'!$X:$X,'01. KE30'!$C:$C,'06. BC BH THEO CUSTOMER-USD'!$D142,'01. KE30'!$F:$F,'06. BC BH THEO CUSTOMER-USD'!$H142,'01. KE30'!$A:$A,'06. BC BH THEO CUSTOMER-USD'!EA$4)-SUMIFS('01. KE30'!$AA:$AA,'01. KE30'!$C:$C,'06. BC BH THEO CUSTOMER-USD'!$D142,'01. KE30'!$F:$F,'06. BC BH THEO CUSTOMER-USD'!$H142,'01. KE30'!$A:$A,'06. BC BH THEO CUSTOMER-USD'!EA$4),"-")</f>
        <v>0</v>
      </c>
      <c r="EB142" s="114">
        <f>IFERROR(SUMIFS('01. KE30'!$X:$X,'01. KE30'!$C:$C,'06. BC BH THEO CUSTOMER-USD'!$D142,'01. KE30'!$F:$F,'06. BC BH THEO CUSTOMER-USD'!$H142,'01. KE30'!$A:$A,'06. BC BH THEO CUSTOMER-USD'!EB$4)-SUMIFS('01. KE30'!$AA:$AA,'01. KE30'!$C:$C,'06. BC BH THEO CUSTOMER-USD'!$D142,'01. KE30'!$F:$F,'06. BC BH THEO CUSTOMER-USD'!$H142,'01. KE30'!$A:$A,'06. BC BH THEO CUSTOMER-USD'!EB$4),"-")</f>
        <v>0</v>
      </c>
      <c r="EC142" s="114">
        <f>IFERROR(SUMIFS('01. KE30'!$X:$X,'01. KE30'!$C:$C,'06. BC BH THEO CUSTOMER-USD'!$D142,'01. KE30'!$F:$F,'06. BC BH THEO CUSTOMER-USD'!$H142,'01. KE30'!$A:$A,'06. BC BH THEO CUSTOMER-USD'!EC$4)-SUMIFS('01. KE30'!$AA:$AA,'01. KE30'!$C:$C,'06. BC BH THEO CUSTOMER-USD'!$D142,'01. KE30'!$F:$F,'06. BC BH THEO CUSTOMER-USD'!$H142,'01. KE30'!$A:$A,'06. BC BH THEO CUSTOMER-USD'!EC$4),"-")</f>
        <v>0</v>
      </c>
      <c r="ED142" s="114">
        <f>IFERROR(SUMIFS('01. KE30'!$X:$X,'01. KE30'!$C:$C,'06. BC BH THEO CUSTOMER-USD'!$D142,'01. KE30'!$F:$F,'06. BC BH THEO CUSTOMER-USD'!$H142,'01. KE30'!$A:$A,'06. BC BH THEO CUSTOMER-USD'!ED$4)-SUMIFS('01. KE30'!$AA:$AA,'01. KE30'!$C:$C,'06. BC BH THEO CUSTOMER-USD'!$D142,'01. KE30'!$F:$F,'06. BC BH THEO CUSTOMER-USD'!$H142,'01. KE30'!$A:$A,'06. BC BH THEO CUSTOMER-USD'!ED$4),"-")</f>
        <v>0</v>
      </c>
      <c r="EE142" s="114">
        <f>IFERROR(SUMIFS('01. KE30'!$X:$X,'01. KE30'!$C:$C,'06. BC BH THEO CUSTOMER-USD'!$D142,'01. KE30'!$F:$F,'06. BC BH THEO CUSTOMER-USD'!$H142,'01. KE30'!$A:$A,'06. BC BH THEO CUSTOMER-USD'!EE$4)-SUMIFS('01. KE30'!$AA:$AA,'01. KE30'!$C:$C,'06. BC BH THEO CUSTOMER-USD'!$D142,'01. KE30'!$F:$F,'06. BC BH THEO CUSTOMER-USD'!$H142,'01. KE30'!$A:$A,'06. BC BH THEO CUSTOMER-USD'!EE$4),"-")</f>
        <v>0</v>
      </c>
      <c r="EF142" s="114">
        <f>IFERROR(SUMIFS('01. KE30'!$X:$X,'01. KE30'!$C:$C,'06. BC BH THEO CUSTOMER-USD'!$D142,'01. KE30'!$F:$F,'06. BC BH THEO CUSTOMER-USD'!$H142,'01. KE30'!$A:$A,'06. BC BH THEO CUSTOMER-USD'!EF$4)-SUMIFS('01. KE30'!$AA:$AA,'01. KE30'!$C:$C,'06. BC BH THEO CUSTOMER-USD'!$D142,'01. KE30'!$F:$F,'06. BC BH THEO CUSTOMER-USD'!$H142,'01. KE30'!$A:$A,'06. BC BH THEO CUSTOMER-USD'!EF$4),"-")</f>
        <v>0</v>
      </c>
      <c r="EH142" s="571" t="str">
        <f t="shared" si="531"/>
        <v>-</v>
      </c>
      <c r="EI142" s="572" t="str">
        <f t="shared" si="532"/>
        <v>-</v>
      </c>
      <c r="EJ142" s="572" t="str">
        <f t="shared" si="533"/>
        <v>-</v>
      </c>
      <c r="EK142" s="572" t="str">
        <f t="shared" si="534"/>
        <v>-</v>
      </c>
      <c r="EL142" s="572" t="str">
        <f t="shared" si="535"/>
        <v>-</v>
      </c>
      <c r="EM142" s="572" t="str">
        <f t="shared" si="536"/>
        <v>-</v>
      </c>
      <c r="EN142" s="572" t="str">
        <f t="shared" si="537"/>
        <v>-</v>
      </c>
      <c r="EO142" s="572" t="str">
        <f t="shared" si="538"/>
        <v>-</v>
      </c>
      <c r="EP142" s="572" t="str">
        <f t="shared" si="539"/>
        <v>-</v>
      </c>
      <c r="EQ142" s="572" t="str">
        <f t="shared" si="540"/>
        <v>-</v>
      </c>
      <c r="ER142" s="572" t="str">
        <f t="shared" si="541"/>
        <v>-</v>
      </c>
      <c r="ES142" s="572" t="str">
        <f t="shared" si="542"/>
        <v>-</v>
      </c>
      <c r="ET142" s="572" t="str">
        <f t="shared" si="543"/>
        <v>-</v>
      </c>
    </row>
    <row r="143" spans="1:150" ht="15.5" hidden="1" outlineLevel="1" x14ac:dyDescent="0.35">
      <c r="A143" s="10">
        <f t="shared" si="1266"/>
        <v>15</v>
      </c>
      <c r="B143" s="10" t="s">
        <v>265</v>
      </c>
      <c r="C143" s="442" t="s">
        <v>489</v>
      </c>
      <c r="D143" s="9" t="s">
        <v>58</v>
      </c>
      <c r="E143" s="12" t="s">
        <v>57</v>
      </c>
      <c r="F143" s="12" t="s">
        <v>245</v>
      </c>
      <c r="G143" s="12" t="str">
        <f>_xlfn.XLOOKUP(F143,'Quy đổi'!$G$5:$G$32,'Quy đổi'!$H$5:$H$32,0)</f>
        <v>Nội địa</v>
      </c>
      <c r="H143" s="76" t="s">
        <v>50</v>
      </c>
      <c r="I143" s="7" t="s">
        <v>61</v>
      </c>
      <c r="J143" s="69" t="s">
        <v>22</v>
      </c>
      <c r="K143" s="11"/>
      <c r="L143" s="92" t="str">
        <f t="shared" si="1263"/>
        <v>-</v>
      </c>
      <c r="M143" s="106" t="str">
        <f>IFERROR(SUMIFS('01. KE30'!$K:$K,'01. KE30'!$C:$C,'06. BC BH THEO CUSTOMER-USD'!$D143,'01. KE30'!$F:$F,'06. BC BH THEO CUSTOMER-USD'!$H143,'01. KE30'!$A:$A,'06. BC BH THEO CUSTOMER-USD'!M$4)/'06. BC BH THEO CUSTOMER-USD'!CS143/'02. Tỷ giá'!B$5,"-")</f>
        <v>-</v>
      </c>
      <c r="N143" s="106" t="str">
        <f>IFERROR(SUMIFS('01. KE30'!$K:$K,'01. KE30'!$C:$C,'06. BC BH THEO CUSTOMER-USD'!$D143,'01. KE30'!$F:$F,'06. BC BH THEO CUSTOMER-USD'!$H143,'01. KE30'!$A:$A,'06. BC BH THEO CUSTOMER-USD'!N$4)/'06. BC BH THEO CUSTOMER-USD'!CT143/'02. Tỷ giá'!C$5,"-")</f>
        <v>-</v>
      </c>
      <c r="O143" s="106" t="str">
        <f>IFERROR(SUMIFS('01. KE30'!$K:$K,'01. KE30'!$C:$C,'06. BC BH THEO CUSTOMER-USD'!$D143,'01. KE30'!$F:$F,'06. BC BH THEO CUSTOMER-USD'!$H143,'01. KE30'!$A:$A,'06. BC BH THEO CUSTOMER-USD'!O$4)/'06. BC BH THEO CUSTOMER-USD'!CU143/'02. Tỷ giá'!D$5,"-")</f>
        <v>-</v>
      </c>
      <c r="P143" s="106" t="str">
        <f>IFERROR(SUMIFS('01. KE30'!$K:$K,'01. KE30'!$C:$C,'06. BC BH THEO CUSTOMER-USD'!$D143,'01. KE30'!$F:$F,'06. BC BH THEO CUSTOMER-USD'!$H143,'01. KE30'!$A:$A,'06. BC BH THEO CUSTOMER-USD'!P$4)/'06. BC BH THEO CUSTOMER-USD'!CV143/'02. Tỷ giá'!E$5,"-")</f>
        <v>-</v>
      </c>
      <c r="Q143" s="106" t="str">
        <f>IFERROR(SUMIFS('01. KE30'!$K:$K,'01. KE30'!$C:$C,'06. BC BH THEO CUSTOMER-USD'!$D143,'01. KE30'!$F:$F,'06. BC BH THEO CUSTOMER-USD'!$H143,'01. KE30'!$A:$A,'06. BC BH THEO CUSTOMER-USD'!Q$4)/'06. BC BH THEO CUSTOMER-USD'!CW143/'02. Tỷ giá'!F$5,"-")</f>
        <v>-</v>
      </c>
      <c r="R143" s="106" t="str">
        <f>IFERROR(SUMIFS('01. KE30'!$K:$K,'01. KE30'!$C:$C,'06. BC BH THEO CUSTOMER-USD'!$D143,'01. KE30'!$F:$F,'06. BC BH THEO CUSTOMER-USD'!$H143,'01. KE30'!$A:$A,'06. BC BH THEO CUSTOMER-USD'!R$4)/'06. BC BH THEO CUSTOMER-USD'!CX143/'02. Tỷ giá'!G$5,"-")</f>
        <v>-</v>
      </c>
      <c r="S143" s="106" t="str">
        <f>IFERROR(SUMIFS('01. KE30'!$K:$K,'01. KE30'!$C:$C,'06. BC BH THEO CUSTOMER-USD'!$D143,'01. KE30'!$F:$F,'06. BC BH THEO CUSTOMER-USD'!$H143,'01. KE30'!$A:$A,'06. BC BH THEO CUSTOMER-USD'!S$4)/'06. BC BH THEO CUSTOMER-USD'!CY143/'02. Tỷ giá'!H$5,"-")</f>
        <v>-</v>
      </c>
      <c r="T143" s="106" t="str">
        <f>IFERROR(SUMIFS('01. KE30'!$K:$K,'01. KE30'!$C:$C,'06. BC BH THEO CUSTOMER-USD'!$D143,'01. KE30'!$F:$F,'06. BC BH THEO CUSTOMER-USD'!$H143,'01. KE30'!$A:$A,'06. BC BH THEO CUSTOMER-USD'!T$4)/'06. BC BH THEO CUSTOMER-USD'!CZ143/'02. Tỷ giá'!I$5,"-")</f>
        <v>-</v>
      </c>
      <c r="U143" s="106" t="str">
        <f>IFERROR(SUMIFS('01. KE30'!$K:$K,'01. KE30'!$C:$C,'06. BC BH THEO CUSTOMER-USD'!$D143,'01. KE30'!$F:$F,'06. BC BH THEO CUSTOMER-USD'!$H143,'01. KE30'!$A:$A,'06. BC BH THEO CUSTOMER-USD'!U$4)/'06. BC BH THEO CUSTOMER-USD'!DA143/'02. Tỷ giá'!J$5,"-")</f>
        <v>-</v>
      </c>
      <c r="V143" s="106" t="str">
        <f>IFERROR(SUMIFS('01. KE30'!$K:$K,'01. KE30'!$C:$C,'06. BC BH THEO CUSTOMER-USD'!$D143,'01. KE30'!$F:$F,'06. BC BH THEO CUSTOMER-USD'!$H143,'01. KE30'!$A:$A,'06. BC BH THEO CUSTOMER-USD'!V$4)/'06. BC BH THEO CUSTOMER-USD'!DB143/'02. Tỷ giá'!K$5,"-")</f>
        <v>-</v>
      </c>
      <c r="W143" s="106" t="str">
        <f>IFERROR(SUMIFS('01. KE30'!$K:$K,'01. KE30'!$C:$C,'06. BC BH THEO CUSTOMER-USD'!$D143,'01. KE30'!$F:$F,'06. BC BH THEO CUSTOMER-USD'!$H143,'01. KE30'!$A:$A,'06. BC BH THEO CUSTOMER-USD'!W$4)/'06. BC BH THEO CUSTOMER-USD'!DC143/'02. Tỷ giá'!L$5,"-")</f>
        <v>-</v>
      </c>
      <c r="X143" s="106" t="str">
        <f>IFERROR(SUMIFS('01. KE30'!$K:$K,'01. KE30'!$C:$C,'06. BC BH THEO CUSTOMER-USD'!$D143,'01. KE30'!$F:$F,'06. BC BH THEO CUSTOMER-USD'!$H143,'01. KE30'!$A:$A,'06. BC BH THEO CUSTOMER-USD'!X$4)/'06. BC BH THEO CUSTOMER-USD'!DD143/'02. Tỷ giá'!M$5,"-")</f>
        <v>-</v>
      </c>
      <c r="Z143" s="92" t="str">
        <f t="shared" si="1264"/>
        <v>-</v>
      </c>
      <c r="AA143" s="147" t="str">
        <f>IFERROR(SUMIFS('01. KE30'!$O:$O,'01. KE30'!$C:$C,'06. BC BH THEO CUSTOMER-USD'!$D143,'01. KE30'!$F:$F,'06. BC BH THEO CUSTOMER-USD'!$H143,'01. KE30'!$A:$A,'06. BC BH THEO CUSTOMER-USD'!M$4)/'06. BC BH THEO CUSTOMER-USD'!CS143/'02. Tỷ giá'!B$5,"-")</f>
        <v>-</v>
      </c>
      <c r="AB143" s="147" t="str">
        <f>IFERROR(SUMIFS('01. KE30'!$O:$O,'01. KE30'!$C:$C,'06. BC BH THEO CUSTOMER-USD'!$D143,'01. KE30'!$F:$F,'06. BC BH THEO CUSTOMER-USD'!$H143,'01. KE30'!$A:$A,'06. BC BH THEO CUSTOMER-USD'!N$4)/'06. BC BH THEO CUSTOMER-USD'!CT143/'02. Tỷ giá'!C$5,"-")</f>
        <v>-</v>
      </c>
      <c r="AC143" s="147" t="str">
        <f>IFERROR(SUMIFS('01. KE30'!$O:$O,'01. KE30'!$C:$C,'06. BC BH THEO CUSTOMER-USD'!$D143,'01. KE30'!$F:$F,'06. BC BH THEO CUSTOMER-USD'!$H143,'01. KE30'!$A:$A,'06. BC BH THEO CUSTOMER-USD'!O$4)/'06. BC BH THEO CUSTOMER-USD'!CU143/'02. Tỷ giá'!D$5,"-")</f>
        <v>-</v>
      </c>
      <c r="AD143" s="147" t="str">
        <f>IFERROR(SUMIFS('01. KE30'!$O:$O,'01. KE30'!$C:$C,'06. BC BH THEO CUSTOMER-USD'!$D143,'01. KE30'!$F:$F,'06. BC BH THEO CUSTOMER-USD'!$H143,'01. KE30'!$A:$A,'06. BC BH THEO CUSTOMER-USD'!P$4)/'06. BC BH THEO CUSTOMER-USD'!CV143/'02. Tỷ giá'!E$5,"-")</f>
        <v>-</v>
      </c>
      <c r="AE143" s="147" t="str">
        <f>IFERROR(SUMIFS('01. KE30'!$O:$O,'01. KE30'!$C:$C,'06. BC BH THEO CUSTOMER-USD'!$D143,'01. KE30'!$F:$F,'06. BC BH THEO CUSTOMER-USD'!$H143,'01. KE30'!$A:$A,'06. BC BH THEO CUSTOMER-USD'!Q$4)/'06. BC BH THEO CUSTOMER-USD'!CW143/'02. Tỷ giá'!F$5,"-")</f>
        <v>-</v>
      </c>
      <c r="AF143" s="147" t="str">
        <f>IFERROR(SUMIFS('01. KE30'!$O:$O,'01. KE30'!$C:$C,'06. BC BH THEO CUSTOMER-USD'!$D143,'01. KE30'!$F:$F,'06. BC BH THEO CUSTOMER-USD'!$H143,'01. KE30'!$A:$A,'06. BC BH THEO CUSTOMER-USD'!R$4)/'06. BC BH THEO CUSTOMER-USD'!CX143/'02. Tỷ giá'!G$5,"-")</f>
        <v>-</v>
      </c>
      <c r="AG143" s="147" t="str">
        <f>IFERROR(SUMIFS('01. KE30'!$O:$O,'01. KE30'!$C:$C,'06. BC BH THEO CUSTOMER-USD'!$D143,'01. KE30'!$F:$F,'06. BC BH THEO CUSTOMER-USD'!$H143,'01. KE30'!$A:$A,'06. BC BH THEO CUSTOMER-USD'!S$4)/'06. BC BH THEO CUSTOMER-USD'!CY143/'02. Tỷ giá'!H$5,"-")</f>
        <v>-</v>
      </c>
      <c r="AH143" s="147" t="str">
        <f>IFERROR(SUMIFS('01. KE30'!$O:$O,'01. KE30'!$C:$C,'06. BC BH THEO CUSTOMER-USD'!$D143,'01. KE30'!$F:$F,'06. BC BH THEO CUSTOMER-USD'!$H143,'01. KE30'!$A:$A,'06. BC BH THEO CUSTOMER-USD'!T$4)/'06. BC BH THEO CUSTOMER-USD'!CZ143/'02. Tỷ giá'!I$5,"-")</f>
        <v>-</v>
      </c>
      <c r="AI143" s="147" t="str">
        <f>IFERROR(SUMIFS('01. KE30'!$O:$O,'01. KE30'!$C:$C,'06. BC BH THEO CUSTOMER-USD'!$D143,'01. KE30'!$F:$F,'06. BC BH THEO CUSTOMER-USD'!$H143,'01. KE30'!$A:$A,'06. BC BH THEO CUSTOMER-USD'!U$4)/'06. BC BH THEO CUSTOMER-USD'!DA143/'02. Tỷ giá'!J$5,"-")</f>
        <v>-</v>
      </c>
      <c r="AJ143" s="147" t="str">
        <f>IFERROR(SUMIFS('01. KE30'!$O:$O,'01. KE30'!$C:$C,'06. BC BH THEO CUSTOMER-USD'!$D143,'01. KE30'!$F:$F,'06. BC BH THEO CUSTOMER-USD'!$H143,'01. KE30'!$A:$A,'06. BC BH THEO CUSTOMER-USD'!V$4)/'06. BC BH THEO CUSTOMER-USD'!DB143/'02. Tỷ giá'!K$5,"-")</f>
        <v>-</v>
      </c>
      <c r="AK143" s="147" t="str">
        <f>IFERROR(SUMIFS('01. KE30'!$O:$O,'01. KE30'!$C:$C,'06. BC BH THEO CUSTOMER-USD'!$D143,'01. KE30'!$F:$F,'06. BC BH THEO CUSTOMER-USD'!$H143,'01. KE30'!$A:$A,'06. BC BH THEO CUSTOMER-USD'!W$4)/'06. BC BH THEO CUSTOMER-USD'!DC143/'02. Tỷ giá'!L$5,"-")</f>
        <v>-</v>
      </c>
      <c r="AL143" s="147" t="str">
        <f>IFERROR(SUMIFS('01. KE30'!$O:$O,'01. KE30'!$C:$C,'06. BC BH THEO CUSTOMER-USD'!$D143,'01. KE30'!$F:$F,'06. BC BH THEO CUSTOMER-USD'!$H143,'01. KE30'!$A:$A,'06. BC BH THEO CUSTOMER-USD'!X$4)/'06. BC BH THEO CUSTOMER-USD'!DD143/'02. Tỷ giá'!M$5,"-")</f>
        <v>-</v>
      </c>
      <c r="AN143" s="55">
        <f t="shared" si="1265"/>
        <v>1262.2222222222222</v>
      </c>
      <c r="AO143" s="4">
        <v>1350</v>
      </c>
      <c r="AP143" s="4">
        <v>1300</v>
      </c>
      <c r="AQ143" s="4">
        <f t="shared" si="1267"/>
        <v>1250</v>
      </c>
      <c r="AR143" s="4">
        <v>1250</v>
      </c>
      <c r="AS143" s="4">
        <v>1250</v>
      </c>
      <c r="AT143" s="4">
        <v>1250</v>
      </c>
      <c r="AU143" s="4">
        <v>1250</v>
      </c>
      <c r="AV143" s="4">
        <f t="shared" si="1272"/>
        <v>1230</v>
      </c>
      <c r="AW143" s="4">
        <v>1230</v>
      </c>
      <c r="AX143" s="4"/>
      <c r="AY143" s="4"/>
      <c r="AZ143" s="4"/>
      <c r="BB143" s="54" t="str">
        <f t="shared" si="637"/>
        <v>-</v>
      </c>
      <c r="BC143" s="95" t="str">
        <f t="shared" si="1333"/>
        <v>-</v>
      </c>
      <c r="BD143" s="95" t="str">
        <f t="shared" si="1330"/>
        <v>-</v>
      </c>
      <c r="BE143" s="95" t="str">
        <f t="shared" si="1330"/>
        <v>-</v>
      </c>
      <c r="BF143" s="95" t="str">
        <f t="shared" si="1330"/>
        <v>-</v>
      </c>
      <c r="BG143" s="95" t="str">
        <f t="shared" si="1330"/>
        <v>-</v>
      </c>
      <c r="BH143" s="95" t="str">
        <f t="shared" si="1330"/>
        <v>-</v>
      </c>
      <c r="BI143" s="95" t="str">
        <f t="shared" si="1330"/>
        <v>-</v>
      </c>
      <c r="BJ143" s="95" t="str">
        <f t="shared" si="1330"/>
        <v>-</v>
      </c>
      <c r="BK143" s="95" t="str">
        <f t="shared" si="1330"/>
        <v>-</v>
      </c>
      <c r="BL143" s="95" t="str">
        <f t="shared" si="1330"/>
        <v>-</v>
      </c>
      <c r="BM143" s="95" t="str">
        <f t="shared" si="1330"/>
        <v>-</v>
      </c>
      <c r="BN143" s="95" t="str">
        <f t="shared" si="1330"/>
        <v>-</v>
      </c>
      <c r="BP143" s="143" t="str">
        <f t="shared" si="639"/>
        <v>-</v>
      </c>
      <c r="BQ143" s="143" t="str">
        <f t="shared" si="1331"/>
        <v>-</v>
      </c>
      <c r="BR143" s="143" t="str">
        <f t="shared" si="518"/>
        <v>-</v>
      </c>
      <c r="BS143" s="143" t="str">
        <f t="shared" si="519"/>
        <v>-</v>
      </c>
      <c r="BT143" s="143" t="str">
        <f t="shared" si="520"/>
        <v>-</v>
      </c>
      <c r="BU143" s="143" t="str">
        <f t="shared" si="521"/>
        <v>-</v>
      </c>
      <c r="BV143" s="143" t="str">
        <f t="shared" si="522"/>
        <v>-</v>
      </c>
      <c r="BW143" s="143" t="str">
        <f t="shared" si="523"/>
        <v>-</v>
      </c>
      <c r="BX143" s="143" t="str">
        <f t="shared" si="524"/>
        <v>-</v>
      </c>
      <c r="BY143" s="143" t="str">
        <f t="shared" si="525"/>
        <v>-</v>
      </c>
      <c r="BZ143" s="143" t="str">
        <f t="shared" si="526"/>
        <v>-</v>
      </c>
      <c r="CA143" s="143" t="str">
        <f t="shared" si="527"/>
        <v>-</v>
      </c>
      <c r="CB143" s="143" t="str">
        <f t="shared" si="528"/>
        <v>-</v>
      </c>
      <c r="CD143" s="112" t="str">
        <f t="shared" si="1248"/>
        <v>-</v>
      </c>
      <c r="CE143" s="95" t="str">
        <f>IFERROR(SUMIFS('01. KE30'!$R:$R,'01. KE30'!$C:$C,'06. BC BH THEO CUSTOMER-USD'!$D143,'01. KE30'!$F:$F,'06. BC BH THEO CUSTOMER-USD'!$H143,'01. KE30'!$A:$A,'06. BC BH THEO CUSTOMER-USD'!CE$4)/CS143/'02. Tỷ giá'!B$5," -")</f>
        <v xml:space="preserve"> -</v>
      </c>
      <c r="CF143" s="95" t="str">
        <f>IFERROR(SUMIFS('01. KE30'!$R:$R,'01. KE30'!$C:$C,'06. BC BH THEO CUSTOMER-USD'!$D143,'01. KE30'!$F:$F,'06. BC BH THEO CUSTOMER-USD'!$H143,'01. KE30'!$A:$A,'06. BC BH THEO CUSTOMER-USD'!CF$4)/CT143/'02. Tỷ giá'!C$5," -")</f>
        <v xml:space="preserve"> -</v>
      </c>
      <c r="CG143" s="95" t="str">
        <f>IFERROR(SUMIFS('01. KE30'!$R:$R,'01. KE30'!$C:$C,'06. BC BH THEO CUSTOMER-USD'!$D143,'01. KE30'!$F:$F,'06. BC BH THEO CUSTOMER-USD'!$H143,'01. KE30'!$A:$A,'06. BC BH THEO CUSTOMER-USD'!CG$4)/CU143/'02. Tỷ giá'!D$5," -")</f>
        <v xml:space="preserve"> -</v>
      </c>
      <c r="CH143" s="95" t="str">
        <f>IFERROR(SUMIFS('01. KE30'!$R:$R,'01. KE30'!$C:$C,'06. BC BH THEO CUSTOMER-USD'!$D143,'01. KE30'!$F:$F,'06. BC BH THEO CUSTOMER-USD'!$H143,'01. KE30'!$A:$A,'06. BC BH THEO CUSTOMER-USD'!CH$4)/CV143/'02. Tỷ giá'!E$5," -")</f>
        <v xml:space="preserve"> -</v>
      </c>
      <c r="CI143" s="95" t="str">
        <f>IFERROR(SUMIFS('01. KE30'!$R:$R,'01. KE30'!$C:$C,'06. BC BH THEO CUSTOMER-USD'!$D143,'01. KE30'!$F:$F,'06. BC BH THEO CUSTOMER-USD'!$H143,'01. KE30'!$A:$A,'06. BC BH THEO CUSTOMER-USD'!CI$4)/CW143/'02. Tỷ giá'!F$5," -")</f>
        <v xml:space="preserve"> -</v>
      </c>
      <c r="CJ143" s="95" t="str">
        <f>IFERROR(SUMIFS('01. KE30'!$R:$R,'01. KE30'!$C:$C,'06. BC BH THEO CUSTOMER-USD'!$D143,'01. KE30'!$F:$F,'06. BC BH THEO CUSTOMER-USD'!$H143,'01. KE30'!$A:$A,'06. BC BH THEO CUSTOMER-USD'!CJ$4)/CX143/'02. Tỷ giá'!G$5," -")</f>
        <v xml:space="preserve"> -</v>
      </c>
      <c r="CK143" s="95" t="str">
        <f>IFERROR(SUMIFS('01. KE30'!$R:$R,'01. KE30'!$C:$C,'06. BC BH THEO CUSTOMER-USD'!$D143,'01. KE30'!$F:$F,'06. BC BH THEO CUSTOMER-USD'!$H143,'01. KE30'!$A:$A,'06. BC BH THEO CUSTOMER-USD'!CK$4)/CY143/'02. Tỷ giá'!H$5," -")</f>
        <v xml:space="preserve"> -</v>
      </c>
      <c r="CL143" s="95" t="str">
        <f>IFERROR(SUMIFS('01. KE30'!$R:$R,'01. KE30'!$C:$C,'06. BC BH THEO CUSTOMER-USD'!$D143,'01. KE30'!$F:$F,'06. BC BH THEO CUSTOMER-USD'!$H143,'01. KE30'!$A:$A,'06. BC BH THEO CUSTOMER-USD'!CL$4)/CZ143/'02. Tỷ giá'!I$5," -")</f>
        <v xml:space="preserve"> -</v>
      </c>
      <c r="CM143" s="95" t="str">
        <f>IFERROR(SUMIFS('01. KE30'!$R:$R,'01. KE30'!$C:$C,'06. BC BH THEO CUSTOMER-USD'!$D143,'01. KE30'!$F:$F,'06. BC BH THEO CUSTOMER-USD'!$H143,'01. KE30'!$A:$A,'06. BC BH THEO CUSTOMER-USD'!CM$4)/DA143/'02. Tỷ giá'!J$5," -")</f>
        <v xml:space="preserve"> -</v>
      </c>
      <c r="CN143" s="95" t="str">
        <f>IFERROR(SUMIFS('01. KE30'!$R:$R,'01. KE30'!$C:$C,'06. BC BH THEO CUSTOMER-USD'!$D143,'01. KE30'!$F:$F,'06. BC BH THEO CUSTOMER-USD'!$H143,'01. KE30'!$A:$A,'06. BC BH THEO CUSTOMER-USD'!CN$4)/DB143/'02. Tỷ giá'!K$5," -")</f>
        <v xml:space="preserve"> -</v>
      </c>
      <c r="CO143" s="95" t="str">
        <f>IFERROR(SUMIFS('01. KE30'!$R:$R,'01. KE30'!$C:$C,'06. BC BH THEO CUSTOMER-USD'!$D143,'01. KE30'!$F:$F,'06. BC BH THEO CUSTOMER-USD'!$H143,'01. KE30'!$A:$A,'06. BC BH THEO CUSTOMER-USD'!CO$4)/DC143/'02. Tỷ giá'!L$5," -")</f>
        <v xml:space="preserve"> -</v>
      </c>
      <c r="CP143" s="95" t="str">
        <f>IFERROR(SUMIFS('01. KE30'!$R:$R,'01. KE30'!$C:$C,'06. BC BH THEO CUSTOMER-USD'!$D143,'01. KE30'!$F:$F,'06. BC BH THEO CUSTOMER-USD'!$H143,'01. KE30'!$A:$A,'06. BC BH THEO CUSTOMER-USD'!CP$4)/DD143/'02. Tỷ giá'!M$5," -")</f>
        <v xml:space="preserve"> -</v>
      </c>
      <c r="CR143" s="112">
        <f t="shared" si="1249"/>
        <v>0</v>
      </c>
      <c r="CS143" s="114">
        <f>SUMIFS('01. KE30'!$I:$I,'01. KE30'!$C:$C,'06. BC BH THEO CUSTOMER-USD'!$D143,'01. KE30'!$F:$F,'06. BC BH THEO CUSTOMER-USD'!$H143,'01. KE30'!$A:$A,'06. BC BH THEO CUSTOMER-USD'!CS$4)/1000</f>
        <v>0</v>
      </c>
      <c r="CT143" s="114">
        <f>SUMIFS('01. KE30'!$I:$I,'01. KE30'!$C:$C,'06. BC BH THEO CUSTOMER-USD'!$D143,'01. KE30'!$F:$F,'06. BC BH THEO CUSTOMER-USD'!$H143,'01. KE30'!$A:$A,'06. BC BH THEO CUSTOMER-USD'!CT$4)/1000</f>
        <v>0</v>
      </c>
      <c r="CU143" s="114">
        <f>SUMIFS('01. KE30'!$I:$I,'01. KE30'!$C:$C,'06. BC BH THEO CUSTOMER-USD'!$D143,'01. KE30'!$F:$F,'06. BC BH THEO CUSTOMER-USD'!$H143,'01. KE30'!$A:$A,'06. BC BH THEO CUSTOMER-USD'!CU$4)/1000</f>
        <v>0</v>
      </c>
      <c r="CV143" s="114">
        <f>SUMIFS('01. KE30'!$I:$I,'01. KE30'!$C:$C,'06. BC BH THEO CUSTOMER-USD'!$D143,'01. KE30'!$F:$F,'06. BC BH THEO CUSTOMER-USD'!$H143,'01. KE30'!$A:$A,'06. BC BH THEO CUSTOMER-USD'!CV$4)/1000</f>
        <v>0</v>
      </c>
      <c r="CW143" s="114">
        <f>SUMIFS('01. KE30'!$I:$I,'01. KE30'!$C:$C,'06. BC BH THEO CUSTOMER-USD'!$D143,'01. KE30'!$F:$F,'06. BC BH THEO CUSTOMER-USD'!$H143,'01. KE30'!$A:$A,'06. BC BH THEO CUSTOMER-USD'!CW$4)/1000</f>
        <v>0</v>
      </c>
      <c r="CX143" s="114">
        <f>SUMIFS('01. KE30'!$I:$I,'01. KE30'!$C:$C,'06. BC BH THEO CUSTOMER-USD'!$D143,'01. KE30'!$F:$F,'06. BC BH THEO CUSTOMER-USD'!$H143,'01. KE30'!$A:$A,'06. BC BH THEO CUSTOMER-USD'!CX$4)/1000</f>
        <v>0</v>
      </c>
      <c r="CY143" s="114">
        <f>SUMIFS('01. KE30'!$I:$I,'01. KE30'!$C:$C,'06. BC BH THEO CUSTOMER-USD'!$D143,'01. KE30'!$F:$F,'06. BC BH THEO CUSTOMER-USD'!$H143,'01. KE30'!$A:$A,'06. BC BH THEO CUSTOMER-USD'!CY$4)/1000</f>
        <v>0</v>
      </c>
      <c r="CZ143" s="114">
        <f>SUMIFS('01. KE30'!$I:$I,'01. KE30'!$C:$C,'06. BC BH THEO CUSTOMER-USD'!$D143,'01. KE30'!$F:$F,'06. BC BH THEO CUSTOMER-USD'!$H143,'01. KE30'!$A:$A,'06. BC BH THEO CUSTOMER-USD'!CZ$4)/1000</f>
        <v>0</v>
      </c>
      <c r="DA143" s="114">
        <f>SUMIFS('01. KE30'!$I:$I,'01. KE30'!$C:$C,'06. BC BH THEO CUSTOMER-USD'!$D143,'01. KE30'!$F:$F,'06. BC BH THEO CUSTOMER-USD'!$H143,'01. KE30'!$A:$A,'06. BC BH THEO CUSTOMER-USD'!DA$4)/1000</f>
        <v>0</v>
      </c>
      <c r="DB143" s="114">
        <f>SUMIFS('01. KE30'!$I:$I,'01. KE30'!$C:$C,'06. BC BH THEO CUSTOMER-USD'!$D143,'01. KE30'!$F:$F,'06. BC BH THEO CUSTOMER-USD'!$H143,'01. KE30'!$A:$A,'06. BC BH THEO CUSTOMER-USD'!DB$4)/1000</f>
        <v>0</v>
      </c>
      <c r="DC143" s="114">
        <f>SUMIFS('01. KE30'!$I:$I,'01. KE30'!$C:$C,'06. BC BH THEO CUSTOMER-USD'!$D143,'01. KE30'!$F:$F,'06. BC BH THEO CUSTOMER-USD'!$H143,'01. KE30'!$A:$A,'06. BC BH THEO CUSTOMER-USD'!DC$4)/1000</f>
        <v>0</v>
      </c>
      <c r="DD143" s="114">
        <f>SUMIFS('01. KE30'!$I:$I,'01. KE30'!$C:$C,'06. BC BH THEO CUSTOMER-USD'!$D143,'01. KE30'!$F:$F,'06. BC BH THEO CUSTOMER-USD'!$H143,'01. KE30'!$A:$A,'06. BC BH THEO CUSTOMER-USD'!DD$4)/1000</f>
        <v>0</v>
      </c>
      <c r="DF143" s="112">
        <f t="shared" si="1250"/>
        <v>0</v>
      </c>
      <c r="DG143" s="54" t="str">
        <f t="shared" si="1251"/>
        <v>-</v>
      </c>
      <c r="DH143" s="54" t="str">
        <f t="shared" si="1252"/>
        <v>-</v>
      </c>
      <c r="DI143" s="54" t="str">
        <f t="shared" si="1253"/>
        <v>-</v>
      </c>
      <c r="DJ143" s="54" t="str">
        <f t="shared" si="1254"/>
        <v>-</v>
      </c>
      <c r="DK143" s="54" t="str">
        <f t="shared" si="1255"/>
        <v>-</v>
      </c>
      <c r="DL143" s="54" t="str">
        <f t="shared" si="1256"/>
        <v>-</v>
      </c>
      <c r="DM143" s="54" t="str">
        <f t="shared" si="1257"/>
        <v>-</v>
      </c>
      <c r="DN143" s="54" t="str">
        <f t="shared" si="1258"/>
        <v>-</v>
      </c>
      <c r="DO143" s="54" t="str">
        <f t="shared" si="1259"/>
        <v>-</v>
      </c>
      <c r="DP143" s="54" t="str">
        <f t="shared" si="1260"/>
        <v>-</v>
      </c>
      <c r="DQ143" s="54" t="str">
        <f t="shared" si="1261"/>
        <v>-</v>
      </c>
      <c r="DR143" s="54" t="str">
        <f t="shared" si="1262"/>
        <v>-</v>
      </c>
      <c r="DT143" s="112">
        <f t="shared" si="652"/>
        <v>0</v>
      </c>
      <c r="DU143" s="114">
        <f>IFERROR(SUMIFS('01. KE30'!$X:$X,'01. KE30'!$C:$C,'06. BC BH THEO CUSTOMER-USD'!$D143,'01. KE30'!$F:$F,'06. BC BH THEO CUSTOMER-USD'!$H143,'01. KE30'!$A:$A,'06. BC BH THEO CUSTOMER-USD'!DU$4)-SUMIFS('01. KE30'!$AA:$AA,'01. KE30'!$C:$C,'06. BC BH THEO CUSTOMER-USD'!$D143,'01. KE30'!$F:$F,'06. BC BH THEO CUSTOMER-USD'!$H143,'01. KE30'!$A:$A,'06. BC BH THEO CUSTOMER-USD'!DU$4),"-")</f>
        <v>0</v>
      </c>
      <c r="DV143" s="114">
        <f>IFERROR(SUMIFS('01. KE30'!$X:$X,'01. KE30'!$C:$C,'06. BC BH THEO CUSTOMER-USD'!$D143,'01. KE30'!$F:$F,'06. BC BH THEO CUSTOMER-USD'!$H143,'01. KE30'!$A:$A,'06. BC BH THEO CUSTOMER-USD'!DV$4)-SUMIFS('01. KE30'!$AA:$AA,'01. KE30'!$C:$C,'06. BC BH THEO CUSTOMER-USD'!$D143,'01. KE30'!$F:$F,'06. BC BH THEO CUSTOMER-USD'!$H143,'01. KE30'!$A:$A,'06. BC BH THEO CUSTOMER-USD'!DV$4),"-")</f>
        <v>0</v>
      </c>
      <c r="DW143" s="114">
        <f>IFERROR(SUMIFS('01. KE30'!$X:$X,'01. KE30'!$C:$C,'06. BC BH THEO CUSTOMER-USD'!$D143,'01. KE30'!$F:$F,'06. BC BH THEO CUSTOMER-USD'!$H143,'01. KE30'!$A:$A,'06. BC BH THEO CUSTOMER-USD'!DW$4)-SUMIFS('01. KE30'!$AA:$AA,'01. KE30'!$C:$C,'06. BC BH THEO CUSTOMER-USD'!$D143,'01. KE30'!$F:$F,'06. BC BH THEO CUSTOMER-USD'!$H143,'01. KE30'!$A:$A,'06. BC BH THEO CUSTOMER-USD'!DW$4),"-")</f>
        <v>0</v>
      </c>
      <c r="DX143" s="114">
        <f>IFERROR(SUMIFS('01. KE30'!$X:$X,'01. KE30'!$C:$C,'06. BC BH THEO CUSTOMER-USD'!$D143,'01. KE30'!$F:$F,'06. BC BH THEO CUSTOMER-USD'!$H143,'01. KE30'!$A:$A,'06. BC BH THEO CUSTOMER-USD'!DX$4)-SUMIFS('01. KE30'!$AA:$AA,'01. KE30'!$C:$C,'06. BC BH THEO CUSTOMER-USD'!$D143,'01. KE30'!$F:$F,'06. BC BH THEO CUSTOMER-USD'!$H143,'01. KE30'!$A:$A,'06. BC BH THEO CUSTOMER-USD'!DX$4),"-")</f>
        <v>0</v>
      </c>
      <c r="DY143" s="114">
        <f>IFERROR(SUMIFS('01. KE30'!$X:$X,'01. KE30'!$C:$C,'06. BC BH THEO CUSTOMER-USD'!$D143,'01. KE30'!$F:$F,'06. BC BH THEO CUSTOMER-USD'!$H143,'01. KE30'!$A:$A,'06. BC BH THEO CUSTOMER-USD'!DY$4)-SUMIFS('01. KE30'!$AA:$AA,'01. KE30'!$C:$C,'06. BC BH THEO CUSTOMER-USD'!$D143,'01. KE30'!$F:$F,'06. BC BH THEO CUSTOMER-USD'!$H143,'01. KE30'!$A:$A,'06. BC BH THEO CUSTOMER-USD'!DY$4),"-")</f>
        <v>0</v>
      </c>
      <c r="DZ143" s="114">
        <f>IFERROR(SUMIFS('01. KE30'!$X:$X,'01. KE30'!$C:$C,'06. BC BH THEO CUSTOMER-USD'!$D143,'01. KE30'!$F:$F,'06. BC BH THEO CUSTOMER-USD'!$H143,'01. KE30'!$A:$A,'06. BC BH THEO CUSTOMER-USD'!DZ$4)-SUMIFS('01. KE30'!$AA:$AA,'01. KE30'!$C:$C,'06. BC BH THEO CUSTOMER-USD'!$D143,'01. KE30'!$F:$F,'06. BC BH THEO CUSTOMER-USD'!$H143,'01. KE30'!$A:$A,'06. BC BH THEO CUSTOMER-USD'!DZ$4),"-")</f>
        <v>0</v>
      </c>
      <c r="EA143" s="114">
        <f>IFERROR(SUMIFS('01. KE30'!$X:$X,'01. KE30'!$C:$C,'06. BC BH THEO CUSTOMER-USD'!$D143,'01. KE30'!$F:$F,'06. BC BH THEO CUSTOMER-USD'!$H143,'01. KE30'!$A:$A,'06. BC BH THEO CUSTOMER-USD'!EA$4)-SUMIFS('01. KE30'!$AA:$AA,'01. KE30'!$C:$C,'06. BC BH THEO CUSTOMER-USD'!$D143,'01. KE30'!$F:$F,'06. BC BH THEO CUSTOMER-USD'!$H143,'01. KE30'!$A:$A,'06. BC BH THEO CUSTOMER-USD'!EA$4),"-")</f>
        <v>0</v>
      </c>
      <c r="EB143" s="114">
        <f>IFERROR(SUMIFS('01. KE30'!$X:$X,'01. KE30'!$C:$C,'06. BC BH THEO CUSTOMER-USD'!$D143,'01. KE30'!$F:$F,'06. BC BH THEO CUSTOMER-USD'!$H143,'01. KE30'!$A:$A,'06. BC BH THEO CUSTOMER-USD'!EB$4)-SUMIFS('01. KE30'!$AA:$AA,'01. KE30'!$C:$C,'06. BC BH THEO CUSTOMER-USD'!$D143,'01. KE30'!$F:$F,'06. BC BH THEO CUSTOMER-USD'!$H143,'01. KE30'!$A:$A,'06. BC BH THEO CUSTOMER-USD'!EB$4),"-")</f>
        <v>0</v>
      </c>
      <c r="EC143" s="114">
        <f>IFERROR(SUMIFS('01. KE30'!$X:$X,'01. KE30'!$C:$C,'06. BC BH THEO CUSTOMER-USD'!$D143,'01. KE30'!$F:$F,'06. BC BH THEO CUSTOMER-USD'!$H143,'01. KE30'!$A:$A,'06. BC BH THEO CUSTOMER-USD'!EC$4)-SUMIFS('01. KE30'!$AA:$AA,'01. KE30'!$C:$C,'06. BC BH THEO CUSTOMER-USD'!$D143,'01. KE30'!$F:$F,'06. BC BH THEO CUSTOMER-USD'!$H143,'01. KE30'!$A:$A,'06. BC BH THEO CUSTOMER-USD'!EC$4),"-")</f>
        <v>0</v>
      </c>
      <c r="ED143" s="114">
        <f>IFERROR(SUMIFS('01. KE30'!$X:$X,'01. KE30'!$C:$C,'06. BC BH THEO CUSTOMER-USD'!$D143,'01. KE30'!$F:$F,'06. BC BH THEO CUSTOMER-USD'!$H143,'01. KE30'!$A:$A,'06. BC BH THEO CUSTOMER-USD'!ED$4)-SUMIFS('01. KE30'!$AA:$AA,'01. KE30'!$C:$C,'06. BC BH THEO CUSTOMER-USD'!$D143,'01. KE30'!$F:$F,'06. BC BH THEO CUSTOMER-USD'!$H143,'01. KE30'!$A:$A,'06. BC BH THEO CUSTOMER-USD'!ED$4),"-")</f>
        <v>0</v>
      </c>
      <c r="EE143" s="114">
        <f>IFERROR(SUMIFS('01. KE30'!$X:$X,'01. KE30'!$C:$C,'06. BC BH THEO CUSTOMER-USD'!$D143,'01. KE30'!$F:$F,'06. BC BH THEO CUSTOMER-USD'!$H143,'01. KE30'!$A:$A,'06. BC BH THEO CUSTOMER-USD'!EE$4)-SUMIFS('01. KE30'!$AA:$AA,'01. KE30'!$C:$C,'06. BC BH THEO CUSTOMER-USD'!$D143,'01. KE30'!$F:$F,'06. BC BH THEO CUSTOMER-USD'!$H143,'01. KE30'!$A:$A,'06. BC BH THEO CUSTOMER-USD'!EE$4),"-")</f>
        <v>0</v>
      </c>
      <c r="EF143" s="114">
        <f>IFERROR(SUMIFS('01. KE30'!$X:$X,'01. KE30'!$C:$C,'06. BC BH THEO CUSTOMER-USD'!$D143,'01. KE30'!$F:$F,'06. BC BH THEO CUSTOMER-USD'!$H143,'01. KE30'!$A:$A,'06. BC BH THEO CUSTOMER-USD'!EF$4)-SUMIFS('01. KE30'!$AA:$AA,'01. KE30'!$C:$C,'06. BC BH THEO CUSTOMER-USD'!$D143,'01. KE30'!$F:$F,'06. BC BH THEO CUSTOMER-USD'!$H143,'01. KE30'!$A:$A,'06. BC BH THEO CUSTOMER-USD'!EF$4),"-")</f>
        <v>0</v>
      </c>
      <c r="EH143" s="571" t="str">
        <f t="shared" si="531"/>
        <v>-</v>
      </c>
      <c r="EI143" s="572" t="str">
        <f t="shared" si="532"/>
        <v>-</v>
      </c>
      <c r="EJ143" s="572" t="str">
        <f t="shared" si="533"/>
        <v>-</v>
      </c>
      <c r="EK143" s="572" t="str">
        <f t="shared" si="534"/>
        <v>-</v>
      </c>
      <c r="EL143" s="572" t="str">
        <f t="shared" si="535"/>
        <v>-</v>
      </c>
      <c r="EM143" s="572" t="str">
        <f t="shared" si="536"/>
        <v>-</v>
      </c>
      <c r="EN143" s="572" t="str">
        <f t="shared" si="537"/>
        <v>-</v>
      </c>
      <c r="EO143" s="572" t="str">
        <f t="shared" si="538"/>
        <v>-</v>
      </c>
      <c r="EP143" s="572" t="str">
        <f t="shared" si="539"/>
        <v>-</v>
      </c>
      <c r="EQ143" s="572" t="str">
        <f t="shared" si="540"/>
        <v>-</v>
      </c>
      <c r="ER143" s="572" t="str">
        <f t="shared" si="541"/>
        <v>-</v>
      </c>
      <c r="ES143" s="572" t="str">
        <f t="shared" si="542"/>
        <v>-</v>
      </c>
      <c r="ET143" s="572" t="str">
        <f t="shared" si="543"/>
        <v>-</v>
      </c>
    </row>
    <row r="144" spans="1:150" ht="15.5" hidden="1" outlineLevel="1" x14ac:dyDescent="0.35">
      <c r="A144" s="10">
        <f t="shared" si="1266"/>
        <v>16</v>
      </c>
      <c r="B144" s="10" t="s">
        <v>265</v>
      </c>
      <c r="C144" s="442" t="s">
        <v>489</v>
      </c>
      <c r="D144" s="9" t="s">
        <v>58</v>
      </c>
      <c r="E144" s="12" t="s">
        <v>57</v>
      </c>
      <c r="F144" s="12" t="s">
        <v>245</v>
      </c>
      <c r="G144" s="12" t="str">
        <f>_xlfn.XLOOKUP(F144,'Quy đổi'!$G$5:$G$32,'Quy đổi'!$H$5:$H$32,0)</f>
        <v>Nội địa</v>
      </c>
      <c r="H144" s="76" t="s">
        <v>60</v>
      </c>
      <c r="I144" s="7" t="s">
        <v>59</v>
      </c>
      <c r="J144" s="69" t="s">
        <v>22</v>
      </c>
      <c r="K144" s="11"/>
      <c r="L144" s="92" t="str">
        <f t="shared" si="1263"/>
        <v>-</v>
      </c>
      <c r="M144" s="106" t="str">
        <f>IFERROR(SUMIFS('01. KE30'!$K:$K,'01. KE30'!$C:$C,'06. BC BH THEO CUSTOMER-USD'!$D144,'01. KE30'!$F:$F,'06. BC BH THEO CUSTOMER-USD'!$H144,'01. KE30'!$A:$A,'06. BC BH THEO CUSTOMER-USD'!M$4)/'06. BC BH THEO CUSTOMER-USD'!CS144/'02. Tỷ giá'!B$5,"-")</f>
        <v>-</v>
      </c>
      <c r="N144" s="106" t="str">
        <f>IFERROR(SUMIFS('01. KE30'!$K:$K,'01. KE30'!$C:$C,'06. BC BH THEO CUSTOMER-USD'!$D144,'01. KE30'!$F:$F,'06. BC BH THEO CUSTOMER-USD'!$H144,'01. KE30'!$A:$A,'06. BC BH THEO CUSTOMER-USD'!N$4)/'06. BC BH THEO CUSTOMER-USD'!CT144/'02. Tỷ giá'!C$5,"-")</f>
        <v>-</v>
      </c>
      <c r="O144" s="106" t="str">
        <f>IFERROR(SUMIFS('01. KE30'!$K:$K,'01. KE30'!$C:$C,'06. BC BH THEO CUSTOMER-USD'!$D144,'01. KE30'!$F:$F,'06. BC BH THEO CUSTOMER-USD'!$H144,'01. KE30'!$A:$A,'06. BC BH THEO CUSTOMER-USD'!O$4)/'06. BC BH THEO CUSTOMER-USD'!CU144/'02. Tỷ giá'!D$5,"-")</f>
        <v>-</v>
      </c>
      <c r="P144" s="106" t="str">
        <f>IFERROR(SUMIFS('01. KE30'!$K:$K,'01. KE30'!$C:$C,'06. BC BH THEO CUSTOMER-USD'!$D144,'01. KE30'!$F:$F,'06. BC BH THEO CUSTOMER-USD'!$H144,'01. KE30'!$A:$A,'06. BC BH THEO CUSTOMER-USD'!P$4)/'06. BC BH THEO CUSTOMER-USD'!CV144/'02. Tỷ giá'!E$5,"-")</f>
        <v>-</v>
      </c>
      <c r="Q144" s="106" t="str">
        <f>IFERROR(SUMIFS('01. KE30'!$K:$K,'01. KE30'!$C:$C,'06. BC BH THEO CUSTOMER-USD'!$D144,'01. KE30'!$F:$F,'06. BC BH THEO CUSTOMER-USD'!$H144,'01. KE30'!$A:$A,'06. BC BH THEO CUSTOMER-USD'!Q$4)/'06. BC BH THEO CUSTOMER-USD'!CW144/'02. Tỷ giá'!F$5,"-")</f>
        <v>-</v>
      </c>
      <c r="R144" s="106" t="str">
        <f>IFERROR(SUMIFS('01. KE30'!$K:$K,'01. KE30'!$C:$C,'06. BC BH THEO CUSTOMER-USD'!$D144,'01. KE30'!$F:$F,'06. BC BH THEO CUSTOMER-USD'!$H144,'01. KE30'!$A:$A,'06. BC BH THEO CUSTOMER-USD'!R$4)/'06. BC BH THEO CUSTOMER-USD'!CX144/'02. Tỷ giá'!G$5,"-")</f>
        <v>-</v>
      </c>
      <c r="S144" s="106" t="str">
        <f>IFERROR(SUMIFS('01. KE30'!$K:$K,'01. KE30'!$C:$C,'06. BC BH THEO CUSTOMER-USD'!$D144,'01. KE30'!$F:$F,'06. BC BH THEO CUSTOMER-USD'!$H144,'01. KE30'!$A:$A,'06. BC BH THEO CUSTOMER-USD'!S$4)/'06. BC BH THEO CUSTOMER-USD'!CY144/'02. Tỷ giá'!H$5,"-")</f>
        <v>-</v>
      </c>
      <c r="T144" s="106" t="str">
        <f>IFERROR(SUMIFS('01. KE30'!$K:$K,'01. KE30'!$C:$C,'06. BC BH THEO CUSTOMER-USD'!$D144,'01. KE30'!$F:$F,'06. BC BH THEO CUSTOMER-USD'!$H144,'01. KE30'!$A:$A,'06. BC BH THEO CUSTOMER-USD'!T$4)/'06. BC BH THEO CUSTOMER-USD'!CZ144/'02. Tỷ giá'!I$5,"-")</f>
        <v>-</v>
      </c>
      <c r="U144" s="106" t="str">
        <f>IFERROR(SUMIFS('01. KE30'!$K:$K,'01. KE30'!$C:$C,'06. BC BH THEO CUSTOMER-USD'!$D144,'01. KE30'!$F:$F,'06. BC BH THEO CUSTOMER-USD'!$H144,'01. KE30'!$A:$A,'06. BC BH THEO CUSTOMER-USD'!U$4)/'06. BC BH THEO CUSTOMER-USD'!DA144/'02. Tỷ giá'!J$5,"-")</f>
        <v>-</v>
      </c>
      <c r="V144" s="106" t="str">
        <f>IFERROR(SUMIFS('01. KE30'!$K:$K,'01. KE30'!$C:$C,'06. BC BH THEO CUSTOMER-USD'!$D144,'01. KE30'!$F:$F,'06. BC BH THEO CUSTOMER-USD'!$H144,'01. KE30'!$A:$A,'06. BC BH THEO CUSTOMER-USD'!V$4)/'06. BC BH THEO CUSTOMER-USD'!DB144/'02. Tỷ giá'!K$5,"-")</f>
        <v>-</v>
      </c>
      <c r="W144" s="106" t="str">
        <f>IFERROR(SUMIFS('01. KE30'!$K:$K,'01. KE30'!$C:$C,'06. BC BH THEO CUSTOMER-USD'!$D144,'01. KE30'!$F:$F,'06. BC BH THEO CUSTOMER-USD'!$H144,'01. KE30'!$A:$A,'06. BC BH THEO CUSTOMER-USD'!W$4)/'06. BC BH THEO CUSTOMER-USD'!DC144/'02. Tỷ giá'!L$5,"-")</f>
        <v>-</v>
      </c>
      <c r="X144" s="106" t="str">
        <f>IFERROR(SUMIFS('01. KE30'!$K:$K,'01. KE30'!$C:$C,'06. BC BH THEO CUSTOMER-USD'!$D144,'01. KE30'!$F:$F,'06. BC BH THEO CUSTOMER-USD'!$H144,'01. KE30'!$A:$A,'06. BC BH THEO CUSTOMER-USD'!X$4)/'06. BC BH THEO CUSTOMER-USD'!DD144/'02. Tỷ giá'!M$5,"-")</f>
        <v>-</v>
      </c>
      <c r="Z144" s="92" t="str">
        <f t="shared" si="1264"/>
        <v>-</v>
      </c>
      <c r="AA144" s="147" t="str">
        <f>IFERROR(SUMIFS('01. KE30'!$O:$O,'01. KE30'!$C:$C,'06. BC BH THEO CUSTOMER-USD'!$D144,'01. KE30'!$F:$F,'06. BC BH THEO CUSTOMER-USD'!$H144,'01. KE30'!$A:$A,'06. BC BH THEO CUSTOMER-USD'!M$4)/'06. BC BH THEO CUSTOMER-USD'!CS144/'02. Tỷ giá'!B$5,"-")</f>
        <v>-</v>
      </c>
      <c r="AB144" s="147" t="str">
        <f>IFERROR(SUMIFS('01. KE30'!$O:$O,'01. KE30'!$C:$C,'06. BC BH THEO CUSTOMER-USD'!$D144,'01. KE30'!$F:$F,'06. BC BH THEO CUSTOMER-USD'!$H144,'01. KE30'!$A:$A,'06. BC BH THEO CUSTOMER-USD'!N$4)/'06. BC BH THEO CUSTOMER-USD'!CT144/'02. Tỷ giá'!C$5,"-")</f>
        <v>-</v>
      </c>
      <c r="AC144" s="147" t="str">
        <f>IFERROR(SUMIFS('01. KE30'!$O:$O,'01. KE30'!$C:$C,'06. BC BH THEO CUSTOMER-USD'!$D144,'01. KE30'!$F:$F,'06. BC BH THEO CUSTOMER-USD'!$H144,'01. KE30'!$A:$A,'06. BC BH THEO CUSTOMER-USD'!O$4)/'06. BC BH THEO CUSTOMER-USD'!CU144/'02. Tỷ giá'!D$5,"-")</f>
        <v>-</v>
      </c>
      <c r="AD144" s="147" t="str">
        <f>IFERROR(SUMIFS('01. KE30'!$O:$O,'01. KE30'!$C:$C,'06. BC BH THEO CUSTOMER-USD'!$D144,'01. KE30'!$F:$F,'06. BC BH THEO CUSTOMER-USD'!$H144,'01. KE30'!$A:$A,'06. BC BH THEO CUSTOMER-USD'!P$4)/'06. BC BH THEO CUSTOMER-USD'!CV144/'02. Tỷ giá'!E$5,"-")</f>
        <v>-</v>
      </c>
      <c r="AE144" s="147" t="str">
        <f>IFERROR(SUMIFS('01. KE30'!$O:$O,'01. KE30'!$C:$C,'06. BC BH THEO CUSTOMER-USD'!$D144,'01. KE30'!$F:$F,'06. BC BH THEO CUSTOMER-USD'!$H144,'01. KE30'!$A:$A,'06. BC BH THEO CUSTOMER-USD'!Q$4)/'06. BC BH THEO CUSTOMER-USD'!CW144/'02. Tỷ giá'!F$5,"-")</f>
        <v>-</v>
      </c>
      <c r="AF144" s="147" t="str">
        <f>IFERROR(SUMIFS('01. KE30'!$O:$O,'01. KE30'!$C:$C,'06. BC BH THEO CUSTOMER-USD'!$D144,'01. KE30'!$F:$F,'06. BC BH THEO CUSTOMER-USD'!$H144,'01. KE30'!$A:$A,'06. BC BH THEO CUSTOMER-USD'!R$4)/'06. BC BH THEO CUSTOMER-USD'!CX144/'02. Tỷ giá'!G$5,"-")</f>
        <v>-</v>
      </c>
      <c r="AG144" s="147" t="str">
        <f>IFERROR(SUMIFS('01. KE30'!$O:$O,'01. KE30'!$C:$C,'06. BC BH THEO CUSTOMER-USD'!$D144,'01. KE30'!$F:$F,'06. BC BH THEO CUSTOMER-USD'!$H144,'01. KE30'!$A:$A,'06. BC BH THEO CUSTOMER-USD'!S$4)/'06. BC BH THEO CUSTOMER-USD'!CY144/'02. Tỷ giá'!H$5,"-")</f>
        <v>-</v>
      </c>
      <c r="AH144" s="147" t="str">
        <f>IFERROR(SUMIFS('01. KE30'!$O:$O,'01. KE30'!$C:$C,'06. BC BH THEO CUSTOMER-USD'!$D144,'01. KE30'!$F:$F,'06. BC BH THEO CUSTOMER-USD'!$H144,'01. KE30'!$A:$A,'06. BC BH THEO CUSTOMER-USD'!T$4)/'06. BC BH THEO CUSTOMER-USD'!CZ144/'02. Tỷ giá'!I$5,"-")</f>
        <v>-</v>
      </c>
      <c r="AI144" s="147" t="str">
        <f>IFERROR(SUMIFS('01. KE30'!$O:$O,'01. KE30'!$C:$C,'06. BC BH THEO CUSTOMER-USD'!$D144,'01. KE30'!$F:$F,'06. BC BH THEO CUSTOMER-USD'!$H144,'01. KE30'!$A:$A,'06. BC BH THEO CUSTOMER-USD'!U$4)/'06. BC BH THEO CUSTOMER-USD'!DA144/'02. Tỷ giá'!J$5,"-")</f>
        <v>-</v>
      </c>
      <c r="AJ144" s="147" t="str">
        <f>IFERROR(SUMIFS('01. KE30'!$O:$O,'01. KE30'!$C:$C,'06. BC BH THEO CUSTOMER-USD'!$D144,'01. KE30'!$F:$F,'06. BC BH THEO CUSTOMER-USD'!$H144,'01. KE30'!$A:$A,'06. BC BH THEO CUSTOMER-USD'!V$4)/'06. BC BH THEO CUSTOMER-USD'!DB144/'02. Tỷ giá'!K$5,"-")</f>
        <v>-</v>
      </c>
      <c r="AK144" s="147" t="str">
        <f>IFERROR(SUMIFS('01. KE30'!$O:$O,'01. KE30'!$C:$C,'06. BC BH THEO CUSTOMER-USD'!$D144,'01. KE30'!$F:$F,'06. BC BH THEO CUSTOMER-USD'!$H144,'01. KE30'!$A:$A,'06. BC BH THEO CUSTOMER-USD'!W$4)/'06. BC BH THEO CUSTOMER-USD'!DC144/'02. Tỷ giá'!L$5,"-")</f>
        <v>-</v>
      </c>
      <c r="AL144" s="147" t="str">
        <f>IFERROR(SUMIFS('01. KE30'!$O:$O,'01. KE30'!$C:$C,'06. BC BH THEO CUSTOMER-USD'!$D144,'01. KE30'!$F:$F,'06. BC BH THEO CUSTOMER-USD'!$H144,'01. KE30'!$A:$A,'06. BC BH THEO CUSTOMER-USD'!X$4)/'06. BC BH THEO CUSTOMER-USD'!DD144/'02. Tỷ giá'!M$5,"-")</f>
        <v>-</v>
      </c>
      <c r="AN144" s="55">
        <f t="shared" si="1265"/>
        <v>1262.2222222222222</v>
      </c>
      <c r="AO144" s="4">
        <v>1350</v>
      </c>
      <c r="AP144" s="4">
        <v>1300</v>
      </c>
      <c r="AQ144" s="4">
        <f t="shared" si="1267"/>
        <v>1250</v>
      </c>
      <c r="AR144" s="4">
        <v>1250</v>
      </c>
      <c r="AS144" s="4">
        <v>1250</v>
      </c>
      <c r="AT144" s="4">
        <v>1250</v>
      </c>
      <c r="AU144" s="4">
        <v>1250</v>
      </c>
      <c r="AV144" s="4">
        <f t="shared" si="1272"/>
        <v>1230</v>
      </c>
      <c r="AW144" s="4">
        <v>1230</v>
      </c>
      <c r="AX144" s="4"/>
      <c r="AY144" s="4"/>
      <c r="AZ144" s="4"/>
      <c r="BB144" s="54" t="str">
        <f t="shared" si="637"/>
        <v>-</v>
      </c>
      <c r="BC144" s="95" t="str">
        <f t="shared" si="1333"/>
        <v>-</v>
      </c>
      <c r="BD144" s="95" t="str">
        <f t="shared" si="1330"/>
        <v>-</v>
      </c>
      <c r="BE144" s="95" t="str">
        <f t="shared" si="1330"/>
        <v>-</v>
      </c>
      <c r="BF144" s="95" t="str">
        <f t="shared" si="1330"/>
        <v>-</v>
      </c>
      <c r="BG144" s="95" t="str">
        <f t="shared" si="1330"/>
        <v>-</v>
      </c>
      <c r="BH144" s="95" t="str">
        <f t="shared" si="1330"/>
        <v>-</v>
      </c>
      <c r="BI144" s="95" t="str">
        <f t="shared" si="1330"/>
        <v>-</v>
      </c>
      <c r="BJ144" s="95" t="str">
        <f t="shared" si="1330"/>
        <v>-</v>
      </c>
      <c r="BK144" s="95" t="str">
        <f t="shared" si="1330"/>
        <v>-</v>
      </c>
      <c r="BL144" s="95" t="str">
        <f t="shared" si="1330"/>
        <v>-</v>
      </c>
      <c r="BM144" s="95" t="str">
        <f t="shared" si="1330"/>
        <v>-</v>
      </c>
      <c r="BN144" s="95" t="str">
        <f t="shared" si="1330"/>
        <v>-</v>
      </c>
      <c r="BP144" s="143" t="str">
        <f t="shared" si="639"/>
        <v>-</v>
      </c>
      <c r="BQ144" s="143" t="str">
        <f t="shared" si="1331"/>
        <v>-</v>
      </c>
      <c r="BR144" s="143" t="str">
        <f t="shared" si="518"/>
        <v>-</v>
      </c>
      <c r="BS144" s="143" t="str">
        <f t="shared" si="519"/>
        <v>-</v>
      </c>
      <c r="BT144" s="143" t="str">
        <f t="shared" si="520"/>
        <v>-</v>
      </c>
      <c r="BU144" s="143" t="str">
        <f t="shared" si="521"/>
        <v>-</v>
      </c>
      <c r="BV144" s="143" t="str">
        <f t="shared" si="522"/>
        <v>-</v>
      </c>
      <c r="BW144" s="143" t="str">
        <f t="shared" si="523"/>
        <v>-</v>
      </c>
      <c r="BX144" s="143" t="str">
        <f t="shared" si="524"/>
        <v>-</v>
      </c>
      <c r="BY144" s="143" t="str">
        <f t="shared" si="525"/>
        <v>-</v>
      </c>
      <c r="BZ144" s="143" t="str">
        <f t="shared" si="526"/>
        <v>-</v>
      </c>
      <c r="CA144" s="143" t="str">
        <f t="shared" si="527"/>
        <v>-</v>
      </c>
      <c r="CB144" s="143" t="str">
        <f t="shared" si="528"/>
        <v>-</v>
      </c>
      <c r="CD144" s="112" t="str">
        <f t="shared" si="1248"/>
        <v>-</v>
      </c>
      <c r="CE144" s="95" t="str">
        <f>IFERROR(SUMIFS('01. KE30'!$R:$R,'01. KE30'!$C:$C,'06. BC BH THEO CUSTOMER-USD'!$D144,'01. KE30'!$F:$F,'06. BC BH THEO CUSTOMER-USD'!$H144,'01. KE30'!$A:$A,'06. BC BH THEO CUSTOMER-USD'!CE$4)/CS144/'02. Tỷ giá'!B$5," -")</f>
        <v xml:space="preserve"> -</v>
      </c>
      <c r="CF144" s="95" t="str">
        <f>IFERROR(SUMIFS('01. KE30'!$R:$R,'01. KE30'!$C:$C,'06. BC BH THEO CUSTOMER-USD'!$D144,'01. KE30'!$F:$F,'06. BC BH THEO CUSTOMER-USD'!$H144,'01. KE30'!$A:$A,'06. BC BH THEO CUSTOMER-USD'!CF$4)/CT144/'02. Tỷ giá'!C$5," -")</f>
        <v xml:space="preserve"> -</v>
      </c>
      <c r="CG144" s="95" t="str">
        <f>IFERROR(SUMIFS('01. KE30'!$R:$R,'01. KE30'!$C:$C,'06. BC BH THEO CUSTOMER-USD'!$D144,'01. KE30'!$F:$F,'06. BC BH THEO CUSTOMER-USD'!$H144,'01. KE30'!$A:$A,'06. BC BH THEO CUSTOMER-USD'!CG$4)/CU144/'02. Tỷ giá'!D$5," -")</f>
        <v xml:space="preserve"> -</v>
      </c>
      <c r="CH144" s="95" t="str">
        <f>IFERROR(SUMIFS('01. KE30'!$R:$R,'01. KE30'!$C:$C,'06. BC BH THEO CUSTOMER-USD'!$D144,'01. KE30'!$F:$F,'06. BC BH THEO CUSTOMER-USD'!$H144,'01. KE30'!$A:$A,'06. BC BH THEO CUSTOMER-USD'!CH$4)/CV144/'02. Tỷ giá'!E$5," -")</f>
        <v xml:space="preserve"> -</v>
      </c>
      <c r="CI144" s="95" t="str">
        <f>IFERROR(SUMIFS('01. KE30'!$R:$R,'01. KE30'!$C:$C,'06. BC BH THEO CUSTOMER-USD'!$D144,'01. KE30'!$F:$F,'06. BC BH THEO CUSTOMER-USD'!$H144,'01. KE30'!$A:$A,'06. BC BH THEO CUSTOMER-USD'!CI$4)/CW144/'02. Tỷ giá'!F$5," -")</f>
        <v xml:space="preserve"> -</v>
      </c>
      <c r="CJ144" s="95" t="str">
        <f>IFERROR(SUMIFS('01. KE30'!$R:$R,'01. KE30'!$C:$C,'06. BC BH THEO CUSTOMER-USD'!$D144,'01. KE30'!$F:$F,'06. BC BH THEO CUSTOMER-USD'!$H144,'01. KE30'!$A:$A,'06. BC BH THEO CUSTOMER-USD'!CJ$4)/CX144/'02. Tỷ giá'!G$5," -")</f>
        <v xml:space="preserve"> -</v>
      </c>
      <c r="CK144" s="95" t="str">
        <f>IFERROR(SUMIFS('01. KE30'!$R:$R,'01. KE30'!$C:$C,'06. BC BH THEO CUSTOMER-USD'!$D144,'01. KE30'!$F:$F,'06. BC BH THEO CUSTOMER-USD'!$H144,'01. KE30'!$A:$A,'06. BC BH THEO CUSTOMER-USD'!CK$4)/CY144/'02. Tỷ giá'!H$5," -")</f>
        <v xml:space="preserve"> -</v>
      </c>
      <c r="CL144" s="95" t="str">
        <f>IFERROR(SUMIFS('01. KE30'!$R:$R,'01. KE30'!$C:$C,'06. BC BH THEO CUSTOMER-USD'!$D144,'01. KE30'!$F:$F,'06. BC BH THEO CUSTOMER-USD'!$H144,'01. KE30'!$A:$A,'06. BC BH THEO CUSTOMER-USD'!CL$4)/CZ144/'02. Tỷ giá'!I$5," -")</f>
        <v xml:space="preserve"> -</v>
      </c>
      <c r="CM144" s="95" t="str">
        <f>IFERROR(SUMIFS('01. KE30'!$R:$R,'01. KE30'!$C:$C,'06. BC BH THEO CUSTOMER-USD'!$D144,'01. KE30'!$F:$F,'06. BC BH THEO CUSTOMER-USD'!$H144,'01. KE30'!$A:$A,'06. BC BH THEO CUSTOMER-USD'!CM$4)/DA144/'02. Tỷ giá'!J$5," -")</f>
        <v xml:space="preserve"> -</v>
      </c>
      <c r="CN144" s="95" t="str">
        <f>IFERROR(SUMIFS('01. KE30'!$R:$R,'01. KE30'!$C:$C,'06. BC BH THEO CUSTOMER-USD'!$D144,'01. KE30'!$F:$F,'06. BC BH THEO CUSTOMER-USD'!$H144,'01. KE30'!$A:$A,'06. BC BH THEO CUSTOMER-USD'!CN$4)/DB144/'02. Tỷ giá'!K$5," -")</f>
        <v xml:space="preserve"> -</v>
      </c>
      <c r="CO144" s="95" t="str">
        <f>IFERROR(SUMIFS('01. KE30'!$R:$R,'01. KE30'!$C:$C,'06. BC BH THEO CUSTOMER-USD'!$D144,'01. KE30'!$F:$F,'06. BC BH THEO CUSTOMER-USD'!$H144,'01. KE30'!$A:$A,'06. BC BH THEO CUSTOMER-USD'!CO$4)/DC144/'02. Tỷ giá'!L$5," -")</f>
        <v xml:space="preserve"> -</v>
      </c>
      <c r="CP144" s="95" t="str">
        <f>IFERROR(SUMIFS('01. KE30'!$R:$R,'01. KE30'!$C:$C,'06. BC BH THEO CUSTOMER-USD'!$D144,'01. KE30'!$F:$F,'06. BC BH THEO CUSTOMER-USD'!$H144,'01. KE30'!$A:$A,'06. BC BH THEO CUSTOMER-USD'!CP$4)/DD144/'02. Tỷ giá'!M$5," -")</f>
        <v xml:space="preserve"> -</v>
      </c>
      <c r="CR144" s="112">
        <f t="shared" si="1249"/>
        <v>0</v>
      </c>
      <c r="CS144" s="114">
        <f>SUMIFS('01. KE30'!$I:$I,'01. KE30'!$C:$C,'06. BC BH THEO CUSTOMER-USD'!$D144,'01. KE30'!$F:$F,'06. BC BH THEO CUSTOMER-USD'!$H144,'01. KE30'!$A:$A,'06. BC BH THEO CUSTOMER-USD'!CS$4)/1000</f>
        <v>0</v>
      </c>
      <c r="CT144" s="114">
        <f>SUMIFS('01. KE30'!$I:$I,'01. KE30'!$C:$C,'06. BC BH THEO CUSTOMER-USD'!$D144,'01. KE30'!$F:$F,'06. BC BH THEO CUSTOMER-USD'!$H144,'01. KE30'!$A:$A,'06. BC BH THEO CUSTOMER-USD'!CT$4)/1000</f>
        <v>0</v>
      </c>
      <c r="CU144" s="114">
        <f>SUMIFS('01. KE30'!$I:$I,'01. KE30'!$C:$C,'06. BC BH THEO CUSTOMER-USD'!$D144,'01. KE30'!$F:$F,'06. BC BH THEO CUSTOMER-USD'!$H144,'01. KE30'!$A:$A,'06. BC BH THEO CUSTOMER-USD'!CU$4)/1000</f>
        <v>0</v>
      </c>
      <c r="CV144" s="114">
        <f>SUMIFS('01. KE30'!$I:$I,'01. KE30'!$C:$C,'06. BC BH THEO CUSTOMER-USD'!$D144,'01. KE30'!$F:$F,'06. BC BH THEO CUSTOMER-USD'!$H144,'01. KE30'!$A:$A,'06. BC BH THEO CUSTOMER-USD'!CV$4)/1000</f>
        <v>0</v>
      </c>
      <c r="CW144" s="114">
        <f>SUMIFS('01. KE30'!$I:$I,'01. KE30'!$C:$C,'06. BC BH THEO CUSTOMER-USD'!$D144,'01. KE30'!$F:$F,'06. BC BH THEO CUSTOMER-USD'!$H144,'01. KE30'!$A:$A,'06. BC BH THEO CUSTOMER-USD'!CW$4)/1000</f>
        <v>0</v>
      </c>
      <c r="CX144" s="114">
        <f>SUMIFS('01. KE30'!$I:$I,'01. KE30'!$C:$C,'06. BC BH THEO CUSTOMER-USD'!$D144,'01. KE30'!$F:$F,'06. BC BH THEO CUSTOMER-USD'!$H144,'01. KE30'!$A:$A,'06. BC BH THEO CUSTOMER-USD'!CX$4)/1000</f>
        <v>0</v>
      </c>
      <c r="CY144" s="114">
        <f>SUMIFS('01. KE30'!$I:$I,'01. KE30'!$C:$C,'06. BC BH THEO CUSTOMER-USD'!$D144,'01. KE30'!$F:$F,'06. BC BH THEO CUSTOMER-USD'!$H144,'01. KE30'!$A:$A,'06. BC BH THEO CUSTOMER-USD'!CY$4)/1000</f>
        <v>0</v>
      </c>
      <c r="CZ144" s="114">
        <f>SUMIFS('01. KE30'!$I:$I,'01. KE30'!$C:$C,'06. BC BH THEO CUSTOMER-USD'!$D144,'01. KE30'!$F:$F,'06. BC BH THEO CUSTOMER-USD'!$H144,'01. KE30'!$A:$A,'06. BC BH THEO CUSTOMER-USD'!CZ$4)/1000</f>
        <v>0</v>
      </c>
      <c r="DA144" s="114">
        <f>SUMIFS('01. KE30'!$I:$I,'01. KE30'!$C:$C,'06. BC BH THEO CUSTOMER-USD'!$D144,'01. KE30'!$F:$F,'06. BC BH THEO CUSTOMER-USD'!$H144,'01. KE30'!$A:$A,'06. BC BH THEO CUSTOMER-USD'!DA$4)/1000</f>
        <v>0</v>
      </c>
      <c r="DB144" s="114">
        <f>SUMIFS('01. KE30'!$I:$I,'01. KE30'!$C:$C,'06. BC BH THEO CUSTOMER-USD'!$D144,'01. KE30'!$F:$F,'06. BC BH THEO CUSTOMER-USD'!$H144,'01. KE30'!$A:$A,'06. BC BH THEO CUSTOMER-USD'!DB$4)/1000</f>
        <v>0</v>
      </c>
      <c r="DC144" s="114">
        <f>SUMIFS('01. KE30'!$I:$I,'01. KE30'!$C:$C,'06. BC BH THEO CUSTOMER-USD'!$D144,'01. KE30'!$F:$F,'06. BC BH THEO CUSTOMER-USD'!$H144,'01. KE30'!$A:$A,'06. BC BH THEO CUSTOMER-USD'!DC$4)/1000</f>
        <v>0</v>
      </c>
      <c r="DD144" s="114">
        <f>SUMIFS('01. KE30'!$I:$I,'01. KE30'!$C:$C,'06. BC BH THEO CUSTOMER-USD'!$D144,'01. KE30'!$F:$F,'06. BC BH THEO CUSTOMER-USD'!$H144,'01. KE30'!$A:$A,'06. BC BH THEO CUSTOMER-USD'!DD$4)/1000</f>
        <v>0</v>
      </c>
      <c r="DF144" s="112">
        <f t="shared" si="1250"/>
        <v>0</v>
      </c>
      <c r="DG144" s="54" t="str">
        <f t="shared" si="1251"/>
        <v>-</v>
      </c>
      <c r="DH144" s="54" t="str">
        <f t="shared" si="1252"/>
        <v>-</v>
      </c>
      <c r="DI144" s="54" t="str">
        <f t="shared" si="1253"/>
        <v>-</v>
      </c>
      <c r="DJ144" s="54" t="str">
        <f t="shared" si="1254"/>
        <v>-</v>
      </c>
      <c r="DK144" s="54" t="str">
        <f t="shared" si="1255"/>
        <v>-</v>
      </c>
      <c r="DL144" s="54" t="str">
        <f t="shared" si="1256"/>
        <v>-</v>
      </c>
      <c r="DM144" s="54" t="str">
        <f t="shared" si="1257"/>
        <v>-</v>
      </c>
      <c r="DN144" s="54" t="str">
        <f t="shared" si="1258"/>
        <v>-</v>
      </c>
      <c r="DO144" s="54" t="str">
        <f t="shared" si="1259"/>
        <v>-</v>
      </c>
      <c r="DP144" s="54" t="str">
        <f t="shared" si="1260"/>
        <v>-</v>
      </c>
      <c r="DQ144" s="54" t="str">
        <f t="shared" si="1261"/>
        <v>-</v>
      </c>
      <c r="DR144" s="54" t="str">
        <f t="shared" si="1262"/>
        <v>-</v>
      </c>
      <c r="DT144" s="112">
        <f t="shared" si="652"/>
        <v>0</v>
      </c>
      <c r="DU144" s="114">
        <f>IFERROR(SUMIFS('01. KE30'!$X:$X,'01. KE30'!$C:$C,'06. BC BH THEO CUSTOMER-USD'!$D144,'01. KE30'!$F:$F,'06. BC BH THEO CUSTOMER-USD'!$H144,'01. KE30'!$A:$A,'06. BC BH THEO CUSTOMER-USD'!DU$4)-SUMIFS('01. KE30'!$AA:$AA,'01. KE30'!$C:$C,'06. BC BH THEO CUSTOMER-USD'!$D144,'01. KE30'!$F:$F,'06. BC BH THEO CUSTOMER-USD'!$H144,'01. KE30'!$A:$A,'06. BC BH THEO CUSTOMER-USD'!DU$4),"-")</f>
        <v>0</v>
      </c>
      <c r="DV144" s="114">
        <f>IFERROR(SUMIFS('01. KE30'!$X:$X,'01. KE30'!$C:$C,'06. BC BH THEO CUSTOMER-USD'!$D144,'01. KE30'!$F:$F,'06. BC BH THEO CUSTOMER-USD'!$H144,'01. KE30'!$A:$A,'06. BC BH THEO CUSTOMER-USD'!DV$4)-SUMIFS('01. KE30'!$AA:$AA,'01. KE30'!$C:$C,'06. BC BH THEO CUSTOMER-USD'!$D144,'01. KE30'!$F:$F,'06. BC BH THEO CUSTOMER-USD'!$H144,'01. KE30'!$A:$A,'06. BC BH THEO CUSTOMER-USD'!DV$4),"-")</f>
        <v>0</v>
      </c>
      <c r="DW144" s="114">
        <f>IFERROR(SUMIFS('01. KE30'!$X:$X,'01. KE30'!$C:$C,'06. BC BH THEO CUSTOMER-USD'!$D144,'01. KE30'!$F:$F,'06. BC BH THEO CUSTOMER-USD'!$H144,'01. KE30'!$A:$A,'06. BC BH THEO CUSTOMER-USD'!DW$4)-SUMIFS('01. KE30'!$AA:$AA,'01. KE30'!$C:$C,'06. BC BH THEO CUSTOMER-USD'!$D144,'01. KE30'!$F:$F,'06. BC BH THEO CUSTOMER-USD'!$H144,'01. KE30'!$A:$A,'06. BC BH THEO CUSTOMER-USD'!DW$4),"-")</f>
        <v>0</v>
      </c>
      <c r="DX144" s="114">
        <f>IFERROR(SUMIFS('01. KE30'!$X:$X,'01. KE30'!$C:$C,'06. BC BH THEO CUSTOMER-USD'!$D144,'01. KE30'!$F:$F,'06. BC BH THEO CUSTOMER-USD'!$H144,'01. KE30'!$A:$A,'06. BC BH THEO CUSTOMER-USD'!DX$4)-SUMIFS('01. KE30'!$AA:$AA,'01. KE30'!$C:$C,'06. BC BH THEO CUSTOMER-USD'!$D144,'01. KE30'!$F:$F,'06. BC BH THEO CUSTOMER-USD'!$H144,'01. KE30'!$A:$A,'06. BC BH THEO CUSTOMER-USD'!DX$4),"-")</f>
        <v>0</v>
      </c>
      <c r="DY144" s="114">
        <f>IFERROR(SUMIFS('01. KE30'!$X:$X,'01. KE30'!$C:$C,'06. BC BH THEO CUSTOMER-USD'!$D144,'01. KE30'!$F:$F,'06. BC BH THEO CUSTOMER-USD'!$H144,'01. KE30'!$A:$A,'06. BC BH THEO CUSTOMER-USD'!DY$4)-SUMIFS('01. KE30'!$AA:$AA,'01. KE30'!$C:$C,'06. BC BH THEO CUSTOMER-USD'!$D144,'01. KE30'!$F:$F,'06. BC BH THEO CUSTOMER-USD'!$H144,'01. KE30'!$A:$A,'06. BC BH THEO CUSTOMER-USD'!DY$4),"-")</f>
        <v>0</v>
      </c>
      <c r="DZ144" s="114">
        <f>IFERROR(SUMIFS('01. KE30'!$X:$X,'01. KE30'!$C:$C,'06. BC BH THEO CUSTOMER-USD'!$D144,'01. KE30'!$F:$F,'06. BC BH THEO CUSTOMER-USD'!$H144,'01. KE30'!$A:$A,'06. BC BH THEO CUSTOMER-USD'!DZ$4)-SUMIFS('01. KE30'!$AA:$AA,'01. KE30'!$C:$C,'06. BC BH THEO CUSTOMER-USD'!$D144,'01. KE30'!$F:$F,'06. BC BH THEO CUSTOMER-USD'!$H144,'01. KE30'!$A:$A,'06. BC BH THEO CUSTOMER-USD'!DZ$4),"-")</f>
        <v>0</v>
      </c>
      <c r="EA144" s="114">
        <f>IFERROR(SUMIFS('01. KE30'!$X:$X,'01. KE30'!$C:$C,'06. BC BH THEO CUSTOMER-USD'!$D144,'01. KE30'!$F:$F,'06. BC BH THEO CUSTOMER-USD'!$H144,'01. KE30'!$A:$A,'06. BC BH THEO CUSTOMER-USD'!EA$4)-SUMIFS('01. KE30'!$AA:$AA,'01. KE30'!$C:$C,'06. BC BH THEO CUSTOMER-USD'!$D144,'01. KE30'!$F:$F,'06. BC BH THEO CUSTOMER-USD'!$H144,'01. KE30'!$A:$A,'06. BC BH THEO CUSTOMER-USD'!EA$4),"-")</f>
        <v>0</v>
      </c>
      <c r="EB144" s="114">
        <f>IFERROR(SUMIFS('01. KE30'!$X:$X,'01. KE30'!$C:$C,'06. BC BH THEO CUSTOMER-USD'!$D144,'01. KE30'!$F:$F,'06. BC BH THEO CUSTOMER-USD'!$H144,'01. KE30'!$A:$A,'06. BC BH THEO CUSTOMER-USD'!EB$4)-SUMIFS('01. KE30'!$AA:$AA,'01. KE30'!$C:$C,'06. BC BH THEO CUSTOMER-USD'!$D144,'01. KE30'!$F:$F,'06. BC BH THEO CUSTOMER-USD'!$H144,'01. KE30'!$A:$A,'06. BC BH THEO CUSTOMER-USD'!EB$4),"-")</f>
        <v>0</v>
      </c>
      <c r="EC144" s="114">
        <f>IFERROR(SUMIFS('01. KE30'!$X:$X,'01. KE30'!$C:$C,'06. BC BH THEO CUSTOMER-USD'!$D144,'01. KE30'!$F:$F,'06. BC BH THEO CUSTOMER-USD'!$H144,'01. KE30'!$A:$A,'06. BC BH THEO CUSTOMER-USD'!EC$4)-SUMIFS('01. KE30'!$AA:$AA,'01. KE30'!$C:$C,'06. BC BH THEO CUSTOMER-USD'!$D144,'01. KE30'!$F:$F,'06. BC BH THEO CUSTOMER-USD'!$H144,'01. KE30'!$A:$A,'06. BC BH THEO CUSTOMER-USD'!EC$4),"-")</f>
        <v>0</v>
      </c>
      <c r="ED144" s="114">
        <f>IFERROR(SUMIFS('01. KE30'!$X:$X,'01. KE30'!$C:$C,'06. BC BH THEO CUSTOMER-USD'!$D144,'01. KE30'!$F:$F,'06. BC BH THEO CUSTOMER-USD'!$H144,'01. KE30'!$A:$A,'06. BC BH THEO CUSTOMER-USD'!ED$4)-SUMIFS('01. KE30'!$AA:$AA,'01. KE30'!$C:$C,'06. BC BH THEO CUSTOMER-USD'!$D144,'01. KE30'!$F:$F,'06. BC BH THEO CUSTOMER-USD'!$H144,'01. KE30'!$A:$A,'06. BC BH THEO CUSTOMER-USD'!ED$4),"-")</f>
        <v>0</v>
      </c>
      <c r="EE144" s="114">
        <f>IFERROR(SUMIFS('01. KE30'!$X:$X,'01. KE30'!$C:$C,'06. BC BH THEO CUSTOMER-USD'!$D144,'01. KE30'!$F:$F,'06. BC BH THEO CUSTOMER-USD'!$H144,'01. KE30'!$A:$A,'06. BC BH THEO CUSTOMER-USD'!EE$4)-SUMIFS('01. KE30'!$AA:$AA,'01. KE30'!$C:$C,'06. BC BH THEO CUSTOMER-USD'!$D144,'01. KE30'!$F:$F,'06. BC BH THEO CUSTOMER-USD'!$H144,'01. KE30'!$A:$A,'06. BC BH THEO CUSTOMER-USD'!EE$4),"-")</f>
        <v>0</v>
      </c>
      <c r="EF144" s="114">
        <f>IFERROR(SUMIFS('01. KE30'!$X:$X,'01. KE30'!$C:$C,'06. BC BH THEO CUSTOMER-USD'!$D144,'01. KE30'!$F:$F,'06. BC BH THEO CUSTOMER-USD'!$H144,'01. KE30'!$A:$A,'06. BC BH THEO CUSTOMER-USD'!EF$4)-SUMIFS('01. KE30'!$AA:$AA,'01. KE30'!$C:$C,'06. BC BH THEO CUSTOMER-USD'!$D144,'01. KE30'!$F:$F,'06. BC BH THEO CUSTOMER-USD'!$H144,'01. KE30'!$A:$A,'06. BC BH THEO CUSTOMER-USD'!EF$4),"-")</f>
        <v>0</v>
      </c>
      <c r="EH144" s="571" t="str">
        <f t="shared" si="531"/>
        <v>-</v>
      </c>
      <c r="EI144" s="572" t="str">
        <f t="shared" si="532"/>
        <v>-</v>
      </c>
      <c r="EJ144" s="572" t="str">
        <f t="shared" si="533"/>
        <v>-</v>
      </c>
      <c r="EK144" s="572" t="str">
        <f t="shared" si="534"/>
        <v>-</v>
      </c>
      <c r="EL144" s="572" t="str">
        <f t="shared" si="535"/>
        <v>-</v>
      </c>
      <c r="EM144" s="572" t="str">
        <f t="shared" si="536"/>
        <v>-</v>
      </c>
      <c r="EN144" s="572" t="str">
        <f t="shared" si="537"/>
        <v>-</v>
      </c>
      <c r="EO144" s="572" t="str">
        <f t="shared" si="538"/>
        <v>-</v>
      </c>
      <c r="EP144" s="572" t="str">
        <f t="shared" si="539"/>
        <v>-</v>
      </c>
      <c r="EQ144" s="572" t="str">
        <f t="shared" si="540"/>
        <v>-</v>
      </c>
      <c r="ER144" s="572" t="str">
        <f t="shared" si="541"/>
        <v>-</v>
      </c>
      <c r="ES144" s="572" t="str">
        <f t="shared" si="542"/>
        <v>-</v>
      </c>
      <c r="ET144" s="572" t="str">
        <f t="shared" si="543"/>
        <v>-</v>
      </c>
    </row>
    <row r="145" spans="1:150" ht="15.5" hidden="1" outlineLevel="1" x14ac:dyDescent="0.35">
      <c r="A145" s="10">
        <f t="shared" si="1266"/>
        <v>17</v>
      </c>
      <c r="B145" s="10" t="s">
        <v>265</v>
      </c>
      <c r="C145" s="442" t="s">
        <v>489</v>
      </c>
      <c r="D145" s="9" t="s">
        <v>58</v>
      </c>
      <c r="E145" s="12" t="s">
        <v>57</v>
      </c>
      <c r="F145" s="12" t="s">
        <v>245</v>
      </c>
      <c r="G145" s="12" t="str">
        <f>_xlfn.XLOOKUP(F145,'Quy đổi'!$G$5:$G$32,'Quy đổi'!$H$5:$H$32,0)</f>
        <v>Nội địa</v>
      </c>
      <c r="H145" s="76" t="s">
        <v>56</v>
      </c>
      <c r="I145" s="7" t="s">
        <v>55</v>
      </c>
      <c r="J145" s="69" t="s">
        <v>22</v>
      </c>
      <c r="K145" s="11"/>
      <c r="L145" s="92" t="str">
        <f t="shared" si="1263"/>
        <v>-</v>
      </c>
      <c r="M145" s="106" t="str">
        <f>IFERROR(SUMIFS('01. KE30'!$K:$K,'01. KE30'!$C:$C,'06. BC BH THEO CUSTOMER-USD'!$D145,'01. KE30'!$F:$F,'06. BC BH THEO CUSTOMER-USD'!$H145,'01. KE30'!$A:$A,'06. BC BH THEO CUSTOMER-USD'!M$4)/'06. BC BH THEO CUSTOMER-USD'!CS145/'02. Tỷ giá'!B$5,"-")</f>
        <v>-</v>
      </c>
      <c r="N145" s="106" t="str">
        <f>IFERROR(SUMIFS('01. KE30'!$K:$K,'01. KE30'!$C:$C,'06. BC BH THEO CUSTOMER-USD'!$D145,'01. KE30'!$F:$F,'06. BC BH THEO CUSTOMER-USD'!$H145,'01. KE30'!$A:$A,'06. BC BH THEO CUSTOMER-USD'!N$4)/'06. BC BH THEO CUSTOMER-USD'!CT145/'02. Tỷ giá'!C$5,"-")</f>
        <v>-</v>
      </c>
      <c r="O145" s="106" t="str">
        <f>IFERROR(SUMIFS('01. KE30'!$K:$K,'01. KE30'!$C:$C,'06. BC BH THEO CUSTOMER-USD'!$D145,'01. KE30'!$F:$F,'06. BC BH THEO CUSTOMER-USD'!$H145,'01. KE30'!$A:$A,'06. BC BH THEO CUSTOMER-USD'!O$4)/'06. BC BH THEO CUSTOMER-USD'!CU145/'02. Tỷ giá'!D$5,"-")</f>
        <v>-</v>
      </c>
      <c r="P145" s="106" t="str">
        <f>IFERROR(SUMIFS('01. KE30'!$K:$K,'01. KE30'!$C:$C,'06. BC BH THEO CUSTOMER-USD'!$D145,'01. KE30'!$F:$F,'06. BC BH THEO CUSTOMER-USD'!$H145,'01. KE30'!$A:$A,'06. BC BH THEO CUSTOMER-USD'!P$4)/'06. BC BH THEO CUSTOMER-USD'!CV145/'02. Tỷ giá'!E$5,"-")</f>
        <v>-</v>
      </c>
      <c r="Q145" s="106" t="str">
        <f>IFERROR(SUMIFS('01. KE30'!$K:$K,'01. KE30'!$C:$C,'06. BC BH THEO CUSTOMER-USD'!$D145,'01. KE30'!$F:$F,'06. BC BH THEO CUSTOMER-USD'!$H145,'01. KE30'!$A:$A,'06. BC BH THEO CUSTOMER-USD'!Q$4)/'06. BC BH THEO CUSTOMER-USD'!CW145/'02. Tỷ giá'!F$5,"-")</f>
        <v>-</v>
      </c>
      <c r="R145" s="106" t="str">
        <f>IFERROR(SUMIFS('01. KE30'!$K:$K,'01. KE30'!$C:$C,'06. BC BH THEO CUSTOMER-USD'!$D145,'01. KE30'!$F:$F,'06. BC BH THEO CUSTOMER-USD'!$H145,'01. KE30'!$A:$A,'06. BC BH THEO CUSTOMER-USD'!R$4)/'06. BC BH THEO CUSTOMER-USD'!CX145/'02. Tỷ giá'!G$5,"-")</f>
        <v>-</v>
      </c>
      <c r="S145" s="106" t="str">
        <f>IFERROR(SUMIFS('01. KE30'!$K:$K,'01. KE30'!$C:$C,'06. BC BH THEO CUSTOMER-USD'!$D145,'01. KE30'!$F:$F,'06. BC BH THEO CUSTOMER-USD'!$H145,'01. KE30'!$A:$A,'06. BC BH THEO CUSTOMER-USD'!S$4)/'06. BC BH THEO CUSTOMER-USD'!CY145/'02. Tỷ giá'!H$5,"-")</f>
        <v>-</v>
      </c>
      <c r="T145" s="106" t="str">
        <f>IFERROR(SUMIFS('01. KE30'!$K:$K,'01. KE30'!$C:$C,'06. BC BH THEO CUSTOMER-USD'!$D145,'01. KE30'!$F:$F,'06. BC BH THEO CUSTOMER-USD'!$H145,'01. KE30'!$A:$A,'06. BC BH THEO CUSTOMER-USD'!T$4)/'06. BC BH THEO CUSTOMER-USD'!CZ145/'02. Tỷ giá'!I$5,"-")</f>
        <v>-</v>
      </c>
      <c r="U145" s="106" t="str">
        <f>IFERROR(SUMIFS('01. KE30'!$K:$K,'01. KE30'!$C:$C,'06. BC BH THEO CUSTOMER-USD'!$D145,'01. KE30'!$F:$F,'06. BC BH THEO CUSTOMER-USD'!$H145,'01. KE30'!$A:$A,'06. BC BH THEO CUSTOMER-USD'!U$4)/'06. BC BH THEO CUSTOMER-USD'!DA145/'02. Tỷ giá'!J$5,"-")</f>
        <v>-</v>
      </c>
      <c r="V145" s="106" t="str">
        <f>IFERROR(SUMIFS('01. KE30'!$K:$K,'01. KE30'!$C:$C,'06. BC BH THEO CUSTOMER-USD'!$D145,'01. KE30'!$F:$F,'06. BC BH THEO CUSTOMER-USD'!$H145,'01. KE30'!$A:$A,'06. BC BH THEO CUSTOMER-USD'!V$4)/'06. BC BH THEO CUSTOMER-USD'!DB145/'02. Tỷ giá'!K$5,"-")</f>
        <v>-</v>
      </c>
      <c r="W145" s="106" t="str">
        <f>IFERROR(SUMIFS('01. KE30'!$K:$K,'01. KE30'!$C:$C,'06. BC BH THEO CUSTOMER-USD'!$D145,'01. KE30'!$F:$F,'06. BC BH THEO CUSTOMER-USD'!$H145,'01. KE30'!$A:$A,'06. BC BH THEO CUSTOMER-USD'!W$4)/'06. BC BH THEO CUSTOMER-USD'!DC145/'02. Tỷ giá'!L$5,"-")</f>
        <v>-</v>
      </c>
      <c r="X145" s="106" t="str">
        <f>IFERROR(SUMIFS('01. KE30'!$K:$K,'01. KE30'!$C:$C,'06. BC BH THEO CUSTOMER-USD'!$D145,'01. KE30'!$F:$F,'06. BC BH THEO CUSTOMER-USD'!$H145,'01. KE30'!$A:$A,'06. BC BH THEO CUSTOMER-USD'!X$4)/'06. BC BH THEO CUSTOMER-USD'!DD145/'02. Tỷ giá'!M$5,"-")</f>
        <v>-</v>
      </c>
      <c r="Z145" s="92" t="str">
        <f t="shared" si="1264"/>
        <v>-</v>
      </c>
      <c r="AA145" s="147" t="str">
        <f>IFERROR(SUMIFS('01. KE30'!$O:$O,'01. KE30'!$C:$C,'06. BC BH THEO CUSTOMER-USD'!$D145,'01. KE30'!$F:$F,'06. BC BH THEO CUSTOMER-USD'!$H145,'01. KE30'!$A:$A,'06. BC BH THEO CUSTOMER-USD'!M$4)/'06. BC BH THEO CUSTOMER-USD'!CS145/'02. Tỷ giá'!B$5,"-")</f>
        <v>-</v>
      </c>
      <c r="AB145" s="147" t="str">
        <f>IFERROR(SUMIFS('01. KE30'!$O:$O,'01. KE30'!$C:$C,'06. BC BH THEO CUSTOMER-USD'!$D145,'01. KE30'!$F:$F,'06. BC BH THEO CUSTOMER-USD'!$H145,'01. KE30'!$A:$A,'06. BC BH THEO CUSTOMER-USD'!N$4)/'06. BC BH THEO CUSTOMER-USD'!CT145/'02. Tỷ giá'!C$5,"-")</f>
        <v>-</v>
      </c>
      <c r="AC145" s="147" t="str">
        <f>IFERROR(SUMIFS('01. KE30'!$O:$O,'01. KE30'!$C:$C,'06. BC BH THEO CUSTOMER-USD'!$D145,'01. KE30'!$F:$F,'06. BC BH THEO CUSTOMER-USD'!$H145,'01. KE30'!$A:$A,'06. BC BH THEO CUSTOMER-USD'!O$4)/'06. BC BH THEO CUSTOMER-USD'!CU145/'02. Tỷ giá'!D$5,"-")</f>
        <v>-</v>
      </c>
      <c r="AD145" s="147" t="str">
        <f>IFERROR(SUMIFS('01. KE30'!$O:$O,'01. KE30'!$C:$C,'06. BC BH THEO CUSTOMER-USD'!$D145,'01. KE30'!$F:$F,'06. BC BH THEO CUSTOMER-USD'!$H145,'01. KE30'!$A:$A,'06. BC BH THEO CUSTOMER-USD'!P$4)/'06. BC BH THEO CUSTOMER-USD'!CV145/'02. Tỷ giá'!E$5,"-")</f>
        <v>-</v>
      </c>
      <c r="AE145" s="147" t="str">
        <f>IFERROR(SUMIFS('01. KE30'!$O:$O,'01. KE30'!$C:$C,'06. BC BH THEO CUSTOMER-USD'!$D145,'01. KE30'!$F:$F,'06. BC BH THEO CUSTOMER-USD'!$H145,'01. KE30'!$A:$A,'06. BC BH THEO CUSTOMER-USD'!Q$4)/'06. BC BH THEO CUSTOMER-USD'!CW145/'02. Tỷ giá'!F$5,"-")</f>
        <v>-</v>
      </c>
      <c r="AF145" s="147" t="str">
        <f>IFERROR(SUMIFS('01. KE30'!$O:$O,'01. KE30'!$C:$C,'06. BC BH THEO CUSTOMER-USD'!$D145,'01. KE30'!$F:$F,'06. BC BH THEO CUSTOMER-USD'!$H145,'01. KE30'!$A:$A,'06. BC BH THEO CUSTOMER-USD'!R$4)/'06. BC BH THEO CUSTOMER-USD'!CX145/'02. Tỷ giá'!G$5,"-")</f>
        <v>-</v>
      </c>
      <c r="AG145" s="147" t="str">
        <f>IFERROR(SUMIFS('01. KE30'!$O:$O,'01. KE30'!$C:$C,'06. BC BH THEO CUSTOMER-USD'!$D145,'01. KE30'!$F:$F,'06. BC BH THEO CUSTOMER-USD'!$H145,'01. KE30'!$A:$A,'06. BC BH THEO CUSTOMER-USD'!S$4)/'06. BC BH THEO CUSTOMER-USD'!CY145/'02. Tỷ giá'!H$5,"-")</f>
        <v>-</v>
      </c>
      <c r="AH145" s="147" t="str">
        <f>IFERROR(SUMIFS('01. KE30'!$O:$O,'01. KE30'!$C:$C,'06. BC BH THEO CUSTOMER-USD'!$D145,'01. KE30'!$F:$F,'06. BC BH THEO CUSTOMER-USD'!$H145,'01. KE30'!$A:$A,'06. BC BH THEO CUSTOMER-USD'!T$4)/'06. BC BH THEO CUSTOMER-USD'!CZ145/'02. Tỷ giá'!I$5,"-")</f>
        <v>-</v>
      </c>
      <c r="AI145" s="147" t="str">
        <f>IFERROR(SUMIFS('01. KE30'!$O:$O,'01. KE30'!$C:$C,'06. BC BH THEO CUSTOMER-USD'!$D145,'01. KE30'!$F:$F,'06. BC BH THEO CUSTOMER-USD'!$H145,'01. KE30'!$A:$A,'06. BC BH THEO CUSTOMER-USD'!U$4)/'06. BC BH THEO CUSTOMER-USD'!DA145/'02. Tỷ giá'!J$5,"-")</f>
        <v>-</v>
      </c>
      <c r="AJ145" s="147" t="str">
        <f>IFERROR(SUMIFS('01. KE30'!$O:$O,'01. KE30'!$C:$C,'06. BC BH THEO CUSTOMER-USD'!$D145,'01. KE30'!$F:$F,'06. BC BH THEO CUSTOMER-USD'!$H145,'01. KE30'!$A:$A,'06. BC BH THEO CUSTOMER-USD'!V$4)/'06. BC BH THEO CUSTOMER-USD'!DB145/'02. Tỷ giá'!K$5,"-")</f>
        <v>-</v>
      </c>
      <c r="AK145" s="147" t="str">
        <f>IFERROR(SUMIFS('01. KE30'!$O:$O,'01. KE30'!$C:$C,'06. BC BH THEO CUSTOMER-USD'!$D145,'01. KE30'!$F:$F,'06. BC BH THEO CUSTOMER-USD'!$H145,'01. KE30'!$A:$A,'06. BC BH THEO CUSTOMER-USD'!W$4)/'06. BC BH THEO CUSTOMER-USD'!DC145/'02. Tỷ giá'!L$5,"-")</f>
        <v>-</v>
      </c>
      <c r="AL145" s="147" t="str">
        <f>IFERROR(SUMIFS('01. KE30'!$O:$O,'01. KE30'!$C:$C,'06. BC BH THEO CUSTOMER-USD'!$D145,'01. KE30'!$F:$F,'06. BC BH THEO CUSTOMER-USD'!$H145,'01. KE30'!$A:$A,'06. BC BH THEO CUSTOMER-USD'!X$4)/'06. BC BH THEO CUSTOMER-USD'!DD145/'02. Tỷ giá'!M$5,"-")</f>
        <v>-</v>
      </c>
      <c r="AN145" s="55">
        <f t="shared" si="1265"/>
        <v>1260</v>
      </c>
      <c r="AO145" s="4">
        <v>1350</v>
      </c>
      <c r="AP145" s="4">
        <v>1300</v>
      </c>
      <c r="AQ145" s="4">
        <f t="shared" si="1267"/>
        <v>1250</v>
      </c>
      <c r="AR145" s="4">
        <v>1250</v>
      </c>
      <c r="AS145" s="4">
        <v>1250</v>
      </c>
      <c r="AT145" s="4">
        <v>1250</v>
      </c>
      <c r="AU145" s="4">
        <v>1250</v>
      </c>
      <c r="AV145" s="4">
        <f t="shared" si="1272"/>
        <v>1230</v>
      </c>
      <c r="AW145" s="4">
        <v>1210</v>
      </c>
      <c r="AX145" s="4"/>
      <c r="AY145" s="4"/>
      <c r="AZ145" s="4"/>
      <c r="BB145" s="54" t="str">
        <f t="shared" si="637"/>
        <v>-</v>
      </c>
      <c r="BC145" s="95" t="str">
        <f t="shared" si="1333"/>
        <v>-</v>
      </c>
      <c r="BD145" s="95" t="str">
        <f t="shared" si="1330"/>
        <v>-</v>
      </c>
      <c r="BE145" s="95" t="str">
        <f t="shared" si="1330"/>
        <v>-</v>
      </c>
      <c r="BF145" s="95" t="str">
        <f t="shared" si="1330"/>
        <v>-</v>
      </c>
      <c r="BG145" s="95" t="str">
        <f t="shared" si="1330"/>
        <v>-</v>
      </c>
      <c r="BH145" s="95" t="str">
        <f t="shared" si="1330"/>
        <v>-</v>
      </c>
      <c r="BI145" s="95" t="str">
        <f t="shared" si="1330"/>
        <v>-</v>
      </c>
      <c r="BJ145" s="95" t="str">
        <f t="shared" si="1330"/>
        <v>-</v>
      </c>
      <c r="BK145" s="95" t="str">
        <f t="shared" si="1330"/>
        <v>-</v>
      </c>
      <c r="BL145" s="95" t="str">
        <f t="shared" si="1330"/>
        <v>-</v>
      </c>
      <c r="BM145" s="95" t="str">
        <f t="shared" si="1330"/>
        <v>-</v>
      </c>
      <c r="BN145" s="95" t="str">
        <f t="shared" si="1330"/>
        <v>-</v>
      </c>
      <c r="BP145" s="143" t="str">
        <f t="shared" si="639"/>
        <v>-</v>
      </c>
      <c r="BQ145" s="143" t="str">
        <f t="shared" si="1331"/>
        <v>-</v>
      </c>
      <c r="BR145" s="143" t="str">
        <f t="shared" si="518"/>
        <v>-</v>
      </c>
      <c r="BS145" s="143" t="str">
        <f t="shared" si="519"/>
        <v>-</v>
      </c>
      <c r="BT145" s="143" t="str">
        <f t="shared" si="520"/>
        <v>-</v>
      </c>
      <c r="BU145" s="143" t="str">
        <f t="shared" si="521"/>
        <v>-</v>
      </c>
      <c r="BV145" s="143" t="str">
        <f t="shared" si="522"/>
        <v>-</v>
      </c>
      <c r="BW145" s="143" t="str">
        <f t="shared" si="523"/>
        <v>-</v>
      </c>
      <c r="BX145" s="143" t="str">
        <f t="shared" si="524"/>
        <v>-</v>
      </c>
      <c r="BY145" s="143" t="str">
        <f t="shared" si="525"/>
        <v>-</v>
      </c>
      <c r="BZ145" s="143" t="str">
        <f t="shared" si="526"/>
        <v>-</v>
      </c>
      <c r="CA145" s="143" t="str">
        <f t="shared" si="527"/>
        <v>-</v>
      </c>
      <c r="CB145" s="143" t="str">
        <f t="shared" si="528"/>
        <v>-</v>
      </c>
      <c r="CD145" s="112" t="str">
        <f t="shared" si="1248"/>
        <v>-</v>
      </c>
      <c r="CE145" s="95" t="str">
        <f>IFERROR(SUMIFS('01. KE30'!$R:$R,'01. KE30'!$C:$C,'06. BC BH THEO CUSTOMER-USD'!$D145,'01. KE30'!$F:$F,'06. BC BH THEO CUSTOMER-USD'!$H145,'01. KE30'!$A:$A,'06. BC BH THEO CUSTOMER-USD'!CE$4)/CS145/'02. Tỷ giá'!B$5," -")</f>
        <v xml:space="preserve"> -</v>
      </c>
      <c r="CF145" s="95" t="str">
        <f>IFERROR(SUMIFS('01. KE30'!$R:$R,'01. KE30'!$C:$C,'06. BC BH THEO CUSTOMER-USD'!$D145,'01. KE30'!$F:$F,'06. BC BH THEO CUSTOMER-USD'!$H145,'01. KE30'!$A:$A,'06. BC BH THEO CUSTOMER-USD'!CF$4)/CT145/'02. Tỷ giá'!C$5," -")</f>
        <v xml:space="preserve"> -</v>
      </c>
      <c r="CG145" s="95" t="str">
        <f>IFERROR(SUMIFS('01. KE30'!$R:$R,'01. KE30'!$C:$C,'06. BC BH THEO CUSTOMER-USD'!$D145,'01. KE30'!$F:$F,'06. BC BH THEO CUSTOMER-USD'!$H145,'01. KE30'!$A:$A,'06. BC BH THEO CUSTOMER-USD'!CG$4)/CU145/'02. Tỷ giá'!D$5," -")</f>
        <v xml:space="preserve"> -</v>
      </c>
      <c r="CH145" s="95" t="str">
        <f>IFERROR(SUMIFS('01. KE30'!$R:$R,'01. KE30'!$C:$C,'06. BC BH THEO CUSTOMER-USD'!$D145,'01. KE30'!$F:$F,'06. BC BH THEO CUSTOMER-USD'!$H145,'01. KE30'!$A:$A,'06. BC BH THEO CUSTOMER-USD'!CH$4)/CV145/'02. Tỷ giá'!E$5," -")</f>
        <v xml:space="preserve"> -</v>
      </c>
      <c r="CI145" s="95" t="str">
        <f>IFERROR(SUMIFS('01. KE30'!$R:$R,'01. KE30'!$C:$C,'06. BC BH THEO CUSTOMER-USD'!$D145,'01. KE30'!$F:$F,'06. BC BH THEO CUSTOMER-USD'!$H145,'01. KE30'!$A:$A,'06. BC BH THEO CUSTOMER-USD'!CI$4)/CW145/'02. Tỷ giá'!F$5," -")</f>
        <v xml:space="preserve"> -</v>
      </c>
      <c r="CJ145" s="95" t="str">
        <f>IFERROR(SUMIFS('01. KE30'!$R:$R,'01. KE30'!$C:$C,'06. BC BH THEO CUSTOMER-USD'!$D145,'01. KE30'!$F:$F,'06. BC BH THEO CUSTOMER-USD'!$H145,'01. KE30'!$A:$A,'06. BC BH THEO CUSTOMER-USD'!CJ$4)/CX145/'02. Tỷ giá'!G$5," -")</f>
        <v xml:space="preserve"> -</v>
      </c>
      <c r="CK145" s="95" t="str">
        <f>IFERROR(SUMIFS('01. KE30'!$R:$R,'01. KE30'!$C:$C,'06. BC BH THEO CUSTOMER-USD'!$D145,'01. KE30'!$F:$F,'06. BC BH THEO CUSTOMER-USD'!$H145,'01. KE30'!$A:$A,'06. BC BH THEO CUSTOMER-USD'!CK$4)/CY145/'02. Tỷ giá'!H$5," -")</f>
        <v xml:space="preserve"> -</v>
      </c>
      <c r="CL145" s="95" t="str">
        <f>IFERROR(SUMIFS('01. KE30'!$R:$R,'01. KE30'!$C:$C,'06. BC BH THEO CUSTOMER-USD'!$D145,'01. KE30'!$F:$F,'06. BC BH THEO CUSTOMER-USD'!$H145,'01. KE30'!$A:$A,'06. BC BH THEO CUSTOMER-USD'!CL$4)/CZ145/'02. Tỷ giá'!I$5," -")</f>
        <v xml:space="preserve"> -</v>
      </c>
      <c r="CM145" s="95" t="str">
        <f>IFERROR(SUMIFS('01. KE30'!$R:$R,'01. KE30'!$C:$C,'06. BC BH THEO CUSTOMER-USD'!$D145,'01. KE30'!$F:$F,'06. BC BH THEO CUSTOMER-USD'!$H145,'01. KE30'!$A:$A,'06. BC BH THEO CUSTOMER-USD'!CM$4)/DA145/'02. Tỷ giá'!J$5," -")</f>
        <v xml:space="preserve"> -</v>
      </c>
      <c r="CN145" s="95" t="str">
        <f>IFERROR(SUMIFS('01. KE30'!$R:$R,'01. KE30'!$C:$C,'06. BC BH THEO CUSTOMER-USD'!$D145,'01. KE30'!$F:$F,'06. BC BH THEO CUSTOMER-USD'!$H145,'01. KE30'!$A:$A,'06. BC BH THEO CUSTOMER-USD'!CN$4)/DB145/'02. Tỷ giá'!K$5," -")</f>
        <v xml:space="preserve"> -</v>
      </c>
      <c r="CO145" s="95" t="str">
        <f>IFERROR(SUMIFS('01. KE30'!$R:$R,'01. KE30'!$C:$C,'06. BC BH THEO CUSTOMER-USD'!$D145,'01. KE30'!$F:$F,'06. BC BH THEO CUSTOMER-USD'!$H145,'01. KE30'!$A:$A,'06. BC BH THEO CUSTOMER-USD'!CO$4)/DC145/'02. Tỷ giá'!L$5," -")</f>
        <v xml:space="preserve"> -</v>
      </c>
      <c r="CP145" s="95" t="str">
        <f>IFERROR(SUMIFS('01. KE30'!$R:$R,'01. KE30'!$C:$C,'06. BC BH THEO CUSTOMER-USD'!$D145,'01. KE30'!$F:$F,'06. BC BH THEO CUSTOMER-USD'!$H145,'01. KE30'!$A:$A,'06. BC BH THEO CUSTOMER-USD'!CP$4)/DD145/'02. Tỷ giá'!M$5," -")</f>
        <v xml:space="preserve"> -</v>
      </c>
      <c r="CR145" s="112">
        <f t="shared" si="1249"/>
        <v>0</v>
      </c>
      <c r="CS145" s="114">
        <f>SUMIFS('01. KE30'!$I:$I,'01. KE30'!$C:$C,'06. BC BH THEO CUSTOMER-USD'!$D145,'01. KE30'!$F:$F,'06. BC BH THEO CUSTOMER-USD'!$H145,'01. KE30'!$A:$A,'06. BC BH THEO CUSTOMER-USD'!CS$4)/1000</f>
        <v>0</v>
      </c>
      <c r="CT145" s="114">
        <f>SUMIFS('01. KE30'!$I:$I,'01. KE30'!$C:$C,'06. BC BH THEO CUSTOMER-USD'!$D145,'01. KE30'!$F:$F,'06. BC BH THEO CUSTOMER-USD'!$H145,'01. KE30'!$A:$A,'06. BC BH THEO CUSTOMER-USD'!CT$4)/1000</f>
        <v>0</v>
      </c>
      <c r="CU145" s="114">
        <f>SUMIFS('01. KE30'!$I:$I,'01. KE30'!$C:$C,'06. BC BH THEO CUSTOMER-USD'!$D145,'01. KE30'!$F:$F,'06. BC BH THEO CUSTOMER-USD'!$H145,'01. KE30'!$A:$A,'06. BC BH THEO CUSTOMER-USD'!CU$4)/1000</f>
        <v>0</v>
      </c>
      <c r="CV145" s="114">
        <f>SUMIFS('01. KE30'!$I:$I,'01. KE30'!$C:$C,'06. BC BH THEO CUSTOMER-USD'!$D145,'01. KE30'!$F:$F,'06. BC BH THEO CUSTOMER-USD'!$H145,'01. KE30'!$A:$A,'06. BC BH THEO CUSTOMER-USD'!CV$4)/1000</f>
        <v>0</v>
      </c>
      <c r="CW145" s="114">
        <f>SUMIFS('01. KE30'!$I:$I,'01. KE30'!$C:$C,'06. BC BH THEO CUSTOMER-USD'!$D145,'01. KE30'!$F:$F,'06. BC BH THEO CUSTOMER-USD'!$H145,'01. KE30'!$A:$A,'06. BC BH THEO CUSTOMER-USD'!CW$4)/1000</f>
        <v>0</v>
      </c>
      <c r="CX145" s="114">
        <f>SUMIFS('01. KE30'!$I:$I,'01. KE30'!$C:$C,'06. BC BH THEO CUSTOMER-USD'!$D145,'01. KE30'!$F:$F,'06. BC BH THEO CUSTOMER-USD'!$H145,'01. KE30'!$A:$A,'06. BC BH THEO CUSTOMER-USD'!CX$4)/1000</f>
        <v>0</v>
      </c>
      <c r="CY145" s="114">
        <f>SUMIFS('01. KE30'!$I:$I,'01. KE30'!$C:$C,'06. BC BH THEO CUSTOMER-USD'!$D145,'01. KE30'!$F:$F,'06. BC BH THEO CUSTOMER-USD'!$H145,'01. KE30'!$A:$A,'06. BC BH THEO CUSTOMER-USD'!CY$4)/1000</f>
        <v>0</v>
      </c>
      <c r="CZ145" s="114">
        <f>SUMIFS('01. KE30'!$I:$I,'01. KE30'!$C:$C,'06. BC BH THEO CUSTOMER-USD'!$D145,'01. KE30'!$F:$F,'06. BC BH THEO CUSTOMER-USD'!$H145,'01. KE30'!$A:$A,'06. BC BH THEO CUSTOMER-USD'!CZ$4)/1000</f>
        <v>0</v>
      </c>
      <c r="DA145" s="114">
        <f>SUMIFS('01. KE30'!$I:$I,'01. KE30'!$C:$C,'06. BC BH THEO CUSTOMER-USD'!$D145,'01. KE30'!$F:$F,'06. BC BH THEO CUSTOMER-USD'!$H145,'01. KE30'!$A:$A,'06. BC BH THEO CUSTOMER-USD'!DA$4)/1000</f>
        <v>0</v>
      </c>
      <c r="DB145" s="114">
        <f>SUMIFS('01. KE30'!$I:$I,'01. KE30'!$C:$C,'06. BC BH THEO CUSTOMER-USD'!$D145,'01. KE30'!$F:$F,'06. BC BH THEO CUSTOMER-USD'!$H145,'01. KE30'!$A:$A,'06. BC BH THEO CUSTOMER-USD'!DB$4)/1000</f>
        <v>0</v>
      </c>
      <c r="DC145" s="114">
        <f>SUMIFS('01. KE30'!$I:$I,'01. KE30'!$C:$C,'06. BC BH THEO CUSTOMER-USD'!$D145,'01. KE30'!$F:$F,'06. BC BH THEO CUSTOMER-USD'!$H145,'01. KE30'!$A:$A,'06. BC BH THEO CUSTOMER-USD'!DC$4)/1000</f>
        <v>0</v>
      </c>
      <c r="DD145" s="114">
        <f>SUMIFS('01. KE30'!$I:$I,'01. KE30'!$C:$C,'06. BC BH THEO CUSTOMER-USD'!$D145,'01. KE30'!$F:$F,'06. BC BH THEO CUSTOMER-USD'!$H145,'01. KE30'!$A:$A,'06. BC BH THEO CUSTOMER-USD'!DD$4)/1000</f>
        <v>0</v>
      </c>
      <c r="DF145" s="112">
        <f t="shared" si="1250"/>
        <v>0</v>
      </c>
      <c r="DG145" s="54" t="str">
        <f t="shared" si="1251"/>
        <v>-</v>
      </c>
      <c r="DH145" s="54" t="str">
        <f t="shared" si="1252"/>
        <v>-</v>
      </c>
      <c r="DI145" s="54" t="str">
        <f t="shared" si="1253"/>
        <v>-</v>
      </c>
      <c r="DJ145" s="54" t="str">
        <f t="shared" si="1254"/>
        <v>-</v>
      </c>
      <c r="DK145" s="54" t="str">
        <f t="shared" si="1255"/>
        <v>-</v>
      </c>
      <c r="DL145" s="54" t="str">
        <f t="shared" si="1256"/>
        <v>-</v>
      </c>
      <c r="DM145" s="54" t="str">
        <f t="shared" si="1257"/>
        <v>-</v>
      </c>
      <c r="DN145" s="54" t="str">
        <f t="shared" si="1258"/>
        <v>-</v>
      </c>
      <c r="DO145" s="54" t="str">
        <f t="shared" si="1259"/>
        <v>-</v>
      </c>
      <c r="DP145" s="54" t="str">
        <f t="shared" si="1260"/>
        <v>-</v>
      </c>
      <c r="DQ145" s="54" t="str">
        <f t="shared" si="1261"/>
        <v>-</v>
      </c>
      <c r="DR145" s="54" t="str">
        <f t="shared" si="1262"/>
        <v>-</v>
      </c>
      <c r="DT145" s="112">
        <f t="shared" si="652"/>
        <v>0</v>
      </c>
      <c r="DU145" s="114">
        <f>IFERROR(SUMIFS('01. KE30'!$X:$X,'01. KE30'!$C:$C,'06. BC BH THEO CUSTOMER-USD'!$D145,'01. KE30'!$F:$F,'06. BC BH THEO CUSTOMER-USD'!$H145,'01. KE30'!$A:$A,'06. BC BH THEO CUSTOMER-USD'!DU$4)-SUMIFS('01. KE30'!$AA:$AA,'01. KE30'!$C:$C,'06. BC BH THEO CUSTOMER-USD'!$D145,'01. KE30'!$F:$F,'06. BC BH THEO CUSTOMER-USD'!$H145,'01. KE30'!$A:$A,'06. BC BH THEO CUSTOMER-USD'!DU$4),"-")</f>
        <v>0</v>
      </c>
      <c r="DV145" s="114">
        <f>IFERROR(SUMIFS('01. KE30'!$X:$X,'01. KE30'!$C:$C,'06. BC BH THEO CUSTOMER-USD'!$D145,'01. KE30'!$F:$F,'06. BC BH THEO CUSTOMER-USD'!$H145,'01. KE30'!$A:$A,'06. BC BH THEO CUSTOMER-USD'!DV$4)-SUMIFS('01. KE30'!$AA:$AA,'01. KE30'!$C:$C,'06. BC BH THEO CUSTOMER-USD'!$D145,'01. KE30'!$F:$F,'06. BC BH THEO CUSTOMER-USD'!$H145,'01. KE30'!$A:$A,'06. BC BH THEO CUSTOMER-USD'!DV$4),"-")</f>
        <v>0</v>
      </c>
      <c r="DW145" s="114">
        <f>IFERROR(SUMIFS('01. KE30'!$X:$X,'01. KE30'!$C:$C,'06. BC BH THEO CUSTOMER-USD'!$D145,'01. KE30'!$F:$F,'06. BC BH THEO CUSTOMER-USD'!$H145,'01. KE30'!$A:$A,'06. BC BH THEO CUSTOMER-USD'!DW$4)-SUMIFS('01. KE30'!$AA:$AA,'01. KE30'!$C:$C,'06. BC BH THEO CUSTOMER-USD'!$D145,'01. KE30'!$F:$F,'06. BC BH THEO CUSTOMER-USD'!$H145,'01. KE30'!$A:$A,'06. BC BH THEO CUSTOMER-USD'!DW$4),"-")</f>
        <v>0</v>
      </c>
      <c r="DX145" s="114">
        <f>IFERROR(SUMIFS('01. KE30'!$X:$X,'01. KE30'!$C:$C,'06. BC BH THEO CUSTOMER-USD'!$D145,'01. KE30'!$F:$F,'06. BC BH THEO CUSTOMER-USD'!$H145,'01. KE30'!$A:$A,'06. BC BH THEO CUSTOMER-USD'!DX$4)-SUMIFS('01. KE30'!$AA:$AA,'01. KE30'!$C:$C,'06. BC BH THEO CUSTOMER-USD'!$D145,'01. KE30'!$F:$F,'06. BC BH THEO CUSTOMER-USD'!$H145,'01. KE30'!$A:$A,'06. BC BH THEO CUSTOMER-USD'!DX$4),"-")</f>
        <v>0</v>
      </c>
      <c r="DY145" s="114">
        <f>IFERROR(SUMIFS('01. KE30'!$X:$X,'01. KE30'!$C:$C,'06. BC BH THEO CUSTOMER-USD'!$D145,'01. KE30'!$F:$F,'06. BC BH THEO CUSTOMER-USD'!$H145,'01. KE30'!$A:$A,'06. BC BH THEO CUSTOMER-USD'!DY$4)-SUMIFS('01. KE30'!$AA:$AA,'01. KE30'!$C:$C,'06. BC BH THEO CUSTOMER-USD'!$D145,'01. KE30'!$F:$F,'06. BC BH THEO CUSTOMER-USD'!$H145,'01. KE30'!$A:$A,'06. BC BH THEO CUSTOMER-USD'!DY$4),"-")</f>
        <v>0</v>
      </c>
      <c r="DZ145" s="114">
        <f>IFERROR(SUMIFS('01. KE30'!$X:$X,'01. KE30'!$C:$C,'06. BC BH THEO CUSTOMER-USD'!$D145,'01. KE30'!$F:$F,'06. BC BH THEO CUSTOMER-USD'!$H145,'01. KE30'!$A:$A,'06. BC BH THEO CUSTOMER-USD'!DZ$4)-SUMIFS('01. KE30'!$AA:$AA,'01. KE30'!$C:$C,'06. BC BH THEO CUSTOMER-USD'!$D145,'01. KE30'!$F:$F,'06. BC BH THEO CUSTOMER-USD'!$H145,'01. KE30'!$A:$A,'06. BC BH THEO CUSTOMER-USD'!DZ$4),"-")</f>
        <v>0</v>
      </c>
      <c r="EA145" s="114">
        <f>IFERROR(SUMIFS('01. KE30'!$X:$X,'01. KE30'!$C:$C,'06. BC BH THEO CUSTOMER-USD'!$D145,'01. KE30'!$F:$F,'06. BC BH THEO CUSTOMER-USD'!$H145,'01. KE30'!$A:$A,'06. BC BH THEO CUSTOMER-USD'!EA$4)-SUMIFS('01. KE30'!$AA:$AA,'01. KE30'!$C:$C,'06. BC BH THEO CUSTOMER-USD'!$D145,'01. KE30'!$F:$F,'06. BC BH THEO CUSTOMER-USD'!$H145,'01. KE30'!$A:$A,'06. BC BH THEO CUSTOMER-USD'!EA$4),"-")</f>
        <v>0</v>
      </c>
      <c r="EB145" s="114">
        <f>IFERROR(SUMIFS('01. KE30'!$X:$X,'01. KE30'!$C:$C,'06. BC BH THEO CUSTOMER-USD'!$D145,'01. KE30'!$F:$F,'06. BC BH THEO CUSTOMER-USD'!$H145,'01. KE30'!$A:$A,'06. BC BH THEO CUSTOMER-USD'!EB$4)-SUMIFS('01. KE30'!$AA:$AA,'01. KE30'!$C:$C,'06. BC BH THEO CUSTOMER-USD'!$D145,'01. KE30'!$F:$F,'06. BC BH THEO CUSTOMER-USD'!$H145,'01. KE30'!$A:$A,'06. BC BH THEO CUSTOMER-USD'!EB$4),"-")</f>
        <v>0</v>
      </c>
      <c r="EC145" s="114">
        <f>IFERROR(SUMIFS('01. KE30'!$X:$X,'01. KE30'!$C:$C,'06. BC BH THEO CUSTOMER-USD'!$D145,'01. KE30'!$F:$F,'06. BC BH THEO CUSTOMER-USD'!$H145,'01. KE30'!$A:$A,'06. BC BH THEO CUSTOMER-USD'!EC$4)-SUMIFS('01. KE30'!$AA:$AA,'01. KE30'!$C:$C,'06. BC BH THEO CUSTOMER-USD'!$D145,'01. KE30'!$F:$F,'06. BC BH THEO CUSTOMER-USD'!$H145,'01. KE30'!$A:$A,'06. BC BH THEO CUSTOMER-USD'!EC$4),"-")</f>
        <v>0</v>
      </c>
      <c r="ED145" s="114">
        <f>IFERROR(SUMIFS('01. KE30'!$X:$X,'01. KE30'!$C:$C,'06. BC BH THEO CUSTOMER-USD'!$D145,'01. KE30'!$F:$F,'06. BC BH THEO CUSTOMER-USD'!$H145,'01. KE30'!$A:$A,'06. BC BH THEO CUSTOMER-USD'!ED$4)-SUMIFS('01. KE30'!$AA:$AA,'01. KE30'!$C:$C,'06. BC BH THEO CUSTOMER-USD'!$D145,'01. KE30'!$F:$F,'06. BC BH THEO CUSTOMER-USD'!$H145,'01. KE30'!$A:$A,'06. BC BH THEO CUSTOMER-USD'!ED$4),"-")</f>
        <v>0</v>
      </c>
      <c r="EE145" s="114">
        <f>IFERROR(SUMIFS('01. KE30'!$X:$X,'01. KE30'!$C:$C,'06. BC BH THEO CUSTOMER-USD'!$D145,'01. KE30'!$F:$F,'06. BC BH THEO CUSTOMER-USD'!$H145,'01. KE30'!$A:$A,'06. BC BH THEO CUSTOMER-USD'!EE$4)-SUMIFS('01. KE30'!$AA:$AA,'01. KE30'!$C:$C,'06. BC BH THEO CUSTOMER-USD'!$D145,'01. KE30'!$F:$F,'06. BC BH THEO CUSTOMER-USD'!$H145,'01. KE30'!$A:$A,'06. BC BH THEO CUSTOMER-USD'!EE$4),"-")</f>
        <v>0</v>
      </c>
      <c r="EF145" s="114">
        <f>IFERROR(SUMIFS('01. KE30'!$X:$X,'01. KE30'!$C:$C,'06. BC BH THEO CUSTOMER-USD'!$D145,'01. KE30'!$F:$F,'06. BC BH THEO CUSTOMER-USD'!$H145,'01. KE30'!$A:$A,'06. BC BH THEO CUSTOMER-USD'!EF$4)-SUMIFS('01. KE30'!$AA:$AA,'01. KE30'!$C:$C,'06. BC BH THEO CUSTOMER-USD'!$D145,'01. KE30'!$F:$F,'06. BC BH THEO CUSTOMER-USD'!$H145,'01. KE30'!$A:$A,'06. BC BH THEO CUSTOMER-USD'!EF$4),"-")</f>
        <v>0</v>
      </c>
      <c r="EH145" s="571" t="str">
        <f t="shared" si="531"/>
        <v>-</v>
      </c>
      <c r="EI145" s="572" t="str">
        <f t="shared" si="532"/>
        <v>-</v>
      </c>
      <c r="EJ145" s="572" t="str">
        <f t="shared" si="533"/>
        <v>-</v>
      </c>
      <c r="EK145" s="572" t="str">
        <f t="shared" si="534"/>
        <v>-</v>
      </c>
      <c r="EL145" s="572" t="str">
        <f t="shared" si="535"/>
        <v>-</v>
      </c>
      <c r="EM145" s="572" t="str">
        <f t="shared" si="536"/>
        <v>-</v>
      </c>
      <c r="EN145" s="572" t="str">
        <f t="shared" si="537"/>
        <v>-</v>
      </c>
      <c r="EO145" s="572" t="str">
        <f t="shared" si="538"/>
        <v>-</v>
      </c>
      <c r="EP145" s="572" t="str">
        <f t="shared" si="539"/>
        <v>-</v>
      </c>
      <c r="EQ145" s="572" t="str">
        <f t="shared" si="540"/>
        <v>-</v>
      </c>
      <c r="ER145" s="572" t="str">
        <f t="shared" si="541"/>
        <v>-</v>
      </c>
      <c r="ES145" s="572" t="str">
        <f t="shared" si="542"/>
        <v>-</v>
      </c>
      <c r="ET145" s="572" t="str">
        <f t="shared" si="543"/>
        <v>-</v>
      </c>
    </row>
    <row r="146" spans="1:150" ht="15.5" hidden="1" outlineLevel="1" x14ac:dyDescent="0.35">
      <c r="A146" s="10">
        <f t="shared" si="1266"/>
        <v>18</v>
      </c>
      <c r="B146" s="10" t="s">
        <v>265</v>
      </c>
      <c r="C146" s="442" t="s">
        <v>489</v>
      </c>
      <c r="D146" s="9" t="s">
        <v>54</v>
      </c>
      <c r="E146" s="12" t="s">
        <v>53</v>
      </c>
      <c r="F146" s="12" t="s">
        <v>245</v>
      </c>
      <c r="G146" s="12" t="str">
        <f>_xlfn.XLOOKUP(F146,'Quy đổi'!$G$5:$G$32,'Quy đổi'!$H$5:$H$32,0)</f>
        <v>Nội địa</v>
      </c>
      <c r="H146" s="76" t="s">
        <v>52</v>
      </c>
      <c r="I146" s="7" t="s">
        <v>51</v>
      </c>
      <c r="J146" s="69" t="s">
        <v>22</v>
      </c>
      <c r="K146" s="11"/>
      <c r="L146" s="92">
        <f t="shared" si="1263"/>
        <v>665.66524003694087</v>
      </c>
      <c r="M146" s="106" t="str">
        <f>IFERROR(SUMIFS('01. KE30'!$K:$K,'01. KE30'!$C:$C,'06. BC BH THEO CUSTOMER-USD'!$D146,'01. KE30'!$F:$F,'06. BC BH THEO CUSTOMER-USD'!$H146,'01. KE30'!$A:$A,'06. BC BH THEO CUSTOMER-USD'!M$4)/'06. BC BH THEO CUSTOMER-USD'!CS146/'02. Tỷ giá'!B$5,"-")</f>
        <v>-</v>
      </c>
      <c r="N146" s="106">
        <f>IFERROR(SUMIFS('01. KE30'!$K:$K,'01. KE30'!$C:$C,'06. BC BH THEO CUSTOMER-USD'!$D146,'01. KE30'!$F:$F,'06. BC BH THEO CUSTOMER-USD'!$H146,'01. KE30'!$A:$A,'06. BC BH THEO CUSTOMER-USD'!N$4)/'06. BC BH THEO CUSTOMER-USD'!CT146/'02. Tỷ giá'!C$5,"-")</f>
        <v>669.55494289090188</v>
      </c>
      <c r="O146" s="106">
        <f>IFERROR(SUMIFS('01. KE30'!$K:$K,'01. KE30'!$C:$C,'06. BC BH THEO CUSTOMER-USD'!$D146,'01. KE30'!$F:$F,'06. BC BH THEO CUSTOMER-USD'!$H146,'01. KE30'!$A:$A,'06. BC BH THEO CUSTOMER-USD'!O$4)/'06. BC BH THEO CUSTOMER-USD'!CU146/'02. Tỷ giá'!D$5,"-")</f>
        <v>669.29133858267721</v>
      </c>
      <c r="P146" s="106">
        <f>IFERROR(SUMIFS('01. KE30'!$K:$K,'01. KE30'!$C:$C,'06. BC BH THEO CUSTOMER-USD'!$D146,'01. KE30'!$F:$F,'06. BC BH THEO CUSTOMER-USD'!$H146,'01. KE30'!$A:$A,'06. BC BH THEO CUSTOMER-USD'!P$4)/'06. BC BH THEO CUSTOMER-USD'!CV146/'02. Tỷ giá'!E$5,"-")</f>
        <v>658.14943863724352</v>
      </c>
      <c r="Q146" s="106" t="str">
        <f>IFERROR(SUMIFS('01. KE30'!$K:$K,'01. KE30'!$C:$C,'06. BC BH THEO CUSTOMER-USD'!$D146,'01. KE30'!$F:$F,'06. BC BH THEO CUSTOMER-USD'!$H146,'01. KE30'!$A:$A,'06. BC BH THEO CUSTOMER-USD'!Q$4)/'06. BC BH THEO CUSTOMER-USD'!CW146/'02. Tỷ giá'!F$5,"-")</f>
        <v>-</v>
      </c>
      <c r="R146" s="106" t="str">
        <f>IFERROR(SUMIFS('01. KE30'!$K:$K,'01. KE30'!$C:$C,'06. BC BH THEO CUSTOMER-USD'!$D146,'01. KE30'!$F:$F,'06. BC BH THEO CUSTOMER-USD'!$H146,'01. KE30'!$A:$A,'06. BC BH THEO CUSTOMER-USD'!R$4)/'06. BC BH THEO CUSTOMER-USD'!CX146/'02. Tỷ giá'!G$5,"-")</f>
        <v>-</v>
      </c>
      <c r="S146" s="106" t="str">
        <f>IFERROR(SUMIFS('01. KE30'!$K:$K,'01. KE30'!$C:$C,'06. BC BH THEO CUSTOMER-USD'!$D146,'01. KE30'!$F:$F,'06. BC BH THEO CUSTOMER-USD'!$H146,'01. KE30'!$A:$A,'06. BC BH THEO CUSTOMER-USD'!S$4)/'06. BC BH THEO CUSTOMER-USD'!CY146/'02. Tỷ giá'!H$5,"-")</f>
        <v>-</v>
      </c>
      <c r="T146" s="106" t="str">
        <f>IFERROR(SUMIFS('01. KE30'!$K:$K,'01. KE30'!$C:$C,'06. BC BH THEO CUSTOMER-USD'!$D146,'01. KE30'!$F:$F,'06. BC BH THEO CUSTOMER-USD'!$H146,'01. KE30'!$A:$A,'06. BC BH THEO CUSTOMER-USD'!T$4)/'06. BC BH THEO CUSTOMER-USD'!CZ146/'02. Tỷ giá'!I$5,"-")</f>
        <v>-</v>
      </c>
      <c r="U146" s="106" t="str">
        <f>IFERROR(SUMIFS('01. KE30'!$K:$K,'01. KE30'!$C:$C,'06. BC BH THEO CUSTOMER-USD'!$D146,'01. KE30'!$F:$F,'06. BC BH THEO CUSTOMER-USD'!$H146,'01. KE30'!$A:$A,'06. BC BH THEO CUSTOMER-USD'!U$4)/'06. BC BH THEO CUSTOMER-USD'!DA146/'02. Tỷ giá'!J$5,"-")</f>
        <v>-</v>
      </c>
      <c r="V146" s="106" t="str">
        <f>IFERROR(SUMIFS('01. KE30'!$K:$K,'01. KE30'!$C:$C,'06. BC BH THEO CUSTOMER-USD'!$D146,'01. KE30'!$F:$F,'06. BC BH THEO CUSTOMER-USD'!$H146,'01. KE30'!$A:$A,'06. BC BH THEO CUSTOMER-USD'!V$4)/'06. BC BH THEO CUSTOMER-USD'!DB146/'02. Tỷ giá'!K$5,"-")</f>
        <v>-</v>
      </c>
      <c r="W146" s="106" t="str">
        <f>IFERROR(SUMIFS('01. KE30'!$K:$K,'01. KE30'!$C:$C,'06. BC BH THEO CUSTOMER-USD'!$D146,'01. KE30'!$F:$F,'06. BC BH THEO CUSTOMER-USD'!$H146,'01. KE30'!$A:$A,'06. BC BH THEO CUSTOMER-USD'!W$4)/'06. BC BH THEO CUSTOMER-USD'!DC146/'02. Tỷ giá'!L$5,"-")</f>
        <v>-</v>
      </c>
      <c r="X146" s="106" t="str">
        <f>IFERROR(SUMIFS('01. KE30'!$K:$K,'01. KE30'!$C:$C,'06. BC BH THEO CUSTOMER-USD'!$D146,'01. KE30'!$F:$F,'06. BC BH THEO CUSTOMER-USD'!$H146,'01. KE30'!$A:$A,'06. BC BH THEO CUSTOMER-USD'!X$4)/'06. BC BH THEO CUSTOMER-USD'!DD146/'02. Tỷ giá'!M$5,"-")</f>
        <v>-</v>
      </c>
      <c r="Z146" s="92">
        <f t="shared" si="1264"/>
        <v>665.66524003694087</v>
      </c>
      <c r="AA146" s="147" t="str">
        <f>IFERROR(SUMIFS('01. KE30'!$O:$O,'01. KE30'!$C:$C,'06. BC BH THEO CUSTOMER-USD'!$D146,'01. KE30'!$F:$F,'06. BC BH THEO CUSTOMER-USD'!$H146,'01. KE30'!$A:$A,'06. BC BH THEO CUSTOMER-USD'!M$4)/'06. BC BH THEO CUSTOMER-USD'!CS146/'02. Tỷ giá'!B$5,"-")</f>
        <v>-</v>
      </c>
      <c r="AB146" s="147">
        <f>IFERROR(SUMIFS('01. KE30'!$O:$O,'01. KE30'!$C:$C,'06. BC BH THEO CUSTOMER-USD'!$D146,'01. KE30'!$F:$F,'06. BC BH THEO CUSTOMER-USD'!$H146,'01. KE30'!$A:$A,'06. BC BH THEO CUSTOMER-USD'!N$4)/'06. BC BH THEO CUSTOMER-USD'!CT146/'02. Tỷ giá'!C$5,"-")</f>
        <v>669.55494289090188</v>
      </c>
      <c r="AC146" s="147">
        <f>IFERROR(SUMIFS('01. KE30'!$O:$O,'01. KE30'!$C:$C,'06. BC BH THEO CUSTOMER-USD'!$D146,'01. KE30'!$F:$F,'06. BC BH THEO CUSTOMER-USD'!$H146,'01. KE30'!$A:$A,'06. BC BH THEO CUSTOMER-USD'!O$4)/'06. BC BH THEO CUSTOMER-USD'!CU146/'02. Tỷ giá'!D$5,"-")</f>
        <v>669.29133858267721</v>
      </c>
      <c r="AD146" s="147">
        <f>IFERROR(SUMIFS('01. KE30'!$O:$O,'01. KE30'!$C:$C,'06. BC BH THEO CUSTOMER-USD'!$D146,'01. KE30'!$F:$F,'06. BC BH THEO CUSTOMER-USD'!$H146,'01. KE30'!$A:$A,'06. BC BH THEO CUSTOMER-USD'!P$4)/'06. BC BH THEO CUSTOMER-USD'!CV146/'02. Tỷ giá'!E$5,"-")</f>
        <v>658.14943863724352</v>
      </c>
      <c r="AE146" s="147" t="str">
        <f>IFERROR(SUMIFS('01. KE30'!$O:$O,'01. KE30'!$C:$C,'06. BC BH THEO CUSTOMER-USD'!$D146,'01. KE30'!$F:$F,'06. BC BH THEO CUSTOMER-USD'!$H146,'01. KE30'!$A:$A,'06. BC BH THEO CUSTOMER-USD'!Q$4)/'06. BC BH THEO CUSTOMER-USD'!CW146/'02. Tỷ giá'!F$5,"-")</f>
        <v>-</v>
      </c>
      <c r="AF146" s="147" t="str">
        <f>IFERROR(SUMIFS('01. KE30'!$O:$O,'01. KE30'!$C:$C,'06. BC BH THEO CUSTOMER-USD'!$D146,'01. KE30'!$F:$F,'06. BC BH THEO CUSTOMER-USD'!$H146,'01. KE30'!$A:$A,'06. BC BH THEO CUSTOMER-USD'!R$4)/'06. BC BH THEO CUSTOMER-USD'!CX146/'02. Tỷ giá'!G$5,"-")</f>
        <v>-</v>
      </c>
      <c r="AG146" s="147" t="str">
        <f>IFERROR(SUMIFS('01. KE30'!$O:$O,'01. KE30'!$C:$C,'06. BC BH THEO CUSTOMER-USD'!$D146,'01. KE30'!$F:$F,'06. BC BH THEO CUSTOMER-USD'!$H146,'01. KE30'!$A:$A,'06. BC BH THEO CUSTOMER-USD'!S$4)/'06. BC BH THEO CUSTOMER-USD'!CY146/'02. Tỷ giá'!H$5,"-")</f>
        <v>-</v>
      </c>
      <c r="AH146" s="147" t="str">
        <f>IFERROR(SUMIFS('01. KE30'!$O:$O,'01. KE30'!$C:$C,'06. BC BH THEO CUSTOMER-USD'!$D146,'01. KE30'!$F:$F,'06. BC BH THEO CUSTOMER-USD'!$H146,'01. KE30'!$A:$A,'06. BC BH THEO CUSTOMER-USD'!T$4)/'06. BC BH THEO CUSTOMER-USD'!CZ146/'02. Tỷ giá'!I$5,"-")</f>
        <v>-</v>
      </c>
      <c r="AI146" s="147" t="str">
        <f>IFERROR(SUMIFS('01. KE30'!$O:$O,'01. KE30'!$C:$C,'06. BC BH THEO CUSTOMER-USD'!$D146,'01. KE30'!$F:$F,'06. BC BH THEO CUSTOMER-USD'!$H146,'01. KE30'!$A:$A,'06. BC BH THEO CUSTOMER-USD'!U$4)/'06. BC BH THEO CUSTOMER-USD'!DA146/'02. Tỷ giá'!J$5,"-")</f>
        <v>-</v>
      </c>
      <c r="AJ146" s="147" t="str">
        <f>IFERROR(SUMIFS('01. KE30'!$O:$O,'01. KE30'!$C:$C,'06. BC BH THEO CUSTOMER-USD'!$D146,'01. KE30'!$F:$F,'06. BC BH THEO CUSTOMER-USD'!$H146,'01. KE30'!$A:$A,'06. BC BH THEO CUSTOMER-USD'!V$4)/'06. BC BH THEO CUSTOMER-USD'!DB146/'02. Tỷ giá'!K$5,"-")</f>
        <v>-</v>
      </c>
      <c r="AK146" s="147" t="str">
        <f>IFERROR(SUMIFS('01. KE30'!$O:$O,'01. KE30'!$C:$C,'06. BC BH THEO CUSTOMER-USD'!$D146,'01. KE30'!$F:$F,'06. BC BH THEO CUSTOMER-USD'!$H146,'01. KE30'!$A:$A,'06. BC BH THEO CUSTOMER-USD'!W$4)/'06. BC BH THEO CUSTOMER-USD'!DC146/'02. Tỷ giá'!L$5,"-")</f>
        <v>-</v>
      </c>
      <c r="AL146" s="147" t="str">
        <f>IFERROR(SUMIFS('01. KE30'!$O:$O,'01. KE30'!$C:$C,'06. BC BH THEO CUSTOMER-USD'!$D146,'01. KE30'!$F:$F,'06. BC BH THEO CUSTOMER-USD'!$H146,'01. KE30'!$A:$A,'06. BC BH THEO CUSTOMER-USD'!X$4)/'06. BC BH THEO CUSTOMER-USD'!DD146/'02. Tỷ giá'!M$5,"-")</f>
        <v>-</v>
      </c>
      <c r="AN146" s="55">
        <f t="shared" si="1265"/>
        <v>943.33333333333337</v>
      </c>
      <c r="AO146" s="4">
        <v>950</v>
      </c>
      <c r="AP146" s="4">
        <v>950</v>
      </c>
      <c r="AQ146" s="4">
        <v>950</v>
      </c>
      <c r="AR146" s="4">
        <v>950</v>
      </c>
      <c r="AS146" s="4">
        <v>950</v>
      </c>
      <c r="AT146" s="4">
        <v>950</v>
      </c>
      <c r="AU146" s="4">
        <v>950</v>
      </c>
      <c r="AV146" s="4">
        <f t="shared" si="1272"/>
        <v>930</v>
      </c>
      <c r="AW146" s="4">
        <v>910</v>
      </c>
      <c r="AX146" s="4"/>
      <c r="AY146" s="4"/>
      <c r="AZ146" s="4"/>
      <c r="BB146" s="54">
        <f t="shared" si="637"/>
        <v>-277.6680932963925</v>
      </c>
      <c r="BC146" s="95" t="str">
        <f t="shared" si="1333"/>
        <v>-</v>
      </c>
      <c r="BD146" s="95">
        <f t="shared" si="1330"/>
        <v>-280.44505710909812</v>
      </c>
      <c r="BE146" s="95">
        <f t="shared" si="1330"/>
        <v>-280.70866141732279</v>
      </c>
      <c r="BF146" s="95">
        <f t="shared" si="1330"/>
        <v>-291.85056136275648</v>
      </c>
      <c r="BG146" s="95" t="str">
        <f t="shared" si="1330"/>
        <v>-</v>
      </c>
      <c r="BH146" s="95" t="str">
        <f t="shared" si="1330"/>
        <v>-</v>
      </c>
      <c r="BI146" s="95" t="str">
        <f t="shared" si="1330"/>
        <v>-</v>
      </c>
      <c r="BJ146" s="95" t="str">
        <f t="shared" si="1330"/>
        <v>-</v>
      </c>
      <c r="BK146" s="95" t="str">
        <f t="shared" si="1330"/>
        <v>-</v>
      </c>
      <c r="BL146" s="95" t="str">
        <f t="shared" si="1330"/>
        <v>-</v>
      </c>
      <c r="BM146" s="95" t="str">
        <f t="shared" si="1330"/>
        <v>-</v>
      </c>
      <c r="BN146" s="95" t="str">
        <f t="shared" si="1330"/>
        <v>-</v>
      </c>
      <c r="BP146" s="143">
        <f t="shared" si="639"/>
        <v>-0.29434780208098144</v>
      </c>
      <c r="BQ146" s="143" t="str">
        <f t="shared" si="1331"/>
        <v>-</v>
      </c>
      <c r="BR146" s="143">
        <f t="shared" si="518"/>
        <v>-0.29520532327273485</v>
      </c>
      <c r="BS146" s="143">
        <f t="shared" si="519"/>
        <v>-0.29548280149191875</v>
      </c>
      <c r="BT146" s="143">
        <f t="shared" si="520"/>
        <v>-0.30721111722395417</v>
      </c>
      <c r="BU146" s="143" t="str">
        <f t="shared" si="521"/>
        <v>-</v>
      </c>
      <c r="BV146" s="143" t="str">
        <f t="shared" si="522"/>
        <v>-</v>
      </c>
      <c r="BW146" s="143" t="str">
        <f t="shared" si="523"/>
        <v>-</v>
      </c>
      <c r="BX146" s="143" t="str">
        <f t="shared" si="524"/>
        <v>-</v>
      </c>
      <c r="BY146" s="143" t="str">
        <f t="shared" si="525"/>
        <v>-</v>
      </c>
      <c r="BZ146" s="143" t="str">
        <f t="shared" si="526"/>
        <v>-</v>
      </c>
      <c r="CA146" s="143" t="str">
        <f t="shared" si="527"/>
        <v>-</v>
      </c>
      <c r="CB146" s="143" t="str">
        <f t="shared" si="528"/>
        <v>-</v>
      </c>
      <c r="CD146" s="112">
        <f t="shared" si="1248"/>
        <v>906.49745059904933</v>
      </c>
      <c r="CE146" s="95" t="str">
        <f>IFERROR(SUMIFS('01. KE30'!$R:$R,'01. KE30'!$C:$C,'06. BC BH THEO CUSTOMER-USD'!$D146,'01. KE30'!$F:$F,'06. BC BH THEO CUSTOMER-USD'!$H146,'01. KE30'!$A:$A,'06. BC BH THEO CUSTOMER-USD'!CE$4)/CS146/'02. Tỷ giá'!B$5," -")</f>
        <v xml:space="preserve"> -</v>
      </c>
      <c r="CF146" s="95">
        <f>IFERROR(SUMIFS('01. KE30'!$R:$R,'01. KE30'!$C:$C,'06. BC BH THEO CUSTOMER-USD'!$D146,'01. KE30'!$F:$F,'06. BC BH THEO CUSTOMER-USD'!$H146,'01. KE30'!$A:$A,'06. BC BH THEO CUSTOMER-USD'!CF$4)/CT146/'02. Tỷ giá'!C$5," -")</f>
        <v>914.30952415052445</v>
      </c>
      <c r="CG146" s="95">
        <f>IFERROR(SUMIFS('01. KE30'!$R:$R,'01. KE30'!$C:$C,'06. BC BH THEO CUSTOMER-USD'!$D146,'01. KE30'!$F:$F,'06. BC BH THEO CUSTOMER-USD'!$H146,'01. KE30'!$A:$A,'06. BC BH THEO CUSTOMER-USD'!CG$4)/CU146/'02. Tỷ giá'!D$5," -")</f>
        <v>914.77604151753758</v>
      </c>
      <c r="CH146" s="95">
        <f>IFERROR(SUMIFS('01. KE30'!$R:$R,'01. KE30'!$C:$C,'06. BC BH THEO CUSTOMER-USD'!$D146,'01. KE30'!$F:$F,'06. BC BH THEO CUSTOMER-USD'!$H146,'01. KE30'!$A:$A,'06. BC BH THEO CUSTOMER-USD'!CH$4)/CV146/'02. Tỷ giá'!E$5," -")</f>
        <v>890.40678612908584</v>
      </c>
      <c r="CI146" s="95" t="str">
        <f>IFERROR(SUMIFS('01. KE30'!$R:$R,'01. KE30'!$C:$C,'06. BC BH THEO CUSTOMER-USD'!$D146,'01. KE30'!$F:$F,'06. BC BH THEO CUSTOMER-USD'!$H146,'01. KE30'!$A:$A,'06. BC BH THEO CUSTOMER-USD'!CI$4)/CW146/'02. Tỷ giá'!F$5," -")</f>
        <v xml:space="preserve"> -</v>
      </c>
      <c r="CJ146" s="95" t="str">
        <f>IFERROR(SUMIFS('01. KE30'!$R:$R,'01. KE30'!$C:$C,'06. BC BH THEO CUSTOMER-USD'!$D146,'01. KE30'!$F:$F,'06. BC BH THEO CUSTOMER-USD'!$H146,'01. KE30'!$A:$A,'06. BC BH THEO CUSTOMER-USD'!CJ$4)/CX146/'02. Tỷ giá'!G$5," -")</f>
        <v xml:space="preserve"> -</v>
      </c>
      <c r="CK146" s="95" t="str">
        <f>IFERROR(SUMIFS('01. KE30'!$R:$R,'01. KE30'!$C:$C,'06. BC BH THEO CUSTOMER-USD'!$D146,'01. KE30'!$F:$F,'06. BC BH THEO CUSTOMER-USD'!$H146,'01. KE30'!$A:$A,'06. BC BH THEO CUSTOMER-USD'!CK$4)/CY146/'02. Tỷ giá'!H$5," -")</f>
        <v xml:space="preserve"> -</v>
      </c>
      <c r="CL146" s="95" t="str">
        <f>IFERROR(SUMIFS('01. KE30'!$R:$R,'01. KE30'!$C:$C,'06. BC BH THEO CUSTOMER-USD'!$D146,'01. KE30'!$F:$F,'06. BC BH THEO CUSTOMER-USD'!$H146,'01. KE30'!$A:$A,'06. BC BH THEO CUSTOMER-USD'!CL$4)/CZ146/'02. Tỷ giá'!I$5," -")</f>
        <v xml:space="preserve"> -</v>
      </c>
      <c r="CM146" s="95" t="str">
        <f>IFERROR(SUMIFS('01. KE30'!$R:$R,'01. KE30'!$C:$C,'06. BC BH THEO CUSTOMER-USD'!$D146,'01. KE30'!$F:$F,'06. BC BH THEO CUSTOMER-USD'!$H146,'01. KE30'!$A:$A,'06. BC BH THEO CUSTOMER-USD'!CM$4)/DA146/'02. Tỷ giá'!J$5," -")</f>
        <v xml:space="preserve"> -</v>
      </c>
      <c r="CN146" s="95" t="str">
        <f>IFERROR(SUMIFS('01. KE30'!$R:$R,'01. KE30'!$C:$C,'06. BC BH THEO CUSTOMER-USD'!$D146,'01. KE30'!$F:$F,'06. BC BH THEO CUSTOMER-USD'!$H146,'01. KE30'!$A:$A,'06. BC BH THEO CUSTOMER-USD'!CN$4)/DB146/'02. Tỷ giá'!K$5," -")</f>
        <v xml:space="preserve"> -</v>
      </c>
      <c r="CO146" s="95" t="str">
        <f>IFERROR(SUMIFS('01. KE30'!$R:$R,'01. KE30'!$C:$C,'06. BC BH THEO CUSTOMER-USD'!$D146,'01. KE30'!$F:$F,'06. BC BH THEO CUSTOMER-USD'!$H146,'01. KE30'!$A:$A,'06. BC BH THEO CUSTOMER-USD'!CO$4)/DC146/'02. Tỷ giá'!L$5," -")</f>
        <v xml:space="preserve"> -</v>
      </c>
      <c r="CP146" s="95" t="str">
        <f>IFERROR(SUMIFS('01. KE30'!$R:$R,'01. KE30'!$C:$C,'06. BC BH THEO CUSTOMER-USD'!$D146,'01. KE30'!$F:$F,'06. BC BH THEO CUSTOMER-USD'!$H146,'01. KE30'!$A:$A,'06. BC BH THEO CUSTOMER-USD'!CP$4)/DD146/'02. Tỷ giá'!M$5," -")</f>
        <v xml:space="preserve"> -</v>
      </c>
      <c r="CR146" s="112">
        <f t="shared" si="1249"/>
        <v>50</v>
      </c>
      <c r="CS146" s="114">
        <f>SUMIFS('01. KE30'!$I:$I,'01. KE30'!$C:$C,'06. BC BH THEO CUSTOMER-USD'!$D146,'01. KE30'!$F:$F,'06. BC BH THEO CUSTOMER-USD'!$H146,'01. KE30'!$A:$A,'06. BC BH THEO CUSTOMER-USD'!CS$4)/1000</f>
        <v>0</v>
      </c>
      <c r="CT146" s="114">
        <f>SUMIFS('01. KE30'!$I:$I,'01. KE30'!$C:$C,'06. BC BH THEO CUSTOMER-USD'!$D146,'01. KE30'!$F:$F,'06. BC BH THEO CUSTOMER-USD'!$H146,'01. KE30'!$A:$A,'06. BC BH THEO CUSTOMER-USD'!CT$4)/1000</f>
        <v>11</v>
      </c>
      <c r="CU146" s="114">
        <f>SUMIFS('01. KE30'!$I:$I,'01. KE30'!$C:$C,'06. BC BH THEO CUSTOMER-USD'!$D146,'01. KE30'!$F:$F,'06. BC BH THEO CUSTOMER-USD'!$H146,'01. KE30'!$A:$A,'06. BC BH THEO CUSTOMER-USD'!CU$4)/1000</f>
        <v>11</v>
      </c>
      <c r="CV146" s="114">
        <f>SUMIFS('01. KE30'!$I:$I,'01. KE30'!$C:$C,'06. BC BH THEO CUSTOMER-USD'!$D146,'01. KE30'!$F:$F,'06. BC BH THEO CUSTOMER-USD'!$H146,'01. KE30'!$A:$A,'06. BC BH THEO CUSTOMER-USD'!CV$4)/1000</f>
        <v>28</v>
      </c>
      <c r="CW146" s="114">
        <f>SUMIFS('01. KE30'!$I:$I,'01. KE30'!$C:$C,'06. BC BH THEO CUSTOMER-USD'!$D146,'01. KE30'!$F:$F,'06. BC BH THEO CUSTOMER-USD'!$H146,'01. KE30'!$A:$A,'06. BC BH THEO CUSTOMER-USD'!CW$4)/1000</f>
        <v>0</v>
      </c>
      <c r="CX146" s="114">
        <f>SUMIFS('01. KE30'!$I:$I,'01. KE30'!$C:$C,'06. BC BH THEO CUSTOMER-USD'!$D146,'01. KE30'!$F:$F,'06. BC BH THEO CUSTOMER-USD'!$H146,'01. KE30'!$A:$A,'06. BC BH THEO CUSTOMER-USD'!CX$4)/1000</f>
        <v>0</v>
      </c>
      <c r="CY146" s="114">
        <f>SUMIFS('01. KE30'!$I:$I,'01. KE30'!$C:$C,'06. BC BH THEO CUSTOMER-USD'!$D146,'01. KE30'!$F:$F,'06. BC BH THEO CUSTOMER-USD'!$H146,'01. KE30'!$A:$A,'06. BC BH THEO CUSTOMER-USD'!CY$4)/1000</f>
        <v>0</v>
      </c>
      <c r="CZ146" s="114">
        <f>SUMIFS('01. KE30'!$I:$I,'01. KE30'!$C:$C,'06. BC BH THEO CUSTOMER-USD'!$D146,'01. KE30'!$F:$F,'06. BC BH THEO CUSTOMER-USD'!$H146,'01. KE30'!$A:$A,'06. BC BH THEO CUSTOMER-USD'!CZ$4)/1000</f>
        <v>0</v>
      </c>
      <c r="DA146" s="114">
        <f>SUMIFS('01. KE30'!$I:$I,'01. KE30'!$C:$C,'06. BC BH THEO CUSTOMER-USD'!$D146,'01. KE30'!$F:$F,'06. BC BH THEO CUSTOMER-USD'!$H146,'01. KE30'!$A:$A,'06. BC BH THEO CUSTOMER-USD'!DA$4)/1000</f>
        <v>0</v>
      </c>
      <c r="DB146" s="114">
        <f>SUMIFS('01. KE30'!$I:$I,'01. KE30'!$C:$C,'06. BC BH THEO CUSTOMER-USD'!$D146,'01. KE30'!$F:$F,'06. BC BH THEO CUSTOMER-USD'!$H146,'01. KE30'!$A:$A,'06. BC BH THEO CUSTOMER-USD'!DB$4)/1000</f>
        <v>0</v>
      </c>
      <c r="DC146" s="114">
        <f>SUMIFS('01. KE30'!$I:$I,'01. KE30'!$C:$C,'06. BC BH THEO CUSTOMER-USD'!$D146,'01. KE30'!$F:$F,'06. BC BH THEO CUSTOMER-USD'!$H146,'01. KE30'!$A:$A,'06. BC BH THEO CUSTOMER-USD'!DC$4)/1000</f>
        <v>0</v>
      </c>
      <c r="DD146" s="114">
        <f>SUMIFS('01. KE30'!$I:$I,'01. KE30'!$C:$C,'06. BC BH THEO CUSTOMER-USD'!$D146,'01. KE30'!$F:$F,'06. BC BH THEO CUSTOMER-USD'!$H146,'01. KE30'!$A:$A,'06. BC BH THEO CUSTOMER-USD'!DD$4)/1000</f>
        <v>0</v>
      </c>
      <c r="DF146" s="112">
        <f t="shared" si="1250"/>
        <v>33155.49337805219</v>
      </c>
      <c r="DG146" s="54" t="str">
        <f t="shared" si="1251"/>
        <v>-</v>
      </c>
      <c r="DH146" s="54">
        <f t="shared" si="1252"/>
        <v>7365.104371799921</v>
      </c>
      <c r="DI146" s="54">
        <f t="shared" si="1253"/>
        <v>7362.2047244094492</v>
      </c>
      <c r="DJ146" s="54">
        <f t="shared" si="1254"/>
        <v>18428.184281842819</v>
      </c>
      <c r="DK146" s="54" t="str">
        <f t="shared" si="1255"/>
        <v>-</v>
      </c>
      <c r="DL146" s="54" t="str">
        <f t="shared" si="1256"/>
        <v>-</v>
      </c>
      <c r="DM146" s="54" t="str">
        <f t="shared" si="1257"/>
        <v>-</v>
      </c>
      <c r="DN146" s="54" t="str">
        <f t="shared" si="1258"/>
        <v>-</v>
      </c>
      <c r="DO146" s="54" t="str">
        <f t="shared" si="1259"/>
        <v>-</v>
      </c>
      <c r="DP146" s="54" t="str">
        <f t="shared" si="1260"/>
        <v>-</v>
      </c>
      <c r="DQ146" s="54" t="str">
        <f t="shared" si="1261"/>
        <v>-</v>
      </c>
      <c r="DR146" s="54" t="str">
        <f t="shared" si="1262"/>
        <v>-</v>
      </c>
      <c r="DT146" s="112">
        <f t="shared" si="652"/>
        <v>-11895.837855910897</v>
      </c>
      <c r="DU146" s="114">
        <f>IFERROR(SUMIFS('01. KE30'!$X:$X,'01. KE30'!$C:$C,'06. BC BH THEO CUSTOMER-USD'!$D146,'01. KE30'!$F:$F,'06. BC BH THEO CUSTOMER-USD'!$H146,'01. KE30'!$A:$A,'06. BC BH THEO CUSTOMER-USD'!DU$4)-SUMIFS('01. KE30'!$AA:$AA,'01. KE30'!$C:$C,'06. BC BH THEO CUSTOMER-USD'!$D146,'01. KE30'!$F:$F,'06. BC BH THEO CUSTOMER-USD'!$H146,'01. KE30'!$A:$A,'06. BC BH THEO CUSTOMER-USD'!DU$4),"-")</f>
        <v>0</v>
      </c>
      <c r="DV146" s="114">
        <f>IFERROR(SUMIFS('01. KE30'!$X:$X,'01. KE30'!$C:$C,'06. BC BH THEO CUSTOMER-USD'!$D146,'01. KE30'!$F:$F,'06. BC BH THEO CUSTOMER-USD'!$H146,'01. KE30'!$A:$A,'06. BC BH THEO CUSTOMER-USD'!DV$4)-SUMIFS('01. KE30'!$AA:$AA,'01. KE30'!$C:$C,'06. BC BH THEO CUSTOMER-USD'!$D146,'01. KE30'!$F:$F,'06. BC BH THEO CUSTOMER-USD'!$H146,'01. KE30'!$A:$A,'06. BC BH THEO CUSTOMER-USD'!DV$4),"-")</f>
        <v>-2692.3003938558495</v>
      </c>
      <c r="DW146" s="114">
        <f>IFERROR(SUMIFS('01. KE30'!$X:$X,'01. KE30'!$C:$C,'06. BC BH THEO CUSTOMER-USD'!$D146,'01. KE30'!$F:$F,'06. BC BH THEO CUSTOMER-USD'!$H146,'01. KE30'!$A:$A,'06. BC BH THEO CUSTOMER-USD'!DW$4)-SUMIFS('01. KE30'!$AA:$AA,'01. KE30'!$C:$C,'06. BC BH THEO CUSTOMER-USD'!$D146,'01. KE30'!$F:$F,'06. BC BH THEO CUSTOMER-USD'!$H146,'01. KE30'!$A:$A,'06. BC BH THEO CUSTOMER-USD'!DW$4),"-")</f>
        <v>-2700.3317322834637</v>
      </c>
      <c r="DX146" s="114">
        <f>IFERROR(SUMIFS('01. KE30'!$X:$X,'01. KE30'!$C:$C,'06. BC BH THEO CUSTOMER-USD'!$D146,'01. KE30'!$F:$F,'06. BC BH THEO CUSTOMER-USD'!$H146,'01. KE30'!$A:$A,'06. BC BH THEO CUSTOMER-USD'!DX$4)-SUMIFS('01. KE30'!$AA:$AA,'01. KE30'!$C:$C,'06. BC BH THEO CUSTOMER-USD'!$D146,'01. KE30'!$F:$F,'06. BC BH THEO CUSTOMER-USD'!$H146,'01. KE30'!$A:$A,'06. BC BH THEO CUSTOMER-USD'!DX$4),"-")</f>
        <v>-6503.2057297715837</v>
      </c>
      <c r="DY146" s="114">
        <f>IFERROR(SUMIFS('01. KE30'!$X:$X,'01. KE30'!$C:$C,'06. BC BH THEO CUSTOMER-USD'!$D146,'01. KE30'!$F:$F,'06. BC BH THEO CUSTOMER-USD'!$H146,'01. KE30'!$A:$A,'06. BC BH THEO CUSTOMER-USD'!DY$4)-SUMIFS('01. KE30'!$AA:$AA,'01. KE30'!$C:$C,'06. BC BH THEO CUSTOMER-USD'!$D146,'01. KE30'!$F:$F,'06. BC BH THEO CUSTOMER-USD'!$H146,'01. KE30'!$A:$A,'06. BC BH THEO CUSTOMER-USD'!DY$4),"-")</f>
        <v>0</v>
      </c>
      <c r="DZ146" s="114">
        <f>IFERROR(SUMIFS('01. KE30'!$X:$X,'01. KE30'!$C:$C,'06. BC BH THEO CUSTOMER-USD'!$D146,'01. KE30'!$F:$F,'06. BC BH THEO CUSTOMER-USD'!$H146,'01. KE30'!$A:$A,'06. BC BH THEO CUSTOMER-USD'!DZ$4)-SUMIFS('01. KE30'!$AA:$AA,'01. KE30'!$C:$C,'06. BC BH THEO CUSTOMER-USD'!$D146,'01. KE30'!$F:$F,'06. BC BH THEO CUSTOMER-USD'!$H146,'01. KE30'!$A:$A,'06. BC BH THEO CUSTOMER-USD'!DZ$4),"-")</f>
        <v>0</v>
      </c>
      <c r="EA146" s="114">
        <f>IFERROR(SUMIFS('01. KE30'!$X:$X,'01. KE30'!$C:$C,'06. BC BH THEO CUSTOMER-USD'!$D146,'01. KE30'!$F:$F,'06. BC BH THEO CUSTOMER-USD'!$H146,'01. KE30'!$A:$A,'06. BC BH THEO CUSTOMER-USD'!EA$4)-SUMIFS('01. KE30'!$AA:$AA,'01. KE30'!$C:$C,'06. BC BH THEO CUSTOMER-USD'!$D146,'01. KE30'!$F:$F,'06. BC BH THEO CUSTOMER-USD'!$H146,'01. KE30'!$A:$A,'06. BC BH THEO CUSTOMER-USD'!EA$4),"-")</f>
        <v>0</v>
      </c>
      <c r="EB146" s="114">
        <f>IFERROR(SUMIFS('01. KE30'!$X:$X,'01. KE30'!$C:$C,'06. BC BH THEO CUSTOMER-USD'!$D146,'01. KE30'!$F:$F,'06. BC BH THEO CUSTOMER-USD'!$H146,'01. KE30'!$A:$A,'06. BC BH THEO CUSTOMER-USD'!EB$4)-SUMIFS('01. KE30'!$AA:$AA,'01. KE30'!$C:$C,'06. BC BH THEO CUSTOMER-USD'!$D146,'01. KE30'!$F:$F,'06. BC BH THEO CUSTOMER-USD'!$H146,'01. KE30'!$A:$A,'06. BC BH THEO CUSTOMER-USD'!EB$4),"-")</f>
        <v>0</v>
      </c>
      <c r="EC146" s="114">
        <f>IFERROR(SUMIFS('01. KE30'!$X:$X,'01. KE30'!$C:$C,'06. BC BH THEO CUSTOMER-USD'!$D146,'01. KE30'!$F:$F,'06. BC BH THEO CUSTOMER-USD'!$H146,'01. KE30'!$A:$A,'06. BC BH THEO CUSTOMER-USD'!EC$4)-SUMIFS('01. KE30'!$AA:$AA,'01. KE30'!$C:$C,'06. BC BH THEO CUSTOMER-USD'!$D146,'01. KE30'!$F:$F,'06. BC BH THEO CUSTOMER-USD'!$H146,'01. KE30'!$A:$A,'06. BC BH THEO CUSTOMER-USD'!EC$4),"-")</f>
        <v>0</v>
      </c>
      <c r="ED146" s="114">
        <f>IFERROR(SUMIFS('01. KE30'!$X:$X,'01. KE30'!$C:$C,'06. BC BH THEO CUSTOMER-USD'!$D146,'01. KE30'!$F:$F,'06. BC BH THEO CUSTOMER-USD'!$H146,'01. KE30'!$A:$A,'06. BC BH THEO CUSTOMER-USD'!ED$4)-SUMIFS('01. KE30'!$AA:$AA,'01. KE30'!$C:$C,'06. BC BH THEO CUSTOMER-USD'!$D146,'01. KE30'!$F:$F,'06. BC BH THEO CUSTOMER-USD'!$H146,'01. KE30'!$A:$A,'06. BC BH THEO CUSTOMER-USD'!ED$4),"-")</f>
        <v>0</v>
      </c>
      <c r="EE146" s="114">
        <f>IFERROR(SUMIFS('01. KE30'!$X:$X,'01. KE30'!$C:$C,'06. BC BH THEO CUSTOMER-USD'!$D146,'01. KE30'!$F:$F,'06. BC BH THEO CUSTOMER-USD'!$H146,'01. KE30'!$A:$A,'06. BC BH THEO CUSTOMER-USD'!EE$4)-SUMIFS('01. KE30'!$AA:$AA,'01. KE30'!$C:$C,'06. BC BH THEO CUSTOMER-USD'!$D146,'01. KE30'!$F:$F,'06. BC BH THEO CUSTOMER-USD'!$H146,'01. KE30'!$A:$A,'06. BC BH THEO CUSTOMER-USD'!EE$4),"-")</f>
        <v>0</v>
      </c>
      <c r="EF146" s="114">
        <f>IFERROR(SUMIFS('01. KE30'!$X:$X,'01. KE30'!$C:$C,'06. BC BH THEO CUSTOMER-USD'!$D146,'01. KE30'!$F:$F,'06. BC BH THEO CUSTOMER-USD'!$H146,'01. KE30'!$A:$A,'06. BC BH THEO CUSTOMER-USD'!EF$4)-SUMIFS('01. KE30'!$AA:$AA,'01. KE30'!$C:$C,'06. BC BH THEO CUSTOMER-USD'!$D146,'01. KE30'!$F:$F,'06. BC BH THEO CUSTOMER-USD'!$H146,'01. KE30'!$A:$A,'06. BC BH THEO CUSTOMER-USD'!EF$4),"-")</f>
        <v>0</v>
      </c>
      <c r="EH146" s="571">
        <f t="shared" si="531"/>
        <v>-0.35878934812610985</v>
      </c>
      <c r="EI146" s="572" t="str">
        <f t="shared" si="532"/>
        <v>-</v>
      </c>
      <c r="EJ146" s="572">
        <f t="shared" si="533"/>
        <v>-0.36554816577540117</v>
      </c>
      <c r="EK146" s="572">
        <f t="shared" si="534"/>
        <v>-0.36678302673796775</v>
      </c>
      <c r="EL146" s="572">
        <f t="shared" si="535"/>
        <v>-0.35289454621848737</v>
      </c>
      <c r="EM146" s="572" t="str">
        <f t="shared" si="536"/>
        <v>-</v>
      </c>
      <c r="EN146" s="572" t="str">
        <f t="shared" si="537"/>
        <v>-</v>
      </c>
      <c r="EO146" s="572" t="str">
        <f t="shared" si="538"/>
        <v>-</v>
      </c>
      <c r="EP146" s="572" t="str">
        <f t="shared" si="539"/>
        <v>-</v>
      </c>
      <c r="EQ146" s="572" t="str">
        <f t="shared" si="540"/>
        <v>-</v>
      </c>
      <c r="ER146" s="572" t="str">
        <f t="shared" si="541"/>
        <v>-</v>
      </c>
      <c r="ES146" s="572" t="str">
        <f t="shared" si="542"/>
        <v>-</v>
      </c>
      <c r="ET146" s="572" t="str">
        <f t="shared" si="543"/>
        <v>-</v>
      </c>
    </row>
    <row r="147" spans="1:150" ht="15.5" hidden="1" outlineLevel="1" x14ac:dyDescent="0.35">
      <c r="A147" s="10">
        <f t="shared" si="1266"/>
        <v>19</v>
      </c>
      <c r="B147" s="10" t="s">
        <v>265</v>
      </c>
      <c r="C147" s="442" t="s">
        <v>489</v>
      </c>
      <c r="D147" s="9" t="s">
        <v>633</v>
      </c>
      <c r="E147" s="12" t="s">
        <v>634</v>
      </c>
      <c r="F147" s="12" t="s">
        <v>245</v>
      </c>
      <c r="G147" s="12" t="str">
        <f>_xlfn.XLOOKUP(F147,'Quy đổi'!$G$5:$G$32,'Quy đổi'!$H$5:$H$32,0)</f>
        <v>Nội địa</v>
      </c>
      <c r="H147" s="76" t="s">
        <v>52</v>
      </c>
      <c r="I147" s="7" t="s">
        <v>51</v>
      </c>
      <c r="J147" s="69" t="s">
        <v>22</v>
      </c>
      <c r="K147" s="11"/>
      <c r="L147" s="92">
        <f t="shared" ref="L147" si="1380">IFERROR(AVERAGE(M147:X147),"-")</f>
        <v>663.72038860996031</v>
      </c>
      <c r="M147" s="106" t="str">
        <f>IFERROR(SUMIFS('01. KE30'!$K:$K,'01. KE30'!$C:$C,'06. BC BH THEO CUSTOMER-USD'!$D147,'01. KE30'!$F:$F,'06. BC BH THEO CUSTOMER-USD'!$H147,'01. KE30'!$A:$A,'06. BC BH THEO CUSTOMER-USD'!M$4)/'06. BC BH THEO CUSTOMER-USD'!CS147/'02. Tỷ giá'!B$5,"-")</f>
        <v>-</v>
      </c>
      <c r="N147" s="106" t="str">
        <f>IFERROR(SUMIFS('01. KE30'!$K:$K,'01. KE30'!$C:$C,'06. BC BH THEO CUSTOMER-USD'!$D147,'01. KE30'!$F:$F,'06. BC BH THEO CUSTOMER-USD'!$H147,'01. KE30'!$A:$A,'06. BC BH THEO CUSTOMER-USD'!N$4)/'06. BC BH THEO CUSTOMER-USD'!CT147/'02. Tỷ giá'!C$5,"-")</f>
        <v>-</v>
      </c>
      <c r="O147" s="106">
        <f>IFERROR(SUMIFS('01. KE30'!$K:$K,'01. KE30'!$C:$C,'06. BC BH THEO CUSTOMER-USD'!$D147,'01. KE30'!$F:$F,'06. BC BH THEO CUSTOMER-USD'!$H147,'01. KE30'!$A:$A,'06. BC BH THEO CUSTOMER-USD'!O$4)/'06. BC BH THEO CUSTOMER-USD'!CU147/'02. Tỷ giá'!D$5,"-")</f>
        <v>669.29133858267721</v>
      </c>
      <c r="P147" s="106">
        <f>IFERROR(SUMIFS('01. KE30'!$K:$K,'01. KE30'!$C:$C,'06. BC BH THEO CUSTOMER-USD'!$D147,'01. KE30'!$F:$F,'06. BC BH THEO CUSTOMER-USD'!$H147,'01. KE30'!$A:$A,'06. BC BH THEO CUSTOMER-USD'!P$4)/'06. BC BH THEO CUSTOMER-USD'!CV147/'02. Tỷ giá'!E$5,"-")</f>
        <v>658.14943863724352</v>
      </c>
      <c r="Q147" s="106" t="str">
        <f>IFERROR(SUMIFS('01. KE30'!$K:$K,'01. KE30'!$C:$C,'06. BC BH THEO CUSTOMER-USD'!$D147,'01. KE30'!$F:$F,'06. BC BH THEO CUSTOMER-USD'!$H147,'01. KE30'!$A:$A,'06. BC BH THEO CUSTOMER-USD'!Q$4)/'06. BC BH THEO CUSTOMER-USD'!CW147/'02. Tỷ giá'!F$5,"-")</f>
        <v>-</v>
      </c>
      <c r="R147" s="106" t="str">
        <f>IFERROR(SUMIFS('01. KE30'!$K:$K,'01. KE30'!$C:$C,'06. BC BH THEO CUSTOMER-USD'!$D147,'01. KE30'!$F:$F,'06. BC BH THEO CUSTOMER-USD'!$H147,'01. KE30'!$A:$A,'06. BC BH THEO CUSTOMER-USD'!R$4)/'06. BC BH THEO CUSTOMER-USD'!CX147/'02. Tỷ giá'!G$5,"-")</f>
        <v>-</v>
      </c>
      <c r="S147" s="106" t="str">
        <f>IFERROR(SUMIFS('01. KE30'!$K:$K,'01. KE30'!$C:$C,'06. BC BH THEO CUSTOMER-USD'!$D147,'01. KE30'!$F:$F,'06. BC BH THEO CUSTOMER-USD'!$H147,'01. KE30'!$A:$A,'06. BC BH THEO CUSTOMER-USD'!S$4)/'06. BC BH THEO CUSTOMER-USD'!CY147/'02. Tỷ giá'!H$5,"-")</f>
        <v>-</v>
      </c>
      <c r="T147" s="106" t="str">
        <f>IFERROR(SUMIFS('01. KE30'!$K:$K,'01. KE30'!$C:$C,'06. BC BH THEO CUSTOMER-USD'!$D147,'01. KE30'!$F:$F,'06. BC BH THEO CUSTOMER-USD'!$H147,'01. KE30'!$A:$A,'06. BC BH THEO CUSTOMER-USD'!T$4)/'06. BC BH THEO CUSTOMER-USD'!CZ147/'02. Tỷ giá'!I$5,"-")</f>
        <v>-</v>
      </c>
      <c r="U147" s="106" t="str">
        <f>IFERROR(SUMIFS('01. KE30'!$K:$K,'01. KE30'!$C:$C,'06. BC BH THEO CUSTOMER-USD'!$D147,'01. KE30'!$F:$F,'06. BC BH THEO CUSTOMER-USD'!$H147,'01. KE30'!$A:$A,'06. BC BH THEO CUSTOMER-USD'!U$4)/'06. BC BH THEO CUSTOMER-USD'!DA147/'02. Tỷ giá'!J$5,"-")</f>
        <v>-</v>
      </c>
      <c r="V147" s="106" t="str">
        <f>IFERROR(SUMIFS('01. KE30'!$K:$K,'01. KE30'!$C:$C,'06. BC BH THEO CUSTOMER-USD'!$D147,'01. KE30'!$F:$F,'06. BC BH THEO CUSTOMER-USD'!$H147,'01. KE30'!$A:$A,'06. BC BH THEO CUSTOMER-USD'!V$4)/'06. BC BH THEO CUSTOMER-USD'!DB147/'02. Tỷ giá'!K$5,"-")</f>
        <v>-</v>
      </c>
      <c r="W147" s="106" t="str">
        <f>IFERROR(SUMIFS('01. KE30'!$K:$K,'01. KE30'!$C:$C,'06. BC BH THEO CUSTOMER-USD'!$D147,'01. KE30'!$F:$F,'06. BC BH THEO CUSTOMER-USD'!$H147,'01. KE30'!$A:$A,'06. BC BH THEO CUSTOMER-USD'!W$4)/'06. BC BH THEO CUSTOMER-USD'!DC147/'02. Tỷ giá'!L$5,"-")</f>
        <v>-</v>
      </c>
      <c r="X147" s="106" t="str">
        <f>IFERROR(SUMIFS('01. KE30'!$K:$K,'01. KE30'!$C:$C,'06. BC BH THEO CUSTOMER-USD'!$D147,'01. KE30'!$F:$F,'06. BC BH THEO CUSTOMER-USD'!$H147,'01. KE30'!$A:$A,'06. BC BH THEO CUSTOMER-USD'!X$4)/'06. BC BH THEO CUSTOMER-USD'!DD147/'02. Tỷ giá'!M$5,"-")</f>
        <v>-</v>
      </c>
      <c r="Z147" s="92">
        <f t="shared" ref="Z147" si="1381">IFERROR(AVERAGE(AA147:AL147),"-")</f>
        <v>663.72038860996031</v>
      </c>
      <c r="AA147" s="147" t="str">
        <f>IFERROR(SUMIFS('01. KE30'!$O:$O,'01. KE30'!$C:$C,'06. BC BH THEO CUSTOMER-USD'!$D147,'01. KE30'!$F:$F,'06. BC BH THEO CUSTOMER-USD'!$H147,'01. KE30'!$A:$A,'06. BC BH THEO CUSTOMER-USD'!M$4)/'06. BC BH THEO CUSTOMER-USD'!CS147/'02. Tỷ giá'!B$5,"-")</f>
        <v>-</v>
      </c>
      <c r="AB147" s="147" t="str">
        <f>IFERROR(SUMIFS('01. KE30'!$O:$O,'01. KE30'!$C:$C,'06. BC BH THEO CUSTOMER-USD'!$D147,'01. KE30'!$F:$F,'06. BC BH THEO CUSTOMER-USD'!$H147,'01. KE30'!$A:$A,'06. BC BH THEO CUSTOMER-USD'!N$4)/'06. BC BH THEO CUSTOMER-USD'!CT147/'02. Tỷ giá'!C$5,"-")</f>
        <v>-</v>
      </c>
      <c r="AC147" s="147">
        <f>IFERROR(SUMIFS('01. KE30'!$O:$O,'01. KE30'!$C:$C,'06. BC BH THEO CUSTOMER-USD'!$D147,'01. KE30'!$F:$F,'06. BC BH THEO CUSTOMER-USD'!$H147,'01. KE30'!$A:$A,'06. BC BH THEO CUSTOMER-USD'!O$4)/'06. BC BH THEO CUSTOMER-USD'!CU147/'02. Tỷ giá'!D$5,"-")</f>
        <v>669.29133858267721</v>
      </c>
      <c r="AD147" s="147">
        <f>IFERROR(SUMIFS('01. KE30'!$O:$O,'01. KE30'!$C:$C,'06. BC BH THEO CUSTOMER-USD'!$D147,'01. KE30'!$F:$F,'06. BC BH THEO CUSTOMER-USD'!$H147,'01. KE30'!$A:$A,'06. BC BH THEO CUSTOMER-USD'!P$4)/'06. BC BH THEO CUSTOMER-USD'!CV147/'02. Tỷ giá'!E$5,"-")</f>
        <v>658.14943863724352</v>
      </c>
      <c r="AE147" s="147" t="str">
        <f>IFERROR(SUMIFS('01. KE30'!$O:$O,'01. KE30'!$C:$C,'06. BC BH THEO CUSTOMER-USD'!$D147,'01. KE30'!$F:$F,'06. BC BH THEO CUSTOMER-USD'!$H147,'01. KE30'!$A:$A,'06. BC BH THEO CUSTOMER-USD'!Q$4)/'06. BC BH THEO CUSTOMER-USD'!CW147/'02. Tỷ giá'!F$5,"-")</f>
        <v>-</v>
      </c>
      <c r="AF147" s="147" t="str">
        <f>IFERROR(SUMIFS('01. KE30'!$O:$O,'01. KE30'!$C:$C,'06. BC BH THEO CUSTOMER-USD'!$D147,'01. KE30'!$F:$F,'06. BC BH THEO CUSTOMER-USD'!$H147,'01. KE30'!$A:$A,'06. BC BH THEO CUSTOMER-USD'!R$4)/'06. BC BH THEO CUSTOMER-USD'!CX147/'02. Tỷ giá'!G$5,"-")</f>
        <v>-</v>
      </c>
      <c r="AG147" s="147" t="str">
        <f>IFERROR(SUMIFS('01. KE30'!$O:$O,'01. KE30'!$C:$C,'06. BC BH THEO CUSTOMER-USD'!$D147,'01. KE30'!$F:$F,'06. BC BH THEO CUSTOMER-USD'!$H147,'01. KE30'!$A:$A,'06. BC BH THEO CUSTOMER-USD'!S$4)/'06. BC BH THEO CUSTOMER-USD'!CY147/'02. Tỷ giá'!H$5,"-")</f>
        <v>-</v>
      </c>
      <c r="AH147" s="147" t="str">
        <f>IFERROR(SUMIFS('01. KE30'!$O:$O,'01. KE30'!$C:$C,'06. BC BH THEO CUSTOMER-USD'!$D147,'01. KE30'!$F:$F,'06. BC BH THEO CUSTOMER-USD'!$H147,'01. KE30'!$A:$A,'06. BC BH THEO CUSTOMER-USD'!T$4)/'06. BC BH THEO CUSTOMER-USD'!CZ147/'02. Tỷ giá'!I$5,"-")</f>
        <v>-</v>
      </c>
      <c r="AI147" s="147" t="str">
        <f>IFERROR(SUMIFS('01. KE30'!$O:$O,'01. KE30'!$C:$C,'06. BC BH THEO CUSTOMER-USD'!$D147,'01. KE30'!$F:$F,'06. BC BH THEO CUSTOMER-USD'!$H147,'01. KE30'!$A:$A,'06. BC BH THEO CUSTOMER-USD'!U$4)/'06. BC BH THEO CUSTOMER-USD'!DA147/'02. Tỷ giá'!J$5,"-")</f>
        <v>-</v>
      </c>
      <c r="AJ147" s="147" t="str">
        <f>IFERROR(SUMIFS('01. KE30'!$O:$O,'01. KE30'!$C:$C,'06. BC BH THEO CUSTOMER-USD'!$D147,'01. KE30'!$F:$F,'06. BC BH THEO CUSTOMER-USD'!$H147,'01. KE30'!$A:$A,'06. BC BH THEO CUSTOMER-USD'!V$4)/'06. BC BH THEO CUSTOMER-USD'!DB147/'02. Tỷ giá'!K$5,"-")</f>
        <v>-</v>
      </c>
      <c r="AK147" s="147" t="str">
        <f>IFERROR(SUMIFS('01. KE30'!$O:$O,'01. KE30'!$C:$C,'06. BC BH THEO CUSTOMER-USD'!$D147,'01. KE30'!$F:$F,'06. BC BH THEO CUSTOMER-USD'!$H147,'01. KE30'!$A:$A,'06. BC BH THEO CUSTOMER-USD'!W$4)/'06. BC BH THEO CUSTOMER-USD'!DC147/'02. Tỷ giá'!L$5,"-")</f>
        <v>-</v>
      </c>
      <c r="AL147" s="147" t="str">
        <f>IFERROR(SUMIFS('01. KE30'!$O:$O,'01. KE30'!$C:$C,'06. BC BH THEO CUSTOMER-USD'!$D147,'01. KE30'!$F:$F,'06. BC BH THEO CUSTOMER-USD'!$H147,'01. KE30'!$A:$A,'06. BC BH THEO CUSTOMER-USD'!X$4)/'06. BC BH THEO CUSTOMER-USD'!DD147/'02. Tỷ giá'!M$5,"-")</f>
        <v>-</v>
      </c>
      <c r="AN147" s="55">
        <f t="shared" ref="AN147" si="1382">IFERROR(AVERAGE(AO147:AZ147),"-")</f>
        <v>943.33333333333337</v>
      </c>
      <c r="AO147" s="4">
        <v>950</v>
      </c>
      <c r="AP147" s="4">
        <v>950</v>
      </c>
      <c r="AQ147" s="4">
        <v>950</v>
      </c>
      <c r="AR147" s="4">
        <v>950</v>
      </c>
      <c r="AS147" s="4">
        <v>950</v>
      </c>
      <c r="AT147" s="4">
        <v>950</v>
      </c>
      <c r="AU147" s="4">
        <v>950</v>
      </c>
      <c r="AV147" s="4">
        <f t="shared" si="1272"/>
        <v>930</v>
      </c>
      <c r="AW147" s="4">
        <v>910</v>
      </c>
      <c r="AX147" s="4"/>
      <c r="AY147" s="4"/>
      <c r="AZ147" s="4"/>
      <c r="BB147" s="54">
        <f t="shared" ref="BB147" si="1383">IF(L147&lt;&gt;"-",Z147-AN147,"-")</f>
        <v>-279.61294472337306</v>
      </c>
      <c r="BC147" s="95" t="str">
        <f t="shared" ref="BC147" si="1384">IF(M147&lt;&gt;"-",AA147-AO147,"-")</f>
        <v>-</v>
      </c>
      <c r="BD147" s="95" t="str">
        <f t="shared" ref="BD147" si="1385">IF(N147&lt;&gt;"-",AB147-AP147,"-")</f>
        <v>-</v>
      </c>
      <c r="BE147" s="95">
        <f t="shared" ref="BE147" si="1386">IF(O147&lt;&gt;"-",AC147-AQ147,"-")</f>
        <v>-280.70866141732279</v>
      </c>
      <c r="BF147" s="95">
        <f t="shared" ref="BF147" si="1387">IF(P147&lt;&gt;"-",AD147-AR147,"-")</f>
        <v>-291.85056136275648</v>
      </c>
      <c r="BG147" s="95" t="str">
        <f t="shared" ref="BG147" si="1388">IF(Q147&lt;&gt;"-",AE147-AS147,"-")</f>
        <v>-</v>
      </c>
      <c r="BH147" s="95" t="str">
        <f t="shared" ref="BH147" si="1389">IF(R147&lt;&gt;"-",AF147-AT147,"-")</f>
        <v>-</v>
      </c>
      <c r="BI147" s="95" t="str">
        <f t="shared" ref="BI147" si="1390">IF(S147&lt;&gt;"-",AG147-AU147,"-")</f>
        <v>-</v>
      </c>
      <c r="BJ147" s="95" t="str">
        <f t="shared" ref="BJ147" si="1391">IF(T147&lt;&gt;"-",AH147-AV147,"-")</f>
        <v>-</v>
      </c>
      <c r="BK147" s="95" t="str">
        <f t="shared" ref="BK147" si="1392">IF(U147&lt;&gt;"-",AI147-AW147,"-")</f>
        <v>-</v>
      </c>
      <c r="BL147" s="95" t="str">
        <f t="shared" ref="BL147" si="1393">IF(V147&lt;&gt;"-",AJ147-AX147,"-")</f>
        <v>-</v>
      </c>
      <c r="BM147" s="95" t="str">
        <f t="shared" ref="BM147" si="1394">IF(W147&lt;&gt;"-",AK147-AY147,"-")</f>
        <v>-</v>
      </c>
      <c r="BN147" s="95" t="str">
        <f t="shared" ref="BN147" si="1395">IF(X147&lt;&gt;"-",AL147-AZ147,"-")</f>
        <v>-</v>
      </c>
      <c r="BP147" s="143">
        <f t="shared" ref="BP147" si="1396">IFERROR(IF(BB147&lt;&gt;"-",BB147/AN147,"-"),"-")</f>
        <v>-0.29640948203891138</v>
      </c>
      <c r="BQ147" s="143" t="str">
        <f t="shared" ref="BQ147" si="1397">IFERROR(IF(BC147&lt;&gt;"-",BC147/AO147,"-"),"-")</f>
        <v>-</v>
      </c>
      <c r="BR147" s="143" t="str">
        <f t="shared" ref="BR147" si="1398">IFERROR(IF(BD147&lt;&gt;"-",BD147/AP147,"-"),"-")</f>
        <v>-</v>
      </c>
      <c r="BS147" s="143">
        <f t="shared" ref="BS147" si="1399">IFERROR(IF(BE147&lt;&gt;"-",BE147/AQ147,"-"),"-")</f>
        <v>-0.29548280149191875</v>
      </c>
      <c r="BT147" s="143">
        <f t="shared" ref="BT147" si="1400">IFERROR(IF(BF147&lt;&gt;"-",BF147/AR147,"-"),"-")</f>
        <v>-0.30721111722395417</v>
      </c>
      <c r="BU147" s="143" t="str">
        <f t="shared" ref="BU147" si="1401">IFERROR(IF(BG147&lt;&gt;"-",BG147/AS147,"-"),"-")</f>
        <v>-</v>
      </c>
      <c r="BV147" s="143" t="str">
        <f t="shared" ref="BV147" si="1402">IFERROR(IF(BH147&lt;&gt;"-",BH147/AT147,"-"),"-")</f>
        <v>-</v>
      </c>
      <c r="BW147" s="143" t="str">
        <f t="shared" ref="BW147" si="1403">IFERROR(IF(BI147&lt;&gt;"-",BI147/AU147,"-"),"-")</f>
        <v>-</v>
      </c>
      <c r="BX147" s="143" t="str">
        <f t="shared" ref="BX147" si="1404">IFERROR(IF(BJ147&lt;&gt;"-",BJ147/AV147,"-"),"-")</f>
        <v>-</v>
      </c>
      <c r="BY147" s="143" t="str">
        <f t="shared" ref="BY147" si="1405">IFERROR(IF(BK147&lt;&gt;"-",BK147/AW147,"-"),"-")</f>
        <v>-</v>
      </c>
      <c r="BZ147" s="143" t="str">
        <f t="shared" ref="BZ147" si="1406">IFERROR(IF(BL147&lt;&gt;"-",BL147/AX147,"-"),"-")</f>
        <v>-</v>
      </c>
      <c r="CA147" s="143" t="str">
        <f t="shared" ref="CA147" si="1407">IFERROR(IF(BM147&lt;&gt;"-",BM147/AY147,"-"),"-")</f>
        <v>-</v>
      </c>
      <c r="CB147" s="143" t="str">
        <f t="shared" ref="CB147" si="1408">IFERROR(IF(BN147&lt;&gt;"-",BN147/AZ147,"-"),"-")</f>
        <v>-</v>
      </c>
      <c r="CD147" s="112">
        <f t="shared" ref="CD147" si="1409">IFERROR(AVERAGE(CE147:CP147),"-")</f>
        <v>902.59137965985951</v>
      </c>
      <c r="CE147" s="95" t="str">
        <f>IFERROR(SUMIFS('01. KE30'!$R:$R,'01. KE30'!$C:$C,'06. BC BH THEO CUSTOMER-USD'!$D147,'01. KE30'!$F:$F,'06. BC BH THEO CUSTOMER-USD'!$H147,'01. KE30'!$A:$A,'06. BC BH THEO CUSTOMER-USD'!CE$4)/CS147/'02. Tỷ giá'!B$5," -")</f>
        <v xml:space="preserve"> -</v>
      </c>
      <c r="CF147" s="95" t="str">
        <f>IFERROR(SUMIFS('01. KE30'!$R:$R,'01. KE30'!$C:$C,'06. BC BH THEO CUSTOMER-USD'!$D147,'01. KE30'!$F:$F,'06. BC BH THEO CUSTOMER-USD'!$H147,'01. KE30'!$A:$A,'06. BC BH THEO CUSTOMER-USD'!CF$4)/CT147/'02. Tỷ giá'!C$5," -")</f>
        <v xml:space="preserve"> -</v>
      </c>
      <c r="CG147" s="95">
        <f>IFERROR(SUMIFS('01. KE30'!$R:$R,'01. KE30'!$C:$C,'06. BC BH THEO CUSTOMER-USD'!$D147,'01. KE30'!$F:$F,'06. BC BH THEO CUSTOMER-USD'!$H147,'01. KE30'!$A:$A,'06. BC BH THEO CUSTOMER-USD'!CG$4)/CU147/'02. Tỷ giá'!D$5," -")</f>
        <v>914.77598425196845</v>
      </c>
      <c r="CH147" s="95">
        <f>IFERROR(SUMIFS('01. KE30'!$R:$R,'01. KE30'!$C:$C,'06. BC BH THEO CUSTOMER-USD'!$D147,'01. KE30'!$F:$F,'06. BC BH THEO CUSTOMER-USD'!$H147,'01. KE30'!$A:$A,'06. BC BH THEO CUSTOMER-USD'!CH$4)/CV147/'02. Tỷ giá'!E$5," -")</f>
        <v>890.40677506775069</v>
      </c>
      <c r="CI147" s="95" t="str">
        <f>IFERROR(SUMIFS('01. KE30'!$R:$R,'01. KE30'!$C:$C,'06. BC BH THEO CUSTOMER-USD'!$D147,'01. KE30'!$F:$F,'06. BC BH THEO CUSTOMER-USD'!$H147,'01. KE30'!$A:$A,'06. BC BH THEO CUSTOMER-USD'!CI$4)/CW147/'02. Tỷ giá'!F$5," -")</f>
        <v xml:space="preserve"> -</v>
      </c>
      <c r="CJ147" s="95" t="str">
        <f>IFERROR(SUMIFS('01. KE30'!$R:$R,'01. KE30'!$C:$C,'06. BC BH THEO CUSTOMER-USD'!$D147,'01. KE30'!$F:$F,'06. BC BH THEO CUSTOMER-USD'!$H147,'01. KE30'!$A:$A,'06. BC BH THEO CUSTOMER-USD'!CJ$4)/CX147/'02. Tỷ giá'!G$5," -")</f>
        <v xml:space="preserve"> -</v>
      </c>
      <c r="CK147" s="95" t="str">
        <f>IFERROR(SUMIFS('01. KE30'!$R:$R,'01. KE30'!$C:$C,'06. BC BH THEO CUSTOMER-USD'!$D147,'01. KE30'!$F:$F,'06. BC BH THEO CUSTOMER-USD'!$H147,'01. KE30'!$A:$A,'06. BC BH THEO CUSTOMER-USD'!CK$4)/CY147/'02. Tỷ giá'!H$5," -")</f>
        <v xml:space="preserve"> -</v>
      </c>
      <c r="CL147" s="95" t="str">
        <f>IFERROR(SUMIFS('01. KE30'!$R:$R,'01. KE30'!$C:$C,'06. BC BH THEO CUSTOMER-USD'!$D147,'01. KE30'!$F:$F,'06. BC BH THEO CUSTOMER-USD'!$H147,'01. KE30'!$A:$A,'06. BC BH THEO CUSTOMER-USD'!CL$4)/CZ147/'02. Tỷ giá'!I$5," -")</f>
        <v xml:space="preserve"> -</v>
      </c>
      <c r="CM147" s="95" t="str">
        <f>IFERROR(SUMIFS('01. KE30'!$R:$R,'01. KE30'!$C:$C,'06. BC BH THEO CUSTOMER-USD'!$D147,'01. KE30'!$F:$F,'06. BC BH THEO CUSTOMER-USD'!$H147,'01. KE30'!$A:$A,'06. BC BH THEO CUSTOMER-USD'!CM$4)/DA147/'02. Tỷ giá'!J$5," -")</f>
        <v xml:space="preserve"> -</v>
      </c>
      <c r="CN147" s="95" t="str">
        <f>IFERROR(SUMIFS('01. KE30'!$R:$R,'01. KE30'!$C:$C,'06. BC BH THEO CUSTOMER-USD'!$D147,'01. KE30'!$F:$F,'06. BC BH THEO CUSTOMER-USD'!$H147,'01. KE30'!$A:$A,'06. BC BH THEO CUSTOMER-USD'!CN$4)/DB147/'02. Tỷ giá'!K$5," -")</f>
        <v xml:space="preserve"> -</v>
      </c>
      <c r="CO147" s="95" t="str">
        <f>IFERROR(SUMIFS('01. KE30'!$R:$R,'01. KE30'!$C:$C,'06. BC BH THEO CUSTOMER-USD'!$D147,'01. KE30'!$F:$F,'06. BC BH THEO CUSTOMER-USD'!$H147,'01. KE30'!$A:$A,'06. BC BH THEO CUSTOMER-USD'!CO$4)/DC147/'02. Tỷ giá'!L$5," -")</f>
        <v xml:space="preserve"> -</v>
      </c>
      <c r="CP147" s="95" t="str">
        <f>IFERROR(SUMIFS('01. KE30'!$R:$R,'01. KE30'!$C:$C,'06. BC BH THEO CUSTOMER-USD'!$D147,'01. KE30'!$F:$F,'06. BC BH THEO CUSTOMER-USD'!$H147,'01. KE30'!$A:$A,'06. BC BH THEO CUSTOMER-USD'!CP$4)/DD147/'02. Tỷ giá'!M$5," -")</f>
        <v xml:space="preserve"> -</v>
      </c>
      <c r="CR147" s="112">
        <f t="shared" ref="CR147" si="1410">SUM(CS147:DD147)</f>
        <v>1.1000000000000001</v>
      </c>
      <c r="CS147" s="114">
        <f>SUMIFS('01. KE30'!$I:$I,'01. KE30'!$C:$C,'06. BC BH THEO CUSTOMER-USD'!$D147,'01. KE30'!$F:$F,'06. BC BH THEO CUSTOMER-USD'!$H147,'01. KE30'!$A:$A,'06. BC BH THEO CUSTOMER-USD'!CS$4)/1000</f>
        <v>0</v>
      </c>
      <c r="CT147" s="114">
        <f>SUMIFS('01. KE30'!$I:$I,'01. KE30'!$C:$C,'06. BC BH THEO CUSTOMER-USD'!$D147,'01. KE30'!$F:$F,'06. BC BH THEO CUSTOMER-USD'!$H147,'01. KE30'!$A:$A,'06. BC BH THEO CUSTOMER-USD'!CT$4)/1000</f>
        <v>0</v>
      </c>
      <c r="CU147" s="114">
        <f>SUMIFS('01. KE30'!$I:$I,'01. KE30'!$C:$C,'06. BC BH THEO CUSTOMER-USD'!$D147,'01. KE30'!$F:$F,'06. BC BH THEO CUSTOMER-USD'!$H147,'01. KE30'!$A:$A,'06. BC BH THEO CUSTOMER-USD'!CU$4)/1000</f>
        <v>0.1</v>
      </c>
      <c r="CV147" s="114">
        <f>SUMIFS('01. KE30'!$I:$I,'01. KE30'!$C:$C,'06. BC BH THEO CUSTOMER-USD'!$D147,'01. KE30'!$F:$F,'06. BC BH THEO CUSTOMER-USD'!$H147,'01. KE30'!$A:$A,'06. BC BH THEO CUSTOMER-USD'!CV$4)/1000</f>
        <v>1</v>
      </c>
      <c r="CW147" s="114">
        <f>SUMIFS('01. KE30'!$I:$I,'01. KE30'!$C:$C,'06. BC BH THEO CUSTOMER-USD'!$D147,'01. KE30'!$F:$F,'06. BC BH THEO CUSTOMER-USD'!$H147,'01. KE30'!$A:$A,'06. BC BH THEO CUSTOMER-USD'!CW$4)/1000</f>
        <v>0</v>
      </c>
      <c r="CX147" s="114">
        <f>SUMIFS('01. KE30'!$I:$I,'01. KE30'!$C:$C,'06. BC BH THEO CUSTOMER-USD'!$D147,'01. KE30'!$F:$F,'06. BC BH THEO CUSTOMER-USD'!$H147,'01. KE30'!$A:$A,'06. BC BH THEO CUSTOMER-USD'!CX$4)/1000</f>
        <v>0</v>
      </c>
      <c r="CY147" s="114">
        <f>SUMIFS('01. KE30'!$I:$I,'01. KE30'!$C:$C,'06. BC BH THEO CUSTOMER-USD'!$D147,'01. KE30'!$F:$F,'06. BC BH THEO CUSTOMER-USD'!$H147,'01. KE30'!$A:$A,'06. BC BH THEO CUSTOMER-USD'!CY$4)/1000</f>
        <v>0</v>
      </c>
      <c r="CZ147" s="114">
        <f>SUMIFS('01. KE30'!$I:$I,'01. KE30'!$C:$C,'06. BC BH THEO CUSTOMER-USD'!$D147,'01. KE30'!$F:$F,'06. BC BH THEO CUSTOMER-USD'!$H147,'01. KE30'!$A:$A,'06. BC BH THEO CUSTOMER-USD'!CZ$4)/1000</f>
        <v>0</v>
      </c>
      <c r="DA147" s="114">
        <f>SUMIFS('01. KE30'!$I:$I,'01. KE30'!$C:$C,'06. BC BH THEO CUSTOMER-USD'!$D147,'01. KE30'!$F:$F,'06. BC BH THEO CUSTOMER-USD'!$H147,'01. KE30'!$A:$A,'06. BC BH THEO CUSTOMER-USD'!DA$4)/1000</f>
        <v>0</v>
      </c>
      <c r="DB147" s="114">
        <f>SUMIFS('01. KE30'!$I:$I,'01. KE30'!$C:$C,'06. BC BH THEO CUSTOMER-USD'!$D147,'01. KE30'!$F:$F,'06. BC BH THEO CUSTOMER-USD'!$H147,'01. KE30'!$A:$A,'06. BC BH THEO CUSTOMER-USD'!DB$4)/1000</f>
        <v>0</v>
      </c>
      <c r="DC147" s="114">
        <f>SUMIFS('01. KE30'!$I:$I,'01. KE30'!$C:$C,'06. BC BH THEO CUSTOMER-USD'!$D147,'01. KE30'!$F:$F,'06. BC BH THEO CUSTOMER-USD'!$H147,'01. KE30'!$A:$A,'06. BC BH THEO CUSTOMER-USD'!DC$4)/1000</f>
        <v>0</v>
      </c>
      <c r="DD147" s="114">
        <f>SUMIFS('01. KE30'!$I:$I,'01. KE30'!$C:$C,'06. BC BH THEO CUSTOMER-USD'!$D147,'01. KE30'!$F:$F,'06. BC BH THEO CUSTOMER-USD'!$H147,'01. KE30'!$A:$A,'06. BC BH THEO CUSTOMER-USD'!DD$4)/1000</f>
        <v>0</v>
      </c>
      <c r="DF147" s="112">
        <f t="shared" ref="DF147" si="1411">SUM(DG147:DR147)</f>
        <v>725.07857249551125</v>
      </c>
      <c r="DG147" s="54" t="str">
        <f t="shared" ref="DG147" si="1412">IFERROR(M147*CS147,"-")</f>
        <v>-</v>
      </c>
      <c r="DH147" s="54" t="str">
        <f t="shared" ref="DH147" si="1413">IFERROR(N147*CT147,"-")</f>
        <v>-</v>
      </c>
      <c r="DI147" s="54">
        <f t="shared" ref="DI147" si="1414">IFERROR(O147*CU147,"-")</f>
        <v>66.929133858267718</v>
      </c>
      <c r="DJ147" s="54">
        <f t="shared" ref="DJ147" si="1415">IFERROR(P147*CV147,"-")</f>
        <v>658.14943863724352</v>
      </c>
      <c r="DK147" s="54" t="str">
        <f t="shared" ref="DK147" si="1416">IFERROR(Q147*CW147,"-")</f>
        <v>-</v>
      </c>
      <c r="DL147" s="54" t="str">
        <f t="shared" ref="DL147" si="1417">IFERROR(R147*CX147,"-")</f>
        <v>-</v>
      </c>
      <c r="DM147" s="54" t="str">
        <f t="shared" ref="DM147" si="1418">IFERROR(S147*CY147,"-")</f>
        <v>-</v>
      </c>
      <c r="DN147" s="54" t="str">
        <f t="shared" ref="DN147" si="1419">IFERROR(T147*CZ147,"-")</f>
        <v>-</v>
      </c>
      <c r="DO147" s="54" t="str">
        <f t="shared" ref="DO147" si="1420">IFERROR(U147*DA147,"-")</f>
        <v>-</v>
      </c>
      <c r="DP147" s="54" t="str">
        <f t="shared" ref="DP147" si="1421">IFERROR(V147*DB147,"-")</f>
        <v>-</v>
      </c>
      <c r="DQ147" s="54" t="str">
        <f t="shared" ref="DQ147" si="1422">IFERROR(W147*DC147,"-")</f>
        <v>-</v>
      </c>
      <c r="DR147" s="54" t="str">
        <f t="shared" ref="DR147" si="1423">IFERROR(X147*DD147,"-")</f>
        <v>-</v>
      </c>
      <c r="DT147" s="112">
        <f t="shared" ref="DT147" si="1424">SUM(DU147:EF147)</f>
        <v>-256.80580099743628</v>
      </c>
      <c r="DU147" s="114">
        <f>IFERROR(SUMIFS('01. KE30'!$X:$X,'01. KE30'!$C:$C,'06. BC BH THEO CUSTOMER-USD'!$D147,'01. KE30'!$F:$F,'06. BC BH THEO CUSTOMER-USD'!$H147,'01. KE30'!$A:$A,'06. BC BH THEO CUSTOMER-USD'!DU$4)-SUMIFS('01. KE30'!$AA:$AA,'01. KE30'!$C:$C,'06. BC BH THEO CUSTOMER-USD'!$D147,'01. KE30'!$F:$F,'06. BC BH THEO CUSTOMER-USD'!$H147,'01. KE30'!$A:$A,'06. BC BH THEO CUSTOMER-USD'!DU$4),"-")</f>
        <v>0</v>
      </c>
      <c r="DV147" s="114">
        <f>IFERROR(SUMIFS('01. KE30'!$X:$X,'01. KE30'!$C:$C,'06. BC BH THEO CUSTOMER-USD'!$D147,'01. KE30'!$F:$F,'06. BC BH THEO CUSTOMER-USD'!$H147,'01. KE30'!$A:$A,'06. BC BH THEO CUSTOMER-USD'!DV$4)-SUMIFS('01. KE30'!$AA:$AA,'01. KE30'!$C:$C,'06. BC BH THEO CUSTOMER-USD'!$D147,'01. KE30'!$F:$F,'06. BC BH THEO CUSTOMER-USD'!$H147,'01. KE30'!$A:$A,'06. BC BH THEO CUSTOMER-USD'!DV$4),"-")</f>
        <v>0</v>
      </c>
      <c r="DW147" s="114">
        <f>IFERROR(SUMIFS('01. KE30'!$X:$X,'01. KE30'!$C:$C,'06. BC BH THEO CUSTOMER-USD'!$D147,'01. KE30'!$F:$F,'06. BC BH THEO CUSTOMER-USD'!$H147,'01. KE30'!$A:$A,'06. BC BH THEO CUSTOMER-USD'!DW$4)-SUMIFS('01. KE30'!$AA:$AA,'01. KE30'!$C:$C,'06. BC BH THEO CUSTOMER-USD'!$D147,'01. KE30'!$F:$F,'06. BC BH THEO CUSTOMER-USD'!$H147,'01. KE30'!$A:$A,'06. BC BH THEO CUSTOMER-USD'!DW$4),"-")</f>
        <v>-24.548464566929127</v>
      </c>
      <c r="DX147" s="114">
        <f>IFERROR(SUMIFS('01. KE30'!$X:$X,'01. KE30'!$C:$C,'06. BC BH THEO CUSTOMER-USD'!$D147,'01. KE30'!$F:$F,'06. BC BH THEO CUSTOMER-USD'!$H147,'01. KE30'!$A:$A,'06. BC BH THEO CUSTOMER-USD'!DX$4)-SUMIFS('01. KE30'!$AA:$AA,'01. KE30'!$C:$C,'06. BC BH THEO CUSTOMER-USD'!$D147,'01. KE30'!$F:$F,'06. BC BH THEO CUSTOMER-USD'!$H147,'01. KE30'!$A:$A,'06. BC BH THEO CUSTOMER-USD'!DX$4),"-")</f>
        <v>-232.25733643050717</v>
      </c>
      <c r="DY147" s="114">
        <f>IFERROR(SUMIFS('01. KE30'!$X:$X,'01. KE30'!$C:$C,'06. BC BH THEO CUSTOMER-USD'!$D147,'01. KE30'!$F:$F,'06. BC BH THEO CUSTOMER-USD'!$H147,'01. KE30'!$A:$A,'06. BC BH THEO CUSTOMER-USD'!DY$4)-SUMIFS('01. KE30'!$AA:$AA,'01. KE30'!$C:$C,'06. BC BH THEO CUSTOMER-USD'!$D147,'01. KE30'!$F:$F,'06. BC BH THEO CUSTOMER-USD'!$H147,'01. KE30'!$A:$A,'06. BC BH THEO CUSTOMER-USD'!DY$4),"-")</f>
        <v>0</v>
      </c>
      <c r="DZ147" s="114">
        <f>IFERROR(SUMIFS('01. KE30'!$X:$X,'01. KE30'!$C:$C,'06. BC BH THEO CUSTOMER-USD'!$D147,'01. KE30'!$F:$F,'06. BC BH THEO CUSTOMER-USD'!$H147,'01. KE30'!$A:$A,'06. BC BH THEO CUSTOMER-USD'!DZ$4)-SUMIFS('01. KE30'!$AA:$AA,'01. KE30'!$C:$C,'06. BC BH THEO CUSTOMER-USD'!$D147,'01. KE30'!$F:$F,'06. BC BH THEO CUSTOMER-USD'!$H147,'01. KE30'!$A:$A,'06. BC BH THEO CUSTOMER-USD'!DZ$4),"-")</f>
        <v>0</v>
      </c>
      <c r="EA147" s="114">
        <f>IFERROR(SUMIFS('01. KE30'!$X:$X,'01. KE30'!$C:$C,'06. BC BH THEO CUSTOMER-USD'!$D147,'01. KE30'!$F:$F,'06. BC BH THEO CUSTOMER-USD'!$H147,'01. KE30'!$A:$A,'06. BC BH THEO CUSTOMER-USD'!EA$4)-SUMIFS('01. KE30'!$AA:$AA,'01. KE30'!$C:$C,'06. BC BH THEO CUSTOMER-USD'!$D147,'01. KE30'!$F:$F,'06. BC BH THEO CUSTOMER-USD'!$H147,'01. KE30'!$A:$A,'06. BC BH THEO CUSTOMER-USD'!EA$4),"-")</f>
        <v>0</v>
      </c>
      <c r="EB147" s="114">
        <f>IFERROR(SUMIFS('01. KE30'!$X:$X,'01. KE30'!$C:$C,'06. BC BH THEO CUSTOMER-USD'!$D147,'01. KE30'!$F:$F,'06. BC BH THEO CUSTOMER-USD'!$H147,'01. KE30'!$A:$A,'06. BC BH THEO CUSTOMER-USD'!EB$4)-SUMIFS('01. KE30'!$AA:$AA,'01. KE30'!$C:$C,'06. BC BH THEO CUSTOMER-USD'!$D147,'01. KE30'!$F:$F,'06. BC BH THEO CUSTOMER-USD'!$H147,'01. KE30'!$A:$A,'06. BC BH THEO CUSTOMER-USD'!EB$4),"-")</f>
        <v>0</v>
      </c>
      <c r="EC147" s="114">
        <f>IFERROR(SUMIFS('01. KE30'!$X:$X,'01. KE30'!$C:$C,'06. BC BH THEO CUSTOMER-USD'!$D147,'01. KE30'!$F:$F,'06. BC BH THEO CUSTOMER-USD'!$H147,'01. KE30'!$A:$A,'06. BC BH THEO CUSTOMER-USD'!EC$4)-SUMIFS('01. KE30'!$AA:$AA,'01. KE30'!$C:$C,'06. BC BH THEO CUSTOMER-USD'!$D147,'01. KE30'!$F:$F,'06. BC BH THEO CUSTOMER-USD'!$H147,'01. KE30'!$A:$A,'06. BC BH THEO CUSTOMER-USD'!EC$4),"-")</f>
        <v>0</v>
      </c>
      <c r="ED147" s="114">
        <f>IFERROR(SUMIFS('01. KE30'!$X:$X,'01. KE30'!$C:$C,'06. BC BH THEO CUSTOMER-USD'!$D147,'01. KE30'!$F:$F,'06. BC BH THEO CUSTOMER-USD'!$H147,'01. KE30'!$A:$A,'06. BC BH THEO CUSTOMER-USD'!ED$4)-SUMIFS('01. KE30'!$AA:$AA,'01. KE30'!$C:$C,'06. BC BH THEO CUSTOMER-USD'!$D147,'01. KE30'!$F:$F,'06. BC BH THEO CUSTOMER-USD'!$H147,'01. KE30'!$A:$A,'06. BC BH THEO CUSTOMER-USD'!ED$4),"-")</f>
        <v>0</v>
      </c>
      <c r="EE147" s="114">
        <f>IFERROR(SUMIFS('01. KE30'!$X:$X,'01. KE30'!$C:$C,'06. BC BH THEO CUSTOMER-USD'!$D147,'01. KE30'!$F:$F,'06. BC BH THEO CUSTOMER-USD'!$H147,'01. KE30'!$A:$A,'06. BC BH THEO CUSTOMER-USD'!EE$4)-SUMIFS('01. KE30'!$AA:$AA,'01. KE30'!$C:$C,'06. BC BH THEO CUSTOMER-USD'!$D147,'01. KE30'!$F:$F,'06. BC BH THEO CUSTOMER-USD'!$H147,'01. KE30'!$A:$A,'06. BC BH THEO CUSTOMER-USD'!EE$4),"-")</f>
        <v>0</v>
      </c>
      <c r="EF147" s="114">
        <f>IFERROR(SUMIFS('01. KE30'!$X:$X,'01. KE30'!$C:$C,'06. BC BH THEO CUSTOMER-USD'!$D147,'01. KE30'!$F:$F,'06. BC BH THEO CUSTOMER-USD'!$H147,'01. KE30'!$A:$A,'06. BC BH THEO CUSTOMER-USD'!EF$4)-SUMIFS('01. KE30'!$AA:$AA,'01. KE30'!$C:$C,'06. BC BH THEO CUSTOMER-USD'!$D147,'01. KE30'!$F:$F,'06. BC BH THEO CUSTOMER-USD'!$H147,'01. KE30'!$A:$A,'06. BC BH THEO CUSTOMER-USD'!EF$4),"-")</f>
        <v>0</v>
      </c>
      <c r="EH147" s="571">
        <f t="shared" ref="EH147" si="1425">IFERROR(DT147/DF147,"-")</f>
        <v>-0.3541765137446895</v>
      </c>
      <c r="EI147" s="572" t="str">
        <f t="shared" ref="EI147" si="1426">IFERROR(DU147/DG147,"-")</f>
        <v>-</v>
      </c>
      <c r="EJ147" s="572" t="str">
        <f t="shared" ref="EJ147" si="1427">IFERROR(DV147/DH147,"-")</f>
        <v>-</v>
      </c>
      <c r="EK147" s="572">
        <f t="shared" ref="EK147" si="1428">IFERROR(DW147/DI147,"-")</f>
        <v>-0.36678294117647048</v>
      </c>
      <c r="EL147" s="572">
        <f t="shared" ref="EL147" si="1429">IFERROR(DX147/DJ147,"-")</f>
        <v>-0.35289452941176469</v>
      </c>
      <c r="EM147" s="572" t="str">
        <f t="shared" ref="EM147" si="1430">IFERROR(DY147/DK147,"-")</f>
        <v>-</v>
      </c>
      <c r="EN147" s="572" t="str">
        <f t="shared" ref="EN147" si="1431">IFERROR(DZ147/DL147,"-")</f>
        <v>-</v>
      </c>
      <c r="EO147" s="572" t="str">
        <f t="shared" ref="EO147" si="1432">IFERROR(EA147/DM147,"-")</f>
        <v>-</v>
      </c>
      <c r="EP147" s="572" t="str">
        <f t="shared" ref="EP147" si="1433">IFERROR(EB147/DN147,"-")</f>
        <v>-</v>
      </c>
      <c r="EQ147" s="572" t="str">
        <f t="shared" ref="EQ147" si="1434">IFERROR(EC147/DO147,"-")</f>
        <v>-</v>
      </c>
      <c r="ER147" s="572" t="str">
        <f t="shared" ref="ER147" si="1435">IFERROR(ED147/DP147,"-")</f>
        <v>-</v>
      </c>
      <c r="ES147" s="572" t="str">
        <f t="shared" ref="ES147" si="1436">IFERROR(EE147/DQ147,"-")</f>
        <v>-</v>
      </c>
      <c r="ET147" s="572" t="str">
        <f t="shared" ref="ET147" si="1437">IFERROR(EF147/DR147,"-")</f>
        <v>-</v>
      </c>
    </row>
    <row r="148" spans="1:150" ht="15.5" hidden="1" outlineLevel="1" x14ac:dyDescent="0.35">
      <c r="A148" s="10">
        <f t="shared" si="1266"/>
        <v>20</v>
      </c>
      <c r="B148" s="10" t="s">
        <v>265</v>
      </c>
      <c r="C148" s="442" t="s">
        <v>489</v>
      </c>
      <c r="D148" s="9" t="s">
        <v>3</v>
      </c>
      <c r="E148" s="12" t="s">
        <v>2</v>
      </c>
      <c r="F148" s="12" t="s">
        <v>245</v>
      </c>
      <c r="G148" s="12" t="str">
        <f>_xlfn.XLOOKUP(F148,'Quy đổi'!$G$5:$G$32,'Quy đổi'!$H$5:$H$32,0)</f>
        <v>Nội địa</v>
      </c>
      <c r="H148" s="76" t="s">
        <v>50</v>
      </c>
      <c r="I148" s="7" t="s">
        <v>49</v>
      </c>
      <c r="J148" s="69" t="s">
        <v>22</v>
      </c>
      <c r="K148" s="11"/>
      <c r="L148" s="92" t="str">
        <f t="shared" si="1263"/>
        <v>-</v>
      </c>
      <c r="M148" s="106" t="str">
        <f>IFERROR(SUMIFS('01. KE30'!$K:$K,'01. KE30'!$C:$C,'06. BC BH THEO CUSTOMER-USD'!$D148,'01. KE30'!$F:$F,'06. BC BH THEO CUSTOMER-USD'!$H148,'01. KE30'!$A:$A,'06. BC BH THEO CUSTOMER-USD'!M$4)/'06. BC BH THEO CUSTOMER-USD'!CS148/'02. Tỷ giá'!B$5,"-")</f>
        <v>-</v>
      </c>
      <c r="N148" s="106" t="str">
        <f>IFERROR(SUMIFS('01. KE30'!$K:$K,'01. KE30'!$C:$C,'06. BC BH THEO CUSTOMER-USD'!$D148,'01. KE30'!$F:$F,'06. BC BH THEO CUSTOMER-USD'!$H148,'01. KE30'!$A:$A,'06. BC BH THEO CUSTOMER-USD'!N$4)/'06. BC BH THEO CUSTOMER-USD'!CT148/'02. Tỷ giá'!C$5,"-")</f>
        <v>-</v>
      </c>
      <c r="O148" s="106" t="str">
        <f>IFERROR(SUMIFS('01. KE30'!$K:$K,'01. KE30'!$C:$C,'06. BC BH THEO CUSTOMER-USD'!$D148,'01. KE30'!$F:$F,'06. BC BH THEO CUSTOMER-USD'!$H148,'01. KE30'!$A:$A,'06. BC BH THEO CUSTOMER-USD'!O$4)/'06. BC BH THEO CUSTOMER-USD'!CU148/'02. Tỷ giá'!D$5,"-")</f>
        <v>-</v>
      </c>
      <c r="P148" s="106" t="str">
        <f>IFERROR(SUMIFS('01. KE30'!$K:$K,'01. KE30'!$C:$C,'06. BC BH THEO CUSTOMER-USD'!$D148,'01. KE30'!$F:$F,'06. BC BH THEO CUSTOMER-USD'!$H148,'01. KE30'!$A:$A,'06. BC BH THEO CUSTOMER-USD'!P$4)/'06. BC BH THEO CUSTOMER-USD'!CV148/'02. Tỷ giá'!E$5,"-")</f>
        <v>-</v>
      </c>
      <c r="Q148" s="106" t="str">
        <f>IFERROR(SUMIFS('01. KE30'!$K:$K,'01. KE30'!$C:$C,'06. BC BH THEO CUSTOMER-USD'!$D148,'01. KE30'!$F:$F,'06. BC BH THEO CUSTOMER-USD'!$H148,'01. KE30'!$A:$A,'06. BC BH THEO CUSTOMER-USD'!Q$4)/'06. BC BH THEO CUSTOMER-USD'!CW148/'02. Tỷ giá'!F$5,"-")</f>
        <v>-</v>
      </c>
      <c r="R148" s="106" t="str">
        <f>IFERROR(SUMIFS('01. KE30'!$K:$K,'01. KE30'!$C:$C,'06. BC BH THEO CUSTOMER-USD'!$D148,'01. KE30'!$F:$F,'06. BC BH THEO CUSTOMER-USD'!$H148,'01. KE30'!$A:$A,'06. BC BH THEO CUSTOMER-USD'!R$4)/'06. BC BH THEO CUSTOMER-USD'!CX148/'02. Tỷ giá'!G$5,"-")</f>
        <v>-</v>
      </c>
      <c r="S148" s="106" t="str">
        <f>IFERROR(SUMIFS('01. KE30'!$K:$K,'01. KE30'!$C:$C,'06. BC BH THEO CUSTOMER-USD'!$D148,'01. KE30'!$F:$F,'06. BC BH THEO CUSTOMER-USD'!$H148,'01. KE30'!$A:$A,'06. BC BH THEO CUSTOMER-USD'!S$4)/'06. BC BH THEO CUSTOMER-USD'!CY148/'02. Tỷ giá'!H$5,"-")</f>
        <v>-</v>
      </c>
      <c r="T148" s="106" t="str">
        <f>IFERROR(SUMIFS('01. KE30'!$K:$K,'01. KE30'!$C:$C,'06. BC BH THEO CUSTOMER-USD'!$D148,'01. KE30'!$F:$F,'06. BC BH THEO CUSTOMER-USD'!$H148,'01. KE30'!$A:$A,'06. BC BH THEO CUSTOMER-USD'!T$4)/'06. BC BH THEO CUSTOMER-USD'!CZ148/'02. Tỷ giá'!I$5,"-")</f>
        <v>-</v>
      </c>
      <c r="U148" s="106" t="str">
        <f>IFERROR(SUMIFS('01. KE30'!$K:$K,'01. KE30'!$C:$C,'06. BC BH THEO CUSTOMER-USD'!$D148,'01. KE30'!$F:$F,'06. BC BH THEO CUSTOMER-USD'!$H148,'01. KE30'!$A:$A,'06. BC BH THEO CUSTOMER-USD'!U$4)/'06. BC BH THEO CUSTOMER-USD'!DA148/'02. Tỷ giá'!J$5,"-")</f>
        <v>-</v>
      </c>
      <c r="V148" s="106" t="str">
        <f>IFERROR(SUMIFS('01. KE30'!$K:$K,'01. KE30'!$C:$C,'06. BC BH THEO CUSTOMER-USD'!$D148,'01. KE30'!$F:$F,'06. BC BH THEO CUSTOMER-USD'!$H148,'01. KE30'!$A:$A,'06. BC BH THEO CUSTOMER-USD'!V$4)/'06. BC BH THEO CUSTOMER-USD'!DB148/'02. Tỷ giá'!K$5,"-")</f>
        <v>-</v>
      </c>
      <c r="W148" s="106" t="str">
        <f>IFERROR(SUMIFS('01. KE30'!$K:$K,'01. KE30'!$C:$C,'06. BC BH THEO CUSTOMER-USD'!$D148,'01. KE30'!$F:$F,'06. BC BH THEO CUSTOMER-USD'!$H148,'01. KE30'!$A:$A,'06. BC BH THEO CUSTOMER-USD'!W$4)/'06. BC BH THEO CUSTOMER-USD'!DC148/'02. Tỷ giá'!L$5,"-")</f>
        <v>-</v>
      </c>
      <c r="X148" s="106" t="str">
        <f>IFERROR(SUMIFS('01. KE30'!$K:$K,'01. KE30'!$C:$C,'06. BC BH THEO CUSTOMER-USD'!$D148,'01. KE30'!$F:$F,'06. BC BH THEO CUSTOMER-USD'!$H148,'01. KE30'!$A:$A,'06. BC BH THEO CUSTOMER-USD'!X$4)/'06. BC BH THEO CUSTOMER-USD'!DD148/'02. Tỷ giá'!M$5,"-")</f>
        <v>-</v>
      </c>
      <c r="Z148" s="92" t="str">
        <f t="shared" si="1264"/>
        <v>-</v>
      </c>
      <c r="AA148" s="147" t="str">
        <f>IFERROR(SUMIFS('01. KE30'!$O:$O,'01. KE30'!$C:$C,'06. BC BH THEO CUSTOMER-USD'!$D148,'01. KE30'!$F:$F,'06. BC BH THEO CUSTOMER-USD'!$H148,'01. KE30'!$A:$A,'06. BC BH THEO CUSTOMER-USD'!M$4)/'06. BC BH THEO CUSTOMER-USD'!CS148/'02. Tỷ giá'!B$5,"-")</f>
        <v>-</v>
      </c>
      <c r="AB148" s="147" t="str">
        <f>IFERROR(SUMIFS('01. KE30'!$O:$O,'01. KE30'!$C:$C,'06. BC BH THEO CUSTOMER-USD'!$D148,'01. KE30'!$F:$F,'06. BC BH THEO CUSTOMER-USD'!$H148,'01. KE30'!$A:$A,'06. BC BH THEO CUSTOMER-USD'!N$4)/'06. BC BH THEO CUSTOMER-USD'!CT148/'02. Tỷ giá'!C$5,"-")</f>
        <v>-</v>
      </c>
      <c r="AC148" s="147" t="str">
        <f>IFERROR(SUMIFS('01. KE30'!$O:$O,'01. KE30'!$C:$C,'06. BC BH THEO CUSTOMER-USD'!$D148,'01. KE30'!$F:$F,'06. BC BH THEO CUSTOMER-USD'!$H148,'01. KE30'!$A:$A,'06. BC BH THEO CUSTOMER-USD'!O$4)/'06. BC BH THEO CUSTOMER-USD'!CU148/'02. Tỷ giá'!D$5,"-")</f>
        <v>-</v>
      </c>
      <c r="AD148" s="147" t="str">
        <f>IFERROR(SUMIFS('01. KE30'!$O:$O,'01. KE30'!$C:$C,'06. BC BH THEO CUSTOMER-USD'!$D148,'01. KE30'!$F:$F,'06. BC BH THEO CUSTOMER-USD'!$H148,'01. KE30'!$A:$A,'06. BC BH THEO CUSTOMER-USD'!P$4)/'06. BC BH THEO CUSTOMER-USD'!CV148/'02. Tỷ giá'!E$5,"-")</f>
        <v>-</v>
      </c>
      <c r="AE148" s="147" t="str">
        <f>IFERROR(SUMIFS('01. KE30'!$O:$O,'01. KE30'!$C:$C,'06. BC BH THEO CUSTOMER-USD'!$D148,'01. KE30'!$F:$F,'06. BC BH THEO CUSTOMER-USD'!$H148,'01. KE30'!$A:$A,'06. BC BH THEO CUSTOMER-USD'!Q$4)/'06. BC BH THEO CUSTOMER-USD'!CW148/'02. Tỷ giá'!F$5,"-")</f>
        <v>-</v>
      </c>
      <c r="AF148" s="147" t="str">
        <f>IFERROR(SUMIFS('01. KE30'!$O:$O,'01. KE30'!$C:$C,'06. BC BH THEO CUSTOMER-USD'!$D148,'01. KE30'!$F:$F,'06. BC BH THEO CUSTOMER-USD'!$H148,'01. KE30'!$A:$A,'06. BC BH THEO CUSTOMER-USD'!R$4)/'06. BC BH THEO CUSTOMER-USD'!CX148/'02. Tỷ giá'!G$5,"-")</f>
        <v>-</v>
      </c>
      <c r="AG148" s="147" t="str">
        <f>IFERROR(SUMIFS('01. KE30'!$O:$O,'01. KE30'!$C:$C,'06. BC BH THEO CUSTOMER-USD'!$D148,'01. KE30'!$F:$F,'06. BC BH THEO CUSTOMER-USD'!$H148,'01. KE30'!$A:$A,'06. BC BH THEO CUSTOMER-USD'!S$4)/'06. BC BH THEO CUSTOMER-USD'!CY148/'02. Tỷ giá'!H$5,"-")</f>
        <v>-</v>
      </c>
      <c r="AH148" s="147" t="str">
        <f>IFERROR(SUMIFS('01. KE30'!$O:$O,'01. KE30'!$C:$C,'06. BC BH THEO CUSTOMER-USD'!$D148,'01. KE30'!$F:$F,'06. BC BH THEO CUSTOMER-USD'!$H148,'01. KE30'!$A:$A,'06. BC BH THEO CUSTOMER-USD'!T$4)/'06. BC BH THEO CUSTOMER-USD'!CZ148/'02. Tỷ giá'!I$5,"-")</f>
        <v>-</v>
      </c>
      <c r="AI148" s="147" t="str">
        <f>IFERROR(SUMIFS('01. KE30'!$O:$O,'01. KE30'!$C:$C,'06. BC BH THEO CUSTOMER-USD'!$D148,'01. KE30'!$F:$F,'06. BC BH THEO CUSTOMER-USD'!$H148,'01. KE30'!$A:$A,'06. BC BH THEO CUSTOMER-USD'!U$4)/'06. BC BH THEO CUSTOMER-USD'!DA148/'02. Tỷ giá'!J$5,"-")</f>
        <v>-</v>
      </c>
      <c r="AJ148" s="147" t="str">
        <f>IFERROR(SUMIFS('01. KE30'!$O:$O,'01. KE30'!$C:$C,'06. BC BH THEO CUSTOMER-USD'!$D148,'01. KE30'!$F:$F,'06. BC BH THEO CUSTOMER-USD'!$H148,'01. KE30'!$A:$A,'06. BC BH THEO CUSTOMER-USD'!V$4)/'06. BC BH THEO CUSTOMER-USD'!DB148/'02. Tỷ giá'!K$5,"-")</f>
        <v>-</v>
      </c>
      <c r="AK148" s="147" t="str">
        <f>IFERROR(SUMIFS('01. KE30'!$O:$O,'01. KE30'!$C:$C,'06. BC BH THEO CUSTOMER-USD'!$D148,'01. KE30'!$F:$F,'06. BC BH THEO CUSTOMER-USD'!$H148,'01. KE30'!$A:$A,'06. BC BH THEO CUSTOMER-USD'!W$4)/'06. BC BH THEO CUSTOMER-USD'!DC148/'02. Tỷ giá'!L$5,"-")</f>
        <v>-</v>
      </c>
      <c r="AL148" s="147" t="str">
        <f>IFERROR(SUMIFS('01. KE30'!$O:$O,'01. KE30'!$C:$C,'06. BC BH THEO CUSTOMER-USD'!$D148,'01. KE30'!$F:$F,'06. BC BH THEO CUSTOMER-USD'!$H148,'01. KE30'!$A:$A,'06. BC BH THEO CUSTOMER-USD'!X$4)/'06. BC BH THEO CUSTOMER-USD'!DD148/'02. Tỷ giá'!M$5,"-")</f>
        <v>-</v>
      </c>
      <c r="AN148" s="55">
        <f t="shared" si="1265"/>
        <v>1260</v>
      </c>
      <c r="AO148" s="4">
        <v>1350</v>
      </c>
      <c r="AP148" s="4">
        <v>1300</v>
      </c>
      <c r="AQ148" s="4">
        <f t="shared" ref="AQ148:AQ153" si="1438">AP148-50</f>
        <v>1250</v>
      </c>
      <c r="AR148" s="4">
        <v>1250</v>
      </c>
      <c r="AS148" s="4">
        <v>1250</v>
      </c>
      <c r="AT148" s="4">
        <v>1250</v>
      </c>
      <c r="AU148" s="4">
        <v>1250</v>
      </c>
      <c r="AV148" s="4">
        <f t="shared" si="1272"/>
        <v>1230</v>
      </c>
      <c r="AW148" s="4">
        <v>1210</v>
      </c>
      <c r="AX148" s="4"/>
      <c r="AY148" s="4"/>
      <c r="AZ148" s="4"/>
      <c r="BB148" s="54" t="str">
        <f t="shared" si="637"/>
        <v>-</v>
      </c>
      <c r="BC148" s="95" t="str">
        <f t="shared" si="1333"/>
        <v>-</v>
      </c>
      <c r="BD148" s="95" t="str">
        <f t="shared" si="1330"/>
        <v>-</v>
      </c>
      <c r="BE148" s="95" t="str">
        <f t="shared" si="1330"/>
        <v>-</v>
      </c>
      <c r="BF148" s="95" t="str">
        <f t="shared" si="1330"/>
        <v>-</v>
      </c>
      <c r="BG148" s="95" t="str">
        <f t="shared" si="1330"/>
        <v>-</v>
      </c>
      <c r="BH148" s="95" t="str">
        <f t="shared" si="1330"/>
        <v>-</v>
      </c>
      <c r="BI148" s="95" t="str">
        <f t="shared" si="1330"/>
        <v>-</v>
      </c>
      <c r="BJ148" s="95" t="str">
        <f t="shared" si="1330"/>
        <v>-</v>
      </c>
      <c r="BK148" s="95" t="str">
        <f t="shared" si="1330"/>
        <v>-</v>
      </c>
      <c r="BL148" s="95" t="str">
        <f t="shared" si="1330"/>
        <v>-</v>
      </c>
      <c r="BM148" s="95" t="str">
        <f t="shared" si="1330"/>
        <v>-</v>
      </c>
      <c r="BN148" s="95" t="str">
        <f t="shared" si="1330"/>
        <v>-</v>
      </c>
      <c r="BP148" s="143" t="str">
        <f t="shared" si="639"/>
        <v>-</v>
      </c>
      <c r="BQ148" s="143" t="str">
        <f t="shared" si="1331"/>
        <v>-</v>
      </c>
      <c r="BR148" s="143" t="str">
        <f t="shared" si="518"/>
        <v>-</v>
      </c>
      <c r="BS148" s="143" t="str">
        <f t="shared" si="519"/>
        <v>-</v>
      </c>
      <c r="BT148" s="143" t="str">
        <f t="shared" si="520"/>
        <v>-</v>
      </c>
      <c r="BU148" s="143" t="str">
        <f t="shared" si="521"/>
        <v>-</v>
      </c>
      <c r="BV148" s="143" t="str">
        <f t="shared" si="522"/>
        <v>-</v>
      </c>
      <c r="BW148" s="143" t="str">
        <f t="shared" si="523"/>
        <v>-</v>
      </c>
      <c r="BX148" s="143" t="str">
        <f t="shared" si="524"/>
        <v>-</v>
      </c>
      <c r="BY148" s="143" t="str">
        <f t="shared" si="525"/>
        <v>-</v>
      </c>
      <c r="BZ148" s="143" t="str">
        <f t="shared" si="526"/>
        <v>-</v>
      </c>
      <c r="CA148" s="143" t="str">
        <f t="shared" si="527"/>
        <v>-</v>
      </c>
      <c r="CB148" s="143" t="str">
        <f t="shared" si="528"/>
        <v>-</v>
      </c>
      <c r="CD148" s="112" t="str">
        <f t="shared" si="1248"/>
        <v>-</v>
      </c>
      <c r="CE148" s="95" t="str">
        <f>IFERROR(SUMIFS('01. KE30'!$R:$R,'01. KE30'!$C:$C,'06. BC BH THEO CUSTOMER-USD'!$D148,'01. KE30'!$F:$F,'06. BC BH THEO CUSTOMER-USD'!$H148,'01. KE30'!$A:$A,'06. BC BH THEO CUSTOMER-USD'!CE$4)/CS148/'02. Tỷ giá'!B$5," -")</f>
        <v xml:space="preserve"> -</v>
      </c>
      <c r="CF148" s="95" t="str">
        <f>IFERROR(SUMIFS('01. KE30'!$R:$R,'01. KE30'!$C:$C,'06. BC BH THEO CUSTOMER-USD'!$D148,'01. KE30'!$F:$F,'06. BC BH THEO CUSTOMER-USD'!$H148,'01. KE30'!$A:$A,'06. BC BH THEO CUSTOMER-USD'!CF$4)/CT148/'02. Tỷ giá'!C$5," -")</f>
        <v xml:space="preserve"> -</v>
      </c>
      <c r="CG148" s="95" t="str">
        <f>IFERROR(SUMIFS('01. KE30'!$R:$R,'01. KE30'!$C:$C,'06. BC BH THEO CUSTOMER-USD'!$D148,'01. KE30'!$F:$F,'06. BC BH THEO CUSTOMER-USD'!$H148,'01. KE30'!$A:$A,'06. BC BH THEO CUSTOMER-USD'!CG$4)/CU148/'02. Tỷ giá'!D$5," -")</f>
        <v xml:space="preserve"> -</v>
      </c>
      <c r="CH148" s="95" t="str">
        <f>IFERROR(SUMIFS('01. KE30'!$R:$R,'01. KE30'!$C:$C,'06. BC BH THEO CUSTOMER-USD'!$D148,'01. KE30'!$F:$F,'06. BC BH THEO CUSTOMER-USD'!$H148,'01. KE30'!$A:$A,'06. BC BH THEO CUSTOMER-USD'!CH$4)/CV148/'02. Tỷ giá'!E$5," -")</f>
        <v xml:space="preserve"> -</v>
      </c>
      <c r="CI148" s="95" t="str">
        <f>IFERROR(SUMIFS('01. KE30'!$R:$R,'01. KE30'!$C:$C,'06. BC BH THEO CUSTOMER-USD'!$D148,'01. KE30'!$F:$F,'06. BC BH THEO CUSTOMER-USD'!$H148,'01. KE30'!$A:$A,'06. BC BH THEO CUSTOMER-USD'!CI$4)/CW148/'02. Tỷ giá'!F$5," -")</f>
        <v xml:space="preserve"> -</v>
      </c>
      <c r="CJ148" s="95" t="str">
        <f>IFERROR(SUMIFS('01. KE30'!$R:$R,'01. KE30'!$C:$C,'06. BC BH THEO CUSTOMER-USD'!$D148,'01. KE30'!$F:$F,'06. BC BH THEO CUSTOMER-USD'!$H148,'01. KE30'!$A:$A,'06. BC BH THEO CUSTOMER-USD'!CJ$4)/CX148/'02. Tỷ giá'!G$5," -")</f>
        <v xml:space="preserve"> -</v>
      </c>
      <c r="CK148" s="95" t="str">
        <f>IFERROR(SUMIFS('01. KE30'!$R:$R,'01. KE30'!$C:$C,'06. BC BH THEO CUSTOMER-USD'!$D148,'01. KE30'!$F:$F,'06. BC BH THEO CUSTOMER-USD'!$H148,'01. KE30'!$A:$A,'06. BC BH THEO CUSTOMER-USD'!CK$4)/CY148/'02. Tỷ giá'!H$5," -")</f>
        <v xml:space="preserve"> -</v>
      </c>
      <c r="CL148" s="95" t="str">
        <f>IFERROR(SUMIFS('01. KE30'!$R:$R,'01. KE30'!$C:$C,'06. BC BH THEO CUSTOMER-USD'!$D148,'01. KE30'!$F:$F,'06. BC BH THEO CUSTOMER-USD'!$H148,'01. KE30'!$A:$A,'06. BC BH THEO CUSTOMER-USD'!CL$4)/CZ148/'02. Tỷ giá'!I$5," -")</f>
        <v xml:space="preserve"> -</v>
      </c>
      <c r="CM148" s="95" t="str">
        <f>IFERROR(SUMIFS('01. KE30'!$R:$R,'01. KE30'!$C:$C,'06. BC BH THEO CUSTOMER-USD'!$D148,'01. KE30'!$F:$F,'06. BC BH THEO CUSTOMER-USD'!$H148,'01. KE30'!$A:$A,'06. BC BH THEO CUSTOMER-USD'!CM$4)/DA148/'02. Tỷ giá'!J$5," -")</f>
        <v xml:space="preserve"> -</v>
      </c>
      <c r="CN148" s="95" t="str">
        <f>IFERROR(SUMIFS('01. KE30'!$R:$R,'01. KE30'!$C:$C,'06. BC BH THEO CUSTOMER-USD'!$D148,'01. KE30'!$F:$F,'06. BC BH THEO CUSTOMER-USD'!$H148,'01. KE30'!$A:$A,'06. BC BH THEO CUSTOMER-USD'!CN$4)/DB148/'02. Tỷ giá'!K$5," -")</f>
        <v xml:space="preserve"> -</v>
      </c>
      <c r="CO148" s="95" t="str">
        <f>IFERROR(SUMIFS('01. KE30'!$R:$R,'01. KE30'!$C:$C,'06. BC BH THEO CUSTOMER-USD'!$D148,'01. KE30'!$F:$F,'06. BC BH THEO CUSTOMER-USD'!$H148,'01. KE30'!$A:$A,'06. BC BH THEO CUSTOMER-USD'!CO$4)/DC148/'02. Tỷ giá'!L$5," -")</f>
        <v xml:space="preserve"> -</v>
      </c>
      <c r="CP148" s="95" t="str">
        <f>IFERROR(SUMIFS('01. KE30'!$R:$R,'01. KE30'!$C:$C,'06. BC BH THEO CUSTOMER-USD'!$D148,'01. KE30'!$F:$F,'06. BC BH THEO CUSTOMER-USD'!$H148,'01. KE30'!$A:$A,'06. BC BH THEO CUSTOMER-USD'!CP$4)/DD148/'02. Tỷ giá'!M$5," -")</f>
        <v xml:space="preserve"> -</v>
      </c>
      <c r="CR148" s="112">
        <f t="shared" si="1249"/>
        <v>0</v>
      </c>
      <c r="CS148" s="114">
        <f>SUMIFS('01. KE30'!$I:$I,'01. KE30'!$C:$C,'06. BC BH THEO CUSTOMER-USD'!$D148,'01. KE30'!$F:$F,'06. BC BH THEO CUSTOMER-USD'!$H148,'01. KE30'!$A:$A,'06. BC BH THEO CUSTOMER-USD'!CS$4)/1000</f>
        <v>0</v>
      </c>
      <c r="CT148" s="114">
        <f>SUMIFS('01. KE30'!$I:$I,'01. KE30'!$C:$C,'06. BC BH THEO CUSTOMER-USD'!$D148,'01. KE30'!$F:$F,'06. BC BH THEO CUSTOMER-USD'!$H148,'01. KE30'!$A:$A,'06. BC BH THEO CUSTOMER-USD'!CT$4)/1000</f>
        <v>0</v>
      </c>
      <c r="CU148" s="114">
        <f>SUMIFS('01. KE30'!$I:$I,'01. KE30'!$C:$C,'06. BC BH THEO CUSTOMER-USD'!$D148,'01. KE30'!$F:$F,'06. BC BH THEO CUSTOMER-USD'!$H148,'01. KE30'!$A:$A,'06. BC BH THEO CUSTOMER-USD'!CU$4)/1000</f>
        <v>0</v>
      </c>
      <c r="CV148" s="114">
        <f>SUMIFS('01. KE30'!$I:$I,'01. KE30'!$C:$C,'06. BC BH THEO CUSTOMER-USD'!$D148,'01. KE30'!$F:$F,'06. BC BH THEO CUSTOMER-USD'!$H148,'01. KE30'!$A:$A,'06. BC BH THEO CUSTOMER-USD'!CV$4)/1000</f>
        <v>0</v>
      </c>
      <c r="CW148" s="114">
        <f>SUMIFS('01. KE30'!$I:$I,'01. KE30'!$C:$C,'06. BC BH THEO CUSTOMER-USD'!$D148,'01. KE30'!$F:$F,'06. BC BH THEO CUSTOMER-USD'!$H148,'01. KE30'!$A:$A,'06. BC BH THEO CUSTOMER-USD'!CW$4)/1000</f>
        <v>0</v>
      </c>
      <c r="CX148" s="114">
        <f>SUMIFS('01. KE30'!$I:$I,'01. KE30'!$C:$C,'06. BC BH THEO CUSTOMER-USD'!$D148,'01. KE30'!$F:$F,'06. BC BH THEO CUSTOMER-USD'!$H148,'01. KE30'!$A:$A,'06. BC BH THEO CUSTOMER-USD'!CX$4)/1000</f>
        <v>0</v>
      </c>
      <c r="CY148" s="114">
        <f>SUMIFS('01. KE30'!$I:$I,'01. KE30'!$C:$C,'06. BC BH THEO CUSTOMER-USD'!$D148,'01. KE30'!$F:$F,'06. BC BH THEO CUSTOMER-USD'!$H148,'01. KE30'!$A:$A,'06. BC BH THEO CUSTOMER-USD'!CY$4)/1000</f>
        <v>0</v>
      </c>
      <c r="CZ148" s="114">
        <f>SUMIFS('01. KE30'!$I:$I,'01. KE30'!$C:$C,'06. BC BH THEO CUSTOMER-USD'!$D148,'01. KE30'!$F:$F,'06. BC BH THEO CUSTOMER-USD'!$H148,'01. KE30'!$A:$A,'06. BC BH THEO CUSTOMER-USD'!CZ$4)/1000</f>
        <v>0</v>
      </c>
      <c r="DA148" s="114">
        <f>SUMIFS('01. KE30'!$I:$I,'01. KE30'!$C:$C,'06. BC BH THEO CUSTOMER-USD'!$D148,'01. KE30'!$F:$F,'06. BC BH THEO CUSTOMER-USD'!$H148,'01. KE30'!$A:$A,'06. BC BH THEO CUSTOMER-USD'!DA$4)/1000</f>
        <v>0</v>
      </c>
      <c r="DB148" s="114">
        <f>SUMIFS('01. KE30'!$I:$I,'01. KE30'!$C:$C,'06. BC BH THEO CUSTOMER-USD'!$D148,'01. KE30'!$F:$F,'06. BC BH THEO CUSTOMER-USD'!$H148,'01. KE30'!$A:$A,'06. BC BH THEO CUSTOMER-USD'!DB$4)/1000</f>
        <v>0</v>
      </c>
      <c r="DC148" s="114">
        <f>SUMIFS('01. KE30'!$I:$I,'01. KE30'!$C:$C,'06. BC BH THEO CUSTOMER-USD'!$D148,'01. KE30'!$F:$F,'06. BC BH THEO CUSTOMER-USD'!$H148,'01. KE30'!$A:$A,'06. BC BH THEO CUSTOMER-USD'!DC$4)/1000</f>
        <v>0</v>
      </c>
      <c r="DD148" s="114">
        <f>SUMIFS('01. KE30'!$I:$I,'01. KE30'!$C:$C,'06. BC BH THEO CUSTOMER-USD'!$D148,'01. KE30'!$F:$F,'06. BC BH THEO CUSTOMER-USD'!$H148,'01. KE30'!$A:$A,'06. BC BH THEO CUSTOMER-USD'!DD$4)/1000</f>
        <v>0</v>
      </c>
      <c r="DF148" s="112">
        <f t="shared" si="1250"/>
        <v>0</v>
      </c>
      <c r="DG148" s="54" t="str">
        <f t="shared" si="1251"/>
        <v>-</v>
      </c>
      <c r="DH148" s="54" t="str">
        <f t="shared" si="1252"/>
        <v>-</v>
      </c>
      <c r="DI148" s="54" t="str">
        <f t="shared" si="1253"/>
        <v>-</v>
      </c>
      <c r="DJ148" s="54" t="str">
        <f t="shared" si="1254"/>
        <v>-</v>
      </c>
      <c r="DK148" s="54" t="str">
        <f t="shared" si="1255"/>
        <v>-</v>
      </c>
      <c r="DL148" s="54" t="str">
        <f t="shared" si="1256"/>
        <v>-</v>
      </c>
      <c r="DM148" s="54" t="str">
        <f t="shared" si="1257"/>
        <v>-</v>
      </c>
      <c r="DN148" s="54" t="str">
        <f t="shared" si="1258"/>
        <v>-</v>
      </c>
      <c r="DO148" s="54" t="str">
        <f t="shared" si="1259"/>
        <v>-</v>
      </c>
      <c r="DP148" s="54" t="str">
        <f t="shared" si="1260"/>
        <v>-</v>
      </c>
      <c r="DQ148" s="54" t="str">
        <f t="shared" si="1261"/>
        <v>-</v>
      </c>
      <c r="DR148" s="54" t="str">
        <f t="shared" si="1262"/>
        <v>-</v>
      </c>
      <c r="DT148" s="112">
        <f t="shared" si="652"/>
        <v>0</v>
      </c>
      <c r="DU148" s="114">
        <f>IFERROR(SUMIFS('01. KE30'!$X:$X,'01. KE30'!$C:$C,'06. BC BH THEO CUSTOMER-USD'!$D148,'01. KE30'!$F:$F,'06. BC BH THEO CUSTOMER-USD'!$H148,'01. KE30'!$A:$A,'06. BC BH THEO CUSTOMER-USD'!DU$4)-SUMIFS('01. KE30'!$AA:$AA,'01. KE30'!$C:$C,'06. BC BH THEO CUSTOMER-USD'!$D148,'01. KE30'!$F:$F,'06. BC BH THEO CUSTOMER-USD'!$H148,'01. KE30'!$A:$A,'06. BC BH THEO CUSTOMER-USD'!DU$4),"-")</f>
        <v>0</v>
      </c>
      <c r="DV148" s="114">
        <f>IFERROR(SUMIFS('01. KE30'!$X:$X,'01. KE30'!$C:$C,'06. BC BH THEO CUSTOMER-USD'!$D148,'01. KE30'!$F:$F,'06. BC BH THEO CUSTOMER-USD'!$H148,'01. KE30'!$A:$A,'06. BC BH THEO CUSTOMER-USD'!DV$4)-SUMIFS('01. KE30'!$AA:$AA,'01. KE30'!$C:$C,'06. BC BH THEO CUSTOMER-USD'!$D148,'01. KE30'!$F:$F,'06. BC BH THEO CUSTOMER-USD'!$H148,'01. KE30'!$A:$A,'06. BC BH THEO CUSTOMER-USD'!DV$4),"-")</f>
        <v>0</v>
      </c>
      <c r="DW148" s="114">
        <f>IFERROR(SUMIFS('01. KE30'!$X:$X,'01. KE30'!$C:$C,'06. BC BH THEO CUSTOMER-USD'!$D148,'01. KE30'!$F:$F,'06. BC BH THEO CUSTOMER-USD'!$H148,'01. KE30'!$A:$A,'06. BC BH THEO CUSTOMER-USD'!DW$4)-SUMIFS('01. KE30'!$AA:$AA,'01. KE30'!$C:$C,'06. BC BH THEO CUSTOMER-USD'!$D148,'01. KE30'!$F:$F,'06. BC BH THEO CUSTOMER-USD'!$H148,'01. KE30'!$A:$A,'06. BC BH THEO CUSTOMER-USD'!DW$4),"-")</f>
        <v>0</v>
      </c>
      <c r="DX148" s="114">
        <f>IFERROR(SUMIFS('01. KE30'!$X:$X,'01. KE30'!$C:$C,'06. BC BH THEO CUSTOMER-USD'!$D148,'01. KE30'!$F:$F,'06. BC BH THEO CUSTOMER-USD'!$H148,'01. KE30'!$A:$A,'06. BC BH THEO CUSTOMER-USD'!DX$4)-SUMIFS('01. KE30'!$AA:$AA,'01. KE30'!$C:$C,'06. BC BH THEO CUSTOMER-USD'!$D148,'01. KE30'!$F:$F,'06. BC BH THEO CUSTOMER-USD'!$H148,'01. KE30'!$A:$A,'06. BC BH THEO CUSTOMER-USD'!DX$4),"-")</f>
        <v>0</v>
      </c>
      <c r="DY148" s="114">
        <f>IFERROR(SUMIFS('01. KE30'!$X:$X,'01. KE30'!$C:$C,'06. BC BH THEO CUSTOMER-USD'!$D148,'01. KE30'!$F:$F,'06. BC BH THEO CUSTOMER-USD'!$H148,'01. KE30'!$A:$A,'06. BC BH THEO CUSTOMER-USD'!DY$4)-SUMIFS('01. KE30'!$AA:$AA,'01. KE30'!$C:$C,'06. BC BH THEO CUSTOMER-USD'!$D148,'01. KE30'!$F:$F,'06. BC BH THEO CUSTOMER-USD'!$H148,'01. KE30'!$A:$A,'06. BC BH THEO CUSTOMER-USD'!DY$4),"-")</f>
        <v>0</v>
      </c>
      <c r="DZ148" s="114">
        <f>IFERROR(SUMIFS('01. KE30'!$X:$X,'01. KE30'!$C:$C,'06. BC BH THEO CUSTOMER-USD'!$D148,'01. KE30'!$F:$F,'06. BC BH THEO CUSTOMER-USD'!$H148,'01. KE30'!$A:$A,'06. BC BH THEO CUSTOMER-USD'!DZ$4)-SUMIFS('01. KE30'!$AA:$AA,'01. KE30'!$C:$C,'06. BC BH THEO CUSTOMER-USD'!$D148,'01. KE30'!$F:$F,'06. BC BH THEO CUSTOMER-USD'!$H148,'01. KE30'!$A:$A,'06. BC BH THEO CUSTOMER-USD'!DZ$4),"-")</f>
        <v>0</v>
      </c>
      <c r="EA148" s="114">
        <f>IFERROR(SUMIFS('01. KE30'!$X:$X,'01. KE30'!$C:$C,'06. BC BH THEO CUSTOMER-USD'!$D148,'01. KE30'!$F:$F,'06. BC BH THEO CUSTOMER-USD'!$H148,'01. KE30'!$A:$A,'06. BC BH THEO CUSTOMER-USD'!EA$4)-SUMIFS('01. KE30'!$AA:$AA,'01. KE30'!$C:$C,'06. BC BH THEO CUSTOMER-USD'!$D148,'01. KE30'!$F:$F,'06. BC BH THEO CUSTOMER-USD'!$H148,'01. KE30'!$A:$A,'06. BC BH THEO CUSTOMER-USD'!EA$4),"-")</f>
        <v>0</v>
      </c>
      <c r="EB148" s="114">
        <f>IFERROR(SUMIFS('01. KE30'!$X:$X,'01. KE30'!$C:$C,'06. BC BH THEO CUSTOMER-USD'!$D148,'01. KE30'!$F:$F,'06. BC BH THEO CUSTOMER-USD'!$H148,'01. KE30'!$A:$A,'06. BC BH THEO CUSTOMER-USD'!EB$4)-SUMIFS('01. KE30'!$AA:$AA,'01. KE30'!$C:$C,'06. BC BH THEO CUSTOMER-USD'!$D148,'01. KE30'!$F:$F,'06. BC BH THEO CUSTOMER-USD'!$H148,'01. KE30'!$A:$A,'06. BC BH THEO CUSTOMER-USD'!EB$4),"-")</f>
        <v>0</v>
      </c>
      <c r="EC148" s="114">
        <f>IFERROR(SUMIFS('01. KE30'!$X:$X,'01. KE30'!$C:$C,'06. BC BH THEO CUSTOMER-USD'!$D148,'01. KE30'!$F:$F,'06. BC BH THEO CUSTOMER-USD'!$H148,'01. KE30'!$A:$A,'06. BC BH THEO CUSTOMER-USD'!EC$4)-SUMIFS('01. KE30'!$AA:$AA,'01. KE30'!$C:$C,'06. BC BH THEO CUSTOMER-USD'!$D148,'01. KE30'!$F:$F,'06. BC BH THEO CUSTOMER-USD'!$H148,'01. KE30'!$A:$A,'06. BC BH THEO CUSTOMER-USD'!EC$4),"-")</f>
        <v>0</v>
      </c>
      <c r="ED148" s="114">
        <f>IFERROR(SUMIFS('01. KE30'!$X:$X,'01. KE30'!$C:$C,'06. BC BH THEO CUSTOMER-USD'!$D148,'01. KE30'!$F:$F,'06. BC BH THEO CUSTOMER-USD'!$H148,'01. KE30'!$A:$A,'06. BC BH THEO CUSTOMER-USD'!ED$4)-SUMIFS('01. KE30'!$AA:$AA,'01. KE30'!$C:$C,'06. BC BH THEO CUSTOMER-USD'!$D148,'01. KE30'!$F:$F,'06. BC BH THEO CUSTOMER-USD'!$H148,'01. KE30'!$A:$A,'06. BC BH THEO CUSTOMER-USD'!ED$4),"-")</f>
        <v>0</v>
      </c>
      <c r="EE148" s="114">
        <f>IFERROR(SUMIFS('01. KE30'!$X:$X,'01. KE30'!$C:$C,'06. BC BH THEO CUSTOMER-USD'!$D148,'01. KE30'!$F:$F,'06. BC BH THEO CUSTOMER-USD'!$H148,'01. KE30'!$A:$A,'06. BC BH THEO CUSTOMER-USD'!EE$4)-SUMIFS('01. KE30'!$AA:$AA,'01. KE30'!$C:$C,'06. BC BH THEO CUSTOMER-USD'!$D148,'01. KE30'!$F:$F,'06. BC BH THEO CUSTOMER-USD'!$H148,'01. KE30'!$A:$A,'06. BC BH THEO CUSTOMER-USD'!EE$4),"-")</f>
        <v>0</v>
      </c>
      <c r="EF148" s="114">
        <f>IFERROR(SUMIFS('01. KE30'!$X:$X,'01. KE30'!$C:$C,'06. BC BH THEO CUSTOMER-USD'!$D148,'01. KE30'!$F:$F,'06. BC BH THEO CUSTOMER-USD'!$H148,'01. KE30'!$A:$A,'06. BC BH THEO CUSTOMER-USD'!EF$4)-SUMIFS('01. KE30'!$AA:$AA,'01. KE30'!$C:$C,'06. BC BH THEO CUSTOMER-USD'!$D148,'01. KE30'!$F:$F,'06. BC BH THEO CUSTOMER-USD'!$H148,'01. KE30'!$A:$A,'06. BC BH THEO CUSTOMER-USD'!EF$4),"-")</f>
        <v>0</v>
      </c>
      <c r="EH148" s="571" t="str">
        <f t="shared" si="531"/>
        <v>-</v>
      </c>
      <c r="EI148" s="572" t="str">
        <f t="shared" si="532"/>
        <v>-</v>
      </c>
      <c r="EJ148" s="572" t="str">
        <f t="shared" si="533"/>
        <v>-</v>
      </c>
      <c r="EK148" s="572" t="str">
        <f t="shared" si="534"/>
        <v>-</v>
      </c>
      <c r="EL148" s="572" t="str">
        <f t="shared" si="535"/>
        <v>-</v>
      </c>
      <c r="EM148" s="572" t="str">
        <f t="shared" si="536"/>
        <v>-</v>
      </c>
      <c r="EN148" s="572" t="str">
        <f t="shared" si="537"/>
        <v>-</v>
      </c>
      <c r="EO148" s="572" t="str">
        <f t="shared" si="538"/>
        <v>-</v>
      </c>
      <c r="EP148" s="572" t="str">
        <f t="shared" si="539"/>
        <v>-</v>
      </c>
      <c r="EQ148" s="572" t="str">
        <f t="shared" si="540"/>
        <v>-</v>
      </c>
      <c r="ER148" s="572" t="str">
        <f t="shared" si="541"/>
        <v>-</v>
      </c>
      <c r="ES148" s="572" t="str">
        <f t="shared" si="542"/>
        <v>-</v>
      </c>
      <c r="ET148" s="572" t="str">
        <f t="shared" si="543"/>
        <v>-</v>
      </c>
    </row>
    <row r="149" spans="1:150" ht="15.5" hidden="1" outlineLevel="1" x14ac:dyDescent="0.35">
      <c r="A149" s="10">
        <f t="shared" si="1266"/>
        <v>21</v>
      </c>
      <c r="B149" s="10" t="s">
        <v>265</v>
      </c>
      <c r="C149" s="442" t="s">
        <v>489</v>
      </c>
      <c r="D149" s="9" t="s">
        <v>185</v>
      </c>
      <c r="E149" s="12" t="s">
        <v>186</v>
      </c>
      <c r="F149" s="12" t="s">
        <v>245</v>
      </c>
      <c r="G149" s="12" t="str">
        <f>_xlfn.XLOOKUP(F149,'Quy đổi'!$G$5:$G$32,'Quy đổi'!$H$5:$H$32,0)</f>
        <v>Nội địa</v>
      </c>
      <c r="H149" s="76" t="s">
        <v>187</v>
      </c>
      <c r="I149" s="7" t="s">
        <v>188</v>
      </c>
      <c r="J149" s="69" t="s">
        <v>22</v>
      </c>
      <c r="K149" s="11"/>
      <c r="L149" s="92">
        <f>IFERROR(AVERAGE(M149:X149),"-")</f>
        <v>1314.8425196850394</v>
      </c>
      <c r="M149" s="106" t="str">
        <f>IFERROR(SUMIFS('01. KE30'!$K:$K,'01. KE30'!$C:$C,'06. BC BH THEO CUSTOMER-USD'!$D149,'01. KE30'!$F:$F,'06. BC BH THEO CUSTOMER-USD'!$H149,'01. KE30'!$A:$A,'06. BC BH THEO CUSTOMER-USD'!M$4)/'06. BC BH THEO CUSTOMER-USD'!CS149/'02. Tỷ giá'!B$5,"-")</f>
        <v>-</v>
      </c>
      <c r="N149" s="106" t="str">
        <f>IFERROR(SUMIFS('01. KE30'!$K:$K,'01. KE30'!$C:$C,'06. BC BH THEO CUSTOMER-USD'!$D149,'01. KE30'!$F:$F,'06. BC BH THEO CUSTOMER-USD'!$H149,'01. KE30'!$A:$A,'06. BC BH THEO CUSTOMER-USD'!N$4)/'06. BC BH THEO CUSTOMER-USD'!CT149/'02. Tỷ giá'!C$5,"-")</f>
        <v>-</v>
      </c>
      <c r="O149" s="106">
        <f>IFERROR(SUMIFS('01. KE30'!$K:$K,'01. KE30'!$C:$C,'06. BC BH THEO CUSTOMER-USD'!$D149,'01. KE30'!$F:$F,'06. BC BH THEO CUSTOMER-USD'!$H149,'01. KE30'!$A:$A,'06. BC BH THEO CUSTOMER-USD'!O$4)/'06. BC BH THEO CUSTOMER-USD'!CU149/'02. Tỷ giá'!D$5,"-")</f>
        <v>1314.8425196850394</v>
      </c>
      <c r="P149" s="106" t="str">
        <f>IFERROR(SUMIFS('01. KE30'!$K:$K,'01. KE30'!$C:$C,'06. BC BH THEO CUSTOMER-USD'!$D149,'01. KE30'!$F:$F,'06. BC BH THEO CUSTOMER-USD'!$H149,'01. KE30'!$A:$A,'06. BC BH THEO CUSTOMER-USD'!P$4)/'06. BC BH THEO CUSTOMER-USD'!CV149/'02. Tỷ giá'!E$5,"-")</f>
        <v>-</v>
      </c>
      <c r="Q149" s="106" t="str">
        <f>IFERROR(SUMIFS('01. KE30'!$K:$K,'01. KE30'!$C:$C,'06. BC BH THEO CUSTOMER-USD'!$D149,'01. KE30'!$F:$F,'06. BC BH THEO CUSTOMER-USD'!$H149,'01. KE30'!$A:$A,'06. BC BH THEO CUSTOMER-USD'!Q$4)/'06. BC BH THEO CUSTOMER-USD'!CW149/'02. Tỷ giá'!F$5,"-")</f>
        <v>-</v>
      </c>
      <c r="R149" s="106" t="str">
        <f>IFERROR(SUMIFS('01. KE30'!$K:$K,'01. KE30'!$C:$C,'06. BC BH THEO CUSTOMER-USD'!$D149,'01. KE30'!$F:$F,'06. BC BH THEO CUSTOMER-USD'!$H149,'01. KE30'!$A:$A,'06. BC BH THEO CUSTOMER-USD'!R$4)/'06. BC BH THEO CUSTOMER-USD'!CX149/'02. Tỷ giá'!G$5,"-")</f>
        <v>-</v>
      </c>
      <c r="S149" s="106" t="str">
        <f>IFERROR(SUMIFS('01. KE30'!$K:$K,'01. KE30'!$C:$C,'06. BC BH THEO CUSTOMER-USD'!$D149,'01. KE30'!$F:$F,'06. BC BH THEO CUSTOMER-USD'!$H149,'01. KE30'!$A:$A,'06. BC BH THEO CUSTOMER-USD'!S$4)/'06. BC BH THEO CUSTOMER-USD'!CY149/'02. Tỷ giá'!H$5,"-")</f>
        <v>-</v>
      </c>
      <c r="T149" s="106" t="str">
        <f>IFERROR(SUMIFS('01. KE30'!$K:$K,'01. KE30'!$C:$C,'06. BC BH THEO CUSTOMER-USD'!$D149,'01. KE30'!$F:$F,'06. BC BH THEO CUSTOMER-USD'!$H149,'01. KE30'!$A:$A,'06. BC BH THEO CUSTOMER-USD'!T$4)/'06. BC BH THEO CUSTOMER-USD'!CZ149/'02. Tỷ giá'!I$5,"-")</f>
        <v>-</v>
      </c>
      <c r="U149" s="106" t="str">
        <f>IFERROR(SUMIFS('01. KE30'!$K:$K,'01. KE30'!$C:$C,'06. BC BH THEO CUSTOMER-USD'!$D149,'01. KE30'!$F:$F,'06. BC BH THEO CUSTOMER-USD'!$H149,'01. KE30'!$A:$A,'06. BC BH THEO CUSTOMER-USD'!U$4)/'06. BC BH THEO CUSTOMER-USD'!DA149/'02. Tỷ giá'!J$5,"-")</f>
        <v>-</v>
      </c>
      <c r="V149" s="106" t="str">
        <f>IFERROR(SUMIFS('01. KE30'!$K:$K,'01. KE30'!$C:$C,'06. BC BH THEO CUSTOMER-USD'!$D149,'01. KE30'!$F:$F,'06. BC BH THEO CUSTOMER-USD'!$H149,'01. KE30'!$A:$A,'06. BC BH THEO CUSTOMER-USD'!V$4)/'06. BC BH THEO CUSTOMER-USD'!DB149/'02. Tỷ giá'!K$5,"-")</f>
        <v>-</v>
      </c>
      <c r="W149" s="106" t="str">
        <f>IFERROR(SUMIFS('01. KE30'!$K:$K,'01. KE30'!$C:$C,'06. BC BH THEO CUSTOMER-USD'!$D149,'01. KE30'!$F:$F,'06. BC BH THEO CUSTOMER-USD'!$H149,'01. KE30'!$A:$A,'06. BC BH THEO CUSTOMER-USD'!W$4)/'06. BC BH THEO CUSTOMER-USD'!DC149/'02. Tỷ giá'!L$5,"-")</f>
        <v>-</v>
      </c>
      <c r="X149" s="106" t="str">
        <f>IFERROR(SUMIFS('01. KE30'!$K:$K,'01. KE30'!$C:$C,'06. BC BH THEO CUSTOMER-USD'!$D149,'01. KE30'!$F:$F,'06. BC BH THEO CUSTOMER-USD'!$H149,'01. KE30'!$A:$A,'06. BC BH THEO CUSTOMER-USD'!X$4)/'06. BC BH THEO CUSTOMER-USD'!DD149/'02. Tỷ giá'!M$5,"-")</f>
        <v>-</v>
      </c>
      <c r="Z149" s="92">
        <f>IFERROR(AVERAGE(AA149:AL149),"-")</f>
        <v>1314.8425196850394</v>
      </c>
      <c r="AA149" s="147" t="str">
        <f>IFERROR(SUMIFS('01. KE30'!$O:$O,'01. KE30'!$C:$C,'06. BC BH THEO CUSTOMER-USD'!$D149,'01. KE30'!$F:$F,'06. BC BH THEO CUSTOMER-USD'!$H149,'01. KE30'!$A:$A,'06. BC BH THEO CUSTOMER-USD'!M$4)/'06. BC BH THEO CUSTOMER-USD'!CS149/'02. Tỷ giá'!B$5,"-")</f>
        <v>-</v>
      </c>
      <c r="AB149" s="147" t="str">
        <f>IFERROR(SUMIFS('01. KE30'!$O:$O,'01. KE30'!$C:$C,'06. BC BH THEO CUSTOMER-USD'!$D149,'01. KE30'!$F:$F,'06. BC BH THEO CUSTOMER-USD'!$H149,'01. KE30'!$A:$A,'06. BC BH THEO CUSTOMER-USD'!N$4)/'06. BC BH THEO CUSTOMER-USD'!CT149/'02. Tỷ giá'!C$5,"-")</f>
        <v>-</v>
      </c>
      <c r="AC149" s="147">
        <f>IFERROR(SUMIFS('01. KE30'!$O:$O,'01. KE30'!$C:$C,'06. BC BH THEO CUSTOMER-USD'!$D149,'01. KE30'!$F:$F,'06. BC BH THEO CUSTOMER-USD'!$H149,'01. KE30'!$A:$A,'06. BC BH THEO CUSTOMER-USD'!O$4)/'06. BC BH THEO CUSTOMER-USD'!CU149/'02. Tỷ giá'!D$5,"-")</f>
        <v>1314.8425196850394</v>
      </c>
      <c r="AD149" s="147" t="str">
        <f>IFERROR(SUMIFS('01. KE30'!$O:$O,'01. KE30'!$C:$C,'06. BC BH THEO CUSTOMER-USD'!$D149,'01. KE30'!$F:$F,'06. BC BH THEO CUSTOMER-USD'!$H149,'01. KE30'!$A:$A,'06. BC BH THEO CUSTOMER-USD'!P$4)/'06. BC BH THEO CUSTOMER-USD'!CV149/'02. Tỷ giá'!E$5,"-")</f>
        <v>-</v>
      </c>
      <c r="AE149" s="147" t="str">
        <f>IFERROR(SUMIFS('01. KE30'!$O:$O,'01. KE30'!$C:$C,'06. BC BH THEO CUSTOMER-USD'!$D149,'01. KE30'!$F:$F,'06. BC BH THEO CUSTOMER-USD'!$H149,'01. KE30'!$A:$A,'06. BC BH THEO CUSTOMER-USD'!Q$4)/'06. BC BH THEO CUSTOMER-USD'!CW149/'02. Tỷ giá'!F$5,"-")</f>
        <v>-</v>
      </c>
      <c r="AF149" s="147" t="str">
        <f>IFERROR(SUMIFS('01. KE30'!$O:$O,'01. KE30'!$C:$C,'06. BC BH THEO CUSTOMER-USD'!$D149,'01. KE30'!$F:$F,'06. BC BH THEO CUSTOMER-USD'!$H149,'01. KE30'!$A:$A,'06. BC BH THEO CUSTOMER-USD'!R$4)/'06. BC BH THEO CUSTOMER-USD'!CX149/'02. Tỷ giá'!G$5,"-")</f>
        <v>-</v>
      </c>
      <c r="AG149" s="147" t="str">
        <f>IFERROR(SUMIFS('01. KE30'!$O:$O,'01. KE30'!$C:$C,'06. BC BH THEO CUSTOMER-USD'!$D149,'01. KE30'!$F:$F,'06. BC BH THEO CUSTOMER-USD'!$H149,'01. KE30'!$A:$A,'06. BC BH THEO CUSTOMER-USD'!S$4)/'06. BC BH THEO CUSTOMER-USD'!CY149/'02. Tỷ giá'!H$5,"-")</f>
        <v>-</v>
      </c>
      <c r="AH149" s="147" t="str">
        <f>IFERROR(SUMIFS('01. KE30'!$O:$O,'01. KE30'!$C:$C,'06. BC BH THEO CUSTOMER-USD'!$D149,'01. KE30'!$F:$F,'06. BC BH THEO CUSTOMER-USD'!$H149,'01. KE30'!$A:$A,'06. BC BH THEO CUSTOMER-USD'!T$4)/'06. BC BH THEO CUSTOMER-USD'!CZ149/'02. Tỷ giá'!I$5,"-")</f>
        <v>-</v>
      </c>
      <c r="AI149" s="147" t="str">
        <f>IFERROR(SUMIFS('01. KE30'!$O:$O,'01. KE30'!$C:$C,'06. BC BH THEO CUSTOMER-USD'!$D149,'01. KE30'!$F:$F,'06. BC BH THEO CUSTOMER-USD'!$H149,'01. KE30'!$A:$A,'06. BC BH THEO CUSTOMER-USD'!U$4)/'06. BC BH THEO CUSTOMER-USD'!DA149/'02. Tỷ giá'!J$5,"-")</f>
        <v>-</v>
      </c>
      <c r="AJ149" s="147" t="str">
        <f>IFERROR(SUMIFS('01. KE30'!$O:$O,'01. KE30'!$C:$C,'06. BC BH THEO CUSTOMER-USD'!$D149,'01. KE30'!$F:$F,'06. BC BH THEO CUSTOMER-USD'!$H149,'01. KE30'!$A:$A,'06. BC BH THEO CUSTOMER-USD'!V$4)/'06. BC BH THEO CUSTOMER-USD'!DB149/'02. Tỷ giá'!K$5,"-")</f>
        <v>-</v>
      </c>
      <c r="AK149" s="147" t="str">
        <f>IFERROR(SUMIFS('01. KE30'!$O:$O,'01. KE30'!$C:$C,'06. BC BH THEO CUSTOMER-USD'!$D149,'01. KE30'!$F:$F,'06. BC BH THEO CUSTOMER-USD'!$H149,'01. KE30'!$A:$A,'06. BC BH THEO CUSTOMER-USD'!W$4)/'06. BC BH THEO CUSTOMER-USD'!DC149/'02. Tỷ giá'!L$5,"-")</f>
        <v>-</v>
      </c>
      <c r="AL149" s="147" t="str">
        <f>IFERROR(SUMIFS('01. KE30'!$O:$O,'01. KE30'!$C:$C,'06. BC BH THEO CUSTOMER-USD'!$D149,'01. KE30'!$F:$F,'06. BC BH THEO CUSTOMER-USD'!$H149,'01. KE30'!$A:$A,'06. BC BH THEO CUSTOMER-USD'!X$4)/'06. BC BH THEO CUSTOMER-USD'!DD149/'02. Tỷ giá'!M$5,"-")</f>
        <v>-</v>
      </c>
      <c r="AN149" s="55">
        <f>IFERROR(AVERAGE(AO149:AZ149),"-")</f>
        <v>1260</v>
      </c>
      <c r="AO149" s="4">
        <v>1350</v>
      </c>
      <c r="AP149" s="4">
        <v>1300</v>
      </c>
      <c r="AQ149" s="4">
        <f t="shared" si="1438"/>
        <v>1250</v>
      </c>
      <c r="AR149" s="4">
        <v>1250</v>
      </c>
      <c r="AS149" s="4">
        <v>1250</v>
      </c>
      <c r="AT149" s="4">
        <v>1250</v>
      </c>
      <c r="AU149" s="4">
        <v>1250</v>
      </c>
      <c r="AV149" s="4">
        <f t="shared" si="1272"/>
        <v>1230</v>
      </c>
      <c r="AW149" s="4">
        <v>1210</v>
      </c>
      <c r="AX149" s="4"/>
      <c r="AY149" s="4"/>
      <c r="AZ149" s="4"/>
      <c r="BB149" s="54">
        <f t="shared" si="637"/>
        <v>54.842519685039406</v>
      </c>
      <c r="BC149" s="95" t="str">
        <f t="shared" si="1333"/>
        <v>-</v>
      </c>
      <c r="BD149" s="95" t="str">
        <f t="shared" si="1330"/>
        <v>-</v>
      </c>
      <c r="BE149" s="95">
        <f t="shared" si="1330"/>
        <v>64.842519685039406</v>
      </c>
      <c r="BF149" s="95" t="str">
        <f t="shared" si="1330"/>
        <v>-</v>
      </c>
      <c r="BG149" s="95" t="str">
        <f t="shared" si="1330"/>
        <v>-</v>
      </c>
      <c r="BH149" s="95" t="str">
        <f t="shared" si="1330"/>
        <v>-</v>
      </c>
      <c r="BI149" s="95" t="str">
        <f t="shared" si="1330"/>
        <v>-</v>
      </c>
      <c r="BJ149" s="95" t="str">
        <f t="shared" si="1330"/>
        <v>-</v>
      </c>
      <c r="BK149" s="95" t="str">
        <f t="shared" si="1330"/>
        <v>-</v>
      </c>
      <c r="BL149" s="95" t="str">
        <f t="shared" si="1330"/>
        <v>-</v>
      </c>
      <c r="BM149" s="95" t="str">
        <f t="shared" si="1330"/>
        <v>-</v>
      </c>
      <c r="BN149" s="95" t="str">
        <f t="shared" si="1330"/>
        <v>-</v>
      </c>
      <c r="BP149" s="143">
        <f t="shared" si="639"/>
        <v>4.3525809273840796E-2</v>
      </c>
      <c r="BQ149" s="143" t="str">
        <f t="shared" si="1331"/>
        <v>-</v>
      </c>
      <c r="BR149" s="143" t="str">
        <f t="shared" si="518"/>
        <v>-</v>
      </c>
      <c r="BS149" s="143">
        <f t="shared" si="519"/>
        <v>5.1874015748031528E-2</v>
      </c>
      <c r="BT149" s="143" t="str">
        <f t="shared" si="520"/>
        <v>-</v>
      </c>
      <c r="BU149" s="143" t="str">
        <f t="shared" si="521"/>
        <v>-</v>
      </c>
      <c r="BV149" s="143" t="str">
        <f t="shared" si="522"/>
        <v>-</v>
      </c>
      <c r="BW149" s="143" t="str">
        <f t="shared" si="523"/>
        <v>-</v>
      </c>
      <c r="BX149" s="143" t="str">
        <f t="shared" si="524"/>
        <v>-</v>
      </c>
      <c r="BY149" s="143" t="str">
        <f t="shared" si="525"/>
        <v>-</v>
      </c>
      <c r="BZ149" s="143" t="str">
        <f t="shared" si="526"/>
        <v>-</v>
      </c>
      <c r="CA149" s="143" t="str">
        <f t="shared" si="527"/>
        <v>-</v>
      </c>
      <c r="CB149" s="143" t="str">
        <f t="shared" si="528"/>
        <v>-</v>
      </c>
      <c r="CD149" s="112">
        <f t="shared" si="1248"/>
        <v>1677.8938320209975</v>
      </c>
      <c r="CE149" s="95" t="str">
        <f>IFERROR(SUMIFS('01. KE30'!$R:$R,'01. KE30'!$C:$C,'06. BC BH THEO CUSTOMER-USD'!$D149,'01. KE30'!$F:$F,'06. BC BH THEO CUSTOMER-USD'!$H149,'01. KE30'!$A:$A,'06. BC BH THEO CUSTOMER-USD'!CE$4)/CS149/'02. Tỷ giá'!B$5," -")</f>
        <v xml:space="preserve"> -</v>
      </c>
      <c r="CF149" s="95" t="str">
        <f>IFERROR(SUMIFS('01. KE30'!$R:$R,'01. KE30'!$C:$C,'06. BC BH THEO CUSTOMER-USD'!$D149,'01. KE30'!$F:$F,'06. BC BH THEO CUSTOMER-USD'!$H149,'01. KE30'!$A:$A,'06. BC BH THEO CUSTOMER-USD'!CF$4)/CT149/'02. Tỷ giá'!C$5," -")</f>
        <v xml:space="preserve"> -</v>
      </c>
      <c r="CG149" s="95">
        <f>IFERROR(SUMIFS('01. KE30'!$R:$R,'01. KE30'!$C:$C,'06. BC BH THEO CUSTOMER-USD'!$D149,'01. KE30'!$F:$F,'06. BC BH THEO CUSTOMER-USD'!$H149,'01. KE30'!$A:$A,'06. BC BH THEO CUSTOMER-USD'!CG$4)/CU149/'02. Tỷ giá'!D$5," -")</f>
        <v>1677.8938320209975</v>
      </c>
      <c r="CH149" s="95" t="str">
        <f>IFERROR(SUMIFS('01. KE30'!$R:$R,'01. KE30'!$C:$C,'06. BC BH THEO CUSTOMER-USD'!$D149,'01. KE30'!$F:$F,'06. BC BH THEO CUSTOMER-USD'!$H149,'01. KE30'!$A:$A,'06. BC BH THEO CUSTOMER-USD'!CH$4)/CV149/'02. Tỷ giá'!E$5," -")</f>
        <v xml:space="preserve"> -</v>
      </c>
      <c r="CI149" s="95" t="str">
        <f>IFERROR(SUMIFS('01. KE30'!$R:$R,'01. KE30'!$C:$C,'06. BC BH THEO CUSTOMER-USD'!$D149,'01. KE30'!$F:$F,'06. BC BH THEO CUSTOMER-USD'!$H149,'01. KE30'!$A:$A,'06. BC BH THEO CUSTOMER-USD'!CI$4)/CW149/'02. Tỷ giá'!F$5," -")</f>
        <v xml:space="preserve"> -</v>
      </c>
      <c r="CJ149" s="95" t="str">
        <f>IFERROR(SUMIFS('01. KE30'!$R:$R,'01. KE30'!$C:$C,'06. BC BH THEO CUSTOMER-USD'!$D149,'01. KE30'!$F:$F,'06. BC BH THEO CUSTOMER-USD'!$H149,'01. KE30'!$A:$A,'06. BC BH THEO CUSTOMER-USD'!CJ$4)/CX149/'02. Tỷ giá'!G$5," -")</f>
        <v xml:space="preserve"> -</v>
      </c>
      <c r="CK149" s="95" t="str">
        <f>IFERROR(SUMIFS('01. KE30'!$R:$R,'01. KE30'!$C:$C,'06. BC BH THEO CUSTOMER-USD'!$D149,'01. KE30'!$F:$F,'06. BC BH THEO CUSTOMER-USD'!$H149,'01. KE30'!$A:$A,'06. BC BH THEO CUSTOMER-USD'!CK$4)/CY149/'02. Tỷ giá'!H$5," -")</f>
        <v xml:space="preserve"> -</v>
      </c>
      <c r="CL149" s="95" t="str">
        <f>IFERROR(SUMIFS('01. KE30'!$R:$R,'01. KE30'!$C:$C,'06. BC BH THEO CUSTOMER-USD'!$D149,'01. KE30'!$F:$F,'06. BC BH THEO CUSTOMER-USD'!$H149,'01. KE30'!$A:$A,'06. BC BH THEO CUSTOMER-USD'!CL$4)/CZ149/'02. Tỷ giá'!I$5," -")</f>
        <v xml:space="preserve"> -</v>
      </c>
      <c r="CM149" s="95" t="str">
        <f>IFERROR(SUMIFS('01. KE30'!$R:$R,'01. KE30'!$C:$C,'06. BC BH THEO CUSTOMER-USD'!$D149,'01. KE30'!$F:$F,'06. BC BH THEO CUSTOMER-USD'!$H149,'01. KE30'!$A:$A,'06. BC BH THEO CUSTOMER-USD'!CM$4)/DA149/'02. Tỷ giá'!J$5," -")</f>
        <v xml:space="preserve"> -</v>
      </c>
      <c r="CN149" s="95" t="str">
        <f>IFERROR(SUMIFS('01. KE30'!$R:$R,'01. KE30'!$C:$C,'06. BC BH THEO CUSTOMER-USD'!$D149,'01. KE30'!$F:$F,'06. BC BH THEO CUSTOMER-USD'!$H149,'01. KE30'!$A:$A,'06. BC BH THEO CUSTOMER-USD'!CN$4)/DB149/'02. Tỷ giá'!K$5," -")</f>
        <v xml:space="preserve"> -</v>
      </c>
      <c r="CO149" s="95" t="str">
        <f>IFERROR(SUMIFS('01. KE30'!$R:$R,'01. KE30'!$C:$C,'06. BC BH THEO CUSTOMER-USD'!$D149,'01. KE30'!$F:$F,'06. BC BH THEO CUSTOMER-USD'!$H149,'01. KE30'!$A:$A,'06. BC BH THEO CUSTOMER-USD'!CO$4)/DC149/'02. Tỷ giá'!L$5," -")</f>
        <v xml:space="preserve"> -</v>
      </c>
      <c r="CP149" s="95" t="str">
        <f>IFERROR(SUMIFS('01. KE30'!$R:$R,'01. KE30'!$C:$C,'06. BC BH THEO CUSTOMER-USD'!$D149,'01. KE30'!$F:$F,'06. BC BH THEO CUSTOMER-USD'!$H149,'01. KE30'!$A:$A,'06. BC BH THEO CUSTOMER-USD'!CP$4)/DD149/'02. Tỷ giá'!M$5," -")</f>
        <v xml:space="preserve"> -</v>
      </c>
      <c r="CR149" s="112">
        <f>SUM(CS149:DD149)</f>
        <v>0.3</v>
      </c>
      <c r="CS149" s="114">
        <f>SUMIFS('01. KE30'!$I:$I,'01. KE30'!$C:$C,'06. BC BH THEO CUSTOMER-USD'!$D149,'01. KE30'!$F:$F,'06. BC BH THEO CUSTOMER-USD'!$H149,'01. KE30'!$A:$A,'06. BC BH THEO CUSTOMER-USD'!CS$4)/1000</f>
        <v>0</v>
      </c>
      <c r="CT149" s="114">
        <f>SUMIFS('01. KE30'!$I:$I,'01. KE30'!$C:$C,'06. BC BH THEO CUSTOMER-USD'!$D149,'01. KE30'!$F:$F,'06. BC BH THEO CUSTOMER-USD'!$H149,'01. KE30'!$A:$A,'06. BC BH THEO CUSTOMER-USD'!CT$4)/1000</f>
        <v>0</v>
      </c>
      <c r="CU149" s="114">
        <f>SUMIFS('01. KE30'!$I:$I,'01. KE30'!$C:$C,'06. BC BH THEO CUSTOMER-USD'!$D149,'01. KE30'!$F:$F,'06. BC BH THEO CUSTOMER-USD'!$H149,'01. KE30'!$A:$A,'06. BC BH THEO CUSTOMER-USD'!CU$4)/1000</f>
        <v>0.3</v>
      </c>
      <c r="CV149" s="114">
        <f>SUMIFS('01. KE30'!$I:$I,'01. KE30'!$C:$C,'06. BC BH THEO CUSTOMER-USD'!$D149,'01. KE30'!$F:$F,'06. BC BH THEO CUSTOMER-USD'!$H149,'01. KE30'!$A:$A,'06. BC BH THEO CUSTOMER-USD'!CV$4)/1000</f>
        <v>0</v>
      </c>
      <c r="CW149" s="114">
        <f>SUMIFS('01. KE30'!$I:$I,'01. KE30'!$C:$C,'06. BC BH THEO CUSTOMER-USD'!$D149,'01. KE30'!$F:$F,'06. BC BH THEO CUSTOMER-USD'!$H149,'01. KE30'!$A:$A,'06. BC BH THEO CUSTOMER-USD'!CW$4)/1000</f>
        <v>0</v>
      </c>
      <c r="CX149" s="114">
        <f>SUMIFS('01. KE30'!$I:$I,'01. KE30'!$C:$C,'06. BC BH THEO CUSTOMER-USD'!$D149,'01. KE30'!$F:$F,'06. BC BH THEO CUSTOMER-USD'!$H149,'01. KE30'!$A:$A,'06. BC BH THEO CUSTOMER-USD'!CX$4)/1000</f>
        <v>0</v>
      </c>
      <c r="CY149" s="114">
        <f>SUMIFS('01. KE30'!$I:$I,'01. KE30'!$C:$C,'06. BC BH THEO CUSTOMER-USD'!$D149,'01. KE30'!$F:$F,'06. BC BH THEO CUSTOMER-USD'!$H149,'01. KE30'!$A:$A,'06. BC BH THEO CUSTOMER-USD'!CY$4)/1000</f>
        <v>0</v>
      </c>
      <c r="CZ149" s="114">
        <f>SUMIFS('01. KE30'!$I:$I,'01. KE30'!$C:$C,'06. BC BH THEO CUSTOMER-USD'!$D149,'01. KE30'!$F:$F,'06. BC BH THEO CUSTOMER-USD'!$H149,'01. KE30'!$A:$A,'06. BC BH THEO CUSTOMER-USD'!CZ$4)/1000</f>
        <v>0</v>
      </c>
      <c r="DA149" s="114">
        <f>SUMIFS('01. KE30'!$I:$I,'01. KE30'!$C:$C,'06. BC BH THEO CUSTOMER-USD'!$D149,'01. KE30'!$F:$F,'06. BC BH THEO CUSTOMER-USD'!$H149,'01. KE30'!$A:$A,'06. BC BH THEO CUSTOMER-USD'!DA$4)/1000</f>
        <v>0</v>
      </c>
      <c r="DB149" s="114">
        <f>SUMIFS('01. KE30'!$I:$I,'01. KE30'!$C:$C,'06. BC BH THEO CUSTOMER-USD'!$D149,'01. KE30'!$F:$F,'06. BC BH THEO CUSTOMER-USD'!$H149,'01. KE30'!$A:$A,'06. BC BH THEO CUSTOMER-USD'!DB$4)/1000</f>
        <v>0</v>
      </c>
      <c r="DC149" s="114">
        <f>SUMIFS('01. KE30'!$I:$I,'01. KE30'!$C:$C,'06. BC BH THEO CUSTOMER-USD'!$D149,'01. KE30'!$F:$F,'06. BC BH THEO CUSTOMER-USD'!$H149,'01. KE30'!$A:$A,'06. BC BH THEO CUSTOMER-USD'!DC$4)/1000</f>
        <v>0</v>
      </c>
      <c r="DD149" s="114">
        <f>SUMIFS('01. KE30'!$I:$I,'01. KE30'!$C:$C,'06. BC BH THEO CUSTOMER-USD'!$D149,'01. KE30'!$F:$F,'06. BC BH THEO CUSTOMER-USD'!$H149,'01. KE30'!$A:$A,'06. BC BH THEO CUSTOMER-USD'!DD$4)/1000</f>
        <v>0</v>
      </c>
      <c r="DF149" s="112">
        <f>SUM(DG149:DR149)</f>
        <v>394.45275590551182</v>
      </c>
      <c r="DG149" s="54" t="str">
        <f t="shared" si="1251"/>
        <v>-</v>
      </c>
      <c r="DH149" s="54" t="str">
        <f t="shared" si="1252"/>
        <v>-</v>
      </c>
      <c r="DI149" s="54">
        <f t="shared" si="1253"/>
        <v>394.45275590551182</v>
      </c>
      <c r="DJ149" s="54" t="str">
        <f t="shared" si="1254"/>
        <v>-</v>
      </c>
      <c r="DK149" s="54" t="str">
        <f t="shared" si="1255"/>
        <v>-</v>
      </c>
      <c r="DL149" s="54" t="str">
        <f t="shared" si="1256"/>
        <v>-</v>
      </c>
      <c r="DM149" s="54" t="str">
        <f t="shared" si="1257"/>
        <v>-</v>
      </c>
      <c r="DN149" s="54" t="str">
        <f t="shared" si="1258"/>
        <v>-</v>
      </c>
      <c r="DO149" s="54" t="str">
        <f t="shared" si="1259"/>
        <v>-</v>
      </c>
      <c r="DP149" s="54" t="str">
        <f t="shared" si="1260"/>
        <v>-</v>
      </c>
      <c r="DQ149" s="54" t="str">
        <f t="shared" si="1261"/>
        <v>-</v>
      </c>
      <c r="DR149" s="54" t="str">
        <f t="shared" si="1262"/>
        <v>-</v>
      </c>
      <c r="DT149" s="112">
        <f t="shared" si="652"/>
        <v>-108.91539370078738</v>
      </c>
      <c r="DU149" s="114">
        <f>IFERROR(SUMIFS('01. KE30'!$X:$X,'01. KE30'!$C:$C,'06. BC BH THEO CUSTOMER-USD'!$D149,'01. KE30'!$F:$F,'06. BC BH THEO CUSTOMER-USD'!$H149,'01. KE30'!$A:$A,'06. BC BH THEO CUSTOMER-USD'!DU$4)-SUMIFS('01. KE30'!$AA:$AA,'01. KE30'!$C:$C,'06. BC BH THEO CUSTOMER-USD'!$D149,'01. KE30'!$F:$F,'06. BC BH THEO CUSTOMER-USD'!$H149,'01. KE30'!$A:$A,'06. BC BH THEO CUSTOMER-USD'!DU$4),"-")</f>
        <v>0</v>
      </c>
      <c r="DV149" s="114">
        <f>IFERROR(SUMIFS('01. KE30'!$X:$X,'01. KE30'!$C:$C,'06. BC BH THEO CUSTOMER-USD'!$D149,'01. KE30'!$F:$F,'06. BC BH THEO CUSTOMER-USD'!$H149,'01. KE30'!$A:$A,'06. BC BH THEO CUSTOMER-USD'!DV$4)-SUMIFS('01. KE30'!$AA:$AA,'01. KE30'!$C:$C,'06. BC BH THEO CUSTOMER-USD'!$D149,'01. KE30'!$F:$F,'06. BC BH THEO CUSTOMER-USD'!$H149,'01. KE30'!$A:$A,'06. BC BH THEO CUSTOMER-USD'!DV$4),"-")</f>
        <v>0</v>
      </c>
      <c r="DW149" s="114">
        <f>IFERROR(SUMIFS('01. KE30'!$X:$X,'01. KE30'!$C:$C,'06. BC BH THEO CUSTOMER-USD'!$D149,'01. KE30'!$F:$F,'06. BC BH THEO CUSTOMER-USD'!$H149,'01. KE30'!$A:$A,'06. BC BH THEO CUSTOMER-USD'!DW$4)-SUMIFS('01. KE30'!$AA:$AA,'01. KE30'!$C:$C,'06. BC BH THEO CUSTOMER-USD'!$D149,'01. KE30'!$F:$F,'06. BC BH THEO CUSTOMER-USD'!$H149,'01. KE30'!$A:$A,'06. BC BH THEO CUSTOMER-USD'!DW$4),"-")</f>
        <v>-108.91539370078738</v>
      </c>
      <c r="DX149" s="114">
        <f>IFERROR(SUMIFS('01. KE30'!$X:$X,'01. KE30'!$C:$C,'06. BC BH THEO CUSTOMER-USD'!$D149,'01. KE30'!$F:$F,'06. BC BH THEO CUSTOMER-USD'!$H149,'01. KE30'!$A:$A,'06. BC BH THEO CUSTOMER-USD'!DX$4)-SUMIFS('01. KE30'!$AA:$AA,'01. KE30'!$C:$C,'06. BC BH THEO CUSTOMER-USD'!$D149,'01. KE30'!$F:$F,'06. BC BH THEO CUSTOMER-USD'!$H149,'01. KE30'!$A:$A,'06. BC BH THEO CUSTOMER-USD'!DX$4),"-")</f>
        <v>0</v>
      </c>
      <c r="DY149" s="114">
        <f>IFERROR(SUMIFS('01. KE30'!$X:$X,'01. KE30'!$C:$C,'06. BC BH THEO CUSTOMER-USD'!$D149,'01. KE30'!$F:$F,'06. BC BH THEO CUSTOMER-USD'!$H149,'01. KE30'!$A:$A,'06. BC BH THEO CUSTOMER-USD'!DY$4)-SUMIFS('01. KE30'!$AA:$AA,'01. KE30'!$C:$C,'06. BC BH THEO CUSTOMER-USD'!$D149,'01. KE30'!$F:$F,'06. BC BH THEO CUSTOMER-USD'!$H149,'01. KE30'!$A:$A,'06. BC BH THEO CUSTOMER-USD'!DY$4),"-")</f>
        <v>0</v>
      </c>
      <c r="DZ149" s="114">
        <f>IFERROR(SUMIFS('01. KE30'!$X:$X,'01. KE30'!$C:$C,'06. BC BH THEO CUSTOMER-USD'!$D149,'01. KE30'!$F:$F,'06. BC BH THEO CUSTOMER-USD'!$H149,'01. KE30'!$A:$A,'06. BC BH THEO CUSTOMER-USD'!DZ$4)-SUMIFS('01. KE30'!$AA:$AA,'01. KE30'!$C:$C,'06. BC BH THEO CUSTOMER-USD'!$D149,'01. KE30'!$F:$F,'06. BC BH THEO CUSTOMER-USD'!$H149,'01. KE30'!$A:$A,'06. BC BH THEO CUSTOMER-USD'!DZ$4),"-")</f>
        <v>0</v>
      </c>
      <c r="EA149" s="114">
        <f>IFERROR(SUMIFS('01. KE30'!$X:$X,'01. KE30'!$C:$C,'06. BC BH THEO CUSTOMER-USD'!$D149,'01. KE30'!$F:$F,'06. BC BH THEO CUSTOMER-USD'!$H149,'01. KE30'!$A:$A,'06. BC BH THEO CUSTOMER-USD'!EA$4)-SUMIFS('01. KE30'!$AA:$AA,'01. KE30'!$C:$C,'06. BC BH THEO CUSTOMER-USD'!$D149,'01. KE30'!$F:$F,'06. BC BH THEO CUSTOMER-USD'!$H149,'01. KE30'!$A:$A,'06. BC BH THEO CUSTOMER-USD'!EA$4),"-")</f>
        <v>0</v>
      </c>
      <c r="EB149" s="114">
        <f>IFERROR(SUMIFS('01. KE30'!$X:$X,'01. KE30'!$C:$C,'06. BC BH THEO CUSTOMER-USD'!$D149,'01. KE30'!$F:$F,'06. BC BH THEO CUSTOMER-USD'!$H149,'01. KE30'!$A:$A,'06. BC BH THEO CUSTOMER-USD'!EB$4)-SUMIFS('01. KE30'!$AA:$AA,'01. KE30'!$C:$C,'06. BC BH THEO CUSTOMER-USD'!$D149,'01. KE30'!$F:$F,'06. BC BH THEO CUSTOMER-USD'!$H149,'01. KE30'!$A:$A,'06. BC BH THEO CUSTOMER-USD'!EB$4),"-")</f>
        <v>0</v>
      </c>
      <c r="EC149" s="114">
        <f>IFERROR(SUMIFS('01. KE30'!$X:$X,'01. KE30'!$C:$C,'06. BC BH THEO CUSTOMER-USD'!$D149,'01. KE30'!$F:$F,'06. BC BH THEO CUSTOMER-USD'!$H149,'01. KE30'!$A:$A,'06. BC BH THEO CUSTOMER-USD'!EC$4)-SUMIFS('01. KE30'!$AA:$AA,'01. KE30'!$C:$C,'06. BC BH THEO CUSTOMER-USD'!$D149,'01. KE30'!$F:$F,'06. BC BH THEO CUSTOMER-USD'!$H149,'01. KE30'!$A:$A,'06. BC BH THEO CUSTOMER-USD'!EC$4),"-")</f>
        <v>0</v>
      </c>
      <c r="ED149" s="114">
        <f>IFERROR(SUMIFS('01. KE30'!$X:$X,'01. KE30'!$C:$C,'06. BC BH THEO CUSTOMER-USD'!$D149,'01. KE30'!$F:$F,'06. BC BH THEO CUSTOMER-USD'!$H149,'01. KE30'!$A:$A,'06. BC BH THEO CUSTOMER-USD'!ED$4)-SUMIFS('01. KE30'!$AA:$AA,'01. KE30'!$C:$C,'06. BC BH THEO CUSTOMER-USD'!$D149,'01. KE30'!$F:$F,'06. BC BH THEO CUSTOMER-USD'!$H149,'01. KE30'!$A:$A,'06. BC BH THEO CUSTOMER-USD'!ED$4),"-")</f>
        <v>0</v>
      </c>
      <c r="EE149" s="114">
        <f>IFERROR(SUMIFS('01. KE30'!$X:$X,'01. KE30'!$C:$C,'06. BC BH THEO CUSTOMER-USD'!$D149,'01. KE30'!$F:$F,'06. BC BH THEO CUSTOMER-USD'!$H149,'01. KE30'!$A:$A,'06. BC BH THEO CUSTOMER-USD'!EE$4)-SUMIFS('01. KE30'!$AA:$AA,'01. KE30'!$C:$C,'06. BC BH THEO CUSTOMER-USD'!$D149,'01. KE30'!$F:$F,'06. BC BH THEO CUSTOMER-USD'!$H149,'01. KE30'!$A:$A,'06. BC BH THEO CUSTOMER-USD'!EE$4),"-")</f>
        <v>0</v>
      </c>
      <c r="EF149" s="114">
        <f>IFERROR(SUMIFS('01. KE30'!$X:$X,'01. KE30'!$C:$C,'06. BC BH THEO CUSTOMER-USD'!$D149,'01. KE30'!$F:$F,'06. BC BH THEO CUSTOMER-USD'!$H149,'01. KE30'!$A:$A,'06. BC BH THEO CUSTOMER-USD'!EF$4)-SUMIFS('01. KE30'!$AA:$AA,'01. KE30'!$C:$C,'06. BC BH THEO CUSTOMER-USD'!$D149,'01. KE30'!$F:$F,'06. BC BH THEO CUSTOMER-USD'!$H149,'01. KE30'!$A:$A,'06. BC BH THEO CUSTOMER-USD'!EF$4),"-")</f>
        <v>0</v>
      </c>
      <c r="EH149" s="571">
        <f t="shared" si="531"/>
        <v>-0.2761177151640366</v>
      </c>
      <c r="EI149" s="572" t="str">
        <f t="shared" si="532"/>
        <v>-</v>
      </c>
      <c r="EJ149" s="572" t="str">
        <f t="shared" si="533"/>
        <v>-</v>
      </c>
      <c r="EK149" s="572">
        <f t="shared" si="534"/>
        <v>-0.2761177151640366</v>
      </c>
      <c r="EL149" s="572" t="str">
        <f t="shared" si="535"/>
        <v>-</v>
      </c>
      <c r="EM149" s="572" t="str">
        <f t="shared" si="536"/>
        <v>-</v>
      </c>
      <c r="EN149" s="572" t="str">
        <f t="shared" si="537"/>
        <v>-</v>
      </c>
      <c r="EO149" s="572" t="str">
        <f t="shared" si="538"/>
        <v>-</v>
      </c>
      <c r="EP149" s="572" t="str">
        <f t="shared" si="539"/>
        <v>-</v>
      </c>
      <c r="EQ149" s="572" t="str">
        <f t="shared" si="540"/>
        <v>-</v>
      </c>
      <c r="ER149" s="572" t="str">
        <f t="shared" si="541"/>
        <v>-</v>
      </c>
      <c r="ES149" s="572" t="str">
        <f t="shared" si="542"/>
        <v>-</v>
      </c>
      <c r="ET149" s="572" t="str">
        <f t="shared" si="543"/>
        <v>-</v>
      </c>
    </row>
    <row r="150" spans="1:150" ht="15.5" hidden="1" outlineLevel="1" x14ac:dyDescent="0.35">
      <c r="A150" s="10">
        <f t="shared" si="1266"/>
        <v>22</v>
      </c>
      <c r="B150" s="10" t="s">
        <v>265</v>
      </c>
      <c r="C150" s="442" t="s">
        <v>489</v>
      </c>
      <c r="D150" s="9" t="s">
        <v>360</v>
      </c>
      <c r="E150" s="12" t="s">
        <v>361</v>
      </c>
      <c r="F150" s="12" t="s">
        <v>245</v>
      </c>
      <c r="G150" s="12" t="str">
        <f>_xlfn.XLOOKUP(F150,'Quy đổi'!$G$5:$G$32,'Quy đổi'!$H$5:$H$32,0)</f>
        <v>Nội địa</v>
      </c>
      <c r="H150" s="76" t="s">
        <v>50</v>
      </c>
      <c r="I150" s="7" t="s">
        <v>49</v>
      </c>
      <c r="J150" s="69" t="s">
        <v>22</v>
      </c>
      <c r="K150" s="11"/>
      <c r="L150" s="92" t="str">
        <f t="shared" ref="L150:L151" si="1439">IFERROR(AVERAGE(M150:X150),"-")</f>
        <v>-</v>
      </c>
      <c r="M150" s="106" t="str">
        <f>IFERROR(SUMIFS('01. KE30'!$K:$K,'01. KE30'!$C:$C,'06. BC BH THEO CUSTOMER-USD'!$D150,'01. KE30'!$F:$F,'06. BC BH THEO CUSTOMER-USD'!$H150,'01. KE30'!$A:$A,'06. BC BH THEO CUSTOMER-USD'!M$4)/'06. BC BH THEO CUSTOMER-USD'!CS150/'02. Tỷ giá'!B$5,"-")</f>
        <v>-</v>
      </c>
      <c r="N150" s="106" t="str">
        <f>IFERROR(SUMIFS('01. KE30'!$K:$K,'01. KE30'!$C:$C,'06. BC BH THEO CUSTOMER-USD'!$D150,'01. KE30'!$F:$F,'06. BC BH THEO CUSTOMER-USD'!$H150,'01. KE30'!$A:$A,'06. BC BH THEO CUSTOMER-USD'!N$4)/'06. BC BH THEO CUSTOMER-USD'!CT150/'02. Tỷ giá'!C$5,"-")</f>
        <v>-</v>
      </c>
      <c r="O150" s="106" t="str">
        <f>IFERROR(SUMIFS('01. KE30'!$K:$K,'01. KE30'!$C:$C,'06. BC BH THEO CUSTOMER-USD'!$D150,'01. KE30'!$F:$F,'06. BC BH THEO CUSTOMER-USD'!$H150,'01. KE30'!$A:$A,'06. BC BH THEO CUSTOMER-USD'!O$4)/'06. BC BH THEO CUSTOMER-USD'!CU150/'02. Tỷ giá'!D$5,"-")</f>
        <v>-</v>
      </c>
      <c r="P150" s="106" t="str">
        <f>IFERROR(SUMIFS('01. KE30'!$K:$K,'01. KE30'!$C:$C,'06. BC BH THEO CUSTOMER-USD'!$D150,'01. KE30'!$F:$F,'06. BC BH THEO CUSTOMER-USD'!$H150,'01. KE30'!$A:$A,'06. BC BH THEO CUSTOMER-USD'!P$4)/'06. BC BH THEO CUSTOMER-USD'!CV150/'02. Tỷ giá'!E$5,"-")</f>
        <v>-</v>
      </c>
      <c r="Q150" s="106" t="str">
        <f>IFERROR(SUMIFS('01. KE30'!$K:$K,'01. KE30'!$C:$C,'06. BC BH THEO CUSTOMER-USD'!$D150,'01. KE30'!$F:$F,'06. BC BH THEO CUSTOMER-USD'!$H150,'01. KE30'!$A:$A,'06. BC BH THEO CUSTOMER-USD'!Q$4)/'06. BC BH THEO CUSTOMER-USD'!CW150/'02. Tỷ giá'!F$5,"-")</f>
        <v>-</v>
      </c>
      <c r="R150" s="106" t="str">
        <f>IFERROR(SUMIFS('01. KE30'!$K:$K,'01. KE30'!$C:$C,'06. BC BH THEO CUSTOMER-USD'!$D150,'01. KE30'!$F:$F,'06. BC BH THEO CUSTOMER-USD'!$H150,'01. KE30'!$A:$A,'06. BC BH THEO CUSTOMER-USD'!R$4)/'06. BC BH THEO CUSTOMER-USD'!CX150/'02. Tỷ giá'!G$5,"-")</f>
        <v>-</v>
      </c>
      <c r="S150" s="106" t="str">
        <f>IFERROR(SUMIFS('01. KE30'!$K:$K,'01. KE30'!$C:$C,'06. BC BH THEO CUSTOMER-USD'!$D150,'01. KE30'!$F:$F,'06. BC BH THEO CUSTOMER-USD'!$H150,'01. KE30'!$A:$A,'06. BC BH THEO CUSTOMER-USD'!S$4)/'06. BC BH THEO CUSTOMER-USD'!CY150/'02. Tỷ giá'!H$5,"-")</f>
        <v>-</v>
      </c>
      <c r="T150" s="106" t="str">
        <f>IFERROR(SUMIFS('01. KE30'!$K:$K,'01. KE30'!$C:$C,'06. BC BH THEO CUSTOMER-USD'!$D150,'01. KE30'!$F:$F,'06. BC BH THEO CUSTOMER-USD'!$H150,'01. KE30'!$A:$A,'06. BC BH THEO CUSTOMER-USD'!T$4)/'06. BC BH THEO CUSTOMER-USD'!CZ150/'02. Tỷ giá'!I$5,"-")</f>
        <v>-</v>
      </c>
      <c r="U150" s="106" t="str">
        <f>IFERROR(SUMIFS('01. KE30'!$K:$K,'01. KE30'!$C:$C,'06. BC BH THEO CUSTOMER-USD'!$D150,'01. KE30'!$F:$F,'06. BC BH THEO CUSTOMER-USD'!$H150,'01. KE30'!$A:$A,'06. BC BH THEO CUSTOMER-USD'!U$4)/'06. BC BH THEO CUSTOMER-USD'!DA150/'02. Tỷ giá'!J$5,"-")</f>
        <v>-</v>
      </c>
      <c r="V150" s="106" t="str">
        <f>IFERROR(SUMIFS('01. KE30'!$K:$K,'01. KE30'!$C:$C,'06. BC BH THEO CUSTOMER-USD'!$D150,'01. KE30'!$F:$F,'06. BC BH THEO CUSTOMER-USD'!$H150,'01. KE30'!$A:$A,'06. BC BH THEO CUSTOMER-USD'!V$4)/'06. BC BH THEO CUSTOMER-USD'!DB150/'02. Tỷ giá'!K$5,"-")</f>
        <v>-</v>
      </c>
      <c r="W150" s="106" t="str">
        <f>IFERROR(SUMIFS('01. KE30'!$K:$K,'01. KE30'!$C:$C,'06. BC BH THEO CUSTOMER-USD'!$D150,'01. KE30'!$F:$F,'06. BC BH THEO CUSTOMER-USD'!$H150,'01. KE30'!$A:$A,'06. BC BH THEO CUSTOMER-USD'!W$4)/'06. BC BH THEO CUSTOMER-USD'!DC150/'02. Tỷ giá'!L$5,"-")</f>
        <v>-</v>
      </c>
      <c r="X150" s="106" t="str">
        <f>IFERROR(SUMIFS('01. KE30'!$K:$K,'01. KE30'!$C:$C,'06. BC BH THEO CUSTOMER-USD'!$D150,'01. KE30'!$F:$F,'06. BC BH THEO CUSTOMER-USD'!$H150,'01. KE30'!$A:$A,'06. BC BH THEO CUSTOMER-USD'!X$4)/'06. BC BH THEO CUSTOMER-USD'!DD150/'02. Tỷ giá'!M$5,"-")</f>
        <v>-</v>
      </c>
      <c r="Z150" s="92" t="str">
        <f t="shared" ref="Z150:Z151" si="1440">IFERROR(AVERAGE(AA150:AL150),"-")</f>
        <v>-</v>
      </c>
      <c r="AA150" s="147" t="str">
        <f>IFERROR(SUMIFS('01. KE30'!$O:$O,'01. KE30'!$C:$C,'06. BC BH THEO CUSTOMER-USD'!$D150,'01. KE30'!$F:$F,'06. BC BH THEO CUSTOMER-USD'!$H150,'01. KE30'!$A:$A,'06. BC BH THEO CUSTOMER-USD'!M$4)/'06. BC BH THEO CUSTOMER-USD'!CS150/'02. Tỷ giá'!B$5,"-")</f>
        <v>-</v>
      </c>
      <c r="AB150" s="147" t="str">
        <f>IFERROR(SUMIFS('01. KE30'!$O:$O,'01. KE30'!$C:$C,'06. BC BH THEO CUSTOMER-USD'!$D150,'01. KE30'!$F:$F,'06. BC BH THEO CUSTOMER-USD'!$H150,'01. KE30'!$A:$A,'06. BC BH THEO CUSTOMER-USD'!N$4)/'06. BC BH THEO CUSTOMER-USD'!CT150/'02. Tỷ giá'!C$5,"-")</f>
        <v>-</v>
      </c>
      <c r="AC150" s="147" t="str">
        <f>IFERROR(SUMIFS('01. KE30'!$O:$O,'01. KE30'!$C:$C,'06. BC BH THEO CUSTOMER-USD'!$D150,'01. KE30'!$F:$F,'06. BC BH THEO CUSTOMER-USD'!$H150,'01. KE30'!$A:$A,'06. BC BH THEO CUSTOMER-USD'!O$4)/'06. BC BH THEO CUSTOMER-USD'!CU150/'02. Tỷ giá'!D$5,"-")</f>
        <v>-</v>
      </c>
      <c r="AD150" s="147" t="str">
        <f>IFERROR(SUMIFS('01. KE30'!$O:$O,'01. KE30'!$C:$C,'06. BC BH THEO CUSTOMER-USD'!$D150,'01. KE30'!$F:$F,'06. BC BH THEO CUSTOMER-USD'!$H150,'01. KE30'!$A:$A,'06. BC BH THEO CUSTOMER-USD'!P$4)/'06. BC BH THEO CUSTOMER-USD'!CV150/'02. Tỷ giá'!E$5,"-")</f>
        <v>-</v>
      </c>
      <c r="AE150" s="147" t="str">
        <f>IFERROR(SUMIFS('01. KE30'!$O:$O,'01. KE30'!$C:$C,'06. BC BH THEO CUSTOMER-USD'!$D150,'01. KE30'!$F:$F,'06. BC BH THEO CUSTOMER-USD'!$H150,'01. KE30'!$A:$A,'06. BC BH THEO CUSTOMER-USD'!Q$4)/'06. BC BH THEO CUSTOMER-USD'!CW150/'02. Tỷ giá'!F$5,"-")</f>
        <v>-</v>
      </c>
      <c r="AF150" s="147" t="str">
        <f>IFERROR(SUMIFS('01. KE30'!$O:$O,'01. KE30'!$C:$C,'06. BC BH THEO CUSTOMER-USD'!$D150,'01. KE30'!$F:$F,'06. BC BH THEO CUSTOMER-USD'!$H150,'01. KE30'!$A:$A,'06. BC BH THEO CUSTOMER-USD'!R$4)/'06. BC BH THEO CUSTOMER-USD'!CX150/'02. Tỷ giá'!G$5,"-")</f>
        <v>-</v>
      </c>
      <c r="AG150" s="147" t="str">
        <f>IFERROR(SUMIFS('01. KE30'!$O:$O,'01. KE30'!$C:$C,'06. BC BH THEO CUSTOMER-USD'!$D150,'01. KE30'!$F:$F,'06. BC BH THEO CUSTOMER-USD'!$H150,'01. KE30'!$A:$A,'06. BC BH THEO CUSTOMER-USD'!S$4)/'06. BC BH THEO CUSTOMER-USD'!CY150/'02. Tỷ giá'!H$5,"-")</f>
        <v>-</v>
      </c>
      <c r="AH150" s="147" t="str">
        <f>IFERROR(SUMIFS('01. KE30'!$O:$O,'01. KE30'!$C:$C,'06. BC BH THEO CUSTOMER-USD'!$D150,'01. KE30'!$F:$F,'06. BC BH THEO CUSTOMER-USD'!$H150,'01. KE30'!$A:$A,'06. BC BH THEO CUSTOMER-USD'!T$4)/'06. BC BH THEO CUSTOMER-USD'!CZ150/'02. Tỷ giá'!I$5,"-")</f>
        <v>-</v>
      </c>
      <c r="AI150" s="147" t="str">
        <f>IFERROR(SUMIFS('01. KE30'!$O:$O,'01. KE30'!$C:$C,'06. BC BH THEO CUSTOMER-USD'!$D150,'01. KE30'!$F:$F,'06. BC BH THEO CUSTOMER-USD'!$H150,'01. KE30'!$A:$A,'06. BC BH THEO CUSTOMER-USD'!U$4)/'06. BC BH THEO CUSTOMER-USD'!DA150/'02. Tỷ giá'!J$5,"-")</f>
        <v>-</v>
      </c>
      <c r="AJ150" s="147" t="str">
        <f>IFERROR(SUMIFS('01. KE30'!$O:$O,'01. KE30'!$C:$C,'06. BC BH THEO CUSTOMER-USD'!$D150,'01. KE30'!$F:$F,'06. BC BH THEO CUSTOMER-USD'!$H150,'01. KE30'!$A:$A,'06. BC BH THEO CUSTOMER-USD'!V$4)/'06. BC BH THEO CUSTOMER-USD'!DB150/'02. Tỷ giá'!K$5,"-")</f>
        <v>-</v>
      </c>
      <c r="AK150" s="147" t="str">
        <f>IFERROR(SUMIFS('01. KE30'!$O:$O,'01. KE30'!$C:$C,'06. BC BH THEO CUSTOMER-USD'!$D150,'01. KE30'!$F:$F,'06. BC BH THEO CUSTOMER-USD'!$H150,'01. KE30'!$A:$A,'06. BC BH THEO CUSTOMER-USD'!W$4)/'06. BC BH THEO CUSTOMER-USD'!DC150/'02. Tỷ giá'!L$5,"-")</f>
        <v>-</v>
      </c>
      <c r="AL150" s="147" t="str">
        <f>IFERROR(SUMIFS('01. KE30'!$O:$O,'01. KE30'!$C:$C,'06. BC BH THEO CUSTOMER-USD'!$D150,'01. KE30'!$F:$F,'06. BC BH THEO CUSTOMER-USD'!$H150,'01. KE30'!$A:$A,'06. BC BH THEO CUSTOMER-USD'!X$4)/'06. BC BH THEO CUSTOMER-USD'!DD150/'02. Tỷ giá'!M$5,"-")</f>
        <v>-</v>
      </c>
      <c r="AN150" s="55">
        <f t="shared" ref="AN150:AN151" si="1441">IFERROR(AVERAGE(AO150:AZ150),"-")</f>
        <v>1260</v>
      </c>
      <c r="AO150" s="4">
        <v>1350</v>
      </c>
      <c r="AP150" s="4">
        <v>1300</v>
      </c>
      <c r="AQ150" s="4">
        <f t="shared" si="1438"/>
        <v>1250</v>
      </c>
      <c r="AR150" s="4">
        <v>1250</v>
      </c>
      <c r="AS150" s="4">
        <v>1250</v>
      </c>
      <c r="AT150" s="4">
        <v>1250</v>
      </c>
      <c r="AU150" s="4">
        <v>1250</v>
      </c>
      <c r="AV150" s="4">
        <f t="shared" si="1272"/>
        <v>1230</v>
      </c>
      <c r="AW150" s="4">
        <v>1210</v>
      </c>
      <c r="AX150" s="4"/>
      <c r="AY150" s="4"/>
      <c r="AZ150" s="4"/>
      <c r="BB150" s="54" t="str">
        <f t="shared" ref="BB150:BB151" si="1442">IF(L150&lt;&gt;"-",Z150-AN150,"-")</f>
        <v>-</v>
      </c>
      <c r="BC150" s="95" t="str">
        <f t="shared" ref="BC150:BC151" si="1443">IF(M150&lt;&gt;"-",AA150-AO150,"-")</f>
        <v>-</v>
      </c>
      <c r="BD150" s="95" t="str">
        <f t="shared" ref="BD150:BD151" si="1444">IF(N150&lt;&gt;"-",AB150-AP150,"-")</f>
        <v>-</v>
      </c>
      <c r="BE150" s="95" t="str">
        <f t="shared" ref="BE150:BE151" si="1445">IF(O150&lt;&gt;"-",AC150-AQ150,"-")</f>
        <v>-</v>
      </c>
      <c r="BF150" s="95" t="str">
        <f t="shared" ref="BF150:BF151" si="1446">IF(P150&lt;&gt;"-",AD150-AR150,"-")</f>
        <v>-</v>
      </c>
      <c r="BG150" s="95" t="str">
        <f t="shared" ref="BG150:BG151" si="1447">IF(Q150&lt;&gt;"-",AE150-AS150,"-")</f>
        <v>-</v>
      </c>
      <c r="BH150" s="95" t="str">
        <f t="shared" ref="BH150:BH151" si="1448">IF(R150&lt;&gt;"-",AF150-AT150,"-")</f>
        <v>-</v>
      </c>
      <c r="BI150" s="95" t="str">
        <f t="shared" ref="BI150:BI151" si="1449">IF(S150&lt;&gt;"-",AG150-AU150,"-")</f>
        <v>-</v>
      </c>
      <c r="BJ150" s="95" t="str">
        <f t="shared" ref="BJ150:BJ151" si="1450">IF(T150&lt;&gt;"-",AH150-AV150,"-")</f>
        <v>-</v>
      </c>
      <c r="BK150" s="95" t="str">
        <f t="shared" ref="BK150:BK151" si="1451">IF(U150&lt;&gt;"-",AI150-AW150,"-")</f>
        <v>-</v>
      </c>
      <c r="BL150" s="95" t="str">
        <f t="shared" ref="BL150:BL151" si="1452">IF(V150&lt;&gt;"-",AJ150-AX150,"-")</f>
        <v>-</v>
      </c>
      <c r="BM150" s="95" t="str">
        <f t="shared" ref="BM150:BM151" si="1453">IF(W150&lt;&gt;"-",AK150-AY150,"-")</f>
        <v>-</v>
      </c>
      <c r="BN150" s="95" t="str">
        <f t="shared" ref="BN150:BN151" si="1454">IF(X150&lt;&gt;"-",AL150-AZ150,"-")</f>
        <v>-</v>
      </c>
      <c r="BP150" s="143" t="str">
        <f t="shared" ref="BP150:BP151" si="1455">IFERROR(IF(BB150&lt;&gt;"-",BB150/AN150,"-"),"-")</f>
        <v>-</v>
      </c>
      <c r="BQ150" s="143" t="str">
        <f t="shared" ref="BQ150:BQ151" si="1456">IFERROR(IF(BC150&lt;&gt;"-",BC150/AO150,"-"),"-")</f>
        <v>-</v>
      </c>
      <c r="BR150" s="143" t="str">
        <f t="shared" ref="BR150:BR151" si="1457">IFERROR(IF(BD150&lt;&gt;"-",BD150/AP150,"-"),"-")</f>
        <v>-</v>
      </c>
      <c r="BS150" s="143" t="str">
        <f t="shared" ref="BS150:BS151" si="1458">IFERROR(IF(BE150&lt;&gt;"-",BE150/AQ150,"-"),"-")</f>
        <v>-</v>
      </c>
      <c r="BT150" s="143" t="str">
        <f t="shared" ref="BT150:BT151" si="1459">IFERROR(IF(BF150&lt;&gt;"-",BF150/AR150,"-"),"-")</f>
        <v>-</v>
      </c>
      <c r="BU150" s="143" t="str">
        <f t="shared" ref="BU150:BU151" si="1460">IFERROR(IF(BG150&lt;&gt;"-",BG150/AS150,"-"),"-")</f>
        <v>-</v>
      </c>
      <c r="BV150" s="143" t="str">
        <f t="shared" ref="BV150:BV151" si="1461">IFERROR(IF(BH150&lt;&gt;"-",BH150/AT150,"-"),"-")</f>
        <v>-</v>
      </c>
      <c r="BW150" s="143" t="str">
        <f t="shared" ref="BW150:BW151" si="1462">IFERROR(IF(BI150&lt;&gt;"-",BI150/AU150,"-"),"-")</f>
        <v>-</v>
      </c>
      <c r="BX150" s="143" t="str">
        <f t="shared" ref="BX150:BX151" si="1463">IFERROR(IF(BJ150&lt;&gt;"-",BJ150/AV150,"-"),"-")</f>
        <v>-</v>
      </c>
      <c r="BY150" s="143" t="str">
        <f t="shared" ref="BY150:BY151" si="1464">IFERROR(IF(BK150&lt;&gt;"-",BK150/AW150,"-"),"-")</f>
        <v>-</v>
      </c>
      <c r="BZ150" s="143" t="str">
        <f t="shared" ref="BZ150:BZ151" si="1465">IFERROR(IF(BL150&lt;&gt;"-",BL150/AX150,"-"),"-")</f>
        <v>-</v>
      </c>
      <c r="CA150" s="143" t="str">
        <f t="shared" ref="CA150:CA151" si="1466">IFERROR(IF(BM150&lt;&gt;"-",BM150/AY150,"-"),"-")</f>
        <v>-</v>
      </c>
      <c r="CB150" s="143" t="str">
        <f t="shared" ref="CB150:CB151" si="1467">IFERROR(IF(BN150&lt;&gt;"-",BN150/AZ150,"-"),"-")</f>
        <v>-</v>
      </c>
      <c r="CD150" s="112" t="str">
        <f t="shared" si="1248"/>
        <v>-</v>
      </c>
      <c r="CE150" s="95" t="str">
        <f>IFERROR(SUMIFS('01. KE30'!$R:$R,'01. KE30'!$C:$C,'06. BC BH THEO CUSTOMER-USD'!$D150,'01. KE30'!$F:$F,'06. BC BH THEO CUSTOMER-USD'!$H150,'01. KE30'!$A:$A,'06. BC BH THEO CUSTOMER-USD'!CE$4)/CS150/'02. Tỷ giá'!B$5," -")</f>
        <v xml:space="preserve"> -</v>
      </c>
      <c r="CF150" s="95" t="str">
        <f>IFERROR(SUMIFS('01. KE30'!$R:$R,'01. KE30'!$C:$C,'06. BC BH THEO CUSTOMER-USD'!$D150,'01. KE30'!$F:$F,'06. BC BH THEO CUSTOMER-USD'!$H150,'01. KE30'!$A:$A,'06. BC BH THEO CUSTOMER-USD'!CF$4)/CT150/'02. Tỷ giá'!C$5," -")</f>
        <v xml:space="preserve"> -</v>
      </c>
      <c r="CG150" s="95" t="str">
        <f>IFERROR(SUMIFS('01. KE30'!$R:$R,'01. KE30'!$C:$C,'06. BC BH THEO CUSTOMER-USD'!$D150,'01. KE30'!$F:$F,'06. BC BH THEO CUSTOMER-USD'!$H150,'01. KE30'!$A:$A,'06. BC BH THEO CUSTOMER-USD'!CG$4)/CU150/'02. Tỷ giá'!D$5," -")</f>
        <v xml:space="preserve"> -</v>
      </c>
      <c r="CH150" s="95" t="str">
        <f>IFERROR(SUMIFS('01. KE30'!$R:$R,'01. KE30'!$C:$C,'06. BC BH THEO CUSTOMER-USD'!$D150,'01. KE30'!$F:$F,'06. BC BH THEO CUSTOMER-USD'!$H150,'01. KE30'!$A:$A,'06. BC BH THEO CUSTOMER-USD'!CH$4)/CV150/'02. Tỷ giá'!E$5," -")</f>
        <v xml:space="preserve"> -</v>
      </c>
      <c r="CI150" s="95" t="str">
        <f>IFERROR(SUMIFS('01. KE30'!$R:$R,'01. KE30'!$C:$C,'06. BC BH THEO CUSTOMER-USD'!$D150,'01. KE30'!$F:$F,'06. BC BH THEO CUSTOMER-USD'!$H150,'01. KE30'!$A:$A,'06. BC BH THEO CUSTOMER-USD'!CI$4)/CW150/'02. Tỷ giá'!F$5," -")</f>
        <v xml:space="preserve"> -</v>
      </c>
      <c r="CJ150" s="95" t="str">
        <f>IFERROR(SUMIFS('01. KE30'!$R:$R,'01. KE30'!$C:$C,'06. BC BH THEO CUSTOMER-USD'!$D150,'01. KE30'!$F:$F,'06. BC BH THEO CUSTOMER-USD'!$H150,'01. KE30'!$A:$A,'06. BC BH THEO CUSTOMER-USD'!CJ$4)/CX150/'02. Tỷ giá'!G$5," -")</f>
        <v xml:space="preserve"> -</v>
      </c>
      <c r="CK150" s="95" t="str">
        <f>IFERROR(SUMIFS('01. KE30'!$R:$R,'01. KE30'!$C:$C,'06. BC BH THEO CUSTOMER-USD'!$D150,'01. KE30'!$F:$F,'06. BC BH THEO CUSTOMER-USD'!$H150,'01. KE30'!$A:$A,'06. BC BH THEO CUSTOMER-USD'!CK$4)/CY150/'02. Tỷ giá'!H$5," -")</f>
        <v xml:space="preserve"> -</v>
      </c>
      <c r="CL150" s="95" t="str">
        <f>IFERROR(SUMIFS('01. KE30'!$R:$R,'01. KE30'!$C:$C,'06. BC BH THEO CUSTOMER-USD'!$D150,'01. KE30'!$F:$F,'06. BC BH THEO CUSTOMER-USD'!$H150,'01. KE30'!$A:$A,'06. BC BH THEO CUSTOMER-USD'!CL$4)/CZ150/'02. Tỷ giá'!I$5," -")</f>
        <v xml:space="preserve"> -</v>
      </c>
      <c r="CM150" s="95" t="str">
        <f>IFERROR(SUMIFS('01. KE30'!$R:$R,'01. KE30'!$C:$C,'06. BC BH THEO CUSTOMER-USD'!$D150,'01. KE30'!$F:$F,'06. BC BH THEO CUSTOMER-USD'!$H150,'01. KE30'!$A:$A,'06. BC BH THEO CUSTOMER-USD'!CM$4)/DA150/'02. Tỷ giá'!J$5," -")</f>
        <v xml:space="preserve"> -</v>
      </c>
      <c r="CN150" s="95" t="str">
        <f>IFERROR(SUMIFS('01. KE30'!$R:$R,'01. KE30'!$C:$C,'06. BC BH THEO CUSTOMER-USD'!$D150,'01. KE30'!$F:$F,'06. BC BH THEO CUSTOMER-USD'!$H150,'01. KE30'!$A:$A,'06. BC BH THEO CUSTOMER-USD'!CN$4)/DB150/'02. Tỷ giá'!K$5," -")</f>
        <v xml:space="preserve"> -</v>
      </c>
      <c r="CO150" s="95" t="str">
        <f>IFERROR(SUMIFS('01. KE30'!$R:$R,'01. KE30'!$C:$C,'06. BC BH THEO CUSTOMER-USD'!$D150,'01. KE30'!$F:$F,'06. BC BH THEO CUSTOMER-USD'!$H150,'01. KE30'!$A:$A,'06. BC BH THEO CUSTOMER-USD'!CO$4)/DC150/'02. Tỷ giá'!L$5," -")</f>
        <v xml:space="preserve"> -</v>
      </c>
      <c r="CP150" s="95" t="str">
        <f>IFERROR(SUMIFS('01. KE30'!$R:$R,'01. KE30'!$C:$C,'06. BC BH THEO CUSTOMER-USD'!$D150,'01. KE30'!$F:$F,'06. BC BH THEO CUSTOMER-USD'!$H150,'01. KE30'!$A:$A,'06. BC BH THEO CUSTOMER-USD'!CP$4)/DD150/'02. Tỷ giá'!M$5," -")</f>
        <v xml:space="preserve"> -</v>
      </c>
      <c r="CR150" s="112">
        <f t="shared" ref="CR150:CR151" si="1468">SUM(CS150:DD150)</f>
        <v>0</v>
      </c>
      <c r="CS150" s="114">
        <f>SUMIFS('01. KE30'!$I:$I,'01. KE30'!$C:$C,'06. BC BH THEO CUSTOMER-USD'!$D150,'01. KE30'!$F:$F,'06. BC BH THEO CUSTOMER-USD'!$H150,'01. KE30'!$A:$A,'06. BC BH THEO CUSTOMER-USD'!CS$4)/1000</f>
        <v>0</v>
      </c>
      <c r="CT150" s="114">
        <f>SUMIFS('01. KE30'!$I:$I,'01. KE30'!$C:$C,'06. BC BH THEO CUSTOMER-USD'!$D150,'01. KE30'!$F:$F,'06. BC BH THEO CUSTOMER-USD'!$H150,'01. KE30'!$A:$A,'06. BC BH THEO CUSTOMER-USD'!CT$4)/1000</f>
        <v>0</v>
      </c>
      <c r="CU150" s="114">
        <f>SUMIFS('01. KE30'!$I:$I,'01. KE30'!$C:$C,'06. BC BH THEO CUSTOMER-USD'!$D150,'01. KE30'!$F:$F,'06. BC BH THEO CUSTOMER-USD'!$H150,'01. KE30'!$A:$A,'06. BC BH THEO CUSTOMER-USD'!CU$4)/1000</f>
        <v>0</v>
      </c>
      <c r="CV150" s="114">
        <f>SUMIFS('01. KE30'!$I:$I,'01. KE30'!$C:$C,'06. BC BH THEO CUSTOMER-USD'!$D150,'01. KE30'!$F:$F,'06. BC BH THEO CUSTOMER-USD'!$H150,'01. KE30'!$A:$A,'06. BC BH THEO CUSTOMER-USD'!CV$4)/1000</f>
        <v>0</v>
      </c>
      <c r="CW150" s="114">
        <f>SUMIFS('01. KE30'!$I:$I,'01. KE30'!$C:$C,'06. BC BH THEO CUSTOMER-USD'!$D150,'01. KE30'!$F:$F,'06. BC BH THEO CUSTOMER-USD'!$H150,'01. KE30'!$A:$A,'06. BC BH THEO CUSTOMER-USD'!CW$4)/1000</f>
        <v>0</v>
      </c>
      <c r="CX150" s="114">
        <f>SUMIFS('01. KE30'!$I:$I,'01. KE30'!$C:$C,'06. BC BH THEO CUSTOMER-USD'!$D150,'01. KE30'!$F:$F,'06. BC BH THEO CUSTOMER-USD'!$H150,'01. KE30'!$A:$A,'06. BC BH THEO CUSTOMER-USD'!CX$4)/1000</f>
        <v>0</v>
      </c>
      <c r="CY150" s="114">
        <f>SUMIFS('01. KE30'!$I:$I,'01. KE30'!$C:$C,'06. BC BH THEO CUSTOMER-USD'!$D150,'01. KE30'!$F:$F,'06. BC BH THEO CUSTOMER-USD'!$H150,'01. KE30'!$A:$A,'06. BC BH THEO CUSTOMER-USD'!CY$4)/1000</f>
        <v>0</v>
      </c>
      <c r="CZ150" s="114">
        <f>SUMIFS('01. KE30'!$I:$I,'01. KE30'!$C:$C,'06. BC BH THEO CUSTOMER-USD'!$D150,'01. KE30'!$F:$F,'06. BC BH THEO CUSTOMER-USD'!$H150,'01. KE30'!$A:$A,'06. BC BH THEO CUSTOMER-USD'!CZ$4)/1000</f>
        <v>0</v>
      </c>
      <c r="DA150" s="114">
        <f>SUMIFS('01. KE30'!$I:$I,'01. KE30'!$C:$C,'06. BC BH THEO CUSTOMER-USD'!$D150,'01. KE30'!$F:$F,'06. BC BH THEO CUSTOMER-USD'!$H150,'01. KE30'!$A:$A,'06. BC BH THEO CUSTOMER-USD'!DA$4)/1000</f>
        <v>0</v>
      </c>
      <c r="DB150" s="114">
        <f>SUMIFS('01. KE30'!$I:$I,'01. KE30'!$C:$C,'06. BC BH THEO CUSTOMER-USD'!$D150,'01. KE30'!$F:$F,'06. BC BH THEO CUSTOMER-USD'!$H150,'01. KE30'!$A:$A,'06. BC BH THEO CUSTOMER-USD'!DB$4)/1000</f>
        <v>0</v>
      </c>
      <c r="DC150" s="114">
        <f>SUMIFS('01. KE30'!$I:$I,'01. KE30'!$C:$C,'06. BC BH THEO CUSTOMER-USD'!$D150,'01. KE30'!$F:$F,'06. BC BH THEO CUSTOMER-USD'!$H150,'01. KE30'!$A:$A,'06. BC BH THEO CUSTOMER-USD'!DC$4)/1000</f>
        <v>0</v>
      </c>
      <c r="DD150" s="114">
        <f>SUMIFS('01. KE30'!$I:$I,'01. KE30'!$C:$C,'06. BC BH THEO CUSTOMER-USD'!$D150,'01. KE30'!$F:$F,'06. BC BH THEO CUSTOMER-USD'!$H150,'01. KE30'!$A:$A,'06. BC BH THEO CUSTOMER-USD'!DD$4)/1000</f>
        <v>0</v>
      </c>
      <c r="DF150" s="112">
        <f t="shared" ref="DF150:DF151" si="1469">SUM(DG150:DR150)</f>
        <v>0</v>
      </c>
      <c r="DG150" s="54" t="str">
        <f t="shared" ref="DG150:DG151" si="1470">IFERROR(M150*CS150,"-")</f>
        <v>-</v>
      </c>
      <c r="DH150" s="54" t="str">
        <f t="shared" ref="DH150:DH151" si="1471">IFERROR(N150*CT150,"-")</f>
        <v>-</v>
      </c>
      <c r="DI150" s="54" t="str">
        <f t="shared" ref="DI150:DI151" si="1472">IFERROR(O150*CU150,"-")</f>
        <v>-</v>
      </c>
      <c r="DJ150" s="54" t="str">
        <f t="shared" ref="DJ150:DJ151" si="1473">IFERROR(P150*CV150,"-")</f>
        <v>-</v>
      </c>
      <c r="DK150" s="54" t="str">
        <f t="shared" ref="DK150:DK151" si="1474">IFERROR(Q150*CW150,"-")</f>
        <v>-</v>
      </c>
      <c r="DL150" s="54" t="str">
        <f t="shared" ref="DL150:DL151" si="1475">IFERROR(R150*CX150,"-")</f>
        <v>-</v>
      </c>
      <c r="DM150" s="54" t="str">
        <f t="shared" ref="DM150:DM151" si="1476">IFERROR(S150*CY150,"-")</f>
        <v>-</v>
      </c>
      <c r="DN150" s="54" t="str">
        <f t="shared" ref="DN150:DN151" si="1477">IFERROR(T150*CZ150,"-")</f>
        <v>-</v>
      </c>
      <c r="DO150" s="54" t="str">
        <f t="shared" ref="DO150:DO151" si="1478">IFERROR(U150*DA150,"-")</f>
        <v>-</v>
      </c>
      <c r="DP150" s="54" t="str">
        <f t="shared" ref="DP150:DP151" si="1479">IFERROR(V150*DB150,"-")</f>
        <v>-</v>
      </c>
      <c r="DQ150" s="54" t="str">
        <f t="shared" ref="DQ150:DQ151" si="1480">IFERROR(W150*DC150,"-")</f>
        <v>-</v>
      </c>
      <c r="DR150" s="54" t="str">
        <f t="shared" ref="DR150:DR151" si="1481">IFERROR(X150*DD150,"-")</f>
        <v>-</v>
      </c>
      <c r="DT150" s="112">
        <f t="shared" ref="DT150:DT151" si="1482">SUM(DU150:EF150)</f>
        <v>0</v>
      </c>
      <c r="DU150" s="114">
        <f>IFERROR(SUMIFS('01. KE30'!$X:$X,'01. KE30'!$C:$C,'06. BC BH THEO CUSTOMER-USD'!$D150,'01. KE30'!$F:$F,'06. BC BH THEO CUSTOMER-USD'!$H150,'01. KE30'!$A:$A,'06. BC BH THEO CUSTOMER-USD'!DU$4)-SUMIFS('01. KE30'!$AA:$AA,'01. KE30'!$C:$C,'06. BC BH THEO CUSTOMER-USD'!$D150,'01. KE30'!$F:$F,'06. BC BH THEO CUSTOMER-USD'!$H150,'01. KE30'!$A:$A,'06. BC BH THEO CUSTOMER-USD'!DU$4),"-")</f>
        <v>0</v>
      </c>
      <c r="DV150" s="114">
        <f>IFERROR(SUMIFS('01. KE30'!$X:$X,'01. KE30'!$C:$C,'06. BC BH THEO CUSTOMER-USD'!$D150,'01. KE30'!$F:$F,'06. BC BH THEO CUSTOMER-USD'!$H150,'01. KE30'!$A:$A,'06. BC BH THEO CUSTOMER-USD'!DV$4)-SUMIFS('01. KE30'!$AA:$AA,'01. KE30'!$C:$C,'06. BC BH THEO CUSTOMER-USD'!$D150,'01. KE30'!$F:$F,'06. BC BH THEO CUSTOMER-USD'!$H150,'01. KE30'!$A:$A,'06. BC BH THEO CUSTOMER-USD'!DV$4),"-")</f>
        <v>0</v>
      </c>
      <c r="DW150" s="114">
        <f>IFERROR(SUMIFS('01. KE30'!$X:$X,'01. KE30'!$C:$C,'06. BC BH THEO CUSTOMER-USD'!$D150,'01. KE30'!$F:$F,'06. BC BH THEO CUSTOMER-USD'!$H150,'01. KE30'!$A:$A,'06. BC BH THEO CUSTOMER-USD'!DW$4)-SUMIFS('01. KE30'!$AA:$AA,'01. KE30'!$C:$C,'06. BC BH THEO CUSTOMER-USD'!$D150,'01. KE30'!$F:$F,'06. BC BH THEO CUSTOMER-USD'!$H150,'01. KE30'!$A:$A,'06. BC BH THEO CUSTOMER-USD'!DW$4),"-")</f>
        <v>0</v>
      </c>
      <c r="DX150" s="114">
        <f>IFERROR(SUMIFS('01. KE30'!$X:$X,'01. KE30'!$C:$C,'06. BC BH THEO CUSTOMER-USD'!$D150,'01. KE30'!$F:$F,'06. BC BH THEO CUSTOMER-USD'!$H150,'01. KE30'!$A:$A,'06. BC BH THEO CUSTOMER-USD'!DX$4)-SUMIFS('01. KE30'!$AA:$AA,'01. KE30'!$C:$C,'06. BC BH THEO CUSTOMER-USD'!$D150,'01. KE30'!$F:$F,'06. BC BH THEO CUSTOMER-USD'!$H150,'01. KE30'!$A:$A,'06. BC BH THEO CUSTOMER-USD'!DX$4),"-")</f>
        <v>0</v>
      </c>
      <c r="DY150" s="114">
        <f>IFERROR(SUMIFS('01. KE30'!$X:$X,'01. KE30'!$C:$C,'06. BC BH THEO CUSTOMER-USD'!$D150,'01. KE30'!$F:$F,'06. BC BH THEO CUSTOMER-USD'!$H150,'01. KE30'!$A:$A,'06. BC BH THEO CUSTOMER-USD'!DY$4)-SUMIFS('01. KE30'!$AA:$AA,'01. KE30'!$C:$C,'06. BC BH THEO CUSTOMER-USD'!$D150,'01. KE30'!$F:$F,'06. BC BH THEO CUSTOMER-USD'!$H150,'01. KE30'!$A:$A,'06. BC BH THEO CUSTOMER-USD'!DY$4),"-")</f>
        <v>0</v>
      </c>
      <c r="DZ150" s="114">
        <f>IFERROR(SUMIFS('01. KE30'!$X:$X,'01. KE30'!$C:$C,'06. BC BH THEO CUSTOMER-USD'!$D150,'01. KE30'!$F:$F,'06. BC BH THEO CUSTOMER-USD'!$H150,'01. KE30'!$A:$A,'06. BC BH THEO CUSTOMER-USD'!DZ$4)-SUMIFS('01. KE30'!$AA:$AA,'01. KE30'!$C:$C,'06. BC BH THEO CUSTOMER-USD'!$D150,'01. KE30'!$F:$F,'06. BC BH THEO CUSTOMER-USD'!$H150,'01. KE30'!$A:$A,'06. BC BH THEO CUSTOMER-USD'!DZ$4),"-")</f>
        <v>0</v>
      </c>
      <c r="EA150" s="114">
        <f>IFERROR(SUMIFS('01. KE30'!$X:$X,'01. KE30'!$C:$C,'06. BC BH THEO CUSTOMER-USD'!$D150,'01. KE30'!$F:$F,'06. BC BH THEO CUSTOMER-USD'!$H150,'01. KE30'!$A:$A,'06. BC BH THEO CUSTOMER-USD'!EA$4)-SUMIFS('01. KE30'!$AA:$AA,'01. KE30'!$C:$C,'06. BC BH THEO CUSTOMER-USD'!$D150,'01. KE30'!$F:$F,'06. BC BH THEO CUSTOMER-USD'!$H150,'01. KE30'!$A:$A,'06. BC BH THEO CUSTOMER-USD'!EA$4),"-")</f>
        <v>0</v>
      </c>
      <c r="EB150" s="114">
        <f>IFERROR(SUMIFS('01. KE30'!$X:$X,'01. KE30'!$C:$C,'06. BC BH THEO CUSTOMER-USD'!$D150,'01. KE30'!$F:$F,'06. BC BH THEO CUSTOMER-USD'!$H150,'01. KE30'!$A:$A,'06. BC BH THEO CUSTOMER-USD'!EB$4)-SUMIFS('01. KE30'!$AA:$AA,'01. KE30'!$C:$C,'06. BC BH THEO CUSTOMER-USD'!$D150,'01. KE30'!$F:$F,'06. BC BH THEO CUSTOMER-USD'!$H150,'01. KE30'!$A:$A,'06. BC BH THEO CUSTOMER-USD'!EB$4),"-")</f>
        <v>0</v>
      </c>
      <c r="EC150" s="114">
        <f>IFERROR(SUMIFS('01. KE30'!$X:$X,'01. KE30'!$C:$C,'06. BC BH THEO CUSTOMER-USD'!$D150,'01. KE30'!$F:$F,'06. BC BH THEO CUSTOMER-USD'!$H150,'01. KE30'!$A:$A,'06. BC BH THEO CUSTOMER-USD'!EC$4)-SUMIFS('01. KE30'!$AA:$AA,'01. KE30'!$C:$C,'06. BC BH THEO CUSTOMER-USD'!$D150,'01. KE30'!$F:$F,'06. BC BH THEO CUSTOMER-USD'!$H150,'01. KE30'!$A:$A,'06. BC BH THEO CUSTOMER-USD'!EC$4),"-")</f>
        <v>0</v>
      </c>
      <c r="ED150" s="114">
        <f>IFERROR(SUMIFS('01. KE30'!$X:$X,'01. KE30'!$C:$C,'06. BC BH THEO CUSTOMER-USD'!$D150,'01. KE30'!$F:$F,'06. BC BH THEO CUSTOMER-USD'!$H150,'01. KE30'!$A:$A,'06. BC BH THEO CUSTOMER-USD'!ED$4)-SUMIFS('01. KE30'!$AA:$AA,'01. KE30'!$C:$C,'06. BC BH THEO CUSTOMER-USD'!$D150,'01. KE30'!$F:$F,'06. BC BH THEO CUSTOMER-USD'!$H150,'01. KE30'!$A:$A,'06. BC BH THEO CUSTOMER-USD'!ED$4),"-")</f>
        <v>0</v>
      </c>
      <c r="EE150" s="114">
        <f>IFERROR(SUMIFS('01. KE30'!$X:$X,'01. KE30'!$C:$C,'06. BC BH THEO CUSTOMER-USD'!$D150,'01. KE30'!$F:$F,'06. BC BH THEO CUSTOMER-USD'!$H150,'01. KE30'!$A:$A,'06. BC BH THEO CUSTOMER-USD'!EE$4)-SUMIFS('01. KE30'!$AA:$AA,'01. KE30'!$C:$C,'06. BC BH THEO CUSTOMER-USD'!$D150,'01. KE30'!$F:$F,'06. BC BH THEO CUSTOMER-USD'!$H150,'01. KE30'!$A:$A,'06. BC BH THEO CUSTOMER-USD'!EE$4),"-")</f>
        <v>0</v>
      </c>
      <c r="EF150" s="114">
        <f>IFERROR(SUMIFS('01. KE30'!$X:$X,'01. KE30'!$C:$C,'06. BC BH THEO CUSTOMER-USD'!$D150,'01. KE30'!$F:$F,'06. BC BH THEO CUSTOMER-USD'!$H150,'01. KE30'!$A:$A,'06. BC BH THEO CUSTOMER-USD'!EF$4)-SUMIFS('01. KE30'!$AA:$AA,'01. KE30'!$C:$C,'06. BC BH THEO CUSTOMER-USD'!$D150,'01. KE30'!$F:$F,'06. BC BH THEO CUSTOMER-USD'!$H150,'01. KE30'!$A:$A,'06. BC BH THEO CUSTOMER-USD'!EF$4),"-")</f>
        <v>0</v>
      </c>
      <c r="EH150" s="571" t="str">
        <f t="shared" si="531"/>
        <v>-</v>
      </c>
      <c r="EI150" s="572" t="str">
        <f t="shared" si="532"/>
        <v>-</v>
      </c>
      <c r="EJ150" s="572" t="str">
        <f t="shared" si="533"/>
        <v>-</v>
      </c>
      <c r="EK150" s="572" t="str">
        <f t="shared" si="534"/>
        <v>-</v>
      </c>
      <c r="EL150" s="572" t="str">
        <f t="shared" si="535"/>
        <v>-</v>
      </c>
      <c r="EM150" s="572" t="str">
        <f t="shared" si="536"/>
        <v>-</v>
      </c>
      <c r="EN150" s="572" t="str">
        <f t="shared" si="537"/>
        <v>-</v>
      </c>
      <c r="EO150" s="572" t="str">
        <f t="shared" si="538"/>
        <v>-</v>
      </c>
      <c r="EP150" s="572" t="str">
        <f t="shared" si="539"/>
        <v>-</v>
      </c>
      <c r="EQ150" s="572" t="str">
        <f t="shared" si="540"/>
        <v>-</v>
      </c>
      <c r="ER150" s="572" t="str">
        <f t="shared" si="541"/>
        <v>-</v>
      </c>
      <c r="ES150" s="572" t="str">
        <f t="shared" si="542"/>
        <v>-</v>
      </c>
      <c r="ET150" s="572" t="str">
        <f t="shared" si="543"/>
        <v>-</v>
      </c>
    </row>
    <row r="151" spans="1:150" ht="15.5" hidden="1" outlineLevel="1" x14ac:dyDescent="0.35">
      <c r="A151" s="10">
        <f>A149+1</f>
        <v>22</v>
      </c>
      <c r="B151" s="10" t="s">
        <v>265</v>
      </c>
      <c r="C151" s="442" t="s">
        <v>489</v>
      </c>
      <c r="D151" s="9" t="s">
        <v>530</v>
      </c>
      <c r="E151" s="12" t="s">
        <v>531</v>
      </c>
      <c r="F151" s="12" t="s">
        <v>671</v>
      </c>
      <c r="G151" s="12" t="str">
        <f>_xlfn.XLOOKUP(F151,'Quy đổi'!$G$5:$G$32,'Quy đổi'!$H$5:$H$32,0)</f>
        <v>Châu Âu</v>
      </c>
      <c r="H151" s="76" t="s">
        <v>375</v>
      </c>
      <c r="I151" s="7" t="s">
        <v>376</v>
      </c>
      <c r="J151" s="69" t="s">
        <v>26</v>
      </c>
      <c r="K151" s="11" t="s">
        <v>90</v>
      </c>
      <c r="L151" s="92">
        <f t="shared" si="1439"/>
        <v>1473</v>
      </c>
      <c r="M151" s="106" t="str">
        <f>IFERROR(SUMIFS('01. KE30'!$K:$K,'01. KE30'!$C:$C,'06. BC BH THEO CUSTOMER-USD'!$D151,'01. KE30'!$F:$F,'06. BC BH THEO CUSTOMER-USD'!$H151,'01. KE30'!$A:$A,'06. BC BH THEO CUSTOMER-USD'!M$4)/'06. BC BH THEO CUSTOMER-USD'!CS151/'02. Tỷ giá'!B$5,"-")</f>
        <v>-</v>
      </c>
      <c r="N151" s="106" t="str">
        <f>IFERROR(SUMIFS('01. KE30'!$K:$K,'01. KE30'!$C:$C,'06. BC BH THEO CUSTOMER-USD'!$D151,'01. KE30'!$F:$F,'06. BC BH THEO CUSTOMER-USD'!$H151,'01. KE30'!$A:$A,'06. BC BH THEO CUSTOMER-USD'!N$4)/'06. BC BH THEO CUSTOMER-USD'!CT151/'02. Tỷ giá'!C$5,"-")</f>
        <v>-</v>
      </c>
      <c r="O151" s="106">
        <f>IFERROR(SUMIFS('01. KE30'!$K:$K,'01. KE30'!$C:$C,'06. BC BH THEO CUSTOMER-USD'!$D151,'01. KE30'!$F:$F,'06. BC BH THEO CUSTOMER-USD'!$H151,'01. KE30'!$A:$A,'06. BC BH THEO CUSTOMER-USD'!O$4)/'06. BC BH THEO CUSTOMER-USD'!CU151/'02. Tỷ giá'!D$5,"-")</f>
        <v>1485</v>
      </c>
      <c r="P151" s="106" t="str">
        <f>IFERROR(SUMIFS('01. KE30'!$K:$K,'01. KE30'!$C:$C,'06. BC BH THEO CUSTOMER-USD'!$D151,'01. KE30'!$F:$F,'06. BC BH THEO CUSTOMER-USD'!$H151,'01. KE30'!$A:$A,'06. BC BH THEO CUSTOMER-USD'!P$4)/'06. BC BH THEO CUSTOMER-USD'!CV151/'02. Tỷ giá'!E$5,"-")</f>
        <v>-</v>
      </c>
      <c r="Q151" s="106" t="str">
        <f>IFERROR(SUMIFS('01. KE30'!$K:$K,'01. KE30'!$C:$C,'06. BC BH THEO CUSTOMER-USD'!$D151,'01. KE30'!$F:$F,'06. BC BH THEO CUSTOMER-USD'!$H151,'01. KE30'!$A:$A,'06. BC BH THEO CUSTOMER-USD'!Q$4)/'06. BC BH THEO CUSTOMER-USD'!CW151/'02. Tỷ giá'!F$5,"-")</f>
        <v>-</v>
      </c>
      <c r="R151" s="106" t="str">
        <f>IFERROR(SUMIFS('01. KE30'!$K:$K,'01. KE30'!$C:$C,'06. BC BH THEO CUSTOMER-USD'!$D151,'01. KE30'!$F:$F,'06. BC BH THEO CUSTOMER-USD'!$H151,'01. KE30'!$A:$A,'06. BC BH THEO CUSTOMER-USD'!R$4)/'06. BC BH THEO CUSTOMER-USD'!CX151/'02. Tỷ giá'!G$5,"-")</f>
        <v>-</v>
      </c>
      <c r="S151" s="106" t="str">
        <f>IFERROR(SUMIFS('01. KE30'!$K:$K,'01. KE30'!$C:$C,'06. BC BH THEO CUSTOMER-USD'!$D151,'01. KE30'!$F:$F,'06. BC BH THEO CUSTOMER-USD'!$H151,'01. KE30'!$A:$A,'06. BC BH THEO CUSTOMER-USD'!S$4)/'06. BC BH THEO CUSTOMER-USD'!CY151/'02. Tỷ giá'!H$5,"-")</f>
        <v>-</v>
      </c>
      <c r="T151" s="106">
        <f>IFERROR(SUMIFS('01. KE30'!$K:$K,'01. KE30'!$C:$C,'06. BC BH THEO CUSTOMER-USD'!$D151,'01. KE30'!$F:$F,'06. BC BH THEO CUSTOMER-USD'!$H151,'01. KE30'!$A:$A,'06. BC BH THEO CUSTOMER-USD'!T$4)/'06. BC BH THEO CUSTOMER-USD'!CZ151/'02. Tỷ giá'!I$5,"-")</f>
        <v>1461</v>
      </c>
      <c r="U151" s="106" t="str">
        <f>IFERROR(SUMIFS('01. KE30'!$K:$K,'01. KE30'!$C:$C,'06. BC BH THEO CUSTOMER-USD'!$D151,'01. KE30'!$F:$F,'06. BC BH THEO CUSTOMER-USD'!$H151,'01. KE30'!$A:$A,'06. BC BH THEO CUSTOMER-USD'!U$4)/'06. BC BH THEO CUSTOMER-USD'!DA151/'02. Tỷ giá'!J$5,"-")</f>
        <v>-</v>
      </c>
      <c r="V151" s="106" t="str">
        <f>IFERROR(SUMIFS('01. KE30'!$K:$K,'01. KE30'!$C:$C,'06. BC BH THEO CUSTOMER-USD'!$D151,'01. KE30'!$F:$F,'06. BC BH THEO CUSTOMER-USD'!$H151,'01. KE30'!$A:$A,'06. BC BH THEO CUSTOMER-USD'!V$4)/'06. BC BH THEO CUSTOMER-USD'!DB151/'02. Tỷ giá'!K$5,"-")</f>
        <v>-</v>
      </c>
      <c r="W151" s="106" t="str">
        <f>IFERROR(SUMIFS('01. KE30'!$K:$K,'01. KE30'!$C:$C,'06. BC BH THEO CUSTOMER-USD'!$D151,'01. KE30'!$F:$F,'06. BC BH THEO CUSTOMER-USD'!$H151,'01. KE30'!$A:$A,'06. BC BH THEO CUSTOMER-USD'!W$4)/'06. BC BH THEO CUSTOMER-USD'!DC151/'02. Tỷ giá'!L$5,"-")</f>
        <v>-</v>
      </c>
      <c r="X151" s="106" t="str">
        <f>IFERROR(SUMIFS('01. KE30'!$K:$K,'01. KE30'!$C:$C,'06. BC BH THEO CUSTOMER-USD'!$D151,'01. KE30'!$F:$F,'06. BC BH THEO CUSTOMER-USD'!$H151,'01. KE30'!$A:$A,'06. BC BH THEO CUSTOMER-USD'!X$4)/'06. BC BH THEO CUSTOMER-USD'!DD151/'02. Tỷ giá'!M$5,"-")</f>
        <v>-</v>
      </c>
      <c r="Z151" s="92">
        <f t="shared" si="1440"/>
        <v>1365.1647251902214</v>
      </c>
      <c r="AA151" s="147" t="str">
        <f>IFERROR(SUMIFS('01. KE30'!$O:$O,'01. KE30'!$C:$C,'06. BC BH THEO CUSTOMER-USD'!$D151,'01. KE30'!$F:$F,'06. BC BH THEO CUSTOMER-USD'!$H151,'01. KE30'!$A:$A,'06. BC BH THEO CUSTOMER-USD'!M$4)/'06. BC BH THEO CUSTOMER-USD'!CS151/'02. Tỷ giá'!B$5,"-")</f>
        <v>-</v>
      </c>
      <c r="AB151" s="147" t="str">
        <f>IFERROR(SUMIFS('01. KE30'!$O:$O,'01. KE30'!$C:$C,'06. BC BH THEO CUSTOMER-USD'!$D151,'01. KE30'!$F:$F,'06. BC BH THEO CUSTOMER-USD'!$H151,'01. KE30'!$A:$A,'06. BC BH THEO CUSTOMER-USD'!N$4)/'06. BC BH THEO CUSTOMER-USD'!CT151/'02. Tỷ giá'!C$5,"-")</f>
        <v>-</v>
      </c>
      <c r="AC151" s="147">
        <f>IFERROR(SUMIFS('01. KE30'!$O:$O,'01. KE30'!$C:$C,'06. BC BH THEO CUSTOMER-USD'!$D151,'01. KE30'!$F:$F,'06. BC BH THEO CUSTOMER-USD'!$H151,'01. KE30'!$A:$A,'06. BC BH THEO CUSTOMER-USD'!O$4)/'06. BC BH THEO CUSTOMER-USD'!CU151/'02. Tỷ giá'!D$5,"-")</f>
        <v>1384.8160073172671</v>
      </c>
      <c r="AD151" s="147" t="str">
        <f>IFERROR(SUMIFS('01. KE30'!$O:$O,'01. KE30'!$C:$C,'06. BC BH THEO CUSTOMER-USD'!$D151,'01. KE30'!$F:$F,'06. BC BH THEO CUSTOMER-USD'!$H151,'01. KE30'!$A:$A,'06. BC BH THEO CUSTOMER-USD'!P$4)/'06. BC BH THEO CUSTOMER-USD'!CV151/'02. Tỷ giá'!E$5,"-")</f>
        <v>-</v>
      </c>
      <c r="AE151" s="147" t="str">
        <f>IFERROR(SUMIFS('01. KE30'!$O:$O,'01. KE30'!$C:$C,'06. BC BH THEO CUSTOMER-USD'!$D151,'01. KE30'!$F:$F,'06. BC BH THEO CUSTOMER-USD'!$H151,'01. KE30'!$A:$A,'06. BC BH THEO CUSTOMER-USD'!Q$4)/'06. BC BH THEO CUSTOMER-USD'!CW151/'02. Tỷ giá'!F$5,"-")</f>
        <v>-</v>
      </c>
      <c r="AF151" s="147" t="str">
        <f>IFERROR(SUMIFS('01. KE30'!$O:$O,'01. KE30'!$C:$C,'06. BC BH THEO CUSTOMER-USD'!$D151,'01. KE30'!$F:$F,'06. BC BH THEO CUSTOMER-USD'!$H151,'01. KE30'!$A:$A,'06. BC BH THEO CUSTOMER-USD'!R$4)/'06. BC BH THEO CUSTOMER-USD'!CX151/'02. Tỷ giá'!G$5,"-")</f>
        <v>-</v>
      </c>
      <c r="AG151" s="147" t="str">
        <f>IFERROR(SUMIFS('01. KE30'!$O:$O,'01. KE30'!$C:$C,'06. BC BH THEO CUSTOMER-USD'!$D151,'01. KE30'!$F:$F,'06. BC BH THEO CUSTOMER-USD'!$H151,'01. KE30'!$A:$A,'06. BC BH THEO CUSTOMER-USD'!S$4)/'06. BC BH THEO CUSTOMER-USD'!CY151/'02. Tỷ giá'!H$5,"-")</f>
        <v>-</v>
      </c>
      <c r="AH151" s="147">
        <f>IFERROR(SUMIFS('01. KE30'!$O:$O,'01. KE30'!$C:$C,'06. BC BH THEO CUSTOMER-USD'!$D151,'01. KE30'!$F:$F,'06. BC BH THEO CUSTOMER-USD'!$H151,'01. KE30'!$A:$A,'06. BC BH THEO CUSTOMER-USD'!T$4)/'06. BC BH THEO CUSTOMER-USD'!CZ151/'02. Tỷ giá'!I$5,"-")</f>
        <v>1345.5134430631756</v>
      </c>
      <c r="AI151" s="147" t="str">
        <f>IFERROR(SUMIFS('01. KE30'!$O:$O,'01. KE30'!$C:$C,'06. BC BH THEO CUSTOMER-USD'!$D151,'01. KE30'!$F:$F,'06. BC BH THEO CUSTOMER-USD'!$H151,'01. KE30'!$A:$A,'06. BC BH THEO CUSTOMER-USD'!U$4)/'06. BC BH THEO CUSTOMER-USD'!DA151/'02. Tỷ giá'!J$5,"-")</f>
        <v>-</v>
      </c>
      <c r="AJ151" s="147" t="str">
        <f>IFERROR(SUMIFS('01. KE30'!$O:$O,'01. KE30'!$C:$C,'06. BC BH THEO CUSTOMER-USD'!$D151,'01. KE30'!$F:$F,'06. BC BH THEO CUSTOMER-USD'!$H151,'01. KE30'!$A:$A,'06. BC BH THEO CUSTOMER-USD'!V$4)/'06. BC BH THEO CUSTOMER-USD'!DB151/'02. Tỷ giá'!K$5,"-")</f>
        <v>-</v>
      </c>
      <c r="AK151" s="147" t="str">
        <f>IFERROR(SUMIFS('01. KE30'!$O:$O,'01. KE30'!$C:$C,'06. BC BH THEO CUSTOMER-USD'!$D151,'01. KE30'!$F:$F,'06. BC BH THEO CUSTOMER-USD'!$H151,'01. KE30'!$A:$A,'06. BC BH THEO CUSTOMER-USD'!W$4)/'06. BC BH THEO CUSTOMER-USD'!DC151/'02. Tỷ giá'!L$5,"-")</f>
        <v>-</v>
      </c>
      <c r="AL151" s="147" t="str">
        <f>IFERROR(SUMIFS('01. KE30'!$O:$O,'01. KE30'!$C:$C,'06. BC BH THEO CUSTOMER-USD'!$D151,'01. KE30'!$F:$F,'06. BC BH THEO CUSTOMER-USD'!$H151,'01. KE30'!$A:$A,'06. BC BH THEO CUSTOMER-USD'!X$4)/'06. BC BH THEO CUSTOMER-USD'!DD151/'02. Tỷ giá'!M$5,"-")</f>
        <v>-</v>
      </c>
      <c r="AN151" s="55">
        <f t="shared" si="1441"/>
        <v>1354.4444444444443</v>
      </c>
      <c r="AO151" s="4">
        <v>1400</v>
      </c>
      <c r="AP151" s="4">
        <v>1400</v>
      </c>
      <c r="AQ151" s="4">
        <f t="shared" si="1438"/>
        <v>1350</v>
      </c>
      <c r="AR151" s="4">
        <v>1350</v>
      </c>
      <c r="AS151" s="4">
        <v>1350</v>
      </c>
      <c r="AT151" s="4">
        <v>1350</v>
      </c>
      <c r="AU151" s="4">
        <v>1350</v>
      </c>
      <c r="AV151" s="4">
        <f t="shared" si="1272"/>
        <v>1330</v>
      </c>
      <c r="AW151" s="4">
        <v>1310</v>
      </c>
      <c r="AX151" s="4"/>
      <c r="AY151" s="4"/>
      <c r="AZ151" s="4"/>
      <c r="BB151" s="54">
        <f t="shared" si="1442"/>
        <v>10.720280745777018</v>
      </c>
      <c r="BC151" s="95" t="str">
        <f t="shared" si="1443"/>
        <v>-</v>
      </c>
      <c r="BD151" s="95" t="str">
        <f t="shared" si="1444"/>
        <v>-</v>
      </c>
      <c r="BE151" s="95">
        <f t="shared" si="1445"/>
        <v>34.816007317267122</v>
      </c>
      <c r="BF151" s="95" t="str">
        <f t="shared" si="1446"/>
        <v>-</v>
      </c>
      <c r="BG151" s="95" t="str">
        <f t="shared" si="1447"/>
        <v>-</v>
      </c>
      <c r="BH151" s="95" t="str">
        <f t="shared" si="1448"/>
        <v>-</v>
      </c>
      <c r="BI151" s="95" t="str">
        <f t="shared" si="1449"/>
        <v>-</v>
      </c>
      <c r="BJ151" s="95">
        <f t="shared" si="1450"/>
        <v>15.5134430631756</v>
      </c>
      <c r="BK151" s="95" t="str">
        <f t="shared" si="1451"/>
        <v>-</v>
      </c>
      <c r="BL151" s="95" t="str">
        <f t="shared" si="1452"/>
        <v>-</v>
      </c>
      <c r="BM151" s="95" t="str">
        <f t="shared" si="1453"/>
        <v>-</v>
      </c>
      <c r="BN151" s="95" t="str">
        <f t="shared" si="1454"/>
        <v>-</v>
      </c>
      <c r="BP151" s="143">
        <f t="shared" si="1455"/>
        <v>7.9148914447902518E-3</v>
      </c>
      <c r="BQ151" s="143" t="str">
        <f t="shared" si="1456"/>
        <v>-</v>
      </c>
      <c r="BR151" s="143" t="str">
        <f t="shared" si="1457"/>
        <v>-</v>
      </c>
      <c r="BS151" s="143">
        <f t="shared" si="1458"/>
        <v>2.5789635049827498E-2</v>
      </c>
      <c r="BT151" s="143" t="str">
        <f t="shared" si="1459"/>
        <v>-</v>
      </c>
      <c r="BU151" s="143" t="str">
        <f t="shared" si="1460"/>
        <v>-</v>
      </c>
      <c r="BV151" s="143" t="str">
        <f t="shared" si="1461"/>
        <v>-</v>
      </c>
      <c r="BW151" s="143" t="str">
        <f t="shared" si="1462"/>
        <v>-</v>
      </c>
      <c r="BX151" s="143">
        <f t="shared" si="1463"/>
        <v>1.1664242904643308E-2</v>
      </c>
      <c r="BY151" s="143" t="str">
        <f t="shared" si="1464"/>
        <v>-</v>
      </c>
      <c r="BZ151" s="143" t="str">
        <f t="shared" si="1465"/>
        <v>-</v>
      </c>
      <c r="CA151" s="143" t="str">
        <f t="shared" si="1466"/>
        <v>-</v>
      </c>
      <c r="CB151" s="143" t="str">
        <f t="shared" si="1467"/>
        <v>-</v>
      </c>
      <c r="CD151" s="112">
        <f t="shared" si="1248"/>
        <v>1101.5126719314437</v>
      </c>
      <c r="CE151" s="95" t="str">
        <f>IFERROR(SUMIFS('01. KE30'!$R:$R,'01. KE30'!$C:$C,'06. BC BH THEO CUSTOMER-USD'!$D151,'01. KE30'!$F:$F,'06. BC BH THEO CUSTOMER-USD'!$H151,'01. KE30'!$A:$A,'06. BC BH THEO CUSTOMER-USD'!CE$4)/CS151/'02. Tỷ giá'!B$5," -")</f>
        <v xml:space="preserve"> -</v>
      </c>
      <c r="CF151" s="95" t="str">
        <f>IFERROR(SUMIFS('01. KE30'!$R:$R,'01. KE30'!$C:$C,'06. BC BH THEO CUSTOMER-USD'!$D151,'01. KE30'!$F:$F,'06. BC BH THEO CUSTOMER-USD'!$H151,'01. KE30'!$A:$A,'06. BC BH THEO CUSTOMER-USD'!CF$4)/CT151/'02. Tỷ giá'!C$5," -")</f>
        <v xml:space="preserve"> -</v>
      </c>
      <c r="CG151" s="95">
        <f>IFERROR(SUMIFS('01. KE30'!$R:$R,'01. KE30'!$C:$C,'06. BC BH THEO CUSTOMER-USD'!$D151,'01. KE30'!$F:$F,'06. BC BH THEO CUSTOMER-USD'!$H151,'01. KE30'!$A:$A,'06. BC BH THEO CUSTOMER-USD'!CG$4)/CU151/'02. Tỷ giá'!D$5," -")</f>
        <v>1118.1016670643444</v>
      </c>
      <c r="CH151" s="95" t="str">
        <f>IFERROR(SUMIFS('01. KE30'!$R:$R,'01. KE30'!$C:$C,'06. BC BH THEO CUSTOMER-USD'!$D151,'01. KE30'!$F:$F,'06. BC BH THEO CUSTOMER-USD'!$H151,'01. KE30'!$A:$A,'06. BC BH THEO CUSTOMER-USD'!CH$4)/CV151/'02. Tỷ giá'!E$5," -")</f>
        <v xml:space="preserve"> -</v>
      </c>
      <c r="CI151" s="95" t="str">
        <f>IFERROR(SUMIFS('01. KE30'!$R:$R,'01. KE30'!$C:$C,'06. BC BH THEO CUSTOMER-USD'!$D151,'01. KE30'!$F:$F,'06. BC BH THEO CUSTOMER-USD'!$H151,'01. KE30'!$A:$A,'06. BC BH THEO CUSTOMER-USD'!CI$4)/CW151/'02. Tỷ giá'!F$5," -")</f>
        <v xml:space="preserve"> -</v>
      </c>
      <c r="CJ151" s="95" t="str">
        <f>IFERROR(SUMIFS('01. KE30'!$R:$R,'01. KE30'!$C:$C,'06. BC BH THEO CUSTOMER-USD'!$D151,'01. KE30'!$F:$F,'06. BC BH THEO CUSTOMER-USD'!$H151,'01. KE30'!$A:$A,'06. BC BH THEO CUSTOMER-USD'!CJ$4)/CX151/'02. Tỷ giá'!G$5," -")</f>
        <v xml:space="preserve"> -</v>
      </c>
      <c r="CK151" s="95" t="str">
        <f>IFERROR(SUMIFS('01. KE30'!$R:$R,'01. KE30'!$C:$C,'06. BC BH THEO CUSTOMER-USD'!$D151,'01. KE30'!$F:$F,'06. BC BH THEO CUSTOMER-USD'!$H151,'01. KE30'!$A:$A,'06. BC BH THEO CUSTOMER-USD'!CK$4)/CY151/'02. Tỷ giá'!H$5," -")</f>
        <v xml:space="preserve"> -</v>
      </c>
      <c r="CL151" s="95">
        <f>IFERROR(SUMIFS('01. KE30'!$R:$R,'01. KE30'!$C:$C,'06. BC BH THEO CUSTOMER-USD'!$D151,'01. KE30'!$F:$F,'06. BC BH THEO CUSTOMER-USD'!$H151,'01. KE30'!$A:$A,'06. BC BH THEO CUSTOMER-USD'!CL$4)/CZ151/'02. Tỷ giá'!I$5," -")</f>
        <v>1084.9236767985431</v>
      </c>
      <c r="CM151" s="95" t="str">
        <f>IFERROR(SUMIFS('01. KE30'!$R:$R,'01. KE30'!$C:$C,'06. BC BH THEO CUSTOMER-USD'!$D151,'01. KE30'!$F:$F,'06. BC BH THEO CUSTOMER-USD'!$H151,'01. KE30'!$A:$A,'06. BC BH THEO CUSTOMER-USD'!CM$4)/DA151/'02. Tỷ giá'!J$5," -")</f>
        <v xml:space="preserve"> -</v>
      </c>
      <c r="CN151" s="95" t="str">
        <f>IFERROR(SUMIFS('01. KE30'!$R:$R,'01. KE30'!$C:$C,'06. BC BH THEO CUSTOMER-USD'!$D151,'01. KE30'!$F:$F,'06. BC BH THEO CUSTOMER-USD'!$H151,'01. KE30'!$A:$A,'06. BC BH THEO CUSTOMER-USD'!CN$4)/DB151/'02. Tỷ giá'!K$5," -")</f>
        <v xml:space="preserve"> -</v>
      </c>
      <c r="CO151" s="95" t="str">
        <f>IFERROR(SUMIFS('01. KE30'!$R:$R,'01. KE30'!$C:$C,'06. BC BH THEO CUSTOMER-USD'!$D151,'01. KE30'!$F:$F,'06. BC BH THEO CUSTOMER-USD'!$H151,'01. KE30'!$A:$A,'06. BC BH THEO CUSTOMER-USD'!CO$4)/DC151/'02. Tỷ giá'!L$5," -")</f>
        <v xml:space="preserve"> -</v>
      </c>
      <c r="CP151" s="95" t="str">
        <f>IFERROR(SUMIFS('01. KE30'!$R:$R,'01. KE30'!$C:$C,'06. BC BH THEO CUSTOMER-USD'!$D151,'01. KE30'!$F:$F,'06. BC BH THEO CUSTOMER-USD'!$H151,'01. KE30'!$A:$A,'06. BC BH THEO CUSTOMER-USD'!CP$4)/DD151/'02. Tỷ giá'!M$5," -")</f>
        <v xml:space="preserve"> -</v>
      </c>
      <c r="CR151" s="112">
        <f t="shared" si="1468"/>
        <v>198</v>
      </c>
      <c r="CS151" s="114">
        <f>SUMIFS('01. KE30'!$I:$I,'01. KE30'!$C:$C,'06. BC BH THEO CUSTOMER-USD'!$D151,'01. KE30'!$F:$F,'06. BC BH THEO CUSTOMER-USD'!$H151,'01. KE30'!$A:$A,'06. BC BH THEO CUSTOMER-USD'!CS$4)/1000</f>
        <v>0</v>
      </c>
      <c r="CT151" s="114">
        <f>SUMIFS('01. KE30'!$I:$I,'01. KE30'!$C:$C,'06. BC BH THEO CUSTOMER-USD'!$D151,'01. KE30'!$F:$F,'06. BC BH THEO CUSTOMER-USD'!$H151,'01. KE30'!$A:$A,'06. BC BH THEO CUSTOMER-USD'!CT$4)/1000</f>
        <v>0</v>
      </c>
      <c r="CU151" s="114">
        <f>SUMIFS('01. KE30'!$I:$I,'01. KE30'!$C:$C,'06. BC BH THEO CUSTOMER-USD'!$D151,'01. KE30'!$F:$F,'06. BC BH THEO CUSTOMER-USD'!$H151,'01. KE30'!$A:$A,'06. BC BH THEO CUSTOMER-USD'!CU$4)/1000</f>
        <v>99</v>
      </c>
      <c r="CV151" s="114">
        <f>SUMIFS('01. KE30'!$I:$I,'01. KE30'!$C:$C,'06. BC BH THEO CUSTOMER-USD'!$D151,'01. KE30'!$F:$F,'06. BC BH THEO CUSTOMER-USD'!$H151,'01. KE30'!$A:$A,'06. BC BH THEO CUSTOMER-USD'!CV$4)/1000</f>
        <v>0</v>
      </c>
      <c r="CW151" s="114">
        <f>SUMIFS('01. KE30'!$I:$I,'01. KE30'!$C:$C,'06. BC BH THEO CUSTOMER-USD'!$D151,'01. KE30'!$F:$F,'06. BC BH THEO CUSTOMER-USD'!$H151,'01. KE30'!$A:$A,'06. BC BH THEO CUSTOMER-USD'!CW$4)/1000</f>
        <v>0</v>
      </c>
      <c r="CX151" s="114">
        <f>SUMIFS('01. KE30'!$I:$I,'01. KE30'!$C:$C,'06. BC BH THEO CUSTOMER-USD'!$D151,'01. KE30'!$F:$F,'06. BC BH THEO CUSTOMER-USD'!$H151,'01. KE30'!$A:$A,'06. BC BH THEO CUSTOMER-USD'!CX$4)/1000</f>
        <v>0</v>
      </c>
      <c r="CY151" s="114">
        <f>SUMIFS('01. KE30'!$I:$I,'01. KE30'!$C:$C,'06. BC BH THEO CUSTOMER-USD'!$D151,'01. KE30'!$F:$F,'06. BC BH THEO CUSTOMER-USD'!$H151,'01. KE30'!$A:$A,'06. BC BH THEO CUSTOMER-USD'!CY$4)/1000</f>
        <v>0</v>
      </c>
      <c r="CZ151" s="114">
        <f>SUMIFS('01. KE30'!$I:$I,'01. KE30'!$C:$C,'06. BC BH THEO CUSTOMER-USD'!$D151,'01. KE30'!$F:$F,'06. BC BH THEO CUSTOMER-USD'!$H151,'01. KE30'!$A:$A,'06. BC BH THEO CUSTOMER-USD'!CZ$4)/1000</f>
        <v>99</v>
      </c>
      <c r="DA151" s="114">
        <f>SUMIFS('01. KE30'!$I:$I,'01. KE30'!$C:$C,'06. BC BH THEO CUSTOMER-USD'!$D151,'01. KE30'!$F:$F,'06. BC BH THEO CUSTOMER-USD'!$H151,'01. KE30'!$A:$A,'06. BC BH THEO CUSTOMER-USD'!DA$4)/1000</f>
        <v>0</v>
      </c>
      <c r="DB151" s="114">
        <f>SUMIFS('01. KE30'!$I:$I,'01. KE30'!$C:$C,'06. BC BH THEO CUSTOMER-USD'!$D151,'01. KE30'!$F:$F,'06. BC BH THEO CUSTOMER-USD'!$H151,'01. KE30'!$A:$A,'06. BC BH THEO CUSTOMER-USD'!DB$4)/1000</f>
        <v>0</v>
      </c>
      <c r="DC151" s="114">
        <f>SUMIFS('01. KE30'!$I:$I,'01. KE30'!$C:$C,'06. BC BH THEO CUSTOMER-USD'!$D151,'01. KE30'!$F:$F,'06. BC BH THEO CUSTOMER-USD'!$H151,'01. KE30'!$A:$A,'06. BC BH THEO CUSTOMER-USD'!DC$4)/1000</f>
        <v>0</v>
      </c>
      <c r="DD151" s="114">
        <f>SUMIFS('01. KE30'!$I:$I,'01. KE30'!$C:$C,'06. BC BH THEO CUSTOMER-USD'!$D151,'01. KE30'!$F:$F,'06. BC BH THEO CUSTOMER-USD'!$H151,'01. KE30'!$A:$A,'06. BC BH THEO CUSTOMER-USD'!DD$4)/1000</f>
        <v>0</v>
      </c>
      <c r="DF151" s="112">
        <f t="shared" si="1469"/>
        <v>291654</v>
      </c>
      <c r="DG151" s="54" t="str">
        <f t="shared" si="1470"/>
        <v>-</v>
      </c>
      <c r="DH151" s="54" t="str">
        <f t="shared" si="1471"/>
        <v>-</v>
      </c>
      <c r="DI151" s="54">
        <f t="shared" si="1472"/>
        <v>147015</v>
      </c>
      <c r="DJ151" s="54" t="str">
        <f t="shared" si="1473"/>
        <v>-</v>
      </c>
      <c r="DK151" s="54" t="str">
        <f t="shared" si="1474"/>
        <v>-</v>
      </c>
      <c r="DL151" s="54" t="str">
        <f t="shared" si="1475"/>
        <v>-</v>
      </c>
      <c r="DM151" s="54" t="str">
        <f t="shared" si="1476"/>
        <v>-</v>
      </c>
      <c r="DN151" s="54">
        <f t="shared" si="1477"/>
        <v>144639</v>
      </c>
      <c r="DO151" s="54" t="str">
        <f t="shared" si="1478"/>
        <v>-</v>
      </c>
      <c r="DP151" s="54" t="str">
        <f t="shared" si="1479"/>
        <v>-</v>
      </c>
      <c r="DQ151" s="54" t="str">
        <f t="shared" si="1480"/>
        <v>-</v>
      </c>
      <c r="DR151" s="54" t="str">
        <f t="shared" si="1481"/>
        <v>-</v>
      </c>
      <c r="DT151" s="112">
        <f t="shared" si="1482"/>
        <v>52203.106545238013</v>
      </c>
      <c r="DU151" s="114">
        <f>IFERROR(SUMIFS('01. KE30'!$X:$X,'01. KE30'!$C:$C,'06. BC BH THEO CUSTOMER-USD'!$D151,'01. KE30'!$F:$F,'06. BC BH THEO CUSTOMER-USD'!$H151,'01. KE30'!$A:$A,'06. BC BH THEO CUSTOMER-USD'!DU$4)-SUMIFS('01. KE30'!$AA:$AA,'01. KE30'!$C:$C,'06. BC BH THEO CUSTOMER-USD'!$D151,'01. KE30'!$F:$F,'06. BC BH THEO CUSTOMER-USD'!$H151,'01. KE30'!$A:$A,'06. BC BH THEO CUSTOMER-USD'!DU$4),"-")</f>
        <v>0</v>
      </c>
      <c r="DV151" s="114">
        <f>IFERROR(SUMIFS('01. KE30'!$X:$X,'01. KE30'!$C:$C,'06. BC BH THEO CUSTOMER-USD'!$D151,'01. KE30'!$F:$F,'06. BC BH THEO CUSTOMER-USD'!$H151,'01. KE30'!$A:$A,'06. BC BH THEO CUSTOMER-USD'!DV$4)-SUMIFS('01. KE30'!$AA:$AA,'01. KE30'!$C:$C,'06. BC BH THEO CUSTOMER-USD'!$D151,'01. KE30'!$F:$F,'06. BC BH THEO CUSTOMER-USD'!$H151,'01. KE30'!$A:$A,'06. BC BH THEO CUSTOMER-USD'!DV$4),"-")</f>
        <v>0</v>
      </c>
      <c r="DW151" s="114">
        <f>IFERROR(SUMIFS('01. KE30'!$X:$X,'01. KE30'!$C:$C,'06. BC BH THEO CUSTOMER-USD'!$D151,'01. KE30'!$F:$F,'06. BC BH THEO CUSTOMER-USD'!$H151,'01. KE30'!$A:$A,'06. BC BH THEO CUSTOMER-USD'!DW$4)-SUMIFS('01. KE30'!$AA:$AA,'01. KE30'!$C:$C,'06. BC BH THEO CUSTOMER-USD'!$D151,'01. KE30'!$F:$F,'06. BC BH THEO CUSTOMER-USD'!$H151,'01. KE30'!$A:$A,'06. BC BH THEO CUSTOMER-USD'!DW$4),"-")</f>
        <v>26404.719685039381</v>
      </c>
      <c r="DX151" s="114">
        <f>IFERROR(SUMIFS('01. KE30'!$X:$X,'01. KE30'!$C:$C,'06. BC BH THEO CUSTOMER-USD'!$D151,'01. KE30'!$F:$F,'06. BC BH THEO CUSTOMER-USD'!$H151,'01. KE30'!$A:$A,'06. BC BH THEO CUSTOMER-USD'!DX$4)-SUMIFS('01. KE30'!$AA:$AA,'01. KE30'!$C:$C,'06. BC BH THEO CUSTOMER-USD'!$D151,'01. KE30'!$F:$F,'06. BC BH THEO CUSTOMER-USD'!$H151,'01. KE30'!$A:$A,'06. BC BH THEO CUSTOMER-USD'!DX$4),"-")</f>
        <v>0</v>
      </c>
      <c r="DY151" s="114">
        <f>IFERROR(SUMIFS('01. KE30'!$X:$X,'01. KE30'!$C:$C,'06. BC BH THEO CUSTOMER-USD'!$D151,'01. KE30'!$F:$F,'06. BC BH THEO CUSTOMER-USD'!$H151,'01. KE30'!$A:$A,'06. BC BH THEO CUSTOMER-USD'!DY$4)-SUMIFS('01. KE30'!$AA:$AA,'01. KE30'!$C:$C,'06. BC BH THEO CUSTOMER-USD'!$D151,'01. KE30'!$F:$F,'06. BC BH THEO CUSTOMER-USD'!$H151,'01. KE30'!$A:$A,'06. BC BH THEO CUSTOMER-USD'!DY$4),"-")</f>
        <v>0</v>
      </c>
      <c r="DZ151" s="114">
        <f>IFERROR(SUMIFS('01. KE30'!$X:$X,'01. KE30'!$C:$C,'06. BC BH THEO CUSTOMER-USD'!$D151,'01. KE30'!$F:$F,'06. BC BH THEO CUSTOMER-USD'!$H151,'01. KE30'!$A:$A,'06. BC BH THEO CUSTOMER-USD'!DZ$4)-SUMIFS('01. KE30'!$AA:$AA,'01. KE30'!$C:$C,'06. BC BH THEO CUSTOMER-USD'!$D151,'01. KE30'!$F:$F,'06. BC BH THEO CUSTOMER-USD'!$H151,'01. KE30'!$A:$A,'06. BC BH THEO CUSTOMER-USD'!DZ$4),"-")</f>
        <v>0</v>
      </c>
      <c r="EA151" s="114">
        <f>IFERROR(SUMIFS('01. KE30'!$X:$X,'01. KE30'!$C:$C,'06. BC BH THEO CUSTOMER-USD'!$D151,'01. KE30'!$F:$F,'06. BC BH THEO CUSTOMER-USD'!$H151,'01. KE30'!$A:$A,'06. BC BH THEO CUSTOMER-USD'!EA$4)-SUMIFS('01. KE30'!$AA:$AA,'01. KE30'!$C:$C,'06. BC BH THEO CUSTOMER-USD'!$D151,'01. KE30'!$F:$F,'06. BC BH THEO CUSTOMER-USD'!$H151,'01. KE30'!$A:$A,'06. BC BH THEO CUSTOMER-USD'!EA$4),"-")</f>
        <v>0</v>
      </c>
      <c r="EB151" s="114">
        <f>IFERROR(SUMIFS('01. KE30'!$X:$X,'01. KE30'!$C:$C,'06. BC BH THEO CUSTOMER-USD'!$D151,'01. KE30'!$F:$F,'06. BC BH THEO CUSTOMER-USD'!$H151,'01. KE30'!$A:$A,'06. BC BH THEO CUSTOMER-USD'!EB$4)-SUMIFS('01. KE30'!$AA:$AA,'01. KE30'!$C:$C,'06. BC BH THEO CUSTOMER-USD'!$D151,'01. KE30'!$F:$F,'06. BC BH THEO CUSTOMER-USD'!$H151,'01. KE30'!$A:$A,'06. BC BH THEO CUSTOMER-USD'!EB$4),"-")</f>
        <v>25798.386860198632</v>
      </c>
      <c r="EC151" s="114">
        <f>IFERROR(SUMIFS('01. KE30'!$X:$X,'01. KE30'!$C:$C,'06. BC BH THEO CUSTOMER-USD'!$D151,'01. KE30'!$F:$F,'06. BC BH THEO CUSTOMER-USD'!$H151,'01. KE30'!$A:$A,'06. BC BH THEO CUSTOMER-USD'!EC$4)-SUMIFS('01. KE30'!$AA:$AA,'01. KE30'!$C:$C,'06. BC BH THEO CUSTOMER-USD'!$D151,'01. KE30'!$F:$F,'06. BC BH THEO CUSTOMER-USD'!$H151,'01. KE30'!$A:$A,'06. BC BH THEO CUSTOMER-USD'!EC$4),"-")</f>
        <v>0</v>
      </c>
      <c r="ED151" s="114">
        <f>IFERROR(SUMIFS('01. KE30'!$X:$X,'01. KE30'!$C:$C,'06. BC BH THEO CUSTOMER-USD'!$D151,'01. KE30'!$F:$F,'06. BC BH THEO CUSTOMER-USD'!$H151,'01. KE30'!$A:$A,'06. BC BH THEO CUSTOMER-USD'!ED$4)-SUMIFS('01. KE30'!$AA:$AA,'01. KE30'!$C:$C,'06. BC BH THEO CUSTOMER-USD'!$D151,'01. KE30'!$F:$F,'06. BC BH THEO CUSTOMER-USD'!$H151,'01. KE30'!$A:$A,'06. BC BH THEO CUSTOMER-USD'!ED$4),"-")</f>
        <v>0</v>
      </c>
      <c r="EE151" s="114">
        <f>IFERROR(SUMIFS('01. KE30'!$X:$X,'01. KE30'!$C:$C,'06. BC BH THEO CUSTOMER-USD'!$D151,'01. KE30'!$F:$F,'06. BC BH THEO CUSTOMER-USD'!$H151,'01. KE30'!$A:$A,'06. BC BH THEO CUSTOMER-USD'!EE$4)-SUMIFS('01. KE30'!$AA:$AA,'01. KE30'!$C:$C,'06. BC BH THEO CUSTOMER-USD'!$D151,'01. KE30'!$F:$F,'06. BC BH THEO CUSTOMER-USD'!$H151,'01. KE30'!$A:$A,'06. BC BH THEO CUSTOMER-USD'!EE$4),"-")</f>
        <v>0</v>
      </c>
      <c r="EF151" s="114">
        <f>IFERROR(SUMIFS('01. KE30'!$X:$X,'01. KE30'!$C:$C,'06. BC BH THEO CUSTOMER-USD'!$D151,'01. KE30'!$F:$F,'06. BC BH THEO CUSTOMER-USD'!$H151,'01. KE30'!$A:$A,'06. BC BH THEO CUSTOMER-USD'!EF$4)-SUMIFS('01. KE30'!$AA:$AA,'01. KE30'!$C:$C,'06. BC BH THEO CUSTOMER-USD'!$D151,'01. KE30'!$F:$F,'06. BC BH THEO CUSTOMER-USD'!$H151,'01. KE30'!$A:$A,'06. BC BH THEO CUSTOMER-USD'!EF$4),"-")</f>
        <v>0</v>
      </c>
      <c r="EH151" s="571">
        <f t="shared" ref="EH151" si="1483">IFERROR(DT151/DF151,"-")</f>
        <v>0.178989852857283</v>
      </c>
      <c r="EI151" s="572" t="str">
        <f t="shared" ref="EI151" si="1484">IFERROR(DU151/DG151,"-")</f>
        <v>-</v>
      </c>
      <c r="EJ151" s="572" t="str">
        <f t="shared" ref="EJ151" si="1485">IFERROR(DV151/DH151,"-")</f>
        <v>-</v>
      </c>
      <c r="EK151" s="572">
        <f t="shared" ref="EK151" si="1486">IFERROR(DW151/DI151,"-")</f>
        <v>0.1796056163319347</v>
      </c>
      <c r="EL151" s="572" t="str">
        <f t="shared" ref="EL151" si="1487">IFERROR(DX151/DJ151,"-")</f>
        <v>-</v>
      </c>
      <c r="EM151" s="572" t="str">
        <f t="shared" ref="EM151" si="1488">IFERROR(DY151/DK151,"-")</f>
        <v>-</v>
      </c>
      <c r="EN151" s="572" t="str">
        <f t="shared" ref="EN151" si="1489">IFERROR(DZ151/DL151,"-")</f>
        <v>-</v>
      </c>
      <c r="EO151" s="572" t="str">
        <f t="shared" ref="EO151" si="1490">IFERROR(EA151/DM151,"-")</f>
        <v>-</v>
      </c>
      <c r="EP151" s="572">
        <f t="shared" ref="EP151" si="1491">IFERROR(EB151/DN151,"-")</f>
        <v>0.1783639741715487</v>
      </c>
      <c r="EQ151" s="572" t="str">
        <f t="shared" ref="EQ151" si="1492">IFERROR(EC151/DO151,"-")</f>
        <v>-</v>
      </c>
      <c r="ER151" s="572" t="str">
        <f t="shared" ref="ER151" si="1493">IFERROR(ED151/DP151,"-")</f>
        <v>-</v>
      </c>
      <c r="ES151" s="572" t="str">
        <f t="shared" ref="ES151" si="1494">IFERROR(EE151/DQ151,"-")</f>
        <v>-</v>
      </c>
      <c r="ET151" s="572" t="str">
        <f t="shared" ref="ET151" si="1495">IFERROR(EF151/DR151,"-")</f>
        <v>-</v>
      </c>
    </row>
    <row r="152" spans="1:150" ht="15.5" hidden="1" outlineLevel="1" x14ac:dyDescent="0.35">
      <c r="A152" s="10">
        <f>A150+1</f>
        <v>23</v>
      </c>
      <c r="B152" s="10" t="s">
        <v>265</v>
      </c>
      <c r="C152" s="442" t="s">
        <v>489</v>
      </c>
      <c r="D152" s="9" t="s">
        <v>909</v>
      </c>
      <c r="E152" s="12" t="s">
        <v>910</v>
      </c>
      <c r="F152" s="12" t="s">
        <v>175</v>
      </c>
      <c r="G152" s="12" t="str">
        <f>_xlfn.XLOOKUP(F152,'Quy đổi'!$G$5:$G$32,'Quy đổi'!$H$5:$H$32,0)</f>
        <v>Bắc Mỹ</v>
      </c>
      <c r="H152" s="76" t="s">
        <v>375</v>
      </c>
      <c r="I152" s="7" t="s">
        <v>376</v>
      </c>
      <c r="J152" s="69" t="s">
        <v>26</v>
      </c>
      <c r="K152" s="11" t="s">
        <v>90</v>
      </c>
      <c r="L152" s="92">
        <f t="shared" ref="L152" si="1496">IFERROR(AVERAGE(M152:X152),"-")</f>
        <v>1634.6039094650207</v>
      </c>
      <c r="M152" s="106" t="str">
        <f>IFERROR(SUMIFS('01. KE30'!$K:$K,'01. KE30'!$C:$C,'06. BC BH THEO CUSTOMER-USD'!$D152,'01. KE30'!$F:$F,'06. BC BH THEO CUSTOMER-USD'!$H152,'01. KE30'!$A:$A,'06. BC BH THEO CUSTOMER-USD'!M$4)/'06. BC BH THEO CUSTOMER-USD'!CS152/'02. Tỷ giá'!B$5,"-")</f>
        <v>-</v>
      </c>
      <c r="N152" s="106" t="str">
        <f>IFERROR(SUMIFS('01. KE30'!$K:$K,'01. KE30'!$C:$C,'06. BC BH THEO CUSTOMER-USD'!$D152,'01. KE30'!$F:$F,'06. BC BH THEO CUSTOMER-USD'!$H152,'01. KE30'!$A:$A,'06. BC BH THEO CUSTOMER-USD'!N$4)/'06. BC BH THEO CUSTOMER-USD'!CT152/'02. Tỷ giá'!C$5,"-")</f>
        <v>-</v>
      </c>
      <c r="O152" s="106" t="str">
        <f>IFERROR(SUMIFS('01. KE30'!$K:$K,'01. KE30'!$C:$C,'06. BC BH THEO CUSTOMER-USD'!$D152,'01. KE30'!$F:$F,'06. BC BH THEO CUSTOMER-USD'!$H152,'01. KE30'!$A:$A,'06. BC BH THEO CUSTOMER-USD'!O$4)/'06. BC BH THEO CUSTOMER-USD'!CU152/'02. Tỷ giá'!D$5,"-")</f>
        <v>-</v>
      </c>
      <c r="P152" s="106" t="str">
        <f>IFERROR(SUMIFS('01. KE30'!$K:$K,'01. KE30'!$C:$C,'06. BC BH THEO CUSTOMER-USD'!$D152,'01. KE30'!$F:$F,'06. BC BH THEO CUSTOMER-USD'!$H152,'01. KE30'!$A:$A,'06. BC BH THEO CUSTOMER-USD'!P$4)/'06. BC BH THEO CUSTOMER-USD'!CV152/'02. Tỷ giá'!E$5,"-")</f>
        <v>-</v>
      </c>
      <c r="Q152" s="106" t="str">
        <f>IFERROR(SUMIFS('01. KE30'!$K:$K,'01. KE30'!$C:$C,'06. BC BH THEO CUSTOMER-USD'!$D152,'01. KE30'!$F:$F,'06. BC BH THEO CUSTOMER-USD'!$H152,'01. KE30'!$A:$A,'06. BC BH THEO CUSTOMER-USD'!Q$4)/'06. BC BH THEO CUSTOMER-USD'!CW152/'02. Tỷ giá'!F$5,"-")</f>
        <v>-</v>
      </c>
      <c r="R152" s="106">
        <f>IFERROR(SUMIFS('01. KE30'!$K:$K,'01. KE30'!$C:$C,'06. BC BH THEO CUSTOMER-USD'!$D152,'01. KE30'!$F:$F,'06. BC BH THEO CUSTOMER-USD'!$H152,'01. KE30'!$A:$A,'06. BC BH THEO CUSTOMER-USD'!R$4)/'06. BC BH THEO CUSTOMER-USD'!CX152/'02. Tỷ giá'!G$5,"-")</f>
        <v>1634.6039094650207</v>
      </c>
      <c r="S152" s="106" t="str">
        <f>IFERROR(SUMIFS('01. KE30'!$K:$K,'01. KE30'!$C:$C,'06. BC BH THEO CUSTOMER-USD'!$D152,'01. KE30'!$F:$F,'06. BC BH THEO CUSTOMER-USD'!$H152,'01. KE30'!$A:$A,'06. BC BH THEO CUSTOMER-USD'!S$4)/'06. BC BH THEO CUSTOMER-USD'!CY152/'02. Tỷ giá'!H$5,"-")</f>
        <v>-</v>
      </c>
      <c r="T152" s="106" t="str">
        <f>IFERROR(SUMIFS('01. KE30'!$K:$K,'01. KE30'!$C:$C,'06. BC BH THEO CUSTOMER-USD'!$D152,'01. KE30'!$F:$F,'06. BC BH THEO CUSTOMER-USD'!$H152,'01. KE30'!$A:$A,'06. BC BH THEO CUSTOMER-USD'!T$4)/'06. BC BH THEO CUSTOMER-USD'!CZ152/'02. Tỷ giá'!I$5,"-")</f>
        <v>-</v>
      </c>
      <c r="U152" s="106" t="str">
        <f>IFERROR(SUMIFS('01. KE30'!$K:$K,'01. KE30'!$C:$C,'06. BC BH THEO CUSTOMER-USD'!$D152,'01. KE30'!$F:$F,'06. BC BH THEO CUSTOMER-USD'!$H152,'01. KE30'!$A:$A,'06. BC BH THEO CUSTOMER-USD'!U$4)/'06. BC BH THEO CUSTOMER-USD'!DA152/'02. Tỷ giá'!J$5,"-")</f>
        <v>-</v>
      </c>
      <c r="V152" s="106" t="str">
        <f>IFERROR(SUMIFS('01. KE30'!$K:$K,'01. KE30'!$C:$C,'06. BC BH THEO CUSTOMER-USD'!$D152,'01. KE30'!$F:$F,'06. BC BH THEO CUSTOMER-USD'!$H152,'01. KE30'!$A:$A,'06. BC BH THEO CUSTOMER-USD'!V$4)/'06. BC BH THEO CUSTOMER-USD'!DB152/'02. Tỷ giá'!K$5,"-")</f>
        <v>-</v>
      </c>
      <c r="W152" s="106" t="str">
        <f>IFERROR(SUMIFS('01. KE30'!$K:$K,'01. KE30'!$C:$C,'06. BC BH THEO CUSTOMER-USD'!$D152,'01. KE30'!$F:$F,'06. BC BH THEO CUSTOMER-USD'!$H152,'01. KE30'!$A:$A,'06. BC BH THEO CUSTOMER-USD'!W$4)/'06. BC BH THEO CUSTOMER-USD'!DC152/'02. Tỷ giá'!L$5,"-")</f>
        <v>-</v>
      </c>
      <c r="X152" s="106" t="str">
        <f>IFERROR(SUMIFS('01. KE30'!$K:$K,'01. KE30'!$C:$C,'06. BC BH THEO CUSTOMER-USD'!$D152,'01. KE30'!$F:$F,'06. BC BH THEO CUSTOMER-USD'!$H152,'01. KE30'!$A:$A,'06. BC BH THEO CUSTOMER-USD'!X$4)/'06. BC BH THEO CUSTOMER-USD'!DD152/'02. Tỷ giá'!M$5,"-")</f>
        <v>-</v>
      </c>
      <c r="Z152" s="92">
        <f t="shared" ref="Z152" si="1497">IFERROR(AVERAGE(AA152:AL152),"-")</f>
        <v>1397.7306397306397</v>
      </c>
      <c r="AA152" s="147" t="str">
        <f>IFERROR(SUMIFS('01. KE30'!$O:$O,'01. KE30'!$C:$C,'06. BC BH THEO CUSTOMER-USD'!$D152,'01. KE30'!$F:$F,'06. BC BH THEO CUSTOMER-USD'!$H152,'01. KE30'!$A:$A,'06. BC BH THEO CUSTOMER-USD'!M$4)/'06. BC BH THEO CUSTOMER-USD'!CS152/'02. Tỷ giá'!B$5,"-")</f>
        <v>-</v>
      </c>
      <c r="AB152" s="147" t="str">
        <f>IFERROR(SUMIFS('01. KE30'!$O:$O,'01. KE30'!$C:$C,'06. BC BH THEO CUSTOMER-USD'!$D152,'01. KE30'!$F:$F,'06. BC BH THEO CUSTOMER-USD'!$H152,'01. KE30'!$A:$A,'06. BC BH THEO CUSTOMER-USD'!N$4)/'06. BC BH THEO CUSTOMER-USD'!CT152/'02. Tỷ giá'!C$5,"-")</f>
        <v>-</v>
      </c>
      <c r="AC152" s="147" t="str">
        <f>IFERROR(SUMIFS('01. KE30'!$O:$O,'01. KE30'!$C:$C,'06. BC BH THEO CUSTOMER-USD'!$D152,'01. KE30'!$F:$F,'06. BC BH THEO CUSTOMER-USD'!$H152,'01. KE30'!$A:$A,'06. BC BH THEO CUSTOMER-USD'!O$4)/'06. BC BH THEO CUSTOMER-USD'!CU152/'02. Tỷ giá'!D$5,"-")</f>
        <v>-</v>
      </c>
      <c r="AD152" s="147" t="str">
        <f>IFERROR(SUMIFS('01. KE30'!$O:$O,'01. KE30'!$C:$C,'06. BC BH THEO CUSTOMER-USD'!$D152,'01. KE30'!$F:$F,'06. BC BH THEO CUSTOMER-USD'!$H152,'01. KE30'!$A:$A,'06. BC BH THEO CUSTOMER-USD'!P$4)/'06. BC BH THEO CUSTOMER-USD'!CV152/'02. Tỷ giá'!E$5,"-")</f>
        <v>-</v>
      </c>
      <c r="AE152" s="147" t="str">
        <f>IFERROR(SUMIFS('01. KE30'!$O:$O,'01. KE30'!$C:$C,'06. BC BH THEO CUSTOMER-USD'!$D152,'01. KE30'!$F:$F,'06. BC BH THEO CUSTOMER-USD'!$H152,'01. KE30'!$A:$A,'06. BC BH THEO CUSTOMER-USD'!Q$4)/'06. BC BH THEO CUSTOMER-USD'!CW152/'02. Tỷ giá'!F$5,"-")</f>
        <v>-</v>
      </c>
      <c r="AF152" s="147">
        <f>IFERROR(SUMIFS('01. KE30'!$O:$O,'01. KE30'!$C:$C,'06. BC BH THEO CUSTOMER-USD'!$D152,'01. KE30'!$F:$F,'06. BC BH THEO CUSTOMER-USD'!$H152,'01. KE30'!$A:$A,'06. BC BH THEO CUSTOMER-USD'!R$4)/'06. BC BH THEO CUSTOMER-USD'!CX152/'02. Tỷ giá'!G$5,"-")</f>
        <v>1397.7306397306397</v>
      </c>
      <c r="AG152" s="147" t="str">
        <f>IFERROR(SUMIFS('01. KE30'!$O:$O,'01. KE30'!$C:$C,'06. BC BH THEO CUSTOMER-USD'!$D152,'01. KE30'!$F:$F,'06. BC BH THEO CUSTOMER-USD'!$H152,'01. KE30'!$A:$A,'06. BC BH THEO CUSTOMER-USD'!S$4)/'06. BC BH THEO CUSTOMER-USD'!CY152/'02. Tỷ giá'!H$5,"-")</f>
        <v>-</v>
      </c>
      <c r="AH152" s="147" t="str">
        <f>IFERROR(SUMIFS('01. KE30'!$O:$O,'01. KE30'!$C:$C,'06. BC BH THEO CUSTOMER-USD'!$D152,'01. KE30'!$F:$F,'06. BC BH THEO CUSTOMER-USD'!$H152,'01. KE30'!$A:$A,'06. BC BH THEO CUSTOMER-USD'!T$4)/'06. BC BH THEO CUSTOMER-USD'!CZ152/'02. Tỷ giá'!I$5,"-")</f>
        <v>-</v>
      </c>
      <c r="AI152" s="147" t="str">
        <f>IFERROR(SUMIFS('01. KE30'!$O:$O,'01. KE30'!$C:$C,'06. BC BH THEO CUSTOMER-USD'!$D152,'01. KE30'!$F:$F,'06. BC BH THEO CUSTOMER-USD'!$H152,'01. KE30'!$A:$A,'06. BC BH THEO CUSTOMER-USD'!U$4)/'06. BC BH THEO CUSTOMER-USD'!DA152/'02. Tỷ giá'!J$5,"-")</f>
        <v>-</v>
      </c>
      <c r="AJ152" s="147" t="str">
        <f>IFERROR(SUMIFS('01. KE30'!$O:$O,'01. KE30'!$C:$C,'06. BC BH THEO CUSTOMER-USD'!$D152,'01. KE30'!$F:$F,'06. BC BH THEO CUSTOMER-USD'!$H152,'01. KE30'!$A:$A,'06. BC BH THEO CUSTOMER-USD'!V$4)/'06. BC BH THEO CUSTOMER-USD'!DB152/'02. Tỷ giá'!K$5,"-")</f>
        <v>-</v>
      </c>
      <c r="AK152" s="147" t="str">
        <f>IFERROR(SUMIFS('01. KE30'!$O:$O,'01. KE30'!$C:$C,'06. BC BH THEO CUSTOMER-USD'!$D152,'01. KE30'!$F:$F,'06. BC BH THEO CUSTOMER-USD'!$H152,'01. KE30'!$A:$A,'06. BC BH THEO CUSTOMER-USD'!W$4)/'06. BC BH THEO CUSTOMER-USD'!DC152/'02. Tỷ giá'!L$5,"-")</f>
        <v>-</v>
      </c>
      <c r="AL152" s="147" t="str">
        <f>IFERROR(SUMIFS('01. KE30'!$O:$O,'01. KE30'!$C:$C,'06. BC BH THEO CUSTOMER-USD'!$D152,'01. KE30'!$F:$F,'06. BC BH THEO CUSTOMER-USD'!$H152,'01. KE30'!$A:$A,'06. BC BH THEO CUSTOMER-USD'!X$4)/'06. BC BH THEO CUSTOMER-USD'!DD152/'02. Tỷ giá'!M$5,"-")</f>
        <v>-</v>
      </c>
      <c r="AN152" s="55">
        <f t="shared" ref="AN152" si="1498">IFERROR(AVERAGE(AO152:AZ152),"-")</f>
        <v>1354.4444444444443</v>
      </c>
      <c r="AO152" s="4">
        <v>1400</v>
      </c>
      <c r="AP152" s="4">
        <v>1400</v>
      </c>
      <c r="AQ152" s="4">
        <f t="shared" si="1438"/>
        <v>1350</v>
      </c>
      <c r="AR152" s="4">
        <v>1350</v>
      </c>
      <c r="AS152" s="4">
        <v>1350</v>
      </c>
      <c r="AT152" s="4">
        <v>1350</v>
      </c>
      <c r="AU152" s="4">
        <v>1350</v>
      </c>
      <c r="AV152" s="4">
        <f t="shared" si="1272"/>
        <v>1330</v>
      </c>
      <c r="AW152" s="4">
        <v>1310</v>
      </c>
      <c r="AX152" s="4"/>
      <c r="AY152" s="4"/>
      <c r="AZ152" s="4"/>
      <c r="BB152" s="54">
        <f t="shared" ref="BB152" si="1499">IF(L152&lt;&gt;"-",Z152-AN152,"-")</f>
        <v>43.28619528619538</v>
      </c>
      <c r="BC152" s="95" t="str">
        <f t="shared" ref="BC152" si="1500">IF(M152&lt;&gt;"-",AA152-AO152,"-")</f>
        <v>-</v>
      </c>
      <c r="BD152" s="95" t="str">
        <f t="shared" ref="BD152" si="1501">IF(N152&lt;&gt;"-",AB152-AP152,"-")</f>
        <v>-</v>
      </c>
      <c r="BE152" s="95" t="str">
        <f t="shared" ref="BE152" si="1502">IF(O152&lt;&gt;"-",AC152-AQ152,"-")</f>
        <v>-</v>
      </c>
      <c r="BF152" s="95" t="str">
        <f t="shared" ref="BF152" si="1503">IF(P152&lt;&gt;"-",AD152-AR152,"-")</f>
        <v>-</v>
      </c>
      <c r="BG152" s="95" t="str">
        <f t="shared" ref="BG152" si="1504">IF(Q152&lt;&gt;"-",AE152-AS152,"-")</f>
        <v>-</v>
      </c>
      <c r="BH152" s="95">
        <f t="shared" ref="BH152" si="1505">IF(R152&lt;&gt;"-",AF152-AT152,"-")</f>
        <v>47.730639730639723</v>
      </c>
      <c r="BI152" s="95" t="str">
        <f t="shared" ref="BI152" si="1506">IF(S152&lt;&gt;"-",AG152-AU152,"-")</f>
        <v>-</v>
      </c>
      <c r="BJ152" s="95" t="str">
        <f t="shared" ref="BJ152" si="1507">IF(T152&lt;&gt;"-",AH152-AV152,"-")</f>
        <v>-</v>
      </c>
      <c r="BK152" s="95" t="str">
        <f t="shared" ref="BK152" si="1508">IF(U152&lt;&gt;"-",AI152-AW152,"-")</f>
        <v>-</v>
      </c>
      <c r="BL152" s="95" t="str">
        <f t="shared" ref="BL152" si="1509">IF(V152&lt;&gt;"-",AJ152-AX152,"-")</f>
        <v>-</v>
      </c>
      <c r="BM152" s="95" t="str">
        <f t="shared" ref="BM152" si="1510">IF(W152&lt;&gt;"-",AK152-AY152,"-")</f>
        <v>-</v>
      </c>
      <c r="BN152" s="95" t="str">
        <f t="shared" ref="BN152" si="1511">IF(X152&lt;&gt;"-",AL152-AZ152,"-")</f>
        <v>-</v>
      </c>
      <c r="BP152" s="143">
        <f t="shared" ref="BP152" si="1512">IFERROR(IF(BB152&lt;&gt;"-",BB152/AN152,"-"),"-")</f>
        <v>3.1958634747806268E-2</v>
      </c>
      <c r="BQ152" s="143" t="str">
        <f t="shared" ref="BQ152" si="1513">IFERROR(IF(BC152&lt;&gt;"-",BC152/AO152,"-"),"-")</f>
        <v>-</v>
      </c>
      <c r="BR152" s="143" t="str">
        <f t="shared" ref="BR152" si="1514">IFERROR(IF(BD152&lt;&gt;"-",BD152/AP152,"-"),"-")</f>
        <v>-</v>
      </c>
      <c r="BS152" s="143" t="str">
        <f t="shared" ref="BS152" si="1515">IFERROR(IF(BE152&lt;&gt;"-",BE152/AQ152,"-"),"-")</f>
        <v>-</v>
      </c>
      <c r="BT152" s="143" t="str">
        <f t="shared" ref="BT152" si="1516">IFERROR(IF(BF152&lt;&gt;"-",BF152/AR152,"-"),"-")</f>
        <v>-</v>
      </c>
      <c r="BU152" s="143" t="str">
        <f t="shared" ref="BU152" si="1517">IFERROR(IF(BG152&lt;&gt;"-",BG152/AS152,"-"),"-")</f>
        <v>-</v>
      </c>
      <c r="BV152" s="143">
        <f t="shared" ref="BV152" si="1518">IFERROR(IF(BH152&lt;&gt;"-",BH152/AT152,"-"),"-")</f>
        <v>3.5356029430103499E-2</v>
      </c>
      <c r="BW152" s="143" t="str">
        <f t="shared" ref="BW152" si="1519">IFERROR(IF(BI152&lt;&gt;"-",BI152/AU152,"-"),"-")</f>
        <v>-</v>
      </c>
      <c r="BX152" s="143" t="str">
        <f t="shared" ref="BX152" si="1520">IFERROR(IF(BJ152&lt;&gt;"-",BJ152/AV152,"-"),"-")</f>
        <v>-</v>
      </c>
      <c r="BY152" s="143" t="str">
        <f t="shared" ref="BY152" si="1521">IFERROR(IF(BK152&lt;&gt;"-",BK152/AW152,"-"),"-")</f>
        <v>-</v>
      </c>
      <c r="BZ152" s="143" t="str">
        <f t="shared" ref="BZ152" si="1522">IFERROR(IF(BL152&lt;&gt;"-",BL152/AX152,"-"),"-")</f>
        <v>-</v>
      </c>
      <c r="CA152" s="143" t="str">
        <f t="shared" ref="CA152" si="1523">IFERROR(IF(BM152&lt;&gt;"-",BM152/AY152,"-"),"-")</f>
        <v>-</v>
      </c>
      <c r="CB152" s="143" t="str">
        <f t="shared" ref="CB152" si="1524">IFERROR(IF(BN152&lt;&gt;"-",BN152/AZ152,"-"),"-")</f>
        <v>-</v>
      </c>
      <c r="CD152" s="112">
        <f t="shared" ref="CD152" si="1525">IFERROR(AVERAGE(CE152:CP152),"-")</f>
        <v>1099.2503086419754</v>
      </c>
      <c r="CE152" s="95" t="str">
        <f>IFERROR(SUMIFS('01. KE30'!$R:$R,'01. KE30'!$C:$C,'06. BC BH THEO CUSTOMER-USD'!$D152,'01. KE30'!$F:$F,'06. BC BH THEO CUSTOMER-USD'!$H152,'01. KE30'!$A:$A,'06. BC BH THEO CUSTOMER-USD'!CE$4)/CS152/'02. Tỷ giá'!B$5," -")</f>
        <v xml:space="preserve"> -</v>
      </c>
      <c r="CF152" s="95" t="str">
        <f>IFERROR(SUMIFS('01. KE30'!$R:$R,'01. KE30'!$C:$C,'06. BC BH THEO CUSTOMER-USD'!$D152,'01. KE30'!$F:$F,'06. BC BH THEO CUSTOMER-USD'!$H152,'01. KE30'!$A:$A,'06. BC BH THEO CUSTOMER-USD'!CF$4)/CT152/'02. Tỷ giá'!C$5," -")</f>
        <v xml:space="preserve"> -</v>
      </c>
      <c r="CG152" s="95" t="str">
        <f>IFERROR(SUMIFS('01. KE30'!$R:$R,'01. KE30'!$C:$C,'06. BC BH THEO CUSTOMER-USD'!$D152,'01. KE30'!$F:$F,'06. BC BH THEO CUSTOMER-USD'!$H152,'01. KE30'!$A:$A,'06. BC BH THEO CUSTOMER-USD'!CG$4)/CU152/'02. Tỷ giá'!D$5," -")</f>
        <v xml:space="preserve"> -</v>
      </c>
      <c r="CH152" s="95" t="str">
        <f>IFERROR(SUMIFS('01. KE30'!$R:$R,'01. KE30'!$C:$C,'06. BC BH THEO CUSTOMER-USD'!$D152,'01. KE30'!$F:$F,'06. BC BH THEO CUSTOMER-USD'!$H152,'01. KE30'!$A:$A,'06. BC BH THEO CUSTOMER-USD'!CH$4)/CV152/'02. Tỷ giá'!E$5," -")</f>
        <v xml:space="preserve"> -</v>
      </c>
      <c r="CI152" s="95" t="str">
        <f>IFERROR(SUMIFS('01. KE30'!$R:$R,'01. KE30'!$C:$C,'06. BC BH THEO CUSTOMER-USD'!$D152,'01. KE30'!$F:$F,'06. BC BH THEO CUSTOMER-USD'!$H152,'01. KE30'!$A:$A,'06. BC BH THEO CUSTOMER-USD'!CI$4)/CW152/'02. Tỷ giá'!F$5," -")</f>
        <v xml:space="preserve"> -</v>
      </c>
      <c r="CJ152" s="95">
        <f>IFERROR(SUMIFS('01. KE30'!$R:$R,'01. KE30'!$C:$C,'06. BC BH THEO CUSTOMER-USD'!$D152,'01. KE30'!$F:$F,'06. BC BH THEO CUSTOMER-USD'!$H152,'01. KE30'!$A:$A,'06. BC BH THEO CUSTOMER-USD'!CJ$4)/CX152/'02. Tỷ giá'!G$5," -")</f>
        <v>1099.2503086419754</v>
      </c>
      <c r="CK152" s="95" t="str">
        <f>IFERROR(SUMIFS('01. KE30'!$R:$R,'01. KE30'!$C:$C,'06. BC BH THEO CUSTOMER-USD'!$D152,'01. KE30'!$F:$F,'06. BC BH THEO CUSTOMER-USD'!$H152,'01. KE30'!$A:$A,'06. BC BH THEO CUSTOMER-USD'!CK$4)/CY152/'02. Tỷ giá'!H$5," -")</f>
        <v xml:space="preserve"> -</v>
      </c>
      <c r="CL152" s="95" t="str">
        <f>IFERROR(SUMIFS('01. KE30'!$R:$R,'01. KE30'!$C:$C,'06. BC BH THEO CUSTOMER-USD'!$D152,'01. KE30'!$F:$F,'06. BC BH THEO CUSTOMER-USD'!$H152,'01. KE30'!$A:$A,'06. BC BH THEO CUSTOMER-USD'!CL$4)/CZ152/'02. Tỷ giá'!I$5," -")</f>
        <v xml:space="preserve"> -</v>
      </c>
      <c r="CM152" s="95" t="str">
        <f>IFERROR(SUMIFS('01. KE30'!$R:$R,'01. KE30'!$C:$C,'06. BC BH THEO CUSTOMER-USD'!$D152,'01. KE30'!$F:$F,'06. BC BH THEO CUSTOMER-USD'!$H152,'01. KE30'!$A:$A,'06. BC BH THEO CUSTOMER-USD'!CM$4)/DA152/'02. Tỷ giá'!J$5," -")</f>
        <v xml:space="preserve"> -</v>
      </c>
      <c r="CN152" s="95" t="str">
        <f>IFERROR(SUMIFS('01. KE30'!$R:$R,'01. KE30'!$C:$C,'06. BC BH THEO CUSTOMER-USD'!$D152,'01. KE30'!$F:$F,'06. BC BH THEO CUSTOMER-USD'!$H152,'01. KE30'!$A:$A,'06. BC BH THEO CUSTOMER-USD'!CN$4)/DB152/'02. Tỷ giá'!K$5," -")</f>
        <v xml:space="preserve"> -</v>
      </c>
      <c r="CO152" s="95" t="str">
        <f>IFERROR(SUMIFS('01. KE30'!$R:$R,'01. KE30'!$C:$C,'06. BC BH THEO CUSTOMER-USD'!$D152,'01. KE30'!$F:$F,'06. BC BH THEO CUSTOMER-USD'!$H152,'01. KE30'!$A:$A,'06. BC BH THEO CUSTOMER-USD'!CO$4)/DC152/'02. Tỷ giá'!L$5," -")</f>
        <v xml:space="preserve"> -</v>
      </c>
      <c r="CP152" s="95" t="str">
        <f>IFERROR(SUMIFS('01. KE30'!$R:$R,'01. KE30'!$C:$C,'06. BC BH THEO CUSTOMER-USD'!$D152,'01. KE30'!$F:$F,'06. BC BH THEO CUSTOMER-USD'!$H152,'01. KE30'!$A:$A,'06. BC BH THEO CUSTOMER-USD'!CP$4)/DD152/'02. Tỷ giá'!M$5," -")</f>
        <v xml:space="preserve"> -</v>
      </c>
      <c r="CR152" s="112">
        <f t="shared" ref="CR152" si="1526">SUM(CS152:DD152)</f>
        <v>4.125</v>
      </c>
      <c r="CS152" s="114">
        <f>SUMIFS('01. KE30'!$I:$I,'01. KE30'!$C:$C,'06. BC BH THEO CUSTOMER-USD'!$D152,'01. KE30'!$F:$F,'06. BC BH THEO CUSTOMER-USD'!$H152,'01. KE30'!$A:$A,'06. BC BH THEO CUSTOMER-USD'!CS$4)/1000</f>
        <v>0</v>
      </c>
      <c r="CT152" s="114">
        <f>SUMIFS('01. KE30'!$I:$I,'01. KE30'!$C:$C,'06. BC BH THEO CUSTOMER-USD'!$D152,'01. KE30'!$F:$F,'06. BC BH THEO CUSTOMER-USD'!$H152,'01. KE30'!$A:$A,'06. BC BH THEO CUSTOMER-USD'!CT$4)/1000</f>
        <v>0</v>
      </c>
      <c r="CU152" s="114">
        <f>SUMIFS('01. KE30'!$I:$I,'01. KE30'!$C:$C,'06. BC BH THEO CUSTOMER-USD'!$D152,'01. KE30'!$F:$F,'06. BC BH THEO CUSTOMER-USD'!$H152,'01. KE30'!$A:$A,'06. BC BH THEO CUSTOMER-USD'!CU$4)/1000</f>
        <v>0</v>
      </c>
      <c r="CV152" s="114">
        <f>SUMIFS('01. KE30'!$I:$I,'01. KE30'!$C:$C,'06. BC BH THEO CUSTOMER-USD'!$D152,'01. KE30'!$F:$F,'06. BC BH THEO CUSTOMER-USD'!$H152,'01. KE30'!$A:$A,'06. BC BH THEO CUSTOMER-USD'!CV$4)/1000</f>
        <v>0</v>
      </c>
      <c r="CW152" s="114">
        <f>SUMIFS('01. KE30'!$I:$I,'01. KE30'!$C:$C,'06. BC BH THEO CUSTOMER-USD'!$D152,'01. KE30'!$F:$F,'06. BC BH THEO CUSTOMER-USD'!$H152,'01. KE30'!$A:$A,'06. BC BH THEO CUSTOMER-USD'!CW$4)/1000</f>
        <v>0</v>
      </c>
      <c r="CX152" s="114">
        <f>SUMIFS('01. KE30'!$I:$I,'01. KE30'!$C:$C,'06. BC BH THEO CUSTOMER-USD'!$D152,'01. KE30'!$F:$F,'06. BC BH THEO CUSTOMER-USD'!$H152,'01. KE30'!$A:$A,'06. BC BH THEO CUSTOMER-USD'!CX$4)/1000</f>
        <v>4.125</v>
      </c>
      <c r="CY152" s="114">
        <f>SUMIFS('01. KE30'!$I:$I,'01. KE30'!$C:$C,'06. BC BH THEO CUSTOMER-USD'!$D152,'01. KE30'!$F:$F,'06. BC BH THEO CUSTOMER-USD'!$H152,'01. KE30'!$A:$A,'06. BC BH THEO CUSTOMER-USD'!CY$4)/1000</f>
        <v>0</v>
      </c>
      <c r="CZ152" s="114">
        <f>SUMIFS('01. KE30'!$I:$I,'01. KE30'!$C:$C,'06. BC BH THEO CUSTOMER-USD'!$D152,'01. KE30'!$F:$F,'06. BC BH THEO CUSTOMER-USD'!$H152,'01. KE30'!$A:$A,'06. BC BH THEO CUSTOMER-USD'!CZ$4)/1000</f>
        <v>0</v>
      </c>
      <c r="DA152" s="114">
        <f>SUMIFS('01. KE30'!$I:$I,'01. KE30'!$C:$C,'06. BC BH THEO CUSTOMER-USD'!$D152,'01. KE30'!$F:$F,'06. BC BH THEO CUSTOMER-USD'!$H152,'01. KE30'!$A:$A,'06. BC BH THEO CUSTOMER-USD'!DA$4)/1000</f>
        <v>0</v>
      </c>
      <c r="DB152" s="114">
        <f>SUMIFS('01. KE30'!$I:$I,'01. KE30'!$C:$C,'06. BC BH THEO CUSTOMER-USD'!$D152,'01. KE30'!$F:$F,'06. BC BH THEO CUSTOMER-USD'!$H152,'01. KE30'!$A:$A,'06. BC BH THEO CUSTOMER-USD'!DB$4)/1000</f>
        <v>0</v>
      </c>
      <c r="DC152" s="114">
        <f>SUMIFS('01. KE30'!$I:$I,'01. KE30'!$C:$C,'06. BC BH THEO CUSTOMER-USD'!$D152,'01. KE30'!$F:$F,'06. BC BH THEO CUSTOMER-USD'!$H152,'01. KE30'!$A:$A,'06. BC BH THEO CUSTOMER-USD'!DC$4)/1000</f>
        <v>0</v>
      </c>
      <c r="DD152" s="114">
        <f>SUMIFS('01. KE30'!$I:$I,'01. KE30'!$C:$C,'06. BC BH THEO CUSTOMER-USD'!$D152,'01. KE30'!$F:$F,'06. BC BH THEO CUSTOMER-USD'!$H152,'01. KE30'!$A:$A,'06. BC BH THEO CUSTOMER-USD'!DD$4)/1000</f>
        <v>0</v>
      </c>
      <c r="DF152" s="112">
        <f t="shared" ref="DF152" si="1527">SUM(DG152:DR152)</f>
        <v>6742.7411265432102</v>
      </c>
      <c r="DG152" s="54" t="str">
        <f t="shared" ref="DG152" si="1528">IFERROR(M152*CS152,"-")</f>
        <v>-</v>
      </c>
      <c r="DH152" s="54" t="str">
        <f t="shared" ref="DH152" si="1529">IFERROR(N152*CT152,"-")</f>
        <v>-</v>
      </c>
      <c r="DI152" s="54" t="str">
        <f t="shared" ref="DI152" si="1530">IFERROR(O152*CU152,"-")</f>
        <v>-</v>
      </c>
      <c r="DJ152" s="54" t="str">
        <f t="shared" ref="DJ152" si="1531">IFERROR(P152*CV152,"-")</f>
        <v>-</v>
      </c>
      <c r="DK152" s="54" t="str">
        <f t="shared" ref="DK152" si="1532">IFERROR(Q152*CW152,"-")</f>
        <v>-</v>
      </c>
      <c r="DL152" s="54">
        <f t="shared" ref="DL152" si="1533">IFERROR(R152*CX152,"-")</f>
        <v>6742.7411265432102</v>
      </c>
      <c r="DM152" s="54" t="str">
        <f t="shared" ref="DM152" si="1534">IFERROR(S152*CY152,"-")</f>
        <v>-</v>
      </c>
      <c r="DN152" s="54" t="str">
        <f t="shared" ref="DN152" si="1535">IFERROR(T152*CZ152,"-")</f>
        <v>-</v>
      </c>
      <c r="DO152" s="54" t="str">
        <f t="shared" ref="DO152" si="1536">IFERROR(U152*DA152,"-")</f>
        <v>-</v>
      </c>
      <c r="DP152" s="54" t="str">
        <f t="shared" ref="DP152" si="1537">IFERROR(V152*DB152,"-")</f>
        <v>-</v>
      </c>
      <c r="DQ152" s="54" t="str">
        <f t="shared" ref="DQ152" si="1538">IFERROR(W152*DC152,"-")</f>
        <v>-</v>
      </c>
      <c r="DR152" s="54" t="str">
        <f t="shared" ref="DR152" si="1539">IFERROR(X152*DD152,"-")</f>
        <v>-</v>
      </c>
      <c r="DT152" s="112">
        <f t="shared" ref="DT152" si="1540">SUM(DU152:EF152)</f>
        <v>1231.2313657407403</v>
      </c>
      <c r="DU152" s="114">
        <f>IFERROR(SUMIFS('01. KE30'!$X:$X,'01. KE30'!$C:$C,'06. BC BH THEO CUSTOMER-USD'!$D152,'01. KE30'!$F:$F,'06. BC BH THEO CUSTOMER-USD'!$H152,'01. KE30'!$A:$A,'06. BC BH THEO CUSTOMER-USD'!DU$4)-SUMIFS('01. KE30'!$AA:$AA,'01. KE30'!$C:$C,'06. BC BH THEO CUSTOMER-USD'!$D152,'01. KE30'!$F:$F,'06. BC BH THEO CUSTOMER-USD'!$H152,'01. KE30'!$A:$A,'06. BC BH THEO CUSTOMER-USD'!DU$4),"-")</f>
        <v>0</v>
      </c>
      <c r="DV152" s="114">
        <f>IFERROR(SUMIFS('01. KE30'!$X:$X,'01. KE30'!$C:$C,'06. BC BH THEO CUSTOMER-USD'!$D152,'01. KE30'!$F:$F,'06. BC BH THEO CUSTOMER-USD'!$H152,'01. KE30'!$A:$A,'06. BC BH THEO CUSTOMER-USD'!DV$4)-SUMIFS('01. KE30'!$AA:$AA,'01. KE30'!$C:$C,'06. BC BH THEO CUSTOMER-USD'!$D152,'01. KE30'!$F:$F,'06. BC BH THEO CUSTOMER-USD'!$H152,'01. KE30'!$A:$A,'06. BC BH THEO CUSTOMER-USD'!DV$4),"-")</f>
        <v>0</v>
      </c>
      <c r="DW152" s="114">
        <f>IFERROR(SUMIFS('01. KE30'!$X:$X,'01. KE30'!$C:$C,'06. BC BH THEO CUSTOMER-USD'!$D152,'01. KE30'!$F:$F,'06. BC BH THEO CUSTOMER-USD'!$H152,'01. KE30'!$A:$A,'06. BC BH THEO CUSTOMER-USD'!DW$4)-SUMIFS('01. KE30'!$AA:$AA,'01. KE30'!$C:$C,'06. BC BH THEO CUSTOMER-USD'!$D152,'01. KE30'!$F:$F,'06. BC BH THEO CUSTOMER-USD'!$H152,'01. KE30'!$A:$A,'06. BC BH THEO CUSTOMER-USD'!DW$4),"-")</f>
        <v>0</v>
      </c>
      <c r="DX152" s="114">
        <f>IFERROR(SUMIFS('01. KE30'!$X:$X,'01. KE30'!$C:$C,'06. BC BH THEO CUSTOMER-USD'!$D152,'01. KE30'!$F:$F,'06. BC BH THEO CUSTOMER-USD'!$H152,'01. KE30'!$A:$A,'06. BC BH THEO CUSTOMER-USD'!DX$4)-SUMIFS('01. KE30'!$AA:$AA,'01. KE30'!$C:$C,'06. BC BH THEO CUSTOMER-USD'!$D152,'01. KE30'!$F:$F,'06. BC BH THEO CUSTOMER-USD'!$H152,'01. KE30'!$A:$A,'06. BC BH THEO CUSTOMER-USD'!DX$4),"-")</f>
        <v>0</v>
      </c>
      <c r="DY152" s="114">
        <f>IFERROR(SUMIFS('01. KE30'!$X:$X,'01. KE30'!$C:$C,'06. BC BH THEO CUSTOMER-USD'!$D152,'01. KE30'!$F:$F,'06. BC BH THEO CUSTOMER-USD'!$H152,'01. KE30'!$A:$A,'06. BC BH THEO CUSTOMER-USD'!DY$4)-SUMIFS('01. KE30'!$AA:$AA,'01. KE30'!$C:$C,'06. BC BH THEO CUSTOMER-USD'!$D152,'01. KE30'!$F:$F,'06. BC BH THEO CUSTOMER-USD'!$H152,'01. KE30'!$A:$A,'06. BC BH THEO CUSTOMER-USD'!DY$4),"-")</f>
        <v>0</v>
      </c>
      <c r="DZ152" s="114">
        <f>IFERROR(SUMIFS('01. KE30'!$X:$X,'01. KE30'!$C:$C,'06. BC BH THEO CUSTOMER-USD'!$D152,'01. KE30'!$F:$F,'06. BC BH THEO CUSTOMER-USD'!$H152,'01. KE30'!$A:$A,'06. BC BH THEO CUSTOMER-USD'!DZ$4)-SUMIFS('01. KE30'!$AA:$AA,'01. KE30'!$C:$C,'06. BC BH THEO CUSTOMER-USD'!$D152,'01. KE30'!$F:$F,'06. BC BH THEO CUSTOMER-USD'!$H152,'01. KE30'!$A:$A,'06. BC BH THEO CUSTOMER-USD'!DZ$4),"-")</f>
        <v>1231.2313657407403</v>
      </c>
      <c r="EA152" s="114">
        <f>IFERROR(SUMIFS('01. KE30'!$X:$X,'01. KE30'!$C:$C,'06. BC BH THEO CUSTOMER-USD'!$D152,'01. KE30'!$F:$F,'06. BC BH THEO CUSTOMER-USD'!$H152,'01. KE30'!$A:$A,'06. BC BH THEO CUSTOMER-USD'!EA$4)-SUMIFS('01. KE30'!$AA:$AA,'01. KE30'!$C:$C,'06. BC BH THEO CUSTOMER-USD'!$D152,'01. KE30'!$F:$F,'06. BC BH THEO CUSTOMER-USD'!$H152,'01. KE30'!$A:$A,'06. BC BH THEO CUSTOMER-USD'!EA$4),"-")</f>
        <v>0</v>
      </c>
      <c r="EB152" s="114">
        <f>IFERROR(SUMIFS('01. KE30'!$X:$X,'01. KE30'!$C:$C,'06. BC BH THEO CUSTOMER-USD'!$D152,'01. KE30'!$F:$F,'06. BC BH THEO CUSTOMER-USD'!$H152,'01. KE30'!$A:$A,'06. BC BH THEO CUSTOMER-USD'!EB$4)-SUMIFS('01. KE30'!$AA:$AA,'01. KE30'!$C:$C,'06. BC BH THEO CUSTOMER-USD'!$D152,'01. KE30'!$F:$F,'06. BC BH THEO CUSTOMER-USD'!$H152,'01. KE30'!$A:$A,'06. BC BH THEO CUSTOMER-USD'!EB$4),"-")</f>
        <v>0</v>
      </c>
      <c r="EC152" s="114">
        <f>IFERROR(SUMIFS('01. KE30'!$X:$X,'01. KE30'!$C:$C,'06. BC BH THEO CUSTOMER-USD'!$D152,'01. KE30'!$F:$F,'06. BC BH THEO CUSTOMER-USD'!$H152,'01. KE30'!$A:$A,'06. BC BH THEO CUSTOMER-USD'!EC$4)-SUMIFS('01. KE30'!$AA:$AA,'01. KE30'!$C:$C,'06. BC BH THEO CUSTOMER-USD'!$D152,'01. KE30'!$F:$F,'06. BC BH THEO CUSTOMER-USD'!$H152,'01. KE30'!$A:$A,'06. BC BH THEO CUSTOMER-USD'!EC$4),"-")</f>
        <v>0</v>
      </c>
      <c r="ED152" s="114">
        <f>IFERROR(SUMIFS('01. KE30'!$X:$X,'01. KE30'!$C:$C,'06. BC BH THEO CUSTOMER-USD'!$D152,'01. KE30'!$F:$F,'06. BC BH THEO CUSTOMER-USD'!$H152,'01. KE30'!$A:$A,'06. BC BH THEO CUSTOMER-USD'!ED$4)-SUMIFS('01. KE30'!$AA:$AA,'01. KE30'!$C:$C,'06. BC BH THEO CUSTOMER-USD'!$D152,'01. KE30'!$F:$F,'06. BC BH THEO CUSTOMER-USD'!$H152,'01. KE30'!$A:$A,'06. BC BH THEO CUSTOMER-USD'!ED$4),"-")</f>
        <v>0</v>
      </c>
      <c r="EE152" s="114">
        <f>IFERROR(SUMIFS('01. KE30'!$X:$X,'01. KE30'!$C:$C,'06. BC BH THEO CUSTOMER-USD'!$D152,'01. KE30'!$F:$F,'06. BC BH THEO CUSTOMER-USD'!$H152,'01. KE30'!$A:$A,'06. BC BH THEO CUSTOMER-USD'!EE$4)-SUMIFS('01. KE30'!$AA:$AA,'01. KE30'!$C:$C,'06. BC BH THEO CUSTOMER-USD'!$D152,'01. KE30'!$F:$F,'06. BC BH THEO CUSTOMER-USD'!$H152,'01. KE30'!$A:$A,'06. BC BH THEO CUSTOMER-USD'!EE$4),"-")</f>
        <v>0</v>
      </c>
      <c r="EF152" s="114">
        <f>IFERROR(SUMIFS('01. KE30'!$X:$X,'01. KE30'!$C:$C,'06. BC BH THEO CUSTOMER-USD'!$D152,'01. KE30'!$F:$F,'06. BC BH THEO CUSTOMER-USD'!$H152,'01. KE30'!$A:$A,'06. BC BH THEO CUSTOMER-USD'!EF$4)-SUMIFS('01. KE30'!$AA:$AA,'01. KE30'!$C:$C,'06. BC BH THEO CUSTOMER-USD'!$D152,'01. KE30'!$F:$F,'06. BC BH THEO CUSTOMER-USD'!$H152,'01. KE30'!$A:$A,'06. BC BH THEO CUSTOMER-USD'!EF$4),"-")</f>
        <v>0</v>
      </c>
      <c r="EH152" s="571">
        <f t="shared" si="531"/>
        <v>0.18260101383603816</v>
      </c>
      <c r="EI152" s="572" t="str">
        <f t="shared" si="532"/>
        <v>-</v>
      </c>
      <c r="EJ152" s="572" t="str">
        <f t="shared" si="533"/>
        <v>-</v>
      </c>
      <c r="EK152" s="572" t="str">
        <f t="shared" si="534"/>
        <v>-</v>
      </c>
      <c r="EL152" s="572" t="str">
        <f t="shared" si="535"/>
        <v>-</v>
      </c>
      <c r="EM152" s="572" t="str">
        <f t="shared" si="536"/>
        <v>-</v>
      </c>
      <c r="EN152" s="572">
        <f t="shared" si="537"/>
        <v>0.18260101383603816</v>
      </c>
      <c r="EO152" s="572" t="str">
        <f t="shared" si="538"/>
        <v>-</v>
      </c>
      <c r="EP152" s="572" t="str">
        <f t="shared" si="539"/>
        <v>-</v>
      </c>
      <c r="EQ152" s="572" t="str">
        <f t="shared" si="540"/>
        <v>-</v>
      </c>
      <c r="ER152" s="572" t="str">
        <f t="shared" si="541"/>
        <v>-</v>
      </c>
      <c r="ES152" s="572" t="str">
        <f t="shared" si="542"/>
        <v>-</v>
      </c>
      <c r="ET152" s="572" t="str">
        <f t="shared" si="543"/>
        <v>-</v>
      </c>
    </row>
    <row r="153" spans="1:150" ht="15.5" hidden="1" outlineLevel="1" x14ac:dyDescent="0.35">
      <c r="A153" s="10">
        <f t="shared" si="1266"/>
        <v>24</v>
      </c>
      <c r="B153" s="10" t="s">
        <v>265</v>
      </c>
      <c r="C153" s="442" t="s">
        <v>489</v>
      </c>
      <c r="D153" s="9" t="s">
        <v>720</v>
      </c>
      <c r="E153" s="12" t="s">
        <v>721</v>
      </c>
      <c r="F153" s="12" t="s">
        <v>245</v>
      </c>
      <c r="G153" s="12" t="str">
        <f>_xlfn.XLOOKUP(F153,'Quy đổi'!$G$5:$G$32,'Quy đổi'!$H$5:$H$32,0)</f>
        <v>Nội địa</v>
      </c>
      <c r="H153" s="76" t="s">
        <v>375</v>
      </c>
      <c r="I153" s="7" t="s">
        <v>376</v>
      </c>
      <c r="J153" s="69" t="s">
        <v>22</v>
      </c>
      <c r="K153" s="11"/>
      <c r="L153" s="92">
        <f t="shared" ref="L153:L156" si="1541">IFERROR(AVERAGE(M153:X153),"-")</f>
        <v>1339.7831978319782</v>
      </c>
      <c r="M153" s="106" t="str">
        <f>IFERROR(SUMIFS('01. KE30'!$K:$K,'01. KE30'!$C:$C,'06. BC BH THEO CUSTOMER-USD'!$D153,'01. KE30'!$F:$F,'06. BC BH THEO CUSTOMER-USD'!$H153,'01. KE30'!$A:$A,'06. BC BH THEO CUSTOMER-USD'!M$4)/'06. BC BH THEO CUSTOMER-USD'!CS153/'02. Tỷ giá'!B$5,"-")</f>
        <v>-</v>
      </c>
      <c r="N153" s="106" t="str">
        <f>IFERROR(SUMIFS('01. KE30'!$K:$K,'01. KE30'!$C:$C,'06. BC BH THEO CUSTOMER-USD'!$D153,'01. KE30'!$F:$F,'06. BC BH THEO CUSTOMER-USD'!$H153,'01. KE30'!$A:$A,'06. BC BH THEO CUSTOMER-USD'!N$4)/'06. BC BH THEO CUSTOMER-USD'!CT153/'02. Tỷ giá'!C$5,"-")</f>
        <v>-</v>
      </c>
      <c r="O153" s="106" t="str">
        <f>IFERROR(SUMIFS('01. KE30'!$K:$K,'01. KE30'!$C:$C,'06. BC BH THEO CUSTOMER-USD'!$D153,'01. KE30'!$F:$F,'06. BC BH THEO CUSTOMER-USD'!$H153,'01. KE30'!$A:$A,'06. BC BH THEO CUSTOMER-USD'!O$4)/'06. BC BH THEO CUSTOMER-USD'!CU153/'02. Tỷ giá'!D$5,"-")</f>
        <v>-</v>
      </c>
      <c r="P153" s="106">
        <f>IFERROR(SUMIFS('01. KE30'!$K:$K,'01. KE30'!$C:$C,'06. BC BH THEO CUSTOMER-USD'!$D153,'01. KE30'!$F:$F,'06. BC BH THEO CUSTOMER-USD'!$H153,'01. KE30'!$A:$A,'06. BC BH THEO CUSTOMER-USD'!P$4)/'06. BC BH THEO CUSTOMER-USD'!CV153/'02. Tỷ giá'!E$5,"-")</f>
        <v>1339.7831978319782</v>
      </c>
      <c r="Q153" s="106" t="str">
        <f>IFERROR(SUMIFS('01. KE30'!$K:$K,'01. KE30'!$C:$C,'06. BC BH THEO CUSTOMER-USD'!$D153,'01. KE30'!$F:$F,'06. BC BH THEO CUSTOMER-USD'!$H153,'01. KE30'!$A:$A,'06. BC BH THEO CUSTOMER-USD'!Q$4)/'06. BC BH THEO CUSTOMER-USD'!CW153/'02. Tỷ giá'!F$5,"-")</f>
        <v>-</v>
      </c>
      <c r="R153" s="106" t="str">
        <f>IFERROR(SUMIFS('01. KE30'!$K:$K,'01. KE30'!$C:$C,'06. BC BH THEO CUSTOMER-USD'!$D153,'01. KE30'!$F:$F,'06. BC BH THEO CUSTOMER-USD'!$H153,'01. KE30'!$A:$A,'06. BC BH THEO CUSTOMER-USD'!R$4)/'06. BC BH THEO CUSTOMER-USD'!CX153/'02. Tỷ giá'!G$5,"-")</f>
        <v>-</v>
      </c>
      <c r="S153" s="106" t="str">
        <f>IFERROR(SUMIFS('01. KE30'!$K:$K,'01. KE30'!$C:$C,'06. BC BH THEO CUSTOMER-USD'!$D153,'01. KE30'!$F:$F,'06. BC BH THEO CUSTOMER-USD'!$H153,'01. KE30'!$A:$A,'06. BC BH THEO CUSTOMER-USD'!S$4)/'06. BC BH THEO CUSTOMER-USD'!CY153/'02. Tỷ giá'!H$5,"-")</f>
        <v>-</v>
      </c>
      <c r="T153" s="106" t="str">
        <f>IFERROR(SUMIFS('01. KE30'!$K:$K,'01. KE30'!$C:$C,'06. BC BH THEO CUSTOMER-USD'!$D153,'01. KE30'!$F:$F,'06. BC BH THEO CUSTOMER-USD'!$H153,'01. KE30'!$A:$A,'06. BC BH THEO CUSTOMER-USD'!T$4)/'06. BC BH THEO CUSTOMER-USD'!CZ153/'02. Tỷ giá'!I$5,"-")</f>
        <v>-</v>
      </c>
      <c r="U153" s="106" t="str">
        <f>IFERROR(SUMIFS('01. KE30'!$K:$K,'01. KE30'!$C:$C,'06. BC BH THEO CUSTOMER-USD'!$D153,'01. KE30'!$F:$F,'06. BC BH THEO CUSTOMER-USD'!$H153,'01. KE30'!$A:$A,'06. BC BH THEO CUSTOMER-USD'!U$4)/'06. BC BH THEO CUSTOMER-USD'!DA153/'02. Tỷ giá'!J$5,"-")</f>
        <v>-</v>
      </c>
      <c r="V153" s="106" t="str">
        <f>IFERROR(SUMIFS('01. KE30'!$K:$K,'01. KE30'!$C:$C,'06. BC BH THEO CUSTOMER-USD'!$D153,'01. KE30'!$F:$F,'06. BC BH THEO CUSTOMER-USD'!$H153,'01. KE30'!$A:$A,'06. BC BH THEO CUSTOMER-USD'!V$4)/'06. BC BH THEO CUSTOMER-USD'!DB153/'02. Tỷ giá'!K$5,"-")</f>
        <v>-</v>
      </c>
      <c r="W153" s="106" t="str">
        <f>IFERROR(SUMIFS('01. KE30'!$K:$K,'01. KE30'!$C:$C,'06. BC BH THEO CUSTOMER-USD'!$D153,'01. KE30'!$F:$F,'06. BC BH THEO CUSTOMER-USD'!$H153,'01. KE30'!$A:$A,'06. BC BH THEO CUSTOMER-USD'!W$4)/'06. BC BH THEO CUSTOMER-USD'!DC153/'02. Tỷ giá'!L$5,"-")</f>
        <v>-</v>
      </c>
      <c r="X153" s="106" t="str">
        <f>IFERROR(SUMIFS('01. KE30'!$K:$K,'01. KE30'!$C:$C,'06. BC BH THEO CUSTOMER-USD'!$D153,'01. KE30'!$F:$F,'06. BC BH THEO CUSTOMER-USD'!$H153,'01. KE30'!$A:$A,'06. BC BH THEO CUSTOMER-USD'!X$4)/'06. BC BH THEO CUSTOMER-USD'!DD153/'02. Tỷ giá'!M$5,"-")</f>
        <v>-</v>
      </c>
      <c r="Z153" s="92">
        <f t="shared" ref="Z153:Z156" si="1542">IFERROR(AVERAGE(AA153:AL153),"-")</f>
        <v>1339.7831978319782</v>
      </c>
      <c r="AA153" s="147" t="str">
        <f>IFERROR(SUMIFS('01. KE30'!$O:$O,'01. KE30'!$C:$C,'06. BC BH THEO CUSTOMER-USD'!$D153,'01. KE30'!$F:$F,'06. BC BH THEO CUSTOMER-USD'!$H153,'01. KE30'!$A:$A,'06. BC BH THEO CUSTOMER-USD'!M$4)/'06. BC BH THEO CUSTOMER-USD'!CS153/'02. Tỷ giá'!B$5,"-")</f>
        <v>-</v>
      </c>
      <c r="AB153" s="147" t="str">
        <f>IFERROR(SUMIFS('01. KE30'!$O:$O,'01. KE30'!$C:$C,'06. BC BH THEO CUSTOMER-USD'!$D153,'01. KE30'!$F:$F,'06. BC BH THEO CUSTOMER-USD'!$H153,'01. KE30'!$A:$A,'06. BC BH THEO CUSTOMER-USD'!N$4)/'06. BC BH THEO CUSTOMER-USD'!CT153/'02. Tỷ giá'!C$5,"-")</f>
        <v>-</v>
      </c>
      <c r="AC153" s="147" t="str">
        <f>IFERROR(SUMIFS('01. KE30'!$O:$O,'01. KE30'!$C:$C,'06. BC BH THEO CUSTOMER-USD'!$D153,'01. KE30'!$F:$F,'06. BC BH THEO CUSTOMER-USD'!$H153,'01. KE30'!$A:$A,'06. BC BH THEO CUSTOMER-USD'!O$4)/'06. BC BH THEO CUSTOMER-USD'!CU153/'02. Tỷ giá'!D$5,"-")</f>
        <v>-</v>
      </c>
      <c r="AD153" s="147">
        <f>IFERROR(SUMIFS('01. KE30'!$O:$O,'01. KE30'!$C:$C,'06. BC BH THEO CUSTOMER-USD'!$D153,'01. KE30'!$F:$F,'06. BC BH THEO CUSTOMER-USD'!$H153,'01. KE30'!$A:$A,'06. BC BH THEO CUSTOMER-USD'!P$4)/'06. BC BH THEO CUSTOMER-USD'!CV153/'02. Tỷ giá'!E$5,"-")</f>
        <v>1339.7831978319782</v>
      </c>
      <c r="AE153" s="147" t="str">
        <f>IFERROR(SUMIFS('01. KE30'!$O:$O,'01. KE30'!$C:$C,'06. BC BH THEO CUSTOMER-USD'!$D153,'01. KE30'!$F:$F,'06. BC BH THEO CUSTOMER-USD'!$H153,'01. KE30'!$A:$A,'06. BC BH THEO CUSTOMER-USD'!Q$4)/'06. BC BH THEO CUSTOMER-USD'!CW153/'02. Tỷ giá'!F$5,"-")</f>
        <v>-</v>
      </c>
      <c r="AF153" s="147" t="str">
        <f>IFERROR(SUMIFS('01. KE30'!$O:$O,'01. KE30'!$C:$C,'06. BC BH THEO CUSTOMER-USD'!$D153,'01. KE30'!$F:$F,'06. BC BH THEO CUSTOMER-USD'!$H153,'01. KE30'!$A:$A,'06. BC BH THEO CUSTOMER-USD'!R$4)/'06. BC BH THEO CUSTOMER-USD'!CX153/'02. Tỷ giá'!G$5,"-")</f>
        <v>-</v>
      </c>
      <c r="AG153" s="147" t="str">
        <f>IFERROR(SUMIFS('01. KE30'!$O:$O,'01. KE30'!$C:$C,'06. BC BH THEO CUSTOMER-USD'!$D153,'01. KE30'!$F:$F,'06. BC BH THEO CUSTOMER-USD'!$H153,'01. KE30'!$A:$A,'06. BC BH THEO CUSTOMER-USD'!S$4)/'06. BC BH THEO CUSTOMER-USD'!CY153/'02. Tỷ giá'!H$5,"-")</f>
        <v>-</v>
      </c>
      <c r="AH153" s="147" t="str">
        <f>IFERROR(SUMIFS('01. KE30'!$O:$O,'01. KE30'!$C:$C,'06. BC BH THEO CUSTOMER-USD'!$D153,'01. KE30'!$F:$F,'06. BC BH THEO CUSTOMER-USD'!$H153,'01. KE30'!$A:$A,'06. BC BH THEO CUSTOMER-USD'!T$4)/'06. BC BH THEO CUSTOMER-USD'!CZ153/'02. Tỷ giá'!I$5,"-")</f>
        <v>-</v>
      </c>
      <c r="AI153" s="147" t="str">
        <f>IFERROR(SUMIFS('01. KE30'!$O:$O,'01. KE30'!$C:$C,'06. BC BH THEO CUSTOMER-USD'!$D153,'01. KE30'!$F:$F,'06. BC BH THEO CUSTOMER-USD'!$H153,'01. KE30'!$A:$A,'06. BC BH THEO CUSTOMER-USD'!U$4)/'06. BC BH THEO CUSTOMER-USD'!DA153/'02. Tỷ giá'!J$5,"-")</f>
        <v>-</v>
      </c>
      <c r="AJ153" s="147" t="str">
        <f>IFERROR(SUMIFS('01. KE30'!$O:$O,'01. KE30'!$C:$C,'06. BC BH THEO CUSTOMER-USD'!$D153,'01. KE30'!$F:$F,'06. BC BH THEO CUSTOMER-USD'!$H153,'01. KE30'!$A:$A,'06. BC BH THEO CUSTOMER-USD'!V$4)/'06. BC BH THEO CUSTOMER-USD'!DB153/'02. Tỷ giá'!K$5,"-")</f>
        <v>-</v>
      </c>
      <c r="AK153" s="147" t="str">
        <f>IFERROR(SUMIFS('01. KE30'!$O:$O,'01. KE30'!$C:$C,'06. BC BH THEO CUSTOMER-USD'!$D153,'01. KE30'!$F:$F,'06. BC BH THEO CUSTOMER-USD'!$H153,'01. KE30'!$A:$A,'06. BC BH THEO CUSTOMER-USD'!W$4)/'06. BC BH THEO CUSTOMER-USD'!DC153/'02. Tỷ giá'!L$5,"-")</f>
        <v>-</v>
      </c>
      <c r="AL153" s="147" t="str">
        <f>IFERROR(SUMIFS('01. KE30'!$O:$O,'01. KE30'!$C:$C,'06. BC BH THEO CUSTOMER-USD'!$D153,'01. KE30'!$F:$F,'06. BC BH THEO CUSTOMER-USD'!$H153,'01. KE30'!$A:$A,'06. BC BH THEO CUSTOMER-USD'!X$4)/'06. BC BH THEO CUSTOMER-USD'!DD153/'02. Tỷ giá'!M$5,"-")</f>
        <v>-</v>
      </c>
      <c r="AN153" s="55">
        <f t="shared" ref="AN153:AN156" si="1543">IFERROR(AVERAGE(AO153:AZ153),"-")</f>
        <v>1354.4444444444443</v>
      </c>
      <c r="AO153" s="4">
        <v>1400</v>
      </c>
      <c r="AP153" s="4">
        <v>1400</v>
      </c>
      <c r="AQ153" s="4">
        <f t="shared" si="1438"/>
        <v>1350</v>
      </c>
      <c r="AR153" s="4">
        <v>1350</v>
      </c>
      <c r="AS153" s="4">
        <v>1350</v>
      </c>
      <c r="AT153" s="4">
        <v>1350</v>
      </c>
      <c r="AU153" s="4">
        <v>1350</v>
      </c>
      <c r="AV153" s="4">
        <f t="shared" si="1272"/>
        <v>1330</v>
      </c>
      <c r="AW153" s="4">
        <v>1310</v>
      </c>
      <c r="AX153" s="4"/>
      <c r="AY153" s="4"/>
      <c r="AZ153" s="4"/>
      <c r="BB153" s="54">
        <f t="shared" ref="BB153:BB156" si="1544">IF(L153&lt;&gt;"-",Z153-AN153,"-")</f>
        <v>-14.66124661246613</v>
      </c>
      <c r="BC153" s="95" t="str">
        <f t="shared" ref="BC153:BC156" si="1545">IF(M153&lt;&gt;"-",AA153-AO153,"-")</f>
        <v>-</v>
      </c>
      <c r="BD153" s="95" t="str">
        <f t="shared" ref="BD153:BD156" si="1546">IF(N153&lt;&gt;"-",AB153-AP153,"-")</f>
        <v>-</v>
      </c>
      <c r="BE153" s="95" t="str">
        <f t="shared" ref="BE153:BE156" si="1547">IF(O153&lt;&gt;"-",AC153-AQ153,"-")</f>
        <v>-</v>
      </c>
      <c r="BF153" s="95">
        <f t="shared" ref="BF153:BF156" si="1548">IF(P153&lt;&gt;"-",AD153-AR153,"-")</f>
        <v>-10.216802168021786</v>
      </c>
      <c r="BG153" s="95" t="str">
        <f t="shared" ref="BG153:BG156" si="1549">IF(Q153&lt;&gt;"-",AE153-AS153,"-")</f>
        <v>-</v>
      </c>
      <c r="BH153" s="95" t="str">
        <f t="shared" ref="BH153:BH156" si="1550">IF(R153&lt;&gt;"-",AF153-AT153,"-")</f>
        <v>-</v>
      </c>
      <c r="BI153" s="95" t="str">
        <f t="shared" ref="BI153:BI156" si="1551">IF(S153&lt;&gt;"-",AG153-AU153,"-")</f>
        <v>-</v>
      </c>
      <c r="BJ153" s="95" t="str">
        <f t="shared" ref="BJ153:BJ156" si="1552">IF(T153&lt;&gt;"-",AH153-AV153,"-")</f>
        <v>-</v>
      </c>
      <c r="BK153" s="95" t="str">
        <f t="shared" ref="BK153:BK156" si="1553">IF(U153&lt;&gt;"-",AI153-AW153,"-")</f>
        <v>-</v>
      </c>
      <c r="BL153" s="95" t="str">
        <f t="shared" ref="BL153:BL156" si="1554">IF(V153&lt;&gt;"-",AJ153-AX153,"-")</f>
        <v>-</v>
      </c>
      <c r="BM153" s="95" t="str">
        <f t="shared" ref="BM153:BM156" si="1555">IF(W153&lt;&gt;"-",AK153-AY153,"-")</f>
        <v>-</v>
      </c>
      <c r="BN153" s="95" t="str">
        <f t="shared" ref="BN153:BN156" si="1556">IF(X153&lt;&gt;"-",AL153-AZ153,"-")</f>
        <v>-</v>
      </c>
      <c r="BP153" s="143">
        <f t="shared" ref="BP153:BP156" si="1557">IFERROR(IF(BB153&lt;&gt;"-",BB153/AN153,"-"),"-")</f>
        <v>-1.0824546309449973E-2</v>
      </c>
      <c r="BQ153" s="143" t="str">
        <f t="shared" ref="BQ153:BQ156" si="1558">IFERROR(IF(BC153&lt;&gt;"-",BC153/AO153,"-"),"-")</f>
        <v>-</v>
      </c>
      <c r="BR153" s="143" t="str">
        <f t="shared" ref="BR153:BR156" si="1559">IFERROR(IF(BD153&lt;&gt;"-",BD153/AP153,"-"),"-")</f>
        <v>-</v>
      </c>
      <c r="BS153" s="143" t="str">
        <f t="shared" ref="BS153:BS156" si="1560">IFERROR(IF(BE153&lt;&gt;"-",BE153/AQ153,"-"),"-")</f>
        <v>-</v>
      </c>
      <c r="BT153" s="143">
        <f t="shared" ref="BT153:BT156" si="1561">IFERROR(IF(BF153&lt;&gt;"-",BF153/AR153,"-"),"-")</f>
        <v>-7.5680016059420634E-3</v>
      </c>
      <c r="BU153" s="143" t="str">
        <f t="shared" ref="BU153:BU156" si="1562">IFERROR(IF(BG153&lt;&gt;"-",BG153/AS153,"-"),"-")</f>
        <v>-</v>
      </c>
      <c r="BV153" s="143" t="str">
        <f t="shared" ref="BV153:BV156" si="1563">IFERROR(IF(BH153&lt;&gt;"-",BH153/AT153,"-"),"-")</f>
        <v>-</v>
      </c>
      <c r="BW153" s="143" t="str">
        <f t="shared" ref="BW153:BW156" si="1564">IFERROR(IF(BI153&lt;&gt;"-",BI153/AU153,"-"),"-")</f>
        <v>-</v>
      </c>
      <c r="BX153" s="143" t="str">
        <f t="shared" ref="BX153:BX156" si="1565">IFERROR(IF(BJ153&lt;&gt;"-",BJ153/AV153,"-"),"-")</f>
        <v>-</v>
      </c>
      <c r="BY153" s="143" t="str">
        <f t="shared" ref="BY153:BY156" si="1566">IFERROR(IF(BK153&lt;&gt;"-",BK153/AW153,"-"),"-")</f>
        <v>-</v>
      </c>
      <c r="BZ153" s="143" t="str">
        <f t="shared" ref="BZ153:BZ156" si="1567">IFERROR(IF(BL153&lt;&gt;"-",BL153/AX153,"-"),"-")</f>
        <v>-</v>
      </c>
      <c r="CA153" s="143" t="str">
        <f t="shared" ref="CA153:CA156" si="1568">IFERROR(IF(BM153&lt;&gt;"-",BM153/AY153,"-"),"-")</f>
        <v>-</v>
      </c>
      <c r="CB153" s="143" t="str">
        <f t="shared" ref="CB153:CB156" si="1569">IFERROR(IF(BN153&lt;&gt;"-",BN153/AZ153,"-"),"-")</f>
        <v>-</v>
      </c>
      <c r="CD153" s="112">
        <f t="shared" ref="CD153:CD156" si="1570">IFERROR(AVERAGE(CE153:CP153),"-")</f>
        <v>1093.837630662021</v>
      </c>
      <c r="CE153" s="95" t="str">
        <f>IFERROR(SUMIFS('01. KE30'!$R:$R,'01. KE30'!$C:$C,'06. BC BH THEO CUSTOMER-USD'!$D153,'01. KE30'!$F:$F,'06. BC BH THEO CUSTOMER-USD'!$H153,'01. KE30'!$A:$A,'06. BC BH THEO CUSTOMER-USD'!CE$4)/CS153/'02. Tỷ giá'!B$5," -")</f>
        <v xml:space="preserve"> -</v>
      </c>
      <c r="CF153" s="95" t="str">
        <f>IFERROR(SUMIFS('01. KE30'!$R:$R,'01. KE30'!$C:$C,'06. BC BH THEO CUSTOMER-USD'!$D153,'01. KE30'!$F:$F,'06. BC BH THEO CUSTOMER-USD'!$H153,'01. KE30'!$A:$A,'06. BC BH THEO CUSTOMER-USD'!CF$4)/CT153/'02. Tỷ giá'!C$5," -")</f>
        <v xml:space="preserve"> -</v>
      </c>
      <c r="CG153" s="95" t="str">
        <f>IFERROR(SUMIFS('01. KE30'!$R:$R,'01. KE30'!$C:$C,'06. BC BH THEO CUSTOMER-USD'!$D153,'01. KE30'!$F:$F,'06. BC BH THEO CUSTOMER-USD'!$H153,'01. KE30'!$A:$A,'06. BC BH THEO CUSTOMER-USD'!CG$4)/CU153/'02. Tỷ giá'!D$5," -")</f>
        <v xml:space="preserve"> -</v>
      </c>
      <c r="CH153" s="95">
        <f>IFERROR(SUMIFS('01. KE30'!$R:$R,'01. KE30'!$C:$C,'06. BC BH THEO CUSTOMER-USD'!$D153,'01. KE30'!$F:$F,'06. BC BH THEO CUSTOMER-USD'!$H153,'01. KE30'!$A:$A,'06. BC BH THEO CUSTOMER-USD'!CH$4)/CV153/'02. Tỷ giá'!E$5," -")</f>
        <v>1093.837630662021</v>
      </c>
      <c r="CI153" s="95" t="str">
        <f>IFERROR(SUMIFS('01. KE30'!$R:$R,'01. KE30'!$C:$C,'06. BC BH THEO CUSTOMER-USD'!$D153,'01. KE30'!$F:$F,'06. BC BH THEO CUSTOMER-USD'!$H153,'01. KE30'!$A:$A,'06. BC BH THEO CUSTOMER-USD'!CI$4)/CW153/'02. Tỷ giá'!F$5," -")</f>
        <v xml:space="preserve"> -</v>
      </c>
      <c r="CJ153" s="95" t="str">
        <f>IFERROR(SUMIFS('01. KE30'!$R:$R,'01. KE30'!$C:$C,'06. BC BH THEO CUSTOMER-USD'!$D153,'01. KE30'!$F:$F,'06. BC BH THEO CUSTOMER-USD'!$H153,'01. KE30'!$A:$A,'06. BC BH THEO CUSTOMER-USD'!CJ$4)/CX153/'02. Tỷ giá'!G$5," -")</f>
        <v xml:space="preserve"> -</v>
      </c>
      <c r="CK153" s="95" t="str">
        <f>IFERROR(SUMIFS('01. KE30'!$R:$R,'01. KE30'!$C:$C,'06. BC BH THEO CUSTOMER-USD'!$D153,'01. KE30'!$F:$F,'06. BC BH THEO CUSTOMER-USD'!$H153,'01. KE30'!$A:$A,'06. BC BH THEO CUSTOMER-USD'!CK$4)/CY153/'02. Tỷ giá'!H$5," -")</f>
        <v xml:space="preserve"> -</v>
      </c>
      <c r="CL153" s="95" t="str">
        <f>IFERROR(SUMIFS('01. KE30'!$R:$R,'01. KE30'!$C:$C,'06. BC BH THEO CUSTOMER-USD'!$D153,'01. KE30'!$F:$F,'06. BC BH THEO CUSTOMER-USD'!$H153,'01. KE30'!$A:$A,'06. BC BH THEO CUSTOMER-USD'!CL$4)/CZ153/'02. Tỷ giá'!I$5," -")</f>
        <v xml:space="preserve"> -</v>
      </c>
      <c r="CM153" s="95" t="str">
        <f>IFERROR(SUMIFS('01. KE30'!$R:$R,'01. KE30'!$C:$C,'06. BC BH THEO CUSTOMER-USD'!$D153,'01. KE30'!$F:$F,'06. BC BH THEO CUSTOMER-USD'!$H153,'01. KE30'!$A:$A,'06. BC BH THEO CUSTOMER-USD'!CM$4)/DA153/'02. Tỷ giá'!J$5," -")</f>
        <v xml:space="preserve"> -</v>
      </c>
      <c r="CN153" s="95" t="str">
        <f>IFERROR(SUMIFS('01. KE30'!$R:$R,'01. KE30'!$C:$C,'06. BC BH THEO CUSTOMER-USD'!$D153,'01. KE30'!$F:$F,'06. BC BH THEO CUSTOMER-USD'!$H153,'01. KE30'!$A:$A,'06. BC BH THEO CUSTOMER-USD'!CN$4)/DB153/'02. Tỷ giá'!K$5," -")</f>
        <v xml:space="preserve"> -</v>
      </c>
      <c r="CO153" s="95" t="str">
        <f>IFERROR(SUMIFS('01. KE30'!$R:$R,'01. KE30'!$C:$C,'06. BC BH THEO CUSTOMER-USD'!$D153,'01. KE30'!$F:$F,'06. BC BH THEO CUSTOMER-USD'!$H153,'01. KE30'!$A:$A,'06. BC BH THEO CUSTOMER-USD'!CO$4)/DC153/'02. Tỷ giá'!L$5," -")</f>
        <v xml:space="preserve"> -</v>
      </c>
      <c r="CP153" s="95" t="str">
        <f>IFERROR(SUMIFS('01. KE30'!$R:$R,'01. KE30'!$C:$C,'06. BC BH THEO CUSTOMER-USD'!$D153,'01. KE30'!$F:$F,'06. BC BH THEO CUSTOMER-USD'!$H153,'01. KE30'!$A:$A,'06. BC BH THEO CUSTOMER-USD'!CP$4)/DD153/'02. Tỷ giá'!M$5," -")</f>
        <v xml:space="preserve"> -</v>
      </c>
      <c r="CR153" s="112">
        <f t="shared" ref="CR153:CR156" si="1571">SUM(CS153:DD153)</f>
        <v>0.5</v>
      </c>
      <c r="CS153" s="114">
        <f>SUMIFS('01. KE30'!$I:$I,'01. KE30'!$C:$C,'06. BC BH THEO CUSTOMER-USD'!$D153,'01. KE30'!$F:$F,'06. BC BH THEO CUSTOMER-USD'!$H153,'01. KE30'!$A:$A,'06. BC BH THEO CUSTOMER-USD'!CS$4)/1000</f>
        <v>0</v>
      </c>
      <c r="CT153" s="114">
        <f>SUMIFS('01. KE30'!$I:$I,'01. KE30'!$C:$C,'06. BC BH THEO CUSTOMER-USD'!$D153,'01. KE30'!$F:$F,'06. BC BH THEO CUSTOMER-USD'!$H153,'01. KE30'!$A:$A,'06. BC BH THEO CUSTOMER-USD'!CT$4)/1000</f>
        <v>0</v>
      </c>
      <c r="CU153" s="114">
        <f>SUMIFS('01. KE30'!$I:$I,'01. KE30'!$C:$C,'06. BC BH THEO CUSTOMER-USD'!$D153,'01. KE30'!$F:$F,'06. BC BH THEO CUSTOMER-USD'!$H153,'01. KE30'!$A:$A,'06. BC BH THEO CUSTOMER-USD'!CU$4)/1000</f>
        <v>0</v>
      </c>
      <c r="CV153" s="114">
        <f>SUMIFS('01. KE30'!$I:$I,'01. KE30'!$C:$C,'06. BC BH THEO CUSTOMER-USD'!$D153,'01. KE30'!$F:$F,'06. BC BH THEO CUSTOMER-USD'!$H153,'01. KE30'!$A:$A,'06. BC BH THEO CUSTOMER-USD'!CV$4)/1000</f>
        <v>0.5</v>
      </c>
      <c r="CW153" s="114">
        <f>SUMIFS('01. KE30'!$I:$I,'01. KE30'!$C:$C,'06. BC BH THEO CUSTOMER-USD'!$D153,'01. KE30'!$F:$F,'06. BC BH THEO CUSTOMER-USD'!$H153,'01. KE30'!$A:$A,'06. BC BH THEO CUSTOMER-USD'!CW$4)/1000</f>
        <v>0</v>
      </c>
      <c r="CX153" s="114">
        <f>SUMIFS('01. KE30'!$I:$I,'01. KE30'!$C:$C,'06. BC BH THEO CUSTOMER-USD'!$D153,'01. KE30'!$F:$F,'06. BC BH THEO CUSTOMER-USD'!$H153,'01. KE30'!$A:$A,'06. BC BH THEO CUSTOMER-USD'!CX$4)/1000</f>
        <v>0</v>
      </c>
      <c r="CY153" s="114">
        <f>SUMIFS('01. KE30'!$I:$I,'01. KE30'!$C:$C,'06. BC BH THEO CUSTOMER-USD'!$D153,'01. KE30'!$F:$F,'06. BC BH THEO CUSTOMER-USD'!$H153,'01. KE30'!$A:$A,'06. BC BH THEO CUSTOMER-USD'!CY$4)/1000</f>
        <v>0</v>
      </c>
      <c r="CZ153" s="114">
        <f>SUMIFS('01. KE30'!$I:$I,'01. KE30'!$C:$C,'06. BC BH THEO CUSTOMER-USD'!$D153,'01. KE30'!$F:$F,'06. BC BH THEO CUSTOMER-USD'!$H153,'01. KE30'!$A:$A,'06. BC BH THEO CUSTOMER-USD'!CZ$4)/1000</f>
        <v>0</v>
      </c>
      <c r="DA153" s="114">
        <f>SUMIFS('01. KE30'!$I:$I,'01. KE30'!$C:$C,'06. BC BH THEO CUSTOMER-USD'!$D153,'01. KE30'!$F:$F,'06. BC BH THEO CUSTOMER-USD'!$H153,'01. KE30'!$A:$A,'06. BC BH THEO CUSTOMER-USD'!DA$4)/1000</f>
        <v>0</v>
      </c>
      <c r="DB153" s="114">
        <f>SUMIFS('01. KE30'!$I:$I,'01. KE30'!$C:$C,'06. BC BH THEO CUSTOMER-USD'!$D153,'01. KE30'!$F:$F,'06. BC BH THEO CUSTOMER-USD'!$H153,'01. KE30'!$A:$A,'06. BC BH THEO CUSTOMER-USD'!DB$4)/1000</f>
        <v>0</v>
      </c>
      <c r="DC153" s="114">
        <f>SUMIFS('01. KE30'!$I:$I,'01. KE30'!$C:$C,'06. BC BH THEO CUSTOMER-USD'!$D153,'01. KE30'!$F:$F,'06. BC BH THEO CUSTOMER-USD'!$H153,'01. KE30'!$A:$A,'06. BC BH THEO CUSTOMER-USD'!DC$4)/1000</f>
        <v>0</v>
      </c>
      <c r="DD153" s="114">
        <f>SUMIFS('01. KE30'!$I:$I,'01. KE30'!$C:$C,'06. BC BH THEO CUSTOMER-USD'!$D153,'01. KE30'!$F:$F,'06. BC BH THEO CUSTOMER-USD'!$H153,'01. KE30'!$A:$A,'06. BC BH THEO CUSTOMER-USD'!DD$4)/1000</f>
        <v>0</v>
      </c>
      <c r="DF153" s="112">
        <f t="shared" ref="DF153:DF156" si="1572">SUM(DG153:DR153)</f>
        <v>669.89159891598911</v>
      </c>
      <c r="DG153" s="54" t="str">
        <f t="shared" ref="DG153:DG156" si="1573">IFERROR(M153*CS153,"-")</f>
        <v>-</v>
      </c>
      <c r="DH153" s="54" t="str">
        <f t="shared" ref="DH153:DH156" si="1574">IFERROR(N153*CT153,"-")</f>
        <v>-</v>
      </c>
      <c r="DI153" s="54" t="str">
        <f t="shared" ref="DI153:DI156" si="1575">IFERROR(O153*CU153,"-")</f>
        <v>-</v>
      </c>
      <c r="DJ153" s="54">
        <f t="shared" ref="DJ153:DJ156" si="1576">IFERROR(P153*CV153,"-")</f>
        <v>669.89159891598911</v>
      </c>
      <c r="DK153" s="54" t="str">
        <f t="shared" ref="DK153:DK156" si="1577">IFERROR(Q153*CW153,"-")</f>
        <v>-</v>
      </c>
      <c r="DL153" s="54" t="str">
        <f t="shared" ref="DL153:DL156" si="1578">IFERROR(R153*CX153,"-")</f>
        <v>-</v>
      </c>
      <c r="DM153" s="54" t="str">
        <f t="shared" ref="DM153:DM156" si="1579">IFERROR(S153*CY153,"-")</f>
        <v>-</v>
      </c>
      <c r="DN153" s="54" t="str">
        <f t="shared" ref="DN153:DN156" si="1580">IFERROR(T153*CZ153,"-")</f>
        <v>-</v>
      </c>
      <c r="DO153" s="54" t="str">
        <f t="shared" ref="DO153:DO156" si="1581">IFERROR(U153*DA153,"-")</f>
        <v>-</v>
      </c>
      <c r="DP153" s="54" t="str">
        <f t="shared" ref="DP153:DP156" si="1582">IFERROR(V153*DB153,"-")</f>
        <v>-</v>
      </c>
      <c r="DQ153" s="54" t="str">
        <f t="shared" ref="DQ153:DQ156" si="1583">IFERROR(W153*DC153,"-")</f>
        <v>-</v>
      </c>
      <c r="DR153" s="54" t="str">
        <f t="shared" ref="DR153:DR156" si="1584">IFERROR(X153*DD153,"-")</f>
        <v>-</v>
      </c>
      <c r="DT153" s="112">
        <f t="shared" ref="DT153:DT156" si="1585">SUM(DU153:EF153)</f>
        <v>122.97278358497863</v>
      </c>
      <c r="DU153" s="114">
        <f>IFERROR(SUMIFS('01. KE30'!$X:$X,'01. KE30'!$C:$C,'06. BC BH THEO CUSTOMER-USD'!$D153,'01. KE30'!$F:$F,'06. BC BH THEO CUSTOMER-USD'!$H153,'01. KE30'!$A:$A,'06. BC BH THEO CUSTOMER-USD'!DU$4)-SUMIFS('01. KE30'!$AA:$AA,'01. KE30'!$C:$C,'06. BC BH THEO CUSTOMER-USD'!$D153,'01. KE30'!$F:$F,'06. BC BH THEO CUSTOMER-USD'!$H153,'01. KE30'!$A:$A,'06. BC BH THEO CUSTOMER-USD'!DU$4),"-")</f>
        <v>0</v>
      </c>
      <c r="DV153" s="114">
        <f>IFERROR(SUMIFS('01. KE30'!$X:$X,'01. KE30'!$C:$C,'06. BC BH THEO CUSTOMER-USD'!$D153,'01. KE30'!$F:$F,'06. BC BH THEO CUSTOMER-USD'!$H153,'01. KE30'!$A:$A,'06. BC BH THEO CUSTOMER-USD'!DV$4)-SUMIFS('01. KE30'!$AA:$AA,'01. KE30'!$C:$C,'06. BC BH THEO CUSTOMER-USD'!$D153,'01. KE30'!$F:$F,'06. BC BH THEO CUSTOMER-USD'!$H153,'01. KE30'!$A:$A,'06. BC BH THEO CUSTOMER-USD'!DV$4),"-")</f>
        <v>0</v>
      </c>
      <c r="DW153" s="114">
        <f>IFERROR(SUMIFS('01. KE30'!$X:$X,'01. KE30'!$C:$C,'06. BC BH THEO CUSTOMER-USD'!$D153,'01. KE30'!$F:$F,'06. BC BH THEO CUSTOMER-USD'!$H153,'01. KE30'!$A:$A,'06. BC BH THEO CUSTOMER-USD'!DW$4)-SUMIFS('01. KE30'!$AA:$AA,'01. KE30'!$C:$C,'06. BC BH THEO CUSTOMER-USD'!$D153,'01. KE30'!$F:$F,'06. BC BH THEO CUSTOMER-USD'!$H153,'01. KE30'!$A:$A,'06. BC BH THEO CUSTOMER-USD'!DW$4),"-")</f>
        <v>0</v>
      </c>
      <c r="DX153" s="114">
        <f>IFERROR(SUMIFS('01. KE30'!$X:$X,'01. KE30'!$C:$C,'06. BC BH THEO CUSTOMER-USD'!$D153,'01. KE30'!$F:$F,'06. BC BH THEO CUSTOMER-USD'!$H153,'01. KE30'!$A:$A,'06. BC BH THEO CUSTOMER-USD'!DX$4)-SUMIFS('01. KE30'!$AA:$AA,'01. KE30'!$C:$C,'06. BC BH THEO CUSTOMER-USD'!$D153,'01. KE30'!$F:$F,'06. BC BH THEO CUSTOMER-USD'!$H153,'01. KE30'!$A:$A,'06. BC BH THEO CUSTOMER-USD'!DX$4),"-")</f>
        <v>122.97278358497863</v>
      </c>
      <c r="DY153" s="114">
        <f>IFERROR(SUMIFS('01. KE30'!$X:$X,'01. KE30'!$C:$C,'06. BC BH THEO CUSTOMER-USD'!$D153,'01. KE30'!$F:$F,'06. BC BH THEO CUSTOMER-USD'!$H153,'01. KE30'!$A:$A,'06. BC BH THEO CUSTOMER-USD'!DY$4)-SUMIFS('01. KE30'!$AA:$AA,'01. KE30'!$C:$C,'06. BC BH THEO CUSTOMER-USD'!$D153,'01. KE30'!$F:$F,'06. BC BH THEO CUSTOMER-USD'!$H153,'01. KE30'!$A:$A,'06. BC BH THEO CUSTOMER-USD'!DY$4),"-")</f>
        <v>0</v>
      </c>
      <c r="DZ153" s="114">
        <f>IFERROR(SUMIFS('01. KE30'!$X:$X,'01. KE30'!$C:$C,'06. BC BH THEO CUSTOMER-USD'!$D153,'01. KE30'!$F:$F,'06. BC BH THEO CUSTOMER-USD'!$H153,'01. KE30'!$A:$A,'06. BC BH THEO CUSTOMER-USD'!DZ$4)-SUMIFS('01. KE30'!$AA:$AA,'01. KE30'!$C:$C,'06. BC BH THEO CUSTOMER-USD'!$D153,'01. KE30'!$F:$F,'06. BC BH THEO CUSTOMER-USD'!$H153,'01. KE30'!$A:$A,'06. BC BH THEO CUSTOMER-USD'!DZ$4),"-")</f>
        <v>0</v>
      </c>
      <c r="EA153" s="114">
        <f>IFERROR(SUMIFS('01. KE30'!$X:$X,'01. KE30'!$C:$C,'06. BC BH THEO CUSTOMER-USD'!$D153,'01. KE30'!$F:$F,'06. BC BH THEO CUSTOMER-USD'!$H153,'01. KE30'!$A:$A,'06. BC BH THEO CUSTOMER-USD'!EA$4)-SUMIFS('01. KE30'!$AA:$AA,'01. KE30'!$C:$C,'06. BC BH THEO CUSTOMER-USD'!$D153,'01. KE30'!$F:$F,'06. BC BH THEO CUSTOMER-USD'!$H153,'01. KE30'!$A:$A,'06. BC BH THEO CUSTOMER-USD'!EA$4),"-")</f>
        <v>0</v>
      </c>
      <c r="EB153" s="114">
        <f>IFERROR(SUMIFS('01. KE30'!$X:$X,'01. KE30'!$C:$C,'06. BC BH THEO CUSTOMER-USD'!$D153,'01. KE30'!$F:$F,'06. BC BH THEO CUSTOMER-USD'!$H153,'01. KE30'!$A:$A,'06. BC BH THEO CUSTOMER-USD'!EB$4)-SUMIFS('01. KE30'!$AA:$AA,'01. KE30'!$C:$C,'06. BC BH THEO CUSTOMER-USD'!$D153,'01. KE30'!$F:$F,'06. BC BH THEO CUSTOMER-USD'!$H153,'01. KE30'!$A:$A,'06. BC BH THEO CUSTOMER-USD'!EB$4),"-")</f>
        <v>0</v>
      </c>
      <c r="EC153" s="114">
        <f>IFERROR(SUMIFS('01. KE30'!$X:$X,'01. KE30'!$C:$C,'06. BC BH THEO CUSTOMER-USD'!$D153,'01. KE30'!$F:$F,'06. BC BH THEO CUSTOMER-USD'!$H153,'01. KE30'!$A:$A,'06. BC BH THEO CUSTOMER-USD'!EC$4)-SUMIFS('01. KE30'!$AA:$AA,'01. KE30'!$C:$C,'06. BC BH THEO CUSTOMER-USD'!$D153,'01. KE30'!$F:$F,'06. BC BH THEO CUSTOMER-USD'!$H153,'01. KE30'!$A:$A,'06. BC BH THEO CUSTOMER-USD'!EC$4),"-")</f>
        <v>0</v>
      </c>
      <c r="ED153" s="114">
        <f>IFERROR(SUMIFS('01. KE30'!$X:$X,'01. KE30'!$C:$C,'06. BC BH THEO CUSTOMER-USD'!$D153,'01. KE30'!$F:$F,'06. BC BH THEO CUSTOMER-USD'!$H153,'01. KE30'!$A:$A,'06. BC BH THEO CUSTOMER-USD'!ED$4)-SUMIFS('01. KE30'!$AA:$AA,'01. KE30'!$C:$C,'06. BC BH THEO CUSTOMER-USD'!$D153,'01. KE30'!$F:$F,'06. BC BH THEO CUSTOMER-USD'!$H153,'01. KE30'!$A:$A,'06. BC BH THEO CUSTOMER-USD'!ED$4),"-")</f>
        <v>0</v>
      </c>
      <c r="EE153" s="114">
        <f>IFERROR(SUMIFS('01. KE30'!$X:$X,'01. KE30'!$C:$C,'06. BC BH THEO CUSTOMER-USD'!$D153,'01. KE30'!$F:$F,'06. BC BH THEO CUSTOMER-USD'!$H153,'01. KE30'!$A:$A,'06. BC BH THEO CUSTOMER-USD'!EE$4)-SUMIFS('01. KE30'!$AA:$AA,'01. KE30'!$C:$C,'06. BC BH THEO CUSTOMER-USD'!$D153,'01. KE30'!$F:$F,'06. BC BH THEO CUSTOMER-USD'!$H153,'01. KE30'!$A:$A,'06. BC BH THEO CUSTOMER-USD'!EE$4),"-")</f>
        <v>0</v>
      </c>
      <c r="EF153" s="114">
        <f>IFERROR(SUMIFS('01. KE30'!$X:$X,'01. KE30'!$C:$C,'06. BC BH THEO CUSTOMER-USD'!$D153,'01. KE30'!$F:$F,'06. BC BH THEO CUSTOMER-USD'!$H153,'01. KE30'!$A:$A,'06. BC BH THEO CUSTOMER-USD'!EF$4)-SUMIFS('01. KE30'!$AA:$AA,'01. KE30'!$C:$C,'06. BC BH THEO CUSTOMER-USD'!$D153,'01. KE30'!$F:$F,'06. BC BH THEO CUSTOMER-USD'!$H153,'01. KE30'!$A:$A,'06. BC BH THEO CUSTOMER-USD'!EF$4),"-")</f>
        <v>0</v>
      </c>
      <c r="EH153" s="571">
        <f t="shared" ref="EH153:EH156" si="1586">IFERROR(DT153/DF153,"-")</f>
        <v>0.18357116850542951</v>
      </c>
      <c r="EI153" s="572" t="str">
        <f t="shared" ref="EI153:EI156" si="1587">IFERROR(DU153/DG153,"-")</f>
        <v>-</v>
      </c>
      <c r="EJ153" s="572" t="str">
        <f t="shared" ref="EJ153:EJ156" si="1588">IFERROR(DV153/DH153,"-")</f>
        <v>-</v>
      </c>
      <c r="EK153" s="572" t="str">
        <f t="shared" ref="EK153:EK156" si="1589">IFERROR(DW153/DI153,"-")</f>
        <v>-</v>
      </c>
      <c r="EL153" s="572">
        <f t="shared" ref="EL153:EL156" si="1590">IFERROR(DX153/DJ153,"-")</f>
        <v>0.18357116850542951</v>
      </c>
      <c r="EM153" s="572" t="str">
        <f t="shared" ref="EM153:EM156" si="1591">IFERROR(DY153/DK153,"-")</f>
        <v>-</v>
      </c>
      <c r="EN153" s="572" t="str">
        <f t="shared" ref="EN153:EN156" si="1592">IFERROR(DZ153/DL153,"-")</f>
        <v>-</v>
      </c>
      <c r="EO153" s="572" t="str">
        <f t="shared" ref="EO153:EO156" si="1593">IFERROR(EA153/DM153,"-")</f>
        <v>-</v>
      </c>
      <c r="EP153" s="572" t="str">
        <f t="shared" ref="EP153:EP156" si="1594">IFERROR(EB153/DN153,"-")</f>
        <v>-</v>
      </c>
      <c r="EQ153" s="572" t="str">
        <f t="shared" ref="EQ153:EQ156" si="1595">IFERROR(EC153/DO153,"-")</f>
        <v>-</v>
      </c>
      <c r="ER153" s="572" t="str">
        <f t="shared" ref="ER153:ER156" si="1596">IFERROR(ED153/DP153,"-")</f>
        <v>-</v>
      </c>
      <c r="ES153" s="572" t="str">
        <f t="shared" ref="ES153:ES156" si="1597">IFERROR(EE153/DQ153,"-")</f>
        <v>-</v>
      </c>
      <c r="ET153" s="572" t="str">
        <f t="shared" ref="ET153:ET156" si="1598">IFERROR(EF153/DR153,"-")</f>
        <v>-</v>
      </c>
    </row>
    <row r="154" spans="1:150" ht="15.5" hidden="1" outlineLevel="1" x14ac:dyDescent="0.35">
      <c r="A154" s="10">
        <f>A152+1</f>
        <v>24</v>
      </c>
      <c r="B154" s="10" t="s">
        <v>265</v>
      </c>
      <c r="C154" s="442" t="s">
        <v>489</v>
      </c>
      <c r="D154" s="9" t="s">
        <v>963</v>
      </c>
      <c r="E154" s="12" t="s">
        <v>964</v>
      </c>
      <c r="F154" s="12" t="s">
        <v>245</v>
      </c>
      <c r="G154" s="12" t="str">
        <f>_xlfn.XLOOKUP(F154,'Quy đổi'!$G$5:$G$32,'Quy đổi'!$H$5:$H$32,0)</f>
        <v>Nội địa</v>
      </c>
      <c r="H154" s="76" t="s">
        <v>52</v>
      </c>
      <c r="I154" s="7" t="s">
        <v>51</v>
      </c>
      <c r="J154" s="69" t="s">
        <v>22</v>
      </c>
      <c r="K154" s="11"/>
      <c r="L154" s="92">
        <f t="shared" ref="L154" si="1599">IFERROR(AVERAGE(M154:X154),"-")</f>
        <v>691.50979638878221</v>
      </c>
      <c r="M154" s="106" t="str">
        <f>IFERROR(SUMIFS('01. KE30'!$K:$K,'01. KE30'!$C:$C,'06. BC BH THEO CUSTOMER-USD'!$D154,'01. KE30'!$F:$F,'06. BC BH THEO CUSTOMER-USD'!$H154,'01. KE30'!$A:$A,'06. BC BH THEO CUSTOMER-USD'!M$4)/'06. BC BH THEO CUSTOMER-USD'!CS154/'02. Tỷ giá'!B$5,"-")</f>
        <v>-</v>
      </c>
      <c r="N154" s="106" t="str">
        <f>IFERROR(SUMIFS('01. KE30'!$K:$K,'01. KE30'!$C:$C,'06. BC BH THEO CUSTOMER-USD'!$D154,'01. KE30'!$F:$F,'06. BC BH THEO CUSTOMER-USD'!$H154,'01. KE30'!$A:$A,'06. BC BH THEO CUSTOMER-USD'!N$4)/'06. BC BH THEO CUSTOMER-USD'!CT154/'02. Tỷ giá'!C$5,"-")</f>
        <v>-</v>
      </c>
      <c r="O154" s="106" t="str">
        <f>IFERROR(SUMIFS('01. KE30'!$K:$K,'01. KE30'!$C:$C,'06. BC BH THEO CUSTOMER-USD'!$D154,'01. KE30'!$F:$F,'06. BC BH THEO CUSTOMER-USD'!$H154,'01. KE30'!$A:$A,'06. BC BH THEO CUSTOMER-USD'!O$4)/'06. BC BH THEO CUSTOMER-USD'!CU154/'02. Tỷ giá'!D$5,"-")</f>
        <v>-</v>
      </c>
      <c r="P154" s="106" t="str">
        <f>IFERROR(SUMIFS('01. KE30'!$K:$K,'01. KE30'!$C:$C,'06. BC BH THEO CUSTOMER-USD'!$D154,'01. KE30'!$F:$F,'06. BC BH THEO CUSTOMER-USD'!$H154,'01. KE30'!$A:$A,'06. BC BH THEO CUSTOMER-USD'!P$4)/'06. BC BH THEO CUSTOMER-USD'!CV154/'02. Tỷ giá'!E$5,"-")</f>
        <v>-</v>
      </c>
      <c r="Q154" s="106" t="str">
        <f>IFERROR(SUMIFS('01. KE30'!$K:$K,'01. KE30'!$C:$C,'06. BC BH THEO CUSTOMER-USD'!$D154,'01. KE30'!$F:$F,'06. BC BH THEO CUSTOMER-USD'!$H154,'01. KE30'!$A:$A,'06. BC BH THEO CUSTOMER-USD'!Q$4)/'06. BC BH THEO CUSTOMER-USD'!CW154/'02. Tỷ giá'!F$5,"-")</f>
        <v>-</v>
      </c>
      <c r="R154" s="106" t="str">
        <f>IFERROR(SUMIFS('01. KE30'!$K:$K,'01. KE30'!$C:$C,'06. BC BH THEO CUSTOMER-USD'!$D154,'01. KE30'!$F:$F,'06. BC BH THEO CUSTOMER-USD'!$H154,'01. KE30'!$A:$A,'06. BC BH THEO CUSTOMER-USD'!R$4)/'06. BC BH THEO CUSTOMER-USD'!CX154/'02. Tỷ giá'!G$5,"-")</f>
        <v>-</v>
      </c>
      <c r="S154" s="106">
        <f>IFERROR(SUMIFS('01. KE30'!$K:$K,'01. KE30'!$C:$C,'06. BC BH THEO CUSTOMER-USD'!$D154,'01. KE30'!$F:$F,'06. BC BH THEO CUSTOMER-USD'!$H154,'01. KE30'!$A:$A,'06. BC BH THEO CUSTOMER-USD'!S$4)/'06. BC BH THEO CUSTOMER-USD'!CY154/'02. Tỷ giá'!H$5,"-")</f>
        <v>691.50979638878221</v>
      </c>
      <c r="T154" s="106" t="str">
        <f>IFERROR(SUMIFS('01. KE30'!$K:$K,'01. KE30'!$C:$C,'06. BC BH THEO CUSTOMER-USD'!$D154,'01. KE30'!$F:$F,'06. BC BH THEO CUSTOMER-USD'!$H154,'01. KE30'!$A:$A,'06. BC BH THEO CUSTOMER-USD'!T$4)/'06. BC BH THEO CUSTOMER-USD'!CZ154/'02. Tỷ giá'!I$5,"-")</f>
        <v>-</v>
      </c>
      <c r="U154" s="106" t="str">
        <f>IFERROR(SUMIFS('01. KE30'!$K:$K,'01. KE30'!$C:$C,'06. BC BH THEO CUSTOMER-USD'!$D154,'01. KE30'!$F:$F,'06. BC BH THEO CUSTOMER-USD'!$H154,'01. KE30'!$A:$A,'06. BC BH THEO CUSTOMER-USD'!U$4)/'06. BC BH THEO CUSTOMER-USD'!DA154/'02. Tỷ giá'!J$5,"-")</f>
        <v>-</v>
      </c>
      <c r="V154" s="106" t="str">
        <f>IFERROR(SUMIFS('01. KE30'!$K:$K,'01. KE30'!$C:$C,'06. BC BH THEO CUSTOMER-USD'!$D154,'01. KE30'!$F:$F,'06. BC BH THEO CUSTOMER-USD'!$H154,'01. KE30'!$A:$A,'06. BC BH THEO CUSTOMER-USD'!V$4)/'06. BC BH THEO CUSTOMER-USD'!DB154/'02. Tỷ giá'!K$5,"-")</f>
        <v>-</v>
      </c>
      <c r="W154" s="106" t="str">
        <f>IFERROR(SUMIFS('01. KE30'!$K:$K,'01. KE30'!$C:$C,'06. BC BH THEO CUSTOMER-USD'!$D154,'01. KE30'!$F:$F,'06. BC BH THEO CUSTOMER-USD'!$H154,'01. KE30'!$A:$A,'06. BC BH THEO CUSTOMER-USD'!W$4)/'06. BC BH THEO CUSTOMER-USD'!DC154/'02. Tỷ giá'!L$5,"-")</f>
        <v>-</v>
      </c>
      <c r="X154" s="106" t="str">
        <f>IFERROR(SUMIFS('01. KE30'!$K:$K,'01. KE30'!$C:$C,'06. BC BH THEO CUSTOMER-USD'!$D154,'01. KE30'!$F:$F,'06. BC BH THEO CUSTOMER-USD'!$H154,'01. KE30'!$A:$A,'06. BC BH THEO CUSTOMER-USD'!X$4)/'06. BC BH THEO CUSTOMER-USD'!DD154/'02. Tỷ giá'!M$5,"-")</f>
        <v>-</v>
      </c>
      <c r="Z154" s="92">
        <f t="shared" ref="Z154" si="1600">IFERROR(AVERAGE(AA154:AL154),"-")</f>
        <v>691.50979638878221</v>
      </c>
      <c r="AA154" s="147" t="str">
        <f>IFERROR(SUMIFS('01. KE30'!$O:$O,'01. KE30'!$C:$C,'06. BC BH THEO CUSTOMER-USD'!$D154,'01. KE30'!$F:$F,'06. BC BH THEO CUSTOMER-USD'!$H154,'01. KE30'!$A:$A,'06. BC BH THEO CUSTOMER-USD'!M$4)/'06. BC BH THEO CUSTOMER-USD'!CS154/'02. Tỷ giá'!B$5,"-")</f>
        <v>-</v>
      </c>
      <c r="AB154" s="147" t="str">
        <f>IFERROR(SUMIFS('01. KE30'!$O:$O,'01. KE30'!$C:$C,'06. BC BH THEO CUSTOMER-USD'!$D154,'01. KE30'!$F:$F,'06. BC BH THEO CUSTOMER-USD'!$H154,'01. KE30'!$A:$A,'06. BC BH THEO CUSTOMER-USD'!N$4)/'06. BC BH THEO CUSTOMER-USD'!CT154/'02. Tỷ giá'!C$5,"-")</f>
        <v>-</v>
      </c>
      <c r="AC154" s="147" t="str">
        <f>IFERROR(SUMIFS('01. KE30'!$O:$O,'01. KE30'!$C:$C,'06. BC BH THEO CUSTOMER-USD'!$D154,'01. KE30'!$F:$F,'06. BC BH THEO CUSTOMER-USD'!$H154,'01. KE30'!$A:$A,'06. BC BH THEO CUSTOMER-USD'!O$4)/'06. BC BH THEO CUSTOMER-USD'!CU154/'02. Tỷ giá'!D$5,"-")</f>
        <v>-</v>
      </c>
      <c r="AD154" s="147" t="str">
        <f>IFERROR(SUMIFS('01. KE30'!$O:$O,'01. KE30'!$C:$C,'06. BC BH THEO CUSTOMER-USD'!$D154,'01. KE30'!$F:$F,'06. BC BH THEO CUSTOMER-USD'!$H154,'01. KE30'!$A:$A,'06. BC BH THEO CUSTOMER-USD'!P$4)/'06. BC BH THEO CUSTOMER-USD'!CV154/'02. Tỷ giá'!E$5,"-")</f>
        <v>-</v>
      </c>
      <c r="AE154" s="147" t="str">
        <f>IFERROR(SUMIFS('01. KE30'!$O:$O,'01. KE30'!$C:$C,'06. BC BH THEO CUSTOMER-USD'!$D154,'01. KE30'!$F:$F,'06. BC BH THEO CUSTOMER-USD'!$H154,'01. KE30'!$A:$A,'06. BC BH THEO CUSTOMER-USD'!Q$4)/'06. BC BH THEO CUSTOMER-USD'!CW154/'02. Tỷ giá'!F$5,"-")</f>
        <v>-</v>
      </c>
      <c r="AF154" s="147" t="str">
        <f>IFERROR(SUMIFS('01. KE30'!$O:$O,'01. KE30'!$C:$C,'06. BC BH THEO CUSTOMER-USD'!$D154,'01. KE30'!$F:$F,'06. BC BH THEO CUSTOMER-USD'!$H154,'01. KE30'!$A:$A,'06. BC BH THEO CUSTOMER-USD'!R$4)/'06. BC BH THEO CUSTOMER-USD'!CX154/'02. Tỷ giá'!G$5,"-")</f>
        <v>-</v>
      </c>
      <c r="AG154" s="147">
        <f>IFERROR(SUMIFS('01. KE30'!$O:$O,'01. KE30'!$C:$C,'06. BC BH THEO CUSTOMER-USD'!$D154,'01. KE30'!$F:$F,'06. BC BH THEO CUSTOMER-USD'!$H154,'01. KE30'!$A:$A,'06. BC BH THEO CUSTOMER-USD'!S$4)/'06. BC BH THEO CUSTOMER-USD'!CY154/'02. Tỷ giá'!H$5,"-")</f>
        <v>691.50979638878221</v>
      </c>
      <c r="AH154" s="147" t="str">
        <f>IFERROR(SUMIFS('01. KE30'!$O:$O,'01. KE30'!$C:$C,'06. BC BH THEO CUSTOMER-USD'!$D154,'01. KE30'!$F:$F,'06. BC BH THEO CUSTOMER-USD'!$H154,'01. KE30'!$A:$A,'06. BC BH THEO CUSTOMER-USD'!T$4)/'06. BC BH THEO CUSTOMER-USD'!CZ154/'02. Tỷ giá'!I$5,"-")</f>
        <v>-</v>
      </c>
      <c r="AI154" s="147" t="str">
        <f>IFERROR(SUMIFS('01. KE30'!$O:$O,'01. KE30'!$C:$C,'06. BC BH THEO CUSTOMER-USD'!$D154,'01. KE30'!$F:$F,'06. BC BH THEO CUSTOMER-USD'!$H154,'01. KE30'!$A:$A,'06. BC BH THEO CUSTOMER-USD'!U$4)/'06. BC BH THEO CUSTOMER-USD'!DA154/'02. Tỷ giá'!J$5,"-")</f>
        <v>-</v>
      </c>
      <c r="AJ154" s="147" t="str">
        <f>IFERROR(SUMIFS('01. KE30'!$O:$O,'01. KE30'!$C:$C,'06. BC BH THEO CUSTOMER-USD'!$D154,'01. KE30'!$F:$F,'06. BC BH THEO CUSTOMER-USD'!$H154,'01. KE30'!$A:$A,'06. BC BH THEO CUSTOMER-USD'!V$4)/'06. BC BH THEO CUSTOMER-USD'!DB154/'02. Tỷ giá'!K$5,"-")</f>
        <v>-</v>
      </c>
      <c r="AK154" s="147" t="str">
        <f>IFERROR(SUMIFS('01. KE30'!$O:$O,'01. KE30'!$C:$C,'06. BC BH THEO CUSTOMER-USD'!$D154,'01. KE30'!$F:$F,'06. BC BH THEO CUSTOMER-USD'!$H154,'01. KE30'!$A:$A,'06. BC BH THEO CUSTOMER-USD'!W$4)/'06. BC BH THEO CUSTOMER-USD'!DC154/'02. Tỷ giá'!L$5,"-")</f>
        <v>-</v>
      </c>
      <c r="AL154" s="147" t="str">
        <f>IFERROR(SUMIFS('01. KE30'!$O:$O,'01. KE30'!$C:$C,'06. BC BH THEO CUSTOMER-USD'!$D154,'01. KE30'!$F:$F,'06. BC BH THEO CUSTOMER-USD'!$H154,'01. KE30'!$A:$A,'06. BC BH THEO CUSTOMER-USD'!X$4)/'06. BC BH THEO CUSTOMER-USD'!DD154/'02. Tỷ giá'!M$5,"-")</f>
        <v>-</v>
      </c>
      <c r="AN154" s="55">
        <f t="shared" ref="AN154" si="1601">IFERROR(AVERAGE(AO154:AZ154),"-")</f>
        <v>943.33333333333337</v>
      </c>
      <c r="AO154" s="4">
        <v>950</v>
      </c>
      <c r="AP154" s="4">
        <v>950</v>
      </c>
      <c r="AQ154" s="4">
        <v>950</v>
      </c>
      <c r="AR154" s="4">
        <v>950</v>
      </c>
      <c r="AS154" s="4">
        <v>950</v>
      </c>
      <c r="AT154" s="4">
        <v>950</v>
      </c>
      <c r="AU154" s="4">
        <v>950</v>
      </c>
      <c r="AV154" s="4">
        <f t="shared" si="1272"/>
        <v>930</v>
      </c>
      <c r="AW154" s="4">
        <v>910</v>
      </c>
      <c r="AX154" s="4"/>
      <c r="AY154" s="4"/>
      <c r="AZ154" s="4"/>
      <c r="BB154" s="54">
        <f t="shared" ref="BB154" si="1602">IF(L154&lt;&gt;"-",Z154-AN154,"-")</f>
        <v>-251.82353694455117</v>
      </c>
      <c r="BC154" s="95" t="str">
        <f t="shared" ref="BC154" si="1603">IF(M154&lt;&gt;"-",AA154-AO154,"-")</f>
        <v>-</v>
      </c>
      <c r="BD154" s="95" t="str">
        <f t="shared" ref="BD154" si="1604">IF(N154&lt;&gt;"-",AB154-AP154,"-")</f>
        <v>-</v>
      </c>
      <c r="BE154" s="95" t="str">
        <f t="shared" ref="BE154" si="1605">IF(O154&lt;&gt;"-",AC154-AQ154,"-")</f>
        <v>-</v>
      </c>
      <c r="BF154" s="95" t="str">
        <f t="shared" ref="BF154" si="1606">IF(P154&lt;&gt;"-",AD154-AR154,"-")</f>
        <v>-</v>
      </c>
      <c r="BG154" s="95" t="str">
        <f t="shared" ref="BG154" si="1607">IF(Q154&lt;&gt;"-",AE154-AS154,"-")</f>
        <v>-</v>
      </c>
      <c r="BH154" s="95" t="str">
        <f t="shared" ref="BH154" si="1608">IF(R154&lt;&gt;"-",AF154-AT154,"-")</f>
        <v>-</v>
      </c>
      <c r="BI154" s="95">
        <f t="shared" ref="BI154" si="1609">IF(S154&lt;&gt;"-",AG154-AU154,"-")</f>
        <v>-258.49020361121779</v>
      </c>
      <c r="BJ154" s="95" t="str">
        <f t="shared" ref="BJ154" si="1610">IF(T154&lt;&gt;"-",AH154-AV154,"-")</f>
        <v>-</v>
      </c>
      <c r="BK154" s="95" t="str">
        <f t="shared" ref="BK154" si="1611">IF(U154&lt;&gt;"-",AI154-AW154,"-")</f>
        <v>-</v>
      </c>
      <c r="BL154" s="95" t="str">
        <f t="shared" ref="BL154" si="1612">IF(V154&lt;&gt;"-",AJ154-AX154,"-")</f>
        <v>-</v>
      </c>
      <c r="BM154" s="95" t="str">
        <f t="shared" ref="BM154" si="1613">IF(W154&lt;&gt;"-",AK154-AY154,"-")</f>
        <v>-</v>
      </c>
      <c r="BN154" s="95" t="str">
        <f t="shared" ref="BN154" si="1614">IF(X154&lt;&gt;"-",AL154-AZ154,"-")</f>
        <v>-</v>
      </c>
      <c r="BP154" s="143">
        <f t="shared" ref="BP154" si="1615">IFERROR(IF(BB154&lt;&gt;"-",BB154/AN154,"-"),"-")</f>
        <v>-0.26695074587761608</v>
      </c>
      <c r="BQ154" s="143" t="str">
        <f t="shared" ref="BQ154" si="1616">IFERROR(IF(BC154&lt;&gt;"-",BC154/AO154,"-"),"-")</f>
        <v>-</v>
      </c>
      <c r="BR154" s="143" t="str">
        <f t="shared" ref="BR154" si="1617">IFERROR(IF(BD154&lt;&gt;"-",BD154/AP154,"-"),"-")</f>
        <v>-</v>
      </c>
      <c r="BS154" s="143" t="str">
        <f t="shared" ref="BS154" si="1618">IFERROR(IF(BE154&lt;&gt;"-",BE154/AQ154,"-"),"-")</f>
        <v>-</v>
      </c>
      <c r="BT154" s="143" t="str">
        <f t="shared" ref="BT154" si="1619">IFERROR(IF(BF154&lt;&gt;"-",BF154/AR154,"-"),"-")</f>
        <v>-</v>
      </c>
      <c r="BU154" s="143" t="str">
        <f t="shared" ref="BU154" si="1620">IFERROR(IF(BG154&lt;&gt;"-",BG154/AS154,"-"),"-")</f>
        <v>-</v>
      </c>
      <c r="BV154" s="143" t="str">
        <f t="shared" ref="BV154" si="1621">IFERROR(IF(BH154&lt;&gt;"-",BH154/AT154,"-"),"-")</f>
        <v>-</v>
      </c>
      <c r="BW154" s="143">
        <f t="shared" ref="BW154" si="1622">IFERROR(IF(BI154&lt;&gt;"-",BI154/AU154,"-"),"-")</f>
        <v>-0.27209495116970295</v>
      </c>
      <c r="BX154" s="143" t="str">
        <f t="shared" ref="BX154" si="1623">IFERROR(IF(BJ154&lt;&gt;"-",BJ154/AV154,"-"),"-")</f>
        <v>-</v>
      </c>
      <c r="BY154" s="143" t="str">
        <f t="shared" ref="BY154" si="1624">IFERROR(IF(BK154&lt;&gt;"-",BK154/AW154,"-"),"-")</f>
        <v>-</v>
      </c>
      <c r="BZ154" s="143" t="str">
        <f t="shared" ref="BZ154" si="1625">IFERROR(IF(BL154&lt;&gt;"-",BL154/AX154,"-"),"-")</f>
        <v>-</v>
      </c>
      <c r="CA154" s="143" t="str">
        <f t="shared" ref="CA154" si="1626">IFERROR(IF(BM154&lt;&gt;"-",BM154/AY154,"-"),"-")</f>
        <v>-</v>
      </c>
      <c r="CB154" s="143" t="str">
        <f t="shared" ref="CB154" si="1627">IFERROR(IF(BN154&lt;&gt;"-",BN154/AZ154,"-"),"-")</f>
        <v>-</v>
      </c>
      <c r="CD154" s="112">
        <f t="shared" ref="CD154" si="1628">IFERROR(AVERAGE(CE154:CP154),"-")</f>
        <v>823.97295428351902</v>
      </c>
      <c r="CE154" s="95" t="str">
        <f>IFERROR(SUMIFS('01. KE30'!$R:$R,'01. KE30'!$C:$C,'06. BC BH THEO CUSTOMER-USD'!$D154,'01. KE30'!$F:$F,'06. BC BH THEO CUSTOMER-USD'!$H154,'01. KE30'!$A:$A,'06. BC BH THEO CUSTOMER-USD'!CE$4)/CS154/'02. Tỷ giá'!B$5," -")</f>
        <v xml:space="preserve"> -</v>
      </c>
      <c r="CF154" s="95" t="str">
        <f>IFERROR(SUMIFS('01. KE30'!$R:$R,'01. KE30'!$C:$C,'06. BC BH THEO CUSTOMER-USD'!$D154,'01. KE30'!$F:$F,'06. BC BH THEO CUSTOMER-USD'!$H154,'01. KE30'!$A:$A,'06. BC BH THEO CUSTOMER-USD'!CF$4)/CT154/'02. Tỷ giá'!C$5," -")</f>
        <v xml:space="preserve"> -</v>
      </c>
      <c r="CG154" s="95" t="str">
        <f>IFERROR(SUMIFS('01. KE30'!$R:$R,'01. KE30'!$C:$C,'06. BC BH THEO CUSTOMER-USD'!$D154,'01. KE30'!$F:$F,'06. BC BH THEO CUSTOMER-USD'!$H154,'01. KE30'!$A:$A,'06. BC BH THEO CUSTOMER-USD'!CG$4)/CU154/'02. Tỷ giá'!D$5," -")</f>
        <v xml:space="preserve"> -</v>
      </c>
      <c r="CH154" s="95" t="str">
        <f>IFERROR(SUMIFS('01. KE30'!$R:$R,'01. KE30'!$C:$C,'06. BC BH THEO CUSTOMER-USD'!$D154,'01. KE30'!$F:$F,'06. BC BH THEO CUSTOMER-USD'!$H154,'01. KE30'!$A:$A,'06. BC BH THEO CUSTOMER-USD'!CH$4)/CV154/'02. Tỷ giá'!E$5," -")</f>
        <v xml:space="preserve"> -</v>
      </c>
      <c r="CI154" s="95" t="str">
        <f>IFERROR(SUMIFS('01. KE30'!$R:$R,'01. KE30'!$C:$C,'06. BC BH THEO CUSTOMER-USD'!$D154,'01. KE30'!$F:$F,'06. BC BH THEO CUSTOMER-USD'!$H154,'01. KE30'!$A:$A,'06. BC BH THEO CUSTOMER-USD'!CI$4)/CW154/'02. Tỷ giá'!F$5," -")</f>
        <v xml:space="preserve"> -</v>
      </c>
      <c r="CJ154" s="95" t="str">
        <f>IFERROR(SUMIFS('01. KE30'!$R:$R,'01. KE30'!$C:$C,'06. BC BH THEO CUSTOMER-USD'!$D154,'01. KE30'!$F:$F,'06. BC BH THEO CUSTOMER-USD'!$H154,'01. KE30'!$A:$A,'06. BC BH THEO CUSTOMER-USD'!CJ$4)/CX154/'02. Tỷ giá'!G$5," -")</f>
        <v xml:space="preserve"> -</v>
      </c>
      <c r="CK154" s="95">
        <f>IFERROR(SUMIFS('01. KE30'!$R:$R,'01. KE30'!$C:$C,'06. BC BH THEO CUSTOMER-USD'!$D154,'01. KE30'!$F:$F,'06. BC BH THEO CUSTOMER-USD'!$H154,'01. KE30'!$A:$A,'06. BC BH THEO CUSTOMER-USD'!CK$4)/CY154/'02. Tỷ giá'!H$5," -")</f>
        <v>823.97295428351902</v>
      </c>
      <c r="CL154" s="95" t="str">
        <f>IFERROR(SUMIFS('01. KE30'!$R:$R,'01. KE30'!$C:$C,'06. BC BH THEO CUSTOMER-USD'!$D154,'01. KE30'!$F:$F,'06. BC BH THEO CUSTOMER-USD'!$H154,'01. KE30'!$A:$A,'06. BC BH THEO CUSTOMER-USD'!CL$4)/CZ154/'02. Tỷ giá'!I$5," -")</f>
        <v xml:space="preserve"> -</v>
      </c>
      <c r="CM154" s="95" t="str">
        <f>IFERROR(SUMIFS('01. KE30'!$R:$R,'01. KE30'!$C:$C,'06. BC BH THEO CUSTOMER-USD'!$D154,'01. KE30'!$F:$F,'06. BC BH THEO CUSTOMER-USD'!$H154,'01. KE30'!$A:$A,'06. BC BH THEO CUSTOMER-USD'!CM$4)/DA154/'02. Tỷ giá'!J$5," -")</f>
        <v xml:space="preserve"> -</v>
      </c>
      <c r="CN154" s="95" t="str">
        <f>IFERROR(SUMIFS('01. KE30'!$R:$R,'01. KE30'!$C:$C,'06. BC BH THEO CUSTOMER-USD'!$D154,'01. KE30'!$F:$F,'06. BC BH THEO CUSTOMER-USD'!$H154,'01. KE30'!$A:$A,'06. BC BH THEO CUSTOMER-USD'!CN$4)/DB154/'02. Tỷ giá'!K$5," -")</f>
        <v xml:space="preserve"> -</v>
      </c>
      <c r="CO154" s="95" t="str">
        <f>IFERROR(SUMIFS('01. KE30'!$R:$R,'01. KE30'!$C:$C,'06. BC BH THEO CUSTOMER-USD'!$D154,'01. KE30'!$F:$F,'06. BC BH THEO CUSTOMER-USD'!$H154,'01. KE30'!$A:$A,'06. BC BH THEO CUSTOMER-USD'!CO$4)/DC154/'02. Tỷ giá'!L$5," -")</f>
        <v xml:space="preserve"> -</v>
      </c>
      <c r="CP154" s="95" t="str">
        <f>IFERROR(SUMIFS('01. KE30'!$R:$R,'01. KE30'!$C:$C,'06. BC BH THEO CUSTOMER-USD'!$D154,'01. KE30'!$F:$F,'06. BC BH THEO CUSTOMER-USD'!$H154,'01. KE30'!$A:$A,'06. BC BH THEO CUSTOMER-USD'!CP$4)/DD154/'02. Tỷ giá'!M$5," -")</f>
        <v xml:space="preserve"> -</v>
      </c>
      <c r="CR154" s="112">
        <f t="shared" ref="CR154" si="1629">SUM(CS154:DD154)</f>
        <v>1.375</v>
      </c>
      <c r="CS154" s="114">
        <f>SUMIFS('01. KE30'!$I:$I,'01. KE30'!$C:$C,'06. BC BH THEO CUSTOMER-USD'!$D154,'01. KE30'!$F:$F,'06. BC BH THEO CUSTOMER-USD'!$H154,'01. KE30'!$A:$A,'06. BC BH THEO CUSTOMER-USD'!CS$4)/1000</f>
        <v>0</v>
      </c>
      <c r="CT154" s="114">
        <f>SUMIFS('01. KE30'!$I:$I,'01. KE30'!$C:$C,'06. BC BH THEO CUSTOMER-USD'!$D154,'01. KE30'!$F:$F,'06. BC BH THEO CUSTOMER-USD'!$H154,'01. KE30'!$A:$A,'06. BC BH THEO CUSTOMER-USD'!CT$4)/1000</f>
        <v>0</v>
      </c>
      <c r="CU154" s="114">
        <f>SUMIFS('01. KE30'!$I:$I,'01. KE30'!$C:$C,'06. BC BH THEO CUSTOMER-USD'!$D154,'01. KE30'!$F:$F,'06. BC BH THEO CUSTOMER-USD'!$H154,'01. KE30'!$A:$A,'06. BC BH THEO CUSTOMER-USD'!CU$4)/1000</f>
        <v>0</v>
      </c>
      <c r="CV154" s="114">
        <f>SUMIFS('01. KE30'!$I:$I,'01. KE30'!$C:$C,'06. BC BH THEO CUSTOMER-USD'!$D154,'01. KE30'!$F:$F,'06. BC BH THEO CUSTOMER-USD'!$H154,'01. KE30'!$A:$A,'06. BC BH THEO CUSTOMER-USD'!CV$4)/1000</f>
        <v>0</v>
      </c>
      <c r="CW154" s="114">
        <f>SUMIFS('01. KE30'!$I:$I,'01. KE30'!$C:$C,'06. BC BH THEO CUSTOMER-USD'!$D154,'01. KE30'!$F:$F,'06. BC BH THEO CUSTOMER-USD'!$H154,'01. KE30'!$A:$A,'06. BC BH THEO CUSTOMER-USD'!CW$4)/1000</f>
        <v>0</v>
      </c>
      <c r="CX154" s="114">
        <f>SUMIFS('01. KE30'!$I:$I,'01. KE30'!$C:$C,'06. BC BH THEO CUSTOMER-USD'!$D154,'01. KE30'!$F:$F,'06. BC BH THEO CUSTOMER-USD'!$H154,'01. KE30'!$A:$A,'06. BC BH THEO CUSTOMER-USD'!CX$4)/1000</f>
        <v>0</v>
      </c>
      <c r="CY154" s="114">
        <f>SUMIFS('01. KE30'!$I:$I,'01. KE30'!$C:$C,'06. BC BH THEO CUSTOMER-USD'!$D154,'01. KE30'!$F:$F,'06. BC BH THEO CUSTOMER-USD'!$H154,'01. KE30'!$A:$A,'06. BC BH THEO CUSTOMER-USD'!CY$4)/1000</f>
        <v>1.375</v>
      </c>
      <c r="CZ154" s="114">
        <f>SUMIFS('01. KE30'!$I:$I,'01. KE30'!$C:$C,'06. BC BH THEO CUSTOMER-USD'!$D154,'01. KE30'!$F:$F,'06. BC BH THEO CUSTOMER-USD'!$H154,'01. KE30'!$A:$A,'06. BC BH THEO CUSTOMER-USD'!CZ$4)/1000</f>
        <v>0</v>
      </c>
      <c r="DA154" s="114">
        <f>SUMIFS('01. KE30'!$I:$I,'01. KE30'!$C:$C,'06. BC BH THEO CUSTOMER-USD'!$D154,'01. KE30'!$F:$F,'06. BC BH THEO CUSTOMER-USD'!$H154,'01. KE30'!$A:$A,'06. BC BH THEO CUSTOMER-USD'!DA$4)/1000</f>
        <v>0</v>
      </c>
      <c r="DB154" s="114">
        <f>SUMIFS('01. KE30'!$I:$I,'01. KE30'!$C:$C,'06. BC BH THEO CUSTOMER-USD'!$D154,'01. KE30'!$F:$F,'06. BC BH THEO CUSTOMER-USD'!$H154,'01. KE30'!$A:$A,'06. BC BH THEO CUSTOMER-USD'!DB$4)/1000</f>
        <v>0</v>
      </c>
      <c r="DC154" s="114">
        <f>SUMIFS('01. KE30'!$I:$I,'01. KE30'!$C:$C,'06. BC BH THEO CUSTOMER-USD'!$D154,'01. KE30'!$F:$F,'06. BC BH THEO CUSTOMER-USD'!$H154,'01. KE30'!$A:$A,'06. BC BH THEO CUSTOMER-USD'!DC$4)/1000</f>
        <v>0</v>
      </c>
      <c r="DD154" s="114">
        <f>SUMIFS('01. KE30'!$I:$I,'01. KE30'!$C:$C,'06. BC BH THEO CUSTOMER-USD'!$D154,'01. KE30'!$F:$F,'06. BC BH THEO CUSTOMER-USD'!$H154,'01. KE30'!$A:$A,'06. BC BH THEO CUSTOMER-USD'!DD$4)/1000</f>
        <v>0</v>
      </c>
      <c r="DF154" s="112">
        <f t="shared" ref="DF154" si="1630">SUM(DG154:DR154)</f>
        <v>950.82597003457556</v>
      </c>
      <c r="DG154" s="54" t="str">
        <f t="shared" ref="DG154" si="1631">IFERROR(M154*CS154,"-")</f>
        <v>-</v>
      </c>
      <c r="DH154" s="54" t="str">
        <f t="shared" ref="DH154" si="1632">IFERROR(N154*CT154,"-")</f>
        <v>-</v>
      </c>
      <c r="DI154" s="54" t="str">
        <f t="shared" ref="DI154" si="1633">IFERROR(O154*CU154,"-")</f>
        <v>-</v>
      </c>
      <c r="DJ154" s="54" t="str">
        <f t="shared" ref="DJ154" si="1634">IFERROR(P154*CV154,"-")</f>
        <v>-</v>
      </c>
      <c r="DK154" s="54" t="str">
        <f t="shared" ref="DK154" si="1635">IFERROR(Q154*CW154,"-")</f>
        <v>-</v>
      </c>
      <c r="DL154" s="54" t="str">
        <f t="shared" ref="DL154" si="1636">IFERROR(R154*CX154,"-")</f>
        <v>-</v>
      </c>
      <c r="DM154" s="54">
        <f t="shared" ref="DM154" si="1637">IFERROR(S154*CY154,"-")</f>
        <v>950.82597003457556</v>
      </c>
      <c r="DN154" s="54" t="str">
        <f t="shared" ref="DN154" si="1638">IFERROR(T154*CZ154,"-")</f>
        <v>-</v>
      </c>
      <c r="DO154" s="54" t="str">
        <f t="shared" ref="DO154" si="1639">IFERROR(U154*DA154,"-")</f>
        <v>-</v>
      </c>
      <c r="DP154" s="54" t="str">
        <f t="shared" ref="DP154" si="1640">IFERROR(V154*DB154,"-")</f>
        <v>-</v>
      </c>
      <c r="DQ154" s="54" t="str">
        <f t="shared" ref="DQ154" si="1641">IFERROR(W154*DC154,"-")</f>
        <v>-</v>
      </c>
      <c r="DR154" s="54" t="str">
        <f t="shared" ref="DR154" si="1642">IFERROR(X154*DD154,"-")</f>
        <v>-</v>
      </c>
      <c r="DT154" s="112">
        <f t="shared" ref="DT154" si="1643">SUM(DU154:EF154)</f>
        <v>-182.13684210526321</v>
      </c>
      <c r="DU154" s="114">
        <f>IFERROR(SUMIFS('01. KE30'!$X:$X,'01. KE30'!$C:$C,'06. BC BH THEO CUSTOMER-USD'!$D154,'01. KE30'!$F:$F,'06. BC BH THEO CUSTOMER-USD'!$H154,'01. KE30'!$A:$A,'06. BC BH THEO CUSTOMER-USD'!DU$4)-SUMIFS('01. KE30'!$AA:$AA,'01. KE30'!$C:$C,'06. BC BH THEO CUSTOMER-USD'!$D154,'01. KE30'!$F:$F,'06. BC BH THEO CUSTOMER-USD'!$H154,'01. KE30'!$A:$A,'06. BC BH THEO CUSTOMER-USD'!DU$4),"-")</f>
        <v>0</v>
      </c>
      <c r="DV154" s="114">
        <f>IFERROR(SUMIFS('01. KE30'!$X:$X,'01. KE30'!$C:$C,'06. BC BH THEO CUSTOMER-USD'!$D154,'01. KE30'!$F:$F,'06. BC BH THEO CUSTOMER-USD'!$H154,'01. KE30'!$A:$A,'06. BC BH THEO CUSTOMER-USD'!DV$4)-SUMIFS('01. KE30'!$AA:$AA,'01. KE30'!$C:$C,'06. BC BH THEO CUSTOMER-USD'!$D154,'01. KE30'!$F:$F,'06. BC BH THEO CUSTOMER-USD'!$H154,'01. KE30'!$A:$A,'06. BC BH THEO CUSTOMER-USD'!DV$4),"-")</f>
        <v>0</v>
      </c>
      <c r="DW154" s="114">
        <f>IFERROR(SUMIFS('01. KE30'!$X:$X,'01. KE30'!$C:$C,'06. BC BH THEO CUSTOMER-USD'!$D154,'01. KE30'!$F:$F,'06. BC BH THEO CUSTOMER-USD'!$H154,'01. KE30'!$A:$A,'06. BC BH THEO CUSTOMER-USD'!DW$4)-SUMIFS('01. KE30'!$AA:$AA,'01. KE30'!$C:$C,'06. BC BH THEO CUSTOMER-USD'!$D154,'01. KE30'!$F:$F,'06. BC BH THEO CUSTOMER-USD'!$H154,'01. KE30'!$A:$A,'06. BC BH THEO CUSTOMER-USD'!DW$4),"-")</f>
        <v>0</v>
      </c>
      <c r="DX154" s="114">
        <f>IFERROR(SUMIFS('01. KE30'!$X:$X,'01. KE30'!$C:$C,'06. BC BH THEO CUSTOMER-USD'!$D154,'01. KE30'!$F:$F,'06. BC BH THEO CUSTOMER-USD'!$H154,'01. KE30'!$A:$A,'06. BC BH THEO CUSTOMER-USD'!DX$4)-SUMIFS('01. KE30'!$AA:$AA,'01. KE30'!$C:$C,'06. BC BH THEO CUSTOMER-USD'!$D154,'01. KE30'!$F:$F,'06. BC BH THEO CUSTOMER-USD'!$H154,'01. KE30'!$A:$A,'06. BC BH THEO CUSTOMER-USD'!DX$4),"-")</f>
        <v>0</v>
      </c>
      <c r="DY154" s="114">
        <f>IFERROR(SUMIFS('01. KE30'!$X:$X,'01. KE30'!$C:$C,'06. BC BH THEO CUSTOMER-USD'!$D154,'01. KE30'!$F:$F,'06. BC BH THEO CUSTOMER-USD'!$H154,'01. KE30'!$A:$A,'06. BC BH THEO CUSTOMER-USD'!DY$4)-SUMIFS('01. KE30'!$AA:$AA,'01. KE30'!$C:$C,'06. BC BH THEO CUSTOMER-USD'!$D154,'01. KE30'!$F:$F,'06. BC BH THEO CUSTOMER-USD'!$H154,'01. KE30'!$A:$A,'06. BC BH THEO CUSTOMER-USD'!DY$4),"-")</f>
        <v>0</v>
      </c>
      <c r="DZ154" s="114">
        <f>IFERROR(SUMIFS('01. KE30'!$X:$X,'01. KE30'!$C:$C,'06. BC BH THEO CUSTOMER-USD'!$D154,'01. KE30'!$F:$F,'06. BC BH THEO CUSTOMER-USD'!$H154,'01. KE30'!$A:$A,'06. BC BH THEO CUSTOMER-USD'!DZ$4)-SUMIFS('01. KE30'!$AA:$AA,'01. KE30'!$C:$C,'06. BC BH THEO CUSTOMER-USD'!$D154,'01. KE30'!$F:$F,'06. BC BH THEO CUSTOMER-USD'!$H154,'01. KE30'!$A:$A,'06. BC BH THEO CUSTOMER-USD'!DZ$4),"-")</f>
        <v>0</v>
      </c>
      <c r="EA154" s="114">
        <f>IFERROR(SUMIFS('01. KE30'!$X:$X,'01. KE30'!$C:$C,'06. BC BH THEO CUSTOMER-USD'!$D154,'01. KE30'!$F:$F,'06. BC BH THEO CUSTOMER-USD'!$H154,'01. KE30'!$A:$A,'06. BC BH THEO CUSTOMER-USD'!EA$4)-SUMIFS('01. KE30'!$AA:$AA,'01. KE30'!$C:$C,'06. BC BH THEO CUSTOMER-USD'!$D154,'01. KE30'!$F:$F,'06. BC BH THEO CUSTOMER-USD'!$H154,'01. KE30'!$A:$A,'06. BC BH THEO CUSTOMER-USD'!EA$4),"-")</f>
        <v>-182.13684210526321</v>
      </c>
      <c r="EB154" s="114">
        <f>IFERROR(SUMIFS('01. KE30'!$X:$X,'01. KE30'!$C:$C,'06. BC BH THEO CUSTOMER-USD'!$D154,'01. KE30'!$F:$F,'06. BC BH THEO CUSTOMER-USD'!$H154,'01. KE30'!$A:$A,'06. BC BH THEO CUSTOMER-USD'!EB$4)-SUMIFS('01. KE30'!$AA:$AA,'01. KE30'!$C:$C,'06. BC BH THEO CUSTOMER-USD'!$D154,'01. KE30'!$F:$F,'06. BC BH THEO CUSTOMER-USD'!$H154,'01. KE30'!$A:$A,'06. BC BH THEO CUSTOMER-USD'!EB$4),"-")</f>
        <v>0</v>
      </c>
      <c r="EC154" s="114">
        <f>IFERROR(SUMIFS('01. KE30'!$X:$X,'01. KE30'!$C:$C,'06. BC BH THEO CUSTOMER-USD'!$D154,'01. KE30'!$F:$F,'06. BC BH THEO CUSTOMER-USD'!$H154,'01. KE30'!$A:$A,'06. BC BH THEO CUSTOMER-USD'!EC$4)-SUMIFS('01. KE30'!$AA:$AA,'01. KE30'!$C:$C,'06. BC BH THEO CUSTOMER-USD'!$D154,'01. KE30'!$F:$F,'06. BC BH THEO CUSTOMER-USD'!$H154,'01. KE30'!$A:$A,'06. BC BH THEO CUSTOMER-USD'!EC$4),"-")</f>
        <v>0</v>
      </c>
      <c r="ED154" s="114">
        <f>IFERROR(SUMIFS('01. KE30'!$X:$X,'01. KE30'!$C:$C,'06. BC BH THEO CUSTOMER-USD'!$D154,'01. KE30'!$F:$F,'06. BC BH THEO CUSTOMER-USD'!$H154,'01. KE30'!$A:$A,'06. BC BH THEO CUSTOMER-USD'!ED$4)-SUMIFS('01. KE30'!$AA:$AA,'01. KE30'!$C:$C,'06. BC BH THEO CUSTOMER-USD'!$D154,'01. KE30'!$F:$F,'06. BC BH THEO CUSTOMER-USD'!$H154,'01. KE30'!$A:$A,'06. BC BH THEO CUSTOMER-USD'!ED$4),"-")</f>
        <v>0</v>
      </c>
      <c r="EE154" s="114">
        <f>IFERROR(SUMIFS('01. KE30'!$X:$X,'01. KE30'!$C:$C,'06. BC BH THEO CUSTOMER-USD'!$D154,'01. KE30'!$F:$F,'06. BC BH THEO CUSTOMER-USD'!$H154,'01. KE30'!$A:$A,'06. BC BH THEO CUSTOMER-USD'!EE$4)-SUMIFS('01. KE30'!$AA:$AA,'01. KE30'!$C:$C,'06. BC BH THEO CUSTOMER-USD'!$D154,'01. KE30'!$F:$F,'06. BC BH THEO CUSTOMER-USD'!$H154,'01. KE30'!$A:$A,'06. BC BH THEO CUSTOMER-USD'!EE$4),"-")</f>
        <v>0</v>
      </c>
      <c r="EF154" s="114">
        <f>IFERROR(SUMIFS('01. KE30'!$X:$X,'01. KE30'!$C:$C,'06. BC BH THEO CUSTOMER-USD'!$D154,'01. KE30'!$F:$F,'06. BC BH THEO CUSTOMER-USD'!$H154,'01. KE30'!$A:$A,'06. BC BH THEO CUSTOMER-USD'!EF$4)-SUMIFS('01. KE30'!$AA:$AA,'01. KE30'!$C:$C,'06. BC BH THEO CUSTOMER-USD'!$D154,'01. KE30'!$F:$F,'06. BC BH THEO CUSTOMER-USD'!$H154,'01. KE30'!$A:$A,'06. BC BH THEO CUSTOMER-USD'!EF$4),"-")</f>
        <v>0</v>
      </c>
      <c r="EH154" s="571">
        <f t="shared" ref="EH154" si="1644">IFERROR(DT154/DF154,"-")</f>
        <v>-0.1915564444444445</v>
      </c>
      <c r="EI154" s="572" t="str">
        <f t="shared" ref="EI154" si="1645">IFERROR(DU154/DG154,"-")</f>
        <v>-</v>
      </c>
      <c r="EJ154" s="572" t="str">
        <f t="shared" ref="EJ154" si="1646">IFERROR(DV154/DH154,"-")</f>
        <v>-</v>
      </c>
      <c r="EK154" s="572" t="str">
        <f t="shared" ref="EK154" si="1647">IFERROR(DW154/DI154,"-")</f>
        <v>-</v>
      </c>
      <c r="EL154" s="572" t="str">
        <f t="shared" ref="EL154" si="1648">IFERROR(DX154/DJ154,"-")</f>
        <v>-</v>
      </c>
      <c r="EM154" s="572" t="str">
        <f t="shared" ref="EM154" si="1649">IFERROR(DY154/DK154,"-")</f>
        <v>-</v>
      </c>
      <c r="EN154" s="572" t="str">
        <f t="shared" ref="EN154" si="1650">IFERROR(DZ154/DL154,"-")</f>
        <v>-</v>
      </c>
      <c r="EO154" s="572">
        <f t="shared" ref="EO154" si="1651">IFERROR(EA154/DM154,"-")</f>
        <v>-0.1915564444444445</v>
      </c>
      <c r="EP154" s="572" t="str">
        <f t="shared" ref="EP154" si="1652">IFERROR(EB154/DN154,"-")</f>
        <v>-</v>
      </c>
      <c r="EQ154" s="572" t="str">
        <f t="shared" ref="EQ154" si="1653">IFERROR(EC154/DO154,"-")</f>
        <v>-</v>
      </c>
      <c r="ER154" s="572" t="str">
        <f t="shared" ref="ER154" si="1654">IFERROR(ED154/DP154,"-")</f>
        <v>-</v>
      </c>
      <c r="ES154" s="572" t="str">
        <f t="shared" ref="ES154" si="1655">IFERROR(EE154/DQ154,"-")</f>
        <v>-</v>
      </c>
      <c r="ET154" s="572" t="str">
        <f t="shared" ref="ET154" si="1656">IFERROR(EF154/DR154,"-")</f>
        <v>-</v>
      </c>
    </row>
    <row r="155" spans="1:150" ht="15.5" hidden="1" outlineLevel="1" x14ac:dyDescent="0.35">
      <c r="A155" s="10">
        <f>A153+1</f>
        <v>25</v>
      </c>
      <c r="B155" s="10" t="s">
        <v>265</v>
      </c>
      <c r="C155" s="442" t="s">
        <v>489</v>
      </c>
      <c r="D155" s="9" t="s">
        <v>1013</v>
      </c>
      <c r="E155" s="12" t="s">
        <v>1014</v>
      </c>
      <c r="F155" s="12" t="s">
        <v>1033</v>
      </c>
      <c r="G155" s="12" t="s">
        <v>1045</v>
      </c>
      <c r="H155" s="76" t="s">
        <v>52</v>
      </c>
      <c r="I155" s="7" t="s">
        <v>51</v>
      </c>
      <c r="J155" s="69" t="s">
        <v>26</v>
      </c>
      <c r="K155" s="11" t="s">
        <v>90</v>
      </c>
      <c r="L155" s="92">
        <f t="shared" ref="L155" si="1657">IFERROR(AVERAGE(M155:X155),"-")</f>
        <v>806.53743315508018</v>
      </c>
      <c r="M155" s="106" t="str">
        <f>IFERROR(SUMIFS('01. KE30'!$K:$K,'01. KE30'!$C:$C,'06. BC BH THEO CUSTOMER-USD'!$D155,'01. KE30'!$F:$F,'06. BC BH THEO CUSTOMER-USD'!$H155,'01. KE30'!$A:$A,'06. BC BH THEO CUSTOMER-USD'!M$4)/'06. BC BH THEO CUSTOMER-USD'!CS155/'02. Tỷ giá'!B$5,"-")</f>
        <v>-</v>
      </c>
      <c r="N155" s="106" t="str">
        <f>IFERROR(SUMIFS('01. KE30'!$K:$K,'01. KE30'!$C:$C,'06. BC BH THEO CUSTOMER-USD'!$D155,'01. KE30'!$F:$F,'06. BC BH THEO CUSTOMER-USD'!$H155,'01. KE30'!$A:$A,'06. BC BH THEO CUSTOMER-USD'!N$4)/'06. BC BH THEO CUSTOMER-USD'!CT155/'02. Tỷ giá'!C$5,"-")</f>
        <v>-</v>
      </c>
      <c r="O155" s="106" t="str">
        <f>IFERROR(SUMIFS('01. KE30'!$K:$K,'01. KE30'!$C:$C,'06. BC BH THEO CUSTOMER-USD'!$D155,'01. KE30'!$F:$F,'06. BC BH THEO CUSTOMER-USD'!$H155,'01. KE30'!$A:$A,'06. BC BH THEO CUSTOMER-USD'!O$4)/'06. BC BH THEO CUSTOMER-USD'!CU155/'02. Tỷ giá'!D$5,"-")</f>
        <v>-</v>
      </c>
      <c r="P155" s="106" t="str">
        <f>IFERROR(SUMIFS('01. KE30'!$K:$K,'01. KE30'!$C:$C,'06. BC BH THEO CUSTOMER-USD'!$D155,'01. KE30'!$F:$F,'06. BC BH THEO CUSTOMER-USD'!$H155,'01. KE30'!$A:$A,'06. BC BH THEO CUSTOMER-USD'!P$4)/'06. BC BH THEO CUSTOMER-USD'!CV155/'02. Tỷ giá'!E$5,"-")</f>
        <v>-</v>
      </c>
      <c r="Q155" s="106" t="str">
        <f>IFERROR(SUMIFS('01. KE30'!$K:$K,'01. KE30'!$C:$C,'06. BC BH THEO CUSTOMER-USD'!$D155,'01. KE30'!$F:$F,'06. BC BH THEO CUSTOMER-USD'!$H155,'01. KE30'!$A:$A,'06. BC BH THEO CUSTOMER-USD'!Q$4)/'06. BC BH THEO CUSTOMER-USD'!CW155/'02. Tỷ giá'!F$5,"-")</f>
        <v>-</v>
      </c>
      <c r="R155" s="106" t="str">
        <f>IFERROR(SUMIFS('01. KE30'!$K:$K,'01. KE30'!$C:$C,'06. BC BH THEO CUSTOMER-USD'!$D155,'01. KE30'!$F:$F,'06. BC BH THEO CUSTOMER-USD'!$H155,'01. KE30'!$A:$A,'06. BC BH THEO CUSTOMER-USD'!R$4)/'06. BC BH THEO CUSTOMER-USD'!CX155/'02. Tỷ giá'!G$5,"-")</f>
        <v>-</v>
      </c>
      <c r="S155" s="106" t="str">
        <f>IFERROR(SUMIFS('01. KE30'!$K:$K,'01. KE30'!$C:$C,'06. BC BH THEO CUSTOMER-USD'!$D155,'01. KE30'!$F:$F,'06. BC BH THEO CUSTOMER-USD'!$H155,'01. KE30'!$A:$A,'06. BC BH THEO CUSTOMER-USD'!S$4)/'06. BC BH THEO CUSTOMER-USD'!CY155/'02. Tỷ giá'!H$5,"-")</f>
        <v>-</v>
      </c>
      <c r="T155" s="106">
        <f>IFERROR(SUMIFS('01. KE30'!$K:$K,'01. KE30'!$C:$C,'06. BC BH THEO CUSTOMER-USD'!$D155,'01. KE30'!$F:$F,'06. BC BH THEO CUSTOMER-USD'!$H155,'01. KE30'!$A:$A,'06. BC BH THEO CUSTOMER-USD'!T$4)/'06. BC BH THEO CUSTOMER-USD'!CZ155/'02. Tỷ giá'!I$5,"-")</f>
        <v>806.53743315508018</v>
      </c>
      <c r="U155" s="106" t="str">
        <f>IFERROR(SUMIFS('01. KE30'!$K:$K,'01. KE30'!$C:$C,'06. BC BH THEO CUSTOMER-USD'!$D155,'01. KE30'!$F:$F,'06. BC BH THEO CUSTOMER-USD'!$H155,'01. KE30'!$A:$A,'06. BC BH THEO CUSTOMER-USD'!U$4)/'06. BC BH THEO CUSTOMER-USD'!DA155/'02. Tỷ giá'!J$5,"-")</f>
        <v>-</v>
      </c>
      <c r="V155" s="106" t="str">
        <f>IFERROR(SUMIFS('01. KE30'!$K:$K,'01. KE30'!$C:$C,'06. BC BH THEO CUSTOMER-USD'!$D155,'01. KE30'!$F:$F,'06. BC BH THEO CUSTOMER-USD'!$H155,'01. KE30'!$A:$A,'06. BC BH THEO CUSTOMER-USD'!V$4)/'06. BC BH THEO CUSTOMER-USD'!DB155/'02. Tỷ giá'!K$5,"-")</f>
        <v>-</v>
      </c>
      <c r="W155" s="106" t="str">
        <f>IFERROR(SUMIFS('01. KE30'!$K:$K,'01. KE30'!$C:$C,'06. BC BH THEO CUSTOMER-USD'!$D155,'01. KE30'!$F:$F,'06. BC BH THEO CUSTOMER-USD'!$H155,'01. KE30'!$A:$A,'06. BC BH THEO CUSTOMER-USD'!W$4)/'06. BC BH THEO CUSTOMER-USD'!DC155/'02. Tỷ giá'!L$5,"-")</f>
        <v>-</v>
      </c>
      <c r="X155" s="106" t="str">
        <f>IFERROR(SUMIFS('01. KE30'!$K:$K,'01. KE30'!$C:$C,'06. BC BH THEO CUSTOMER-USD'!$D155,'01. KE30'!$F:$F,'06. BC BH THEO CUSTOMER-USD'!$H155,'01. KE30'!$A:$A,'06. BC BH THEO CUSTOMER-USD'!X$4)/'06. BC BH THEO CUSTOMER-USD'!DD155/'02. Tỷ giá'!M$5,"-")</f>
        <v>-</v>
      </c>
      <c r="Z155" s="92">
        <f t="shared" ref="Z155" si="1658">IFERROR(AVERAGE(AA155:AL155),"-")</f>
        <v>645.02161106866981</v>
      </c>
      <c r="AA155" s="147" t="str">
        <f>IFERROR(SUMIFS('01. KE30'!$O:$O,'01. KE30'!$C:$C,'06. BC BH THEO CUSTOMER-USD'!$D155,'01. KE30'!$F:$F,'06. BC BH THEO CUSTOMER-USD'!$H155,'01. KE30'!$A:$A,'06. BC BH THEO CUSTOMER-USD'!M$4)/'06. BC BH THEO CUSTOMER-USD'!CS155/'02. Tỷ giá'!B$5,"-")</f>
        <v>-</v>
      </c>
      <c r="AB155" s="147" t="str">
        <f>IFERROR(SUMIFS('01. KE30'!$O:$O,'01. KE30'!$C:$C,'06. BC BH THEO CUSTOMER-USD'!$D155,'01. KE30'!$F:$F,'06. BC BH THEO CUSTOMER-USD'!$H155,'01. KE30'!$A:$A,'06. BC BH THEO CUSTOMER-USD'!N$4)/'06. BC BH THEO CUSTOMER-USD'!CT155/'02. Tỷ giá'!C$5,"-")</f>
        <v>-</v>
      </c>
      <c r="AC155" s="147" t="str">
        <f>IFERROR(SUMIFS('01. KE30'!$O:$O,'01. KE30'!$C:$C,'06. BC BH THEO CUSTOMER-USD'!$D155,'01. KE30'!$F:$F,'06. BC BH THEO CUSTOMER-USD'!$H155,'01. KE30'!$A:$A,'06. BC BH THEO CUSTOMER-USD'!O$4)/'06. BC BH THEO CUSTOMER-USD'!CU155/'02. Tỷ giá'!D$5,"-")</f>
        <v>-</v>
      </c>
      <c r="AD155" s="147" t="str">
        <f>IFERROR(SUMIFS('01. KE30'!$O:$O,'01. KE30'!$C:$C,'06. BC BH THEO CUSTOMER-USD'!$D155,'01. KE30'!$F:$F,'06. BC BH THEO CUSTOMER-USD'!$H155,'01. KE30'!$A:$A,'06. BC BH THEO CUSTOMER-USD'!P$4)/'06. BC BH THEO CUSTOMER-USD'!CV155/'02. Tỷ giá'!E$5,"-")</f>
        <v>-</v>
      </c>
      <c r="AE155" s="147" t="str">
        <f>IFERROR(SUMIFS('01. KE30'!$O:$O,'01. KE30'!$C:$C,'06. BC BH THEO CUSTOMER-USD'!$D155,'01. KE30'!$F:$F,'06. BC BH THEO CUSTOMER-USD'!$H155,'01. KE30'!$A:$A,'06. BC BH THEO CUSTOMER-USD'!Q$4)/'06. BC BH THEO CUSTOMER-USD'!CW155/'02. Tỷ giá'!F$5,"-")</f>
        <v>-</v>
      </c>
      <c r="AF155" s="147" t="str">
        <f>IFERROR(SUMIFS('01. KE30'!$O:$O,'01. KE30'!$C:$C,'06. BC BH THEO CUSTOMER-USD'!$D155,'01. KE30'!$F:$F,'06. BC BH THEO CUSTOMER-USD'!$H155,'01. KE30'!$A:$A,'06. BC BH THEO CUSTOMER-USD'!R$4)/'06. BC BH THEO CUSTOMER-USD'!CX155/'02. Tỷ giá'!G$5,"-")</f>
        <v>-</v>
      </c>
      <c r="AG155" s="147" t="str">
        <f>IFERROR(SUMIFS('01. KE30'!$O:$O,'01. KE30'!$C:$C,'06. BC BH THEO CUSTOMER-USD'!$D155,'01. KE30'!$F:$F,'06. BC BH THEO CUSTOMER-USD'!$H155,'01. KE30'!$A:$A,'06. BC BH THEO CUSTOMER-USD'!S$4)/'06. BC BH THEO CUSTOMER-USD'!CY155/'02. Tỷ giá'!H$5,"-")</f>
        <v>-</v>
      </c>
      <c r="AH155" s="147">
        <f>IFERROR(SUMIFS('01. KE30'!$O:$O,'01. KE30'!$C:$C,'06. BC BH THEO CUSTOMER-USD'!$D155,'01. KE30'!$F:$F,'06. BC BH THEO CUSTOMER-USD'!$H155,'01. KE30'!$A:$A,'06. BC BH THEO CUSTOMER-USD'!T$4)/'06. BC BH THEO CUSTOMER-USD'!CZ155/'02. Tỷ giá'!I$5,"-")</f>
        <v>645.02161106866981</v>
      </c>
      <c r="AI155" s="147" t="str">
        <f>IFERROR(SUMIFS('01. KE30'!$O:$O,'01. KE30'!$C:$C,'06. BC BH THEO CUSTOMER-USD'!$D155,'01. KE30'!$F:$F,'06. BC BH THEO CUSTOMER-USD'!$H155,'01. KE30'!$A:$A,'06. BC BH THEO CUSTOMER-USD'!U$4)/'06. BC BH THEO CUSTOMER-USD'!DA155/'02. Tỷ giá'!J$5,"-")</f>
        <v>-</v>
      </c>
      <c r="AJ155" s="147" t="str">
        <f>IFERROR(SUMIFS('01. KE30'!$O:$O,'01. KE30'!$C:$C,'06. BC BH THEO CUSTOMER-USD'!$D155,'01. KE30'!$F:$F,'06. BC BH THEO CUSTOMER-USD'!$H155,'01. KE30'!$A:$A,'06. BC BH THEO CUSTOMER-USD'!V$4)/'06. BC BH THEO CUSTOMER-USD'!DB155/'02. Tỷ giá'!K$5,"-")</f>
        <v>-</v>
      </c>
      <c r="AK155" s="147" t="str">
        <f>IFERROR(SUMIFS('01. KE30'!$O:$O,'01. KE30'!$C:$C,'06. BC BH THEO CUSTOMER-USD'!$D155,'01. KE30'!$F:$F,'06. BC BH THEO CUSTOMER-USD'!$H155,'01. KE30'!$A:$A,'06. BC BH THEO CUSTOMER-USD'!W$4)/'06. BC BH THEO CUSTOMER-USD'!DC155/'02. Tỷ giá'!L$5,"-")</f>
        <v>-</v>
      </c>
      <c r="AL155" s="147" t="str">
        <f>IFERROR(SUMIFS('01. KE30'!$O:$O,'01. KE30'!$C:$C,'06. BC BH THEO CUSTOMER-USD'!$D155,'01. KE30'!$F:$F,'06. BC BH THEO CUSTOMER-USD'!$H155,'01. KE30'!$A:$A,'06. BC BH THEO CUSTOMER-USD'!X$4)/'06. BC BH THEO CUSTOMER-USD'!DD155/'02. Tỷ giá'!M$5,"-")</f>
        <v>-</v>
      </c>
      <c r="AN155" s="55">
        <f t="shared" ref="AN155" si="1659">IFERROR(AVERAGE(AO155:AZ155),"-")</f>
        <v>943.33333333333337</v>
      </c>
      <c r="AO155" s="4">
        <v>950</v>
      </c>
      <c r="AP155" s="4">
        <v>950</v>
      </c>
      <c r="AQ155" s="4">
        <v>950</v>
      </c>
      <c r="AR155" s="4">
        <v>950</v>
      </c>
      <c r="AS155" s="4">
        <v>950</v>
      </c>
      <c r="AT155" s="4">
        <v>950</v>
      </c>
      <c r="AU155" s="4">
        <v>950</v>
      </c>
      <c r="AV155" s="4">
        <f t="shared" si="1272"/>
        <v>930</v>
      </c>
      <c r="AW155" s="4">
        <v>910</v>
      </c>
      <c r="AX155" s="4"/>
      <c r="AY155" s="4"/>
      <c r="AZ155" s="4"/>
      <c r="BB155" s="54">
        <f t="shared" ref="BB155" si="1660">IF(L155&lt;&gt;"-",Z155-AN155,"-")</f>
        <v>-298.31172226466356</v>
      </c>
      <c r="BC155" s="95" t="str">
        <f t="shared" ref="BC155" si="1661">IF(M155&lt;&gt;"-",AA155-AO155,"-")</f>
        <v>-</v>
      </c>
      <c r="BD155" s="95" t="str">
        <f t="shared" ref="BD155" si="1662">IF(N155&lt;&gt;"-",AB155-AP155,"-")</f>
        <v>-</v>
      </c>
      <c r="BE155" s="95" t="str">
        <f t="shared" ref="BE155" si="1663">IF(O155&lt;&gt;"-",AC155-AQ155,"-")</f>
        <v>-</v>
      </c>
      <c r="BF155" s="95" t="str">
        <f t="shared" ref="BF155" si="1664">IF(P155&lt;&gt;"-",AD155-AR155,"-")</f>
        <v>-</v>
      </c>
      <c r="BG155" s="95" t="str">
        <f t="shared" ref="BG155" si="1665">IF(Q155&lt;&gt;"-",AE155-AS155,"-")</f>
        <v>-</v>
      </c>
      <c r="BH155" s="95" t="str">
        <f t="shared" ref="BH155" si="1666">IF(R155&lt;&gt;"-",AF155-AT155,"-")</f>
        <v>-</v>
      </c>
      <c r="BI155" s="95" t="str">
        <f t="shared" ref="BI155" si="1667">IF(S155&lt;&gt;"-",AG155-AU155,"-")</f>
        <v>-</v>
      </c>
      <c r="BJ155" s="95">
        <f t="shared" ref="BJ155" si="1668">IF(T155&lt;&gt;"-",AH155-AV155,"-")</f>
        <v>-284.97838893133019</v>
      </c>
      <c r="BK155" s="95" t="str">
        <f t="shared" ref="BK155" si="1669">IF(U155&lt;&gt;"-",AI155-AW155,"-")</f>
        <v>-</v>
      </c>
      <c r="BL155" s="95" t="str">
        <f t="shared" ref="BL155" si="1670">IF(V155&lt;&gt;"-",AJ155-AX155,"-")</f>
        <v>-</v>
      </c>
      <c r="BM155" s="95" t="str">
        <f t="shared" ref="BM155" si="1671">IF(W155&lt;&gt;"-",AK155-AY155,"-")</f>
        <v>-</v>
      </c>
      <c r="BN155" s="95" t="str">
        <f t="shared" ref="BN155" si="1672">IF(X155&lt;&gt;"-",AL155-AZ155,"-")</f>
        <v>-</v>
      </c>
      <c r="BP155" s="143">
        <f t="shared" ref="BP155" si="1673">IFERROR(IF(BB155&lt;&gt;"-",BB155/AN155,"-"),"-")</f>
        <v>-0.31623150770105674</v>
      </c>
      <c r="BQ155" s="143" t="str">
        <f t="shared" ref="BQ155" si="1674">IFERROR(IF(BC155&lt;&gt;"-",BC155/AO155,"-"),"-")</f>
        <v>-</v>
      </c>
      <c r="BR155" s="143" t="str">
        <f t="shared" ref="BR155" si="1675">IFERROR(IF(BD155&lt;&gt;"-",BD155/AP155,"-"),"-")</f>
        <v>-</v>
      </c>
      <c r="BS155" s="143" t="str">
        <f t="shared" ref="BS155" si="1676">IFERROR(IF(BE155&lt;&gt;"-",BE155/AQ155,"-"),"-")</f>
        <v>-</v>
      </c>
      <c r="BT155" s="143" t="str">
        <f t="shared" ref="BT155" si="1677">IFERROR(IF(BF155&lt;&gt;"-",BF155/AR155,"-"),"-")</f>
        <v>-</v>
      </c>
      <c r="BU155" s="143" t="str">
        <f t="shared" ref="BU155" si="1678">IFERROR(IF(BG155&lt;&gt;"-",BG155/AS155,"-"),"-")</f>
        <v>-</v>
      </c>
      <c r="BV155" s="143" t="str">
        <f t="shared" ref="BV155" si="1679">IFERROR(IF(BH155&lt;&gt;"-",BH155/AT155,"-"),"-")</f>
        <v>-</v>
      </c>
      <c r="BW155" s="143" t="str">
        <f t="shared" ref="BW155" si="1680">IFERROR(IF(BI155&lt;&gt;"-",BI155/AU155,"-"),"-")</f>
        <v>-</v>
      </c>
      <c r="BX155" s="143">
        <f t="shared" ref="BX155" si="1681">IFERROR(IF(BJ155&lt;&gt;"-",BJ155/AV155,"-"),"-")</f>
        <v>-0.30642837519497867</v>
      </c>
      <c r="BY155" s="143" t="str">
        <f t="shared" ref="BY155" si="1682">IFERROR(IF(BK155&lt;&gt;"-",BK155/AW155,"-"),"-")</f>
        <v>-</v>
      </c>
      <c r="BZ155" s="143" t="str">
        <f t="shared" ref="BZ155" si="1683">IFERROR(IF(BL155&lt;&gt;"-",BL155/AX155,"-"),"-")</f>
        <v>-</v>
      </c>
      <c r="CA155" s="143" t="str">
        <f t="shared" ref="CA155" si="1684">IFERROR(IF(BM155&lt;&gt;"-",BM155/AY155,"-"),"-")</f>
        <v>-</v>
      </c>
      <c r="CB155" s="143" t="str">
        <f t="shared" ref="CB155" si="1685">IFERROR(IF(BN155&lt;&gt;"-",BN155/AZ155,"-"),"-")</f>
        <v>-</v>
      </c>
      <c r="CD155" s="112">
        <f t="shared" ref="CD155" si="1686">IFERROR(AVERAGE(CE155:CP155),"-")</f>
        <v>823.03075998075997</v>
      </c>
      <c r="CE155" s="95" t="str">
        <f>IFERROR(SUMIFS('01. KE30'!$R:$R,'01. KE30'!$C:$C,'06. BC BH THEO CUSTOMER-USD'!$D155,'01. KE30'!$F:$F,'06. BC BH THEO CUSTOMER-USD'!$H155,'01. KE30'!$A:$A,'06. BC BH THEO CUSTOMER-USD'!CE$4)/CS155/'02. Tỷ giá'!B$5," -")</f>
        <v xml:space="preserve"> -</v>
      </c>
      <c r="CF155" s="95" t="str">
        <f>IFERROR(SUMIFS('01. KE30'!$R:$R,'01. KE30'!$C:$C,'06. BC BH THEO CUSTOMER-USD'!$D155,'01. KE30'!$F:$F,'06. BC BH THEO CUSTOMER-USD'!$H155,'01. KE30'!$A:$A,'06. BC BH THEO CUSTOMER-USD'!CF$4)/CT155/'02. Tỷ giá'!C$5," -")</f>
        <v xml:space="preserve"> -</v>
      </c>
      <c r="CG155" s="95" t="str">
        <f>IFERROR(SUMIFS('01. KE30'!$R:$R,'01. KE30'!$C:$C,'06. BC BH THEO CUSTOMER-USD'!$D155,'01. KE30'!$F:$F,'06. BC BH THEO CUSTOMER-USD'!$H155,'01. KE30'!$A:$A,'06. BC BH THEO CUSTOMER-USD'!CG$4)/CU155/'02. Tỷ giá'!D$5," -")</f>
        <v xml:space="preserve"> -</v>
      </c>
      <c r="CH155" s="95" t="str">
        <f>IFERROR(SUMIFS('01. KE30'!$R:$R,'01. KE30'!$C:$C,'06. BC BH THEO CUSTOMER-USD'!$D155,'01. KE30'!$F:$F,'06. BC BH THEO CUSTOMER-USD'!$H155,'01. KE30'!$A:$A,'06. BC BH THEO CUSTOMER-USD'!CH$4)/CV155/'02. Tỷ giá'!E$5," -")</f>
        <v xml:space="preserve"> -</v>
      </c>
      <c r="CI155" s="95" t="str">
        <f>IFERROR(SUMIFS('01. KE30'!$R:$R,'01. KE30'!$C:$C,'06. BC BH THEO CUSTOMER-USD'!$D155,'01. KE30'!$F:$F,'06. BC BH THEO CUSTOMER-USD'!$H155,'01. KE30'!$A:$A,'06. BC BH THEO CUSTOMER-USD'!CI$4)/CW155/'02. Tỷ giá'!F$5," -")</f>
        <v xml:space="preserve"> -</v>
      </c>
      <c r="CJ155" s="95" t="str">
        <f>IFERROR(SUMIFS('01. KE30'!$R:$R,'01. KE30'!$C:$C,'06. BC BH THEO CUSTOMER-USD'!$D155,'01. KE30'!$F:$F,'06. BC BH THEO CUSTOMER-USD'!$H155,'01. KE30'!$A:$A,'06. BC BH THEO CUSTOMER-USD'!CJ$4)/CX155/'02. Tỷ giá'!G$5," -")</f>
        <v xml:space="preserve"> -</v>
      </c>
      <c r="CK155" s="95" t="str">
        <f>IFERROR(SUMIFS('01. KE30'!$R:$R,'01. KE30'!$C:$C,'06. BC BH THEO CUSTOMER-USD'!$D155,'01. KE30'!$F:$F,'06. BC BH THEO CUSTOMER-USD'!$H155,'01. KE30'!$A:$A,'06. BC BH THEO CUSTOMER-USD'!CK$4)/CY155/'02. Tỷ giá'!H$5," -")</f>
        <v xml:space="preserve"> -</v>
      </c>
      <c r="CL155" s="95">
        <f>IFERROR(SUMIFS('01. KE30'!$R:$R,'01. KE30'!$C:$C,'06. BC BH THEO CUSTOMER-USD'!$D155,'01. KE30'!$F:$F,'06. BC BH THEO CUSTOMER-USD'!$H155,'01. KE30'!$A:$A,'06. BC BH THEO CUSTOMER-USD'!CL$4)/CZ155/'02. Tỷ giá'!I$5," -")</f>
        <v>823.03075998075997</v>
      </c>
      <c r="CM155" s="95" t="str">
        <f>IFERROR(SUMIFS('01. KE30'!$R:$R,'01. KE30'!$C:$C,'06. BC BH THEO CUSTOMER-USD'!$D155,'01. KE30'!$F:$F,'06. BC BH THEO CUSTOMER-USD'!$H155,'01. KE30'!$A:$A,'06. BC BH THEO CUSTOMER-USD'!CM$4)/DA155/'02. Tỷ giá'!J$5," -")</f>
        <v xml:space="preserve"> -</v>
      </c>
      <c r="CN155" s="95" t="str">
        <f>IFERROR(SUMIFS('01. KE30'!$R:$R,'01. KE30'!$C:$C,'06. BC BH THEO CUSTOMER-USD'!$D155,'01. KE30'!$F:$F,'06. BC BH THEO CUSTOMER-USD'!$H155,'01. KE30'!$A:$A,'06. BC BH THEO CUSTOMER-USD'!CN$4)/DB155/'02. Tỷ giá'!K$5," -")</f>
        <v xml:space="preserve"> -</v>
      </c>
      <c r="CO155" s="95" t="str">
        <f>IFERROR(SUMIFS('01. KE30'!$R:$R,'01. KE30'!$C:$C,'06. BC BH THEO CUSTOMER-USD'!$D155,'01. KE30'!$F:$F,'06. BC BH THEO CUSTOMER-USD'!$H155,'01. KE30'!$A:$A,'06. BC BH THEO CUSTOMER-USD'!CO$4)/DC155/'02. Tỷ giá'!L$5," -")</f>
        <v xml:space="preserve"> -</v>
      </c>
      <c r="CP155" s="95" t="str">
        <f>IFERROR(SUMIFS('01. KE30'!$R:$R,'01. KE30'!$C:$C,'06. BC BH THEO CUSTOMER-USD'!$D155,'01. KE30'!$F:$F,'06. BC BH THEO CUSTOMER-USD'!$H155,'01. KE30'!$A:$A,'06. BC BH THEO CUSTOMER-USD'!CP$4)/DD155/'02. Tỷ giá'!M$5," -")</f>
        <v xml:space="preserve"> -</v>
      </c>
      <c r="CR155" s="112">
        <f t="shared" ref="CR155" si="1687">SUM(CS155:DD155)</f>
        <v>27</v>
      </c>
      <c r="CS155" s="114">
        <f>SUMIFS('01. KE30'!$I:$I,'01. KE30'!$C:$C,'06. BC BH THEO CUSTOMER-USD'!$D155,'01. KE30'!$F:$F,'06. BC BH THEO CUSTOMER-USD'!$H155,'01. KE30'!$A:$A,'06. BC BH THEO CUSTOMER-USD'!CS$4)/1000</f>
        <v>0</v>
      </c>
      <c r="CT155" s="114">
        <f>SUMIFS('01. KE30'!$I:$I,'01. KE30'!$C:$C,'06. BC BH THEO CUSTOMER-USD'!$D155,'01. KE30'!$F:$F,'06. BC BH THEO CUSTOMER-USD'!$H155,'01. KE30'!$A:$A,'06. BC BH THEO CUSTOMER-USD'!CT$4)/1000</f>
        <v>0</v>
      </c>
      <c r="CU155" s="114">
        <f>SUMIFS('01. KE30'!$I:$I,'01. KE30'!$C:$C,'06. BC BH THEO CUSTOMER-USD'!$D155,'01. KE30'!$F:$F,'06. BC BH THEO CUSTOMER-USD'!$H155,'01. KE30'!$A:$A,'06. BC BH THEO CUSTOMER-USD'!CU$4)/1000</f>
        <v>0</v>
      </c>
      <c r="CV155" s="114">
        <f>SUMIFS('01. KE30'!$I:$I,'01. KE30'!$C:$C,'06. BC BH THEO CUSTOMER-USD'!$D155,'01. KE30'!$F:$F,'06. BC BH THEO CUSTOMER-USD'!$H155,'01. KE30'!$A:$A,'06. BC BH THEO CUSTOMER-USD'!CV$4)/1000</f>
        <v>0</v>
      </c>
      <c r="CW155" s="114">
        <f>SUMIFS('01. KE30'!$I:$I,'01. KE30'!$C:$C,'06. BC BH THEO CUSTOMER-USD'!$D155,'01. KE30'!$F:$F,'06. BC BH THEO CUSTOMER-USD'!$H155,'01. KE30'!$A:$A,'06. BC BH THEO CUSTOMER-USD'!CW$4)/1000</f>
        <v>0</v>
      </c>
      <c r="CX155" s="114">
        <f>SUMIFS('01. KE30'!$I:$I,'01. KE30'!$C:$C,'06. BC BH THEO CUSTOMER-USD'!$D155,'01. KE30'!$F:$F,'06. BC BH THEO CUSTOMER-USD'!$H155,'01. KE30'!$A:$A,'06. BC BH THEO CUSTOMER-USD'!CX$4)/1000</f>
        <v>0</v>
      </c>
      <c r="CY155" s="114">
        <f>SUMIFS('01. KE30'!$I:$I,'01. KE30'!$C:$C,'06. BC BH THEO CUSTOMER-USD'!$D155,'01. KE30'!$F:$F,'06. BC BH THEO CUSTOMER-USD'!$H155,'01. KE30'!$A:$A,'06. BC BH THEO CUSTOMER-USD'!CY$4)/1000</f>
        <v>0</v>
      </c>
      <c r="CZ155" s="114">
        <f>SUMIFS('01. KE30'!$I:$I,'01. KE30'!$C:$C,'06. BC BH THEO CUSTOMER-USD'!$D155,'01. KE30'!$F:$F,'06. BC BH THEO CUSTOMER-USD'!$H155,'01. KE30'!$A:$A,'06. BC BH THEO CUSTOMER-USD'!CZ$4)/1000</f>
        <v>27</v>
      </c>
      <c r="DA155" s="114">
        <f>SUMIFS('01. KE30'!$I:$I,'01. KE30'!$C:$C,'06. BC BH THEO CUSTOMER-USD'!$D155,'01. KE30'!$F:$F,'06. BC BH THEO CUSTOMER-USD'!$H155,'01. KE30'!$A:$A,'06. BC BH THEO CUSTOMER-USD'!DA$4)/1000</f>
        <v>0</v>
      </c>
      <c r="DB155" s="114">
        <f>SUMIFS('01. KE30'!$I:$I,'01. KE30'!$C:$C,'06. BC BH THEO CUSTOMER-USD'!$D155,'01. KE30'!$F:$F,'06. BC BH THEO CUSTOMER-USD'!$H155,'01. KE30'!$A:$A,'06. BC BH THEO CUSTOMER-USD'!DB$4)/1000</f>
        <v>0</v>
      </c>
      <c r="DC155" s="114">
        <f>SUMIFS('01. KE30'!$I:$I,'01. KE30'!$C:$C,'06. BC BH THEO CUSTOMER-USD'!$D155,'01. KE30'!$F:$F,'06. BC BH THEO CUSTOMER-USD'!$H155,'01. KE30'!$A:$A,'06. BC BH THEO CUSTOMER-USD'!DC$4)/1000</f>
        <v>0</v>
      </c>
      <c r="DD155" s="114">
        <f>SUMIFS('01. KE30'!$I:$I,'01. KE30'!$C:$C,'06. BC BH THEO CUSTOMER-USD'!$D155,'01. KE30'!$F:$F,'06. BC BH THEO CUSTOMER-USD'!$H155,'01. KE30'!$A:$A,'06. BC BH THEO CUSTOMER-USD'!DD$4)/1000</f>
        <v>0</v>
      </c>
      <c r="DF155" s="112">
        <f t="shared" ref="DF155" si="1688">SUM(DG155:DR155)</f>
        <v>21776.510695187164</v>
      </c>
      <c r="DG155" s="54" t="str">
        <f t="shared" ref="DG155" si="1689">IFERROR(M155*CS155,"-")</f>
        <v>-</v>
      </c>
      <c r="DH155" s="54" t="str">
        <f t="shared" ref="DH155" si="1690">IFERROR(N155*CT155,"-")</f>
        <v>-</v>
      </c>
      <c r="DI155" s="54" t="str">
        <f t="shared" ref="DI155" si="1691">IFERROR(O155*CU155,"-")</f>
        <v>-</v>
      </c>
      <c r="DJ155" s="54" t="str">
        <f t="shared" ref="DJ155" si="1692">IFERROR(P155*CV155,"-")</f>
        <v>-</v>
      </c>
      <c r="DK155" s="54" t="str">
        <f t="shared" ref="DK155" si="1693">IFERROR(Q155*CW155,"-")</f>
        <v>-</v>
      </c>
      <c r="DL155" s="54" t="str">
        <f t="shared" ref="DL155" si="1694">IFERROR(R155*CX155,"-")</f>
        <v>-</v>
      </c>
      <c r="DM155" s="54" t="str">
        <f t="shared" ref="DM155" si="1695">IFERROR(S155*CY155,"-")</f>
        <v>-</v>
      </c>
      <c r="DN155" s="54">
        <f t="shared" ref="DN155" si="1696">IFERROR(T155*CZ155,"-")</f>
        <v>21776.510695187164</v>
      </c>
      <c r="DO155" s="54" t="str">
        <f t="shared" ref="DO155" si="1697">IFERROR(U155*DA155,"-")</f>
        <v>-</v>
      </c>
      <c r="DP155" s="54" t="str">
        <f t="shared" ref="DP155" si="1698">IFERROR(V155*DB155,"-")</f>
        <v>-</v>
      </c>
      <c r="DQ155" s="54" t="str">
        <f t="shared" ref="DQ155" si="1699">IFERROR(W155*DC155,"-")</f>
        <v>-</v>
      </c>
      <c r="DR155" s="54" t="str">
        <f t="shared" ref="DR155" si="1700">IFERROR(X155*DD155,"-")</f>
        <v>-</v>
      </c>
      <c r="DT155" s="112">
        <f t="shared" ref="DT155" si="1701">SUM(DU155:EF155)</f>
        <v>-4806.2470206264297</v>
      </c>
      <c r="DU155" s="114">
        <f>IFERROR(SUMIFS('01. KE30'!$X:$X,'01. KE30'!$C:$C,'06. BC BH THEO CUSTOMER-USD'!$D155,'01. KE30'!$F:$F,'06. BC BH THEO CUSTOMER-USD'!$H155,'01. KE30'!$A:$A,'06. BC BH THEO CUSTOMER-USD'!DU$4)-SUMIFS('01. KE30'!$AA:$AA,'01. KE30'!$C:$C,'06. BC BH THEO CUSTOMER-USD'!$D155,'01. KE30'!$F:$F,'06. BC BH THEO CUSTOMER-USD'!$H155,'01. KE30'!$A:$A,'06. BC BH THEO CUSTOMER-USD'!DU$4),"-")</f>
        <v>0</v>
      </c>
      <c r="DV155" s="114">
        <f>IFERROR(SUMIFS('01. KE30'!$X:$X,'01. KE30'!$C:$C,'06. BC BH THEO CUSTOMER-USD'!$D155,'01. KE30'!$F:$F,'06. BC BH THEO CUSTOMER-USD'!$H155,'01. KE30'!$A:$A,'06. BC BH THEO CUSTOMER-USD'!DV$4)-SUMIFS('01. KE30'!$AA:$AA,'01. KE30'!$C:$C,'06. BC BH THEO CUSTOMER-USD'!$D155,'01. KE30'!$F:$F,'06. BC BH THEO CUSTOMER-USD'!$H155,'01. KE30'!$A:$A,'06. BC BH THEO CUSTOMER-USD'!DV$4),"-")</f>
        <v>0</v>
      </c>
      <c r="DW155" s="114">
        <f>IFERROR(SUMIFS('01. KE30'!$X:$X,'01. KE30'!$C:$C,'06. BC BH THEO CUSTOMER-USD'!$D155,'01. KE30'!$F:$F,'06. BC BH THEO CUSTOMER-USD'!$H155,'01. KE30'!$A:$A,'06. BC BH THEO CUSTOMER-USD'!DW$4)-SUMIFS('01. KE30'!$AA:$AA,'01. KE30'!$C:$C,'06. BC BH THEO CUSTOMER-USD'!$D155,'01. KE30'!$F:$F,'06. BC BH THEO CUSTOMER-USD'!$H155,'01. KE30'!$A:$A,'06. BC BH THEO CUSTOMER-USD'!DW$4),"-")</f>
        <v>0</v>
      </c>
      <c r="DX155" s="114">
        <f>IFERROR(SUMIFS('01. KE30'!$X:$X,'01. KE30'!$C:$C,'06. BC BH THEO CUSTOMER-USD'!$D155,'01. KE30'!$F:$F,'06. BC BH THEO CUSTOMER-USD'!$H155,'01. KE30'!$A:$A,'06. BC BH THEO CUSTOMER-USD'!DX$4)-SUMIFS('01. KE30'!$AA:$AA,'01. KE30'!$C:$C,'06. BC BH THEO CUSTOMER-USD'!$D155,'01. KE30'!$F:$F,'06. BC BH THEO CUSTOMER-USD'!$H155,'01. KE30'!$A:$A,'06. BC BH THEO CUSTOMER-USD'!DX$4),"-")</f>
        <v>0</v>
      </c>
      <c r="DY155" s="114">
        <f>IFERROR(SUMIFS('01. KE30'!$X:$X,'01. KE30'!$C:$C,'06. BC BH THEO CUSTOMER-USD'!$D155,'01. KE30'!$F:$F,'06. BC BH THEO CUSTOMER-USD'!$H155,'01. KE30'!$A:$A,'06. BC BH THEO CUSTOMER-USD'!DY$4)-SUMIFS('01. KE30'!$AA:$AA,'01. KE30'!$C:$C,'06. BC BH THEO CUSTOMER-USD'!$D155,'01. KE30'!$F:$F,'06. BC BH THEO CUSTOMER-USD'!$H155,'01. KE30'!$A:$A,'06. BC BH THEO CUSTOMER-USD'!DY$4),"-")</f>
        <v>0</v>
      </c>
      <c r="DZ155" s="114">
        <f>IFERROR(SUMIFS('01. KE30'!$X:$X,'01. KE30'!$C:$C,'06. BC BH THEO CUSTOMER-USD'!$D155,'01. KE30'!$F:$F,'06. BC BH THEO CUSTOMER-USD'!$H155,'01. KE30'!$A:$A,'06. BC BH THEO CUSTOMER-USD'!DZ$4)-SUMIFS('01. KE30'!$AA:$AA,'01. KE30'!$C:$C,'06. BC BH THEO CUSTOMER-USD'!$D155,'01. KE30'!$F:$F,'06. BC BH THEO CUSTOMER-USD'!$H155,'01. KE30'!$A:$A,'06. BC BH THEO CUSTOMER-USD'!DZ$4),"-")</f>
        <v>0</v>
      </c>
      <c r="EA155" s="114">
        <f>IFERROR(SUMIFS('01. KE30'!$X:$X,'01. KE30'!$C:$C,'06. BC BH THEO CUSTOMER-USD'!$D155,'01. KE30'!$F:$F,'06. BC BH THEO CUSTOMER-USD'!$H155,'01. KE30'!$A:$A,'06. BC BH THEO CUSTOMER-USD'!EA$4)-SUMIFS('01. KE30'!$AA:$AA,'01. KE30'!$C:$C,'06. BC BH THEO CUSTOMER-USD'!$D155,'01. KE30'!$F:$F,'06. BC BH THEO CUSTOMER-USD'!$H155,'01. KE30'!$A:$A,'06. BC BH THEO CUSTOMER-USD'!EA$4),"-")</f>
        <v>0</v>
      </c>
      <c r="EB155" s="114">
        <f>IFERROR(SUMIFS('01. KE30'!$X:$X,'01. KE30'!$C:$C,'06. BC BH THEO CUSTOMER-USD'!$D155,'01. KE30'!$F:$F,'06. BC BH THEO CUSTOMER-USD'!$H155,'01. KE30'!$A:$A,'06. BC BH THEO CUSTOMER-USD'!EB$4)-SUMIFS('01. KE30'!$AA:$AA,'01. KE30'!$C:$C,'06. BC BH THEO CUSTOMER-USD'!$D155,'01. KE30'!$F:$F,'06. BC BH THEO CUSTOMER-USD'!$H155,'01. KE30'!$A:$A,'06. BC BH THEO CUSTOMER-USD'!EB$4),"-")</f>
        <v>-4806.2470206264297</v>
      </c>
      <c r="EC155" s="114">
        <f>IFERROR(SUMIFS('01. KE30'!$X:$X,'01. KE30'!$C:$C,'06. BC BH THEO CUSTOMER-USD'!$D155,'01. KE30'!$F:$F,'06. BC BH THEO CUSTOMER-USD'!$H155,'01. KE30'!$A:$A,'06. BC BH THEO CUSTOMER-USD'!EC$4)-SUMIFS('01. KE30'!$AA:$AA,'01. KE30'!$C:$C,'06. BC BH THEO CUSTOMER-USD'!$D155,'01. KE30'!$F:$F,'06. BC BH THEO CUSTOMER-USD'!$H155,'01. KE30'!$A:$A,'06. BC BH THEO CUSTOMER-USD'!EC$4),"-")</f>
        <v>0</v>
      </c>
      <c r="ED155" s="114">
        <f>IFERROR(SUMIFS('01. KE30'!$X:$X,'01. KE30'!$C:$C,'06. BC BH THEO CUSTOMER-USD'!$D155,'01. KE30'!$F:$F,'06. BC BH THEO CUSTOMER-USD'!$H155,'01. KE30'!$A:$A,'06. BC BH THEO CUSTOMER-USD'!ED$4)-SUMIFS('01. KE30'!$AA:$AA,'01. KE30'!$C:$C,'06. BC BH THEO CUSTOMER-USD'!$D155,'01. KE30'!$F:$F,'06. BC BH THEO CUSTOMER-USD'!$H155,'01. KE30'!$A:$A,'06. BC BH THEO CUSTOMER-USD'!ED$4),"-")</f>
        <v>0</v>
      </c>
      <c r="EE155" s="114">
        <f>IFERROR(SUMIFS('01. KE30'!$X:$X,'01. KE30'!$C:$C,'06. BC BH THEO CUSTOMER-USD'!$D155,'01. KE30'!$F:$F,'06. BC BH THEO CUSTOMER-USD'!$H155,'01. KE30'!$A:$A,'06. BC BH THEO CUSTOMER-USD'!EE$4)-SUMIFS('01. KE30'!$AA:$AA,'01. KE30'!$C:$C,'06. BC BH THEO CUSTOMER-USD'!$D155,'01. KE30'!$F:$F,'06. BC BH THEO CUSTOMER-USD'!$H155,'01. KE30'!$A:$A,'06. BC BH THEO CUSTOMER-USD'!EE$4),"-")</f>
        <v>0</v>
      </c>
      <c r="EF155" s="114">
        <f>IFERROR(SUMIFS('01. KE30'!$X:$X,'01. KE30'!$C:$C,'06. BC BH THEO CUSTOMER-USD'!$D155,'01. KE30'!$F:$F,'06. BC BH THEO CUSTOMER-USD'!$H155,'01. KE30'!$A:$A,'06. BC BH THEO CUSTOMER-USD'!EF$4)-SUMIFS('01. KE30'!$AA:$AA,'01. KE30'!$C:$C,'06. BC BH THEO CUSTOMER-USD'!$D155,'01. KE30'!$F:$F,'06. BC BH THEO CUSTOMER-USD'!$H155,'01. KE30'!$A:$A,'06. BC BH THEO CUSTOMER-USD'!EF$4),"-")</f>
        <v>0</v>
      </c>
      <c r="EH155" s="571">
        <f t="shared" ref="EH155" si="1702">IFERROR(DT155/DF155,"-")</f>
        <v>-0.22070785755812847</v>
      </c>
      <c r="EI155" s="572" t="str">
        <f t="shared" ref="EI155" si="1703">IFERROR(DU155/DG155,"-")</f>
        <v>-</v>
      </c>
      <c r="EJ155" s="572" t="str">
        <f t="shared" ref="EJ155" si="1704">IFERROR(DV155/DH155,"-")</f>
        <v>-</v>
      </c>
      <c r="EK155" s="572" t="str">
        <f t="shared" ref="EK155" si="1705">IFERROR(DW155/DI155,"-")</f>
        <v>-</v>
      </c>
      <c r="EL155" s="572" t="str">
        <f t="shared" ref="EL155" si="1706">IFERROR(DX155/DJ155,"-")</f>
        <v>-</v>
      </c>
      <c r="EM155" s="572" t="str">
        <f t="shared" ref="EM155" si="1707">IFERROR(DY155/DK155,"-")</f>
        <v>-</v>
      </c>
      <c r="EN155" s="572" t="str">
        <f t="shared" ref="EN155" si="1708">IFERROR(DZ155/DL155,"-")</f>
        <v>-</v>
      </c>
      <c r="EO155" s="572" t="str">
        <f t="shared" ref="EO155" si="1709">IFERROR(EA155/DM155,"-")</f>
        <v>-</v>
      </c>
      <c r="EP155" s="572">
        <f t="shared" ref="EP155" si="1710">IFERROR(EB155/DN155,"-")</f>
        <v>-0.22070785755812847</v>
      </c>
      <c r="EQ155" s="572" t="str">
        <f t="shared" ref="EQ155" si="1711">IFERROR(EC155/DO155,"-")</f>
        <v>-</v>
      </c>
      <c r="ER155" s="572" t="str">
        <f t="shared" ref="ER155" si="1712">IFERROR(ED155/DP155,"-")</f>
        <v>-</v>
      </c>
      <c r="ES155" s="572" t="str">
        <f t="shared" ref="ES155" si="1713">IFERROR(EE155/DQ155,"-")</f>
        <v>-</v>
      </c>
      <c r="ET155" s="572" t="str">
        <f t="shared" ref="ET155" si="1714">IFERROR(EF155/DR155,"-")</f>
        <v>-</v>
      </c>
    </row>
    <row r="156" spans="1:150" ht="15.5" hidden="1" outlineLevel="1" x14ac:dyDescent="0.35">
      <c r="A156" s="10">
        <f>A153+1</f>
        <v>25</v>
      </c>
      <c r="B156" s="10" t="s">
        <v>265</v>
      </c>
      <c r="C156" s="442" t="s">
        <v>489</v>
      </c>
      <c r="D156" s="9" t="s">
        <v>722</v>
      </c>
      <c r="E156" s="12" t="s">
        <v>723</v>
      </c>
      <c r="F156" s="12" t="s">
        <v>245</v>
      </c>
      <c r="G156" s="12" t="str">
        <f>_xlfn.XLOOKUP(F156,'Quy đổi'!$G$5:$G$32,'Quy đổi'!$H$5:$H$32,0)</f>
        <v>Nội địa</v>
      </c>
      <c r="H156" s="76" t="s">
        <v>52</v>
      </c>
      <c r="I156" s="7" t="s">
        <v>51</v>
      </c>
      <c r="J156" s="69" t="s">
        <v>22</v>
      </c>
      <c r="K156" s="11"/>
      <c r="L156" s="92">
        <f t="shared" si="1541"/>
        <v>613.31917337848347</v>
      </c>
      <c r="M156" s="106" t="str">
        <f>IFERROR(SUMIFS('01. KE30'!$K:$K,'01. KE30'!$C:$C,'06. BC BH THEO CUSTOMER-USD'!$D156,'01. KE30'!$F:$F,'06. BC BH THEO CUSTOMER-USD'!$H156,'01. KE30'!$A:$A,'06. BC BH THEO CUSTOMER-USD'!M$4)/'06. BC BH THEO CUSTOMER-USD'!CS156/'02. Tỷ giá'!B$5,"-")</f>
        <v>-</v>
      </c>
      <c r="N156" s="106" t="str">
        <f>IFERROR(SUMIFS('01. KE30'!$K:$K,'01. KE30'!$C:$C,'06. BC BH THEO CUSTOMER-USD'!$D156,'01. KE30'!$F:$F,'06. BC BH THEO CUSTOMER-USD'!$H156,'01. KE30'!$A:$A,'06. BC BH THEO CUSTOMER-USD'!N$4)/'06. BC BH THEO CUSTOMER-USD'!CT156/'02. Tỷ giá'!C$5,"-")</f>
        <v>-</v>
      </c>
      <c r="O156" s="106" t="str">
        <f>IFERROR(SUMIFS('01. KE30'!$K:$K,'01. KE30'!$C:$C,'06. BC BH THEO CUSTOMER-USD'!$D156,'01. KE30'!$F:$F,'06. BC BH THEO CUSTOMER-USD'!$H156,'01. KE30'!$A:$A,'06. BC BH THEO CUSTOMER-USD'!O$4)/'06. BC BH THEO CUSTOMER-USD'!CU156/'02. Tỷ giá'!D$5,"-")</f>
        <v>-</v>
      </c>
      <c r="P156" s="106">
        <f>IFERROR(SUMIFS('01. KE30'!$K:$K,'01. KE30'!$C:$C,'06. BC BH THEO CUSTOMER-USD'!$D156,'01. KE30'!$F:$F,'06. BC BH THEO CUSTOMER-USD'!$H156,'01. KE30'!$A:$A,'06. BC BH THEO CUSTOMER-USD'!P$4)/'06. BC BH THEO CUSTOMER-USD'!CV156/'02. Tỷ giá'!E$5,"-")</f>
        <v>646.53503677893923</v>
      </c>
      <c r="Q156" s="106" t="str">
        <f>IFERROR(SUMIFS('01. KE30'!$K:$K,'01. KE30'!$C:$C,'06. BC BH THEO CUSTOMER-USD'!$D156,'01. KE30'!$F:$F,'06. BC BH THEO CUSTOMER-USD'!$H156,'01. KE30'!$A:$A,'06. BC BH THEO CUSTOMER-USD'!Q$4)/'06. BC BH THEO CUSTOMER-USD'!CW156/'02. Tỷ giá'!F$5,"-")</f>
        <v>-</v>
      </c>
      <c r="R156" s="106">
        <f>IFERROR(SUMIFS('01. KE30'!$K:$K,'01. KE30'!$C:$C,'06. BC BH THEO CUSTOMER-USD'!$D156,'01. KE30'!$F:$F,'06. BC BH THEO CUSTOMER-USD'!$H156,'01. KE30'!$A:$A,'06. BC BH THEO CUSTOMER-USD'!R$4)/'06. BC BH THEO CUSTOMER-USD'!CX156/'02. Tỷ giá'!G$5,"-")</f>
        <v>614.44758847736625</v>
      </c>
      <c r="S156" s="106">
        <f>IFERROR(SUMIFS('01. KE30'!$K:$K,'01. KE30'!$C:$C,'06. BC BH THEO CUSTOMER-USD'!$D156,'01. KE30'!$F:$F,'06. BC BH THEO CUSTOMER-USD'!$H156,'01. KE30'!$A:$A,'06. BC BH THEO CUSTOMER-USD'!S$4)/'06. BC BH THEO CUSTOMER-USD'!CY156/'02. Tỷ giá'!H$5,"-")</f>
        <v>604.71536339189049</v>
      </c>
      <c r="T156" s="106">
        <f>IFERROR(SUMIFS('01. KE30'!$K:$K,'01. KE30'!$C:$C,'06. BC BH THEO CUSTOMER-USD'!$D156,'01. KE30'!$F:$F,'06. BC BH THEO CUSTOMER-USD'!$H156,'01. KE30'!$A:$A,'06. BC BH THEO CUSTOMER-USD'!T$4)/'06. BC BH THEO CUSTOMER-USD'!CZ156/'02. Tỷ giá'!I$5,"-")</f>
        <v>601.25060808961405</v>
      </c>
      <c r="U156" s="106">
        <f>IFERROR(SUMIFS('01. KE30'!$K:$K,'01. KE30'!$C:$C,'06. BC BH THEO CUSTOMER-USD'!$D156,'01. KE30'!$F:$F,'06. BC BH THEO CUSTOMER-USD'!$H156,'01. KE30'!$A:$A,'06. BC BH THEO CUSTOMER-USD'!U$4)/'06. BC BH THEO CUSTOMER-USD'!DA156/'02. Tỷ giá'!J$5,"-")</f>
        <v>599.64727015460733</v>
      </c>
      <c r="V156" s="106" t="str">
        <f>IFERROR(SUMIFS('01. KE30'!$K:$K,'01. KE30'!$C:$C,'06. BC BH THEO CUSTOMER-USD'!$D156,'01. KE30'!$F:$F,'06. BC BH THEO CUSTOMER-USD'!$H156,'01. KE30'!$A:$A,'06. BC BH THEO CUSTOMER-USD'!V$4)/'06. BC BH THEO CUSTOMER-USD'!DB156/'02. Tỷ giá'!K$5,"-")</f>
        <v>-</v>
      </c>
      <c r="W156" s="106" t="str">
        <f>IFERROR(SUMIFS('01. KE30'!$K:$K,'01. KE30'!$C:$C,'06. BC BH THEO CUSTOMER-USD'!$D156,'01. KE30'!$F:$F,'06. BC BH THEO CUSTOMER-USD'!$H156,'01. KE30'!$A:$A,'06. BC BH THEO CUSTOMER-USD'!W$4)/'06. BC BH THEO CUSTOMER-USD'!DC156/'02. Tỷ giá'!L$5,"-")</f>
        <v>-</v>
      </c>
      <c r="X156" s="106" t="str">
        <f>IFERROR(SUMIFS('01. KE30'!$K:$K,'01. KE30'!$C:$C,'06. BC BH THEO CUSTOMER-USD'!$D156,'01. KE30'!$F:$F,'06. BC BH THEO CUSTOMER-USD'!$H156,'01. KE30'!$A:$A,'06. BC BH THEO CUSTOMER-USD'!X$4)/'06. BC BH THEO CUSTOMER-USD'!DD156/'02. Tỷ giá'!M$5,"-")</f>
        <v>-</v>
      </c>
      <c r="Z156" s="92">
        <f t="shared" si="1542"/>
        <v>612.22177968849724</v>
      </c>
      <c r="AA156" s="147" t="str">
        <f>IFERROR(SUMIFS('01. KE30'!$O:$O,'01. KE30'!$C:$C,'06. BC BH THEO CUSTOMER-USD'!$D156,'01. KE30'!$F:$F,'06. BC BH THEO CUSTOMER-USD'!$H156,'01. KE30'!$A:$A,'06. BC BH THEO CUSTOMER-USD'!M$4)/'06. BC BH THEO CUSTOMER-USD'!CS156/'02. Tỷ giá'!B$5,"-")</f>
        <v>-</v>
      </c>
      <c r="AB156" s="147" t="str">
        <f>IFERROR(SUMIFS('01. KE30'!$O:$O,'01. KE30'!$C:$C,'06. BC BH THEO CUSTOMER-USD'!$D156,'01. KE30'!$F:$F,'06. BC BH THEO CUSTOMER-USD'!$H156,'01. KE30'!$A:$A,'06. BC BH THEO CUSTOMER-USD'!N$4)/'06. BC BH THEO CUSTOMER-USD'!CT156/'02. Tỷ giá'!C$5,"-")</f>
        <v>-</v>
      </c>
      <c r="AC156" s="147" t="str">
        <f>IFERROR(SUMIFS('01. KE30'!$O:$O,'01. KE30'!$C:$C,'06. BC BH THEO CUSTOMER-USD'!$D156,'01. KE30'!$F:$F,'06. BC BH THEO CUSTOMER-USD'!$H156,'01. KE30'!$A:$A,'06. BC BH THEO CUSTOMER-USD'!O$4)/'06. BC BH THEO CUSTOMER-USD'!CU156/'02. Tỷ giá'!D$5,"-")</f>
        <v>-</v>
      </c>
      <c r="AD156" s="147">
        <f>IFERROR(SUMIFS('01. KE30'!$O:$O,'01. KE30'!$C:$C,'06. BC BH THEO CUSTOMER-USD'!$D156,'01. KE30'!$F:$F,'06. BC BH THEO CUSTOMER-USD'!$H156,'01. KE30'!$A:$A,'06. BC BH THEO CUSTOMER-USD'!P$4)/'06. BC BH THEO CUSTOMER-USD'!CV156/'02. Tỷ giá'!E$5,"-")</f>
        <v>646.53503677893923</v>
      </c>
      <c r="AE156" s="147" t="str">
        <f>IFERROR(SUMIFS('01. KE30'!$O:$O,'01. KE30'!$C:$C,'06. BC BH THEO CUSTOMER-USD'!$D156,'01. KE30'!$F:$F,'06. BC BH THEO CUSTOMER-USD'!$H156,'01. KE30'!$A:$A,'06. BC BH THEO CUSTOMER-USD'!Q$4)/'06. BC BH THEO CUSTOMER-USD'!CW156/'02. Tỷ giá'!F$5,"-")</f>
        <v>-</v>
      </c>
      <c r="AF156" s="147">
        <f>IFERROR(SUMIFS('01. KE30'!$O:$O,'01. KE30'!$C:$C,'06. BC BH THEO CUSTOMER-USD'!$D156,'01. KE30'!$F:$F,'06. BC BH THEO CUSTOMER-USD'!$H156,'01. KE30'!$A:$A,'06. BC BH THEO CUSTOMER-USD'!R$4)/'06. BC BH THEO CUSTOMER-USD'!CX156/'02. Tỷ giá'!G$5,"-")</f>
        <v>608.96062002743486</v>
      </c>
      <c r="AG156" s="147">
        <f>IFERROR(SUMIFS('01. KE30'!$O:$O,'01. KE30'!$C:$C,'06. BC BH THEO CUSTOMER-USD'!$D156,'01. KE30'!$F:$F,'06. BC BH THEO CUSTOMER-USD'!$H156,'01. KE30'!$A:$A,'06. BC BH THEO CUSTOMER-USD'!S$4)/'06. BC BH THEO CUSTOMER-USD'!CY156/'02. Tỷ giá'!H$5,"-")</f>
        <v>604.71536339189049</v>
      </c>
      <c r="AH156" s="147">
        <f>IFERROR(SUMIFS('01. KE30'!$O:$O,'01. KE30'!$C:$C,'06. BC BH THEO CUSTOMER-USD'!$D156,'01. KE30'!$F:$F,'06. BC BH THEO CUSTOMER-USD'!$H156,'01. KE30'!$A:$A,'06. BC BH THEO CUSTOMER-USD'!T$4)/'06. BC BH THEO CUSTOMER-USD'!CZ156/'02. Tỷ giá'!I$5,"-")</f>
        <v>601.25060808961405</v>
      </c>
      <c r="AI156" s="147">
        <f>IFERROR(SUMIFS('01. KE30'!$O:$O,'01. KE30'!$C:$C,'06. BC BH THEO CUSTOMER-USD'!$D156,'01. KE30'!$F:$F,'06. BC BH THEO CUSTOMER-USD'!$H156,'01. KE30'!$A:$A,'06. BC BH THEO CUSTOMER-USD'!U$4)/'06. BC BH THEO CUSTOMER-USD'!DA156/'02. Tỷ giá'!J$5,"-")</f>
        <v>599.64727015460733</v>
      </c>
      <c r="AJ156" s="147" t="str">
        <f>IFERROR(SUMIFS('01. KE30'!$O:$O,'01. KE30'!$C:$C,'06. BC BH THEO CUSTOMER-USD'!$D156,'01. KE30'!$F:$F,'06. BC BH THEO CUSTOMER-USD'!$H156,'01. KE30'!$A:$A,'06. BC BH THEO CUSTOMER-USD'!V$4)/'06. BC BH THEO CUSTOMER-USD'!DB156/'02. Tỷ giá'!K$5,"-")</f>
        <v>-</v>
      </c>
      <c r="AK156" s="147" t="str">
        <f>IFERROR(SUMIFS('01. KE30'!$O:$O,'01. KE30'!$C:$C,'06. BC BH THEO CUSTOMER-USD'!$D156,'01. KE30'!$F:$F,'06. BC BH THEO CUSTOMER-USD'!$H156,'01. KE30'!$A:$A,'06. BC BH THEO CUSTOMER-USD'!W$4)/'06. BC BH THEO CUSTOMER-USD'!DC156/'02. Tỷ giá'!L$5,"-")</f>
        <v>-</v>
      </c>
      <c r="AL156" s="147" t="str">
        <f>IFERROR(SUMIFS('01. KE30'!$O:$O,'01. KE30'!$C:$C,'06. BC BH THEO CUSTOMER-USD'!$D156,'01. KE30'!$F:$F,'06. BC BH THEO CUSTOMER-USD'!$H156,'01. KE30'!$A:$A,'06. BC BH THEO CUSTOMER-USD'!X$4)/'06. BC BH THEO CUSTOMER-USD'!DD156/'02. Tỷ giá'!M$5,"-")</f>
        <v>-</v>
      </c>
      <c r="AN156" s="55">
        <f t="shared" si="1543"/>
        <v>943.33333333333337</v>
      </c>
      <c r="AO156" s="4">
        <v>950</v>
      </c>
      <c r="AP156" s="4">
        <v>950</v>
      </c>
      <c r="AQ156" s="4">
        <v>950</v>
      </c>
      <c r="AR156" s="4">
        <v>950</v>
      </c>
      <c r="AS156" s="4">
        <v>950</v>
      </c>
      <c r="AT156" s="4">
        <v>950</v>
      </c>
      <c r="AU156" s="4">
        <v>950</v>
      </c>
      <c r="AV156" s="4">
        <f t="shared" si="1272"/>
        <v>930</v>
      </c>
      <c r="AW156" s="4">
        <v>910</v>
      </c>
      <c r="AX156" s="4"/>
      <c r="AY156" s="4"/>
      <c r="AZ156" s="4"/>
      <c r="BB156" s="54">
        <f t="shared" si="1544"/>
        <v>-331.11155364483614</v>
      </c>
      <c r="BC156" s="95" t="str">
        <f t="shared" si="1545"/>
        <v>-</v>
      </c>
      <c r="BD156" s="95" t="str">
        <f t="shared" si="1546"/>
        <v>-</v>
      </c>
      <c r="BE156" s="95" t="str">
        <f t="shared" si="1547"/>
        <v>-</v>
      </c>
      <c r="BF156" s="95">
        <f t="shared" si="1548"/>
        <v>-303.46496322106077</v>
      </c>
      <c r="BG156" s="95" t="str">
        <f t="shared" si="1549"/>
        <v>-</v>
      </c>
      <c r="BH156" s="95">
        <f t="shared" si="1550"/>
        <v>-341.03937997256514</v>
      </c>
      <c r="BI156" s="95">
        <f t="shared" si="1551"/>
        <v>-345.28463660810951</v>
      </c>
      <c r="BJ156" s="95">
        <f t="shared" si="1552"/>
        <v>-328.74939191038595</v>
      </c>
      <c r="BK156" s="95">
        <f t="shared" si="1553"/>
        <v>-310.35272984539267</v>
      </c>
      <c r="BL156" s="95" t="str">
        <f t="shared" si="1554"/>
        <v>-</v>
      </c>
      <c r="BM156" s="95" t="str">
        <f t="shared" si="1555"/>
        <v>-</v>
      </c>
      <c r="BN156" s="95" t="str">
        <f t="shared" si="1556"/>
        <v>-</v>
      </c>
      <c r="BP156" s="143">
        <f t="shared" si="1557"/>
        <v>-0.35100164697332453</v>
      </c>
      <c r="BQ156" s="143" t="str">
        <f t="shared" si="1558"/>
        <v>-</v>
      </c>
      <c r="BR156" s="143" t="str">
        <f t="shared" si="1559"/>
        <v>-</v>
      </c>
      <c r="BS156" s="143" t="str">
        <f t="shared" si="1560"/>
        <v>-</v>
      </c>
      <c r="BT156" s="143">
        <f t="shared" si="1561"/>
        <v>-0.31943680339059027</v>
      </c>
      <c r="BU156" s="143" t="str">
        <f t="shared" si="1562"/>
        <v>-</v>
      </c>
      <c r="BV156" s="143">
        <f t="shared" si="1563"/>
        <v>-0.35898882102375279</v>
      </c>
      <c r="BW156" s="143">
        <f t="shared" si="1564"/>
        <v>-0.36345751221906264</v>
      </c>
      <c r="BX156" s="143">
        <f t="shared" si="1565"/>
        <v>-0.35349396979611392</v>
      </c>
      <c r="BY156" s="143">
        <f t="shared" si="1566"/>
        <v>-0.34104695587405787</v>
      </c>
      <c r="BZ156" s="143" t="str">
        <f t="shared" si="1567"/>
        <v>-</v>
      </c>
      <c r="CA156" s="143" t="str">
        <f t="shared" si="1568"/>
        <v>-</v>
      </c>
      <c r="CB156" s="143" t="str">
        <f t="shared" si="1569"/>
        <v>-</v>
      </c>
      <c r="CD156" s="112">
        <f t="shared" si="1570"/>
        <v>837.45410368383386</v>
      </c>
      <c r="CE156" s="95" t="str">
        <f>IFERROR(SUMIFS('01. KE30'!$R:$R,'01. KE30'!$C:$C,'06. BC BH THEO CUSTOMER-USD'!$D156,'01. KE30'!$F:$F,'06. BC BH THEO CUSTOMER-USD'!$H156,'01. KE30'!$A:$A,'06. BC BH THEO CUSTOMER-USD'!CE$4)/CS156/'02. Tỷ giá'!B$5," -")</f>
        <v xml:space="preserve"> -</v>
      </c>
      <c r="CF156" s="95" t="str">
        <f>IFERROR(SUMIFS('01. KE30'!$R:$R,'01. KE30'!$C:$C,'06. BC BH THEO CUSTOMER-USD'!$D156,'01. KE30'!$F:$F,'06. BC BH THEO CUSTOMER-USD'!$H156,'01. KE30'!$A:$A,'06. BC BH THEO CUSTOMER-USD'!CF$4)/CT156/'02. Tỷ giá'!C$5," -")</f>
        <v xml:space="preserve"> -</v>
      </c>
      <c r="CG156" s="95" t="str">
        <f>IFERROR(SUMIFS('01. KE30'!$R:$R,'01. KE30'!$C:$C,'06. BC BH THEO CUSTOMER-USD'!$D156,'01. KE30'!$F:$F,'06. BC BH THEO CUSTOMER-USD'!$H156,'01. KE30'!$A:$A,'06. BC BH THEO CUSTOMER-USD'!CG$4)/CU156/'02. Tỷ giá'!D$5," -")</f>
        <v xml:space="preserve"> -</v>
      </c>
      <c r="CH156" s="95">
        <f>IFERROR(SUMIFS('01. KE30'!$R:$R,'01. KE30'!$C:$C,'06. BC BH THEO CUSTOMER-USD'!$D156,'01. KE30'!$F:$F,'06. BC BH THEO CUSTOMER-USD'!$H156,'01. KE30'!$A:$A,'06. BC BH THEO CUSTOMER-USD'!CH$4)/CV156/'02. Tỷ giá'!E$5," -")</f>
        <v>890.40677506775069</v>
      </c>
      <c r="CI156" s="95" t="str">
        <f>IFERROR(SUMIFS('01. KE30'!$R:$R,'01. KE30'!$C:$C,'06. BC BH THEO CUSTOMER-USD'!$D156,'01. KE30'!$F:$F,'06. BC BH THEO CUSTOMER-USD'!$H156,'01. KE30'!$A:$A,'06. BC BH THEO CUSTOMER-USD'!CI$4)/CW156/'02. Tỷ giá'!F$5," -")</f>
        <v xml:space="preserve"> -</v>
      </c>
      <c r="CJ156" s="95">
        <f>IFERROR(SUMIFS('01. KE30'!$R:$R,'01. KE30'!$C:$C,'06. BC BH THEO CUSTOMER-USD'!$D156,'01. KE30'!$F:$F,'06. BC BH THEO CUSTOMER-USD'!$H156,'01. KE30'!$A:$A,'06. BC BH THEO CUSTOMER-USD'!CJ$4)/CX156/'02. Tỷ giá'!G$5," -")</f>
        <v>827.38068861454053</v>
      </c>
      <c r="CK156" s="95">
        <f>IFERROR(SUMIFS('01. KE30'!$R:$R,'01. KE30'!$C:$C,'06. BC BH THEO CUSTOMER-USD'!$D156,'01. KE30'!$F:$F,'06. BC BH THEO CUSTOMER-USD'!$H156,'01. KE30'!$A:$A,'06. BC BH THEO CUSTOMER-USD'!CK$4)/CY156/'02. Tỷ giá'!H$5," -")</f>
        <v>823.97296126846652</v>
      </c>
      <c r="CL156" s="95">
        <f>IFERROR(SUMIFS('01. KE30'!$R:$R,'01. KE30'!$C:$C,'06. BC BH THEO CUSTOMER-USD'!$D156,'01. KE30'!$F:$F,'06. BC BH THEO CUSTOMER-USD'!$H156,'01. KE30'!$A:$A,'06. BC BH THEO CUSTOMER-USD'!CL$4)/CZ156/'02. Tỷ giá'!I$5," -")</f>
        <v>823.03076275721764</v>
      </c>
      <c r="CM156" s="95">
        <f>IFERROR(SUMIFS('01. KE30'!$R:$R,'01. KE30'!$C:$C,'06. BC BH THEO CUSTOMER-USD'!$D156,'01. KE30'!$F:$F,'06. BC BH THEO CUSTOMER-USD'!$H156,'01. KE30'!$A:$A,'06. BC BH THEO CUSTOMER-USD'!CM$4)/DA156/'02. Tỷ giá'!J$5," -")</f>
        <v>822.4793307111936</v>
      </c>
      <c r="CN156" s="95" t="str">
        <f>IFERROR(SUMIFS('01. KE30'!$R:$R,'01. KE30'!$C:$C,'06. BC BH THEO CUSTOMER-USD'!$D156,'01. KE30'!$F:$F,'06. BC BH THEO CUSTOMER-USD'!$H156,'01. KE30'!$A:$A,'06. BC BH THEO CUSTOMER-USD'!CN$4)/DB156/'02. Tỷ giá'!K$5," -")</f>
        <v xml:space="preserve"> -</v>
      </c>
      <c r="CO156" s="95" t="str">
        <f>IFERROR(SUMIFS('01. KE30'!$R:$R,'01. KE30'!$C:$C,'06. BC BH THEO CUSTOMER-USD'!$D156,'01. KE30'!$F:$F,'06. BC BH THEO CUSTOMER-USD'!$H156,'01. KE30'!$A:$A,'06. BC BH THEO CUSTOMER-USD'!CO$4)/DC156/'02. Tỷ giá'!L$5," -")</f>
        <v xml:space="preserve"> -</v>
      </c>
      <c r="CP156" s="95" t="str">
        <f>IFERROR(SUMIFS('01. KE30'!$R:$R,'01. KE30'!$C:$C,'06. BC BH THEO CUSTOMER-USD'!$D156,'01. KE30'!$F:$F,'06. BC BH THEO CUSTOMER-USD'!$H156,'01. KE30'!$A:$A,'06. BC BH THEO CUSTOMER-USD'!CP$4)/DD156/'02. Tỷ giá'!M$5," -")</f>
        <v xml:space="preserve"> -</v>
      </c>
      <c r="CR156" s="112">
        <f t="shared" si="1571"/>
        <v>122.625</v>
      </c>
      <c r="CS156" s="114">
        <f>SUMIFS('01. KE30'!$I:$I,'01. KE30'!$C:$C,'06. BC BH THEO CUSTOMER-USD'!$D156,'01. KE30'!$F:$F,'06. BC BH THEO CUSTOMER-USD'!$H156,'01. KE30'!$A:$A,'06. BC BH THEO CUSTOMER-USD'!CS$4)/1000</f>
        <v>0</v>
      </c>
      <c r="CT156" s="114">
        <f>SUMIFS('01. KE30'!$I:$I,'01. KE30'!$C:$C,'06. BC BH THEO CUSTOMER-USD'!$D156,'01. KE30'!$F:$F,'06. BC BH THEO CUSTOMER-USD'!$H156,'01. KE30'!$A:$A,'06. BC BH THEO CUSTOMER-USD'!CT$4)/1000</f>
        <v>0</v>
      </c>
      <c r="CU156" s="114">
        <f>SUMIFS('01. KE30'!$I:$I,'01. KE30'!$C:$C,'06. BC BH THEO CUSTOMER-USD'!$D156,'01. KE30'!$F:$F,'06. BC BH THEO CUSTOMER-USD'!$H156,'01. KE30'!$A:$A,'06. BC BH THEO CUSTOMER-USD'!CU$4)/1000</f>
        <v>0</v>
      </c>
      <c r="CV156" s="114">
        <f>SUMIFS('01. KE30'!$I:$I,'01. KE30'!$C:$C,'06. BC BH THEO CUSTOMER-USD'!$D156,'01. KE30'!$F:$F,'06. BC BH THEO CUSTOMER-USD'!$H156,'01. KE30'!$A:$A,'06. BC BH THEO CUSTOMER-USD'!CV$4)/1000</f>
        <v>1</v>
      </c>
      <c r="CW156" s="114">
        <f>SUMIFS('01. KE30'!$I:$I,'01. KE30'!$C:$C,'06. BC BH THEO CUSTOMER-USD'!$D156,'01. KE30'!$F:$F,'06. BC BH THEO CUSTOMER-USD'!$H156,'01. KE30'!$A:$A,'06. BC BH THEO CUSTOMER-USD'!CW$4)/1000</f>
        <v>0</v>
      </c>
      <c r="CX156" s="114">
        <f>SUMIFS('01. KE30'!$I:$I,'01. KE30'!$C:$C,'06. BC BH THEO CUSTOMER-USD'!$D156,'01. KE30'!$F:$F,'06. BC BH THEO CUSTOMER-USD'!$H156,'01. KE30'!$A:$A,'06. BC BH THEO CUSTOMER-USD'!CX$4)/1000</f>
        <v>28.125</v>
      </c>
      <c r="CY156" s="114">
        <f>SUMIFS('01. KE30'!$I:$I,'01. KE30'!$C:$C,'06. BC BH THEO CUSTOMER-USD'!$D156,'01. KE30'!$F:$F,'06. BC BH THEO CUSTOMER-USD'!$H156,'01. KE30'!$A:$A,'06. BC BH THEO CUSTOMER-USD'!CY$4)/1000</f>
        <v>22</v>
      </c>
      <c r="CZ156" s="114">
        <f>SUMIFS('01. KE30'!$I:$I,'01. KE30'!$C:$C,'06. BC BH THEO CUSTOMER-USD'!$D156,'01. KE30'!$F:$F,'06. BC BH THEO CUSTOMER-USD'!$H156,'01. KE30'!$A:$A,'06. BC BH THEO CUSTOMER-USD'!CZ$4)/1000</f>
        <v>23.375</v>
      </c>
      <c r="DA156" s="114">
        <f>SUMIFS('01. KE30'!$I:$I,'01. KE30'!$C:$C,'06. BC BH THEO CUSTOMER-USD'!$D156,'01. KE30'!$F:$F,'06. BC BH THEO CUSTOMER-USD'!$H156,'01. KE30'!$A:$A,'06. BC BH THEO CUSTOMER-USD'!DA$4)/1000</f>
        <v>48.125</v>
      </c>
      <c r="DB156" s="114">
        <f>SUMIFS('01. KE30'!$I:$I,'01. KE30'!$C:$C,'06. BC BH THEO CUSTOMER-USD'!$D156,'01. KE30'!$F:$F,'06. BC BH THEO CUSTOMER-USD'!$H156,'01. KE30'!$A:$A,'06. BC BH THEO CUSTOMER-USD'!DB$4)/1000</f>
        <v>0</v>
      </c>
      <c r="DC156" s="114">
        <f>SUMIFS('01. KE30'!$I:$I,'01. KE30'!$C:$C,'06. BC BH THEO CUSTOMER-USD'!$D156,'01. KE30'!$F:$F,'06. BC BH THEO CUSTOMER-USD'!$H156,'01. KE30'!$A:$A,'06. BC BH THEO CUSTOMER-USD'!DC$4)/1000</f>
        <v>0</v>
      </c>
      <c r="DD156" s="114">
        <f>SUMIFS('01. KE30'!$I:$I,'01. KE30'!$C:$C,'06. BC BH THEO CUSTOMER-USD'!$D156,'01. KE30'!$F:$F,'06. BC BH THEO CUSTOMER-USD'!$H156,'01. KE30'!$A:$A,'06. BC BH THEO CUSTOMER-USD'!DD$4)/1000</f>
        <v>0</v>
      </c>
      <c r="DF156" s="112">
        <f t="shared" si="1572"/>
        <v>74143.869297611658</v>
      </c>
      <c r="DG156" s="54" t="str">
        <f t="shared" si="1573"/>
        <v>-</v>
      </c>
      <c r="DH156" s="54" t="str">
        <f t="shared" si="1574"/>
        <v>-</v>
      </c>
      <c r="DI156" s="54" t="str">
        <f t="shared" si="1575"/>
        <v>-</v>
      </c>
      <c r="DJ156" s="54">
        <f t="shared" si="1576"/>
        <v>646.53503677893923</v>
      </c>
      <c r="DK156" s="54" t="str">
        <f t="shared" si="1577"/>
        <v>-</v>
      </c>
      <c r="DL156" s="54">
        <f t="shared" si="1578"/>
        <v>17281.338425925926</v>
      </c>
      <c r="DM156" s="54">
        <f t="shared" si="1579"/>
        <v>13303.737994621591</v>
      </c>
      <c r="DN156" s="54">
        <f t="shared" si="1580"/>
        <v>14054.232964094728</v>
      </c>
      <c r="DO156" s="54">
        <f t="shared" si="1581"/>
        <v>28858.024876190477</v>
      </c>
      <c r="DP156" s="54" t="str">
        <f t="shared" si="1582"/>
        <v>-</v>
      </c>
      <c r="DQ156" s="54" t="str">
        <f t="shared" si="1583"/>
        <v>-</v>
      </c>
      <c r="DR156" s="54" t="str">
        <f t="shared" si="1584"/>
        <v>-</v>
      </c>
      <c r="DT156" s="112">
        <f t="shared" si="1585"/>
        <v>-27118.507350226781</v>
      </c>
      <c r="DU156" s="114">
        <f>IFERROR(SUMIFS('01. KE30'!$X:$X,'01. KE30'!$C:$C,'06. BC BH THEO CUSTOMER-USD'!$D156,'01. KE30'!$F:$F,'06. BC BH THEO CUSTOMER-USD'!$H156,'01. KE30'!$A:$A,'06. BC BH THEO CUSTOMER-USD'!DU$4)-SUMIFS('01. KE30'!$AA:$AA,'01. KE30'!$C:$C,'06. BC BH THEO CUSTOMER-USD'!$D156,'01. KE30'!$F:$F,'06. BC BH THEO CUSTOMER-USD'!$H156,'01. KE30'!$A:$A,'06. BC BH THEO CUSTOMER-USD'!DU$4),"-")</f>
        <v>0</v>
      </c>
      <c r="DV156" s="114">
        <f>IFERROR(SUMIFS('01. KE30'!$X:$X,'01. KE30'!$C:$C,'06. BC BH THEO CUSTOMER-USD'!$D156,'01. KE30'!$F:$F,'06. BC BH THEO CUSTOMER-USD'!$H156,'01. KE30'!$A:$A,'06. BC BH THEO CUSTOMER-USD'!DV$4)-SUMIFS('01. KE30'!$AA:$AA,'01. KE30'!$C:$C,'06. BC BH THEO CUSTOMER-USD'!$D156,'01. KE30'!$F:$F,'06. BC BH THEO CUSTOMER-USD'!$H156,'01. KE30'!$A:$A,'06. BC BH THEO CUSTOMER-USD'!DV$4),"-")</f>
        <v>0</v>
      </c>
      <c r="DW156" s="114">
        <f>IFERROR(SUMIFS('01. KE30'!$X:$X,'01. KE30'!$C:$C,'06. BC BH THEO CUSTOMER-USD'!$D156,'01. KE30'!$F:$F,'06. BC BH THEO CUSTOMER-USD'!$H156,'01. KE30'!$A:$A,'06. BC BH THEO CUSTOMER-USD'!DW$4)-SUMIFS('01. KE30'!$AA:$AA,'01. KE30'!$C:$C,'06. BC BH THEO CUSTOMER-USD'!$D156,'01. KE30'!$F:$F,'06. BC BH THEO CUSTOMER-USD'!$H156,'01. KE30'!$A:$A,'06. BC BH THEO CUSTOMER-USD'!DW$4),"-")</f>
        <v>0</v>
      </c>
      <c r="DX156" s="114">
        <f>IFERROR(SUMIFS('01. KE30'!$X:$X,'01. KE30'!$C:$C,'06. BC BH THEO CUSTOMER-USD'!$D156,'01. KE30'!$F:$F,'06. BC BH THEO CUSTOMER-USD'!$H156,'01. KE30'!$A:$A,'06. BC BH THEO CUSTOMER-USD'!DX$4)-SUMIFS('01. KE30'!$AA:$AA,'01. KE30'!$C:$C,'06. BC BH THEO CUSTOMER-USD'!$D156,'01. KE30'!$F:$F,'06. BC BH THEO CUSTOMER-USD'!$H156,'01. KE30'!$A:$A,'06. BC BH THEO CUSTOMER-USD'!DX$4),"-")</f>
        <v>-243.87173828881146</v>
      </c>
      <c r="DY156" s="114">
        <f>IFERROR(SUMIFS('01. KE30'!$X:$X,'01. KE30'!$C:$C,'06. BC BH THEO CUSTOMER-USD'!$D156,'01. KE30'!$F:$F,'06. BC BH THEO CUSTOMER-USD'!$H156,'01. KE30'!$A:$A,'06. BC BH THEO CUSTOMER-USD'!DY$4)-SUMIFS('01. KE30'!$AA:$AA,'01. KE30'!$C:$C,'06. BC BH THEO CUSTOMER-USD'!$D156,'01. KE30'!$F:$F,'06. BC BH THEO CUSTOMER-USD'!$H156,'01. KE30'!$A:$A,'06. BC BH THEO CUSTOMER-USD'!DY$4),"-")</f>
        <v>0</v>
      </c>
      <c r="DZ156" s="114">
        <f>IFERROR(SUMIFS('01. KE30'!$X:$X,'01. KE30'!$C:$C,'06. BC BH THEO CUSTOMER-USD'!$D156,'01. KE30'!$F:$F,'06. BC BH THEO CUSTOMER-USD'!$H156,'01. KE30'!$A:$A,'06. BC BH THEO CUSTOMER-USD'!DZ$4)-SUMIFS('01. KE30'!$AA:$AA,'01. KE30'!$C:$C,'06. BC BH THEO CUSTOMER-USD'!$D156,'01. KE30'!$F:$F,'06. BC BH THEO CUSTOMER-USD'!$H156,'01. KE30'!$A:$A,'06. BC BH THEO CUSTOMER-USD'!DZ$4),"-")</f>
        <v>-6143.0644290123491</v>
      </c>
      <c r="EA156" s="114">
        <f>IFERROR(SUMIFS('01. KE30'!$X:$X,'01. KE30'!$C:$C,'06. BC BH THEO CUSTOMER-USD'!$D156,'01. KE30'!$F:$F,'06. BC BH THEO CUSTOMER-USD'!$H156,'01. KE30'!$A:$A,'06. BC BH THEO CUSTOMER-USD'!EA$4)-SUMIFS('01. KE30'!$AA:$AA,'01. KE30'!$C:$C,'06. BC BH THEO CUSTOMER-USD'!$D156,'01. KE30'!$F:$F,'06. BC BH THEO CUSTOMER-USD'!$H156,'01. KE30'!$A:$A,'06. BC BH THEO CUSTOMER-USD'!EA$4),"-")</f>
        <v>-4823.6671532846722</v>
      </c>
      <c r="EB156" s="114">
        <f>IFERROR(SUMIFS('01. KE30'!$X:$X,'01. KE30'!$C:$C,'06. BC BH THEO CUSTOMER-USD'!$D156,'01. KE30'!$F:$F,'06. BC BH THEO CUSTOMER-USD'!$H156,'01. KE30'!$A:$A,'06. BC BH THEO CUSTOMER-USD'!EB$4)-SUMIFS('01. KE30'!$AA:$AA,'01. KE30'!$C:$C,'06. BC BH THEO CUSTOMER-USD'!$D156,'01. KE30'!$F:$F,'06. BC BH THEO CUSTOMER-USD'!$H156,'01. KE30'!$A:$A,'06. BC BH THEO CUSTOMER-USD'!EB$4),"-")</f>
        <v>-5184.1111153552338</v>
      </c>
      <c r="EC156" s="114">
        <f>IFERROR(SUMIFS('01. KE30'!$X:$X,'01. KE30'!$C:$C,'06. BC BH THEO CUSTOMER-USD'!$D156,'01. KE30'!$F:$F,'06. BC BH THEO CUSTOMER-USD'!$H156,'01. KE30'!$A:$A,'06. BC BH THEO CUSTOMER-USD'!EC$4)-SUMIFS('01. KE30'!$AA:$AA,'01. KE30'!$C:$C,'06. BC BH THEO CUSTOMER-USD'!$D156,'01. KE30'!$F:$F,'06. BC BH THEO CUSTOMER-USD'!$H156,'01. KE30'!$A:$A,'06. BC BH THEO CUSTOMER-USD'!EC$4),"-")</f>
        <v>-10723.792914285714</v>
      </c>
      <c r="ED156" s="114">
        <f>IFERROR(SUMIFS('01. KE30'!$X:$X,'01. KE30'!$C:$C,'06. BC BH THEO CUSTOMER-USD'!$D156,'01. KE30'!$F:$F,'06. BC BH THEO CUSTOMER-USD'!$H156,'01. KE30'!$A:$A,'06. BC BH THEO CUSTOMER-USD'!ED$4)-SUMIFS('01. KE30'!$AA:$AA,'01. KE30'!$C:$C,'06. BC BH THEO CUSTOMER-USD'!$D156,'01. KE30'!$F:$F,'06. BC BH THEO CUSTOMER-USD'!$H156,'01. KE30'!$A:$A,'06. BC BH THEO CUSTOMER-USD'!ED$4),"-")</f>
        <v>0</v>
      </c>
      <c r="EE156" s="114">
        <f>IFERROR(SUMIFS('01. KE30'!$X:$X,'01. KE30'!$C:$C,'06. BC BH THEO CUSTOMER-USD'!$D156,'01. KE30'!$F:$F,'06. BC BH THEO CUSTOMER-USD'!$H156,'01. KE30'!$A:$A,'06. BC BH THEO CUSTOMER-USD'!EE$4)-SUMIFS('01. KE30'!$AA:$AA,'01. KE30'!$C:$C,'06. BC BH THEO CUSTOMER-USD'!$D156,'01. KE30'!$F:$F,'06. BC BH THEO CUSTOMER-USD'!$H156,'01. KE30'!$A:$A,'06. BC BH THEO CUSTOMER-USD'!EE$4),"-")</f>
        <v>0</v>
      </c>
      <c r="EF156" s="114">
        <f>IFERROR(SUMIFS('01. KE30'!$X:$X,'01. KE30'!$C:$C,'06. BC BH THEO CUSTOMER-USD'!$D156,'01. KE30'!$F:$F,'06. BC BH THEO CUSTOMER-USD'!$H156,'01. KE30'!$A:$A,'06. BC BH THEO CUSTOMER-USD'!EF$4)-SUMIFS('01. KE30'!$AA:$AA,'01. KE30'!$C:$C,'06. BC BH THEO CUSTOMER-USD'!$D156,'01. KE30'!$F:$F,'06. BC BH THEO CUSTOMER-USD'!$H156,'01. KE30'!$A:$A,'06. BC BH THEO CUSTOMER-USD'!EF$4),"-")</f>
        <v>0</v>
      </c>
      <c r="EH156" s="571">
        <f t="shared" si="1586"/>
        <v>-0.36575522166740126</v>
      </c>
      <c r="EI156" s="572" t="str">
        <f t="shared" si="1587"/>
        <v>-</v>
      </c>
      <c r="EJ156" s="572" t="str">
        <f t="shared" si="1588"/>
        <v>-</v>
      </c>
      <c r="EK156" s="572" t="str">
        <f t="shared" si="1589"/>
        <v>-</v>
      </c>
      <c r="EL156" s="572">
        <f t="shared" si="1590"/>
        <v>-0.37719802395209578</v>
      </c>
      <c r="EM156" s="572" t="str">
        <f t="shared" si="1591"/>
        <v>-</v>
      </c>
      <c r="EN156" s="572">
        <f t="shared" si="1592"/>
        <v>-0.3554738804140517</v>
      </c>
      <c r="EO156" s="572">
        <f t="shared" si="1593"/>
        <v>-0.36257983697775575</v>
      </c>
      <c r="EP156" s="572">
        <f t="shared" si="1594"/>
        <v>-0.36886474904745231</v>
      </c>
      <c r="EQ156" s="572">
        <f t="shared" si="1595"/>
        <v>-0.37160522801868734</v>
      </c>
      <c r="ER156" s="572" t="str">
        <f t="shared" si="1596"/>
        <v>-</v>
      </c>
      <c r="ES156" s="572" t="str">
        <f t="shared" si="1597"/>
        <v>-</v>
      </c>
      <c r="ET156" s="572" t="str">
        <f t="shared" si="1598"/>
        <v>-</v>
      </c>
    </row>
    <row r="157" spans="1:150" s="14" customFormat="1" ht="15" hidden="1" collapsed="1" x14ac:dyDescent="0.3">
      <c r="A157" s="58" t="s">
        <v>31</v>
      </c>
      <c r="B157" s="474"/>
      <c r="C157" s="59"/>
      <c r="D157" s="59"/>
      <c r="E157" s="60" t="s">
        <v>266</v>
      </c>
      <c r="F157" s="60"/>
      <c r="G157" s="60"/>
      <c r="H157" s="61"/>
      <c r="I157" s="61"/>
      <c r="J157" s="16"/>
      <c r="K157" s="60"/>
      <c r="L157" s="145">
        <f t="shared" ref="L157:X157" si="1715">IFERROR(AVERAGE(L158:L172),"-")</f>
        <v>818.98987788832187</v>
      </c>
      <c r="M157" s="145">
        <f t="shared" si="1715"/>
        <v>985.21672201744457</v>
      </c>
      <c r="N157" s="145">
        <f t="shared" si="1715"/>
        <v>888.54732834449248</v>
      </c>
      <c r="O157" s="145">
        <f t="shared" si="1715"/>
        <v>897.64173228346453</v>
      </c>
      <c r="P157" s="145">
        <f t="shared" si="1715"/>
        <v>751.20803872667739</v>
      </c>
      <c r="Q157" s="145">
        <f t="shared" si="1715"/>
        <v>764.26484459083065</v>
      </c>
      <c r="R157" s="145">
        <f t="shared" si="1715"/>
        <v>743.74142729377104</v>
      </c>
      <c r="S157" s="145">
        <f t="shared" si="1715"/>
        <v>738.10846459213724</v>
      </c>
      <c r="T157" s="145">
        <f t="shared" si="1715"/>
        <v>796.51845818217089</v>
      </c>
      <c r="U157" s="145">
        <f t="shared" si="1715"/>
        <v>743.9153432346676</v>
      </c>
      <c r="V157" s="145" t="str">
        <f t="shared" si="1715"/>
        <v>-</v>
      </c>
      <c r="W157" s="145" t="str">
        <f t="shared" si="1715"/>
        <v>-</v>
      </c>
      <c r="X157" s="145" t="str">
        <f t="shared" si="1715"/>
        <v>-</v>
      </c>
      <c r="Z157" s="71">
        <f t="shared" ref="Z157:AL157" si="1716">IFERROR(AVERAGE(Z158:Z172),0)</f>
        <v>795.32130808680017</v>
      </c>
      <c r="AA157" s="71">
        <f t="shared" si="1716"/>
        <v>985.21672201744457</v>
      </c>
      <c r="AB157" s="71">
        <f t="shared" si="1716"/>
        <v>851.80152107128777</v>
      </c>
      <c r="AC157" s="71">
        <f t="shared" si="1716"/>
        <v>897.64173228346453</v>
      </c>
      <c r="AD157" s="71">
        <f t="shared" si="1716"/>
        <v>729.12633642817298</v>
      </c>
      <c r="AE157" s="71">
        <f t="shared" si="1716"/>
        <v>753.73206723670762</v>
      </c>
      <c r="AF157" s="71">
        <f t="shared" si="1716"/>
        <v>734.09636556537612</v>
      </c>
      <c r="AG157" s="71">
        <f t="shared" si="1716"/>
        <v>738.10846459213724</v>
      </c>
      <c r="AH157" s="71">
        <f t="shared" si="1716"/>
        <v>778.92893078872203</v>
      </c>
      <c r="AI157" s="71">
        <f t="shared" si="1716"/>
        <v>724.86772418704857</v>
      </c>
      <c r="AJ157" s="71">
        <f t="shared" si="1716"/>
        <v>0</v>
      </c>
      <c r="AK157" s="71">
        <f t="shared" si="1716"/>
        <v>0</v>
      </c>
      <c r="AL157" s="71">
        <f t="shared" si="1716"/>
        <v>0</v>
      </c>
      <c r="AN157" s="71">
        <f t="shared" ref="AN157:AZ157" si="1717">IFERROR(AVERAGE(AN158:AN172),0)</f>
        <v>790</v>
      </c>
      <c r="AO157" s="71">
        <f t="shared" si="1717"/>
        <v>870</v>
      </c>
      <c r="AP157" s="71">
        <f t="shared" si="1717"/>
        <v>800</v>
      </c>
      <c r="AQ157" s="71">
        <f t="shared" si="1717"/>
        <v>805</v>
      </c>
      <c r="AR157" s="71">
        <f t="shared" si="1717"/>
        <v>805</v>
      </c>
      <c r="AS157" s="71">
        <f t="shared" si="1717"/>
        <v>765</v>
      </c>
      <c r="AT157" s="71">
        <f t="shared" si="1717"/>
        <v>765</v>
      </c>
      <c r="AU157" s="71">
        <f t="shared" si="1717"/>
        <v>780</v>
      </c>
      <c r="AV157" s="71">
        <f t="shared" si="1717"/>
        <v>760</v>
      </c>
      <c r="AW157" s="71">
        <f t="shared" si="1717"/>
        <v>760</v>
      </c>
      <c r="AX157" s="71">
        <f t="shared" si="1717"/>
        <v>0</v>
      </c>
      <c r="AY157" s="71">
        <f t="shared" si="1717"/>
        <v>0</v>
      </c>
      <c r="AZ157" s="71">
        <f t="shared" si="1717"/>
        <v>0</v>
      </c>
      <c r="BA157" s="71">
        <f>IFERROR(AVERAGE(BA158:BA233),0)</f>
        <v>0</v>
      </c>
      <c r="BB157" s="96">
        <f t="shared" si="637"/>
        <v>5.3213080868001725</v>
      </c>
      <c r="BC157" s="96">
        <f t="shared" si="1333"/>
        <v>115.21672201744457</v>
      </c>
      <c r="BD157" s="96">
        <f t="shared" ref="BD157:BN180" si="1718">IF(N157&lt;&gt;"-",AB157-AP157,"-")</f>
        <v>51.801521071287766</v>
      </c>
      <c r="BE157" s="96">
        <f t="shared" si="1718"/>
        <v>92.641732283464535</v>
      </c>
      <c r="BF157" s="96">
        <f t="shared" si="1718"/>
        <v>-75.873663571827024</v>
      </c>
      <c r="BG157" s="96">
        <f t="shared" si="1718"/>
        <v>-11.267932763292379</v>
      </c>
      <c r="BH157" s="96">
        <f t="shared" si="1718"/>
        <v>-30.903634434623882</v>
      </c>
      <c r="BI157" s="96">
        <f t="shared" si="1718"/>
        <v>-41.891535407862762</v>
      </c>
      <c r="BJ157" s="96">
        <f t="shared" si="1718"/>
        <v>18.928930788722028</v>
      </c>
      <c r="BK157" s="96">
        <f t="shared" si="1718"/>
        <v>-35.132275812951434</v>
      </c>
      <c r="BL157" s="96" t="str">
        <f t="shared" si="1718"/>
        <v>-</v>
      </c>
      <c r="BM157" s="96" t="str">
        <f t="shared" si="1718"/>
        <v>-</v>
      </c>
      <c r="BN157" s="96" t="str">
        <f t="shared" si="1718"/>
        <v>-</v>
      </c>
      <c r="BP157" s="142">
        <f t="shared" si="639"/>
        <v>6.7358330212660411E-3</v>
      </c>
      <c r="BQ157" s="142">
        <f t="shared" si="1331"/>
        <v>0.13243301381315467</v>
      </c>
      <c r="BR157" s="142">
        <f t="shared" si="518"/>
        <v>6.4751901339109713E-2</v>
      </c>
      <c r="BS157" s="142">
        <f t="shared" si="519"/>
        <v>0.11508289724653979</v>
      </c>
      <c r="BT157" s="142">
        <f t="shared" si="520"/>
        <v>-9.4252998225872076E-2</v>
      </c>
      <c r="BU157" s="142">
        <f t="shared" si="521"/>
        <v>-1.4729323873584809E-2</v>
      </c>
      <c r="BV157" s="142">
        <f t="shared" si="522"/>
        <v>-4.0396907757678277E-2</v>
      </c>
      <c r="BW157" s="142">
        <f t="shared" si="523"/>
        <v>-5.3707096676747133E-2</v>
      </c>
      <c r="BX157" s="142">
        <f t="shared" si="524"/>
        <v>2.4906487879897403E-2</v>
      </c>
      <c r="BY157" s="142">
        <f t="shared" si="525"/>
        <v>-4.622667870125189E-2</v>
      </c>
      <c r="BZ157" s="142" t="str">
        <f t="shared" si="526"/>
        <v>-</v>
      </c>
      <c r="CA157" s="142" t="str">
        <f t="shared" si="527"/>
        <v>-</v>
      </c>
      <c r="CB157" s="142" t="str">
        <f t="shared" si="528"/>
        <v>-</v>
      </c>
      <c r="CD157" s="113">
        <f>IFERROR(AVERAGE(CD158:CD172),0)</f>
        <v>964.30154878551809</v>
      </c>
      <c r="CE157" s="115">
        <f t="shared" ref="CE157:CP157" si="1719">SUM(CE158:CE172)</f>
        <v>1594.5067211658943</v>
      </c>
      <c r="CF157" s="115">
        <f t="shared" si="1719"/>
        <v>5808.9785666511507</v>
      </c>
      <c r="CG157" s="115">
        <f t="shared" si="1719"/>
        <v>2832.1472211882606</v>
      </c>
      <c r="CH157" s="115">
        <f t="shared" si="1719"/>
        <v>4485.33618807528</v>
      </c>
      <c r="CI157" s="115">
        <f t="shared" si="1719"/>
        <v>4538.6330477720267</v>
      </c>
      <c r="CJ157" s="115">
        <f t="shared" si="1719"/>
        <v>4228.7026339786753</v>
      </c>
      <c r="CK157" s="115">
        <f t="shared" si="1719"/>
        <v>5835.9209187534198</v>
      </c>
      <c r="CL157" s="115">
        <f t="shared" si="1719"/>
        <v>6089.8999894540002</v>
      </c>
      <c r="CM157" s="115">
        <f t="shared" si="1719"/>
        <v>5636.60819310027</v>
      </c>
      <c r="CN157" s="115">
        <f t="shared" si="1719"/>
        <v>0</v>
      </c>
      <c r="CO157" s="115">
        <f t="shared" si="1719"/>
        <v>0</v>
      </c>
      <c r="CP157" s="115">
        <f t="shared" si="1719"/>
        <v>0</v>
      </c>
      <c r="CR157" s="115">
        <f t="shared" ref="CR157:DD157" si="1720">SUM(CR158:CR172)</f>
        <v>521.17499999999995</v>
      </c>
      <c r="CS157" s="115">
        <f t="shared" si="1720"/>
        <v>8.5</v>
      </c>
      <c r="CT157" s="115">
        <f t="shared" si="1720"/>
        <v>84</v>
      </c>
      <c r="CU157" s="115">
        <f t="shared" si="1720"/>
        <v>32.5</v>
      </c>
      <c r="CV157" s="115">
        <f t="shared" si="1720"/>
        <v>57.375</v>
      </c>
      <c r="CW157" s="115">
        <f t="shared" si="1720"/>
        <v>63.25</v>
      </c>
      <c r="CX157" s="115">
        <f t="shared" si="1720"/>
        <v>56.375</v>
      </c>
      <c r="CY157" s="115">
        <f t="shared" si="1720"/>
        <v>31.925000000000001</v>
      </c>
      <c r="CZ157" s="115">
        <f t="shared" si="1720"/>
        <v>93.75</v>
      </c>
      <c r="DA157" s="115">
        <f t="shared" si="1720"/>
        <v>93.5</v>
      </c>
      <c r="DB157" s="115">
        <f t="shared" si="1720"/>
        <v>0</v>
      </c>
      <c r="DC157" s="115">
        <f t="shared" si="1720"/>
        <v>0</v>
      </c>
      <c r="DD157" s="115">
        <f t="shared" si="1720"/>
        <v>0</v>
      </c>
      <c r="DF157" s="115">
        <f t="shared" ref="DF157:DR157" si="1721">SUM(DF158:DF172)</f>
        <v>412828.80573698843</v>
      </c>
      <c r="DG157" s="115">
        <f t="shared" si="1721"/>
        <v>8146.1956643918093</v>
      </c>
      <c r="DH157" s="115">
        <f t="shared" si="1721"/>
        <v>80735.025600630164</v>
      </c>
      <c r="DI157" s="115">
        <f t="shared" si="1721"/>
        <v>27735.152559055117</v>
      </c>
      <c r="DJ157" s="115">
        <f t="shared" si="1721"/>
        <v>43324.138559814179</v>
      </c>
      <c r="DK157" s="115">
        <f t="shared" si="1721"/>
        <v>47611.605181747873</v>
      </c>
      <c r="DL157" s="115">
        <f t="shared" si="1721"/>
        <v>41884.216396604941</v>
      </c>
      <c r="DM157" s="115">
        <f t="shared" si="1721"/>
        <v>24474.964809834804</v>
      </c>
      <c r="DN157" s="115">
        <f t="shared" si="1721"/>
        <v>70350.840412528662</v>
      </c>
      <c r="DO157" s="115">
        <f t="shared" si="1721"/>
        <v>68566.66655238095</v>
      </c>
      <c r="DP157" s="115">
        <f t="shared" si="1721"/>
        <v>0</v>
      </c>
      <c r="DQ157" s="115">
        <f t="shared" si="1721"/>
        <v>0</v>
      </c>
      <c r="DR157" s="115">
        <f t="shared" si="1721"/>
        <v>0</v>
      </c>
      <c r="DT157" s="115">
        <f t="shared" ref="DT157:EF157" si="1722">SUM(DT158:DT172)</f>
        <v>-142066.38213895561</v>
      </c>
      <c r="DU157" s="115">
        <f t="shared" si="1722"/>
        <v>204.85523885989551</v>
      </c>
      <c r="DV157" s="115">
        <f t="shared" si="1722"/>
        <v>-42.370618353680925</v>
      </c>
      <c r="DW157" s="115">
        <f t="shared" si="1722"/>
        <v>-7813.8872440944861</v>
      </c>
      <c r="DX157" s="115">
        <f t="shared" si="1722"/>
        <v>-12075.507114896549</v>
      </c>
      <c r="DY157" s="115">
        <f t="shared" si="1722"/>
        <v>-22305.559435421499</v>
      </c>
      <c r="DZ157" s="115">
        <f t="shared" si="1722"/>
        <v>-21307.073379629626</v>
      </c>
      <c r="EA157" s="115">
        <f t="shared" si="1722"/>
        <v>-9962.2054552439513</v>
      </c>
      <c r="EB157" s="115">
        <f t="shared" si="1722"/>
        <v>-45909.827387318561</v>
      </c>
      <c r="EC157" s="115">
        <f t="shared" si="1722"/>
        <v>-22854.806742857145</v>
      </c>
      <c r="ED157" s="115">
        <f t="shared" si="1722"/>
        <v>0</v>
      </c>
      <c r="EE157" s="115">
        <f t="shared" si="1722"/>
        <v>0</v>
      </c>
      <c r="EF157" s="115">
        <f t="shared" si="1722"/>
        <v>0</v>
      </c>
      <c r="EH157" s="574">
        <f t="shared" si="531"/>
        <v>-0.34412904372149244</v>
      </c>
      <c r="EI157" s="574">
        <f t="shared" si="532"/>
        <v>2.514735065293695E-2</v>
      </c>
      <c r="EJ157" s="574">
        <f t="shared" si="533"/>
        <v>-5.2481086168566478E-4</v>
      </c>
      <c r="EK157" s="574">
        <f t="shared" si="534"/>
        <v>-0.28173226116051658</v>
      </c>
      <c r="EL157" s="574">
        <f t="shared" si="535"/>
        <v>-0.27872469058386146</v>
      </c>
      <c r="EM157" s="574">
        <f t="shared" si="536"/>
        <v>-0.46848996899546747</v>
      </c>
      <c r="EN157" s="574">
        <f t="shared" si="537"/>
        <v>-0.50871366860182532</v>
      </c>
      <c r="EO157" s="574">
        <f t="shared" si="538"/>
        <v>-0.40703655889387946</v>
      </c>
      <c r="EP157" s="574">
        <f t="shared" si="539"/>
        <v>-0.65258392249629127</v>
      </c>
      <c r="EQ157" s="574">
        <f t="shared" si="540"/>
        <v>-0.33332241294532527</v>
      </c>
      <c r="ER157" s="574" t="str">
        <f t="shared" si="541"/>
        <v>-</v>
      </c>
      <c r="ES157" s="574" t="str">
        <f t="shared" si="542"/>
        <v>-</v>
      </c>
      <c r="ET157" s="574" t="str">
        <f t="shared" si="543"/>
        <v>-</v>
      </c>
    </row>
    <row r="158" spans="1:150" ht="15.5" hidden="1" outlineLevel="1" x14ac:dyDescent="0.35">
      <c r="A158" s="10">
        <v>1</v>
      </c>
      <c r="B158" s="10" t="s">
        <v>266</v>
      </c>
      <c r="C158" s="442" t="s">
        <v>489</v>
      </c>
      <c r="D158" s="9" t="s">
        <v>28</v>
      </c>
      <c r="E158" s="12" t="s">
        <v>523</v>
      </c>
      <c r="F158" s="12" t="s">
        <v>252</v>
      </c>
      <c r="G158" s="12" t="str">
        <f>_xlfn.XLOOKUP(F158,'Quy đổi'!$G$5:$G$32,'Quy đổi'!$H$5:$H$32,0)</f>
        <v>Châu Âu</v>
      </c>
      <c r="H158" s="76" t="s">
        <v>206</v>
      </c>
      <c r="I158" s="7" t="s">
        <v>207</v>
      </c>
      <c r="J158" s="69" t="s">
        <v>26</v>
      </c>
      <c r="K158" s="11" t="s">
        <v>90</v>
      </c>
      <c r="L158" s="92">
        <f t="shared" si="1263"/>
        <v>948.50334777471448</v>
      </c>
      <c r="M158" s="106" t="str">
        <f>IFERROR(SUMIFS('01. KE30'!$K:$K,'01. KE30'!$C:$C,'06. BC BH THEO CUSTOMER-USD'!$D158,'01. KE30'!$F:$F,'06. BC BH THEO CUSTOMER-USD'!$H158,'01. KE30'!$A:$A,'06. BC BH THEO CUSTOMER-USD'!M$4)/'06. BC BH THEO CUSTOMER-USD'!CS158/'02. Tỷ giá'!B$5,"-")</f>
        <v>-</v>
      </c>
      <c r="N158" s="106">
        <f>IFERROR(SUMIFS('01. KE30'!$K:$K,'01. KE30'!$C:$C,'06. BC BH THEO CUSTOMER-USD'!$D158,'01. KE30'!$F:$F,'06. BC BH THEO CUSTOMER-USD'!$H158,'01. KE30'!$A:$A,'06. BC BH THEO CUSTOMER-USD'!N$4)/'06. BC BH THEO CUSTOMER-USD'!CT158/'02. Tỷ giá'!C$5,"-")</f>
        <v>948.50334777471448</v>
      </c>
      <c r="O158" s="106" t="str">
        <f>IFERROR(SUMIFS('01. KE30'!$K:$K,'01. KE30'!$C:$C,'06. BC BH THEO CUSTOMER-USD'!$D158,'01. KE30'!$F:$F,'06. BC BH THEO CUSTOMER-USD'!$H158,'01. KE30'!$A:$A,'06. BC BH THEO CUSTOMER-USD'!O$4)/'06. BC BH THEO CUSTOMER-USD'!CU158/'02. Tỷ giá'!D$5,"-")</f>
        <v>-</v>
      </c>
      <c r="P158" s="106" t="str">
        <f>IFERROR(SUMIFS('01. KE30'!$K:$K,'01. KE30'!$C:$C,'06. BC BH THEO CUSTOMER-USD'!$D158,'01. KE30'!$F:$F,'06. BC BH THEO CUSTOMER-USD'!$H158,'01. KE30'!$A:$A,'06. BC BH THEO CUSTOMER-USD'!P$4)/'06. BC BH THEO CUSTOMER-USD'!CV158/'02. Tỷ giá'!E$5,"-")</f>
        <v>-</v>
      </c>
      <c r="Q158" s="106" t="str">
        <f>IFERROR(SUMIFS('01. KE30'!$K:$K,'01. KE30'!$C:$C,'06. BC BH THEO CUSTOMER-USD'!$D158,'01. KE30'!$F:$F,'06. BC BH THEO CUSTOMER-USD'!$H158,'01. KE30'!$A:$A,'06. BC BH THEO CUSTOMER-USD'!Q$4)/'06. BC BH THEO CUSTOMER-USD'!CW158/'02. Tỷ giá'!F$5,"-")</f>
        <v>-</v>
      </c>
      <c r="R158" s="106" t="str">
        <f>IFERROR(SUMIFS('01. KE30'!$K:$K,'01. KE30'!$C:$C,'06. BC BH THEO CUSTOMER-USD'!$D158,'01. KE30'!$F:$F,'06. BC BH THEO CUSTOMER-USD'!$H158,'01. KE30'!$A:$A,'06. BC BH THEO CUSTOMER-USD'!R$4)/'06. BC BH THEO CUSTOMER-USD'!CX158/'02. Tỷ giá'!G$5,"-")</f>
        <v>-</v>
      </c>
      <c r="S158" s="106" t="str">
        <f>IFERROR(SUMIFS('01. KE30'!$K:$K,'01. KE30'!$C:$C,'06. BC BH THEO CUSTOMER-USD'!$D158,'01. KE30'!$F:$F,'06. BC BH THEO CUSTOMER-USD'!$H158,'01. KE30'!$A:$A,'06. BC BH THEO CUSTOMER-USD'!S$4)/'06. BC BH THEO CUSTOMER-USD'!CY158/'02. Tỷ giá'!H$5,"-")</f>
        <v>-</v>
      </c>
      <c r="T158" s="106" t="str">
        <f>IFERROR(SUMIFS('01. KE30'!$K:$K,'01. KE30'!$C:$C,'06. BC BH THEO CUSTOMER-USD'!$D158,'01. KE30'!$F:$F,'06. BC BH THEO CUSTOMER-USD'!$H158,'01. KE30'!$A:$A,'06. BC BH THEO CUSTOMER-USD'!T$4)/'06. BC BH THEO CUSTOMER-USD'!CZ158/'02. Tỷ giá'!I$5,"-")</f>
        <v>-</v>
      </c>
      <c r="U158" s="106" t="str">
        <f>IFERROR(SUMIFS('01. KE30'!$K:$K,'01. KE30'!$C:$C,'06. BC BH THEO CUSTOMER-USD'!$D158,'01. KE30'!$F:$F,'06. BC BH THEO CUSTOMER-USD'!$H158,'01. KE30'!$A:$A,'06. BC BH THEO CUSTOMER-USD'!U$4)/'06. BC BH THEO CUSTOMER-USD'!DA158/'02. Tỷ giá'!J$5,"-")</f>
        <v>-</v>
      </c>
      <c r="V158" s="106" t="str">
        <f>IFERROR(SUMIFS('01. KE30'!$K:$K,'01. KE30'!$C:$C,'06. BC BH THEO CUSTOMER-USD'!$D158,'01. KE30'!$F:$F,'06. BC BH THEO CUSTOMER-USD'!$H158,'01. KE30'!$A:$A,'06. BC BH THEO CUSTOMER-USD'!V$4)/'06. BC BH THEO CUSTOMER-USD'!DB158/'02. Tỷ giá'!K$5,"-")</f>
        <v>-</v>
      </c>
      <c r="W158" s="106" t="str">
        <f>IFERROR(SUMIFS('01. KE30'!$K:$K,'01. KE30'!$C:$C,'06. BC BH THEO CUSTOMER-USD'!$D158,'01. KE30'!$F:$F,'06. BC BH THEO CUSTOMER-USD'!$H158,'01. KE30'!$A:$A,'06. BC BH THEO CUSTOMER-USD'!W$4)/'06. BC BH THEO CUSTOMER-USD'!DC158/'02. Tỷ giá'!L$5,"-")</f>
        <v>-</v>
      </c>
      <c r="X158" s="106" t="str">
        <f>IFERROR(SUMIFS('01. KE30'!$K:$K,'01. KE30'!$C:$C,'06. BC BH THEO CUSTOMER-USD'!$D158,'01. KE30'!$F:$F,'06. BC BH THEO CUSTOMER-USD'!$H158,'01. KE30'!$A:$A,'06. BC BH THEO CUSTOMER-USD'!X$4)/'06. BC BH THEO CUSTOMER-USD'!DD158/'02. Tỷ giá'!M$5,"-")</f>
        <v>-</v>
      </c>
      <c r="Z158" s="92">
        <f t="shared" si="1264"/>
        <v>751.11318314296966</v>
      </c>
      <c r="AA158" s="147" t="str">
        <f>IFERROR(SUMIFS('01. KE30'!$O:$O,'01. KE30'!$C:$C,'06. BC BH THEO CUSTOMER-USD'!$D158,'01. KE30'!$F:$F,'06. BC BH THEO CUSTOMER-USD'!$H158,'01. KE30'!$A:$A,'06. BC BH THEO CUSTOMER-USD'!M$4)/'06. BC BH THEO CUSTOMER-USD'!CS158/'02. Tỷ giá'!B$5,"-")</f>
        <v>-</v>
      </c>
      <c r="AB158" s="147">
        <f>IFERROR(SUMIFS('01. KE30'!$O:$O,'01. KE30'!$C:$C,'06. BC BH THEO CUSTOMER-USD'!$D158,'01. KE30'!$F:$F,'06. BC BH THEO CUSTOMER-USD'!$H158,'01. KE30'!$A:$A,'06. BC BH THEO CUSTOMER-USD'!N$4)/'06. BC BH THEO CUSTOMER-USD'!CT158/'02. Tỷ giá'!C$5,"-")</f>
        <v>751.11318314296966</v>
      </c>
      <c r="AC158" s="147" t="str">
        <f>IFERROR(SUMIFS('01. KE30'!$O:$O,'01. KE30'!$C:$C,'06. BC BH THEO CUSTOMER-USD'!$D158,'01. KE30'!$F:$F,'06. BC BH THEO CUSTOMER-USD'!$H158,'01. KE30'!$A:$A,'06. BC BH THEO CUSTOMER-USD'!O$4)/'06. BC BH THEO CUSTOMER-USD'!CU158/'02. Tỷ giá'!D$5,"-")</f>
        <v>-</v>
      </c>
      <c r="AD158" s="147" t="str">
        <f>IFERROR(SUMIFS('01. KE30'!$O:$O,'01. KE30'!$C:$C,'06. BC BH THEO CUSTOMER-USD'!$D158,'01. KE30'!$F:$F,'06. BC BH THEO CUSTOMER-USD'!$H158,'01. KE30'!$A:$A,'06. BC BH THEO CUSTOMER-USD'!P$4)/'06. BC BH THEO CUSTOMER-USD'!CV158/'02. Tỷ giá'!E$5,"-")</f>
        <v>-</v>
      </c>
      <c r="AE158" s="147" t="str">
        <f>IFERROR(SUMIFS('01. KE30'!$O:$O,'01. KE30'!$C:$C,'06. BC BH THEO CUSTOMER-USD'!$D158,'01. KE30'!$F:$F,'06. BC BH THEO CUSTOMER-USD'!$H158,'01. KE30'!$A:$A,'06. BC BH THEO CUSTOMER-USD'!Q$4)/'06. BC BH THEO CUSTOMER-USD'!CW158/'02. Tỷ giá'!F$5,"-")</f>
        <v>-</v>
      </c>
      <c r="AF158" s="147" t="str">
        <f>IFERROR(SUMIFS('01. KE30'!$O:$O,'01. KE30'!$C:$C,'06. BC BH THEO CUSTOMER-USD'!$D158,'01. KE30'!$F:$F,'06. BC BH THEO CUSTOMER-USD'!$H158,'01. KE30'!$A:$A,'06. BC BH THEO CUSTOMER-USD'!R$4)/'06. BC BH THEO CUSTOMER-USD'!CX158/'02. Tỷ giá'!G$5,"-")</f>
        <v>-</v>
      </c>
      <c r="AG158" s="147" t="str">
        <f>IFERROR(SUMIFS('01. KE30'!$O:$O,'01. KE30'!$C:$C,'06. BC BH THEO CUSTOMER-USD'!$D158,'01. KE30'!$F:$F,'06. BC BH THEO CUSTOMER-USD'!$H158,'01. KE30'!$A:$A,'06. BC BH THEO CUSTOMER-USD'!S$4)/'06. BC BH THEO CUSTOMER-USD'!CY158/'02. Tỷ giá'!H$5,"-")</f>
        <v>-</v>
      </c>
      <c r="AH158" s="147" t="str">
        <f>IFERROR(SUMIFS('01. KE30'!$O:$O,'01. KE30'!$C:$C,'06. BC BH THEO CUSTOMER-USD'!$D158,'01. KE30'!$F:$F,'06. BC BH THEO CUSTOMER-USD'!$H158,'01. KE30'!$A:$A,'06. BC BH THEO CUSTOMER-USD'!T$4)/'06. BC BH THEO CUSTOMER-USD'!CZ158/'02. Tỷ giá'!I$5,"-")</f>
        <v>-</v>
      </c>
      <c r="AI158" s="147" t="str">
        <f>IFERROR(SUMIFS('01. KE30'!$O:$O,'01. KE30'!$C:$C,'06. BC BH THEO CUSTOMER-USD'!$D158,'01. KE30'!$F:$F,'06. BC BH THEO CUSTOMER-USD'!$H158,'01. KE30'!$A:$A,'06. BC BH THEO CUSTOMER-USD'!U$4)/'06. BC BH THEO CUSTOMER-USD'!DA158/'02. Tỷ giá'!J$5,"-")</f>
        <v>-</v>
      </c>
      <c r="AJ158" s="147" t="str">
        <f>IFERROR(SUMIFS('01. KE30'!$O:$O,'01. KE30'!$C:$C,'06. BC BH THEO CUSTOMER-USD'!$D158,'01. KE30'!$F:$F,'06. BC BH THEO CUSTOMER-USD'!$H158,'01. KE30'!$A:$A,'06. BC BH THEO CUSTOMER-USD'!V$4)/'06. BC BH THEO CUSTOMER-USD'!DB158/'02. Tỷ giá'!K$5,"-")</f>
        <v>-</v>
      </c>
      <c r="AK158" s="147" t="str">
        <f>IFERROR(SUMIFS('01. KE30'!$O:$O,'01. KE30'!$C:$C,'06. BC BH THEO CUSTOMER-USD'!$D158,'01. KE30'!$F:$F,'06. BC BH THEO CUSTOMER-USD'!$H158,'01. KE30'!$A:$A,'06. BC BH THEO CUSTOMER-USD'!W$4)/'06. BC BH THEO CUSTOMER-USD'!DC158/'02. Tỷ giá'!L$5,"-")</f>
        <v>-</v>
      </c>
      <c r="AL158" s="147" t="str">
        <f>IFERROR(SUMIFS('01. KE30'!$O:$O,'01. KE30'!$C:$C,'06. BC BH THEO CUSTOMER-USD'!$D158,'01. KE30'!$F:$F,'06. BC BH THEO CUSTOMER-USD'!$H158,'01. KE30'!$A:$A,'06. BC BH THEO CUSTOMER-USD'!X$4)/'06. BC BH THEO CUSTOMER-USD'!DD158/'02. Tỷ giá'!M$5,"-")</f>
        <v>-</v>
      </c>
      <c r="AN158" s="55">
        <f t="shared" si="1265"/>
        <v>790</v>
      </c>
      <c r="AO158" s="4">
        <v>870</v>
      </c>
      <c r="AP158" s="4">
        <v>800</v>
      </c>
      <c r="AQ158" s="4">
        <v>805</v>
      </c>
      <c r="AR158" s="4">
        <v>805</v>
      </c>
      <c r="AS158" s="4">
        <v>765</v>
      </c>
      <c r="AT158" s="4">
        <v>765</v>
      </c>
      <c r="AU158" s="4">
        <v>780</v>
      </c>
      <c r="AV158" s="4">
        <f t="shared" si="1272"/>
        <v>760</v>
      </c>
      <c r="AW158" s="4">
        <v>760</v>
      </c>
      <c r="AX158" s="4"/>
      <c r="AY158" s="4"/>
      <c r="AZ158" s="4"/>
      <c r="BB158" s="54">
        <f t="shared" si="637"/>
        <v>-38.88681685703034</v>
      </c>
      <c r="BC158" s="95" t="str">
        <f t="shared" si="1333"/>
        <v>-</v>
      </c>
      <c r="BD158" s="95">
        <f t="shared" si="1718"/>
        <v>-48.88681685703034</v>
      </c>
      <c r="BE158" s="95" t="str">
        <f t="shared" si="1718"/>
        <v>-</v>
      </c>
      <c r="BF158" s="95" t="str">
        <f t="shared" si="1718"/>
        <v>-</v>
      </c>
      <c r="BG158" s="95" t="str">
        <f t="shared" si="1718"/>
        <v>-</v>
      </c>
      <c r="BH158" s="95" t="str">
        <f t="shared" si="1718"/>
        <v>-</v>
      </c>
      <c r="BI158" s="95" t="str">
        <f t="shared" si="1718"/>
        <v>-</v>
      </c>
      <c r="BJ158" s="95" t="str">
        <f t="shared" si="1718"/>
        <v>-</v>
      </c>
      <c r="BK158" s="95" t="str">
        <f t="shared" si="1718"/>
        <v>-</v>
      </c>
      <c r="BL158" s="95" t="str">
        <f t="shared" si="1718"/>
        <v>-</v>
      </c>
      <c r="BM158" s="95" t="str">
        <f t="shared" si="1718"/>
        <v>-</v>
      </c>
      <c r="BN158" s="95" t="str">
        <f t="shared" si="1718"/>
        <v>-</v>
      </c>
      <c r="BP158" s="143">
        <f t="shared" si="639"/>
        <v>-4.9223818806367517E-2</v>
      </c>
      <c r="BQ158" s="143" t="str">
        <f t="shared" si="1331"/>
        <v>-</v>
      </c>
      <c r="BR158" s="143">
        <f t="shared" si="518"/>
        <v>-6.1108521071287926E-2</v>
      </c>
      <c r="BS158" s="143" t="str">
        <f t="shared" si="519"/>
        <v>-</v>
      </c>
      <c r="BT158" s="143" t="str">
        <f t="shared" si="520"/>
        <v>-</v>
      </c>
      <c r="BU158" s="143" t="str">
        <f t="shared" si="521"/>
        <v>-</v>
      </c>
      <c r="BV158" s="143" t="str">
        <f t="shared" si="522"/>
        <v>-</v>
      </c>
      <c r="BW158" s="143" t="str">
        <f t="shared" si="523"/>
        <v>-</v>
      </c>
      <c r="BX158" s="143" t="str">
        <f t="shared" si="524"/>
        <v>-</v>
      </c>
      <c r="BY158" s="143" t="str">
        <f t="shared" si="525"/>
        <v>-</v>
      </c>
      <c r="BZ158" s="143" t="str">
        <f t="shared" si="526"/>
        <v>-</v>
      </c>
      <c r="CA158" s="143" t="str">
        <f t="shared" si="527"/>
        <v>-</v>
      </c>
      <c r="CB158" s="143" t="str">
        <f t="shared" si="528"/>
        <v>-</v>
      </c>
      <c r="CD158" s="112">
        <f t="shared" ref="CD158:CD172" si="1723">IFERROR(AVERAGE(CE158:CP158),"-")</f>
        <v>482.69994801102797</v>
      </c>
      <c r="CE158" s="95" t="str">
        <f>IFERROR(SUMIFS('01. KE30'!$R:$R,'01. KE30'!$C:$C,'06. BC BH THEO CUSTOMER-USD'!$D158,'01. KE30'!$F:$F,'06. BC BH THEO CUSTOMER-USD'!$H158,'01. KE30'!$A:$A,'06. BC BH THEO CUSTOMER-USD'!CE$4)/CS158/'02. Tỷ giá'!B$5," -")</f>
        <v xml:space="preserve"> -</v>
      </c>
      <c r="CF158" s="95">
        <f>IFERROR(SUMIFS('01. KE30'!$R:$R,'01. KE30'!$C:$C,'06. BC BH THEO CUSTOMER-USD'!$D158,'01. KE30'!$F:$F,'06. BC BH THEO CUSTOMER-USD'!$H158,'01. KE30'!$A:$A,'06. BC BH THEO CUSTOMER-USD'!CF$4)/CT158/'02. Tỷ giá'!C$5," -")</f>
        <v>482.69994801102797</v>
      </c>
      <c r="CG158" s="95" t="str">
        <f>IFERROR(SUMIFS('01. KE30'!$R:$R,'01. KE30'!$C:$C,'06. BC BH THEO CUSTOMER-USD'!$D158,'01. KE30'!$F:$F,'06. BC BH THEO CUSTOMER-USD'!$H158,'01. KE30'!$A:$A,'06. BC BH THEO CUSTOMER-USD'!CG$4)/CU158/'02. Tỷ giá'!D$5," -")</f>
        <v xml:space="preserve"> -</v>
      </c>
      <c r="CH158" s="95" t="str">
        <f>IFERROR(SUMIFS('01. KE30'!$R:$R,'01. KE30'!$C:$C,'06. BC BH THEO CUSTOMER-USD'!$D158,'01. KE30'!$F:$F,'06. BC BH THEO CUSTOMER-USD'!$H158,'01. KE30'!$A:$A,'06. BC BH THEO CUSTOMER-USD'!CH$4)/CV158/'02. Tỷ giá'!E$5," -")</f>
        <v xml:space="preserve"> -</v>
      </c>
      <c r="CI158" s="95" t="str">
        <f>IFERROR(SUMIFS('01. KE30'!$R:$R,'01. KE30'!$C:$C,'06. BC BH THEO CUSTOMER-USD'!$D158,'01. KE30'!$F:$F,'06. BC BH THEO CUSTOMER-USD'!$H158,'01. KE30'!$A:$A,'06. BC BH THEO CUSTOMER-USD'!CI$4)/CW158/'02. Tỷ giá'!F$5," -")</f>
        <v xml:space="preserve"> -</v>
      </c>
      <c r="CJ158" s="95" t="str">
        <f>IFERROR(SUMIFS('01. KE30'!$R:$R,'01. KE30'!$C:$C,'06. BC BH THEO CUSTOMER-USD'!$D158,'01. KE30'!$F:$F,'06. BC BH THEO CUSTOMER-USD'!$H158,'01. KE30'!$A:$A,'06. BC BH THEO CUSTOMER-USD'!CJ$4)/CX158/'02. Tỷ giá'!G$5," -")</f>
        <v xml:space="preserve"> -</v>
      </c>
      <c r="CK158" s="95" t="str">
        <f>IFERROR(SUMIFS('01. KE30'!$R:$R,'01. KE30'!$C:$C,'06. BC BH THEO CUSTOMER-USD'!$D158,'01. KE30'!$F:$F,'06. BC BH THEO CUSTOMER-USD'!$H158,'01. KE30'!$A:$A,'06. BC BH THEO CUSTOMER-USD'!CK$4)/CY158/'02. Tỷ giá'!H$5," -")</f>
        <v xml:space="preserve"> -</v>
      </c>
      <c r="CL158" s="95" t="str">
        <f>IFERROR(SUMIFS('01. KE30'!$R:$R,'01. KE30'!$C:$C,'06. BC BH THEO CUSTOMER-USD'!$D158,'01. KE30'!$F:$F,'06. BC BH THEO CUSTOMER-USD'!$H158,'01. KE30'!$A:$A,'06. BC BH THEO CUSTOMER-USD'!CL$4)/CZ158/'02. Tỷ giá'!I$5," -")</f>
        <v xml:space="preserve"> -</v>
      </c>
      <c r="CM158" s="95" t="str">
        <f>IFERROR(SUMIFS('01. KE30'!$R:$R,'01. KE30'!$C:$C,'06. BC BH THEO CUSTOMER-USD'!$D158,'01. KE30'!$F:$F,'06. BC BH THEO CUSTOMER-USD'!$H158,'01. KE30'!$A:$A,'06. BC BH THEO CUSTOMER-USD'!CM$4)/DA158/'02. Tỷ giá'!J$5," -")</f>
        <v xml:space="preserve"> -</v>
      </c>
      <c r="CN158" s="95" t="str">
        <f>IFERROR(SUMIFS('01. KE30'!$R:$R,'01. KE30'!$C:$C,'06. BC BH THEO CUSTOMER-USD'!$D158,'01. KE30'!$F:$F,'06. BC BH THEO CUSTOMER-USD'!$H158,'01. KE30'!$A:$A,'06. BC BH THEO CUSTOMER-USD'!CN$4)/DB158/'02. Tỷ giá'!K$5," -")</f>
        <v xml:space="preserve"> -</v>
      </c>
      <c r="CO158" s="95" t="str">
        <f>IFERROR(SUMIFS('01. KE30'!$R:$R,'01. KE30'!$C:$C,'06. BC BH THEO CUSTOMER-USD'!$D158,'01. KE30'!$F:$F,'06. BC BH THEO CUSTOMER-USD'!$H158,'01. KE30'!$A:$A,'06. BC BH THEO CUSTOMER-USD'!CO$4)/DC158/'02. Tỷ giá'!L$5," -")</f>
        <v xml:space="preserve"> -</v>
      </c>
      <c r="CP158" s="95" t="str">
        <f>IFERROR(SUMIFS('01. KE30'!$R:$R,'01. KE30'!$C:$C,'06. BC BH THEO CUSTOMER-USD'!$D158,'01. KE30'!$F:$F,'06. BC BH THEO CUSTOMER-USD'!$H158,'01. KE30'!$A:$A,'06. BC BH THEO CUSTOMER-USD'!CP$4)/DD158/'02. Tỷ giá'!M$5," -")</f>
        <v xml:space="preserve"> -</v>
      </c>
      <c r="CR158" s="112">
        <f t="shared" si="1249"/>
        <v>25</v>
      </c>
      <c r="CS158" s="114">
        <f>SUMIFS('01. KE30'!$I:$I,'01. KE30'!$C:$C,'06. BC BH THEO CUSTOMER-USD'!$D158,'01. KE30'!$F:$F,'06. BC BH THEO CUSTOMER-USD'!$H158,'01. KE30'!$A:$A,'06. BC BH THEO CUSTOMER-USD'!CS$4)/1000</f>
        <v>0</v>
      </c>
      <c r="CT158" s="114">
        <f>SUMIFS('01. KE30'!$I:$I,'01. KE30'!$C:$C,'06. BC BH THEO CUSTOMER-USD'!$D158,'01. KE30'!$F:$F,'06. BC BH THEO CUSTOMER-USD'!$H158,'01. KE30'!$A:$A,'06. BC BH THEO CUSTOMER-USD'!CT$4)/1000</f>
        <v>25</v>
      </c>
      <c r="CU158" s="114">
        <f>SUMIFS('01. KE30'!$I:$I,'01. KE30'!$C:$C,'06. BC BH THEO CUSTOMER-USD'!$D158,'01. KE30'!$F:$F,'06. BC BH THEO CUSTOMER-USD'!$H158,'01. KE30'!$A:$A,'06. BC BH THEO CUSTOMER-USD'!CU$4)/1000</f>
        <v>0</v>
      </c>
      <c r="CV158" s="114">
        <f>SUMIFS('01. KE30'!$I:$I,'01. KE30'!$C:$C,'06. BC BH THEO CUSTOMER-USD'!$D158,'01. KE30'!$F:$F,'06. BC BH THEO CUSTOMER-USD'!$H158,'01. KE30'!$A:$A,'06. BC BH THEO CUSTOMER-USD'!CV$4)/1000</f>
        <v>0</v>
      </c>
      <c r="CW158" s="114">
        <f>SUMIFS('01. KE30'!$I:$I,'01. KE30'!$C:$C,'06. BC BH THEO CUSTOMER-USD'!$D158,'01. KE30'!$F:$F,'06. BC BH THEO CUSTOMER-USD'!$H158,'01. KE30'!$A:$A,'06. BC BH THEO CUSTOMER-USD'!CW$4)/1000</f>
        <v>0</v>
      </c>
      <c r="CX158" s="114">
        <f>SUMIFS('01. KE30'!$I:$I,'01. KE30'!$C:$C,'06. BC BH THEO CUSTOMER-USD'!$D158,'01. KE30'!$F:$F,'06. BC BH THEO CUSTOMER-USD'!$H158,'01. KE30'!$A:$A,'06. BC BH THEO CUSTOMER-USD'!CX$4)/1000</f>
        <v>0</v>
      </c>
      <c r="CY158" s="114">
        <f>SUMIFS('01. KE30'!$I:$I,'01. KE30'!$C:$C,'06. BC BH THEO CUSTOMER-USD'!$D158,'01. KE30'!$F:$F,'06. BC BH THEO CUSTOMER-USD'!$H158,'01. KE30'!$A:$A,'06. BC BH THEO CUSTOMER-USD'!CY$4)/1000</f>
        <v>0</v>
      </c>
      <c r="CZ158" s="114">
        <f>SUMIFS('01. KE30'!$I:$I,'01. KE30'!$C:$C,'06. BC BH THEO CUSTOMER-USD'!$D158,'01. KE30'!$F:$F,'06. BC BH THEO CUSTOMER-USD'!$H158,'01. KE30'!$A:$A,'06. BC BH THEO CUSTOMER-USD'!CZ$4)/1000</f>
        <v>0</v>
      </c>
      <c r="DA158" s="114">
        <f>SUMIFS('01. KE30'!$I:$I,'01. KE30'!$C:$C,'06. BC BH THEO CUSTOMER-USD'!$D158,'01. KE30'!$F:$F,'06. BC BH THEO CUSTOMER-USD'!$H158,'01. KE30'!$A:$A,'06. BC BH THEO CUSTOMER-USD'!DA$4)/1000</f>
        <v>0</v>
      </c>
      <c r="DB158" s="114">
        <f>SUMIFS('01. KE30'!$I:$I,'01. KE30'!$C:$C,'06. BC BH THEO CUSTOMER-USD'!$D158,'01. KE30'!$F:$F,'06. BC BH THEO CUSTOMER-USD'!$H158,'01. KE30'!$A:$A,'06. BC BH THEO CUSTOMER-USD'!DB$4)/1000</f>
        <v>0</v>
      </c>
      <c r="DC158" s="114">
        <f>SUMIFS('01. KE30'!$I:$I,'01. KE30'!$C:$C,'06. BC BH THEO CUSTOMER-USD'!$D158,'01. KE30'!$F:$F,'06. BC BH THEO CUSTOMER-USD'!$H158,'01. KE30'!$A:$A,'06. BC BH THEO CUSTOMER-USD'!DC$4)/1000</f>
        <v>0</v>
      </c>
      <c r="DD158" s="114">
        <f>SUMIFS('01. KE30'!$I:$I,'01. KE30'!$C:$C,'06. BC BH THEO CUSTOMER-USD'!$D158,'01. KE30'!$F:$F,'06. BC BH THEO CUSTOMER-USD'!$H158,'01. KE30'!$A:$A,'06. BC BH THEO CUSTOMER-USD'!DD$4)/1000</f>
        <v>0</v>
      </c>
      <c r="DF158" s="112">
        <f t="shared" ref="DF158:DF166" si="1724">SUM(DG158:DR158)</f>
        <v>23712.583694367862</v>
      </c>
      <c r="DG158" s="54" t="str">
        <f t="shared" ref="DG158:DG166" si="1725">IFERROR(M158*CS158,"-")</f>
        <v>-</v>
      </c>
      <c r="DH158" s="54">
        <f t="shared" ref="DH158:DH166" si="1726">IFERROR(N158*CT158,"-")</f>
        <v>23712.583694367862</v>
      </c>
      <c r="DI158" s="54" t="str">
        <f t="shared" ref="DI158:DI166" si="1727">IFERROR(O158*CU158,"-")</f>
        <v>-</v>
      </c>
      <c r="DJ158" s="54" t="str">
        <f t="shared" ref="DJ158:DJ166" si="1728">IFERROR(P158*CV158,"-")</f>
        <v>-</v>
      </c>
      <c r="DK158" s="54" t="str">
        <f t="shared" ref="DK158:DK166" si="1729">IFERROR(Q158*CW158,"-")</f>
        <v>-</v>
      </c>
      <c r="DL158" s="54" t="str">
        <f t="shared" ref="DL158:DL166" si="1730">IFERROR(R158*CX158,"-")</f>
        <v>-</v>
      </c>
      <c r="DM158" s="54" t="str">
        <f t="shared" ref="DM158:DM166" si="1731">IFERROR(S158*CY158,"-")</f>
        <v>-</v>
      </c>
      <c r="DN158" s="54" t="str">
        <f t="shared" ref="DN158:DN166" si="1732">IFERROR(T158*CZ158,"-")</f>
        <v>-</v>
      </c>
      <c r="DO158" s="54" t="str">
        <f t="shared" ref="DO158:DO166" si="1733">IFERROR(U158*DA158,"-")</f>
        <v>-</v>
      </c>
      <c r="DP158" s="54" t="str">
        <f t="shared" ref="DP158:DP166" si="1734">IFERROR(V158*DB158,"-")</f>
        <v>-</v>
      </c>
      <c r="DQ158" s="54" t="str">
        <f t="shared" ref="DQ158:DQ166" si="1735">IFERROR(W158*DC158,"-")</f>
        <v>-</v>
      </c>
      <c r="DR158" s="54" t="str">
        <f t="shared" ref="DR158:DR166" si="1736">IFERROR(X158*DD158,"-")</f>
        <v>-</v>
      </c>
      <c r="DT158" s="112">
        <f t="shared" si="652"/>
        <v>6710.3308782985423</v>
      </c>
      <c r="DU158" s="114">
        <f>IFERROR(SUMIFS('01. KE30'!$X:$X,'01. KE30'!$C:$C,'06. BC BH THEO CUSTOMER-USD'!$D158,'01. KE30'!$F:$F,'06. BC BH THEO CUSTOMER-USD'!$H158,'01. KE30'!$A:$A,'06. BC BH THEO CUSTOMER-USD'!DU$4)-SUMIFS('01. KE30'!$AA:$AA,'01. KE30'!$C:$C,'06. BC BH THEO CUSTOMER-USD'!$D158,'01. KE30'!$F:$F,'06. BC BH THEO CUSTOMER-USD'!$H158,'01. KE30'!$A:$A,'06. BC BH THEO CUSTOMER-USD'!DU$4),"-")</f>
        <v>0</v>
      </c>
      <c r="DV158" s="114">
        <f>IFERROR(SUMIFS('01. KE30'!$X:$X,'01. KE30'!$C:$C,'06. BC BH THEO CUSTOMER-USD'!$D158,'01. KE30'!$F:$F,'06. BC BH THEO CUSTOMER-USD'!$H158,'01. KE30'!$A:$A,'06. BC BH THEO CUSTOMER-USD'!DV$4)-SUMIFS('01. KE30'!$AA:$AA,'01. KE30'!$C:$C,'06. BC BH THEO CUSTOMER-USD'!$D158,'01. KE30'!$F:$F,'06. BC BH THEO CUSTOMER-USD'!$H158,'01. KE30'!$A:$A,'06. BC BH THEO CUSTOMER-USD'!DV$4),"-")</f>
        <v>6710.3308782985423</v>
      </c>
      <c r="DW158" s="114">
        <f>IFERROR(SUMIFS('01. KE30'!$X:$X,'01. KE30'!$C:$C,'06. BC BH THEO CUSTOMER-USD'!$D158,'01. KE30'!$F:$F,'06. BC BH THEO CUSTOMER-USD'!$H158,'01. KE30'!$A:$A,'06. BC BH THEO CUSTOMER-USD'!DW$4)-SUMIFS('01. KE30'!$AA:$AA,'01. KE30'!$C:$C,'06. BC BH THEO CUSTOMER-USD'!$D158,'01. KE30'!$F:$F,'06. BC BH THEO CUSTOMER-USD'!$H158,'01. KE30'!$A:$A,'06. BC BH THEO CUSTOMER-USD'!DW$4),"-")</f>
        <v>0</v>
      </c>
      <c r="DX158" s="114">
        <f>IFERROR(SUMIFS('01. KE30'!$X:$X,'01. KE30'!$C:$C,'06. BC BH THEO CUSTOMER-USD'!$D158,'01. KE30'!$F:$F,'06. BC BH THEO CUSTOMER-USD'!$H158,'01. KE30'!$A:$A,'06. BC BH THEO CUSTOMER-USD'!DX$4)-SUMIFS('01. KE30'!$AA:$AA,'01. KE30'!$C:$C,'06. BC BH THEO CUSTOMER-USD'!$D158,'01. KE30'!$F:$F,'06. BC BH THEO CUSTOMER-USD'!$H158,'01. KE30'!$A:$A,'06. BC BH THEO CUSTOMER-USD'!DX$4),"-")</f>
        <v>0</v>
      </c>
      <c r="DY158" s="114">
        <f>IFERROR(SUMIFS('01. KE30'!$X:$X,'01. KE30'!$C:$C,'06. BC BH THEO CUSTOMER-USD'!$D158,'01. KE30'!$F:$F,'06. BC BH THEO CUSTOMER-USD'!$H158,'01. KE30'!$A:$A,'06. BC BH THEO CUSTOMER-USD'!DY$4)-SUMIFS('01. KE30'!$AA:$AA,'01. KE30'!$C:$C,'06. BC BH THEO CUSTOMER-USD'!$D158,'01. KE30'!$F:$F,'06. BC BH THEO CUSTOMER-USD'!$H158,'01. KE30'!$A:$A,'06. BC BH THEO CUSTOMER-USD'!DY$4),"-")</f>
        <v>0</v>
      </c>
      <c r="DZ158" s="114">
        <f>IFERROR(SUMIFS('01. KE30'!$X:$X,'01. KE30'!$C:$C,'06. BC BH THEO CUSTOMER-USD'!$D158,'01. KE30'!$F:$F,'06. BC BH THEO CUSTOMER-USD'!$H158,'01. KE30'!$A:$A,'06. BC BH THEO CUSTOMER-USD'!DZ$4)-SUMIFS('01. KE30'!$AA:$AA,'01. KE30'!$C:$C,'06. BC BH THEO CUSTOMER-USD'!$D158,'01. KE30'!$F:$F,'06. BC BH THEO CUSTOMER-USD'!$H158,'01. KE30'!$A:$A,'06. BC BH THEO CUSTOMER-USD'!DZ$4),"-")</f>
        <v>0</v>
      </c>
      <c r="EA158" s="114">
        <f>IFERROR(SUMIFS('01. KE30'!$X:$X,'01. KE30'!$C:$C,'06. BC BH THEO CUSTOMER-USD'!$D158,'01. KE30'!$F:$F,'06. BC BH THEO CUSTOMER-USD'!$H158,'01. KE30'!$A:$A,'06. BC BH THEO CUSTOMER-USD'!EA$4)-SUMIFS('01. KE30'!$AA:$AA,'01. KE30'!$C:$C,'06. BC BH THEO CUSTOMER-USD'!$D158,'01. KE30'!$F:$F,'06. BC BH THEO CUSTOMER-USD'!$H158,'01. KE30'!$A:$A,'06. BC BH THEO CUSTOMER-USD'!EA$4),"-")</f>
        <v>0</v>
      </c>
      <c r="EB158" s="114">
        <f>IFERROR(SUMIFS('01. KE30'!$X:$X,'01. KE30'!$C:$C,'06. BC BH THEO CUSTOMER-USD'!$D158,'01. KE30'!$F:$F,'06. BC BH THEO CUSTOMER-USD'!$H158,'01. KE30'!$A:$A,'06. BC BH THEO CUSTOMER-USD'!EB$4)-SUMIFS('01. KE30'!$AA:$AA,'01. KE30'!$C:$C,'06. BC BH THEO CUSTOMER-USD'!$D158,'01. KE30'!$F:$F,'06. BC BH THEO CUSTOMER-USD'!$H158,'01. KE30'!$A:$A,'06. BC BH THEO CUSTOMER-USD'!EB$4),"-")</f>
        <v>0</v>
      </c>
      <c r="EC158" s="114">
        <f>IFERROR(SUMIFS('01. KE30'!$X:$X,'01. KE30'!$C:$C,'06. BC BH THEO CUSTOMER-USD'!$D158,'01. KE30'!$F:$F,'06. BC BH THEO CUSTOMER-USD'!$H158,'01. KE30'!$A:$A,'06. BC BH THEO CUSTOMER-USD'!EC$4)-SUMIFS('01. KE30'!$AA:$AA,'01. KE30'!$C:$C,'06. BC BH THEO CUSTOMER-USD'!$D158,'01. KE30'!$F:$F,'06. BC BH THEO CUSTOMER-USD'!$H158,'01. KE30'!$A:$A,'06. BC BH THEO CUSTOMER-USD'!EC$4),"-")</f>
        <v>0</v>
      </c>
      <c r="ED158" s="114">
        <f>IFERROR(SUMIFS('01. KE30'!$X:$X,'01. KE30'!$C:$C,'06. BC BH THEO CUSTOMER-USD'!$D158,'01. KE30'!$F:$F,'06. BC BH THEO CUSTOMER-USD'!$H158,'01. KE30'!$A:$A,'06. BC BH THEO CUSTOMER-USD'!ED$4)-SUMIFS('01. KE30'!$AA:$AA,'01. KE30'!$C:$C,'06. BC BH THEO CUSTOMER-USD'!$D158,'01. KE30'!$F:$F,'06. BC BH THEO CUSTOMER-USD'!$H158,'01. KE30'!$A:$A,'06. BC BH THEO CUSTOMER-USD'!ED$4),"-")</f>
        <v>0</v>
      </c>
      <c r="EE158" s="114">
        <f>IFERROR(SUMIFS('01. KE30'!$X:$X,'01. KE30'!$C:$C,'06. BC BH THEO CUSTOMER-USD'!$D158,'01. KE30'!$F:$F,'06. BC BH THEO CUSTOMER-USD'!$H158,'01. KE30'!$A:$A,'06. BC BH THEO CUSTOMER-USD'!EE$4)-SUMIFS('01. KE30'!$AA:$AA,'01. KE30'!$C:$C,'06. BC BH THEO CUSTOMER-USD'!$D158,'01. KE30'!$F:$F,'06. BC BH THEO CUSTOMER-USD'!$H158,'01. KE30'!$A:$A,'06. BC BH THEO CUSTOMER-USD'!EE$4),"-")</f>
        <v>0</v>
      </c>
      <c r="EF158" s="114">
        <f>IFERROR(SUMIFS('01. KE30'!$X:$X,'01. KE30'!$C:$C,'06. BC BH THEO CUSTOMER-USD'!$D158,'01. KE30'!$F:$F,'06. BC BH THEO CUSTOMER-USD'!$H158,'01. KE30'!$A:$A,'06. BC BH THEO CUSTOMER-USD'!EF$4)-SUMIFS('01. KE30'!$AA:$AA,'01. KE30'!$C:$C,'06. BC BH THEO CUSTOMER-USD'!$D158,'01. KE30'!$F:$F,'06. BC BH THEO CUSTOMER-USD'!$H158,'01. KE30'!$A:$A,'06. BC BH THEO CUSTOMER-USD'!EF$4),"-")</f>
        <v>0</v>
      </c>
      <c r="EH158" s="571">
        <f t="shared" ref="EH158:EH224" si="1737">IFERROR(DT158/DF158,"-")</f>
        <v>0.28298607038305823</v>
      </c>
      <c r="EI158" s="572" t="str">
        <f t="shared" ref="EI158:EI224" si="1738">IFERROR(DU158/DG158,"-")</f>
        <v>-</v>
      </c>
      <c r="EJ158" s="572">
        <f t="shared" ref="EJ158:EJ224" si="1739">IFERROR(DV158/DH158,"-")</f>
        <v>0.28298607038305823</v>
      </c>
      <c r="EK158" s="572" t="str">
        <f t="shared" ref="EK158:EK224" si="1740">IFERROR(DW158/DI158,"-")</f>
        <v>-</v>
      </c>
      <c r="EL158" s="572" t="str">
        <f t="shared" ref="EL158:EL224" si="1741">IFERROR(DX158/DJ158,"-")</f>
        <v>-</v>
      </c>
      <c r="EM158" s="572" t="str">
        <f t="shared" ref="EM158:EM224" si="1742">IFERROR(DY158/DK158,"-")</f>
        <v>-</v>
      </c>
      <c r="EN158" s="572" t="str">
        <f t="shared" ref="EN158:EN224" si="1743">IFERROR(DZ158/DL158,"-")</f>
        <v>-</v>
      </c>
      <c r="EO158" s="572" t="str">
        <f t="shared" ref="EO158:EO224" si="1744">IFERROR(EA158/DM158,"-")</f>
        <v>-</v>
      </c>
      <c r="EP158" s="572" t="str">
        <f t="shared" ref="EP158:EP224" si="1745">IFERROR(EB158/DN158,"-")</f>
        <v>-</v>
      </c>
      <c r="EQ158" s="572" t="str">
        <f t="shared" ref="EQ158:EQ224" si="1746">IFERROR(EC158/DO158,"-")</f>
        <v>-</v>
      </c>
      <c r="ER158" s="572" t="str">
        <f t="shared" ref="ER158:ER224" si="1747">IFERROR(ED158/DP158,"-")</f>
        <v>-</v>
      </c>
      <c r="ES158" s="572" t="str">
        <f t="shared" ref="ES158:ES224" si="1748">IFERROR(EE158/DQ158,"-")</f>
        <v>-</v>
      </c>
      <c r="ET158" s="572" t="str">
        <f t="shared" ref="ET158:ET224" si="1749">IFERROR(EF158/DR158,"-")</f>
        <v>-</v>
      </c>
    </row>
    <row r="159" spans="1:150" ht="15.5" hidden="1" outlineLevel="1" x14ac:dyDescent="0.35">
      <c r="A159" s="10">
        <f t="shared" si="1266"/>
        <v>2</v>
      </c>
      <c r="B159" s="10" t="s">
        <v>266</v>
      </c>
      <c r="C159" s="442" t="s">
        <v>45</v>
      </c>
      <c r="D159" s="9" t="s">
        <v>46</v>
      </c>
      <c r="E159" s="12" t="s">
        <v>525</v>
      </c>
      <c r="F159" s="12" t="s">
        <v>246</v>
      </c>
      <c r="G159" s="12" t="str">
        <f>_xlfn.XLOOKUP(F159,'Quy đổi'!$G$5:$G$32,'Quy đổi'!$H$5:$H$32,0)</f>
        <v>Châu Âu</v>
      </c>
      <c r="H159" s="76" t="s">
        <v>540</v>
      </c>
      <c r="I159" s="7" t="s">
        <v>541</v>
      </c>
      <c r="J159" s="6" t="s">
        <v>26</v>
      </c>
      <c r="K159" s="11" t="s">
        <v>113</v>
      </c>
      <c r="L159" s="92">
        <f t="shared" si="1263"/>
        <v>1198.1094919259551</v>
      </c>
      <c r="M159" s="106" t="str">
        <f>IFERROR(SUMIFS('01. KE30'!$K:$K,'01. KE30'!$C:$C,'06. BC BH THEO CUSTOMER-USD'!$D159,'01. KE30'!$F:$F,'06. BC BH THEO CUSTOMER-USD'!$H159,'01. KE30'!$A:$A,'06. BC BH THEO CUSTOMER-USD'!M$4)/'06. BC BH THEO CUSTOMER-USD'!CS159/'02. Tỷ giá'!B$5,"-")</f>
        <v>-</v>
      </c>
      <c r="N159" s="106">
        <f>IFERROR(SUMIFS('01. KE30'!$K:$K,'01. KE30'!$C:$C,'06. BC BH THEO CUSTOMER-USD'!$D159,'01. KE30'!$F:$F,'06. BC BH THEO CUSTOMER-USD'!$H159,'01. KE30'!$A:$A,'06. BC BH THEO CUSTOMER-USD'!N$4)/'06. BC BH THEO CUSTOMER-USD'!CT159/'02. Tỷ giá'!C$5,"-")</f>
        <v>1198.1094919259551</v>
      </c>
      <c r="O159" s="106" t="str">
        <f>IFERROR(SUMIFS('01. KE30'!$K:$K,'01. KE30'!$C:$C,'06. BC BH THEO CUSTOMER-USD'!$D159,'01. KE30'!$F:$F,'06. BC BH THEO CUSTOMER-USD'!$H159,'01. KE30'!$A:$A,'06. BC BH THEO CUSTOMER-USD'!O$4)/'06. BC BH THEO CUSTOMER-USD'!CU159/'02. Tỷ giá'!D$5,"-")</f>
        <v>-</v>
      </c>
      <c r="P159" s="106" t="str">
        <f>IFERROR(SUMIFS('01. KE30'!$K:$K,'01. KE30'!$C:$C,'06. BC BH THEO CUSTOMER-USD'!$D159,'01. KE30'!$F:$F,'06. BC BH THEO CUSTOMER-USD'!$H159,'01. KE30'!$A:$A,'06. BC BH THEO CUSTOMER-USD'!P$4)/'06. BC BH THEO CUSTOMER-USD'!CV159/'02. Tỷ giá'!E$5,"-")</f>
        <v>-</v>
      </c>
      <c r="Q159" s="106" t="str">
        <f>IFERROR(SUMIFS('01. KE30'!$K:$K,'01. KE30'!$C:$C,'06. BC BH THEO CUSTOMER-USD'!$D159,'01. KE30'!$F:$F,'06. BC BH THEO CUSTOMER-USD'!$H159,'01. KE30'!$A:$A,'06. BC BH THEO CUSTOMER-USD'!Q$4)/'06. BC BH THEO CUSTOMER-USD'!CW159/'02. Tỷ giá'!F$5,"-")</f>
        <v>-</v>
      </c>
      <c r="R159" s="106" t="str">
        <f>IFERROR(SUMIFS('01. KE30'!$K:$K,'01. KE30'!$C:$C,'06. BC BH THEO CUSTOMER-USD'!$D159,'01. KE30'!$F:$F,'06. BC BH THEO CUSTOMER-USD'!$H159,'01. KE30'!$A:$A,'06. BC BH THEO CUSTOMER-USD'!R$4)/'06. BC BH THEO CUSTOMER-USD'!CX159/'02. Tỷ giá'!G$5,"-")</f>
        <v>-</v>
      </c>
      <c r="S159" s="106" t="str">
        <f>IFERROR(SUMIFS('01. KE30'!$K:$K,'01. KE30'!$C:$C,'06. BC BH THEO CUSTOMER-USD'!$D159,'01. KE30'!$F:$F,'06. BC BH THEO CUSTOMER-USD'!$H159,'01. KE30'!$A:$A,'06. BC BH THEO CUSTOMER-USD'!S$4)/'06. BC BH THEO CUSTOMER-USD'!CY159/'02. Tỷ giá'!H$5,"-")</f>
        <v>-</v>
      </c>
      <c r="T159" s="106" t="str">
        <f>IFERROR(SUMIFS('01. KE30'!$K:$K,'01. KE30'!$C:$C,'06. BC BH THEO CUSTOMER-USD'!$D159,'01. KE30'!$F:$F,'06. BC BH THEO CUSTOMER-USD'!$H159,'01. KE30'!$A:$A,'06. BC BH THEO CUSTOMER-USD'!T$4)/'06. BC BH THEO CUSTOMER-USD'!CZ159/'02. Tỷ giá'!I$5,"-")</f>
        <v>-</v>
      </c>
      <c r="U159" s="106" t="str">
        <f>IFERROR(SUMIFS('01. KE30'!$K:$K,'01. KE30'!$C:$C,'06. BC BH THEO CUSTOMER-USD'!$D159,'01. KE30'!$F:$F,'06. BC BH THEO CUSTOMER-USD'!$H159,'01. KE30'!$A:$A,'06. BC BH THEO CUSTOMER-USD'!U$4)/'06. BC BH THEO CUSTOMER-USD'!DA159/'02. Tỷ giá'!J$5,"-")</f>
        <v>-</v>
      </c>
      <c r="V159" s="106" t="str">
        <f>IFERROR(SUMIFS('01. KE30'!$K:$K,'01. KE30'!$C:$C,'06. BC BH THEO CUSTOMER-USD'!$D159,'01. KE30'!$F:$F,'06. BC BH THEO CUSTOMER-USD'!$H159,'01. KE30'!$A:$A,'06. BC BH THEO CUSTOMER-USD'!V$4)/'06. BC BH THEO CUSTOMER-USD'!DB159/'02. Tỷ giá'!K$5,"-")</f>
        <v>-</v>
      </c>
      <c r="W159" s="106" t="str">
        <f>IFERROR(SUMIFS('01. KE30'!$K:$K,'01. KE30'!$C:$C,'06. BC BH THEO CUSTOMER-USD'!$D159,'01. KE30'!$F:$F,'06. BC BH THEO CUSTOMER-USD'!$H159,'01. KE30'!$A:$A,'06. BC BH THEO CUSTOMER-USD'!W$4)/'06. BC BH THEO CUSTOMER-USD'!DC159/'02. Tỷ giá'!L$5,"-")</f>
        <v>-</v>
      </c>
      <c r="X159" s="106" t="str">
        <f>IFERROR(SUMIFS('01. KE30'!$K:$K,'01. KE30'!$C:$C,'06. BC BH THEO CUSTOMER-USD'!$D159,'01. KE30'!$F:$F,'06. BC BH THEO CUSTOMER-USD'!$H159,'01. KE30'!$A:$A,'06. BC BH THEO CUSTOMER-USD'!X$4)/'06. BC BH THEO CUSTOMER-USD'!DD159/'02. Tỷ giá'!M$5,"-")</f>
        <v>-</v>
      </c>
      <c r="Z159" s="92">
        <f t="shared" si="1264"/>
        <v>1175.0248129184718</v>
      </c>
      <c r="AA159" s="147" t="str">
        <f>IFERROR(SUMIFS('01. KE30'!$O:$O,'01. KE30'!$C:$C,'06. BC BH THEO CUSTOMER-USD'!$D159,'01. KE30'!$F:$F,'06. BC BH THEO CUSTOMER-USD'!$H159,'01. KE30'!$A:$A,'06. BC BH THEO CUSTOMER-USD'!M$4)/'06. BC BH THEO CUSTOMER-USD'!CS159/'02. Tỷ giá'!B$5,"-")</f>
        <v>-</v>
      </c>
      <c r="AB159" s="147">
        <f>IFERROR(SUMIFS('01. KE30'!$O:$O,'01. KE30'!$C:$C,'06. BC BH THEO CUSTOMER-USD'!$D159,'01. KE30'!$F:$F,'06. BC BH THEO CUSTOMER-USD'!$H159,'01. KE30'!$A:$A,'06. BC BH THEO CUSTOMER-USD'!N$4)/'06. BC BH THEO CUSTOMER-USD'!CT159/'02. Tỷ giá'!C$5,"-")</f>
        <v>1175.0248129184718</v>
      </c>
      <c r="AC159" s="147" t="str">
        <f>IFERROR(SUMIFS('01. KE30'!$O:$O,'01. KE30'!$C:$C,'06. BC BH THEO CUSTOMER-USD'!$D159,'01. KE30'!$F:$F,'06. BC BH THEO CUSTOMER-USD'!$H159,'01. KE30'!$A:$A,'06. BC BH THEO CUSTOMER-USD'!O$4)/'06. BC BH THEO CUSTOMER-USD'!CU159/'02. Tỷ giá'!D$5,"-")</f>
        <v>-</v>
      </c>
      <c r="AD159" s="147" t="str">
        <f>IFERROR(SUMIFS('01. KE30'!$O:$O,'01. KE30'!$C:$C,'06. BC BH THEO CUSTOMER-USD'!$D159,'01. KE30'!$F:$F,'06. BC BH THEO CUSTOMER-USD'!$H159,'01. KE30'!$A:$A,'06. BC BH THEO CUSTOMER-USD'!P$4)/'06. BC BH THEO CUSTOMER-USD'!CV159/'02. Tỷ giá'!E$5,"-")</f>
        <v>-</v>
      </c>
      <c r="AE159" s="147" t="str">
        <f>IFERROR(SUMIFS('01. KE30'!$O:$O,'01. KE30'!$C:$C,'06. BC BH THEO CUSTOMER-USD'!$D159,'01. KE30'!$F:$F,'06. BC BH THEO CUSTOMER-USD'!$H159,'01. KE30'!$A:$A,'06. BC BH THEO CUSTOMER-USD'!Q$4)/'06. BC BH THEO CUSTOMER-USD'!CW159/'02. Tỷ giá'!F$5,"-")</f>
        <v>-</v>
      </c>
      <c r="AF159" s="147" t="str">
        <f>IFERROR(SUMIFS('01. KE30'!$O:$O,'01. KE30'!$C:$C,'06. BC BH THEO CUSTOMER-USD'!$D159,'01. KE30'!$F:$F,'06. BC BH THEO CUSTOMER-USD'!$H159,'01. KE30'!$A:$A,'06. BC BH THEO CUSTOMER-USD'!R$4)/'06. BC BH THEO CUSTOMER-USD'!CX159/'02. Tỷ giá'!G$5,"-")</f>
        <v>-</v>
      </c>
      <c r="AG159" s="147" t="str">
        <f>IFERROR(SUMIFS('01. KE30'!$O:$O,'01. KE30'!$C:$C,'06. BC BH THEO CUSTOMER-USD'!$D159,'01. KE30'!$F:$F,'06. BC BH THEO CUSTOMER-USD'!$H159,'01. KE30'!$A:$A,'06. BC BH THEO CUSTOMER-USD'!S$4)/'06. BC BH THEO CUSTOMER-USD'!CY159/'02. Tỷ giá'!H$5,"-")</f>
        <v>-</v>
      </c>
      <c r="AH159" s="147" t="str">
        <f>IFERROR(SUMIFS('01. KE30'!$O:$O,'01. KE30'!$C:$C,'06. BC BH THEO CUSTOMER-USD'!$D159,'01. KE30'!$F:$F,'06. BC BH THEO CUSTOMER-USD'!$H159,'01. KE30'!$A:$A,'06. BC BH THEO CUSTOMER-USD'!T$4)/'06. BC BH THEO CUSTOMER-USD'!CZ159/'02. Tỷ giá'!I$5,"-")</f>
        <v>-</v>
      </c>
      <c r="AI159" s="147" t="str">
        <f>IFERROR(SUMIFS('01. KE30'!$O:$O,'01. KE30'!$C:$C,'06. BC BH THEO CUSTOMER-USD'!$D159,'01. KE30'!$F:$F,'06. BC BH THEO CUSTOMER-USD'!$H159,'01. KE30'!$A:$A,'06. BC BH THEO CUSTOMER-USD'!U$4)/'06. BC BH THEO CUSTOMER-USD'!DA159/'02. Tỷ giá'!J$5,"-")</f>
        <v>-</v>
      </c>
      <c r="AJ159" s="147" t="str">
        <f>IFERROR(SUMIFS('01. KE30'!$O:$O,'01. KE30'!$C:$C,'06. BC BH THEO CUSTOMER-USD'!$D159,'01. KE30'!$F:$F,'06. BC BH THEO CUSTOMER-USD'!$H159,'01. KE30'!$A:$A,'06. BC BH THEO CUSTOMER-USD'!V$4)/'06. BC BH THEO CUSTOMER-USD'!DB159/'02. Tỷ giá'!K$5,"-")</f>
        <v>-</v>
      </c>
      <c r="AK159" s="147" t="str">
        <f>IFERROR(SUMIFS('01. KE30'!$O:$O,'01. KE30'!$C:$C,'06. BC BH THEO CUSTOMER-USD'!$D159,'01. KE30'!$F:$F,'06. BC BH THEO CUSTOMER-USD'!$H159,'01. KE30'!$A:$A,'06. BC BH THEO CUSTOMER-USD'!W$4)/'06. BC BH THEO CUSTOMER-USD'!DC159/'02. Tỷ giá'!L$5,"-")</f>
        <v>-</v>
      </c>
      <c r="AL159" s="147" t="str">
        <f>IFERROR(SUMIFS('01. KE30'!$O:$O,'01. KE30'!$C:$C,'06. BC BH THEO CUSTOMER-USD'!$D159,'01. KE30'!$F:$F,'06. BC BH THEO CUSTOMER-USD'!$H159,'01. KE30'!$A:$A,'06. BC BH THEO CUSTOMER-USD'!X$4)/'06. BC BH THEO CUSTOMER-USD'!DD159/'02. Tỷ giá'!M$5,"-")</f>
        <v>-</v>
      </c>
      <c r="AN159" s="55">
        <f t="shared" si="1265"/>
        <v>790</v>
      </c>
      <c r="AO159" s="4">
        <v>870</v>
      </c>
      <c r="AP159" s="4">
        <v>800</v>
      </c>
      <c r="AQ159" s="4">
        <v>805</v>
      </c>
      <c r="AR159" s="4">
        <v>805</v>
      </c>
      <c r="AS159" s="4">
        <v>765</v>
      </c>
      <c r="AT159" s="4">
        <v>765</v>
      </c>
      <c r="AU159" s="4">
        <v>780</v>
      </c>
      <c r="AV159" s="4">
        <f t="shared" si="1272"/>
        <v>760</v>
      </c>
      <c r="AW159" s="4">
        <v>760</v>
      </c>
      <c r="AX159" s="4"/>
      <c r="AY159" s="4"/>
      <c r="AZ159" s="4"/>
      <c r="BB159" s="54">
        <f t="shared" si="637"/>
        <v>385.02481291847175</v>
      </c>
      <c r="BC159" s="95" t="str">
        <f t="shared" si="1333"/>
        <v>-</v>
      </c>
      <c r="BD159" s="95">
        <f t="shared" si="1718"/>
        <v>375.02481291847175</v>
      </c>
      <c r="BE159" s="95" t="str">
        <f t="shared" si="1718"/>
        <v>-</v>
      </c>
      <c r="BF159" s="95" t="str">
        <f t="shared" si="1718"/>
        <v>-</v>
      </c>
      <c r="BG159" s="95" t="str">
        <f t="shared" si="1718"/>
        <v>-</v>
      </c>
      <c r="BH159" s="95" t="str">
        <f t="shared" si="1718"/>
        <v>-</v>
      </c>
      <c r="BI159" s="95" t="str">
        <f t="shared" si="1718"/>
        <v>-</v>
      </c>
      <c r="BJ159" s="95" t="str">
        <f t="shared" si="1718"/>
        <v>-</v>
      </c>
      <c r="BK159" s="95" t="str">
        <f t="shared" si="1718"/>
        <v>-</v>
      </c>
      <c r="BL159" s="95" t="str">
        <f t="shared" si="1718"/>
        <v>-</v>
      </c>
      <c r="BM159" s="95" t="str">
        <f t="shared" si="1718"/>
        <v>-</v>
      </c>
      <c r="BN159" s="95" t="str">
        <f t="shared" si="1718"/>
        <v>-</v>
      </c>
      <c r="BP159" s="143">
        <f t="shared" si="639"/>
        <v>0.48737318090945791</v>
      </c>
      <c r="BQ159" s="143" t="str">
        <f t="shared" si="1331"/>
        <v>-</v>
      </c>
      <c r="BR159" s="143">
        <f t="shared" si="518"/>
        <v>0.4687810161480897</v>
      </c>
      <c r="BS159" s="143" t="str">
        <f t="shared" si="519"/>
        <v>-</v>
      </c>
      <c r="BT159" s="143" t="str">
        <f t="shared" si="520"/>
        <v>-</v>
      </c>
      <c r="BU159" s="143" t="str">
        <f t="shared" si="521"/>
        <v>-</v>
      </c>
      <c r="BV159" s="143" t="str">
        <f t="shared" si="522"/>
        <v>-</v>
      </c>
      <c r="BW159" s="143" t="str">
        <f t="shared" si="523"/>
        <v>-</v>
      </c>
      <c r="BX159" s="143" t="str">
        <f t="shared" si="524"/>
        <v>-</v>
      </c>
      <c r="BY159" s="143" t="str">
        <f t="shared" si="525"/>
        <v>-</v>
      </c>
      <c r="BZ159" s="143" t="str">
        <f t="shared" si="526"/>
        <v>-</v>
      </c>
      <c r="CA159" s="143" t="str">
        <f t="shared" si="527"/>
        <v>-</v>
      </c>
      <c r="CB159" s="143" t="str">
        <f t="shared" si="528"/>
        <v>-</v>
      </c>
      <c r="CD159" s="112">
        <f t="shared" si="1723"/>
        <v>1286.2336510437178</v>
      </c>
      <c r="CE159" s="95" t="str">
        <f>IFERROR(SUMIFS('01. KE30'!$R:$R,'01. KE30'!$C:$C,'06. BC BH THEO CUSTOMER-USD'!$D159,'01. KE30'!$F:$F,'06. BC BH THEO CUSTOMER-USD'!$H159,'01. KE30'!$A:$A,'06. BC BH THEO CUSTOMER-USD'!CE$4)/CS159/'02. Tỷ giá'!B$5," -")</f>
        <v xml:space="preserve"> -</v>
      </c>
      <c r="CF159" s="95">
        <f>IFERROR(SUMIFS('01. KE30'!$R:$R,'01. KE30'!$C:$C,'06. BC BH THEO CUSTOMER-USD'!$D159,'01. KE30'!$F:$F,'06. BC BH THEO CUSTOMER-USD'!$H159,'01. KE30'!$A:$A,'06. BC BH THEO CUSTOMER-USD'!CF$4)/CT159/'02. Tỷ giá'!C$5," -")</f>
        <v>1286.2336510437178</v>
      </c>
      <c r="CG159" s="95" t="str">
        <f>IFERROR(SUMIFS('01. KE30'!$R:$R,'01. KE30'!$C:$C,'06. BC BH THEO CUSTOMER-USD'!$D159,'01. KE30'!$F:$F,'06. BC BH THEO CUSTOMER-USD'!$H159,'01. KE30'!$A:$A,'06. BC BH THEO CUSTOMER-USD'!CG$4)/CU159/'02. Tỷ giá'!D$5," -")</f>
        <v xml:space="preserve"> -</v>
      </c>
      <c r="CH159" s="95" t="str">
        <f>IFERROR(SUMIFS('01. KE30'!$R:$R,'01. KE30'!$C:$C,'06. BC BH THEO CUSTOMER-USD'!$D159,'01. KE30'!$F:$F,'06. BC BH THEO CUSTOMER-USD'!$H159,'01. KE30'!$A:$A,'06. BC BH THEO CUSTOMER-USD'!CH$4)/CV159/'02. Tỷ giá'!E$5," -")</f>
        <v xml:space="preserve"> -</v>
      </c>
      <c r="CI159" s="95" t="str">
        <f>IFERROR(SUMIFS('01. KE30'!$R:$R,'01. KE30'!$C:$C,'06. BC BH THEO CUSTOMER-USD'!$D159,'01. KE30'!$F:$F,'06. BC BH THEO CUSTOMER-USD'!$H159,'01. KE30'!$A:$A,'06. BC BH THEO CUSTOMER-USD'!CI$4)/CW159/'02. Tỷ giá'!F$5," -")</f>
        <v xml:space="preserve"> -</v>
      </c>
      <c r="CJ159" s="95" t="str">
        <f>IFERROR(SUMIFS('01. KE30'!$R:$R,'01. KE30'!$C:$C,'06. BC BH THEO CUSTOMER-USD'!$D159,'01. KE30'!$F:$F,'06. BC BH THEO CUSTOMER-USD'!$H159,'01. KE30'!$A:$A,'06. BC BH THEO CUSTOMER-USD'!CJ$4)/CX159/'02. Tỷ giá'!G$5," -")</f>
        <v xml:space="preserve"> -</v>
      </c>
      <c r="CK159" s="95" t="str">
        <f>IFERROR(SUMIFS('01. KE30'!$R:$R,'01. KE30'!$C:$C,'06. BC BH THEO CUSTOMER-USD'!$D159,'01. KE30'!$F:$F,'06. BC BH THEO CUSTOMER-USD'!$H159,'01. KE30'!$A:$A,'06. BC BH THEO CUSTOMER-USD'!CK$4)/CY159/'02. Tỷ giá'!H$5," -")</f>
        <v xml:space="preserve"> -</v>
      </c>
      <c r="CL159" s="95" t="str">
        <f>IFERROR(SUMIFS('01. KE30'!$R:$R,'01. KE30'!$C:$C,'06. BC BH THEO CUSTOMER-USD'!$D159,'01. KE30'!$F:$F,'06. BC BH THEO CUSTOMER-USD'!$H159,'01. KE30'!$A:$A,'06. BC BH THEO CUSTOMER-USD'!CL$4)/CZ159/'02. Tỷ giá'!I$5," -")</f>
        <v xml:space="preserve"> -</v>
      </c>
      <c r="CM159" s="95" t="str">
        <f>IFERROR(SUMIFS('01. KE30'!$R:$R,'01. KE30'!$C:$C,'06. BC BH THEO CUSTOMER-USD'!$D159,'01. KE30'!$F:$F,'06. BC BH THEO CUSTOMER-USD'!$H159,'01. KE30'!$A:$A,'06. BC BH THEO CUSTOMER-USD'!CM$4)/DA159/'02. Tỷ giá'!J$5," -")</f>
        <v xml:space="preserve"> -</v>
      </c>
      <c r="CN159" s="95" t="str">
        <f>IFERROR(SUMIFS('01. KE30'!$R:$R,'01. KE30'!$C:$C,'06. BC BH THEO CUSTOMER-USD'!$D159,'01. KE30'!$F:$F,'06. BC BH THEO CUSTOMER-USD'!$H159,'01. KE30'!$A:$A,'06. BC BH THEO CUSTOMER-USD'!CN$4)/DB159/'02. Tỷ giá'!K$5," -")</f>
        <v xml:space="preserve"> -</v>
      </c>
      <c r="CO159" s="95" t="str">
        <f>IFERROR(SUMIFS('01. KE30'!$R:$R,'01. KE30'!$C:$C,'06. BC BH THEO CUSTOMER-USD'!$D159,'01. KE30'!$F:$F,'06. BC BH THEO CUSTOMER-USD'!$H159,'01. KE30'!$A:$A,'06. BC BH THEO CUSTOMER-USD'!CO$4)/DC159/'02. Tỷ giá'!L$5," -")</f>
        <v xml:space="preserve"> -</v>
      </c>
      <c r="CP159" s="95" t="str">
        <f>IFERROR(SUMIFS('01. KE30'!$R:$R,'01. KE30'!$C:$C,'06. BC BH THEO CUSTOMER-USD'!$D159,'01. KE30'!$F:$F,'06. BC BH THEO CUSTOMER-USD'!$H159,'01. KE30'!$A:$A,'06. BC BH THEO CUSTOMER-USD'!CP$4)/DD159/'02. Tỷ giá'!M$5," -")</f>
        <v xml:space="preserve"> -</v>
      </c>
      <c r="CR159" s="112">
        <f t="shared" si="1249"/>
        <v>25</v>
      </c>
      <c r="CS159" s="114">
        <f>SUMIFS('01. KE30'!$I:$I,'01. KE30'!$C:$C,'06. BC BH THEO CUSTOMER-USD'!$D159,'01. KE30'!$F:$F,'06. BC BH THEO CUSTOMER-USD'!$H159,'01. KE30'!$A:$A,'06. BC BH THEO CUSTOMER-USD'!CS$4)/1000</f>
        <v>0</v>
      </c>
      <c r="CT159" s="114">
        <f>SUMIFS('01. KE30'!$I:$I,'01. KE30'!$C:$C,'06. BC BH THEO CUSTOMER-USD'!$D159,'01. KE30'!$F:$F,'06. BC BH THEO CUSTOMER-USD'!$H159,'01. KE30'!$A:$A,'06. BC BH THEO CUSTOMER-USD'!CT$4)/1000</f>
        <v>25</v>
      </c>
      <c r="CU159" s="114">
        <f>SUMIFS('01. KE30'!$I:$I,'01. KE30'!$C:$C,'06. BC BH THEO CUSTOMER-USD'!$D159,'01. KE30'!$F:$F,'06. BC BH THEO CUSTOMER-USD'!$H159,'01. KE30'!$A:$A,'06. BC BH THEO CUSTOMER-USD'!CU$4)/1000</f>
        <v>0</v>
      </c>
      <c r="CV159" s="114">
        <f>SUMIFS('01. KE30'!$I:$I,'01. KE30'!$C:$C,'06. BC BH THEO CUSTOMER-USD'!$D159,'01. KE30'!$F:$F,'06. BC BH THEO CUSTOMER-USD'!$H159,'01. KE30'!$A:$A,'06. BC BH THEO CUSTOMER-USD'!CV$4)/1000</f>
        <v>0</v>
      </c>
      <c r="CW159" s="114">
        <f>SUMIFS('01. KE30'!$I:$I,'01. KE30'!$C:$C,'06. BC BH THEO CUSTOMER-USD'!$D159,'01. KE30'!$F:$F,'06. BC BH THEO CUSTOMER-USD'!$H159,'01. KE30'!$A:$A,'06. BC BH THEO CUSTOMER-USD'!CW$4)/1000</f>
        <v>0</v>
      </c>
      <c r="CX159" s="114">
        <f>SUMIFS('01. KE30'!$I:$I,'01. KE30'!$C:$C,'06. BC BH THEO CUSTOMER-USD'!$D159,'01. KE30'!$F:$F,'06. BC BH THEO CUSTOMER-USD'!$H159,'01. KE30'!$A:$A,'06. BC BH THEO CUSTOMER-USD'!CX$4)/1000</f>
        <v>0</v>
      </c>
      <c r="CY159" s="114">
        <f>SUMIFS('01. KE30'!$I:$I,'01. KE30'!$C:$C,'06. BC BH THEO CUSTOMER-USD'!$D159,'01. KE30'!$F:$F,'06. BC BH THEO CUSTOMER-USD'!$H159,'01. KE30'!$A:$A,'06. BC BH THEO CUSTOMER-USD'!CY$4)/1000</f>
        <v>0</v>
      </c>
      <c r="CZ159" s="114">
        <f>SUMIFS('01. KE30'!$I:$I,'01. KE30'!$C:$C,'06. BC BH THEO CUSTOMER-USD'!$D159,'01. KE30'!$F:$F,'06. BC BH THEO CUSTOMER-USD'!$H159,'01. KE30'!$A:$A,'06. BC BH THEO CUSTOMER-USD'!CZ$4)/1000</f>
        <v>0</v>
      </c>
      <c r="DA159" s="114">
        <f>SUMIFS('01. KE30'!$I:$I,'01. KE30'!$C:$C,'06. BC BH THEO CUSTOMER-USD'!$D159,'01. KE30'!$F:$F,'06. BC BH THEO CUSTOMER-USD'!$H159,'01. KE30'!$A:$A,'06. BC BH THEO CUSTOMER-USD'!DA$4)/1000</f>
        <v>0</v>
      </c>
      <c r="DB159" s="114">
        <f>SUMIFS('01. KE30'!$I:$I,'01. KE30'!$C:$C,'06. BC BH THEO CUSTOMER-USD'!$D159,'01. KE30'!$F:$F,'06. BC BH THEO CUSTOMER-USD'!$H159,'01. KE30'!$A:$A,'06. BC BH THEO CUSTOMER-USD'!DB$4)/1000</f>
        <v>0</v>
      </c>
      <c r="DC159" s="114">
        <f>SUMIFS('01. KE30'!$I:$I,'01. KE30'!$C:$C,'06. BC BH THEO CUSTOMER-USD'!$D159,'01. KE30'!$F:$F,'06. BC BH THEO CUSTOMER-USD'!$H159,'01. KE30'!$A:$A,'06. BC BH THEO CUSTOMER-USD'!DC$4)/1000</f>
        <v>0</v>
      </c>
      <c r="DD159" s="114">
        <f>SUMIFS('01. KE30'!$I:$I,'01. KE30'!$C:$C,'06. BC BH THEO CUSTOMER-USD'!$D159,'01. KE30'!$F:$F,'06. BC BH THEO CUSTOMER-USD'!$H159,'01. KE30'!$A:$A,'06. BC BH THEO CUSTOMER-USD'!DD$4)/1000</f>
        <v>0</v>
      </c>
      <c r="DF159" s="112">
        <f t="shared" si="1724"/>
        <v>29952.737298148877</v>
      </c>
      <c r="DG159" s="54" t="str">
        <f t="shared" si="1725"/>
        <v>-</v>
      </c>
      <c r="DH159" s="54">
        <f t="shared" si="1726"/>
        <v>29952.737298148877</v>
      </c>
      <c r="DI159" s="54" t="str">
        <f t="shared" si="1727"/>
        <v>-</v>
      </c>
      <c r="DJ159" s="54" t="str">
        <f t="shared" si="1728"/>
        <v>-</v>
      </c>
      <c r="DK159" s="54" t="str">
        <f t="shared" si="1729"/>
        <v>-</v>
      </c>
      <c r="DL159" s="54" t="str">
        <f t="shared" si="1730"/>
        <v>-</v>
      </c>
      <c r="DM159" s="54" t="str">
        <f t="shared" si="1731"/>
        <v>-</v>
      </c>
      <c r="DN159" s="54" t="str">
        <f t="shared" si="1732"/>
        <v>-</v>
      </c>
      <c r="DO159" s="54" t="str">
        <f t="shared" si="1733"/>
        <v>-</v>
      </c>
      <c r="DP159" s="54" t="str">
        <f t="shared" si="1734"/>
        <v>-</v>
      </c>
      <c r="DQ159" s="54" t="str">
        <f t="shared" si="1735"/>
        <v>-</v>
      </c>
      <c r="DR159" s="54" t="str">
        <f t="shared" si="1736"/>
        <v>-</v>
      </c>
      <c r="DT159" s="112">
        <f t="shared" si="652"/>
        <v>-2780.2209531311528</v>
      </c>
      <c r="DU159" s="114">
        <f>IFERROR(SUMIFS('01. KE30'!$X:$X,'01. KE30'!$C:$C,'06. BC BH THEO CUSTOMER-USD'!$D159,'01. KE30'!$F:$F,'06. BC BH THEO CUSTOMER-USD'!$H159,'01. KE30'!$A:$A,'06. BC BH THEO CUSTOMER-USD'!DU$4)-SUMIFS('01. KE30'!$AA:$AA,'01. KE30'!$C:$C,'06. BC BH THEO CUSTOMER-USD'!$D159,'01. KE30'!$F:$F,'06. BC BH THEO CUSTOMER-USD'!$H159,'01. KE30'!$A:$A,'06. BC BH THEO CUSTOMER-USD'!DU$4),"-")</f>
        <v>0</v>
      </c>
      <c r="DV159" s="114">
        <f>IFERROR(SUMIFS('01. KE30'!$X:$X,'01. KE30'!$C:$C,'06. BC BH THEO CUSTOMER-USD'!$D159,'01. KE30'!$F:$F,'06. BC BH THEO CUSTOMER-USD'!$H159,'01. KE30'!$A:$A,'06. BC BH THEO CUSTOMER-USD'!DV$4)-SUMIFS('01. KE30'!$AA:$AA,'01. KE30'!$C:$C,'06. BC BH THEO CUSTOMER-USD'!$D159,'01. KE30'!$F:$F,'06. BC BH THEO CUSTOMER-USD'!$H159,'01. KE30'!$A:$A,'06. BC BH THEO CUSTOMER-USD'!DV$4),"-")</f>
        <v>-2780.2209531311528</v>
      </c>
      <c r="DW159" s="114">
        <f>IFERROR(SUMIFS('01. KE30'!$X:$X,'01. KE30'!$C:$C,'06. BC BH THEO CUSTOMER-USD'!$D159,'01. KE30'!$F:$F,'06. BC BH THEO CUSTOMER-USD'!$H159,'01. KE30'!$A:$A,'06. BC BH THEO CUSTOMER-USD'!DW$4)-SUMIFS('01. KE30'!$AA:$AA,'01. KE30'!$C:$C,'06. BC BH THEO CUSTOMER-USD'!$D159,'01. KE30'!$F:$F,'06. BC BH THEO CUSTOMER-USD'!$H159,'01. KE30'!$A:$A,'06. BC BH THEO CUSTOMER-USD'!DW$4),"-")</f>
        <v>0</v>
      </c>
      <c r="DX159" s="114">
        <f>IFERROR(SUMIFS('01. KE30'!$X:$X,'01. KE30'!$C:$C,'06. BC BH THEO CUSTOMER-USD'!$D159,'01. KE30'!$F:$F,'06. BC BH THEO CUSTOMER-USD'!$H159,'01. KE30'!$A:$A,'06. BC BH THEO CUSTOMER-USD'!DX$4)-SUMIFS('01. KE30'!$AA:$AA,'01. KE30'!$C:$C,'06. BC BH THEO CUSTOMER-USD'!$D159,'01. KE30'!$F:$F,'06. BC BH THEO CUSTOMER-USD'!$H159,'01. KE30'!$A:$A,'06. BC BH THEO CUSTOMER-USD'!DX$4),"-")</f>
        <v>0</v>
      </c>
      <c r="DY159" s="114">
        <f>IFERROR(SUMIFS('01. KE30'!$X:$X,'01. KE30'!$C:$C,'06. BC BH THEO CUSTOMER-USD'!$D159,'01. KE30'!$F:$F,'06. BC BH THEO CUSTOMER-USD'!$H159,'01. KE30'!$A:$A,'06. BC BH THEO CUSTOMER-USD'!DY$4)-SUMIFS('01. KE30'!$AA:$AA,'01. KE30'!$C:$C,'06. BC BH THEO CUSTOMER-USD'!$D159,'01. KE30'!$F:$F,'06. BC BH THEO CUSTOMER-USD'!$H159,'01. KE30'!$A:$A,'06. BC BH THEO CUSTOMER-USD'!DY$4),"-")</f>
        <v>0</v>
      </c>
      <c r="DZ159" s="114">
        <f>IFERROR(SUMIFS('01. KE30'!$X:$X,'01. KE30'!$C:$C,'06. BC BH THEO CUSTOMER-USD'!$D159,'01. KE30'!$F:$F,'06. BC BH THEO CUSTOMER-USD'!$H159,'01. KE30'!$A:$A,'06. BC BH THEO CUSTOMER-USD'!DZ$4)-SUMIFS('01. KE30'!$AA:$AA,'01. KE30'!$C:$C,'06. BC BH THEO CUSTOMER-USD'!$D159,'01. KE30'!$F:$F,'06. BC BH THEO CUSTOMER-USD'!$H159,'01. KE30'!$A:$A,'06. BC BH THEO CUSTOMER-USD'!DZ$4),"-")</f>
        <v>0</v>
      </c>
      <c r="EA159" s="114">
        <f>IFERROR(SUMIFS('01. KE30'!$X:$X,'01. KE30'!$C:$C,'06. BC BH THEO CUSTOMER-USD'!$D159,'01. KE30'!$F:$F,'06. BC BH THEO CUSTOMER-USD'!$H159,'01. KE30'!$A:$A,'06. BC BH THEO CUSTOMER-USD'!EA$4)-SUMIFS('01. KE30'!$AA:$AA,'01. KE30'!$C:$C,'06. BC BH THEO CUSTOMER-USD'!$D159,'01. KE30'!$F:$F,'06. BC BH THEO CUSTOMER-USD'!$H159,'01. KE30'!$A:$A,'06. BC BH THEO CUSTOMER-USD'!EA$4),"-")</f>
        <v>0</v>
      </c>
      <c r="EB159" s="114">
        <f>IFERROR(SUMIFS('01. KE30'!$X:$X,'01. KE30'!$C:$C,'06. BC BH THEO CUSTOMER-USD'!$D159,'01. KE30'!$F:$F,'06. BC BH THEO CUSTOMER-USD'!$H159,'01. KE30'!$A:$A,'06. BC BH THEO CUSTOMER-USD'!EB$4)-SUMIFS('01. KE30'!$AA:$AA,'01. KE30'!$C:$C,'06. BC BH THEO CUSTOMER-USD'!$D159,'01. KE30'!$F:$F,'06. BC BH THEO CUSTOMER-USD'!$H159,'01. KE30'!$A:$A,'06. BC BH THEO CUSTOMER-USD'!EB$4),"-")</f>
        <v>0</v>
      </c>
      <c r="EC159" s="114">
        <f>IFERROR(SUMIFS('01. KE30'!$X:$X,'01. KE30'!$C:$C,'06. BC BH THEO CUSTOMER-USD'!$D159,'01. KE30'!$F:$F,'06. BC BH THEO CUSTOMER-USD'!$H159,'01. KE30'!$A:$A,'06. BC BH THEO CUSTOMER-USD'!EC$4)-SUMIFS('01. KE30'!$AA:$AA,'01. KE30'!$C:$C,'06. BC BH THEO CUSTOMER-USD'!$D159,'01. KE30'!$F:$F,'06. BC BH THEO CUSTOMER-USD'!$H159,'01. KE30'!$A:$A,'06. BC BH THEO CUSTOMER-USD'!EC$4),"-")</f>
        <v>0</v>
      </c>
      <c r="ED159" s="114">
        <f>IFERROR(SUMIFS('01. KE30'!$X:$X,'01. KE30'!$C:$C,'06. BC BH THEO CUSTOMER-USD'!$D159,'01. KE30'!$F:$F,'06. BC BH THEO CUSTOMER-USD'!$H159,'01. KE30'!$A:$A,'06. BC BH THEO CUSTOMER-USD'!ED$4)-SUMIFS('01. KE30'!$AA:$AA,'01. KE30'!$C:$C,'06. BC BH THEO CUSTOMER-USD'!$D159,'01. KE30'!$F:$F,'06. BC BH THEO CUSTOMER-USD'!$H159,'01. KE30'!$A:$A,'06. BC BH THEO CUSTOMER-USD'!ED$4),"-")</f>
        <v>0</v>
      </c>
      <c r="EE159" s="114">
        <f>IFERROR(SUMIFS('01. KE30'!$X:$X,'01. KE30'!$C:$C,'06. BC BH THEO CUSTOMER-USD'!$D159,'01. KE30'!$F:$F,'06. BC BH THEO CUSTOMER-USD'!$H159,'01. KE30'!$A:$A,'06. BC BH THEO CUSTOMER-USD'!EE$4)-SUMIFS('01. KE30'!$AA:$AA,'01. KE30'!$C:$C,'06. BC BH THEO CUSTOMER-USD'!$D159,'01. KE30'!$F:$F,'06. BC BH THEO CUSTOMER-USD'!$H159,'01. KE30'!$A:$A,'06. BC BH THEO CUSTOMER-USD'!EE$4),"-")</f>
        <v>0</v>
      </c>
      <c r="EF159" s="114">
        <f>IFERROR(SUMIFS('01. KE30'!$X:$X,'01. KE30'!$C:$C,'06. BC BH THEO CUSTOMER-USD'!$D159,'01. KE30'!$F:$F,'06. BC BH THEO CUSTOMER-USD'!$H159,'01. KE30'!$A:$A,'06. BC BH THEO CUSTOMER-USD'!EF$4)-SUMIFS('01. KE30'!$AA:$AA,'01. KE30'!$C:$C,'06. BC BH THEO CUSTOMER-USD'!$D159,'01. KE30'!$F:$F,'06. BC BH THEO CUSTOMER-USD'!$H159,'01. KE30'!$A:$A,'06. BC BH THEO CUSTOMER-USD'!EF$4),"-")</f>
        <v>0</v>
      </c>
      <c r="EH159" s="571">
        <f t="shared" si="1737"/>
        <v>-9.2820262984878332E-2</v>
      </c>
      <c r="EI159" s="572" t="str">
        <f t="shared" si="1738"/>
        <v>-</v>
      </c>
      <c r="EJ159" s="572">
        <f t="shared" si="1739"/>
        <v>-9.2820262984878332E-2</v>
      </c>
      <c r="EK159" s="572" t="str">
        <f t="shared" si="1740"/>
        <v>-</v>
      </c>
      <c r="EL159" s="572" t="str">
        <f t="shared" si="1741"/>
        <v>-</v>
      </c>
      <c r="EM159" s="572" t="str">
        <f t="shared" si="1742"/>
        <v>-</v>
      </c>
      <c r="EN159" s="572" t="str">
        <f t="shared" si="1743"/>
        <v>-</v>
      </c>
      <c r="EO159" s="572" t="str">
        <f t="shared" si="1744"/>
        <v>-</v>
      </c>
      <c r="EP159" s="572" t="str">
        <f t="shared" si="1745"/>
        <v>-</v>
      </c>
      <c r="EQ159" s="572" t="str">
        <f t="shared" si="1746"/>
        <v>-</v>
      </c>
      <c r="ER159" s="572" t="str">
        <f t="shared" si="1747"/>
        <v>-</v>
      </c>
      <c r="ES159" s="572" t="str">
        <f t="shared" si="1748"/>
        <v>-</v>
      </c>
      <c r="ET159" s="572" t="str">
        <f t="shared" si="1749"/>
        <v>-</v>
      </c>
    </row>
    <row r="160" spans="1:150" ht="15.5" hidden="1" outlineLevel="1" x14ac:dyDescent="0.35">
      <c r="A160" s="10">
        <f t="shared" si="1266"/>
        <v>3</v>
      </c>
      <c r="B160" s="10" t="s">
        <v>266</v>
      </c>
      <c r="C160" s="442" t="s">
        <v>502</v>
      </c>
      <c r="D160" s="9" t="s">
        <v>82</v>
      </c>
      <c r="E160" s="8" t="s">
        <v>81</v>
      </c>
      <c r="F160" s="12" t="s">
        <v>245</v>
      </c>
      <c r="G160" s="12" t="str">
        <f>_xlfn.XLOOKUP(F160,'Quy đổi'!$G$5:$G$32,'Quy đổi'!$H$5:$H$32,0)</f>
        <v>Nội địa</v>
      </c>
      <c r="H160" s="80" t="s">
        <v>208</v>
      </c>
      <c r="I160" s="7" t="s">
        <v>209</v>
      </c>
      <c r="J160" s="69" t="s">
        <v>22</v>
      </c>
      <c r="K160" s="5"/>
      <c r="L160" s="92">
        <f>IFERROR(AVERAGE(M160:X160),"-")</f>
        <v>893.95813291485706</v>
      </c>
      <c r="M160" s="106">
        <f>IFERROR(SUMIFS('01. KE30'!$K:$K,'01. KE30'!$C:$C,'06. BC BH THEO CUSTOMER-USD'!$D160,'01. KE30'!$F:$F,'06. BC BH THEO CUSTOMER-USD'!$H160,'01. KE30'!$A:$A,'06. BC BH THEO CUSTOMER-USD'!M$4)/'06. BC BH THEO CUSTOMER-USD'!CS160/'02. Tỷ giá'!B$5,"-")</f>
        <v>893.95813291485706</v>
      </c>
      <c r="N160" s="106" t="str">
        <f>IFERROR(SUMIFS('01. KE30'!$K:$K,'01. KE30'!$C:$C,'06. BC BH THEO CUSTOMER-USD'!$D160,'01. KE30'!$F:$F,'06. BC BH THEO CUSTOMER-USD'!$H160,'01. KE30'!$A:$A,'06. BC BH THEO CUSTOMER-USD'!N$4)/'06. BC BH THEO CUSTOMER-USD'!CT160/'02. Tỷ giá'!C$5,"-")</f>
        <v>-</v>
      </c>
      <c r="O160" s="106" t="str">
        <f>IFERROR(SUMIFS('01. KE30'!$K:$K,'01. KE30'!$C:$C,'06. BC BH THEO CUSTOMER-USD'!$D160,'01. KE30'!$F:$F,'06. BC BH THEO CUSTOMER-USD'!$H160,'01. KE30'!$A:$A,'06. BC BH THEO CUSTOMER-USD'!O$4)/'06. BC BH THEO CUSTOMER-USD'!CU160/'02. Tỷ giá'!D$5,"-")</f>
        <v>-</v>
      </c>
      <c r="P160" s="106" t="str">
        <f>IFERROR(SUMIFS('01. KE30'!$K:$K,'01. KE30'!$C:$C,'06. BC BH THEO CUSTOMER-USD'!$D160,'01. KE30'!$F:$F,'06. BC BH THEO CUSTOMER-USD'!$H160,'01. KE30'!$A:$A,'06. BC BH THEO CUSTOMER-USD'!P$4)/'06. BC BH THEO CUSTOMER-USD'!CV160/'02. Tỷ giá'!E$5,"-")</f>
        <v>-</v>
      </c>
      <c r="Q160" s="106" t="str">
        <f>IFERROR(SUMIFS('01. KE30'!$K:$K,'01. KE30'!$C:$C,'06. BC BH THEO CUSTOMER-USD'!$D160,'01. KE30'!$F:$F,'06. BC BH THEO CUSTOMER-USD'!$H160,'01. KE30'!$A:$A,'06. BC BH THEO CUSTOMER-USD'!Q$4)/'06. BC BH THEO CUSTOMER-USD'!CW160/'02. Tỷ giá'!F$5,"-")</f>
        <v>-</v>
      </c>
      <c r="R160" s="106" t="str">
        <f>IFERROR(SUMIFS('01. KE30'!$K:$K,'01. KE30'!$C:$C,'06. BC BH THEO CUSTOMER-USD'!$D160,'01. KE30'!$F:$F,'06. BC BH THEO CUSTOMER-USD'!$H160,'01. KE30'!$A:$A,'06. BC BH THEO CUSTOMER-USD'!R$4)/'06. BC BH THEO CUSTOMER-USD'!CX160/'02. Tỷ giá'!G$5,"-")</f>
        <v>-</v>
      </c>
      <c r="S160" s="106" t="str">
        <f>IFERROR(SUMIFS('01. KE30'!$K:$K,'01. KE30'!$C:$C,'06. BC BH THEO CUSTOMER-USD'!$D160,'01. KE30'!$F:$F,'06. BC BH THEO CUSTOMER-USD'!$H160,'01. KE30'!$A:$A,'06. BC BH THEO CUSTOMER-USD'!S$4)/'06. BC BH THEO CUSTOMER-USD'!CY160/'02. Tỷ giá'!H$5,"-")</f>
        <v>-</v>
      </c>
      <c r="T160" s="106" t="str">
        <f>IFERROR(SUMIFS('01. KE30'!$K:$K,'01. KE30'!$C:$C,'06. BC BH THEO CUSTOMER-USD'!$D160,'01. KE30'!$F:$F,'06. BC BH THEO CUSTOMER-USD'!$H160,'01. KE30'!$A:$A,'06. BC BH THEO CUSTOMER-USD'!T$4)/'06. BC BH THEO CUSTOMER-USD'!CZ160/'02. Tỷ giá'!I$5,"-")</f>
        <v>-</v>
      </c>
      <c r="U160" s="106" t="str">
        <f>IFERROR(SUMIFS('01. KE30'!$K:$K,'01. KE30'!$C:$C,'06. BC BH THEO CUSTOMER-USD'!$D160,'01. KE30'!$F:$F,'06. BC BH THEO CUSTOMER-USD'!$H160,'01. KE30'!$A:$A,'06. BC BH THEO CUSTOMER-USD'!U$4)/'06. BC BH THEO CUSTOMER-USD'!DA160/'02. Tỷ giá'!J$5,"-")</f>
        <v>-</v>
      </c>
      <c r="V160" s="106" t="str">
        <f>IFERROR(SUMIFS('01. KE30'!$K:$K,'01. KE30'!$C:$C,'06. BC BH THEO CUSTOMER-USD'!$D160,'01. KE30'!$F:$F,'06. BC BH THEO CUSTOMER-USD'!$H160,'01. KE30'!$A:$A,'06. BC BH THEO CUSTOMER-USD'!V$4)/'06. BC BH THEO CUSTOMER-USD'!DB160/'02. Tỷ giá'!K$5,"-")</f>
        <v>-</v>
      </c>
      <c r="W160" s="106" t="str">
        <f>IFERROR(SUMIFS('01. KE30'!$K:$K,'01. KE30'!$C:$C,'06. BC BH THEO CUSTOMER-USD'!$D160,'01. KE30'!$F:$F,'06. BC BH THEO CUSTOMER-USD'!$H160,'01. KE30'!$A:$A,'06. BC BH THEO CUSTOMER-USD'!W$4)/'06. BC BH THEO CUSTOMER-USD'!DC160/'02. Tỷ giá'!L$5,"-")</f>
        <v>-</v>
      </c>
      <c r="X160" s="106" t="str">
        <f>IFERROR(SUMIFS('01. KE30'!$K:$K,'01. KE30'!$C:$C,'06. BC BH THEO CUSTOMER-USD'!$D160,'01. KE30'!$F:$F,'06. BC BH THEO CUSTOMER-USD'!$H160,'01. KE30'!$A:$A,'06. BC BH THEO CUSTOMER-USD'!X$4)/'06. BC BH THEO CUSTOMER-USD'!DD160/'02. Tỷ giá'!M$5,"-")</f>
        <v>-</v>
      </c>
      <c r="Z160" s="92">
        <f>IFERROR(AVERAGE(AA160:AL160),"-")</f>
        <v>893.95813291485706</v>
      </c>
      <c r="AA160" s="147">
        <f>IFERROR(SUMIFS('01. KE30'!$O:$O,'01. KE30'!$C:$C,'06. BC BH THEO CUSTOMER-USD'!$D160,'01. KE30'!$F:$F,'06. BC BH THEO CUSTOMER-USD'!$H160,'01. KE30'!$A:$A,'06. BC BH THEO CUSTOMER-USD'!M$4)/'06. BC BH THEO CUSTOMER-USD'!CS160/'02. Tỷ giá'!B$5,"-")</f>
        <v>893.95813291485706</v>
      </c>
      <c r="AB160" s="147" t="str">
        <f>IFERROR(SUMIFS('01. KE30'!$O:$O,'01. KE30'!$C:$C,'06. BC BH THEO CUSTOMER-USD'!$D160,'01. KE30'!$F:$F,'06. BC BH THEO CUSTOMER-USD'!$H160,'01. KE30'!$A:$A,'06. BC BH THEO CUSTOMER-USD'!N$4)/'06. BC BH THEO CUSTOMER-USD'!CT160/'02. Tỷ giá'!C$5,"-")</f>
        <v>-</v>
      </c>
      <c r="AC160" s="147" t="str">
        <f>IFERROR(SUMIFS('01. KE30'!$O:$O,'01. KE30'!$C:$C,'06. BC BH THEO CUSTOMER-USD'!$D160,'01. KE30'!$F:$F,'06. BC BH THEO CUSTOMER-USD'!$H160,'01. KE30'!$A:$A,'06. BC BH THEO CUSTOMER-USD'!O$4)/'06. BC BH THEO CUSTOMER-USD'!CU160/'02. Tỷ giá'!D$5,"-")</f>
        <v>-</v>
      </c>
      <c r="AD160" s="147" t="str">
        <f>IFERROR(SUMIFS('01. KE30'!$O:$O,'01. KE30'!$C:$C,'06. BC BH THEO CUSTOMER-USD'!$D160,'01. KE30'!$F:$F,'06. BC BH THEO CUSTOMER-USD'!$H160,'01. KE30'!$A:$A,'06. BC BH THEO CUSTOMER-USD'!P$4)/'06. BC BH THEO CUSTOMER-USD'!CV160/'02. Tỷ giá'!E$5,"-")</f>
        <v>-</v>
      </c>
      <c r="AE160" s="147" t="str">
        <f>IFERROR(SUMIFS('01. KE30'!$O:$O,'01. KE30'!$C:$C,'06. BC BH THEO CUSTOMER-USD'!$D160,'01. KE30'!$F:$F,'06. BC BH THEO CUSTOMER-USD'!$H160,'01. KE30'!$A:$A,'06. BC BH THEO CUSTOMER-USD'!Q$4)/'06. BC BH THEO CUSTOMER-USD'!CW160/'02. Tỷ giá'!F$5,"-")</f>
        <v>-</v>
      </c>
      <c r="AF160" s="147" t="str">
        <f>IFERROR(SUMIFS('01. KE30'!$O:$O,'01. KE30'!$C:$C,'06. BC BH THEO CUSTOMER-USD'!$D160,'01. KE30'!$F:$F,'06. BC BH THEO CUSTOMER-USD'!$H160,'01. KE30'!$A:$A,'06. BC BH THEO CUSTOMER-USD'!R$4)/'06. BC BH THEO CUSTOMER-USD'!CX160/'02. Tỷ giá'!G$5,"-")</f>
        <v>-</v>
      </c>
      <c r="AG160" s="147" t="str">
        <f>IFERROR(SUMIFS('01. KE30'!$O:$O,'01. KE30'!$C:$C,'06. BC BH THEO CUSTOMER-USD'!$D160,'01. KE30'!$F:$F,'06. BC BH THEO CUSTOMER-USD'!$H160,'01. KE30'!$A:$A,'06. BC BH THEO CUSTOMER-USD'!S$4)/'06. BC BH THEO CUSTOMER-USD'!CY160/'02. Tỷ giá'!H$5,"-")</f>
        <v>-</v>
      </c>
      <c r="AH160" s="147" t="str">
        <f>IFERROR(SUMIFS('01. KE30'!$O:$O,'01. KE30'!$C:$C,'06. BC BH THEO CUSTOMER-USD'!$D160,'01. KE30'!$F:$F,'06. BC BH THEO CUSTOMER-USD'!$H160,'01. KE30'!$A:$A,'06. BC BH THEO CUSTOMER-USD'!T$4)/'06. BC BH THEO CUSTOMER-USD'!CZ160/'02. Tỷ giá'!I$5,"-")</f>
        <v>-</v>
      </c>
      <c r="AI160" s="147" t="str">
        <f>IFERROR(SUMIFS('01. KE30'!$O:$O,'01. KE30'!$C:$C,'06. BC BH THEO CUSTOMER-USD'!$D160,'01. KE30'!$F:$F,'06. BC BH THEO CUSTOMER-USD'!$H160,'01. KE30'!$A:$A,'06. BC BH THEO CUSTOMER-USD'!U$4)/'06. BC BH THEO CUSTOMER-USD'!DA160/'02. Tỷ giá'!J$5,"-")</f>
        <v>-</v>
      </c>
      <c r="AJ160" s="147" t="str">
        <f>IFERROR(SUMIFS('01. KE30'!$O:$O,'01. KE30'!$C:$C,'06. BC BH THEO CUSTOMER-USD'!$D160,'01. KE30'!$F:$F,'06. BC BH THEO CUSTOMER-USD'!$H160,'01. KE30'!$A:$A,'06. BC BH THEO CUSTOMER-USD'!V$4)/'06. BC BH THEO CUSTOMER-USD'!DB160/'02. Tỷ giá'!K$5,"-")</f>
        <v>-</v>
      </c>
      <c r="AK160" s="147" t="str">
        <f>IFERROR(SUMIFS('01. KE30'!$O:$O,'01. KE30'!$C:$C,'06. BC BH THEO CUSTOMER-USD'!$D160,'01. KE30'!$F:$F,'06. BC BH THEO CUSTOMER-USD'!$H160,'01. KE30'!$A:$A,'06. BC BH THEO CUSTOMER-USD'!W$4)/'06. BC BH THEO CUSTOMER-USD'!DC160/'02. Tỷ giá'!L$5,"-")</f>
        <v>-</v>
      </c>
      <c r="AL160" s="147" t="str">
        <f>IFERROR(SUMIFS('01. KE30'!$O:$O,'01. KE30'!$C:$C,'06. BC BH THEO CUSTOMER-USD'!$D160,'01. KE30'!$F:$F,'06. BC BH THEO CUSTOMER-USD'!$H160,'01. KE30'!$A:$A,'06. BC BH THEO CUSTOMER-USD'!X$4)/'06. BC BH THEO CUSTOMER-USD'!DD160/'02. Tỷ giá'!M$5,"-")</f>
        <v>-</v>
      </c>
      <c r="AN160" s="55">
        <f>IFERROR(AVERAGE(AO160:AZ160),"-")</f>
        <v>790</v>
      </c>
      <c r="AO160" s="4">
        <v>870</v>
      </c>
      <c r="AP160" s="4">
        <v>800</v>
      </c>
      <c r="AQ160" s="4">
        <v>805</v>
      </c>
      <c r="AR160" s="4">
        <v>805</v>
      </c>
      <c r="AS160" s="4">
        <v>765</v>
      </c>
      <c r="AT160" s="4">
        <v>765</v>
      </c>
      <c r="AU160" s="4">
        <v>780</v>
      </c>
      <c r="AV160" s="4">
        <v>760</v>
      </c>
      <c r="AW160" s="4">
        <v>760</v>
      </c>
      <c r="AX160" s="4"/>
      <c r="AY160" s="4"/>
      <c r="AZ160" s="4"/>
      <c r="BB160" s="54">
        <f t="shared" ref="BB160:BN160" si="1750">IF(L160&lt;&gt;"-",Z160-AN160,"-")</f>
        <v>103.95813291485706</v>
      </c>
      <c r="BC160" s="95">
        <f t="shared" si="1750"/>
        <v>23.95813291485706</v>
      </c>
      <c r="BD160" s="95" t="str">
        <f t="shared" si="1750"/>
        <v>-</v>
      </c>
      <c r="BE160" s="95" t="str">
        <f t="shared" si="1750"/>
        <v>-</v>
      </c>
      <c r="BF160" s="95" t="str">
        <f t="shared" si="1750"/>
        <v>-</v>
      </c>
      <c r="BG160" s="95" t="str">
        <f t="shared" si="1750"/>
        <v>-</v>
      </c>
      <c r="BH160" s="95" t="str">
        <f t="shared" si="1750"/>
        <v>-</v>
      </c>
      <c r="BI160" s="95" t="str">
        <f t="shared" si="1750"/>
        <v>-</v>
      </c>
      <c r="BJ160" s="95" t="str">
        <f t="shared" si="1750"/>
        <v>-</v>
      </c>
      <c r="BK160" s="95" t="str">
        <f t="shared" si="1750"/>
        <v>-</v>
      </c>
      <c r="BL160" s="95" t="str">
        <f t="shared" si="1750"/>
        <v>-</v>
      </c>
      <c r="BM160" s="95" t="str">
        <f t="shared" si="1750"/>
        <v>-</v>
      </c>
      <c r="BN160" s="95" t="str">
        <f t="shared" si="1750"/>
        <v>-</v>
      </c>
      <c r="BP160" s="143">
        <f t="shared" ref="BP160:CB160" si="1751">IFERROR(IF(BB160&lt;&gt;"-",BB160/AN160,"-"),"-")</f>
        <v>0.13159257330994564</v>
      </c>
      <c r="BQ160" s="143">
        <f t="shared" si="1751"/>
        <v>2.7538083810180528E-2</v>
      </c>
      <c r="BR160" s="143" t="str">
        <f t="shared" si="1751"/>
        <v>-</v>
      </c>
      <c r="BS160" s="143" t="str">
        <f t="shared" si="1751"/>
        <v>-</v>
      </c>
      <c r="BT160" s="143" t="str">
        <f t="shared" si="1751"/>
        <v>-</v>
      </c>
      <c r="BU160" s="143" t="str">
        <f t="shared" si="1751"/>
        <v>-</v>
      </c>
      <c r="BV160" s="143" t="str">
        <f t="shared" si="1751"/>
        <v>-</v>
      </c>
      <c r="BW160" s="143" t="str">
        <f t="shared" si="1751"/>
        <v>-</v>
      </c>
      <c r="BX160" s="143" t="str">
        <f t="shared" si="1751"/>
        <v>-</v>
      </c>
      <c r="BY160" s="143" t="str">
        <f t="shared" si="1751"/>
        <v>-</v>
      </c>
      <c r="BZ160" s="143" t="str">
        <f t="shared" si="1751"/>
        <v>-</v>
      </c>
      <c r="CA160" s="143" t="str">
        <f t="shared" si="1751"/>
        <v>-</v>
      </c>
      <c r="CB160" s="143" t="str">
        <f t="shared" si="1751"/>
        <v>-</v>
      </c>
      <c r="CD160" s="112">
        <f>IFERROR(AVERAGE(CE160:CP160),"-")</f>
        <v>1263.128104813693</v>
      </c>
      <c r="CE160" s="95">
        <f>IFERROR(SUMIFS('01. KE30'!$R:$R,'01. KE30'!$C:$C,'06. BC BH THEO CUSTOMER-USD'!$D160,'01. KE30'!$F:$F,'06. BC BH THEO CUSTOMER-USD'!$H160,'01. KE30'!$A:$A,'06. BC BH THEO CUSTOMER-USD'!CE$4)/CS160/'02. Tỷ giá'!B$5," -")</f>
        <v>1263.128104813693</v>
      </c>
      <c r="CF160" s="95" t="str">
        <f>IFERROR(SUMIFS('01. KE30'!$R:$R,'01. KE30'!$C:$C,'06. BC BH THEO CUSTOMER-USD'!$D160,'01. KE30'!$F:$F,'06. BC BH THEO CUSTOMER-USD'!$H160,'01. KE30'!$A:$A,'06. BC BH THEO CUSTOMER-USD'!CF$4)/CT160/'02. Tỷ giá'!C$5," -")</f>
        <v xml:space="preserve"> -</v>
      </c>
      <c r="CG160" s="95" t="str">
        <f>IFERROR(SUMIFS('01. KE30'!$R:$R,'01. KE30'!$C:$C,'06. BC BH THEO CUSTOMER-USD'!$D160,'01. KE30'!$F:$F,'06. BC BH THEO CUSTOMER-USD'!$H160,'01. KE30'!$A:$A,'06. BC BH THEO CUSTOMER-USD'!CG$4)/CU160/'02. Tỷ giá'!D$5," -")</f>
        <v xml:space="preserve"> -</v>
      </c>
      <c r="CH160" s="95" t="str">
        <f>IFERROR(SUMIFS('01. KE30'!$R:$R,'01. KE30'!$C:$C,'06. BC BH THEO CUSTOMER-USD'!$D160,'01. KE30'!$F:$F,'06. BC BH THEO CUSTOMER-USD'!$H160,'01. KE30'!$A:$A,'06. BC BH THEO CUSTOMER-USD'!CH$4)/CV160/'02. Tỷ giá'!E$5," -")</f>
        <v xml:space="preserve"> -</v>
      </c>
      <c r="CI160" s="95" t="str">
        <f>IFERROR(SUMIFS('01. KE30'!$R:$R,'01. KE30'!$C:$C,'06. BC BH THEO CUSTOMER-USD'!$D160,'01. KE30'!$F:$F,'06. BC BH THEO CUSTOMER-USD'!$H160,'01. KE30'!$A:$A,'06. BC BH THEO CUSTOMER-USD'!CI$4)/CW160/'02. Tỷ giá'!F$5," -")</f>
        <v xml:space="preserve"> -</v>
      </c>
      <c r="CJ160" s="95" t="str">
        <f>IFERROR(SUMIFS('01. KE30'!$R:$R,'01. KE30'!$C:$C,'06. BC BH THEO CUSTOMER-USD'!$D160,'01. KE30'!$F:$F,'06. BC BH THEO CUSTOMER-USD'!$H160,'01. KE30'!$A:$A,'06. BC BH THEO CUSTOMER-USD'!CJ$4)/CX160/'02. Tỷ giá'!G$5," -")</f>
        <v xml:space="preserve"> -</v>
      </c>
      <c r="CK160" s="95" t="str">
        <f>IFERROR(SUMIFS('01. KE30'!$R:$R,'01. KE30'!$C:$C,'06. BC BH THEO CUSTOMER-USD'!$D160,'01. KE30'!$F:$F,'06. BC BH THEO CUSTOMER-USD'!$H160,'01. KE30'!$A:$A,'06. BC BH THEO CUSTOMER-USD'!CK$4)/CY160/'02. Tỷ giá'!H$5," -")</f>
        <v xml:space="preserve"> -</v>
      </c>
      <c r="CL160" s="95" t="str">
        <f>IFERROR(SUMIFS('01. KE30'!$R:$R,'01. KE30'!$C:$C,'06. BC BH THEO CUSTOMER-USD'!$D160,'01. KE30'!$F:$F,'06. BC BH THEO CUSTOMER-USD'!$H160,'01. KE30'!$A:$A,'06. BC BH THEO CUSTOMER-USD'!CL$4)/CZ160/'02. Tỷ giá'!I$5," -")</f>
        <v xml:space="preserve"> -</v>
      </c>
      <c r="CM160" s="95" t="str">
        <f>IFERROR(SUMIFS('01. KE30'!$R:$R,'01. KE30'!$C:$C,'06. BC BH THEO CUSTOMER-USD'!$D160,'01. KE30'!$F:$F,'06. BC BH THEO CUSTOMER-USD'!$H160,'01. KE30'!$A:$A,'06. BC BH THEO CUSTOMER-USD'!CM$4)/DA160/'02. Tỷ giá'!J$5," -")</f>
        <v xml:space="preserve"> -</v>
      </c>
      <c r="CN160" s="95" t="str">
        <f>IFERROR(SUMIFS('01. KE30'!$R:$R,'01. KE30'!$C:$C,'06. BC BH THEO CUSTOMER-USD'!$D160,'01. KE30'!$F:$F,'06. BC BH THEO CUSTOMER-USD'!$H160,'01. KE30'!$A:$A,'06. BC BH THEO CUSTOMER-USD'!CN$4)/DB160/'02. Tỷ giá'!K$5," -")</f>
        <v xml:space="preserve"> -</v>
      </c>
      <c r="CO160" s="95" t="str">
        <f>IFERROR(SUMIFS('01. KE30'!$R:$R,'01. KE30'!$C:$C,'06. BC BH THEO CUSTOMER-USD'!$D160,'01. KE30'!$F:$F,'06. BC BH THEO CUSTOMER-USD'!$H160,'01. KE30'!$A:$A,'06. BC BH THEO CUSTOMER-USD'!CO$4)/DC160/'02. Tỷ giá'!L$5," -")</f>
        <v xml:space="preserve"> -</v>
      </c>
      <c r="CP160" s="95" t="str">
        <f>IFERROR(SUMIFS('01. KE30'!$R:$R,'01. KE30'!$C:$C,'06. BC BH THEO CUSTOMER-USD'!$D160,'01. KE30'!$F:$F,'06. BC BH THEO CUSTOMER-USD'!$H160,'01. KE30'!$A:$A,'06. BC BH THEO CUSTOMER-USD'!CP$4)/DD160/'02. Tỷ giá'!M$5," -")</f>
        <v xml:space="preserve"> -</v>
      </c>
      <c r="CR160" s="112">
        <f>SUM(CS160:DD160)</f>
        <v>5.5</v>
      </c>
      <c r="CS160" s="114">
        <f>SUMIFS('01. KE30'!$I:$I,'01. KE30'!$C:$C,'06. BC BH THEO CUSTOMER-USD'!$D160,'01. KE30'!$F:$F,'06. BC BH THEO CUSTOMER-USD'!$H160,'01. KE30'!$A:$A,'06. BC BH THEO CUSTOMER-USD'!CS$4)/1000</f>
        <v>5.5</v>
      </c>
      <c r="CT160" s="114">
        <f>SUMIFS('01. KE30'!$I:$I,'01. KE30'!$C:$C,'06. BC BH THEO CUSTOMER-USD'!$D160,'01. KE30'!$F:$F,'06. BC BH THEO CUSTOMER-USD'!$H160,'01. KE30'!$A:$A,'06. BC BH THEO CUSTOMER-USD'!CT$4)/1000</f>
        <v>0</v>
      </c>
      <c r="CU160" s="114">
        <f>SUMIFS('01. KE30'!$I:$I,'01. KE30'!$C:$C,'06. BC BH THEO CUSTOMER-USD'!$D160,'01. KE30'!$F:$F,'06. BC BH THEO CUSTOMER-USD'!$H160,'01. KE30'!$A:$A,'06. BC BH THEO CUSTOMER-USD'!CU$4)/1000</f>
        <v>0</v>
      </c>
      <c r="CV160" s="114">
        <f>SUMIFS('01. KE30'!$I:$I,'01. KE30'!$C:$C,'06. BC BH THEO CUSTOMER-USD'!$D160,'01. KE30'!$F:$F,'06. BC BH THEO CUSTOMER-USD'!$H160,'01. KE30'!$A:$A,'06. BC BH THEO CUSTOMER-USD'!CV$4)/1000</f>
        <v>0</v>
      </c>
      <c r="CW160" s="114">
        <f>SUMIFS('01. KE30'!$I:$I,'01. KE30'!$C:$C,'06. BC BH THEO CUSTOMER-USD'!$D160,'01. KE30'!$F:$F,'06. BC BH THEO CUSTOMER-USD'!$H160,'01. KE30'!$A:$A,'06. BC BH THEO CUSTOMER-USD'!CW$4)/1000</f>
        <v>0</v>
      </c>
      <c r="CX160" s="114">
        <f>SUMIFS('01. KE30'!$I:$I,'01. KE30'!$C:$C,'06. BC BH THEO CUSTOMER-USD'!$D160,'01. KE30'!$F:$F,'06. BC BH THEO CUSTOMER-USD'!$H160,'01. KE30'!$A:$A,'06. BC BH THEO CUSTOMER-USD'!CX$4)/1000</f>
        <v>0</v>
      </c>
      <c r="CY160" s="114">
        <f>SUMIFS('01. KE30'!$I:$I,'01. KE30'!$C:$C,'06. BC BH THEO CUSTOMER-USD'!$D160,'01. KE30'!$F:$F,'06. BC BH THEO CUSTOMER-USD'!$H160,'01. KE30'!$A:$A,'06. BC BH THEO CUSTOMER-USD'!CY$4)/1000</f>
        <v>0</v>
      </c>
      <c r="CZ160" s="114">
        <f>SUMIFS('01. KE30'!$I:$I,'01. KE30'!$C:$C,'06. BC BH THEO CUSTOMER-USD'!$D160,'01. KE30'!$F:$F,'06. BC BH THEO CUSTOMER-USD'!$H160,'01. KE30'!$A:$A,'06. BC BH THEO CUSTOMER-USD'!CZ$4)/1000</f>
        <v>0</v>
      </c>
      <c r="DA160" s="114">
        <f>SUMIFS('01. KE30'!$I:$I,'01. KE30'!$C:$C,'06. BC BH THEO CUSTOMER-USD'!$D160,'01. KE30'!$F:$F,'06. BC BH THEO CUSTOMER-USD'!$H160,'01. KE30'!$A:$A,'06. BC BH THEO CUSTOMER-USD'!DA$4)/1000</f>
        <v>0</v>
      </c>
      <c r="DB160" s="114">
        <f>SUMIFS('01. KE30'!$I:$I,'01. KE30'!$C:$C,'06. BC BH THEO CUSTOMER-USD'!$D160,'01. KE30'!$F:$F,'06. BC BH THEO CUSTOMER-USD'!$H160,'01. KE30'!$A:$A,'06. BC BH THEO CUSTOMER-USD'!DB$4)/1000</f>
        <v>0</v>
      </c>
      <c r="DC160" s="114">
        <f>SUMIFS('01. KE30'!$I:$I,'01. KE30'!$C:$C,'06. BC BH THEO CUSTOMER-USD'!$D160,'01. KE30'!$F:$F,'06. BC BH THEO CUSTOMER-USD'!$H160,'01. KE30'!$A:$A,'06. BC BH THEO CUSTOMER-USD'!DC$4)/1000</f>
        <v>0</v>
      </c>
      <c r="DD160" s="114">
        <f>SUMIFS('01. KE30'!$I:$I,'01. KE30'!$C:$C,'06. BC BH THEO CUSTOMER-USD'!$D160,'01. KE30'!$F:$F,'06. BC BH THEO CUSTOMER-USD'!$H160,'01. KE30'!$A:$A,'06. BC BH THEO CUSTOMER-USD'!DD$4)/1000</f>
        <v>0</v>
      </c>
      <c r="DF160" s="112">
        <f>SUM(DG160:DR160)</f>
        <v>4916.7697310317135</v>
      </c>
      <c r="DG160" s="54">
        <f t="shared" ref="DG160:DR160" si="1752">IFERROR(M160*CS160,"-")</f>
        <v>4916.7697310317135</v>
      </c>
      <c r="DH160" s="54" t="str">
        <f t="shared" si="1752"/>
        <v>-</v>
      </c>
      <c r="DI160" s="54" t="str">
        <f t="shared" si="1752"/>
        <v>-</v>
      </c>
      <c r="DJ160" s="54" t="str">
        <f t="shared" si="1752"/>
        <v>-</v>
      </c>
      <c r="DK160" s="54" t="str">
        <f t="shared" si="1752"/>
        <v>-</v>
      </c>
      <c r="DL160" s="54" t="str">
        <f t="shared" si="1752"/>
        <v>-</v>
      </c>
      <c r="DM160" s="54" t="str">
        <f t="shared" si="1752"/>
        <v>-</v>
      </c>
      <c r="DN160" s="54" t="str">
        <f t="shared" si="1752"/>
        <v>-</v>
      </c>
      <c r="DO160" s="54" t="str">
        <f t="shared" si="1752"/>
        <v>-</v>
      </c>
      <c r="DP160" s="54" t="str">
        <f t="shared" si="1752"/>
        <v>-</v>
      </c>
      <c r="DQ160" s="54" t="str">
        <f t="shared" si="1752"/>
        <v>-</v>
      </c>
      <c r="DR160" s="54" t="str">
        <f t="shared" si="1752"/>
        <v>-</v>
      </c>
      <c r="DT160" s="112">
        <f>SUM(DU160:EF160)</f>
        <v>-2030.4348454435967</v>
      </c>
      <c r="DU160" s="114">
        <f>IFERROR(SUMIFS('01. KE30'!$X:$X,'01. KE30'!$C:$C,'06. BC BH THEO CUSTOMER-USD'!$D160,'01. KE30'!$F:$F,'06. BC BH THEO CUSTOMER-USD'!$H160,'01. KE30'!$A:$A,'06. BC BH THEO CUSTOMER-USD'!DU$4)-SUMIFS('01. KE30'!$AA:$AA,'01. KE30'!$C:$C,'06. BC BH THEO CUSTOMER-USD'!$D160,'01. KE30'!$F:$F,'06. BC BH THEO CUSTOMER-USD'!$H160,'01. KE30'!$A:$A,'06. BC BH THEO CUSTOMER-USD'!DU$4),"-")</f>
        <v>-2030.4348454435967</v>
      </c>
      <c r="DV160" s="114">
        <f>IFERROR(SUMIFS('01. KE30'!$X:$X,'01. KE30'!$C:$C,'06. BC BH THEO CUSTOMER-USD'!$D160,'01. KE30'!$F:$F,'06. BC BH THEO CUSTOMER-USD'!$H160,'01. KE30'!$A:$A,'06. BC BH THEO CUSTOMER-USD'!DV$4)-SUMIFS('01. KE30'!$AA:$AA,'01. KE30'!$C:$C,'06. BC BH THEO CUSTOMER-USD'!$D160,'01. KE30'!$F:$F,'06. BC BH THEO CUSTOMER-USD'!$H160,'01. KE30'!$A:$A,'06. BC BH THEO CUSTOMER-USD'!DV$4),"-")</f>
        <v>0</v>
      </c>
      <c r="DW160" s="114">
        <f>IFERROR(SUMIFS('01. KE30'!$X:$X,'01. KE30'!$C:$C,'06. BC BH THEO CUSTOMER-USD'!$D160,'01. KE30'!$F:$F,'06. BC BH THEO CUSTOMER-USD'!$H160,'01. KE30'!$A:$A,'06. BC BH THEO CUSTOMER-USD'!DW$4)-SUMIFS('01. KE30'!$AA:$AA,'01. KE30'!$C:$C,'06. BC BH THEO CUSTOMER-USD'!$D160,'01. KE30'!$F:$F,'06. BC BH THEO CUSTOMER-USD'!$H160,'01. KE30'!$A:$A,'06. BC BH THEO CUSTOMER-USD'!DW$4),"-")</f>
        <v>0</v>
      </c>
      <c r="DX160" s="114">
        <f>IFERROR(SUMIFS('01. KE30'!$X:$X,'01. KE30'!$C:$C,'06. BC BH THEO CUSTOMER-USD'!$D160,'01. KE30'!$F:$F,'06. BC BH THEO CUSTOMER-USD'!$H160,'01. KE30'!$A:$A,'06. BC BH THEO CUSTOMER-USD'!DX$4)-SUMIFS('01. KE30'!$AA:$AA,'01. KE30'!$C:$C,'06. BC BH THEO CUSTOMER-USD'!$D160,'01. KE30'!$F:$F,'06. BC BH THEO CUSTOMER-USD'!$H160,'01. KE30'!$A:$A,'06. BC BH THEO CUSTOMER-USD'!DX$4),"-")</f>
        <v>0</v>
      </c>
      <c r="DY160" s="114">
        <f>IFERROR(SUMIFS('01. KE30'!$X:$X,'01. KE30'!$C:$C,'06. BC BH THEO CUSTOMER-USD'!$D160,'01. KE30'!$F:$F,'06. BC BH THEO CUSTOMER-USD'!$H160,'01. KE30'!$A:$A,'06. BC BH THEO CUSTOMER-USD'!DY$4)-SUMIFS('01. KE30'!$AA:$AA,'01. KE30'!$C:$C,'06. BC BH THEO CUSTOMER-USD'!$D160,'01. KE30'!$F:$F,'06. BC BH THEO CUSTOMER-USD'!$H160,'01. KE30'!$A:$A,'06. BC BH THEO CUSTOMER-USD'!DY$4),"-")</f>
        <v>0</v>
      </c>
      <c r="DZ160" s="114">
        <f>IFERROR(SUMIFS('01. KE30'!$X:$X,'01. KE30'!$C:$C,'06. BC BH THEO CUSTOMER-USD'!$D160,'01. KE30'!$F:$F,'06. BC BH THEO CUSTOMER-USD'!$H160,'01. KE30'!$A:$A,'06. BC BH THEO CUSTOMER-USD'!DZ$4)-SUMIFS('01. KE30'!$AA:$AA,'01. KE30'!$C:$C,'06. BC BH THEO CUSTOMER-USD'!$D160,'01. KE30'!$F:$F,'06. BC BH THEO CUSTOMER-USD'!$H160,'01. KE30'!$A:$A,'06. BC BH THEO CUSTOMER-USD'!DZ$4),"-")</f>
        <v>0</v>
      </c>
      <c r="EA160" s="114">
        <f>IFERROR(SUMIFS('01. KE30'!$X:$X,'01. KE30'!$C:$C,'06. BC BH THEO CUSTOMER-USD'!$D160,'01. KE30'!$F:$F,'06. BC BH THEO CUSTOMER-USD'!$H160,'01. KE30'!$A:$A,'06. BC BH THEO CUSTOMER-USD'!EA$4)-SUMIFS('01. KE30'!$AA:$AA,'01. KE30'!$C:$C,'06. BC BH THEO CUSTOMER-USD'!$D160,'01. KE30'!$F:$F,'06. BC BH THEO CUSTOMER-USD'!$H160,'01. KE30'!$A:$A,'06. BC BH THEO CUSTOMER-USD'!EA$4),"-")</f>
        <v>0</v>
      </c>
      <c r="EB160" s="114">
        <f>IFERROR(SUMIFS('01. KE30'!$X:$X,'01. KE30'!$C:$C,'06. BC BH THEO CUSTOMER-USD'!$D160,'01. KE30'!$F:$F,'06. BC BH THEO CUSTOMER-USD'!$H160,'01. KE30'!$A:$A,'06. BC BH THEO CUSTOMER-USD'!EB$4)-SUMIFS('01. KE30'!$AA:$AA,'01. KE30'!$C:$C,'06. BC BH THEO CUSTOMER-USD'!$D160,'01. KE30'!$F:$F,'06. BC BH THEO CUSTOMER-USD'!$H160,'01. KE30'!$A:$A,'06. BC BH THEO CUSTOMER-USD'!EB$4),"-")</f>
        <v>0</v>
      </c>
      <c r="EC160" s="114">
        <f>IFERROR(SUMIFS('01. KE30'!$X:$X,'01. KE30'!$C:$C,'06. BC BH THEO CUSTOMER-USD'!$D160,'01. KE30'!$F:$F,'06. BC BH THEO CUSTOMER-USD'!$H160,'01. KE30'!$A:$A,'06. BC BH THEO CUSTOMER-USD'!EC$4)-SUMIFS('01. KE30'!$AA:$AA,'01. KE30'!$C:$C,'06. BC BH THEO CUSTOMER-USD'!$D160,'01. KE30'!$F:$F,'06. BC BH THEO CUSTOMER-USD'!$H160,'01. KE30'!$A:$A,'06. BC BH THEO CUSTOMER-USD'!EC$4),"-")</f>
        <v>0</v>
      </c>
      <c r="ED160" s="114">
        <f>IFERROR(SUMIFS('01. KE30'!$X:$X,'01. KE30'!$C:$C,'06. BC BH THEO CUSTOMER-USD'!$D160,'01. KE30'!$F:$F,'06. BC BH THEO CUSTOMER-USD'!$H160,'01. KE30'!$A:$A,'06. BC BH THEO CUSTOMER-USD'!ED$4)-SUMIFS('01. KE30'!$AA:$AA,'01. KE30'!$C:$C,'06. BC BH THEO CUSTOMER-USD'!$D160,'01. KE30'!$F:$F,'06. BC BH THEO CUSTOMER-USD'!$H160,'01. KE30'!$A:$A,'06. BC BH THEO CUSTOMER-USD'!ED$4),"-")</f>
        <v>0</v>
      </c>
      <c r="EE160" s="114">
        <f>IFERROR(SUMIFS('01. KE30'!$X:$X,'01. KE30'!$C:$C,'06. BC BH THEO CUSTOMER-USD'!$D160,'01. KE30'!$F:$F,'06. BC BH THEO CUSTOMER-USD'!$H160,'01. KE30'!$A:$A,'06. BC BH THEO CUSTOMER-USD'!EE$4)-SUMIFS('01. KE30'!$AA:$AA,'01. KE30'!$C:$C,'06. BC BH THEO CUSTOMER-USD'!$D160,'01. KE30'!$F:$F,'06. BC BH THEO CUSTOMER-USD'!$H160,'01. KE30'!$A:$A,'06. BC BH THEO CUSTOMER-USD'!EE$4),"-")</f>
        <v>0</v>
      </c>
      <c r="EF160" s="114">
        <f>IFERROR(SUMIFS('01. KE30'!$X:$X,'01. KE30'!$C:$C,'06. BC BH THEO CUSTOMER-USD'!$D160,'01. KE30'!$F:$F,'06. BC BH THEO CUSTOMER-USD'!$H160,'01. KE30'!$A:$A,'06. BC BH THEO CUSTOMER-USD'!EF$4)-SUMIFS('01. KE30'!$AA:$AA,'01. KE30'!$C:$C,'06. BC BH THEO CUSTOMER-USD'!$D160,'01. KE30'!$F:$F,'06. BC BH THEO CUSTOMER-USD'!$H160,'01. KE30'!$A:$A,'06. BC BH THEO CUSTOMER-USD'!EF$4),"-")</f>
        <v>0</v>
      </c>
      <c r="EH160" s="571">
        <f t="shared" si="1737"/>
        <v>-0.41296114248115073</v>
      </c>
      <c r="EI160" s="572">
        <f t="shared" si="1738"/>
        <v>-0.41296114248115073</v>
      </c>
      <c r="EJ160" s="572" t="str">
        <f t="shared" si="1739"/>
        <v>-</v>
      </c>
      <c r="EK160" s="572" t="str">
        <f t="shared" si="1740"/>
        <v>-</v>
      </c>
      <c r="EL160" s="572" t="str">
        <f t="shared" si="1741"/>
        <v>-</v>
      </c>
      <c r="EM160" s="572" t="str">
        <f t="shared" si="1742"/>
        <v>-</v>
      </c>
      <c r="EN160" s="572" t="str">
        <f t="shared" si="1743"/>
        <v>-</v>
      </c>
      <c r="EO160" s="572" t="str">
        <f t="shared" si="1744"/>
        <v>-</v>
      </c>
      <c r="EP160" s="572" t="str">
        <f t="shared" si="1745"/>
        <v>-</v>
      </c>
      <c r="EQ160" s="572" t="str">
        <f t="shared" si="1746"/>
        <v>-</v>
      </c>
      <c r="ER160" s="572" t="str">
        <f t="shared" si="1747"/>
        <v>-</v>
      </c>
      <c r="ES160" s="572" t="str">
        <f t="shared" si="1748"/>
        <v>-</v>
      </c>
      <c r="ET160" s="572" t="str">
        <f t="shared" si="1749"/>
        <v>-</v>
      </c>
    </row>
    <row r="161" spans="1:150" ht="15.5" hidden="1" outlineLevel="1" x14ac:dyDescent="0.35">
      <c r="A161" s="10">
        <f t="shared" si="1266"/>
        <v>4</v>
      </c>
      <c r="B161" s="10" t="s">
        <v>266</v>
      </c>
      <c r="C161" s="497" t="s">
        <v>29</v>
      </c>
      <c r="D161" s="9" t="s">
        <v>30</v>
      </c>
      <c r="E161" s="8" t="s">
        <v>29</v>
      </c>
      <c r="F161" s="12" t="s">
        <v>245</v>
      </c>
      <c r="G161" s="12" t="str">
        <f>_xlfn.XLOOKUP(F161,'Quy đổi'!$G$5:$G$32,'Quy đổi'!$H$5:$H$32,0)</f>
        <v>Nội địa</v>
      </c>
      <c r="H161" s="80" t="s">
        <v>208</v>
      </c>
      <c r="I161" s="7" t="s">
        <v>209</v>
      </c>
      <c r="J161" s="69" t="s">
        <v>22</v>
      </c>
      <c r="K161" s="5"/>
      <c r="L161" s="92">
        <f t="shared" si="1263"/>
        <v>778.13887062219555</v>
      </c>
      <c r="M161" s="106" t="str">
        <f>IFERROR(SUMIFS('01. KE30'!$K:$K,'01. KE30'!$C:$C,'06. BC BH THEO CUSTOMER-USD'!$D161,'01. KE30'!$F:$F,'06. BC BH THEO CUSTOMER-USD'!$H161,'01. KE30'!$A:$A,'06. BC BH THEO CUSTOMER-USD'!M$4)/'06. BC BH THEO CUSTOMER-USD'!CS161/'02. Tỷ giá'!B$5,"-")</f>
        <v>-</v>
      </c>
      <c r="N161" s="106">
        <f>IFERROR(SUMIFS('01. KE30'!$K:$K,'01. KE30'!$C:$C,'06. BC BH THEO CUSTOMER-USD'!$D161,'01. KE30'!$F:$F,'06. BC BH THEO CUSTOMER-USD'!$H161,'01. KE30'!$A:$A,'06. BC BH THEO CUSTOMER-USD'!N$4)/'06. BC BH THEO CUSTOMER-USD'!CT161/'02. Tỷ giá'!C$5,"-")</f>
        <v>796.16778259157149</v>
      </c>
      <c r="O161" s="106">
        <f>IFERROR(SUMIFS('01. KE30'!$K:$K,'01. KE30'!$C:$C,'06. BC BH THEO CUSTOMER-USD'!$D161,'01. KE30'!$F:$F,'06. BC BH THEO CUSTOMER-USD'!$H161,'01. KE30'!$A:$A,'06. BC BH THEO CUSTOMER-USD'!O$4)/'06. BC BH THEO CUSTOMER-USD'!CU161/'02. Tỷ giá'!D$5,"-")</f>
        <v>815.45866141732279</v>
      </c>
      <c r="P161" s="106">
        <f>IFERROR(SUMIFS('01. KE30'!$K:$K,'01. KE30'!$C:$C,'06. BC BH THEO CUSTOMER-USD'!$D161,'01. KE30'!$F:$F,'06. BC BH THEO CUSTOMER-USD'!$H161,'01. KE30'!$A:$A,'06. BC BH THEO CUSTOMER-USD'!P$4)/'06. BC BH THEO CUSTOMER-USD'!CV161/'02. Tỷ giá'!E$5,"-")</f>
        <v>774.29345722028654</v>
      </c>
      <c r="Q161" s="106">
        <f>IFERROR(SUMIFS('01. KE30'!$K:$K,'01. KE30'!$C:$C,'06. BC BH THEO CUSTOMER-USD'!$D161,'01. KE30'!$F:$F,'06. BC BH THEO CUSTOMER-USD'!$H161,'01. KE30'!$A:$A,'06. BC BH THEO CUSTOMER-USD'!Q$4)/'06. BC BH THEO CUSTOMER-USD'!CW161/'02. Tỷ giá'!F$5,"-")</f>
        <v>773.3952049497293</v>
      </c>
      <c r="R161" s="106">
        <f>IFERROR(SUMIFS('01. KE30'!$K:$K,'01. KE30'!$C:$C,'06. BC BH THEO CUSTOMER-USD'!$D161,'01. KE30'!$F:$F,'06. BC BH THEO CUSTOMER-USD'!$H161,'01. KE30'!$A:$A,'06. BC BH THEO CUSTOMER-USD'!R$4)/'06. BC BH THEO CUSTOMER-USD'!CX161/'02. Tỷ giá'!G$5,"-")</f>
        <v>771.60493827160496</v>
      </c>
      <c r="S161" s="106">
        <f>IFERROR(SUMIFS('01. KE30'!$K:$K,'01. KE30'!$C:$C,'06. BC BH THEO CUSTOMER-USD'!$D161,'01. KE30'!$F:$F,'06. BC BH THEO CUSTOMER-USD'!$H161,'01. KE30'!$A:$A,'06. BC BH THEO CUSTOMER-USD'!S$4)/'06. BC BH THEO CUSTOMER-USD'!CY161/'02. Tỷ giá'!H$5,"-")</f>
        <v>768.34421820975797</v>
      </c>
      <c r="T161" s="106">
        <f>IFERROR(SUMIFS('01. KE30'!$K:$K,'01. KE30'!$C:$C,'06. BC BH THEO CUSTOMER-USD'!$D161,'01. KE30'!$F:$F,'06. BC BH THEO CUSTOMER-USD'!$H161,'01. KE30'!$A:$A,'06. BC BH THEO CUSTOMER-USD'!T$4)/'06. BC BH THEO CUSTOMER-USD'!CZ161/'02. Tỷ giá'!I$5,"-")</f>
        <v>763.94194041252865</v>
      </c>
      <c r="U161" s="106">
        <f>IFERROR(SUMIFS('01. KE30'!$K:$K,'01. KE30'!$C:$C,'06. BC BH THEO CUSTOMER-USD'!$D161,'01. KE30'!$F:$F,'06. BC BH THEO CUSTOMER-USD'!$H161,'01. KE30'!$A:$A,'06. BC BH THEO CUSTOMER-USD'!U$4)/'06. BC BH THEO CUSTOMER-USD'!DA161/'02. Tỷ giá'!J$5,"-")</f>
        <v>761.90476190476193</v>
      </c>
      <c r="V161" s="106" t="str">
        <f>IFERROR(SUMIFS('01. KE30'!$K:$K,'01. KE30'!$C:$C,'06. BC BH THEO CUSTOMER-USD'!$D161,'01. KE30'!$F:$F,'06. BC BH THEO CUSTOMER-USD'!$H161,'01. KE30'!$A:$A,'06. BC BH THEO CUSTOMER-USD'!V$4)/'06. BC BH THEO CUSTOMER-USD'!DB161/'02. Tỷ giá'!K$5,"-")</f>
        <v>-</v>
      </c>
      <c r="W161" s="106" t="str">
        <f>IFERROR(SUMIFS('01. KE30'!$K:$K,'01. KE30'!$C:$C,'06. BC BH THEO CUSTOMER-USD'!$D161,'01. KE30'!$F:$F,'06. BC BH THEO CUSTOMER-USD'!$H161,'01. KE30'!$A:$A,'06. BC BH THEO CUSTOMER-USD'!W$4)/'06. BC BH THEO CUSTOMER-USD'!DC161/'02. Tỷ giá'!L$5,"-")</f>
        <v>-</v>
      </c>
      <c r="X161" s="106" t="str">
        <f>IFERROR(SUMIFS('01. KE30'!$K:$K,'01. KE30'!$C:$C,'06. BC BH THEO CUSTOMER-USD'!$D161,'01. KE30'!$F:$F,'06. BC BH THEO CUSTOMER-USD'!$H161,'01. KE30'!$A:$A,'06. BC BH THEO CUSTOMER-USD'!X$4)/'06. BC BH THEO CUSTOMER-USD'!DD161/'02. Tỷ giá'!M$5,"-")</f>
        <v>-</v>
      </c>
      <c r="Z161" s="92">
        <f t="shared" si="1264"/>
        <v>778.13887062219555</v>
      </c>
      <c r="AA161" s="147" t="str">
        <f>IFERROR(SUMIFS('01. KE30'!$O:$O,'01. KE30'!$C:$C,'06. BC BH THEO CUSTOMER-USD'!$D161,'01. KE30'!$F:$F,'06. BC BH THEO CUSTOMER-USD'!$H161,'01. KE30'!$A:$A,'06. BC BH THEO CUSTOMER-USD'!M$4)/'06. BC BH THEO CUSTOMER-USD'!CS161/'02. Tỷ giá'!B$5,"-")</f>
        <v>-</v>
      </c>
      <c r="AB161" s="147">
        <f>IFERROR(SUMIFS('01. KE30'!$O:$O,'01. KE30'!$C:$C,'06. BC BH THEO CUSTOMER-USD'!$D161,'01. KE30'!$F:$F,'06. BC BH THEO CUSTOMER-USD'!$H161,'01. KE30'!$A:$A,'06. BC BH THEO CUSTOMER-USD'!N$4)/'06. BC BH THEO CUSTOMER-USD'!CT161/'02. Tỷ giá'!C$5,"-")</f>
        <v>796.16778259157149</v>
      </c>
      <c r="AC161" s="147">
        <f>IFERROR(SUMIFS('01. KE30'!$O:$O,'01. KE30'!$C:$C,'06. BC BH THEO CUSTOMER-USD'!$D161,'01. KE30'!$F:$F,'06. BC BH THEO CUSTOMER-USD'!$H161,'01. KE30'!$A:$A,'06. BC BH THEO CUSTOMER-USD'!O$4)/'06. BC BH THEO CUSTOMER-USD'!CU161/'02. Tỷ giá'!D$5,"-")</f>
        <v>815.45866141732279</v>
      </c>
      <c r="AD161" s="147">
        <f>IFERROR(SUMIFS('01. KE30'!$O:$O,'01. KE30'!$C:$C,'06. BC BH THEO CUSTOMER-USD'!$D161,'01. KE30'!$F:$F,'06. BC BH THEO CUSTOMER-USD'!$H161,'01. KE30'!$A:$A,'06. BC BH THEO CUSTOMER-USD'!P$4)/'06. BC BH THEO CUSTOMER-USD'!CV161/'02. Tỷ giá'!E$5,"-")</f>
        <v>774.29345722028654</v>
      </c>
      <c r="AE161" s="147">
        <f>IFERROR(SUMIFS('01. KE30'!$O:$O,'01. KE30'!$C:$C,'06. BC BH THEO CUSTOMER-USD'!$D161,'01. KE30'!$F:$F,'06. BC BH THEO CUSTOMER-USD'!$H161,'01. KE30'!$A:$A,'06. BC BH THEO CUSTOMER-USD'!Q$4)/'06. BC BH THEO CUSTOMER-USD'!CW161/'02. Tỷ giá'!F$5,"-")</f>
        <v>773.3952049497293</v>
      </c>
      <c r="AF161" s="147">
        <f>IFERROR(SUMIFS('01. KE30'!$O:$O,'01. KE30'!$C:$C,'06. BC BH THEO CUSTOMER-USD'!$D161,'01. KE30'!$F:$F,'06. BC BH THEO CUSTOMER-USD'!$H161,'01. KE30'!$A:$A,'06. BC BH THEO CUSTOMER-USD'!R$4)/'06. BC BH THEO CUSTOMER-USD'!CX161/'02. Tỷ giá'!G$5,"-")</f>
        <v>771.60493827160496</v>
      </c>
      <c r="AG161" s="147">
        <f>IFERROR(SUMIFS('01. KE30'!$O:$O,'01. KE30'!$C:$C,'06. BC BH THEO CUSTOMER-USD'!$D161,'01. KE30'!$F:$F,'06. BC BH THEO CUSTOMER-USD'!$H161,'01. KE30'!$A:$A,'06. BC BH THEO CUSTOMER-USD'!S$4)/'06. BC BH THEO CUSTOMER-USD'!CY161/'02. Tỷ giá'!H$5,"-")</f>
        <v>768.34421820975797</v>
      </c>
      <c r="AH161" s="147">
        <f>IFERROR(SUMIFS('01. KE30'!$O:$O,'01. KE30'!$C:$C,'06. BC BH THEO CUSTOMER-USD'!$D161,'01. KE30'!$F:$F,'06. BC BH THEO CUSTOMER-USD'!$H161,'01. KE30'!$A:$A,'06. BC BH THEO CUSTOMER-USD'!T$4)/'06. BC BH THEO CUSTOMER-USD'!CZ161/'02. Tỷ giá'!I$5,"-")</f>
        <v>763.94194041252865</v>
      </c>
      <c r="AI161" s="147">
        <f>IFERROR(SUMIFS('01. KE30'!$O:$O,'01. KE30'!$C:$C,'06. BC BH THEO CUSTOMER-USD'!$D161,'01. KE30'!$F:$F,'06. BC BH THEO CUSTOMER-USD'!$H161,'01. KE30'!$A:$A,'06. BC BH THEO CUSTOMER-USD'!U$4)/'06. BC BH THEO CUSTOMER-USD'!DA161/'02. Tỷ giá'!J$5,"-")</f>
        <v>761.90476190476193</v>
      </c>
      <c r="AJ161" s="147" t="str">
        <f>IFERROR(SUMIFS('01. KE30'!$O:$O,'01. KE30'!$C:$C,'06. BC BH THEO CUSTOMER-USD'!$D161,'01. KE30'!$F:$F,'06. BC BH THEO CUSTOMER-USD'!$H161,'01. KE30'!$A:$A,'06. BC BH THEO CUSTOMER-USD'!V$4)/'06. BC BH THEO CUSTOMER-USD'!DB161/'02. Tỷ giá'!K$5,"-")</f>
        <v>-</v>
      </c>
      <c r="AK161" s="147" t="str">
        <f>IFERROR(SUMIFS('01. KE30'!$O:$O,'01. KE30'!$C:$C,'06. BC BH THEO CUSTOMER-USD'!$D161,'01. KE30'!$F:$F,'06. BC BH THEO CUSTOMER-USD'!$H161,'01. KE30'!$A:$A,'06. BC BH THEO CUSTOMER-USD'!W$4)/'06. BC BH THEO CUSTOMER-USD'!DC161/'02. Tỷ giá'!L$5,"-")</f>
        <v>-</v>
      </c>
      <c r="AL161" s="147" t="str">
        <f>IFERROR(SUMIFS('01. KE30'!$O:$O,'01. KE30'!$C:$C,'06. BC BH THEO CUSTOMER-USD'!$D161,'01. KE30'!$F:$F,'06. BC BH THEO CUSTOMER-USD'!$H161,'01. KE30'!$A:$A,'06. BC BH THEO CUSTOMER-USD'!X$4)/'06. BC BH THEO CUSTOMER-USD'!DD161/'02. Tỷ giá'!M$5,"-")</f>
        <v>-</v>
      </c>
      <c r="AN161" s="55">
        <f t="shared" si="1265"/>
        <v>790</v>
      </c>
      <c r="AO161" s="4">
        <v>870</v>
      </c>
      <c r="AP161" s="4">
        <v>800</v>
      </c>
      <c r="AQ161" s="4">
        <v>805</v>
      </c>
      <c r="AR161" s="4">
        <v>805</v>
      </c>
      <c r="AS161" s="4">
        <v>765</v>
      </c>
      <c r="AT161" s="4">
        <v>765</v>
      </c>
      <c r="AU161" s="4">
        <v>780</v>
      </c>
      <c r="AV161" s="4">
        <f t="shared" si="1272"/>
        <v>760</v>
      </c>
      <c r="AW161" s="4">
        <v>760</v>
      </c>
      <c r="AX161" s="4"/>
      <c r="AY161" s="4"/>
      <c r="AZ161" s="4"/>
      <c r="BB161" s="54">
        <f t="shared" si="637"/>
        <v>-11.861129377804446</v>
      </c>
      <c r="BC161" s="95" t="str">
        <f t="shared" si="1333"/>
        <v>-</v>
      </c>
      <c r="BD161" s="95">
        <f t="shared" si="1718"/>
        <v>-3.8322174084285052</v>
      </c>
      <c r="BE161" s="95">
        <f t="shared" si="1718"/>
        <v>10.458661417322787</v>
      </c>
      <c r="BF161" s="95">
        <f t="shared" si="1718"/>
        <v>-30.706542779713459</v>
      </c>
      <c r="BG161" s="95">
        <f t="shared" si="1718"/>
        <v>8.3952049497293046</v>
      </c>
      <c r="BH161" s="95">
        <f t="shared" si="1718"/>
        <v>6.6049382716049649</v>
      </c>
      <c r="BI161" s="95">
        <f t="shared" si="1718"/>
        <v>-11.655781790242031</v>
      </c>
      <c r="BJ161" s="95">
        <f t="shared" si="1718"/>
        <v>3.9419404125286519</v>
      </c>
      <c r="BK161" s="95">
        <f t="shared" si="1718"/>
        <v>1.9047619047619264</v>
      </c>
      <c r="BL161" s="95" t="str">
        <f t="shared" si="1718"/>
        <v>-</v>
      </c>
      <c r="BM161" s="95" t="str">
        <f t="shared" si="1718"/>
        <v>-</v>
      </c>
      <c r="BN161" s="95" t="str">
        <f t="shared" si="1718"/>
        <v>-</v>
      </c>
      <c r="BP161" s="143">
        <f t="shared" si="639"/>
        <v>-1.5014087820005627E-2</v>
      </c>
      <c r="BQ161" s="143" t="str">
        <f t="shared" si="1331"/>
        <v>-</v>
      </c>
      <c r="BR161" s="143">
        <f t="shared" si="518"/>
        <v>-4.7902717605356315E-3</v>
      </c>
      <c r="BS161" s="143">
        <f t="shared" si="519"/>
        <v>1.2992125984251909E-2</v>
      </c>
      <c r="BT161" s="143">
        <f t="shared" si="520"/>
        <v>-3.8144773639395599E-2</v>
      </c>
      <c r="BU161" s="143">
        <f t="shared" si="521"/>
        <v>1.0974124117293208E-2</v>
      </c>
      <c r="BV161" s="143">
        <f t="shared" si="522"/>
        <v>8.6339062373921114E-3</v>
      </c>
      <c r="BW161" s="143">
        <f t="shared" si="523"/>
        <v>-1.4943309987489783E-2</v>
      </c>
      <c r="BX161" s="143">
        <f t="shared" si="524"/>
        <v>5.1867637006955949E-3</v>
      </c>
      <c r="BY161" s="143">
        <f t="shared" si="525"/>
        <v>2.5062656641604295E-3</v>
      </c>
      <c r="BZ161" s="143" t="str">
        <f t="shared" si="526"/>
        <v>-</v>
      </c>
      <c r="CA161" s="143" t="str">
        <f t="shared" si="527"/>
        <v>-</v>
      </c>
      <c r="CB161" s="143" t="str">
        <f t="shared" si="528"/>
        <v>-</v>
      </c>
      <c r="CD161" s="112">
        <f t="shared" si="1723"/>
        <v>1140.2864894953873</v>
      </c>
      <c r="CE161" s="95" t="str">
        <f>IFERROR(SUMIFS('01. KE30'!$R:$R,'01. KE30'!$C:$C,'06. BC BH THEO CUSTOMER-USD'!$D161,'01. KE30'!$F:$F,'06. BC BH THEO CUSTOMER-USD'!$H161,'01. KE30'!$A:$A,'06. BC BH THEO CUSTOMER-USD'!CE$4)/CS161/'02. Tỷ giá'!B$5," -")</f>
        <v xml:space="preserve"> -</v>
      </c>
      <c r="CF161" s="95">
        <f>IFERROR(SUMIFS('01. KE30'!$R:$R,'01. KE30'!$C:$C,'06. BC BH THEO CUSTOMER-USD'!$D161,'01. KE30'!$F:$F,'06. BC BH THEO CUSTOMER-USD'!$H161,'01. KE30'!$A:$A,'06. BC BH THEO CUSTOMER-USD'!CF$4)/CT161/'02. Tỷ giá'!C$5," -")</f>
        <v>1239.2480754771027</v>
      </c>
      <c r="CG161" s="95">
        <f>IFERROR(SUMIFS('01. KE30'!$R:$R,'01. KE30'!$C:$C,'06. BC BH THEO CUSTOMER-USD'!$D161,'01. KE30'!$F:$F,'06. BC BH THEO CUSTOMER-USD'!$H161,'01. KE30'!$A:$A,'06. BC BH THEO CUSTOMER-USD'!CG$4)/CU161/'02. Tỷ giá'!D$5," -")</f>
        <v>1154.3198639942734</v>
      </c>
      <c r="CH161" s="95">
        <f>IFERROR(SUMIFS('01. KE30'!$R:$R,'01. KE30'!$C:$C,'06. BC BH THEO CUSTOMER-USD'!$D161,'01. KE30'!$F:$F,'06. BC BH THEO CUSTOMER-USD'!$H161,'01. KE30'!$A:$A,'06. BC BH THEO CUSTOMER-USD'!CH$4)/CV161/'02. Tỷ giá'!E$5," -")</f>
        <v>1144.8862821009163</v>
      </c>
      <c r="CI161" s="95">
        <f>IFERROR(SUMIFS('01. KE30'!$R:$R,'01. KE30'!$C:$C,'06. BC BH THEO CUSTOMER-USD'!$D161,'01. KE30'!$F:$F,'06. BC BH THEO CUSTOMER-USD'!$H161,'01. KE30'!$A:$A,'06. BC BH THEO CUSTOMER-USD'!CI$4)/CW161/'02. Tỷ giá'!F$5," -")</f>
        <v>1113.3477114532798</v>
      </c>
      <c r="CJ161" s="95">
        <f>IFERROR(SUMIFS('01. KE30'!$R:$R,'01. KE30'!$C:$C,'06. BC BH THEO CUSTOMER-USD'!$D161,'01. KE30'!$F:$F,'06. BC BH THEO CUSTOMER-USD'!$H161,'01. KE30'!$A:$A,'06. BC BH THEO CUSTOMER-USD'!CJ$4)/CX161/'02. Tỷ giá'!G$5," -")</f>
        <v>1117.8922208193042</v>
      </c>
      <c r="CK161" s="95">
        <f>IFERROR(SUMIFS('01. KE30'!$R:$R,'01. KE30'!$C:$C,'06. BC BH THEO CUSTOMER-USD'!$D161,'01. KE30'!$F:$F,'06. BC BH THEO CUSTOMER-USD'!$H161,'01. KE30'!$A:$A,'06. BC BH THEO CUSTOMER-USD'!CK$4)/CY161/'02. Tỷ giá'!H$5," -")</f>
        <v>1113.1677924073622</v>
      </c>
      <c r="CL161" s="95">
        <f>IFERROR(SUMIFS('01. KE30'!$R:$R,'01. KE30'!$C:$C,'06. BC BH THEO CUSTOMER-USD'!$D161,'01. KE30'!$F:$F,'06. BC BH THEO CUSTOMER-USD'!$H161,'01. KE30'!$A:$A,'06. BC BH THEO CUSTOMER-USD'!CL$4)/CZ161/'02. Tỷ giá'!I$5," -")</f>
        <v>1106.7892909229809</v>
      </c>
      <c r="CM161" s="95">
        <f>IFERROR(SUMIFS('01. KE30'!$R:$R,'01. KE30'!$C:$C,'06. BC BH THEO CUSTOMER-USD'!$D161,'01. KE30'!$F:$F,'06. BC BH THEO CUSTOMER-USD'!$H161,'01. KE30'!$A:$A,'06. BC BH THEO CUSTOMER-USD'!CM$4)/DA161/'02. Tỷ giá'!J$5," -")</f>
        <v>1132.6406787878786</v>
      </c>
      <c r="CN161" s="95" t="str">
        <f>IFERROR(SUMIFS('01. KE30'!$R:$R,'01. KE30'!$C:$C,'06. BC BH THEO CUSTOMER-USD'!$D161,'01. KE30'!$F:$F,'06. BC BH THEO CUSTOMER-USD'!$H161,'01. KE30'!$A:$A,'06. BC BH THEO CUSTOMER-USD'!CN$4)/DB161/'02. Tỷ giá'!K$5," -")</f>
        <v xml:space="preserve"> -</v>
      </c>
      <c r="CO161" s="95" t="str">
        <f>IFERROR(SUMIFS('01. KE30'!$R:$R,'01. KE30'!$C:$C,'06. BC BH THEO CUSTOMER-USD'!$D161,'01. KE30'!$F:$F,'06. BC BH THEO CUSTOMER-USD'!$H161,'01. KE30'!$A:$A,'06. BC BH THEO CUSTOMER-USD'!CO$4)/DC161/'02. Tỷ giá'!L$5," -")</f>
        <v xml:space="preserve"> -</v>
      </c>
      <c r="CP161" s="95" t="str">
        <f>IFERROR(SUMIFS('01. KE30'!$R:$R,'01. KE30'!$C:$C,'06. BC BH THEO CUSTOMER-USD'!$D161,'01. KE30'!$F:$F,'06. BC BH THEO CUSTOMER-USD'!$H161,'01. KE30'!$A:$A,'06. BC BH THEO CUSTOMER-USD'!CP$4)/DD161/'02. Tỷ giá'!M$5," -")</f>
        <v xml:space="preserve"> -</v>
      </c>
      <c r="CR161" s="112">
        <f t="shared" si="1249"/>
        <v>115.5</v>
      </c>
      <c r="CS161" s="114">
        <f>SUMIFS('01. KE30'!$I:$I,'01. KE30'!$C:$C,'06. BC BH THEO CUSTOMER-USD'!$D161,'01. KE30'!$F:$F,'06. BC BH THEO CUSTOMER-USD'!$H161,'01. KE30'!$A:$A,'06. BC BH THEO CUSTOMER-USD'!CS$4)/1000</f>
        <v>0</v>
      </c>
      <c r="CT161" s="114">
        <f>SUMIFS('01. KE30'!$I:$I,'01. KE30'!$C:$C,'06. BC BH THEO CUSTOMER-USD'!$D161,'01. KE30'!$F:$F,'06. BC BH THEO CUSTOMER-USD'!$H161,'01. KE30'!$A:$A,'06. BC BH THEO CUSTOMER-USD'!CT$4)/1000</f>
        <v>11</v>
      </c>
      <c r="CU161" s="114">
        <f>SUMIFS('01. KE30'!$I:$I,'01. KE30'!$C:$C,'06. BC BH THEO CUSTOMER-USD'!$D161,'01. KE30'!$F:$F,'06. BC BH THEO CUSTOMER-USD'!$H161,'01. KE30'!$A:$A,'06. BC BH THEO CUSTOMER-USD'!CU$4)/1000</f>
        <v>16.5</v>
      </c>
      <c r="CV161" s="114">
        <f>SUMIFS('01. KE30'!$I:$I,'01. KE30'!$C:$C,'06. BC BH THEO CUSTOMER-USD'!$D161,'01. KE30'!$F:$F,'06. BC BH THEO CUSTOMER-USD'!$H161,'01. KE30'!$A:$A,'06. BC BH THEO CUSTOMER-USD'!CV$4)/1000</f>
        <v>16.5</v>
      </c>
      <c r="CW161" s="114">
        <f>SUMIFS('01. KE30'!$I:$I,'01. KE30'!$C:$C,'06. BC BH THEO CUSTOMER-USD'!$D161,'01. KE30'!$F:$F,'06. BC BH THEO CUSTOMER-USD'!$H161,'01. KE30'!$A:$A,'06. BC BH THEO CUSTOMER-USD'!CW$4)/1000</f>
        <v>16.5</v>
      </c>
      <c r="CX161" s="114">
        <f>SUMIFS('01. KE30'!$I:$I,'01. KE30'!$C:$C,'06. BC BH THEO CUSTOMER-USD'!$D161,'01. KE30'!$F:$F,'06. BC BH THEO CUSTOMER-USD'!$H161,'01. KE30'!$A:$A,'06. BC BH THEO CUSTOMER-USD'!CX$4)/1000</f>
        <v>16.5</v>
      </c>
      <c r="CY161" s="114">
        <f>SUMIFS('01. KE30'!$I:$I,'01. KE30'!$C:$C,'06. BC BH THEO CUSTOMER-USD'!$D161,'01. KE30'!$F:$F,'06. BC BH THEO CUSTOMER-USD'!$H161,'01. KE30'!$A:$A,'06. BC BH THEO CUSTOMER-USD'!CY$4)/1000</f>
        <v>11</v>
      </c>
      <c r="CZ161" s="114">
        <f>SUMIFS('01. KE30'!$I:$I,'01. KE30'!$C:$C,'06. BC BH THEO CUSTOMER-USD'!$D161,'01. KE30'!$F:$F,'06. BC BH THEO CUSTOMER-USD'!$H161,'01. KE30'!$A:$A,'06. BC BH THEO CUSTOMER-USD'!CZ$4)/1000</f>
        <v>16.5</v>
      </c>
      <c r="DA161" s="114">
        <f>SUMIFS('01. KE30'!$I:$I,'01. KE30'!$C:$C,'06. BC BH THEO CUSTOMER-USD'!$D161,'01. KE30'!$F:$F,'06. BC BH THEO CUSTOMER-USD'!$H161,'01. KE30'!$A:$A,'06. BC BH THEO CUSTOMER-USD'!DA$4)/1000</f>
        <v>11</v>
      </c>
      <c r="DB161" s="114">
        <f>SUMIFS('01. KE30'!$I:$I,'01. KE30'!$C:$C,'06. BC BH THEO CUSTOMER-USD'!$D161,'01. KE30'!$F:$F,'06. BC BH THEO CUSTOMER-USD'!$H161,'01. KE30'!$A:$A,'06. BC BH THEO CUSTOMER-USD'!DB$4)/1000</f>
        <v>0</v>
      </c>
      <c r="DC161" s="114">
        <f>SUMIFS('01. KE30'!$I:$I,'01. KE30'!$C:$C,'06. BC BH THEO CUSTOMER-USD'!$D161,'01. KE30'!$F:$F,'06. BC BH THEO CUSTOMER-USD'!$H161,'01. KE30'!$A:$A,'06. BC BH THEO CUSTOMER-USD'!DC$4)/1000</f>
        <v>0</v>
      </c>
      <c r="DD161" s="114">
        <f>SUMIFS('01. KE30'!$I:$I,'01. KE30'!$C:$C,'06. BC BH THEO CUSTOMER-USD'!$D161,'01. KE30'!$F:$F,'06. BC BH THEO CUSTOMER-USD'!$H161,'01. KE30'!$A:$A,'06. BC BH THEO CUSTOMER-USD'!DD$4)/1000</f>
        <v>0</v>
      </c>
      <c r="DF161" s="112">
        <f t="shared" si="1724"/>
        <v>89919.038727246298</v>
      </c>
      <c r="DG161" s="54" t="str">
        <f t="shared" si="1725"/>
        <v>-</v>
      </c>
      <c r="DH161" s="54">
        <f t="shared" si="1726"/>
        <v>8757.8456085072867</v>
      </c>
      <c r="DI161" s="54">
        <f t="shared" si="1727"/>
        <v>13455.067913385827</v>
      </c>
      <c r="DJ161" s="54">
        <f t="shared" si="1728"/>
        <v>12775.842044134728</v>
      </c>
      <c r="DK161" s="54">
        <f t="shared" si="1729"/>
        <v>12761.020881670534</v>
      </c>
      <c r="DL161" s="54">
        <f t="shared" si="1730"/>
        <v>12731.481481481482</v>
      </c>
      <c r="DM161" s="54">
        <f t="shared" si="1731"/>
        <v>8451.7864003073373</v>
      </c>
      <c r="DN161" s="54">
        <f t="shared" si="1732"/>
        <v>12605.042016806723</v>
      </c>
      <c r="DO161" s="54">
        <f t="shared" si="1733"/>
        <v>8380.9523809523816</v>
      </c>
      <c r="DP161" s="54" t="str">
        <f t="shared" si="1734"/>
        <v>-</v>
      </c>
      <c r="DQ161" s="54" t="str">
        <f t="shared" si="1735"/>
        <v>-</v>
      </c>
      <c r="DR161" s="54" t="str">
        <f t="shared" si="1736"/>
        <v>-</v>
      </c>
      <c r="DT161" s="112">
        <f t="shared" si="652"/>
        <v>-41430.966879446933</v>
      </c>
      <c r="DU161" s="114">
        <f>IFERROR(SUMIFS('01. KE30'!$X:$X,'01. KE30'!$C:$C,'06. BC BH THEO CUSTOMER-USD'!$D161,'01. KE30'!$F:$F,'06. BC BH THEO CUSTOMER-USD'!$H161,'01. KE30'!$A:$A,'06. BC BH THEO CUSTOMER-USD'!DU$4)-SUMIFS('01. KE30'!$AA:$AA,'01. KE30'!$C:$C,'06. BC BH THEO CUSTOMER-USD'!$D161,'01. KE30'!$F:$F,'06. BC BH THEO CUSTOMER-USD'!$H161,'01. KE30'!$A:$A,'06. BC BH THEO CUSTOMER-USD'!DU$4),"-")</f>
        <v>0</v>
      </c>
      <c r="DV161" s="114">
        <f>IFERROR(SUMIFS('01. KE30'!$X:$X,'01. KE30'!$C:$C,'06. BC BH THEO CUSTOMER-USD'!$D161,'01. KE30'!$F:$F,'06. BC BH THEO CUSTOMER-USD'!$H161,'01. KE30'!$A:$A,'06. BC BH THEO CUSTOMER-USD'!DV$4)-SUMIFS('01. KE30'!$AA:$AA,'01. KE30'!$C:$C,'06. BC BH THEO CUSTOMER-USD'!$D161,'01. KE30'!$F:$F,'06. BC BH THEO CUSTOMER-USD'!$H161,'01. KE30'!$A:$A,'06. BC BH THEO CUSTOMER-USD'!DV$4),"-")</f>
        <v>-4873.8832217408417</v>
      </c>
      <c r="DW161" s="114">
        <f>IFERROR(SUMIFS('01. KE30'!$X:$X,'01. KE30'!$C:$C,'06. BC BH THEO CUSTOMER-USD'!$D161,'01. KE30'!$F:$F,'06. BC BH THEO CUSTOMER-USD'!$H161,'01. KE30'!$A:$A,'06. BC BH THEO CUSTOMER-USD'!DW$4)-SUMIFS('01. KE30'!$AA:$AA,'01. KE30'!$C:$C,'06. BC BH THEO CUSTOMER-USD'!$D161,'01. KE30'!$F:$F,'06. BC BH THEO CUSTOMER-USD'!$H161,'01. KE30'!$A:$A,'06. BC BH THEO CUSTOMER-USD'!DW$4),"-")</f>
        <v>-5591.2098425196837</v>
      </c>
      <c r="DX161" s="114">
        <f>IFERROR(SUMIFS('01. KE30'!$X:$X,'01. KE30'!$C:$C,'06. BC BH THEO CUSTOMER-USD'!$D161,'01. KE30'!$F:$F,'06. BC BH THEO CUSTOMER-USD'!$H161,'01. KE30'!$A:$A,'06. BC BH THEO CUSTOMER-USD'!DX$4)-SUMIFS('01. KE30'!$AA:$AA,'01. KE30'!$C:$C,'06. BC BH THEO CUSTOMER-USD'!$D161,'01. KE30'!$F:$F,'06. BC BH THEO CUSTOMER-USD'!$H161,'01. KE30'!$A:$A,'06. BC BH THEO CUSTOMER-USD'!DX$4),"-")</f>
        <v>-6114.7816105303937</v>
      </c>
      <c r="DY161" s="114">
        <f>IFERROR(SUMIFS('01. KE30'!$X:$X,'01. KE30'!$C:$C,'06. BC BH THEO CUSTOMER-USD'!$D161,'01. KE30'!$F:$F,'06. BC BH THEO CUSTOMER-USD'!$H161,'01. KE30'!$A:$A,'06. BC BH THEO CUSTOMER-USD'!DY$4)-SUMIFS('01. KE30'!$AA:$AA,'01. KE30'!$C:$C,'06. BC BH THEO CUSTOMER-USD'!$D161,'01. KE30'!$F:$F,'06. BC BH THEO CUSTOMER-USD'!$H161,'01. KE30'!$A:$A,'06. BC BH THEO CUSTOMER-USD'!DY$4),"-")</f>
        <v>-5609.2163573085854</v>
      </c>
      <c r="DZ161" s="114">
        <f>IFERROR(SUMIFS('01. KE30'!$X:$X,'01. KE30'!$C:$C,'06. BC BH THEO CUSTOMER-USD'!$D161,'01. KE30'!$F:$F,'06. BC BH THEO CUSTOMER-USD'!$H161,'01. KE30'!$A:$A,'06. BC BH THEO CUSTOMER-USD'!DZ$4)-SUMIFS('01. KE30'!$AA:$AA,'01. KE30'!$C:$C,'06. BC BH THEO CUSTOMER-USD'!$D161,'01. KE30'!$F:$F,'06. BC BH THEO CUSTOMER-USD'!$H161,'01. KE30'!$A:$A,'06. BC BH THEO CUSTOMER-USD'!DZ$4),"-")</f>
        <v>-5713.7401620370365</v>
      </c>
      <c r="EA161" s="114">
        <f>IFERROR(SUMIFS('01. KE30'!$X:$X,'01. KE30'!$C:$C,'06. BC BH THEO CUSTOMER-USD'!$D161,'01. KE30'!$F:$F,'06. BC BH THEO CUSTOMER-USD'!$H161,'01. KE30'!$A:$A,'06. BC BH THEO CUSTOMER-USD'!EA$4)-SUMIFS('01. KE30'!$AA:$AA,'01. KE30'!$C:$C,'06. BC BH THEO CUSTOMER-USD'!$D161,'01. KE30'!$F:$F,'06. BC BH THEO CUSTOMER-USD'!$H161,'01. KE30'!$A:$A,'06. BC BH THEO CUSTOMER-USD'!EA$4),"-")</f>
        <v>-3793.0593161736469</v>
      </c>
      <c r="EB161" s="114">
        <f>IFERROR(SUMIFS('01. KE30'!$X:$X,'01. KE30'!$C:$C,'06. BC BH THEO CUSTOMER-USD'!$D161,'01. KE30'!$F:$F,'06. BC BH THEO CUSTOMER-USD'!$H161,'01. KE30'!$A:$A,'06. BC BH THEO CUSTOMER-USD'!EB$4)-SUMIFS('01. KE30'!$AA:$AA,'01. KE30'!$C:$C,'06. BC BH THEO CUSTOMER-USD'!$D161,'01. KE30'!$F:$F,'06. BC BH THEO CUSTOMER-USD'!$H161,'01. KE30'!$A:$A,'06. BC BH THEO CUSTOMER-USD'!EB$4),"-")</f>
        <v>-5656.9812834224595</v>
      </c>
      <c r="EC161" s="114">
        <f>IFERROR(SUMIFS('01. KE30'!$X:$X,'01. KE30'!$C:$C,'06. BC BH THEO CUSTOMER-USD'!$D161,'01. KE30'!$F:$F,'06. BC BH THEO CUSTOMER-USD'!$H161,'01. KE30'!$A:$A,'06. BC BH THEO CUSTOMER-USD'!EC$4)-SUMIFS('01. KE30'!$AA:$AA,'01. KE30'!$C:$C,'06. BC BH THEO CUSTOMER-USD'!$D161,'01. KE30'!$F:$F,'06. BC BH THEO CUSTOMER-USD'!$H161,'01. KE30'!$A:$A,'06. BC BH THEO CUSTOMER-USD'!EC$4),"-")</f>
        <v>-4078.0950857142852</v>
      </c>
      <c r="ED161" s="114">
        <f>IFERROR(SUMIFS('01. KE30'!$X:$X,'01. KE30'!$C:$C,'06. BC BH THEO CUSTOMER-USD'!$D161,'01. KE30'!$F:$F,'06. BC BH THEO CUSTOMER-USD'!$H161,'01. KE30'!$A:$A,'06. BC BH THEO CUSTOMER-USD'!ED$4)-SUMIFS('01. KE30'!$AA:$AA,'01. KE30'!$C:$C,'06. BC BH THEO CUSTOMER-USD'!$D161,'01. KE30'!$F:$F,'06. BC BH THEO CUSTOMER-USD'!$H161,'01. KE30'!$A:$A,'06. BC BH THEO CUSTOMER-USD'!ED$4),"-")</f>
        <v>0</v>
      </c>
      <c r="EE161" s="114">
        <f>IFERROR(SUMIFS('01. KE30'!$X:$X,'01. KE30'!$C:$C,'06. BC BH THEO CUSTOMER-USD'!$D161,'01. KE30'!$F:$F,'06. BC BH THEO CUSTOMER-USD'!$H161,'01. KE30'!$A:$A,'06. BC BH THEO CUSTOMER-USD'!EE$4)-SUMIFS('01. KE30'!$AA:$AA,'01. KE30'!$C:$C,'06. BC BH THEO CUSTOMER-USD'!$D161,'01. KE30'!$F:$F,'06. BC BH THEO CUSTOMER-USD'!$H161,'01. KE30'!$A:$A,'06. BC BH THEO CUSTOMER-USD'!EE$4),"-")</f>
        <v>0</v>
      </c>
      <c r="EF161" s="114">
        <f>IFERROR(SUMIFS('01. KE30'!$X:$X,'01. KE30'!$C:$C,'06. BC BH THEO CUSTOMER-USD'!$D161,'01. KE30'!$F:$F,'06. BC BH THEO CUSTOMER-USD'!$H161,'01. KE30'!$A:$A,'06. BC BH THEO CUSTOMER-USD'!EF$4)-SUMIFS('01. KE30'!$AA:$AA,'01. KE30'!$C:$C,'06. BC BH THEO CUSTOMER-USD'!$D161,'01. KE30'!$F:$F,'06. BC BH THEO CUSTOMER-USD'!$H161,'01. KE30'!$A:$A,'06. BC BH THEO CUSTOMER-USD'!EF$4),"-")</f>
        <v>0</v>
      </c>
      <c r="EH161" s="571">
        <f t="shared" si="1737"/>
        <v>-0.46075856087741923</v>
      </c>
      <c r="EI161" s="572" t="str">
        <f t="shared" si="1738"/>
        <v>-</v>
      </c>
      <c r="EJ161" s="572">
        <f t="shared" si="1739"/>
        <v>-0.55651623008818496</v>
      </c>
      <c r="EK161" s="572">
        <f t="shared" si="1740"/>
        <v>-0.41554675743830671</v>
      </c>
      <c r="EL161" s="572">
        <f t="shared" si="1741"/>
        <v>-0.47862063333333349</v>
      </c>
      <c r="EM161" s="572">
        <f t="shared" si="1742"/>
        <v>-0.43955859090909094</v>
      </c>
      <c r="EN161" s="572">
        <f t="shared" si="1743"/>
        <v>-0.44878831818181814</v>
      </c>
      <c r="EO161" s="572">
        <f t="shared" si="1744"/>
        <v>-0.44878788181818197</v>
      </c>
      <c r="EP161" s="572">
        <f t="shared" si="1745"/>
        <v>-0.44878718181818178</v>
      </c>
      <c r="EQ161" s="572">
        <f t="shared" si="1746"/>
        <v>-0.4865908909090908</v>
      </c>
      <c r="ER161" s="572" t="str">
        <f t="shared" si="1747"/>
        <v>-</v>
      </c>
      <c r="ES161" s="572" t="str">
        <f t="shared" si="1748"/>
        <v>-</v>
      </c>
      <c r="ET161" s="572" t="str">
        <f t="shared" si="1749"/>
        <v>-</v>
      </c>
    </row>
    <row r="162" spans="1:150" ht="15.5" hidden="1" outlineLevel="1" x14ac:dyDescent="0.35">
      <c r="A162" s="10">
        <f t="shared" si="1266"/>
        <v>5</v>
      </c>
      <c r="B162" s="10" t="s">
        <v>266</v>
      </c>
      <c r="C162" s="497" t="s">
        <v>29</v>
      </c>
      <c r="D162" s="9">
        <v>1000</v>
      </c>
      <c r="E162" s="8" t="s">
        <v>29</v>
      </c>
      <c r="F162" s="12" t="s">
        <v>245</v>
      </c>
      <c r="G162" s="12" t="str">
        <f>_xlfn.XLOOKUP(F162,'Quy đổi'!$G$5:$G$32,'Quy đổi'!$H$5:$H$32,0)</f>
        <v>Nội địa</v>
      </c>
      <c r="H162" s="80" t="s">
        <v>206</v>
      </c>
      <c r="I162" s="7" t="s">
        <v>207</v>
      </c>
      <c r="J162" s="69" t="s">
        <v>22</v>
      </c>
      <c r="K162" s="5"/>
      <c r="L162" s="92">
        <f t="shared" si="1263"/>
        <v>773.00789421477259</v>
      </c>
      <c r="M162" s="106" t="str">
        <f>IFERROR(SUMIFS('01. KE30'!$K:$K,'01. KE30'!$C:$C,'06. BC BH THEO CUSTOMER-USD'!$D162,'01. KE30'!$F:$F,'06. BC BH THEO CUSTOMER-USD'!$H162,'01. KE30'!$A:$A,'06. BC BH THEO CUSTOMER-USD'!M$4)/'06. BC BH THEO CUSTOMER-USD'!CS162/'02. Tỷ giá'!B$5,"-")</f>
        <v>-</v>
      </c>
      <c r="N162" s="106">
        <f>IFERROR(SUMIFS('01. KE30'!$K:$K,'01. KE30'!$C:$C,'06. BC BH THEO CUSTOMER-USD'!$D162,'01. KE30'!$F:$F,'06. BC BH THEO CUSTOMER-USD'!$H162,'01. KE30'!$A:$A,'06. BC BH THEO CUSTOMER-USD'!N$4)/'06. BC BH THEO CUSTOMER-USD'!CT162/'02. Tỷ giá'!C$5,"-")</f>
        <v>796.16778259157149</v>
      </c>
      <c r="O162" s="106" t="str">
        <f>IFERROR(SUMIFS('01. KE30'!$K:$K,'01. KE30'!$C:$C,'06. BC BH THEO CUSTOMER-USD'!$D162,'01. KE30'!$F:$F,'06. BC BH THEO CUSTOMER-USD'!$H162,'01. KE30'!$A:$A,'06. BC BH THEO CUSTOMER-USD'!O$4)/'06. BC BH THEO CUSTOMER-USD'!CU162/'02. Tỷ giá'!D$5,"-")</f>
        <v>-</v>
      </c>
      <c r="P162" s="106">
        <f>IFERROR(SUMIFS('01. KE30'!$K:$K,'01. KE30'!$C:$C,'06. BC BH THEO CUSTOMER-USD'!$D162,'01. KE30'!$F:$F,'06. BC BH THEO CUSTOMER-USD'!$H162,'01. KE30'!$A:$A,'06. BC BH THEO CUSTOMER-USD'!P$4)/'06. BC BH THEO CUSTOMER-USD'!CV162/'02. Tỷ giá'!E$5,"-")</f>
        <v>774.29345722028654</v>
      </c>
      <c r="Q162" s="106">
        <f>IFERROR(SUMIFS('01. KE30'!$K:$K,'01. KE30'!$C:$C,'06. BC BH THEO CUSTOMER-USD'!$D162,'01. KE30'!$F:$F,'06. BC BH THEO CUSTOMER-USD'!$H162,'01. KE30'!$A:$A,'06. BC BH THEO CUSTOMER-USD'!Q$4)/'06. BC BH THEO CUSTOMER-USD'!CW162/'02. Tỷ giá'!F$5,"-")</f>
        <v>773.3952049497293</v>
      </c>
      <c r="R162" s="106" t="str">
        <f>IFERROR(SUMIFS('01. KE30'!$K:$K,'01. KE30'!$C:$C,'06. BC BH THEO CUSTOMER-USD'!$D162,'01. KE30'!$F:$F,'06. BC BH THEO CUSTOMER-USD'!$H162,'01. KE30'!$A:$A,'06. BC BH THEO CUSTOMER-USD'!R$4)/'06. BC BH THEO CUSTOMER-USD'!CX162/'02. Tỷ giá'!G$5,"-")</f>
        <v>-</v>
      </c>
      <c r="S162" s="106">
        <f>IFERROR(SUMIFS('01. KE30'!$K:$K,'01. KE30'!$C:$C,'06. BC BH THEO CUSTOMER-USD'!$D162,'01. KE30'!$F:$F,'06. BC BH THEO CUSTOMER-USD'!$H162,'01. KE30'!$A:$A,'06. BC BH THEO CUSTOMER-USD'!S$4)/'06. BC BH THEO CUSTOMER-USD'!CY162/'02. Tỷ giá'!H$5,"-")</f>
        <v>768.34421820975797</v>
      </c>
      <c r="T162" s="106">
        <f>IFERROR(SUMIFS('01. KE30'!$K:$K,'01. KE30'!$C:$C,'06. BC BH THEO CUSTOMER-USD'!$D162,'01. KE30'!$F:$F,'06. BC BH THEO CUSTOMER-USD'!$H162,'01. KE30'!$A:$A,'06. BC BH THEO CUSTOMER-USD'!T$4)/'06. BC BH THEO CUSTOMER-USD'!CZ162/'02. Tỷ giá'!I$5,"-")</f>
        <v>763.94194041252865</v>
      </c>
      <c r="U162" s="106">
        <f>IFERROR(SUMIFS('01. KE30'!$K:$K,'01. KE30'!$C:$C,'06. BC BH THEO CUSTOMER-USD'!$D162,'01. KE30'!$F:$F,'06. BC BH THEO CUSTOMER-USD'!$H162,'01. KE30'!$A:$A,'06. BC BH THEO CUSTOMER-USD'!U$4)/'06. BC BH THEO CUSTOMER-USD'!DA162/'02. Tỷ giá'!J$5,"-")</f>
        <v>761.90476190476193</v>
      </c>
      <c r="V162" s="106" t="str">
        <f>IFERROR(SUMIFS('01. KE30'!$K:$K,'01. KE30'!$C:$C,'06. BC BH THEO CUSTOMER-USD'!$D162,'01. KE30'!$F:$F,'06. BC BH THEO CUSTOMER-USD'!$H162,'01. KE30'!$A:$A,'06. BC BH THEO CUSTOMER-USD'!V$4)/'06. BC BH THEO CUSTOMER-USD'!DB162/'02. Tỷ giá'!K$5,"-")</f>
        <v>-</v>
      </c>
      <c r="W162" s="106" t="str">
        <f>IFERROR(SUMIFS('01. KE30'!$K:$K,'01. KE30'!$C:$C,'06. BC BH THEO CUSTOMER-USD'!$D162,'01. KE30'!$F:$F,'06. BC BH THEO CUSTOMER-USD'!$H162,'01. KE30'!$A:$A,'06. BC BH THEO CUSTOMER-USD'!W$4)/'06. BC BH THEO CUSTOMER-USD'!DC162/'02. Tỷ giá'!L$5,"-")</f>
        <v>-</v>
      </c>
      <c r="X162" s="106" t="str">
        <f>IFERROR(SUMIFS('01. KE30'!$K:$K,'01. KE30'!$C:$C,'06. BC BH THEO CUSTOMER-USD'!$D162,'01. KE30'!$F:$F,'06. BC BH THEO CUSTOMER-USD'!$H162,'01. KE30'!$A:$A,'06. BC BH THEO CUSTOMER-USD'!X$4)/'06. BC BH THEO CUSTOMER-USD'!DD162/'02. Tỷ giá'!M$5,"-")</f>
        <v>-</v>
      </c>
      <c r="Z162" s="92">
        <f t="shared" si="1264"/>
        <v>773.00789421477259</v>
      </c>
      <c r="AA162" s="147" t="str">
        <f>IFERROR(SUMIFS('01. KE30'!$O:$O,'01. KE30'!$C:$C,'06. BC BH THEO CUSTOMER-USD'!$D162,'01. KE30'!$F:$F,'06. BC BH THEO CUSTOMER-USD'!$H162,'01. KE30'!$A:$A,'06. BC BH THEO CUSTOMER-USD'!M$4)/'06. BC BH THEO CUSTOMER-USD'!CS162/'02. Tỷ giá'!B$5,"-")</f>
        <v>-</v>
      </c>
      <c r="AB162" s="147">
        <f>IFERROR(SUMIFS('01. KE30'!$O:$O,'01. KE30'!$C:$C,'06. BC BH THEO CUSTOMER-USD'!$D162,'01. KE30'!$F:$F,'06. BC BH THEO CUSTOMER-USD'!$H162,'01. KE30'!$A:$A,'06. BC BH THEO CUSTOMER-USD'!N$4)/'06. BC BH THEO CUSTOMER-USD'!CT162/'02. Tỷ giá'!C$5,"-")</f>
        <v>796.16778259157149</v>
      </c>
      <c r="AC162" s="147" t="str">
        <f>IFERROR(SUMIFS('01. KE30'!$O:$O,'01. KE30'!$C:$C,'06. BC BH THEO CUSTOMER-USD'!$D162,'01. KE30'!$F:$F,'06. BC BH THEO CUSTOMER-USD'!$H162,'01. KE30'!$A:$A,'06. BC BH THEO CUSTOMER-USD'!O$4)/'06. BC BH THEO CUSTOMER-USD'!CU162/'02. Tỷ giá'!D$5,"-")</f>
        <v>-</v>
      </c>
      <c r="AD162" s="147">
        <f>IFERROR(SUMIFS('01. KE30'!$O:$O,'01. KE30'!$C:$C,'06. BC BH THEO CUSTOMER-USD'!$D162,'01. KE30'!$F:$F,'06. BC BH THEO CUSTOMER-USD'!$H162,'01. KE30'!$A:$A,'06. BC BH THEO CUSTOMER-USD'!P$4)/'06. BC BH THEO CUSTOMER-USD'!CV162/'02. Tỷ giá'!E$5,"-")</f>
        <v>774.29345722028654</v>
      </c>
      <c r="AE162" s="147">
        <f>IFERROR(SUMIFS('01. KE30'!$O:$O,'01. KE30'!$C:$C,'06. BC BH THEO CUSTOMER-USD'!$D162,'01. KE30'!$F:$F,'06. BC BH THEO CUSTOMER-USD'!$H162,'01. KE30'!$A:$A,'06. BC BH THEO CUSTOMER-USD'!Q$4)/'06. BC BH THEO CUSTOMER-USD'!CW162/'02. Tỷ giá'!F$5,"-")</f>
        <v>773.3952049497293</v>
      </c>
      <c r="AF162" s="147" t="str">
        <f>IFERROR(SUMIFS('01. KE30'!$O:$O,'01. KE30'!$C:$C,'06. BC BH THEO CUSTOMER-USD'!$D162,'01. KE30'!$F:$F,'06. BC BH THEO CUSTOMER-USD'!$H162,'01. KE30'!$A:$A,'06. BC BH THEO CUSTOMER-USD'!R$4)/'06. BC BH THEO CUSTOMER-USD'!CX162/'02. Tỷ giá'!G$5,"-")</f>
        <v>-</v>
      </c>
      <c r="AG162" s="147">
        <f>IFERROR(SUMIFS('01. KE30'!$O:$O,'01. KE30'!$C:$C,'06. BC BH THEO CUSTOMER-USD'!$D162,'01. KE30'!$F:$F,'06. BC BH THEO CUSTOMER-USD'!$H162,'01. KE30'!$A:$A,'06. BC BH THEO CUSTOMER-USD'!S$4)/'06. BC BH THEO CUSTOMER-USD'!CY162/'02. Tỷ giá'!H$5,"-")</f>
        <v>768.34421820975797</v>
      </c>
      <c r="AH162" s="147">
        <f>IFERROR(SUMIFS('01. KE30'!$O:$O,'01. KE30'!$C:$C,'06. BC BH THEO CUSTOMER-USD'!$D162,'01. KE30'!$F:$F,'06. BC BH THEO CUSTOMER-USD'!$H162,'01. KE30'!$A:$A,'06. BC BH THEO CUSTOMER-USD'!T$4)/'06. BC BH THEO CUSTOMER-USD'!CZ162/'02. Tỷ giá'!I$5,"-")</f>
        <v>763.94194041252865</v>
      </c>
      <c r="AI162" s="147">
        <f>IFERROR(SUMIFS('01. KE30'!$O:$O,'01. KE30'!$C:$C,'06. BC BH THEO CUSTOMER-USD'!$D162,'01. KE30'!$F:$F,'06. BC BH THEO CUSTOMER-USD'!$H162,'01. KE30'!$A:$A,'06. BC BH THEO CUSTOMER-USD'!U$4)/'06. BC BH THEO CUSTOMER-USD'!DA162/'02. Tỷ giá'!J$5,"-")</f>
        <v>761.90476190476193</v>
      </c>
      <c r="AJ162" s="147" t="str">
        <f>IFERROR(SUMIFS('01. KE30'!$O:$O,'01. KE30'!$C:$C,'06. BC BH THEO CUSTOMER-USD'!$D162,'01. KE30'!$F:$F,'06. BC BH THEO CUSTOMER-USD'!$H162,'01. KE30'!$A:$A,'06. BC BH THEO CUSTOMER-USD'!V$4)/'06. BC BH THEO CUSTOMER-USD'!DB162/'02. Tỷ giá'!K$5,"-")</f>
        <v>-</v>
      </c>
      <c r="AK162" s="147" t="str">
        <f>IFERROR(SUMIFS('01. KE30'!$O:$O,'01. KE30'!$C:$C,'06. BC BH THEO CUSTOMER-USD'!$D162,'01. KE30'!$F:$F,'06. BC BH THEO CUSTOMER-USD'!$H162,'01. KE30'!$A:$A,'06. BC BH THEO CUSTOMER-USD'!W$4)/'06. BC BH THEO CUSTOMER-USD'!DC162/'02. Tỷ giá'!L$5,"-")</f>
        <v>-</v>
      </c>
      <c r="AL162" s="147" t="str">
        <f>IFERROR(SUMIFS('01. KE30'!$O:$O,'01. KE30'!$C:$C,'06. BC BH THEO CUSTOMER-USD'!$D162,'01. KE30'!$F:$F,'06. BC BH THEO CUSTOMER-USD'!$H162,'01. KE30'!$A:$A,'06. BC BH THEO CUSTOMER-USD'!X$4)/'06. BC BH THEO CUSTOMER-USD'!DD162/'02. Tỷ giá'!M$5,"-")</f>
        <v>-</v>
      </c>
      <c r="AN162" s="55">
        <f t="shared" si="1265"/>
        <v>790</v>
      </c>
      <c r="AO162" s="4">
        <v>870</v>
      </c>
      <c r="AP162" s="4">
        <v>800</v>
      </c>
      <c r="AQ162" s="4">
        <v>805</v>
      </c>
      <c r="AR162" s="4">
        <v>805</v>
      </c>
      <c r="AS162" s="4">
        <v>765</v>
      </c>
      <c r="AT162" s="4">
        <v>765</v>
      </c>
      <c r="AU162" s="4">
        <v>780</v>
      </c>
      <c r="AV162" s="4">
        <f t="shared" si="1272"/>
        <v>760</v>
      </c>
      <c r="AW162" s="4">
        <v>760</v>
      </c>
      <c r="AX162" s="4"/>
      <c r="AY162" s="4"/>
      <c r="AZ162" s="4"/>
      <c r="BB162" s="54">
        <f t="shared" si="637"/>
        <v>-16.992105785227409</v>
      </c>
      <c r="BC162" s="95" t="str">
        <f t="shared" si="1333"/>
        <v>-</v>
      </c>
      <c r="BD162" s="95">
        <f t="shared" si="1718"/>
        <v>-3.8322174084285052</v>
      </c>
      <c r="BE162" s="95" t="str">
        <f t="shared" si="1718"/>
        <v>-</v>
      </c>
      <c r="BF162" s="95">
        <f t="shared" si="1718"/>
        <v>-30.706542779713459</v>
      </c>
      <c r="BG162" s="95">
        <f t="shared" si="1718"/>
        <v>8.3952049497293046</v>
      </c>
      <c r="BH162" s="95" t="str">
        <f t="shared" si="1718"/>
        <v>-</v>
      </c>
      <c r="BI162" s="95">
        <f t="shared" si="1718"/>
        <v>-11.655781790242031</v>
      </c>
      <c r="BJ162" s="95">
        <f t="shared" si="1718"/>
        <v>3.9419404125286519</v>
      </c>
      <c r="BK162" s="95">
        <f t="shared" si="1718"/>
        <v>1.9047619047619264</v>
      </c>
      <c r="BL162" s="95" t="str">
        <f t="shared" si="1718"/>
        <v>-</v>
      </c>
      <c r="BM162" s="95" t="str">
        <f t="shared" si="1718"/>
        <v>-</v>
      </c>
      <c r="BN162" s="95" t="str">
        <f t="shared" si="1718"/>
        <v>-</v>
      </c>
      <c r="BP162" s="143">
        <f t="shared" si="639"/>
        <v>-2.1508994664844822E-2</v>
      </c>
      <c r="BQ162" s="143" t="str">
        <f t="shared" si="1331"/>
        <v>-</v>
      </c>
      <c r="BR162" s="143">
        <f t="shared" si="518"/>
        <v>-4.7902717605356315E-3</v>
      </c>
      <c r="BS162" s="143" t="str">
        <f t="shared" si="519"/>
        <v>-</v>
      </c>
      <c r="BT162" s="143">
        <f t="shared" si="520"/>
        <v>-3.8144773639395599E-2</v>
      </c>
      <c r="BU162" s="143">
        <f t="shared" si="521"/>
        <v>1.0974124117293208E-2</v>
      </c>
      <c r="BV162" s="143" t="str">
        <f t="shared" si="522"/>
        <v>-</v>
      </c>
      <c r="BW162" s="143">
        <f t="shared" si="523"/>
        <v>-1.4943309987489783E-2</v>
      </c>
      <c r="BX162" s="143">
        <f t="shared" si="524"/>
        <v>5.1867637006955949E-3</v>
      </c>
      <c r="BY162" s="143">
        <f t="shared" si="525"/>
        <v>2.5062656641604295E-3</v>
      </c>
      <c r="BZ162" s="143" t="str">
        <f t="shared" si="526"/>
        <v>-</v>
      </c>
      <c r="CA162" s="143" t="str">
        <f t="shared" si="527"/>
        <v>-</v>
      </c>
      <c r="CB162" s="143" t="str">
        <f t="shared" si="528"/>
        <v>-</v>
      </c>
      <c r="CD162" s="112">
        <f t="shared" si="1723"/>
        <v>829.11282146824612</v>
      </c>
      <c r="CE162" s="95" t="str">
        <f>IFERROR(SUMIFS('01. KE30'!$R:$R,'01. KE30'!$C:$C,'06. BC BH THEO CUSTOMER-USD'!$D162,'01. KE30'!$F:$F,'06. BC BH THEO CUSTOMER-USD'!$H162,'01. KE30'!$A:$A,'06. BC BH THEO CUSTOMER-USD'!CE$4)/CS162/'02. Tỷ giá'!B$5," -")</f>
        <v xml:space="preserve"> -</v>
      </c>
      <c r="CF162" s="95">
        <f>IFERROR(SUMIFS('01. KE30'!$R:$R,'01. KE30'!$C:$C,'06. BC BH THEO CUSTOMER-USD'!$D162,'01. KE30'!$F:$F,'06. BC BH THEO CUSTOMER-USD'!$H162,'01. KE30'!$A:$A,'06. BC BH THEO CUSTOMER-USD'!CF$4)/CT162/'02. Tỷ giá'!C$5," -")</f>
        <v>482.69994629238425</v>
      </c>
      <c r="CG162" s="95" t="str">
        <f>IFERROR(SUMIFS('01. KE30'!$R:$R,'01. KE30'!$C:$C,'06. BC BH THEO CUSTOMER-USD'!$D162,'01. KE30'!$F:$F,'06. BC BH THEO CUSTOMER-USD'!$H162,'01. KE30'!$A:$A,'06. BC BH THEO CUSTOMER-USD'!CG$4)/CU162/'02. Tỷ giá'!D$5," -")</f>
        <v xml:space="preserve"> -</v>
      </c>
      <c r="CH162" s="95">
        <f>IFERROR(SUMIFS('01. KE30'!$R:$R,'01. KE30'!$C:$C,'06. BC BH THEO CUSTOMER-USD'!$D162,'01. KE30'!$F:$F,'06. BC BH THEO CUSTOMER-USD'!$H162,'01. KE30'!$A:$A,'06. BC BH THEO CUSTOMER-USD'!CH$4)/CV162/'02. Tỷ giá'!E$5," -")</f>
        <v>501.11339527680991</v>
      </c>
      <c r="CI162" s="95">
        <f>IFERROR(SUMIFS('01. KE30'!$R:$R,'01. KE30'!$C:$C,'06. BC BH THEO CUSTOMER-USD'!$D162,'01. KE30'!$F:$F,'06. BC BH THEO CUSTOMER-USD'!$H162,'01. KE30'!$A:$A,'06. BC BH THEO CUSTOMER-USD'!CI$4)/CW162/'02. Tỷ giá'!F$5," -")</f>
        <v>1065.608556563313</v>
      </c>
      <c r="CJ162" s="95" t="str">
        <f>IFERROR(SUMIFS('01. KE30'!$R:$R,'01. KE30'!$C:$C,'06. BC BH THEO CUSTOMER-USD'!$D162,'01. KE30'!$F:$F,'06. BC BH THEO CUSTOMER-USD'!$H162,'01. KE30'!$A:$A,'06. BC BH THEO CUSTOMER-USD'!CJ$4)/CX162/'02. Tỷ giá'!G$5," -")</f>
        <v xml:space="preserve"> -</v>
      </c>
      <c r="CK162" s="95">
        <f>IFERROR(SUMIFS('01. KE30'!$R:$R,'01. KE30'!$C:$C,'06. BC BH THEO CUSTOMER-USD'!$D162,'01. KE30'!$F:$F,'06. BC BH THEO CUSTOMER-USD'!$H162,'01. KE30'!$A:$A,'06. BC BH THEO CUSTOMER-USD'!CK$4)/CY162/'02. Tỷ giá'!H$5," -")</f>
        <v>1058.6489994062795</v>
      </c>
      <c r="CL162" s="95">
        <f>IFERROR(SUMIFS('01. KE30'!$R:$R,'01. KE30'!$C:$C,'06. BC BH THEO CUSTOMER-USD'!$D162,'01. KE30'!$F:$F,'06. BC BH THEO CUSTOMER-USD'!$H162,'01. KE30'!$A:$A,'06. BC BH THEO CUSTOMER-USD'!CL$4)/CZ162/'02. Tỷ giá'!I$5," -")</f>
        <v>1052.5812070282659</v>
      </c>
      <c r="CM162" s="95">
        <f>IFERROR(SUMIFS('01. KE30'!$R:$R,'01. KE30'!$C:$C,'06. BC BH THEO CUSTOMER-USD'!$D162,'01. KE30'!$F:$F,'06. BC BH THEO CUSTOMER-USD'!$H162,'01. KE30'!$A:$A,'06. BC BH THEO CUSTOMER-USD'!CM$4)/DA162/'02. Tỷ giá'!J$5," -")</f>
        <v>814.0248242424243</v>
      </c>
      <c r="CN162" s="95" t="str">
        <f>IFERROR(SUMIFS('01. KE30'!$R:$R,'01. KE30'!$C:$C,'06. BC BH THEO CUSTOMER-USD'!$D162,'01. KE30'!$F:$F,'06. BC BH THEO CUSTOMER-USD'!$H162,'01. KE30'!$A:$A,'06. BC BH THEO CUSTOMER-USD'!CN$4)/DB162/'02. Tỷ giá'!K$5," -")</f>
        <v xml:space="preserve"> -</v>
      </c>
      <c r="CO162" s="95" t="str">
        <f>IFERROR(SUMIFS('01. KE30'!$R:$R,'01. KE30'!$C:$C,'06. BC BH THEO CUSTOMER-USD'!$D162,'01. KE30'!$F:$F,'06. BC BH THEO CUSTOMER-USD'!$H162,'01. KE30'!$A:$A,'06. BC BH THEO CUSTOMER-USD'!CO$4)/DC162/'02. Tỷ giá'!L$5," -")</f>
        <v xml:space="preserve"> -</v>
      </c>
      <c r="CP162" s="95" t="str">
        <f>IFERROR(SUMIFS('01. KE30'!$R:$R,'01. KE30'!$C:$C,'06. BC BH THEO CUSTOMER-USD'!$D162,'01. KE30'!$F:$F,'06. BC BH THEO CUSTOMER-USD'!$H162,'01. KE30'!$A:$A,'06. BC BH THEO CUSTOMER-USD'!CP$4)/DD162/'02. Tỷ giá'!M$5," -")</f>
        <v xml:space="preserve"> -</v>
      </c>
      <c r="CR162" s="112">
        <f t="shared" si="1249"/>
        <v>55</v>
      </c>
      <c r="CS162" s="114">
        <f>SUMIFS('01. KE30'!$I:$I,'01. KE30'!$C:$C,'06. BC BH THEO CUSTOMER-USD'!$D162,'01. KE30'!$F:$F,'06. BC BH THEO CUSTOMER-USD'!$H162,'01. KE30'!$A:$A,'06. BC BH THEO CUSTOMER-USD'!CS$4)/1000</f>
        <v>0</v>
      </c>
      <c r="CT162" s="114">
        <f>SUMIFS('01. KE30'!$I:$I,'01. KE30'!$C:$C,'06. BC BH THEO CUSTOMER-USD'!$D162,'01. KE30'!$F:$F,'06. BC BH THEO CUSTOMER-USD'!$H162,'01. KE30'!$A:$A,'06. BC BH THEO CUSTOMER-USD'!CT$4)/1000</f>
        <v>16.5</v>
      </c>
      <c r="CU162" s="114">
        <f>SUMIFS('01. KE30'!$I:$I,'01. KE30'!$C:$C,'06. BC BH THEO CUSTOMER-USD'!$D162,'01. KE30'!$F:$F,'06. BC BH THEO CUSTOMER-USD'!$H162,'01. KE30'!$A:$A,'06. BC BH THEO CUSTOMER-USD'!CU$4)/1000</f>
        <v>0</v>
      </c>
      <c r="CV162" s="114">
        <f>SUMIFS('01. KE30'!$I:$I,'01. KE30'!$C:$C,'06. BC BH THEO CUSTOMER-USD'!$D162,'01. KE30'!$F:$F,'06. BC BH THEO CUSTOMER-USD'!$H162,'01. KE30'!$A:$A,'06. BC BH THEO CUSTOMER-USD'!CV$4)/1000</f>
        <v>11</v>
      </c>
      <c r="CW162" s="114">
        <f>SUMIFS('01. KE30'!$I:$I,'01. KE30'!$C:$C,'06. BC BH THEO CUSTOMER-USD'!$D162,'01. KE30'!$F:$F,'06. BC BH THEO CUSTOMER-USD'!$H162,'01. KE30'!$A:$A,'06. BC BH THEO CUSTOMER-USD'!CW$4)/1000</f>
        <v>5.5</v>
      </c>
      <c r="CX162" s="114">
        <f>SUMIFS('01. KE30'!$I:$I,'01. KE30'!$C:$C,'06. BC BH THEO CUSTOMER-USD'!$D162,'01. KE30'!$F:$F,'06. BC BH THEO CUSTOMER-USD'!$H162,'01. KE30'!$A:$A,'06. BC BH THEO CUSTOMER-USD'!CX$4)/1000</f>
        <v>0</v>
      </c>
      <c r="CY162" s="114">
        <f>SUMIFS('01. KE30'!$I:$I,'01. KE30'!$C:$C,'06. BC BH THEO CUSTOMER-USD'!$D162,'01. KE30'!$F:$F,'06. BC BH THEO CUSTOMER-USD'!$H162,'01. KE30'!$A:$A,'06. BC BH THEO CUSTOMER-USD'!CY$4)/1000</f>
        <v>11</v>
      </c>
      <c r="CZ162" s="114">
        <f>SUMIFS('01. KE30'!$I:$I,'01. KE30'!$C:$C,'06. BC BH THEO CUSTOMER-USD'!$D162,'01. KE30'!$F:$F,'06. BC BH THEO CUSTOMER-USD'!$H162,'01. KE30'!$A:$A,'06. BC BH THEO CUSTOMER-USD'!CZ$4)/1000</f>
        <v>5.5</v>
      </c>
      <c r="DA162" s="114">
        <f>SUMIFS('01. KE30'!$I:$I,'01. KE30'!$C:$C,'06. BC BH THEO CUSTOMER-USD'!$D162,'01. KE30'!$F:$F,'06. BC BH THEO CUSTOMER-USD'!$H162,'01. KE30'!$A:$A,'06. BC BH THEO CUSTOMER-USD'!DA$4)/1000</f>
        <v>5.5</v>
      </c>
      <c r="DB162" s="114">
        <f>SUMIFS('01. KE30'!$I:$I,'01. KE30'!$C:$C,'06. BC BH THEO CUSTOMER-USD'!$D162,'01. KE30'!$F:$F,'06. BC BH THEO CUSTOMER-USD'!$H162,'01. KE30'!$A:$A,'06. BC BH THEO CUSTOMER-USD'!DB$4)/1000</f>
        <v>0</v>
      </c>
      <c r="DC162" s="114">
        <f>SUMIFS('01. KE30'!$I:$I,'01. KE30'!$C:$C,'06. BC BH THEO CUSTOMER-USD'!$D162,'01. KE30'!$F:$F,'06. BC BH THEO CUSTOMER-USD'!$H162,'01. KE30'!$A:$A,'06. BC BH THEO CUSTOMER-USD'!DC$4)/1000</f>
        <v>0</v>
      </c>
      <c r="DD162" s="114">
        <f>SUMIFS('01. KE30'!$I:$I,'01. KE30'!$C:$C,'06. BC BH THEO CUSTOMER-USD'!$D162,'01. KE30'!$F:$F,'06. BC BH THEO CUSTOMER-USD'!$H162,'01. KE30'!$A:$A,'06. BC BH THEO CUSTOMER-USD'!DD$4)/1000</f>
        <v>0</v>
      </c>
      <c r="DF162" s="112">
        <f t="shared" si="1724"/>
        <v>42751.613332460031</v>
      </c>
      <c r="DG162" s="54" t="str">
        <f t="shared" si="1725"/>
        <v>-</v>
      </c>
      <c r="DH162" s="54">
        <f t="shared" si="1726"/>
        <v>13136.76841276093</v>
      </c>
      <c r="DI162" s="54" t="str">
        <f t="shared" si="1727"/>
        <v>-</v>
      </c>
      <c r="DJ162" s="54">
        <f t="shared" si="1728"/>
        <v>8517.2280294231514</v>
      </c>
      <c r="DK162" s="54">
        <f t="shared" si="1729"/>
        <v>4253.6736272235112</v>
      </c>
      <c r="DL162" s="54" t="str">
        <f t="shared" si="1730"/>
        <v>-</v>
      </c>
      <c r="DM162" s="54">
        <f t="shared" si="1731"/>
        <v>8451.7864003073373</v>
      </c>
      <c r="DN162" s="54">
        <f t="shared" si="1732"/>
        <v>4201.680672268908</v>
      </c>
      <c r="DO162" s="54">
        <f t="shared" si="1733"/>
        <v>4190.4761904761908</v>
      </c>
      <c r="DP162" s="54" t="str">
        <f t="shared" si="1734"/>
        <v>-</v>
      </c>
      <c r="DQ162" s="54" t="str">
        <f t="shared" si="1735"/>
        <v>-</v>
      </c>
      <c r="DR162" s="54" t="str">
        <f t="shared" si="1736"/>
        <v>-</v>
      </c>
      <c r="DT162" s="112">
        <f t="shared" si="652"/>
        <v>1502.4976440346882</v>
      </c>
      <c r="DU162" s="114">
        <f>IFERROR(SUMIFS('01. KE30'!$X:$X,'01. KE30'!$C:$C,'06. BC BH THEO CUSTOMER-USD'!$D162,'01. KE30'!$F:$F,'06. BC BH THEO CUSTOMER-USD'!$H162,'01. KE30'!$A:$A,'06. BC BH THEO CUSTOMER-USD'!DU$4)-SUMIFS('01. KE30'!$AA:$AA,'01. KE30'!$C:$C,'06. BC BH THEO CUSTOMER-USD'!$D162,'01. KE30'!$F:$F,'06. BC BH THEO CUSTOMER-USD'!$H162,'01. KE30'!$A:$A,'06. BC BH THEO CUSTOMER-USD'!DU$4),"-")</f>
        <v>0</v>
      </c>
      <c r="DV162" s="114">
        <f>IFERROR(SUMIFS('01. KE30'!$X:$X,'01. KE30'!$C:$C,'06. BC BH THEO CUSTOMER-USD'!$D162,'01. KE30'!$F:$F,'06. BC BH THEO CUSTOMER-USD'!$H162,'01. KE30'!$A:$A,'06. BC BH THEO CUSTOMER-USD'!DV$4)-SUMIFS('01. KE30'!$AA:$AA,'01. KE30'!$C:$C,'06. BC BH THEO CUSTOMER-USD'!$D162,'01. KE30'!$F:$F,'06. BC BH THEO CUSTOMER-USD'!$H162,'01. KE30'!$A:$A,'06. BC BH THEO CUSTOMER-USD'!DV$4),"-")</f>
        <v>5172.2192989365894</v>
      </c>
      <c r="DW162" s="114">
        <f>IFERROR(SUMIFS('01. KE30'!$X:$X,'01. KE30'!$C:$C,'06. BC BH THEO CUSTOMER-USD'!$D162,'01. KE30'!$F:$F,'06. BC BH THEO CUSTOMER-USD'!$H162,'01. KE30'!$A:$A,'06. BC BH THEO CUSTOMER-USD'!DW$4)-SUMIFS('01. KE30'!$AA:$AA,'01. KE30'!$C:$C,'06. BC BH THEO CUSTOMER-USD'!$D162,'01. KE30'!$F:$F,'06. BC BH THEO CUSTOMER-USD'!$H162,'01. KE30'!$A:$A,'06. BC BH THEO CUSTOMER-USD'!DW$4),"-")</f>
        <v>0</v>
      </c>
      <c r="DX162" s="114">
        <f>IFERROR(SUMIFS('01. KE30'!$X:$X,'01. KE30'!$C:$C,'06. BC BH THEO CUSTOMER-USD'!$D162,'01. KE30'!$F:$F,'06. BC BH THEO CUSTOMER-USD'!$H162,'01. KE30'!$A:$A,'06. BC BH THEO CUSTOMER-USD'!DX$4)-SUMIFS('01. KE30'!$AA:$AA,'01. KE30'!$C:$C,'06. BC BH THEO CUSTOMER-USD'!$D162,'01. KE30'!$F:$F,'06. BC BH THEO CUSTOMER-USD'!$H162,'01. KE30'!$A:$A,'06. BC BH THEO CUSTOMER-USD'!DX$4),"-")</f>
        <v>3004.9806813782425</v>
      </c>
      <c r="DY162" s="114">
        <f>IFERROR(SUMIFS('01. KE30'!$X:$X,'01. KE30'!$C:$C,'06. BC BH THEO CUSTOMER-USD'!$D162,'01. KE30'!$F:$F,'06. BC BH THEO CUSTOMER-USD'!$H162,'01. KE30'!$A:$A,'06. BC BH THEO CUSTOMER-USD'!DY$4)-SUMIFS('01. KE30'!$AA:$AA,'01. KE30'!$C:$C,'06. BC BH THEO CUSTOMER-USD'!$D162,'01. KE30'!$F:$F,'06. BC BH THEO CUSTOMER-USD'!$H162,'01. KE30'!$A:$A,'06. BC BH THEO CUSTOMER-USD'!DY$4),"-")</f>
        <v>-1607.1734338747101</v>
      </c>
      <c r="DZ162" s="114">
        <f>IFERROR(SUMIFS('01. KE30'!$X:$X,'01. KE30'!$C:$C,'06. BC BH THEO CUSTOMER-USD'!$D162,'01. KE30'!$F:$F,'06. BC BH THEO CUSTOMER-USD'!$H162,'01. KE30'!$A:$A,'06. BC BH THEO CUSTOMER-USD'!DZ$4)-SUMIFS('01. KE30'!$AA:$AA,'01. KE30'!$C:$C,'06. BC BH THEO CUSTOMER-USD'!$D162,'01. KE30'!$F:$F,'06. BC BH THEO CUSTOMER-USD'!$H162,'01. KE30'!$A:$A,'06. BC BH THEO CUSTOMER-USD'!DZ$4),"-")</f>
        <v>0</v>
      </c>
      <c r="EA162" s="114">
        <f>IFERROR(SUMIFS('01. KE30'!$X:$X,'01. KE30'!$C:$C,'06. BC BH THEO CUSTOMER-USD'!$D162,'01. KE30'!$F:$F,'06. BC BH THEO CUSTOMER-USD'!$H162,'01. KE30'!$A:$A,'06. BC BH THEO CUSTOMER-USD'!EA$4)-SUMIFS('01. KE30'!$AA:$AA,'01. KE30'!$C:$C,'06. BC BH THEO CUSTOMER-USD'!$D162,'01. KE30'!$F:$F,'06. BC BH THEO CUSTOMER-USD'!$H162,'01. KE30'!$A:$A,'06. BC BH THEO CUSTOMER-USD'!EA$4),"-")</f>
        <v>-3193.3525931617369</v>
      </c>
      <c r="EB162" s="114">
        <f>IFERROR(SUMIFS('01. KE30'!$X:$X,'01. KE30'!$C:$C,'06. BC BH THEO CUSTOMER-USD'!$D162,'01. KE30'!$F:$F,'06. BC BH THEO CUSTOMER-USD'!$H162,'01. KE30'!$A:$A,'06. BC BH THEO CUSTOMER-USD'!EB$4)-SUMIFS('01. KE30'!$AA:$AA,'01. KE30'!$C:$C,'06. BC BH THEO CUSTOMER-USD'!$D162,'01. KE30'!$F:$F,'06. BC BH THEO CUSTOMER-USD'!$H162,'01. KE30'!$A:$A,'06. BC BH THEO CUSTOMER-USD'!EB$4),"-")</f>
        <v>-1587.5159663865543</v>
      </c>
      <c r="EC162" s="114">
        <f>IFERROR(SUMIFS('01. KE30'!$X:$X,'01. KE30'!$C:$C,'06. BC BH THEO CUSTOMER-USD'!$D162,'01. KE30'!$F:$F,'06. BC BH THEO CUSTOMER-USD'!$H162,'01. KE30'!$A:$A,'06. BC BH THEO CUSTOMER-USD'!EC$4)-SUMIFS('01. KE30'!$AA:$AA,'01. KE30'!$C:$C,'06. BC BH THEO CUSTOMER-USD'!$D162,'01. KE30'!$F:$F,'06. BC BH THEO CUSTOMER-USD'!$H162,'01. KE30'!$A:$A,'06. BC BH THEO CUSTOMER-USD'!EC$4),"-")</f>
        <v>-286.6603428571425</v>
      </c>
      <c r="ED162" s="114">
        <f>IFERROR(SUMIFS('01. KE30'!$X:$X,'01. KE30'!$C:$C,'06. BC BH THEO CUSTOMER-USD'!$D162,'01. KE30'!$F:$F,'06. BC BH THEO CUSTOMER-USD'!$H162,'01. KE30'!$A:$A,'06. BC BH THEO CUSTOMER-USD'!ED$4)-SUMIFS('01. KE30'!$AA:$AA,'01. KE30'!$C:$C,'06. BC BH THEO CUSTOMER-USD'!$D162,'01. KE30'!$F:$F,'06. BC BH THEO CUSTOMER-USD'!$H162,'01. KE30'!$A:$A,'06. BC BH THEO CUSTOMER-USD'!ED$4),"-")</f>
        <v>0</v>
      </c>
      <c r="EE162" s="114">
        <f>IFERROR(SUMIFS('01. KE30'!$X:$X,'01. KE30'!$C:$C,'06. BC BH THEO CUSTOMER-USD'!$D162,'01. KE30'!$F:$F,'06. BC BH THEO CUSTOMER-USD'!$H162,'01. KE30'!$A:$A,'06. BC BH THEO CUSTOMER-USD'!EE$4)-SUMIFS('01. KE30'!$AA:$AA,'01. KE30'!$C:$C,'06. BC BH THEO CUSTOMER-USD'!$D162,'01. KE30'!$F:$F,'06. BC BH THEO CUSTOMER-USD'!$H162,'01. KE30'!$A:$A,'06. BC BH THEO CUSTOMER-USD'!EE$4),"-")</f>
        <v>0</v>
      </c>
      <c r="EF162" s="114">
        <f>IFERROR(SUMIFS('01. KE30'!$X:$X,'01. KE30'!$C:$C,'06. BC BH THEO CUSTOMER-USD'!$D162,'01. KE30'!$F:$F,'06. BC BH THEO CUSTOMER-USD'!$H162,'01. KE30'!$A:$A,'06. BC BH THEO CUSTOMER-USD'!EF$4)-SUMIFS('01. KE30'!$AA:$AA,'01. KE30'!$C:$C,'06. BC BH THEO CUSTOMER-USD'!$D162,'01. KE30'!$F:$F,'06. BC BH THEO CUSTOMER-USD'!$H162,'01. KE30'!$A:$A,'06. BC BH THEO CUSTOMER-USD'!EF$4),"-")</f>
        <v>0</v>
      </c>
      <c r="EH162" s="571">
        <f t="shared" si="1737"/>
        <v>3.5144817397894226E-2</v>
      </c>
      <c r="EI162" s="572" t="str">
        <f t="shared" si="1738"/>
        <v>-</v>
      </c>
      <c r="EJ162" s="572">
        <f t="shared" si="1739"/>
        <v>0.39372082512411083</v>
      </c>
      <c r="EK162" s="572" t="str">
        <f t="shared" si="1740"/>
        <v>-</v>
      </c>
      <c r="EL162" s="572">
        <f t="shared" si="1741"/>
        <v>0.35281204999999999</v>
      </c>
      <c r="EM162" s="572">
        <f t="shared" si="1742"/>
        <v>-0.37783186363636367</v>
      </c>
      <c r="EN162" s="572" t="str">
        <f t="shared" si="1743"/>
        <v>-</v>
      </c>
      <c r="EO162" s="572">
        <f t="shared" si="1744"/>
        <v>-0.3778316727272728</v>
      </c>
      <c r="EP162" s="572">
        <f t="shared" si="1745"/>
        <v>-0.37782879999999991</v>
      </c>
      <c r="EQ162" s="572">
        <f t="shared" si="1746"/>
        <v>-6.8407581818181726E-2</v>
      </c>
      <c r="ER162" s="572" t="str">
        <f t="shared" si="1747"/>
        <v>-</v>
      </c>
      <c r="ES162" s="572" t="str">
        <f t="shared" si="1748"/>
        <v>-</v>
      </c>
      <c r="ET162" s="572" t="str">
        <f t="shared" si="1749"/>
        <v>-</v>
      </c>
    </row>
    <row r="163" spans="1:150" ht="15.5" hidden="1" outlineLevel="1" x14ac:dyDescent="0.35">
      <c r="A163" s="10">
        <f t="shared" si="1266"/>
        <v>6</v>
      </c>
      <c r="B163" s="10" t="s">
        <v>266</v>
      </c>
      <c r="C163" s="497" t="s">
        <v>29</v>
      </c>
      <c r="D163" s="9">
        <v>1000</v>
      </c>
      <c r="E163" s="8" t="s">
        <v>29</v>
      </c>
      <c r="F163" s="12" t="s">
        <v>245</v>
      </c>
      <c r="G163" s="12" t="str">
        <f>_xlfn.XLOOKUP(F163,'Quy đổi'!$G$5:$G$32,'Quy đổi'!$H$5:$H$32,0)</f>
        <v>Nội địa</v>
      </c>
      <c r="H163" s="80" t="s">
        <v>210</v>
      </c>
      <c r="I163" s="7" t="s">
        <v>211</v>
      </c>
      <c r="J163" s="69" t="s">
        <v>22</v>
      </c>
      <c r="K163" s="5"/>
      <c r="L163" s="92">
        <f t="shared" si="1263"/>
        <v>783.05412581462872</v>
      </c>
      <c r="M163" s="106" t="str">
        <f>IFERROR(SUMIFS('01. KE30'!$K:$K,'01. KE30'!$C:$C,'06. BC BH THEO CUSTOMER-USD'!$D163,'01. KE30'!$F:$F,'06. BC BH THEO CUSTOMER-USD'!$H163,'01. KE30'!$A:$A,'06. BC BH THEO CUSTOMER-USD'!M$4)/'06. BC BH THEO CUSTOMER-USD'!CS163/'02. Tỷ giá'!B$5,"-")</f>
        <v>-</v>
      </c>
      <c r="N163" s="106">
        <f>IFERROR(SUMIFS('01. KE30'!$K:$K,'01. KE30'!$C:$C,'06. BC BH THEO CUSTOMER-USD'!$D163,'01. KE30'!$F:$F,'06. BC BH THEO CUSTOMER-USD'!$H163,'01. KE30'!$A:$A,'06. BC BH THEO CUSTOMER-USD'!N$4)/'06. BC BH THEO CUSTOMER-USD'!CT163/'02. Tỷ giá'!C$5,"-")</f>
        <v>796.16778259157149</v>
      </c>
      <c r="O163" s="106">
        <f>IFERROR(SUMIFS('01. KE30'!$K:$K,'01. KE30'!$C:$C,'06. BC BH THEO CUSTOMER-USD'!$D163,'01. KE30'!$F:$F,'06. BC BH THEO CUSTOMER-USD'!$H163,'01. KE30'!$A:$A,'06. BC BH THEO CUSTOMER-USD'!O$4)/'06. BC BH THEO CUSTOMER-USD'!CU163/'02. Tỷ giá'!D$5,"-")</f>
        <v>815.45866141732279</v>
      </c>
      <c r="P163" s="106" t="str">
        <f>IFERROR(SUMIFS('01. KE30'!$K:$K,'01. KE30'!$C:$C,'06. BC BH THEO CUSTOMER-USD'!$D163,'01. KE30'!$F:$F,'06. BC BH THEO CUSTOMER-USD'!$H163,'01. KE30'!$A:$A,'06. BC BH THEO CUSTOMER-USD'!P$4)/'06. BC BH THEO CUSTOMER-USD'!CV163/'02. Tỷ giá'!E$5,"-")</f>
        <v>-</v>
      </c>
      <c r="Q163" s="106">
        <f>IFERROR(SUMIFS('01. KE30'!$K:$K,'01. KE30'!$C:$C,'06. BC BH THEO CUSTOMER-USD'!$D163,'01. KE30'!$F:$F,'06. BC BH THEO CUSTOMER-USD'!$H163,'01. KE30'!$A:$A,'06. BC BH THEO CUSTOMER-USD'!Q$4)/'06. BC BH THEO CUSTOMER-USD'!CW163/'02. Tỷ giá'!F$5,"-")</f>
        <v>773.3952049497293</v>
      </c>
      <c r="R163" s="106" t="str">
        <f>IFERROR(SUMIFS('01. KE30'!$K:$K,'01. KE30'!$C:$C,'06. BC BH THEO CUSTOMER-USD'!$D163,'01. KE30'!$F:$F,'06. BC BH THEO CUSTOMER-USD'!$H163,'01. KE30'!$A:$A,'06. BC BH THEO CUSTOMER-USD'!R$4)/'06. BC BH THEO CUSTOMER-USD'!CX163/'02. Tỷ giá'!G$5,"-")</f>
        <v>-</v>
      </c>
      <c r="S163" s="106">
        <f>IFERROR(SUMIFS('01. KE30'!$K:$K,'01. KE30'!$C:$C,'06. BC BH THEO CUSTOMER-USD'!$D163,'01. KE30'!$F:$F,'06. BC BH THEO CUSTOMER-USD'!$H163,'01. KE30'!$A:$A,'06. BC BH THEO CUSTOMER-USD'!S$4)/'06. BC BH THEO CUSTOMER-USD'!CY163/'02. Tỷ giá'!H$5,"-")</f>
        <v>768.34421820975797</v>
      </c>
      <c r="T163" s="106" t="str">
        <f>IFERROR(SUMIFS('01. KE30'!$K:$K,'01. KE30'!$C:$C,'06. BC BH THEO CUSTOMER-USD'!$D163,'01. KE30'!$F:$F,'06. BC BH THEO CUSTOMER-USD'!$H163,'01. KE30'!$A:$A,'06. BC BH THEO CUSTOMER-USD'!T$4)/'06. BC BH THEO CUSTOMER-USD'!CZ163/'02. Tỷ giá'!I$5,"-")</f>
        <v>-</v>
      </c>
      <c r="U163" s="106">
        <f>IFERROR(SUMIFS('01. KE30'!$K:$K,'01. KE30'!$C:$C,'06. BC BH THEO CUSTOMER-USD'!$D163,'01. KE30'!$F:$F,'06. BC BH THEO CUSTOMER-USD'!$H163,'01. KE30'!$A:$A,'06. BC BH THEO CUSTOMER-USD'!U$4)/'06. BC BH THEO CUSTOMER-USD'!DA163/'02. Tỷ giá'!J$5,"-")</f>
        <v>761.90476190476193</v>
      </c>
      <c r="V163" s="106" t="str">
        <f>IFERROR(SUMIFS('01. KE30'!$K:$K,'01. KE30'!$C:$C,'06. BC BH THEO CUSTOMER-USD'!$D163,'01. KE30'!$F:$F,'06. BC BH THEO CUSTOMER-USD'!$H163,'01. KE30'!$A:$A,'06. BC BH THEO CUSTOMER-USD'!V$4)/'06. BC BH THEO CUSTOMER-USD'!DB163/'02. Tỷ giá'!K$5,"-")</f>
        <v>-</v>
      </c>
      <c r="W163" s="106" t="str">
        <f>IFERROR(SUMIFS('01. KE30'!$K:$K,'01. KE30'!$C:$C,'06. BC BH THEO CUSTOMER-USD'!$D163,'01. KE30'!$F:$F,'06. BC BH THEO CUSTOMER-USD'!$H163,'01. KE30'!$A:$A,'06. BC BH THEO CUSTOMER-USD'!W$4)/'06. BC BH THEO CUSTOMER-USD'!DC163/'02. Tỷ giá'!L$5,"-")</f>
        <v>-</v>
      </c>
      <c r="X163" s="106" t="str">
        <f>IFERROR(SUMIFS('01. KE30'!$K:$K,'01. KE30'!$C:$C,'06. BC BH THEO CUSTOMER-USD'!$D163,'01. KE30'!$F:$F,'06. BC BH THEO CUSTOMER-USD'!$H163,'01. KE30'!$A:$A,'06. BC BH THEO CUSTOMER-USD'!X$4)/'06. BC BH THEO CUSTOMER-USD'!DD163/'02. Tỷ giá'!M$5,"-")</f>
        <v>-</v>
      </c>
      <c r="Z163" s="92">
        <f t="shared" si="1264"/>
        <v>783.05412581462872</v>
      </c>
      <c r="AA163" s="147" t="str">
        <f>IFERROR(SUMIFS('01. KE30'!$O:$O,'01. KE30'!$C:$C,'06. BC BH THEO CUSTOMER-USD'!$D163,'01. KE30'!$F:$F,'06. BC BH THEO CUSTOMER-USD'!$H163,'01. KE30'!$A:$A,'06. BC BH THEO CUSTOMER-USD'!M$4)/'06. BC BH THEO CUSTOMER-USD'!CS163/'02. Tỷ giá'!B$5,"-")</f>
        <v>-</v>
      </c>
      <c r="AB163" s="147">
        <f>IFERROR(SUMIFS('01. KE30'!$O:$O,'01. KE30'!$C:$C,'06. BC BH THEO CUSTOMER-USD'!$D163,'01. KE30'!$F:$F,'06. BC BH THEO CUSTOMER-USD'!$H163,'01. KE30'!$A:$A,'06. BC BH THEO CUSTOMER-USD'!N$4)/'06. BC BH THEO CUSTOMER-USD'!CT163/'02. Tỷ giá'!C$5,"-")</f>
        <v>796.16778259157149</v>
      </c>
      <c r="AC163" s="147">
        <f>IFERROR(SUMIFS('01. KE30'!$O:$O,'01. KE30'!$C:$C,'06. BC BH THEO CUSTOMER-USD'!$D163,'01. KE30'!$F:$F,'06. BC BH THEO CUSTOMER-USD'!$H163,'01. KE30'!$A:$A,'06. BC BH THEO CUSTOMER-USD'!O$4)/'06. BC BH THEO CUSTOMER-USD'!CU163/'02. Tỷ giá'!D$5,"-")</f>
        <v>815.45866141732279</v>
      </c>
      <c r="AD163" s="147" t="str">
        <f>IFERROR(SUMIFS('01. KE30'!$O:$O,'01. KE30'!$C:$C,'06. BC BH THEO CUSTOMER-USD'!$D163,'01. KE30'!$F:$F,'06. BC BH THEO CUSTOMER-USD'!$H163,'01. KE30'!$A:$A,'06. BC BH THEO CUSTOMER-USD'!P$4)/'06. BC BH THEO CUSTOMER-USD'!CV163/'02. Tỷ giá'!E$5,"-")</f>
        <v>-</v>
      </c>
      <c r="AE163" s="147">
        <f>IFERROR(SUMIFS('01. KE30'!$O:$O,'01. KE30'!$C:$C,'06. BC BH THEO CUSTOMER-USD'!$D163,'01. KE30'!$F:$F,'06. BC BH THEO CUSTOMER-USD'!$H163,'01. KE30'!$A:$A,'06. BC BH THEO CUSTOMER-USD'!Q$4)/'06. BC BH THEO CUSTOMER-USD'!CW163/'02. Tỷ giá'!F$5,"-")</f>
        <v>773.3952049497293</v>
      </c>
      <c r="AF163" s="147" t="str">
        <f>IFERROR(SUMIFS('01. KE30'!$O:$O,'01. KE30'!$C:$C,'06. BC BH THEO CUSTOMER-USD'!$D163,'01. KE30'!$F:$F,'06. BC BH THEO CUSTOMER-USD'!$H163,'01. KE30'!$A:$A,'06. BC BH THEO CUSTOMER-USD'!R$4)/'06. BC BH THEO CUSTOMER-USD'!CX163/'02. Tỷ giá'!G$5,"-")</f>
        <v>-</v>
      </c>
      <c r="AG163" s="147">
        <f>IFERROR(SUMIFS('01. KE30'!$O:$O,'01. KE30'!$C:$C,'06. BC BH THEO CUSTOMER-USD'!$D163,'01. KE30'!$F:$F,'06. BC BH THEO CUSTOMER-USD'!$H163,'01. KE30'!$A:$A,'06. BC BH THEO CUSTOMER-USD'!S$4)/'06. BC BH THEO CUSTOMER-USD'!CY163/'02. Tỷ giá'!H$5,"-")</f>
        <v>768.34421820975797</v>
      </c>
      <c r="AH163" s="147" t="str">
        <f>IFERROR(SUMIFS('01. KE30'!$O:$O,'01. KE30'!$C:$C,'06. BC BH THEO CUSTOMER-USD'!$D163,'01. KE30'!$F:$F,'06. BC BH THEO CUSTOMER-USD'!$H163,'01. KE30'!$A:$A,'06. BC BH THEO CUSTOMER-USD'!T$4)/'06. BC BH THEO CUSTOMER-USD'!CZ163/'02. Tỷ giá'!I$5,"-")</f>
        <v>-</v>
      </c>
      <c r="AI163" s="147">
        <f>IFERROR(SUMIFS('01. KE30'!$O:$O,'01. KE30'!$C:$C,'06. BC BH THEO CUSTOMER-USD'!$D163,'01. KE30'!$F:$F,'06. BC BH THEO CUSTOMER-USD'!$H163,'01. KE30'!$A:$A,'06. BC BH THEO CUSTOMER-USD'!U$4)/'06. BC BH THEO CUSTOMER-USD'!DA163/'02. Tỷ giá'!J$5,"-")</f>
        <v>761.90476190476193</v>
      </c>
      <c r="AJ163" s="147" t="str">
        <f>IFERROR(SUMIFS('01. KE30'!$O:$O,'01. KE30'!$C:$C,'06. BC BH THEO CUSTOMER-USD'!$D163,'01. KE30'!$F:$F,'06. BC BH THEO CUSTOMER-USD'!$H163,'01. KE30'!$A:$A,'06. BC BH THEO CUSTOMER-USD'!V$4)/'06. BC BH THEO CUSTOMER-USD'!DB163/'02. Tỷ giá'!K$5,"-")</f>
        <v>-</v>
      </c>
      <c r="AK163" s="147" t="str">
        <f>IFERROR(SUMIFS('01. KE30'!$O:$O,'01. KE30'!$C:$C,'06. BC BH THEO CUSTOMER-USD'!$D163,'01. KE30'!$F:$F,'06. BC BH THEO CUSTOMER-USD'!$H163,'01. KE30'!$A:$A,'06. BC BH THEO CUSTOMER-USD'!W$4)/'06. BC BH THEO CUSTOMER-USD'!DC163/'02. Tỷ giá'!L$5,"-")</f>
        <v>-</v>
      </c>
      <c r="AL163" s="147" t="str">
        <f>IFERROR(SUMIFS('01. KE30'!$O:$O,'01. KE30'!$C:$C,'06. BC BH THEO CUSTOMER-USD'!$D163,'01. KE30'!$F:$F,'06. BC BH THEO CUSTOMER-USD'!$H163,'01. KE30'!$A:$A,'06. BC BH THEO CUSTOMER-USD'!X$4)/'06. BC BH THEO CUSTOMER-USD'!DD163/'02. Tỷ giá'!M$5,"-")</f>
        <v>-</v>
      </c>
      <c r="AN163" s="55">
        <f t="shared" si="1265"/>
        <v>790</v>
      </c>
      <c r="AO163" s="4">
        <v>870</v>
      </c>
      <c r="AP163" s="4">
        <v>800</v>
      </c>
      <c r="AQ163" s="4">
        <v>805</v>
      </c>
      <c r="AR163" s="4">
        <v>805</v>
      </c>
      <c r="AS163" s="4">
        <v>765</v>
      </c>
      <c r="AT163" s="4">
        <v>765</v>
      </c>
      <c r="AU163" s="4">
        <v>780</v>
      </c>
      <c r="AV163" s="4">
        <f t="shared" si="1272"/>
        <v>760</v>
      </c>
      <c r="AW163" s="4">
        <v>760</v>
      </c>
      <c r="AX163" s="4"/>
      <c r="AY163" s="4"/>
      <c r="AZ163" s="4"/>
      <c r="BB163" s="54">
        <f t="shared" si="637"/>
        <v>-6.9458741853712809</v>
      </c>
      <c r="BC163" s="95" t="str">
        <f t="shared" si="1333"/>
        <v>-</v>
      </c>
      <c r="BD163" s="95">
        <f t="shared" si="1718"/>
        <v>-3.8322174084285052</v>
      </c>
      <c r="BE163" s="95">
        <f t="shared" si="1718"/>
        <v>10.458661417322787</v>
      </c>
      <c r="BF163" s="95" t="str">
        <f t="shared" si="1718"/>
        <v>-</v>
      </c>
      <c r="BG163" s="95">
        <f t="shared" si="1718"/>
        <v>8.3952049497293046</v>
      </c>
      <c r="BH163" s="95" t="str">
        <f t="shared" si="1718"/>
        <v>-</v>
      </c>
      <c r="BI163" s="95">
        <f t="shared" si="1718"/>
        <v>-11.655781790242031</v>
      </c>
      <c r="BJ163" s="95" t="str">
        <f t="shared" si="1718"/>
        <v>-</v>
      </c>
      <c r="BK163" s="95">
        <f t="shared" si="1718"/>
        <v>1.9047619047619264</v>
      </c>
      <c r="BL163" s="95" t="str">
        <f t="shared" si="1718"/>
        <v>-</v>
      </c>
      <c r="BM163" s="95" t="str">
        <f t="shared" si="1718"/>
        <v>-</v>
      </c>
      <c r="BN163" s="95" t="str">
        <f t="shared" si="1718"/>
        <v>-</v>
      </c>
      <c r="BP163" s="143">
        <f t="shared" si="639"/>
        <v>-8.7922458042674449E-3</v>
      </c>
      <c r="BQ163" s="143" t="str">
        <f t="shared" si="1331"/>
        <v>-</v>
      </c>
      <c r="BR163" s="143">
        <f t="shared" si="518"/>
        <v>-4.7902717605356315E-3</v>
      </c>
      <c r="BS163" s="143">
        <f t="shared" si="519"/>
        <v>1.2992125984251909E-2</v>
      </c>
      <c r="BT163" s="143" t="str">
        <f t="shared" si="520"/>
        <v>-</v>
      </c>
      <c r="BU163" s="143">
        <f t="shared" si="521"/>
        <v>1.0974124117293208E-2</v>
      </c>
      <c r="BV163" s="143" t="str">
        <f t="shared" si="522"/>
        <v>-</v>
      </c>
      <c r="BW163" s="143">
        <f t="shared" si="523"/>
        <v>-1.4943309987489783E-2</v>
      </c>
      <c r="BX163" s="143" t="str">
        <f t="shared" si="524"/>
        <v>-</v>
      </c>
      <c r="BY163" s="143">
        <f t="shared" si="525"/>
        <v>2.5062656641604295E-3</v>
      </c>
      <c r="BZ163" s="143" t="str">
        <f t="shared" si="526"/>
        <v>-</v>
      </c>
      <c r="CA163" s="143" t="str">
        <f t="shared" si="527"/>
        <v>-</v>
      </c>
      <c r="CB163" s="143" t="str">
        <f t="shared" si="528"/>
        <v>-</v>
      </c>
      <c r="CD163" s="112">
        <f t="shared" si="1723"/>
        <v>1264.6786568017444</v>
      </c>
      <c r="CE163" s="95" t="str">
        <f>IFERROR(SUMIFS('01. KE30'!$R:$R,'01. KE30'!$C:$C,'06. BC BH THEO CUSTOMER-USD'!$D163,'01. KE30'!$F:$F,'06. BC BH THEO CUSTOMER-USD'!$H163,'01. KE30'!$A:$A,'06. BC BH THEO CUSTOMER-USD'!CE$4)/CS163/'02. Tỷ giá'!B$5," -")</f>
        <v xml:space="preserve"> -</v>
      </c>
      <c r="CF163" s="95">
        <f>IFERROR(SUMIFS('01. KE30'!$R:$R,'01. KE30'!$C:$C,'06. BC BH THEO CUSTOMER-USD'!$D163,'01. KE30'!$F:$F,'06. BC BH THEO CUSTOMER-USD'!$H163,'01. KE30'!$A:$A,'06. BC BH THEO CUSTOMER-USD'!CF$4)/CT163/'02. Tỷ giá'!C$5," -")</f>
        <v>1583.9578359411364</v>
      </c>
      <c r="CG163" s="95">
        <f>IFERROR(SUMIFS('01. KE30'!$R:$R,'01. KE30'!$C:$C,'06. BC BH THEO CUSTOMER-USD'!$D163,'01. KE30'!$F:$F,'06. BC BH THEO CUSTOMER-USD'!$H163,'01. KE30'!$A:$A,'06. BC BH THEO CUSTOMER-USD'!CG$4)/CU163/'02. Tỷ giá'!D$5," -")</f>
        <v>1352.2708768790264</v>
      </c>
      <c r="CH163" s="95" t="str">
        <f>IFERROR(SUMIFS('01. KE30'!$R:$R,'01. KE30'!$C:$C,'06. BC BH THEO CUSTOMER-USD'!$D163,'01. KE30'!$F:$F,'06. BC BH THEO CUSTOMER-USD'!$H163,'01. KE30'!$A:$A,'06. BC BH THEO CUSTOMER-USD'!CH$4)/CV163/'02. Tỷ giá'!E$5," -")</f>
        <v xml:space="preserve"> -</v>
      </c>
      <c r="CI163" s="95">
        <f>IFERROR(SUMIFS('01. KE30'!$R:$R,'01. KE30'!$C:$C,'06. BC BH THEO CUSTOMER-USD'!$D163,'01. KE30'!$F:$F,'06. BC BH THEO CUSTOMER-USD'!$H163,'01. KE30'!$A:$A,'06. BC BH THEO CUSTOMER-USD'!CI$4)/CW163/'02. Tỷ giá'!F$5," -")</f>
        <v>1328.2165858117132</v>
      </c>
      <c r="CJ163" s="95" t="str">
        <f>IFERROR(SUMIFS('01. KE30'!$R:$R,'01. KE30'!$C:$C,'06. BC BH THEO CUSTOMER-USD'!$D163,'01. KE30'!$F:$F,'06. BC BH THEO CUSTOMER-USD'!$H163,'01. KE30'!$A:$A,'06. BC BH THEO CUSTOMER-USD'!CJ$4)/CX163/'02. Tỷ giá'!G$5," -")</f>
        <v xml:space="preserve"> -</v>
      </c>
      <c r="CK163" s="95">
        <f>IFERROR(SUMIFS('01. KE30'!$R:$R,'01. KE30'!$C:$C,'06. BC BH THEO CUSTOMER-USD'!$D163,'01. KE30'!$F:$F,'06. BC BH THEO CUSTOMER-USD'!$H163,'01. KE30'!$A:$A,'06. BC BH THEO CUSTOMER-USD'!CK$4)/CY163/'02. Tỷ giá'!H$5," -")</f>
        <v>1167.9457758530368</v>
      </c>
      <c r="CL163" s="95" t="str">
        <f>IFERROR(SUMIFS('01. KE30'!$R:$R,'01. KE30'!$C:$C,'06. BC BH THEO CUSTOMER-USD'!$D163,'01. KE30'!$F:$F,'06. BC BH THEO CUSTOMER-USD'!$H163,'01. KE30'!$A:$A,'06. BC BH THEO CUSTOMER-USD'!CL$4)/CZ163/'02. Tỷ giá'!I$5," -")</f>
        <v xml:space="preserve"> -</v>
      </c>
      <c r="CM163" s="95">
        <f>IFERROR(SUMIFS('01. KE30'!$R:$R,'01. KE30'!$C:$C,'06. BC BH THEO CUSTOMER-USD'!$D163,'01. KE30'!$F:$F,'06. BC BH THEO CUSTOMER-USD'!$H163,'01. KE30'!$A:$A,'06. BC BH THEO CUSTOMER-USD'!CM$4)/DA163/'02. Tỷ giá'!J$5," -")</f>
        <v>891.00220952380948</v>
      </c>
      <c r="CN163" s="95" t="str">
        <f>IFERROR(SUMIFS('01. KE30'!$R:$R,'01. KE30'!$C:$C,'06. BC BH THEO CUSTOMER-USD'!$D163,'01. KE30'!$F:$F,'06. BC BH THEO CUSTOMER-USD'!$H163,'01. KE30'!$A:$A,'06. BC BH THEO CUSTOMER-USD'!CN$4)/DB163/'02. Tỷ giá'!K$5," -")</f>
        <v xml:space="preserve"> -</v>
      </c>
      <c r="CO163" s="95" t="str">
        <f>IFERROR(SUMIFS('01. KE30'!$R:$R,'01. KE30'!$C:$C,'06. BC BH THEO CUSTOMER-USD'!$D163,'01. KE30'!$F:$F,'06. BC BH THEO CUSTOMER-USD'!$H163,'01. KE30'!$A:$A,'06. BC BH THEO CUSTOMER-USD'!CO$4)/DC163/'02. Tỷ giá'!L$5," -")</f>
        <v xml:space="preserve"> -</v>
      </c>
      <c r="CP163" s="95" t="str">
        <f>IFERROR(SUMIFS('01. KE30'!$R:$R,'01. KE30'!$C:$C,'06. BC BH THEO CUSTOMER-USD'!$D163,'01. KE30'!$F:$F,'06. BC BH THEO CUSTOMER-USD'!$H163,'01. KE30'!$A:$A,'06. BC BH THEO CUSTOMER-USD'!CP$4)/DD163/'02. Tỷ giá'!M$5," -")</f>
        <v xml:space="preserve"> -</v>
      </c>
      <c r="CR163" s="112">
        <f t="shared" ref="CR163" si="1753">SUM(CS163:DD163)</f>
        <v>30.25</v>
      </c>
      <c r="CS163" s="114">
        <f>SUMIFS('01. KE30'!$I:$I,'01. KE30'!$C:$C,'06. BC BH THEO CUSTOMER-USD'!$D163,'01. KE30'!$F:$F,'06. BC BH THEO CUSTOMER-USD'!$H163,'01. KE30'!$A:$A,'06. BC BH THEO CUSTOMER-USD'!CS$4)/1000</f>
        <v>0</v>
      </c>
      <c r="CT163" s="114">
        <f>SUMIFS('01. KE30'!$I:$I,'01. KE30'!$C:$C,'06. BC BH THEO CUSTOMER-USD'!$D163,'01. KE30'!$F:$F,'06. BC BH THEO CUSTOMER-USD'!$H163,'01. KE30'!$A:$A,'06. BC BH THEO CUSTOMER-USD'!CT$4)/1000</f>
        <v>5.5</v>
      </c>
      <c r="CU163" s="114">
        <f>SUMIFS('01. KE30'!$I:$I,'01. KE30'!$C:$C,'06. BC BH THEO CUSTOMER-USD'!$D163,'01. KE30'!$F:$F,'06. BC BH THEO CUSTOMER-USD'!$H163,'01. KE30'!$A:$A,'06. BC BH THEO CUSTOMER-USD'!CU$4)/1000</f>
        <v>11</v>
      </c>
      <c r="CV163" s="114">
        <f>SUMIFS('01. KE30'!$I:$I,'01. KE30'!$C:$C,'06. BC BH THEO CUSTOMER-USD'!$D163,'01. KE30'!$F:$F,'06. BC BH THEO CUSTOMER-USD'!$H163,'01. KE30'!$A:$A,'06. BC BH THEO CUSTOMER-USD'!CV$4)/1000</f>
        <v>0</v>
      </c>
      <c r="CW163" s="114">
        <f>SUMIFS('01. KE30'!$I:$I,'01. KE30'!$C:$C,'06. BC BH THEO CUSTOMER-USD'!$D163,'01. KE30'!$F:$F,'06. BC BH THEO CUSTOMER-USD'!$H163,'01. KE30'!$A:$A,'06. BC BH THEO CUSTOMER-USD'!CW$4)/1000</f>
        <v>5.5</v>
      </c>
      <c r="CX163" s="114">
        <f>SUMIFS('01. KE30'!$I:$I,'01. KE30'!$C:$C,'06. BC BH THEO CUSTOMER-USD'!$D163,'01. KE30'!$F:$F,'06. BC BH THEO CUSTOMER-USD'!$H163,'01. KE30'!$A:$A,'06. BC BH THEO CUSTOMER-USD'!CX$4)/1000</f>
        <v>0</v>
      </c>
      <c r="CY163" s="114">
        <f>SUMIFS('01. KE30'!$I:$I,'01. KE30'!$C:$C,'06. BC BH THEO CUSTOMER-USD'!$D163,'01. KE30'!$F:$F,'06. BC BH THEO CUSTOMER-USD'!$H163,'01. KE30'!$A:$A,'06. BC BH THEO CUSTOMER-USD'!CY$4)/1000</f>
        <v>5.5</v>
      </c>
      <c r="CZ163" s="114">
        <f>SUMIFS('01. KE30'!$I:$I,'01. KE30'!$C:$C,'06. BC BH THEO CUSTOMER-USD'!$D163,'01. KE30'!$F:$F,'06. BC BH THEO CUSTOMER-USD'!$H163,'01. KE30'!$A:$A,'06. BC BH THEO CUSTOMER-USD'!CZ$4)/1000</f>
        <v>0</v>
      </c>
      <c r="DA163" s="114">
        <f>SUMIFS('01. KE30'!$I:$I,'01. KE30'!$C:$C,'06. BC BH THEO CUSTOMER-USD'!$D163,'01. KE30'!$F:$F,'06. BC BH THEO CUSTOMER-USD'!$H163,'01. KE30'!$A:$A,'06. BC BH THEO CUSTOMER-USD'!DA$4)/1000</f>
        <v>2.75</v>
      </c>
      <c r="DB163" s="114">
        <f>SUMIFS('01. KE30'!$I:$I,'01. KE30'!$C:$C,'06. BC BH THEO CUSTOMER-USD'!$D163,'01. KE30'!$F:$F,'06. BC BH THEO CUSTOMER-USD'!$H163,'01. KE30'!$A:$A,'06. BC BH THEO CUSTOMER-USD'!DB$4)/1000</f>
        <v>0</v>
      </c>
      <c r="DC163" s="114">
        <f>SUMIFS('01. KE30'!$I:$I,'01. KE30'!$C:$C,'06. BC BH THEO CUSTOMER-USD'!$D163,'01. KE30'!$F:$F,'06. BC BH THEO CUSTOMER-USD'!$H163,'01. KE30'!$A:$A,'06. BC BH THEO CUSTOMER-USD'!DC$4)/1000</f>
        <v>0</v>
      </c>
      <c r="DD163" s="114">
        <f>SUMIFS('01. KE30'!$I:$I,'01. KE30'!$C:$C,'06. BC BH THEO CUSTOMER-USD'!$D163,'01. KE30'!$F:$F,'06. BC BH THEO CUSTOMER-USD'!$H163,'01. KE30'!$A:$A,'06. BC BH THEO CUSTOMER-USD'!DD$4)/1000</f>
        <v>0</v>
      </c>
      <c r="DF163" s="112">
        <f t="shared" si="1724"/>
        <v>23923.773002459468</v>
      </c>
      <c r="DG163" s="54" t="str">
        <f t="shared" si="1725"/>
        <v>-</v>
      </c>
      <c r="DH163" s="54">
        <f t="shared" si="1726"/>
        <v>4378.9228042536433</v>
      </c>
      <c r="DI163" s="54">
        <f t="shared" si="1727"/>
        <v>8970.0452755905499</v>
      </c>
      <c r="DJ163" s="54" t="str">
        <f t="shared" si="1728"/>
        <v>-</v>
      </c>
      <c r="DK163" s="54">
        <f t="shared" si="1729"/>
        <v>4253.6736272235112</v>
      </c>
      <c r="DL163" s="54" t="str">
        <f t="shared" si="1730"/>
        <v>-</v>
      </c>
      <c r="DM163" s="54">
        <f t="shared" si="1731"/>
        <v>4225.8932001536687</v>
      </c>
      <c r="DN163" s="54" t="str">
        <f t="shared" si="1732"/>
        <v>-</v>
      </c>
      <c r="DO163" s="54">
        <f t="shared" si="1733"/>
        <v>2095.2380952380954</v>
      </c>
      <c r="DP163" s="54" t="str">
        <f t="shared" si="1734"/>
        <v>-</v>
      </c>
      <c r="DQ163" s="54" t="str">
        <f t="shared" si="1735"/>
        <v>-</v>
      </c>
      <c r="DR163" s="54" t="str">
        <f t="shared" si="1736"/>
        <v>-</v>
      </c>
      <c r="DT163" s="112">
        <f t="shared" si="652"/>
        <v>-15842.123806232674</v>
      </c>
      <c r="DU163" s="114">
        <f>IFERROR(SUMIFS('01. KE30'!$X:$X,'01. KE30'!$C:$C,'06. BC BH THEO CUSTOMER-USD'!$D163,'01. KE30'!$F:$F,'06. BC BH THEO CUSTOMER-USD'!$H163,'01. KE30'!$A:$A,'06. BC BH THEO CUSTOMER-USD'!DU$4)-SUMIFS('01. KE30'!$AA:$AA,'01. KE30'!$C:$C,'06. BC BH THEO CUSTOMER-USD'!$D163,'01. KE30'!$F:$F,'06. BC BH THEO CUSTOMER-USD'!$H163,'01. KE30'!$A:$A,'06. BC BH THEO CUSTOMER-USD'!DU$4),"-")</f>
        <v>0</v>
      </c>
      <c r="DV163" s="114">
        <f>IFERROR(SUMIFS('01. KE30'!$X:$X,'01. KE30'!$C:$C,'06. BC BH THEO CUSTOMER-USD'!$D163,'01. KE30'!$F:$F,'06. BC BH THEO CUSTOMER-USD'!$H163,'01. KE30'!$A:$A,'06. BC BH THEO CUSTOMER-USD'!DV$4)-SUMIFS('01. KE30'!$AA:$AA,'01. KE30'!$C:$C,'06. BC BH THEO CUSTOMER-USD'!$D163,'01. KE30'!$F:$F,'06. BC BH THEO CUSTOMER-USD'!$H163,'01. KE30'!$A:$A,'06. BC BH THEO CUSTOMER-USD'!DV$4),"-")</f>
        <v>-4332.8452934226079</v>
      </c>
      <c r="DW163" s="114">
        <f>IFERROR(SUMIFS('01. KE30'!$X:$X,'01. KE30'!$C:$C,'06. BC BH THEO CUSTOMER-USD'!$D163,'01. KE30'!$F:$F,'06. BC BH THEO CUSTOMER-USD'!$H163,'01. KE30'!$A:$A,'06. BC BH THEO CUSTOMER-USD'!DW$4)-SUMIFS('01. KE30'!$AA:$AA,'01. KE30'!$C:$C,'06. BC BH THEO CUSTOMER-USD'!$D163,'01. KE30'!$F:$F,'06. BC BH THEO CUSTOMER-USD'!$H163,'01. KE30'!$A:$A,'06. BC BH THEO CUSTOMER-USD'!DW$4),"-")</f>
        <v>-5904.9343700787394</v>
      </c>
      <c r="DX163" s="114">
        <f>IFERROR(SUMIFS('01. KE30'!$X:$X,'01. KE30'!$C:$C,'06. BC BH THEO CUSTOMER-USD'!$D163,'01. KE30'!$F:$F,'06. BC BH THEO CUSTOMER-USD'!$H163,'01. KE30'!$A:$A,'06. BC BH THEO CUSTOMER-USD'!DX$4)-SUMIFS('01. KE30'!$AA:$AA,'01. KE30'!$C:$C,'06. BC BH THEO CUSTOMER-USD'!$D163,'01. KE30'!$F:$F,'06. BC BH THEO CUSTOMER-USD'!$H163,'01. KE30'!$A:$A,'06. BC BH THEO CUSTOMER-USD'!DX$4),"-")</f>
        <v>0</v>
      </c>
      <c r="DY163" s="114">
        <f>IFERROR(SUMIFS('01. KE30'!$X:$X,'01. KE30'!$C:$C,'06. BC BH THEO CUSTOMER-USD'!$D163,'01. KE30'!$F:$F,'06. BC BH THEO CUSTOMER-USD'!$H163,'01. KE30'!$A:$A,'06. BC BH THEO CUSTOMER-USD'!DY$4)-SUMIFS('01. KE30'!$AA:$AA,'01. KE30'!$C:$C,'06. BC BH THEO CUSTOMER-USD'!$D163,'01. KE30'!$F:$F,'06. BC BH THEO CUSTOMER-USD'!$H163,'01. KE30'!$A:$A,'06. BC BH THEO CUSTOMER-USD'!DY$4),"-")</f>
        <v>-3051.5175947409125</v>
      </c>
      <c r="DZ163" s="114">
        <f>IFERROR(SUMIFS('01. KE30'!$X:$X,'01. KE30'!$C:$C,'06. BC BH THEO CUSTOMER-USD'!$D163,'01. KE30'!$F:$F,'06. BC BH THEO CUSTOMER-USD'!$H163,'01. KE30'!$A:$A,'06. BC BH THEO CUSTOMER-USD'!DZ$4)-SUMIFS('01. KE30'!$AA:$AA,'01. KE30'!$C:$C,'06. BC BH THEO CUSTOMER-USD'!$D163,'01. KE30'!$F:$F,'06. BC BH THEO CUSTOMER-USD'!$H163,'01. KE30'!$A:$A,'06. BC BH THEO CUSTOMER-USD'!DZ$4),"-")</f>
        <v>0</v>
      </c>
      <c r="EA163" s="114">
        <f>IFERROR(SUMIFS('01. KE30'!$X:$X,'01. KE30'!$C:$C,'06. BC BH THEO CUSTOMER-USD'!$D163,'01. KE30'!$F:$F,'06. BC BH THEO CUSTOMER-USD'!$H163,'01. KE30'!$A:$A,'06. BC BH THEO CUSTOMER-USD'!EA$4)-SUMIFS('01. KE30'!$AA:$AA,'01. KE30'!$C:$C,'06. BC BH THEO CUSTOMER-USD'!$D163,'01. KE30'!$F:$F,'06. BC BH THEO CUSTOMER-USD'!$H163,'01. KE30'!$A:$A,'06. BC BH THEO CUSTOMER-USD'!EA$4),"-")</f>
        <v>-2197.8085670380333</v>
      </c>
      <c r="EB163" s="114">
        <f>IFERROR(SUMIFS('01. KE30'!$X:$X,'01. KE30'!$C:$C,'06. BC BH THEO CUSTOMER-USD'!$D163,'01. KE30'!$F:$F,'06. BC BH THEO CUSTOMER-USD'!$H163,'01. KE30'!$A:$A,'06. BC BH THEO CUSTOMER-USD'!EB$4)-SUMIFS('01. KE30'!$AA:$AA,'01. KE30'!$C:$C,'06. BC BH THEO CUSTOMER-USD'!$D163,'01. KE30'!$F:$F,'06. BC BH THEO CUSTOMER-USD'!$H163,'01. KE30'!$A:$A,'06. BC BH THEO CUSTOMER-USD'!EB$4),"-")</f>
        <v>0</v>
      </c>
      <c r="EC163" s="114">
        <f>IFERROR(SUMIFS('01. KE30'!$X:$X,'01. KE30'!$C:$C,'06. BC BH THEO CUSTOMER-USD'!$D163,'01. KE30'!$F:$F,'06. BC BH THEO CUSTOMER-USD'!$H163,'01. KE30'!$A:$A,'06. BC BH THEO CUSTOMER-USD'!EC$4)-SUMIFS('01. KE30'!$AA:$AA,'01. KE30'!$C:$C,'06. BC BH THEO CUSTOMER-USD'!$D163,'01. KE30'!$F:$F,'06. BC BH THEO CUSTOMER-USD'!$H163,'01. KE30'!$A:$A,'06. BC BH THEO CUSTOMER-USD'!EC$4),"-")</f>
        <v>-355.01798095238064</v>
      </c>
      <c r="ED163" s="114">
        <f>IFERROR(SUMIFS('01. KE30'!$X:$X,'01. KE30'!$C:$C,'06. BC BH THEO CUSTOMER-USD'!$D163,'01. KE30'!$F:$F,'06. BC BH THEO CUSTOMER-USD'!$H163,'01. KE30'!$A:$A,'06. BC BH THEO CUSTOMER-USD'!ED$4)-SUMIFS('01. KE30'!$AA:$AA,'01. KE30'!$C:$C,'06. BC BH THEO CUSTOMER-USD'!$D163,'01. KE30'!$F:$F,'06. BC BH THEO CUSTOMER-USD'!$H163,'01. KE30'!$A:$A,'06. BC BH THEO CUSTOMER-USD'!ED$4),"-")</f>
        <v>0</v>
      </c>
      <c r="EE163" s="114">
        <f>IFERROR(SUMIFS('01. KE30'!$X:$X,'01. KE30'!$C:$C,'06. BC BH THEO CUSTOMER-USD'!$D163,'01. KE30'!$F:$F,'06. BC BH THEO CUSTOMER-USD'!$H163,'01. KE30'!$A:$A,'06. BC BH THEO CUSTOMER-USD'!EE$4)-SUMIFS('01. KE30'!$AA:$AA,'01. KE30'!$C:$C,'06. BC BH THEO CUSTOMER-USD'!$D163,'01. KE30'!$F:$F,'06. BC BH THEO CUSTOMER-USD'!$H163,'01. KE30'!$A:$A,'06. BC BH THEO CUSTOMER-USD'!EE$4),"-")</f>
        <v>0</v>
      </c>
      <c r="EF163" s="114">
        <f>IFERROR(SUMIFS('01. KE30'!$X:$X,'01. KE30'!$C:$C,'06. BC BH THEO CUSTOMER-USD'!$D163,'01. KE30'!$F:$F,'06. BC BH THEO CUSTOMER-USD'!$H163,'01. KE30'!$A:$A,'06. BC BH THEO CUSTOMER-USD'!EF$4)-SUMIFS('01. KE30'!$AA:$AA,'01. KE30'!$C:$C,'06. BC BH THEO CUSTOMER-USD'!$D163,'01. KE30'!$F:$F,'06. BC BH THEO CUSTOMER-USD'!$H163,'01. KE30'!$A:$A,'06. BC BH THEO CUSTOMER-USD'!EF$4),"-")</f>
        <v>0</v>
      </c>
      <c r="EH163" s="571">
        <f t="shared" si="1737"/>
        <v>-0.66219169545723555</v>
      </c>
      <c r="EI163" s="572" t="str">
        <f t="shared" si="1738"/>
        <v>-</v>
      </c>
      <c r="EJ163" s="572">
        <f t="shared" si="1739"/>
        <v>-0.98947743248949804</v>
      </c>
      <c r="EK163" s="572">
        <f t="shared" si="1740"/>
        <v>-0.65829482334357381</v>
      </c>
      <c r="EL163" s="572" t="str">
        <f t="shared" si="1741"/>
        <v>-</v>
      </c>
      <c r="EM163" s="572">
        <f t="shared" si="1742"/>
        <v>-0.71738404545454548</v>
      </c>
      <c r="EN163" s="572" t="str">
        <f t="shared" si="1743"/>
        <v>-</v>
      </c>
      <c r="EO163" s="572">
        <f t="shared" si="1744"/>
        <v>-0.52008142727272733</v>
      </c>
      <c r="EP163" s="572" t="str">
        <f t="shared" si="1745"/>
        <v>-</v>
      </c>
      <c r="EQ163" s="572">
        <f t="shared" si="1746"/>
        <v>-0.16944039999999982</v>
      </c>
      <c r="ER163" s="572" t="str">
        <f t="shared" si="1747"/>
        <v>-</v>
      </c>
      <c r="ES163" s="572" t="str">
        <f t="shared" si="1748"/>
        <v>-</v>
      </c>
      <c r="ET163" s="572" t="str">
        <f t="shared" si="1749"/>
        <v>-</v>
      </c>
    </row>
    <row r="164" spans="1:150" ht="15.5" hidden="1" outlineLevel="1" x14ac:dyDescent="0.35">
      <c r="A164" s="10">
        <f t="shared" si="1266"/>
        <v>7</v>
      </c>
      <c r="B164" s="10" t="s">
        <v>266</v>
      </c>
      <c r="C164" s="497" t="s">
        <v>29</v>
      </c>
      <c r="D164" s="9">
        <v>1000</v>
      </c>
      <c r="E164" s="8" t="s">
        <v>29</v>
      </c>
      <c r="F164" s="12" t="s">
        <v>245</v>
      </c>
      <c r="G164" s="12" t="str">
        <f>_xlfn.XLOOKUP(F164,'Quy đổi'!$G$5:$G$32,'Quy đổi'!$H$5:$H$32,0)</f>
        <v>Nội địa</v>
      </c>
      <c r="H164" s="80" t="s">
        <v>216</v>
      </c>
      <c r="I164" s="7" t="s">
        <v>217</v>
      </c>
      <c r="J164" s="69" t="s">
        <v>22</v>
      </c>
      <c r="K164" s="5"/>
      <c r="L164" s="92">
        <f t="shared" si="1263"/>
        <v>778.7056463576447</v>
      </c>
      <c r="M164" s="106" t="str">
        <f>IFERROR(SUMIFS('01. KE30'!$K:$K,'01. KE30'!$C:$C,'06. BC BH THEO CUSTOMER-USD'!$D164,'01. KE30'!$F:$F,'06. BC BH THEO CUSTOMER-USD'!$H164,'01. KE30'!$A:$A,'06. BC BH THEO CUSTOMER-USD'!M$4)/'06. BC BH THEO CUSTOMER-USD'!CS164/'02. Tỷ giá'!B$5,"-")</f>
        <v>-</v>
      </c>
      <c r="N164" s="106">
        <f>IFERROR(SUMIFS('01. KE30'!$K:$K,'01. KE30'!$C:$C,'06. BC BH THEO CUSTOMER-USD'!$D164,'01. KE30'!$F:$F,'06. BC BH THEO CUSTOMER-USD'!$H164,'01. KE30'!$A:$A,'06. BC BH THEO CUSTOMER-USD'!N$4)/'06. BC BH THEO CUSTOMER-USD'!CT164/'02. Tỷ giá'!C$5,"-")</f>
        <v>796.16778259157149</v>
      </c>
      <c r="O164" s="106" t="str">
        <f>IFERROR(SUMIFS('01. KE30'!$K:$K,'01. KE30'!$C:$C,'06. BC BH THEO CUSTOMER-USD'!$D164,'01. KE30'!$F:$F,'06. BC BH THEO CUSTOMER-USD'!$H164,'01. KE30'!$A:$A,'06. BC BH THEO CUSTOMER-USD'!O$4)/'06. BC BH THEO CUSTOMER-USD'!CU164/'02. Tỷ giá'!D$5,"-")</f>
        <v>-</v>
      </c>
      <c r="P164" s="106" t="str">
        <f>IFERROR(SUMIFS('01. KE30'!$K:$K,'01. KE30'!$C:$C,'06. BC BH THEO CUSTOMER-USD'!$D164,'01. KE30'!$F:$F,'06. BC BH THEO CUSTOMER-USD'!$H164,'01. KE30'!$A:$A,'06. BC BH THEO CUSTOMER-USD'!P$4)/'06. BC BH THEO CUSTOMER-USD'!CV164/'02. Tỷ giá'!E$5,"-")</f>
        <v>-</v>
      </c>
      <c r="Q164" s="106" t="str">
        <f>IFERROR(SUMIFS('01. KE30'!$K:$K,'01. KE30'!$C:$C,'06. BC BH THEO CUSTOMER-USD'!$D164,'01. KE30'!$F:$F,'06. BC BH THEO CUSTOMER-USD'!$H164,'01. KE30'!$A:$A,'06. BC BH THEO CUSTOMER-USD'!Q$4)/'06. BC BH THEO CUSTOMER-USD'!CW164/'02. Tỷ giá'!F$5,"-")</f>
        <v>-</v>
      </c>
      <c r="R164" s="106">
        <f>IFERROR(SUMIFS('01. KE30'!$K:$K,'01. KE30'!$C:$C,'06. BC BH THEO CUSTOMER-USD'!$D164,'01. KE30'!$F:$F,'06. BC BH THEO CUSTOMER-USD'!$H164,'01. KE30'!$A:$A,'06. BC BH THEO CUSTOMER-USD'!R$4)/'06. BC BH THEO CUSTOMER-USD'!CX164/'02. Tỷ giá'!G$5,"-")</f>
        <v>771.60493827160496</v>
      </c>
      <c r="S164" s="106">
        <f>IFERROR(SUMIFS('01. KE30'!$K:$K,'01. KE30'!$C:$C,'06. BC BH THEO CUSTOMER-USD'!$D164,'01. KE30'!$F:$F,'06. BC BH THEO CUSTOMER-USD'!$H164,'01. KE30'!$A:$A,'06. BC BH THEO CUSTOMER-USD'!S$4)/'06. BC BH THEO CUSTOMER-USD'!CY164/'02. Tỷ giá'!H$5,"-")</f>
        <v>768.34421820975797</v>
      </c>
      <c r="T164" s="106" t="str">
        <f>IFERROR(SUMIFS('01. KE30'!$K:$K,'01. KE30'!$C:$C,'06. BC BH THEO CUSTOMER-USD'!$D164,'01. KE30'!$F:$F,'06. BC BH THEO CUSTOMER-USD'!$H164,'01. KE30'!$A:$A,'06. BC BH THEO CUSTOMER-USD'!T$4)/'06. BC BH THEO CUSTOMER-USD'!CZ164/'02. Tỷ giá'!I$5,"-")</f>
        <v>-</v>
      </c>
      <c r="U164" s="106" t="str">
        <f>IFERROR(SUMIFS('01. KE30'!$K:$K,'01. KE30'!$C:$C,'06. BC BH THEO CUSTOMER-USD'!$D164,'01. KE30'!$F:$F,'06. BC BH THEO CUSTOMER-USD'!$H164,'01. KE30'!$A:$A,'06. BC BH THEO CUSTOMER-USD'!U$4)/'06. BC BH THEO CUSTOMER-USD'!DA164/'02. Tỷ giá'!J$5,"-")</f>
        <v>-</v>
      </c>
      <c r="V164" s="106" t="str">
        <f>IFERROR(SUMIFS('01. KE30'!$K:$K,'01. KE30'!$C:$C,'06. BC BH THEO CUSTOMER-USD'!$D164,'01. KE30'!$F:$F,'06. BC BH THEO CUSTOMER-USD'!$H164,'01. KE30'!$A:$A,'06. BC BH THEO CUSTOMER-USD'!V$4)/'06. BC BH THEO CUSTOMER-USD'!DB164/'02. Tỷ giá'!K$5,"-")</f>
        <v>-</v>
      </c>
      <c r="W164" s="106" t="str">
        <f>IFERROR(SUMIFS('01. KE30'!$K:$K,'01. KE30'!$C:$C,'06. BC BH THEO CUSTOMER-USD'!$D164,'01. KE30'!$F:$F,'06. BC BH THEO CUSTOMER-USD'!$H164,'01. KE30'!$A:$A,'06. BC BH THEO CUSTOMER-USD'!W$4)/'06. BC BH THEO CUSTOMER-USD'!DC164/'02. Tỷ giá'!L$5,"-")</f>
        <v>-</v>
      </c>
      <c r="X164" s="106" t="str">
        <f>IFERROR(SUMIFS('01. KE30'!$K:$K,'01. KE30'!$C:$C,'06. BC BH THEO CUSTOMER-USD'!$D164,'01. KE30'!$F:$F,'06. BC BH THEO CUSTOMER-USD'!$H164,'01. KE30'!$A:$A,'06. BC BH THEO CUSTOMER-USD'!X$4)/'06. BC BH THEO CUSTOMER-USD'!DD164/'02. Tỷ giá'!M$5,"-")</f>
        <v>-</v>
      </c>
      <c r="Z164" s="92">
        <f t="shared" si="1264"/>
        <v>778.7056463576447</v>
      </c>
      <c r="AA164" s="147" t="str">
        <f>IFERROR(SUMIFS('01. KE30'!$O:$O,'01. KE30'!$C:$C,'06. BC BH THEO CUSTOMER-USD'!$D164,'01. KE30'!$F:$F,'06. BC BH THEO CUSTOMER-USD'!$H164,'01. KE30'!$A:$A,'06. BC BH THEO CUSTOMER-USD'!M$4)/'06. BC BH THEO CUSTOMER-USD'!CS164/'02. Tỷ giá'!B$5,"-")</f>
        <v>-</v>
      </c>
      <c r="AB164" s="147">
        <f>IFERROR(SUMIFS('01. KE30'!$O:$O,'01. KE30'!$C:$C,'06. BC BH THEO CUSTOMER-USD'!$D164,'01. KE30'!$F:$F,'06. BC BH THEO CUSTOMER-USD'!$H164,'01. KE30'!$A:$A,'06. BC BH THEO CUSTOMER-USD'!N$4)/'06. BC BH THEO CUSTOMER-USD'!CT164/'02. Tỷ giá'!C$5,"-")</f>
        <v>796.16778259157149</v>
      </c>
      <c r="AC164" s="147" t="str">
        <f>IFERROR(SUMIFS('01. KE30'!$O:$O,'01. KE30'!$C:$C,'06. BC BH THEO CUSTOMER-USD'!$D164,'01. KE30'!$F:$F,'06. BC BH THEO CUSTOMER-USD'!$H164,'01. KE30'!$A:$A,'06. BC BH THEO CUSTOMER-USD'!O$4)/'06. BC BH THEO CUSTOMER-USD'!CU164/'02. Tỷ giá'!D$5,"-")</f>
        <v>-</v>
      </c>
      <c r="AD164" s="147" t="str">
        <f>IFERROR(SUMIFS('01. KE30'!$O:$O,'01. KE30'!$C:$C,'06. BC BH THEO CUSTOMER-USD'!$D164,'01. KE30'!$F:$F,'06. BC BH THEO CUSTOMER-USD'!$H164,'01. KE30'!$A:$A,'06. BC BH THEO CUSTOMER-USD'!P$4)/'06. BC BH THEO CUSTOMER-USD'!CV164/'02. Tỷ giá'!E$5,"-")</f>
        <v>-</v>
      </c>
      <c r="AE164" s="147" t="str">
        <f>IFERROR(SUMIFS('01. KE30'!$O:$O,'01. KE30'!$C:$C,'06. BC BH THEO CUSTOMER-USD'!$D164,'01. KE30'!$F:$F,'06. BC BH THEO CUSTOMER-USD'!$H164,'01. KE30'!$A:$A,'06. BC BH THEO CUSTOMER-USD'!Q$4)/'06. BC BH THEO CUSTOMER-USD'!CW164/'02. Tỷ giá'!F$5,"-")</f>
        <v>-</v>
      </c>
      <c r="AF164" s="147">
        <f>IFERROR(SUMIFS('01. KE30'!$O:$O,'01. KE30'!$C:$C,'06. BC BH THEO CUSTOMER-USD'!$D164,'01. KE30'!$F:$F,'06. BC BH THEO CUSTOMER-USD'!$H164,'01. KE30'!$A:$A,'06. BC BH THEO CUSTOMER-USD'!R$4)/'06. BC BH THEO CUSTOMER-USD'!CX164/'02. Tỷ giá'!G$5,"-")</f>
        <v>771.60493827160496</v>
      </c>
      <c r="AG164" s="147">
        <f>IFERROR(SUMIFS('01. KE30'!$O:$O,'01. KE30'!$C:$C,'06. BC BH THEO CUSTOMER-USD'!$D164,'01. KE30'!$F:$F,'06. BC BH THEO CUSTOMER-USD'!$H164,'01. KE30'!$A:$A,'06. BC BH THEO CUSTOMER-USD'!S$4)/'06. BC BH THEO CUSTOMER-USD'!CY164/'02. Tỷ giá'!H$5,"-")</f>
        <v>768.34421820975797</v>
      </c>
      <c r="AH164" s="147" t="str">
        <f>IFERROR(SUMIFS('01. KE30'!$O:$O,'01. KE30'!$C:$C,'06. BC BH THEO CUSTOMER-USD'!$D164,'01. KE30'!$F:$F,'06. BC BH THEO CUSTOMER-USD'!$H164,'01. KE30'!$A:$A,'06. BC BH THEO CUSTOMER-USD'!T$4)/'06. BC BH THEO CUSTOMER-USD'!CZ164/'02. Tỷ giá'!I$5,"-")</f>
        <v>-</v>
      </c>
      <c r="AI164" s="147" t="str">
        <f>IFERROR(SUMIFS('01. KE30'!$O:$O,'01. KE30'!$C:$C,'06. BC BH THEO CUSTOMER-USD'!$D164,'01. KE30'!$F:$F,'06. BC BH THEO CUSTOMER-USD'!$H164,'01. KE30'!$A:$A,'06. BC BH THEO CUSTOMER-USD'!U$4)/'06. BC BH THEO CUSTOMER-USD'!DA164/'02. Tỷ giá'!J$5,"-")</f>
        <v>-</v>
      </c>
      <c r="AJ164" s="147" t="str">
        <f>IFERROR(SUMIFS('01. KE30'!$O:$O,'01. KE30'!$C:$C,'06. BC BH THEO CUSTOMER-USD'!$D164,'01. KE30'!$F:$F,'06. BC BH THEO CUSTOMER-USD'!$H164,'01. KE30'!$A:$A,'06. BC BH THEO CUSTOMER-USD'!V$4)/'06. BC BH THEO CUSTOMER-USD'!DB164/'02. Tỷ giá'!K$5,"-")</f>
        <v>-</v>
      </c>
      <c r="AK164" s="147" t="str">
        <f>IFERROR(SUMIFS('01. KE30'!$O:$O,'01. KE30'!$C:$C,'06. BC BH THEO CUSTOMER-USD'!$D164,'01. KE30'!$F:$F,'06. BC BH THEO CUSTOMER-USD'!$H164,'01. KE30'!$A:$A,'06. BC BH THEO CUSTOMER-USD'!W$4)/'06. BC BH THEO CUSTOMER-USD'!DC164/'02. Tỷ giá'!L$5,"-")</f>
        <v>-</v>
      </c>
      <c r="AL164" s="147" t="str">
        <f>IFERROR(SUMIFS('01. KE30'!$O:$O,'01. KE30'!$C:$C,'06. BC BH THEO CUSTOMER-USD'!$D164,'01. KE30'!$F:$F,'06. BC BH THEO CUSTOMER-USD'!$H164,'01. KE30'!$A:$A,'06. BC BH THEO CUSTOMER-USD'!X$4)/'06. BC BH THEO CUSTOMER-USD'!DD164/'02. Tỷ giá'!M$5,"-")</f>
        <v>-</v>
      </c>
      <c r="AN164" s="55">
        <f t="shared" si="1265"/>
        <v>790</v>
      </c>
      <c r="AO164" s="4">
        <v>870</v>
      </c>
      <c r="AP164" s="4">
        <v>800</v>
      </c>
      <c r="AQ164" s="4">
        <v>805</v>
      </c>
      <c r="AR164" s="4">
        <v>805</v>
      </c>
      <c r="AS164" s="4">
        <v>765</v>
      </c>
      <c r="AT164" s="4">
        <v>765</v>
      </c>
      <c r="AU164" s="4">
        <v>780</v>
      </c>
      <c r="AV164" s="4">
        <f t="shared" si="1272"/>
        <v>760</v>
      </c>
      <c r="AW164" s="4">
        <v>760</v>
      </c>
      <c r="AX164" s="4"/>
      <c r="AY164" s="4"/>
      <c r="AZ164" s="4"/>
      <c r="BB164" s="54">
        <f t="shared" si="637"/>
        <v>-11.294353642355304</v>
      </c>
      <c r="BC164" s="95" t="str">
        <f t="shared" si="1333"/>
        <v>-</v>
      </c>
      <c r="BD164" s="95">
        <f t="shared" si="1718"/>
        <v>-3.8322174084285052</v>
      </c>
      <c r="BE164" s="95" t="str">
        <f t="shared" si="1718"/>
        <v>-</v>
      </c>
      <c r="BF164" s="95" t="str">
        <f t="shared" si="1718"/>
        <v>-</v>
      </c>
      <c r="BG164" s="95" t="str">
        <f t="shared" si="1718"/>
        <v>-</v>
      </c>
      <c r="BH164" s="95">
        <f t="shared" si="1718"/>
        <v>6.6049382716049649</v>
      </c>
      <c r="BI164" s="95">
        <f t="shared" si="1718"/>
        <v>-11.655781790242031</v>
      </c>
      <c r="BJ164" s="95" t="str">
        <f t="shared" si="1718"/>
        <v>-</v>
      </c>
      <c r="BK164" s="95" t="str">
        <f t="shared" si="1718"/>
        <v>-</v>
      </c>
      <c r="BL164" s="95" t="str">
        <f t="shared" si="1718"/>
        <v>-</v>
      </c>
      <c r="BM164" s="95" t="str">
        <f t="shared" si="1718"/>
        <v>-</v>
      </c>
      <c r="BN164" s="95" t="str">
        <f t="shared" si="1718"/>
        <v>-</v>
      </c>
      <c r="BP164" s="143">
        <f t="shared" si="639"/>
        <v>-1.4296650180196588E-2</v>
      </c>
      <c r="BQ164" s="143" t="str">
        <f t="shared" si="1331"/>
        <v>-</v>
      </c>
      <c r="BR164" s="143">
        <f t="shared" si="518"/>
        <v>-4.7902717605356315E-3</v>
      </c>
      <c r="BS164" s="143" t="str">
        <f t="shared" si="519"/>
        <v>-</v>
      </c>
      <c r="BT164" s="143" t="str">
        <f t="shared" si="520"/>
        <v>-</v>
      </c>
      <c r="BU164" s="143" t="str">
        <f t="shared" si="521"/>
        <v>-</v>
      </c>
      <c r="BV164" s="143">
        <f t="shared" si="522"/>
        <v>8.6339062373921114E-3</v>
      </c>
      <c r="BW164" s="143">
        <f t="shared" si="523"/>
        <v>-1.4943309987489783E-2</v>
      </c>
      <c r="BX164" s="143" t="str">
        <f t="shared" si="524"/>
        <v>-</v>
      </c>
      <c r="BY164" s="143" t="str">
        <f t="shared" si="525"/>
        <v>-</v>
      </c>
      <c r="BZ164" s="143" t="str">
        <f t="shared" si="526"/>
        <v>-</v>
      </c>
      <c r="CA164" s="143" t="str">
        <f t="shared" si="527"/>
        <v>-</v>
      </c>
      <c r="CB164" s="143" t="str">
        <f t="shared" si="528"/>
        <v>-</v>
      </c>
      <c r="CD164" s="112">
        <f t="shared" si="1723"/>
        <v>723.28517434516868</v>
      </c>
      <c r="CE164" s="95" t="str">
        <f>IFERROR(SUMIFS('01. KE30'!$R:$R,'01. KE30'!$C:$C,'06. BC BH THEO CUSTOMER-USD'!$D164,'01. KE30'!$F:$F,'06. BC BH THEO CUSTOMER-USD'!$H164,'01. KE30'!$A:$A,'06. BC BH THEO CUSTOMER-USD'!CE$4)/CS164/'02. Tỷ giá'!B$5," -")</f>
        <v xml:space="preserve"> -</v>
      </c>
      <c r="CF164" s="95">
        <f>IFERROR(SUMIFS('01. KE30'!$R:$R,'01. KE30'!$C:$C,'06. BC BH THEO CUSTOMER-USD'!$D164,'01. KE30'!$F:$F,'06. BC BH THEO CUSTOMER-USD'!$H164,'01. KE30'!$A:$A,'06. BC BH THEO CUSTOMER-USD'!CF$4)/CT164/'02. Tỷ giá'!C$5," -")</f>
        <v>734.13910988578175</v>
      </c>
      <c r="CG164" s="95" t="str">
        <f>IFERROR(SUMIFS('01. KE30'!$R:$R,'01. KE30'!$C:$C,'06. BC BH THEO CUSTOMER-USD'!$D164,'01. KE30'!$F:$F,'06. BC BH THEO CUSTOMER-USD'!$H164,'01. KE30'!$A:$A,'06. BC BH THEO CUSTOMER-USD'!CG$4)/CU164/'02. Tỷ giá'!D$5," -")</f>
        <v xml:space="preserve"> -</v>
      </c>
      <c r="CH164" s="95" t="str">
        <f>IFERROR(SUMIFS('01. KE30'!$R:$R,'01. KE30'!$C:$C,'06. BC BH THEO CUSTOMER-USD'!$D164,'01. KE30'!$F:$F,'06. BC BH THEO CUSTOMER-USD'!$H164,'01. KE30'!$A:$A,'06. BC BH THEO CUSTOMER-USD'!CH$4)/CV164/'02. Tỷ giá'!E$5," -")</f>
        <v xml:space="preserve"> -</v>
      </c>
      <c r="CI164" s="95" t="str">
        <f>IFERROR(SUMIFS('01. KE30'!$R:$R,'01. KE30'!$C:$C,'06. BC BH THEO CUSTOMER-USD'!$D164,'01. KE30'!$F:$F,'06. BC BH THEO CUSTOMER-USD'!$H164,'01. KE30'!$A:$A,'06. BC BH THEO CUSTOMER-USD'!CI$4)/CW164/'02. Tỷ giá'!F$5," -")</f>
        <v xml:space="preserve"> -</v>
      </c>
      <c r="CJ164" s="95">
        <f>IFERROR(SUMIFS('01. KE30'!$R:$R,'01. KE30'!$C:$C,'06. BC BH THEO CUSTOMER-USD'!$D164,'01. KE30'!$F:$F,'06. BC BH THEO CUSTOMER-USD'!$H164,'01. KE30'!$A:$A,'06. BC BH THEO CUSTOMER-USD'!CJ$4)/CX164/'02. Tỷ giá'!G$5," -")</f>
        <v>719.12774971941644</v>
      </c>
      <c r="CK164" s="95">
        <f>IFERROR(SUMIFS('01. KE30'!$R:$R,'01. KE30'!$C:$C,'06. BC BH THEO CUSTOMER-USD'!$D164,'01. KE30'!$F:$F,'06. BC BH THEO CUSTOMER-USD'!$H164,'01. KE30'!$A:$A,'06. BC BH THEO CUSTOMER-USD'!CK$4)/CY164/'02. Tỷ giá'!H$5," -")</f>
        <v>716.58866343030775</v>
      </c>
      <c r="CL164" s="95" t="str">
        <f>IFERROR(SUMIFS('01. KE30'!$R:$R,'01. KE30'!$C:$C,'06. BC BH THEO CUSTOMER-USD'!$D164,'01. KE30'!$F:$F,'06. BC BH THEO CUSTOMER-USD'!$H164,'01. KE30'!$A:$A,'06. BC BH THEO CUSTOMER-USD'!CL$4)/CZ164/'02. Tỷ giá'!I$5," -")</f>
        <v xml:space="preserve"> -</v>
      </c>
      <c r="CM164" s="95" t="str">
        <f>IFERROR(SUMIFS('01. KE30'!$R:$R,'01. KE30'!$C:$C,'06. BC BH THEO CUSTOMER-USD'!$D164,'01. KE30'!$F:$F,'06. BC BH THEO CUSTOMER-USD'!$H164,'01. KE30'!$A:$A,'06. BC BH THEO CUSTOMER-USD'!CM$4)/DA164/'02. Tỷ giá'!J$5," -")</f>
        <v xml:space="preserve"> -</v>
      </c>
      <c r="CN164" s="95" t="str">
        <f>IFERROR(SUMIFS('01. KE30'!$R:$R,'01. KE30'!$C:$C,'06. BC BH THEO CUSTOMER-USD'!$D164,'01. KE30'!$F:$F,'06. BC BH THEO CUSTOMER-USD'!$H164,'01. KE30'!$A:$A,'06. BC BH THEO CUSTOMER-USD'!CN$4)/DB164/'02. Tỷ giá'!K$5," -")</f>
        <v xml:space="preserve"> -</v>
      </c>
      <c r="CO164" s="95" t="str">
        <f>IFERROR(SUMIFS('01. KE30'!$R:$R,'01. KE30'!$C:$C,'06. BC BH THEO CUSTOMER-USD'!$D164,'01. KE30'!$F:$F,'06. BC BH THEO CUSTOMER-USD'!$H164,'01. KE30'!$A:$A,'06. BC BH THEO CUSTOMER-USD'!CO$4)/DC164/'02. Tỷ giá'!L$5," -")</f>
        <v xml:space="preserve"> -</v>
      </c>
      <c r="CP164" s="95" t="str">
        <f>IFERROR(SUMIFS('01. KE30'!$R:$R,'01. KE30'!$C:$C,'06. BC BH THEO CUSTOMER-USD'!$D164,'01. KE30'!$F:$F,'06. BC BH THEO CUSTOMER-USD'!$H164,'01. KE30'!$A:$A,'06. BC BH THEO CUSTOMER-USD'!CP$4)/DD164/'02. Tỷ giá'!M$5," -")</f>
        <v xml:space="preserve"> -</v>
      </c>
      <c r="CR164" s="112">
        <f t="shared" ref="CR164:CR172" si="1754">SUM(CS164:DD164)</f>
        <v>3.75</v>
      </c>
      <c r="CS164" s="114">
        <f>SUMIFS('01. KE30'!$I:$I,'01. KE30'!$C:$C,'06. BC BH THEO CUSTOMER-USD'!$D164,'01. KE30'!$F:$F,'06. BC BH THEO CUSTOMER-USD'!$H164,'01. KE30'!$A:$A,'06. BC BH THEO CUSTOMER-USD'!CS$4)/1000</f>
        <v>0</v>
      </c>
      <c r="CT164" s="114">
        <f>SUMIFS('01. KE30'!$I:$I,'01. KE30'!$C:$C,'06. BC BH THEO CUSTOMER-USD'!$D164,'01. KE30'!$F:$F,'06. BC BH THEO CUSTOMER-USD'!$H164,'01. KE30'!$A:$A,'06. BC BH THEO CUSTOMER-USD'!CT$4)/1000</f>
        <v>1</v>
      </c>
      <c r="CU164" s="114">
        <f>SUMIFS('01. KE30'!$I:$I,'01. KE30'!$C:$C,'06. BC BH THEO CUSTOMER-USD'!$D164,'01. KE30'!$F:$F,'06. BC BH THEO CUSTOMER-USD'!$H164,'01. KE30'!$A:$A,'06. BC BH THEO CUSTOMER-USD'!CU$4)/1000</f>
        <v>0</v>
      </c>
      <c r="CV164" s="114">
        <f>SUMIFS('01. KE30'!$I:$I,'01. KE30'!$C:$C,'06. BC BH THEO CUSTOMER-USD'!$D164,'01. KE30'!$F:$F,'06. BC BH THEO CUSTOMER-USD'!$H164,'01. KE30'!$A:$A,'06. BC BH THEO CUSTOMER-USD'!CV$4)/1000</f>
        <v>0</v>
      </c>
      <c r="CW164" s="114">
        <f>SUMIFS('01. KE30'!$I:$I,'01. KE30'!$C:$C,'06. BC BH THEO CUSTOMER-USD'!$D164,'01. KE30'!$F:$F,'06. BC BH THEO CUSTOMER-USD'!$H164,'01. KE30'!$A:$A,'06. BC BH THEO CUSTOMER-USD'!CW$4)/1000</f>
        <v>0</v>
      </c>
      <c r="CX164" s="114">
        <f>SUMIFS('01. KE30'!$I:$I,'01. KE30'!$C:$C,'06. BC BH THEO CUSTOMER-USD'!$D164,'01. KE30'!$F:$F,'06. BC BH THEO CUSTOMER-USD'!$H164,'01. KE30'!$A:$A,'06. BC BH THEO CUSTOMER-USD'!CX$4)/1000</f>
        <v>1.375</v>
      </c>
      <c r="CY164" s="114">
        <f>SUMIFS('01. KE30'!$I:$I,'01. KE30'!$C:$C,'06. BC BH THEO CUSTOMER-USD'!$D164,'01. KE30'!$F:$F,'06. BC BH THEO CUSTOMER-USD'!$H164,'01. KE30'!$A:$A,'06. BC BH THEO CUSTOMER-USD'!CY$4)/1000</f>
        <v>1.375</v>
      </c>
      <c r="CZ164" s="114">
        <f>SUMIFS('01. KE30'!$I:$I,'01. KE30'!$C:$C,'06. BC BH THEO CUSTOMER-USD'!$D164,'01. KE30'!$F:$F,'06. BC BH THEO CUSTOMER-USD'!$H164,'01. KE30'!$A:$A,'06. BC BH THEO CUSTOMER-USD'!CZ$4)/1000</f>
        <v>0</v>
      </c>
      <c r="DA164" s="114">
        <f>SUMIFS('01. KE30'!$I:$I,'01. KE30'!$C:$C,'06. BC BH THEO CUSTOMER-USD'!$D164,'01. KE30'!$F:$F,'06. BC BH THEO CUSTOMER-USD'!$H164,'01. KE30'!$A:$A,'06. BC BH THEO CUSTOMER-USD'!DA$4)/1000</f>
        <v>0</v>
      </c>
      <c r="DB164" s="114">
        <f>SUMIFS('01. KE30'!$I:$I,'01. KE30'!$C:$C,'06. BC BH THEO CUSTOMER-USD'!$D164,'01. KE30'!$F:$F,'06. BC BH THEO CUSTOMER-USD'!$H164,'01. KE30'!$A:$A,'06. BC BH THEO CUSTOMER-USD'!DB$4)/1000</f>
        <v>0</v>
      </c>
      <c r="DC164" s="114">
        <f>SUMIFS('01. KE30'!$I:$I,'01. KE30'!$C:$C,'06. BC BH THEO CUSTOMER-USD'!$D164,'01. KE30'!$F:$F,'06. BC BH THEO CUSTOMER-USD'!$H164,'01. KE30'!$A:$A,'06. BC BH THEO CUSTOMER-USD'!DC$4)/1000</f>
        <v>0</v>
      </c>
      <c r="DD164" s="114">
        <f>SUMIFS('01. KE30'!$I:$I,'01. KE30'!$C:$C,'06. BC BH THEO CUSTOMER-USD'!$D164,'01. KE30'!$F:$F,'06. BC BH THEO CUSTOMER-USD'!$H164,'01. KE30'!$A:$A,'06. BC BH THEO CUSTOMER-USD'!DD$4)/1000</f>
        <v>0</v>
      </c>
      <c r="DF164" s="112">
        <f t="shared" si="1724"/>
        <v>2913.5978727534457</v>
      </c>
      <c r="DG164" s="54" t="str">
        <f t="shared" si="1725"/>
        <v>-</v>
      </c>
      <c r="DH164" s="54">
        <f t="shared" si="1726"/>
        <v>796.16778259157149</v>
      </c>
      <c r="DI164" s="54" t="str">
        <f t="shared" si="1727"/>
        <v>-</v>
      </c>
      <c r="DJ164" s="54" t="str">
        <f t="shared" si="1728"/>
        <v>-</v>
      </c>
      <c r="DK164" s="54" t="str">
        <f t="shared" si="1729"/>
        <v>-</v>
      </c>
      <c r="DL164" s="54">
        <f t="shared" si="1730"/>
        <v>1060.9567901234568</v>
      </c>
      <c r="DM164" s="54">
        <f t="shared" si="1731"/>
        <v>1056.4733000384172</v>
      </c>
      <c r="DN164" s="54" t="str">
        <f t="shared" si="1732"/>
        <v>-</v>
      </c>
      <c r="DO164" s="54" t="str">
        <f t="shared" si="1733"/>
        <v>-</v>
      </c>
      <c r="DP164" s="54" t="str">
        <f t="shared" si="1734"/>
        <v>-</v>
      </c>
      <c r="DQ164" s="54" t="str">
        <f t="shared" si="1735"/>
        <v>-</v>
      </c>
      <c r="DR164" s="54" t="str">
        <f t="shared" si="1736"/>
        <v>-</v>
      </c>
      <c r="DT164" s="112">
        <f t="shared" si="652"/>
        <v>205.34869478679309</v>
      </c>
      <c r="DU164" s="114">
        <f>IFERROR(SUMIFS('01. KE30'!$X:$X,'01. KE30'!$C:$C,'06. BC BH THEO CUSTOMER-USD'!$D164,'01. KE30'!$F:$F,'06. BC BH THEO CUSTOMER-USD'!$H164,'01. KE30'!$A:$A,'06. BC BH THEO CUSTOMER-USD'!DU$4)-SUMIFS('01. KE30'!$AA:$AA,'01. KE30'!$C:$C,'06. BC BH THEO CUSTOMER-USD'!$D164,'01. KE30'!$F:$F,'06. BC BH THEO CUSTOMER-USD'!$H164,'01. KE30'!$A:$A,'06. BC BH THEO CUSTOMER-USD'!DU$4),"-")</f>
        <v>0</v>
      </c>
      <c r="DV164" s="114">
        <f>IFERROR(SUMIFS('01. KE30'!$X:$X,'01. KE30'!$C:$C,'06. BC BH THEO CUSTOMER-USD'!$D164,'01. KE30'!$F:$F,'06. BC BH THEO CUSTOMER-USD'!$H164,'01. KE30'!$A:$A,'06. BC BH THEO CUSTOMER-USD'!DV$4)-SUMIFS('01. KE30'!$AA:$AA,'01. KE30'!$C:$C,'06. BC BH THEO CUSTOMER-USD'!$D164,'01. KE30'!$F:$F,'06. BC BH THEO CUSTOMER-USD'!$H164,'01. KE30'!$A:$A,'06. BC BH THEO CUSTOMER-USD'!DV$4),"-")</f>
        <v>62.028672705789745</v>
      </c>
      <c r="DW164" s="114">
        <f>IFERROR(SUMIFS('01. KE30'!$X:$X,'01. KE30'!$C:$C,'06. BC BH THEO CUSTOMER-USD'!$D164,'01. KE30'!$F:$F,'06. BC BH THEO CUSTOMER-USD'!$H164,'01. KE30'!$A:$A,'06. BC BH THEO CUSTOMER-USD'!DW$4)-SUMIFS('01. KE30'!$AA:$AA,'01. KE30'!$C:$C,'06. BC BH THEO CUSTOMER-USD'!$D164,'01. KE30'!$F:$F,'06. BC BH THEO CUSTOMER-USD'!$H164,'01. KE30'!$A:$A,'06. BC BH THEO CUSTOMER-USD'!DW$4),"-")</f>
        <v>0</v>
      </c>
      <c r="DX164" s="114">
        <f>IFERROR(SUMIFS('01. KE30'!$X:$X,'01. KE30'!$C:$C,'06. BC BH THEO CUSTOMER-USD'!$D164,'01. KE30'!$F:$F,'06. BC BH THEO CUSTOMER-USD'!$H164,'01. KE30'!$A:$A,'06. BC BH THEO CUSTOMER-USD'!DX$4)-SUMIFS('01. KE30'!$AA:$AA,'01. KE30'!$C:$C,'06. BC BH THEO CUSTOMER-USD'!$D164,'01. KE30'!$F:$F,'06. BC BH THEO CUSTOMER-USD'!$H164,'01. KE30'!$A:$A,'06. BC BH THEO CUSTOMER-USD'!DX$4),"-")</f>
        <v>0</v>
      </c>
      <c r="DY164" s="114">
        <f>IFERROR(SUMIFS('01. KE30'!$X:$X,'01. KE30'!$C:$C,'06. BC BH THEO CUSTOMER-USD'!$D164,'01. KE30'!$F:$F,'06. BC BH THEO CUSTOMER-USD'!$H164,'01. KE30'!$A:$A,'06. BC BH THEO CUSTOMER-USD'!DY$4)-SUMIFS('01. KE30'!$AA:$AA,'01. KE30'!$C:$C,'06. BC BH THEO CUSTOMER-USD'!$D164,'01. KE30'!$F:$F,'06. BC BH THEO CUSTOMER-USD'!$H164,'01. KE30'!$A:$A,'06. BC BH THEO CUSTOMER-USD'!DY$4),"-")</f>
        <v>0</v>
      </c>
      <c r="DZ164" s="114">
        <f>IFERROR(SUMIFS('01. KE30'!$X:$X,'01. KE30'!$C:$C,'06. BC BH THEO CUSTOMER-USD'!$D164,'01. KE30'!$F:$F,'06. BC BH THEO CUSTOMER-USD'!$H164,'01. KE30'!$A:$A,'06. BC BH THEO CUSTOMER-USD'!DZ$4)-SUMIFS('01. KE30'!$AA:$AA,'01. KE30'!$C:$C,'06. BC BH THEO CUSTOMER-USD'!$D164,'01. KE30'!$F:$F,'06. BC BH THEO CUSTOMER-USD'!$H164,'01. KE30'!$A:$A,'06. BC BH THEO CUSTOMER-USD'!DZ$4),"-")</f>
        <v>72.156134259259261</v>
      </c>
      <c r="EA164" s="114">
        <f>IFERROR(SUMIFS('01. KE30'!$X:$X,'01. KE30'!$C:$C,'06. BC BH THEO CUSTOMER-USD'!$D164,'01. KE30'!$F:$F,'06. BC BH THEO CUSTOMER-USD'!$H164,'01. KE30'!$A:$A,'06. BC BH THEO CUSTOMER-USD'!EA$4)-SUMIFS('01. KE30'!$AA:$AA,'01. KE30'!$C:$C,'06. BC BH THEO CUSTOMER-USD'!$D164,'01. KE30'!$F:$F,'06. BC BH THEO CUSTOMER-USD'!$H164,'01. KE30'!$A:$A,'06. BC BH THEO CUSTOMER-USD'!EA$4),"-")</f>
        <v>71.163887821744083</v>
      </c>
      <c r="EB164" s="114">
        <f>IFERROR(SUMIFS('01. KE30'!$X:$X,'01. KE30'!$C:$C,'06. BC BH THEO CUSTOMER-USD'!$D164,'01. KE30'!$F:$F,'06. BC BH THEO CUSTOMER-USD'!$H164,'01. KE30'!$A:$A,'06. BC BH THEO CUSTOMER-USD'!EB$4)-SUMIFS('01. KE30'!$AA:$AA,'01. KE30'!$C:$C,'06. BC BH THEO CUSTOMER-USD'!$D164,'01. KE30'!$F:$F,'06. BC BH THEO CUSTOMER-USD'!$H164,'01. KE30'!$A:$A,'06. BC BH THEO CUSTOMER-USD'!EB$4),"-")</f>
        <v>0</v>
      </c>
      <c r="EC164" s="114">
        <f>IFERROR(SUMIFS('01. KE30'!$X:$X,'01. KE30'!$C:$C,'06. BC BH THEO CUSTOMER-USD'!$D164,'01. KE30'!$F:$F,'06. BC BH THEO CUSTOMER-USD'!$H164,'01. KE30'!$A:$A,'06. BC BH THEO CUSTOMER-USD'!EC$4)-SUMIFS('01. KE30'!$AA:$AA,'01. KE30'!$C:$C,'06. BC BH THEO CUSTOMER-USD'!$D164,'01. KE30'!$F:$F,'06. BC BH THEO CUSTOMER-USD'!$H164,'01. KE30'!$A:$A,'06. BC BH THEO CUSTOMER-USD'!EC$4),"-")</f>
        <v>0</v>
      </c>
      <c r="ED164" s="114">
        <f>IFERROR(SUMIFS('01. KE30'!$X:$X,'01. KE30'!$C:$C,'06. BC BH THEO CUSTOMER-USD'!$D164,'01. KE30'!$F:$F,'06. BC BH THEO CUSTOMER-USD'!$H164,'01. KE30'!$A:$A,'06. BC BH THEO CUSTOMER-USD'!ED$4)-SUMIFS('01. KE30'!$AA:$AA,'01. KE30'!$C:$C,'06. BC BH THEO CUSTOMER-USD'!$D164,'01. KE30'!$F:$F,'06. BC BH THEO CUSTOMER-USD'!$H164,'01. KE30'!$A:$A,'06. BC BH THEO CUSTOMER-USD'!ED$4),"-")</f>
        <v>0</v>
      </c>
      <c r="EE164" s="114">
        <f>IFERROR(SUMIFS('01. KE30'!$X:$X,'01. KE30'!$C:$C,'06. BC BH THEO CUSTOMER-USD'!$D164,'01. KE30'!$F:$F,'06. BC BH THEO CUSTOMER-USD'!$H164,'01. KE30'!$A:$A,'06. BC BH THEO CUSTOMER-USD'!EE$4)-SUMIFS('01. KE30'!$AA:$AA,'01. KE30'!$C:$C,'06. BC BH THEO CUSTOMER-USD'!$D164,'01. KE30'!$F:$F,'06. BC BH THEO CUSTOMER-USD'!$H164,'01. KE30'!$A:$A,'06. BC BH THEO CUSTOMER-USD'!EE$4),"-")</f>
        <v>0</v>
      </c>
      <c r="EF164" s="114">
        <f>IFERROR(SUMIFS('01. KE30'!$X:$X,'01. KE30'!$C:$C,'06. BC BH THEO CUSTOMER-USD'!$D164,'01. KE30'!$F:$F,'06. BC BH THEO CUSTOMER-USD'!$H164,'01. KE30'!$A:$A,'06. BC BH THEO CUSTOMER-USD'!EF$4)-SUMIFS('01. KE30'!$AA:$AA,'01. KE30'!$C:$C,'06. BC BH THEO CUSTOMER-USD'!$D164,'01. KE30'!$F:$F,'06. BC BH THEO CUSTOMER-USD'!$H164,'01. KE30'!$A:$A,'06. BC BH THEO CUSTOMER-USD'!EF$4),"-")</f>
        <v>0</v>
      </c>
      <c r="EH164" s="571">
        <f t="shared" si="1737"/>
        <v>7.047942226589142E-2</v>
      </c>
      <c r="EI164" s="572" t="str">
        <f t="shared" si="1738"/>
        <v>-</v>
      </c>
      <c r="EJ164" s="572">
        <f t="shared" si="1739"/>
        <v>7.7909046387035261E-2</v>
      </c>
      <c r="EK164" s="572" t="str">
        <f t="shared" si="1740"/>
        <v>-</v>
      </c>
      <c r="EL164" s="572" t="str">
        <f t="shared" si="1741"/>
        <v>-</v>
      </c>
      <c r="EM164" s="572" t="str">
        <f t="shared" si="1742"/>
        <v>-</v>
      </c>
      <c r="EN164" s="572">
        <f t="shared" si="1743"/>
        <v>6.8010436363636365E-2</v>
      </c>
      <c r="EO164" s="572">
        <f t="shared" si="1744"/>
        <v>6.7359854545454498E-2</v>
      </c>
      <c r="EP164" s="572" t="str">
        <f t="shared" si="1745"/>
        <v>-</v>
      </c>
      <c r="EQ164" s="572" t="str">
        <f t="shared" si="1746"/>
        <v>-</v>
      </c>
      <c r="ER164" s="572" t="str">
        <f t="shared" si="1747"/>
        <v>-</v>
      </c>
      <c r="ES164" s="572" t="str">
        <f t="shared" si="1748"/>
        <v>-</v>
      </c>
      <c r="ET164" s="572" t="str">
        <f t="shared" si="1749"/>
        <v>-</v>
      </c>
    </row>
    <row r="165" spans="1:150" ht="15.5" hidden="1" outlineLevel="1" x14ac:dyDescent="0.35">
      <c r="A165" s="10">
        <f>A163+1</f>
        <v>7</v>
      </c>
      <c r="B165" s="10" t="s">
        <v>266</v>
      </c>
      <c r="C165" s="497" t="s">
        <v>29</v>
      </c>
      <c r="D165" s="9">
        <v>1000</v>
      </c>
      <c r="E165" s="8" t="s">
        <v>29</v>
      </c>
      <c r="F165" s="12" t="s">
        <v>245</v>
      </c>
      <c r="G165" s="12" t="str">
        <f>_xlfn.XLOOKUP(F165,'Quy đổi'!$G$5:$G$32,'Quy đổi'!$H$5:$H$32,0)</f>
        <v>Nội địa</v>
      </c>
      <c r="H165" s="80" t="s">
        <v>204</v>
      </c>
      <c r="I165" s="7" t="s">
        <v>205</v>
      </c>
      <c r="J165" s="69" t="s">
        <v>22</v>
      </c>
      <c r="K165" s="5"/>
      <c r="L165" s="92">
        <f t="shared" ref="L165" si="1755">IFERROR(AVERAGE(M165:X165),"-")</f>
        <v>768.34421820975797</v>
      </c>
      <c r="M165" s="106" t="str">
        <f>IFERROR(SUMIFS('01. KE30'!$K:$K,'01. KE30'!$C:$C,'06. BC BH THEO CUSTOMER-USD'!$D165,'01. KE30'!$F:$F,'06. BC BH THEO CUSTOMER-USD'!$H165,'01. KE30'!$A:$A,'06. BC BH THEO CUSTOMER-USD'!M$4)/'06. BC BH THEO CUSTOMER-USD'!CS165/'02. Tỷ giá'!B$5,"-")</f>
        <v>-</v>
      </c>
      <c r="N165" s="106" t="str">
        <f>IFERROR(SUMIFS('01. KE30'!$K:$K,'01. KE30'!$C:$C,'06. BC BH THEO CUSTOMER-USD'!$D165,'01. KE30'!$F:$F,'06. BC BH THEO CUSTOMER-USD'!$H165,'01. KE30'!$A:$A,'06. BC BH THEO CUSTOMER-USD'!N$4)/'06. BC BH THEO CUSTOMER-USD'!CT165/'02. Tỷ giá'!C$5,"-")</f>
        <v>-</v>
      </c>
      <c r="O165" s="106" t="str">
        <f>IFERROR(SUMIFS('01. KE30'!$K:$K,'01. KE30'!$C:$C,'06. BC BH THEO CUSTOMER-USD'!$D165,'01. KE30'!$F:$F,'06. BC BH THEO CUSTOMER-USD'!$H165,'01. KE30'!$A:$A,'06. BC BH THEO CUSTOMER-USD'!O$4)/'06. BC BH THEO CUSTOMER-USD'!CU165/'02. Tỷ giá'!D$5,"-")</f>
        <v>-</v>
      </c>
      <c r="P165" s="106" t="str">
        <f>IFERROR(SUMIFS('01. KE30'!$K:$K,'01. KE30'!$C:$C,'06. BC BH THEO CUSTOMER-USD'!$D165,'01. KE30'!$F:$F,'06. BC BH THEO CUSTOMER-USD'!$H165,'01. KE30'!$A:$A,'06. BC BH THEO CUSTOMER-USD'!P$4)/'06. BC BH THEO CUSTOMER-USD'!CV165/'02. Tỷ giá'!E$5,"-")</f>
        <v>-</v>
      </c>
      <c r="Q165" s="106" t="str">
        <f>IFERROR(SUMIFS('01. KE30'!$K:$K,'01. KE30'!$C:$C,'06. BC BH THEO CUSTOMER-USD'!$D165,'01. KE30'!$F:$F,'06. BC BH THEO CUSTOMER-USD'!$H165,'01. KE30'!$A:$A,'06. BC BH THEO CUSTOMER-USD'!Q$4)/'06. BC BH THEO CUSTOMER-USD'!CW165/'02. Tỷ giá'!F$5,"-")</f>
        <v>-</v>
      </c>
      <c r="R165" s="106" t="str">
        <f>IFERROR(SUMIFS('01. KE30'!$K:$K,'01. KE30'!$C:$C,'06. BC BH THEO CUSTOMER-USD'!$D165,'01. KE30'!$F:$F,'06. BC BH THEO CUSTOMER-USD'!$H165,'01. KE30'!$A:$A,'06. BC BH THEO CUSTOMER-USD'!R$4)/'06. BC BH THEO CUSTOMER-USD'!CX165/'02. Tỷ giá'!G$5,"-")</f>
        <v>-</v>
      </c>
      <c r="S165" s="106">
        <f>IFERROR(SUMIFS('01. KE30'!$K:$K,'01. KE30'!$C:$C,'06. BC BH THEO CUSTOMER-USD'!$D165,'01. KE30'!$F:$F,'06. BC BH THEO CUSTOMER-USD'!$H165,'01. KE30'!$A:$A,'06. BC BH THEO CUSTOMER-USD'!S$4)/'06. BC BH THEO CUSTOMER-USD'!CY165/'02. Tỷ giá'!H$5,"-")</f>
        <v>768.34421820975797</v>
      </c>
      <c r="T165" s="106" t="str">
        <f>IFERROR(SUMIFS('01. KE30'!$K:$K,'01. KE30'!$C:$C,'06. BC BH THEO CUSTOMER-USD'!$D165,'01. KE30'!$F:$F,'06. BC BH THEO CUSTOMER-USD'!$H165,'01. KE30'!$A:$A,'06. BC BH THEO CUSTOMER-USD'!T$4)/'06. BC BH THEO CUSTOMER-USD'!CZ165/'02. Tỷ giá'!I$5,"-")</f>
        <v>-</v>
      </c>
      <c r="U165" s="106" t="str">
        <f>IFERROR(SUMIFS('01. KE30'!$K:$K,'01. KE30'!$C:$C,'06. BC BH THEO CUSTOMER-USD'!$D165,'01. KE30'!$F:$F,'06. BC BH THEO CUSTOMER-USD'!$H165,'01. KE30'!$A:$A,'06. BC BH THEO CUSTOMER-USD'!U$4)/'06. BC BH THEO CUSTOMER-USD'!DA165/'02. Tỷ giá'!J$5,"-")</f>
        <v>-</v>
      </c>
      <c r="V165" s="106" t="str">
        <f>IFERROR(SUMIFS('01. KE30'!$K:$K,'01. KE30'!$C:$C,'06. BC BH THEO CUSTOMER-USD'!$D165,'01. KE30'!$F:$F,'06. BC BH THEO CUSTOMER-USD'!$H165,'01. KE30'!$A:$A,'06. BC BH THEO CUSTOMER-USD'!V$4)/'06. BC BH THEO CUSTOMER-USD'!DB165/'02. Tỷ giá'!K$5,"-")</f>
        <v>-</v>
      </c>
      <c r="W165" s="106" t="str">
        <f>IFERROR(SUMIFS('01. KE30'!$K:$K,'01. KE30'!$C:$C,'06. BC BH THEO CUSTOMER-USD'!$D165,'01. KE30'!$F:$F,'06. BC BH THEO CUSTOMER-USD'!$H165,'01. KE30'!$A:$A,'06. BC BH THEO CUSTOMER-USD'!W$4)/'06. BC BH THEO CUSTOMER-USD'!DC165/'02. Tỷ giá'!L$5,"-")</f>
        <v>-</v>
      </c>
      <c r="X165" s="106" t="str">
        <f>IFERROR(SUMIFS('01. KE30'!$K:$K,'01. KE30'!$C:$C,'06. BC BH THEO CUSTOMER-USD'!$D165,'01. KE30'!$F:$F,'06. BC BH THEO CUSTOMER-USD'!$H165,'01. KE30'!$A:$A,'06. BC BH THEO CUSTOMER-USD'!X$4)/'06. BC BH THEO CUSTOMER-USD'!DD165/'02. Tỷ giá'!M$5,"-")</f>
        <v>-</v>
      </c>
      <c r="Z165" s="92">
        <f t="shared" ref="Z165" si="1756">IFERROR(AVERAGE(AA165:AL165),"-")</f>
        <v>768.34421820975797</v>
      </c>
      <c r="AA165" s="147" t="str">
        <f>IFERROR(SUMIFS('01. KE30'!$O:$O,'01. KE30'!$C:$C,'06. BC BH THEO CUSTOMER-USD'!$D165,'01. KE30'!$F:$F,'06. BC BH THEO CUSTOMER-USD'!$H165,'01. KE30'!$A:$A,'06. BC BH THEO CUSTOMER-USD'!M$4)/'06. BC BH THEO CUSTOMER-USD'!CS165/'02. Tỷ giá'!B$5,"-")</f>
        <v>-</v>
      </c>
      <c r="AB165" s="147" t="str">
        <f>IFERROR(SUMIFS('01. KE30'!$O:$O,'01. KE30'!$C:$C,'06. BC BH THEO CUSTOMER-USD'!$D165,'01. KE30'!$F:$F,'06. BC BH THEO CUSTOMER-USD'!$H165,'01. KE30'!$A:$A,'06. BC BH THEO CUSTOMER-USD'!N$4)/'06. BC BH THEO CUSTOMER-USD'!CT165/'02. Tỷ giá'!C$5,"-")</f>
        <v>-</v>
      </c>
      <c r="AC165" s="147" t="str">
        <f>IFERROR(SUMIFS('01. KE30'!$O:$O,'01. KE30'!$C:$C,'06. BC BH THEO CUSTOMER-USD'!$D165,'01. KE30'!$F:$F,'06. BC BH THEO CUSTOMER-USD'!$H165,'01. KE30'!$A:$A,'06. BC BH THEO CUSTOMER-USD'!O$4)/'06. BC BH THEO CUSTOMER-USD'!CU165/'02. Tỷ giá'!D$5,"-")</f>
        <v>-</v>
      </c>
      <c r="AD165" s="147" t="str">
        <f>IFERROR(SUMIFS('01. KE30'!$O:$O,'01. KE30'!$C:$C,'06. BC BH THEO CUSTOMER-USD'!$D165,'01. KE30'!$F:$F,'06. BC BH THEO CUSTOMER-USD'!$H165,'01. KE30'!$A:$A,'06. BC BH THEO CUSTOMER-USD'!P$4)/'06. BC BH THEO CUSTOMER-USD'!CV165/'02. Tỷ giá'!E$5,"-")</f>
        <v>-</v>
      </c>
      <c r="AE165" s="147" t="str">
        <f>IFERROR(SUMIFS('01. KE30'!$O:$O,'01. KE30'!$C:$C,'06. BC BH THEO CUSTOMER-USD'!$D165,'01. KE30'!$F:$F,'06. BC BH THEO CUSTOMER-USD'!$H165,'01. KE30'!$A:$A,'06. BC BH THEO CUSTOMER-USD'!Q$4)/'06. BC BH THEO CUSTOMER-USD'!CW165/'02. Tỷ giá'!F$5,"-")</f>
        <v>-</v>
      </c>
      <c r="AF165" s="147" t="str">
        <f>IFERROR(SUMIFS('01. KE30'!$O:$O,'01. KE30'!$C:$C,'06. BC BH THEO CUSTOMER-USD'!$D165,'01. KE30'!$F:$F,'06. BC BH THEO CUSTOMER-USD'!$H165,'01. KE30'!$A:$A,'06. BC BH THEO CUSTOMER-USD'!R$4)/'06. BC BH THEO CUSTOMER-USD'!CX165/'02. Tỷ giá'!G$5,"-")</f>
        <v>-</v>
      </c>
      <c r="AG165" s="147">
        <f>IFERROR(SUMIFS('01. KE30'!$O:$O,'01. KE30'!$C:$C,'06. BC BH THEO CUSTOMER-USD'!$D165,'01. KE30'!$F:$F,'06. BC BH THEO CUSTOMER-USD'!$H165,'01. KE30'!$A:$A,'06. BC BH THEO CUSTOMER-USD'!S$4)/'06. BC BH THEO CUSTOMER-USD'!CY165/'02. Tỷ giá'!H$5,"-")</f>
        <v>768.34421820975797</v>
      </c>
      <c r="AH165" s="147" t="str">
        <f>IFERROR(SUMIFS('01. KE30'!$O:$O,'01. KE30'!$C:$C,'06. BC BH THEO CUSTOMER-USD'!$D165,'01. KE30'!$F:$F,'06. BC BH THEO CUSTOMER-USD'!$H165,'01. KE30'!$A:$A,'06. BC BH THEO CUSTOMER-USD'!T$4)/'06. BC BH THEO CUSTOMER-USD'!CZ165/'02. Tỷ giá'!I$5,"-")</f>
        <v>-</v>
      </c>
      <c r="AI165" s="147" t="str">
        <f>IFERROR(SUMIFS('01. KE30'!$O:$O,'01. KE30'!$C:$C,'06. BC BH THEO CUSTOMER-USD'!$D165,'01. KE30'!$F:$F,'06. BC BH THEO CUSTOMER-USD'!$H165,'01. KE30'!$A:$A,'06. BC BH THEO CUSTOMER-USD'!U$4)/'06. BC BH THEO CUSTOMER-USD'!DA165/'02. Tỷ giá'!J$5,"-")</f>
        <v>-</v>
      </c>
      <c r="AJ165" s="147" t="str">
        <f>IFERROR(SUMIFS('01. KE30'!$O:$O,'01. KE30'!$C:$C,'06. BC BH THEO CUSTOMER-USD'!$D165,'01. KE30'!$F:$F,'06. BC BH THEO CUSTOMER-USD'!$H165,'01. KE30'!$A:$A,'06. BC BH THEO CUSTOMER-USD'!V$4)/'06. BC BH THEO CUSTOMER-USD'!DB165/'02. Tỷ giá'!K$5,"-")</f>
        <v>-</v>
      </c>
      <c r="AK165" s="147" t="str">
        <f>IFERROR(SUMIFS('01. KE30'!$O:$O,'01. KE30'!$C:$C,'06. BC BH THEO CUSTOMER-USD'!$D165,'01. KE30'!$F:$F,'06. BC BH THEO CUSTOMER-USD'!$H165,'01. KE30'!$A:$A,'06. BC BH THEO CUSTOMER-USD'!W$4)/'06. BC BH THEO CUSTOMER-USD'!DC165/'02. Tỷ giá'!L$5,"-")</f>
        <v>-</v>
      </c>
      <c r="AL165" s="147" t="str">
        <f>IFERROR(SUMIFS('01. KE30'!$O:$O,'01. KE30'!$C:$C,'06. BC BH THEO CUSTOMER-USD'!$D165,'01. KE30'!$F:$F,'06. BC BH THEO CUSTOMER-USD'!$H165,'01. KE30'!$A:$A,'06. BC BH THEO CUSTOMER-USD'!X$4)/'06. BC BH THEO CUSTOMER-USD'!DD165/'02. Tỷ giá'!M$5,"-")</f>
        <v>-</v>
      </c>
      <c r="AN165" s="55">
        <f t="shared" ref="AN165" si="1757">IFERROR(AVERAGE(AO165:AZ165),"-")</f>
        <v>790</v>
      </c>
      <c r="AO165" s="4">
        <v>870</v>
      </c>
      <c r="AP165" s="4">
        <v>800</v>
      </c>
      <c r="AQ165" s="4">
        <v>805</v>
      </c>
      <c r="AR165" s="4">
        <v>805</v>
      </c>
      <c r="AS165" s="4">
        <v>765</v>
      </c>
      <c r="AT165" s="4">
        <v>765</v>
      </c>
      <c r="AU165" s="4">
        <v>780</v>
      </c>
      <c r="AV165" s="4">
        <f t="shared" si="1272"/>
        <v>760</v>
      </c>
      <c r="AW165" s="4">
        <v>760</v>
      </c>
      <c r="AX165" s="4"/>
      <c r="AY165" s="4"/>
      <c r="AZ165" s="4"/>
      <c r="BB165" s="54">
        <f t="shared" ref="BB165" si="1758">IF(L165&lt;&gt;"-",Z165-AN165,"-")</f>
        <v>-21.655781790242031</v>
      </c>
      <c r="BC165" s="95" t="str">
        <f t="shared" ref="BC165" si="1759">IF(M165&lt;&gt;"-",AA165-AO165,"-")</f>
        <v>-</v>
      </c>
      <c r="BD165" s="95" t="str">
        <f t="shared" ref="BD165" si="1760">IF(N165&lt;&gt;"-",AB165-AP165,"-")</f>
        <v>-</v>
      </c>
      <c r="BE165" s="95" t="str">
        <f t="shared" ref="BE165" si="1761">IF(O165&lt;&gt;"-",AC165-AQ165,"-")</f>
        <v>-</v>
      </c>
      <c r="BF165" s="95" t="str">
        <f t="shared" ref="BF165" si="1762">IF(P165&lt;&gt;"-",AD165-AR165,"-")</f>
        <v>-</v>
      </c>
      <c r="BG165" s="95" t="str">
        <f t="shared" ref="BG165" si="1763">IF(Q165&lt;&gt;"-",AE165-AS165,"-")</f>
        <v>-</v>
      </c>
      <c r="BH165" s="95" t="str">
        <f t="shared" ref="BH165" si="1764">IF(R165&lt;&gt;"-",AF165-AT165,"-")</f>
        <v>-</v>
      </c>
      <c r="BI165" s="95">
        <f t="shared" ref="BI165" si="1765">IF(S165&lt;&gt;"-",AG165-AU165,"-")</f>
        <v>-11.655781790242031</v>
      </c>
      <c r="BJ165" s="95" t="str">
        <f t="shared" ref="BJ165" si="1766">IF(T165&lt;&gt;"-",AH165-AV165,"-")</f>
        <v>-</v>
      </c>
      <c r="BK165" s="95" t="str">
        <f t="shared" ref="BK165" si="1767">IF(U165&lt;&gt;"-",AI165-AW165,"-")</f>
        <v>-</v>
      </c>
      <c r="BL165" s="95" t="str">
        <f t="shared" ref="BL165" si="1768">IF(V165&lt;&gt;"-",AJ165-AX165,"-")</f>
        <v>-</v>
      </c>
      <c r="BM165" s="95" t="str">
        <f t="shared" ref="BM165" si="1769">IF(W165&lt;&gt;"-",AK165-AY165,"-")</f>
        <v>-</v>
      </c>
      <c r="BN165" s="95" t="str">
        <f t="shared" ref="BN165" si="1770">IF(X165&lt;&gt;"-",AL165-AZ165,"-")</f>
        <v>-</v>
      </c>
      <c r="BP165" s="143">
        <f t="shared" ref="BP165" si="1771">IFERROR(IF(BB165&lt;&gt;"-",BB165/AN165,"-"),"-")</f>
        <v>-2.7412382012964597E-2</v>
      </c>
      <c r="BQ165" s="143" t="str">
        <f t="shared" ref="BQ165" si="1772">IFERROR(IF(BC165&lt;&gt;"-",BC165/AO165,"-"),"-")</f>
        <v>-</v>
      </c>
      <c r="BR165" s="143" t="str">
        <f t="shared" ref="BR165" si="1773">IFERROR(IF(BD165&lt;&gt;"-",BD165/AP165,"-"),"-")</f>
        <v>-</v>
      </c>
      <c r="BS165" s="143" t="str">
        <f t="shared" ref="BS165" si="1774">IFERROR(IF(BE165&lt;&gt;"-",BE165/AQ165,"-"),"-")</f>
        <v>-</v>
      </c>
      <c r="BT165" s="143" t="str">
        <f t="shared" ref="BT165" si="1775">IFERROR(IF(BF165&lt;&gt;"-",BF165/AR165,"-"),"-")</f>
        <v>-</v>
      </c>
      <c r="BU165" s="143" t="str">
        <f t="shared" ref="BU165" si="1776">IFERROR(IF(BG165&lt;&gt;"-",BG165/AS165,"-"),"-")</f>
        <v>-</v>
      </c>
      <c r="BV165" s="143" t="str">
        <f t="shared" ref="BV165" si="1777">IFERROR(IF(BH165&lt;&gt;"-",BH165/AT165,"-"),"-")</f>
        <v>-</v>
      </c>
      <c r="BW165" s="143">
        <f t="shared" ref="BW165" si="1778">IFERROR(IF(BI165&lt;&gt;"-",BI165/AU165,"-"),"-")</f>
        <v>-1.4943309987489783E-2</v>
      </c>
      <c r="BX165" s="143" t="str">
        <f t="shared" ref="BX165" si="1779">IFERROR(IF(BJ165&lt;&gt;"-",BJ165/AV165,"-"),"-")</f>
        <v>-</v>
      </c>
      <c r="BY165" s="143" t="str">
        <f t="shared" ref="BY165" si="1780">IFERROR(IF(BK165&lt;&gt;"-",BK165/AW165,"-"),"-")</f>
        <v>-</v>
      </c>
      <c r="BZ165" s="143" t="str">
        <f t="shared" ref="BZ165" si="1781">IFERROR(IF(BL165&lt;&gt;"-",BL165/AX165,"-"),"-")</f>
        <v>-</v>
      </c>
      <c r="CA165" s="143" t="str">
        <f t="shared" ref="CA165" si="1782">IFERROR(IF(BM165&lt;&gt;"-",BM165/AY165,"-"),"-")</f>
        <v>-</v>
      </c>
      <c r="CB165" s="143" t="str">
        <f t="shared" ref="CB165" si="1783">IFERROR(IF(BN165&lt;&gt;"-",BN165/AZ165,"-"),"-")</f>
        <v>-</v>
      </c>
      <c r="CD165" s="112">
        <f t="shared" ref="CD165" si="1784">IFERROR(AVERAGE(CE165:CP165),"-")</f>
        <v>1062.9810079279152</v>
      </c>
      <c r="CE165" s="95" t="str">
        <f>IFERROR(SUMIFS('01. KE30'!$R:$R,'01. KE30'!$C:$C,'06. BC BH THEO CUSTOMER-USD'!$D165,'01. KE30'!$F:$F,'06. BC BH THEO CUSTOMER-USD'!$H165,'01. KE30'!$A:$A,'06. BC BH THEO CUSTOMER-USD'!CE$4)/CS165/'02. Tỷ giá'!B$5," -")</f>
        <v xml:space="preserve"> -</v>
      </c>
      <c r="CF165" s="95" t="str">
        <f>IFERROR(SUMIFS('01. KE30'!$R:$R,'01. KE30'!$C:$C,'06. BC BH THEO CUSTOMER-USD'!$D165,'01. KE30'!$F:$F,'06. BC BH THEO CUSTOMER-USD'!$H165,'01. KE30'!$A:$A,'06. BC BH THEO CUSTOMER-USD'!CF$4)/CT165/'02. Tỷ giá'!C$5," -")</f>
        <v xml:space="preserve"> -</v>
      </c>
      <c r="CG165" s="95" t="str">
        <f>IFERROR(SUMIFS('01. KE30'!$R:$R,'01. KE30'!$C:$C,'06. BC BH THEO CUSTOMER-USD'!$D165,'01. KE30'!$F:$F,'06. BC BH THEO CUSTOMER-USD'!$H165,'01. KE30'!$A:$A,'06. BC BH THEO CUSTOMER-USD'!CG$4)/CU165/'02. Tỷ giá'!D$5," -")</f>
        <v xml:space="preserve"> -</v>
      </c>
      <c r="CH165" s="95" t="str">
        <f>IFERROR(SUMIFS('01. KE30'!$R:$R,'01. KE30'!$C:$C,'06. BC BH THEO CUSTOMER-USD'!$D165,'01. KE30'!$F:$F,'06. BC BH THEO CUSTOMER-USD'!$H165,'01. KE30'!$A:$A,'06. BC BH THEO CUSTOMER-USD'!CH$4)/CV165/'02. Tỷ giá'!E$5," -")</f>
        <v xml:space="preserve"> -</v>
      </c>
      <c r="CI165" s="95" t="str">
        <f>IFERROR(SUMIFS('01. KE30'!$R:$R,'01. KE30'!$C:$C,'06. BC BH THEO CUSTOMER-USD'!$D165,'01. KE30'!$F:$F,'06. BC BH THEO CUSTOMER-USD'!$H165,'01. KE30'!$A:$A,'06. BC BH THEO CUSTOMER-USD'!CI$4)/CW165/'02. Tỷ giá'!F$5," -")</f>
        <v xml:space="preserve"> -</v>
      </c>
      <c r="CJ165" s="95" t="str">
        <f>IFERROR(SUMIFS('01. KE30'!$R:$R,'01. KE30'!$C:$C,'06. BC BH THEO CUSTOMER-USD'!$D165,'01. KE30'!$F:$F,'06. BC BH THEO CUSTOMER-USD'!$H165,'01. KE30'!$A:$A,'06. BC BH THEO CUSTOMER-USD'!CJ$4)/CX165/'02. Tỷ giá'!G$5," -")</f>
        <v xml:space="preserve"> -</v>
      </c>
      <c r="CK165" s="95">
        <f>IFERROR(SUMIFS('01. KE30'!$R:$R,'01. KE30'!$C:$C,'06. BC BH THEO CUSTOMER-USD'!$D165,'01. KE30'!$F:$F,'06. BC BH THEO CUSTOMER-USD'!$H165,'01. KE30'!$A:$A,'06. BC BH THEO CUSTOMER-USD'!CK$4)/CY165/'02. Tỷ giá'!H$5," -")</f>
        <v>1062.9810079279152</v>
      </c>
      <c r="CL165" s="95" t="str">
        <f>IFERROR(SUMIFS('01. KE30'!$R:$R,'01. KE30'!$C:$C,'06. BC BH THEO CUSTOMER-USD'!$D165,'01. KE30'!$F:$F,'06. BC BH THEO CUSTOMER-USD'!$H165,'01. KE30'!$A:$A,'06. BC BH THEO CUSTOMER-USD'!CL$4)/CZ165/'02. Tỷ giá'!I$5," -")</f>
        <v xml:space="preserve"> -</v>
      </c>
      <c r="CM165" s="95" t="str">
        <f>IFERROR(SUMIFS('01. KE30'!$R:$R,'01. KE30'!$C:$C,'06. BC BH THEO CUSTOMER-USD'!$D165,'01. KE30'!$F:$F,'06. BC BH THEO CUSTOMER-USD'!$H165,'01. KE30'!$A:$A,'06. BC BH THEO CUSTOMER-USD'!CM$4)/DA165/'02. Tỷ giá'!J$5," -")</f>
        <v xml:space="preserve"> -</v>
      </c>
      <c r="CN165" s="95" t="str">
        <f>IFERROR(SUMIFS('01. KE30'!$R:$R,'01. KE30'!$C:$C,'06. BC BH THEO CUSTOMER-USD'!$D165,'01. KE30'!$F:$F,'06. BC BH THEO CUSTOMER-USD'!$H165,'01. KE30'!$A:$A,'06. BC BH THEO CUSTOMER-USD'!CN$4)/DB165/'02. Tỷ giá'!K$5," -")</f>
        <v xml:space="preserve"> -</v>
      </c>
      <c r="CO165" s="95" t="str">
        <f>IFERROR(SUMIFS('01. KE30'!$R:$R,'01. KE30'!$C:$C,'06. BC BH THEO CUSTOMER-USD'!$D165,'01. KE30'!$F:$F,'06. BC BH THEO CUSTOMER-USD'!$H165,'01. KE30'!$A:$A,'06. BC BH THEO CUSTOMER-USD'!CO$4)/DC165/'02. Tỷ giá'!L$5," -")</f>
        <v xml:space="preserve"> -</v>
      </c>
      <c r="CP165" s="95" t="str">
        <f>IFERROR(SUMIFS('01. KE30'!$R:$R,'01. KE30'!$C:$C,'06. BC BH THEO CUSTOMER-USD'!$D165,'01. KE30'!$F:$F,'06. BC BH THEO CUSTOMER-USD'!$H165,'01. KE30'!$A:$A,'06. BC BH THEO CUSTOMER-USD'!CP$4)/DD165/'02. Tỷ giá'!M$5," -")</f>
        <v xml:space="preserve"> -</v>
      </c>
      <c r="CR165" s="112">
        <f t="shared" ref="CR165" si="1785">SUM(CS165:DD165)</f>
        <v>2.75</v>
      </c>
      <c r="CS165" s="114">
        <f>SUMIFS('01. KE30'!$I:$I,'01. KE30'!$C:$C,'06. BC BH THEO CUSTOMER-USD'!$D165,'01. KE30'!$F:$F,'06. BC BH THEO CUSTOMER-USD'!$H165,'01. KE30'!$A:$A,'06. BC BH THEO CUSTOMER-USD'!CS$4)/1000</f>
        <v>0</v>
      </c>
      <c r="CT165" s="114">
        <f>SUMIFS('01. KE30'!$I:$I,'01. KE30'!$C:$C,'06. BC BH THEO CUSTOMER-USD'!$D165,'01. KE30'!$F:$F,'06. BC BH THEO CUSTOMER-USD'!$H165,'01. KE30'!$A:$A,'06. BC BH THEO CUSTOMER-USD'!CT$4)/1000</f>
        <v>0</v>
      </c>
      <c r="CU165" s="114">
        <f>SUMIFS('01. KE30'!$I:$I,'01. KE30'!$C:$C,'06. BC BH THEO CUSTOMER-USD'!$D165,'01. KE30'!$F:$F,'06. BC BH THEO CUSTOMER-USD'!$H165,'01. KE30'!$A:$A,'06. BC BH THEO CUSTOMER-USD'!CU$4)/1000</f>
        <v>0</v>
      </c>
      <c r="CV165" s="114">
        <f>SUMIFS('01. KE30'!$I:$I,'01. KE30'!$C:$C,'06. BC BH THEO CUSTOMER-USD'!$D165,'01. KE30'!$F:$F,'06. BC BH THEO CUSTOMER-USD'!$H165,'01. KE30'!$A:$A,'06. BC BH THEO CUSTOMER-USD'!CV$4)/1000</f>
        <v>0</v>
      </c>
      <c r="CW165" s="114">
        <f>SUMIFS('01. KE30'!$I:$I,'01. KE30'!$C:$C,'06. BC BH THEO CUSTOMER-USD'!$D165,'01. KE30'!$F:$F,'06. BC BH THEO CUSTOMER-USD'!$H165,'01. KE30'!$A:$A,'06. BC BH THEO CUSTOMER-USD'!CW$4)/1000</f>
        <v>0</v>
      </c>
      <c r="CX165" s="114">
        <f>SUMIFS('01. KE30'!$I:$I,'01. KE30'!$C:$C,'06. BC BH THEO CUSTOMER-USD'!$D165,'01. KE30'!$F:$F,'06. BC BH THEO CUSTOMER-USD'!$H165,'01. KE30'!$A:$A,'06. BC BH THEO CUSTOMER-USD'!CX$4)/1000</f>
        <v>0</v>
      </c>
      <c r="CY165" s="114">
        <f>SUMIFS('01. KE30'!$I:$I,'01. KE30'!$C:$C,'06. BC BH THEO CUSTOMER-USD'!$D165,'01. KE30'!$F:$F,'06. BC BH THEO CUSTOMER-USD'!$H165,'01. KE30'!$A:$A,'06. BC BH THEO CUSTOMER-USD'!CY$4)/1000</f>
        <v>2.75</v>
      </c>
      <c r="CZ165" s="114">
        <f>SUMIFS('01. KE30'!$I:$I,'01. KE30'!$C:$C,'06. BC BH THEO CUSTOMER-USD'!$D165,'01. KE30'!$F:$F,'06. BC BH THEO CUSTOMER-USD'!$H165,'01. KE30'!$A:$A,'06. BC BH THEO CUSTOMER-USD'!CZ$4)/1000</f>
        <v>0</v>
      </c>
      <c r="DA165" s="114">
        <f>SUMIFS('01. KE30'!$I:$I,'01. KE30'!$C:$C,'06. BC BH THEO CUSTOMER-USD'!$D165,'01. KE30'!$F:$F,'06. BC BH THEO CUSTOMER-USD'!$H165,'01. KE30'!$A:$A,'06. BC BH THEO CUSTOMER-USD'!DA$4)/1000</f>
        <v>0</v>
      </c>
      <c r="DB165" s="114">
        <f>SUMIFS('01. KE30'!$I:$I,'01. KE30'!$C:$C,'06. BC BH THEO CUSTOMER-USD'!$D165,'01. KE30'!$F:$F,'06. BC BH THEO CUSTOMER-USD'!$H165,'01. KE30'!$A:$A,'06. BC BH THEO CUSTOMER-USD'!DB$4)/1000</f>
        <v>0</v>
      </c>
      <c r="DC165" s="114">
        <f>SUMIFS('01. KE30'!$I:$I,'01. KE30'!$C:$C,'06. BC BH THEO CUSTOMER-USD'!$D165,'01. KE30'!$F:$F,'06. BC BH THEO CUSTOMER-USD'!$H165,'01. KE30'!$A:$A,'06. BC BH THEO CUSTOMER-USD'!DC$4)/1000</f>
        <v>0</v>
      </c>
      <c r="DD165" s="114">
        <f>SUMIFS('01. KE30'!$I:$I,'01. KE30'!$C:$C,'06. BC BH THEO CUSTOMER-USD'!$D165,'01. KE30'!$F:$F,'06. BC BH THEO CUSTOMER-USD'!$H165,'01. KE30'!$A:$A,'06. BC BH THEO CUSTOMER-USD'!DD$4)/1000</f>
        <v>0</v>
      </c>
      <c r="DF165" s="112">
        <f t="shared" ref="DF165" si="1786">SUM(DG165:DR165)</f>
        <v>2112.9466000768343</v>
      </c>
      <c r="DG165" s="54" t="str">
        <f t="shared" ref="DG165" si="1787">IFERROR(M165*CS165,"-")</f>
        <v>-</v>
      </c>
      <c r="DH165" s="54" t="str">
        <f t="shared" ref="DH165" si="1788">IFERROR(N165*CT165,"-")</f>
        <v>-</v>
      </c>
      <c r="DI165" s="54" t="str">
        <f t="shared" ref="DI165" si="1789">IFERROR(O165*CU165,"-")</f>
        <v>-</v>
      </c>
      <c r="DJ165" s="54" t="str">
        <f t="shared" ref="DJ165" si="1790">IFERROR(P165*CV165,"-")</f>
        <v>-</v>
      </c>
      <c r="DK165" s="54" t="str">
        <f t="shared" ref="DK165" si="1791">IFERROR(Q165*CW165,"-")</f>
        <v>-</v>
      </c>
      <c r="DL165" s="54" t="str">
        <f t="shared" ref="DL165" si="1792">IFERROR(R165*CX165,"-")</f>
        <v>-</v>
      </c>
      <c r="DM165" s="54">
        <f t="shared" ref="DM165" si="1793">IFERROR(S165*CY165,"-")</f>
        <v>2112.9466000768343</v>
      </c>
      <c r="DN165" s="54" t="str">
        <f t="shared" ref="DN165" si="1794">IFERROR(T165*CZ165,"-")</f>
        <v>-</v>
      </c>
      <c r="DO165" s="54" t="str">
        <f t="shared" ref="DO165" si="1795">IFERROR(U165*DA165,"-")</f>
        <v>-</v>
      </c>
      <c r="DP165" s="54" t="str">
        <f t="shared" ref="DP165" si="1796">IFERROR(V165*DB165,"-")</f>
        <v>-</v>
      </c>
      <c r="DQ165" s="54" t="str">
        <f t="shared" ref="DQ165" si="1797">IFERROR(W165*DC165,"-")</f>
        <v>-</v>
      </c>
      <c r="DR165" s="54" t="str">
        <f t="shared" ref="DR165" si="1798">IFERROR(X165*DD165,"-")</f>
        <v>-</v>
      </c>
      <c r="DT165" s="112">
        <f t="shared" ref="DT165" si="1799">SUM(DU165:EF165)</f>
        <v>-810.25117172493265</v>
      </c>
      <c r="DU165" s="114">
        <f>IFERROR(SUMIFS('01. KE30'!$X:$X,'01. KE30'!$C:$C,'06. BC BH THEO CUSTOMER-USD'!$D165,'01. KE30'!$F:$F,'06. BC BH THEO CUSTOMER-USD'!$H165,'01. KE30'!$A:$A,'06. BC BH THEO CUSTOMER-USD'!DU$4)-SUMIFS('01. KE30'!$AA:$AA,'01. KE30'!$C:$C,'06. BC BH THEO CUSTOMER-USD'!$D165,'01. KE30'!$F:$F,'06. BC BH THEO CUSTOMER-USD'!$H165,'01. KE30'!$A:$A,'06. BC BH THEO CUSTOMER-USD'!DU$4),"-")</f>
        <v>0</v>
      </c>
      <c r="DV165" s="114">
        <f>IFERROR(SUMIFS('01. KE30'!$X:$X,'01. KE30'!$C:$C,'06. BC BH THEO CUSTOMER-USD'!$D165,'01. KE30'!$F:$F,'06. BC BH THEO CUSTOMER-USD'!$H165,'01. KE30'!$A:$A,'06. BC BH THEO CUSTOMER-USD'!DV$4)-SUMIFS('01. KE30'!$AA:$AA,'01. KE30'!$C:$C,'06. BC BH THEO CUSTOMER-USD'!$D165,'01. KE30'!$F:$F,'06. BC BH THEO CUSTOMER-USD'!$H165,'01. KE30'!$A:$A,'06. BC BH THEO CUSTOMER-USD'!DV$4),"-")</f>
        <v>0</v>
      </c>
      <c r="DW165" s="114">
        <f>IFERROR(SUMIFS('01. KE30'!$X:$X,'01. KE30'!$C:$C,'06. BC BH THEO CUSTOMER-USD'!$D165,'01. KE30'!$F:$F,'06. BC BH THEO CUSTOMER-USD'!$H165,'01. KE30'!$A:$A,'06. BC BH THEO CUSTOMER-USD'!DW$4)-SUMIFS('01. KE30'!$AA:$AA,'01. KE30'!$C:$C,'06. BC BH THEO CUSTOMER-USD'!$D165,'01. KE30'!$F:$F,'06. BC BH THEO CUSTOMER-USD'!$H165,'01. KE30'!$A:$A,'06. BC BH THEO CUSTOMER-USD'!DW$4),"-")</f>
        <v>0</v>
      </c>
      <c r="DX165" s="114">
        <f>IFERROR(SUMIFS('01. KE30'!$X:$X,'01. KE30'!$C:$C,'06. BC BH THEO CUSTOMER-USD'!$D165,'01. KE30'!$F:$F,'06. BC BH THEO CUSTOMER-USD'!$H165,'01. KE30'!$A:$A,'06. BC BH THEO CUSTOMER-USD'!DX$4)-SUMIFS('01. KE30'!$AA:$AA,'01. KE30'!$C:$C,'06. BC BH THEO CUSTOMER-USD'!$D165,'01. KE30'!$F:$F,'06. BC BH THEO CUSTOMER-USD'!$H165,'01. KE30'!$A:$A,'06. BC BH THEO CUSTOMER-USD'!DX$4),"-")</f>
        <v>0</v>
      </c>
      <c r="DY165" s="114">
        <f>IFERROR(SUMIFS('01. KE30'!$X:$X,'01. KE30'!$C:$C,'06. BC BH THEO CUSTOMER-USD'!$D165,'01. KE30'!$F:$F,'06. BC BH THEO CUSTOMER-USD'!$H165,'01. KE30'!$A:$A,'06. BC BH THEO CUSTOMER-USD'!DY$4)-SUMIFS('01. KE30'!$AA:$AA,'01. KE30'!$C:$C,'06. BC BH THEO CUSTOMER-USD'!$D165,'01. KE30'!$F:$F,'06. BC BH THEO CUSTOMER-USD'!$H165,'01. KE30'!$A:$A,'06. BC BH THEO CUSTOMER-USD'!DY$4),"-")</f>
        <v>0</v>
      </c>
      <c r="DZ165" s="114">
        <f>IFERROR(SUMIFS('01. KE30'!$X:$X,'01. KE30'!$C:$C,'06. BC BH THEO CUSTOMER-USD'!$D165,'01. KE30'!$F:$F,'06. BC BH THEO CUSTOMER-USD'!$H165,'01. KE30'!$A:$A,'06. BC BH THEO CUSTOMER-USD'!DZ$4)-SUMIFS('01. KE30'!$AA:$AA,'01. KE30'!$C:$C,'06. BC BH THEO CUSTOMER-USD'!$D165,'01. KE30'!$F:$F,'06. BC BH THEO CUSTOMER-USD'!$H165,'01. KE30'!$A:$A,'06. BC BH THEO CUSTOMER-USD'!DZ$4),"-")</f>
        <v>0</v>
      </c>
      <c r="EA165" s="114">
        <f>IFERROR(SUMIFS('01. KE30'!$X:$X,'01. KE30'!$C:$C,'06. BC BH THEO CUSTOMER-USD'!$D165,'01. KE30'!$F:$F,'06. BC BH THEO CUSTOMER-USD'!$H165,'01. KE30'!$A:$A,'06. BC BH THEO CUSTOMER-USD'!EA$4)-SUMIFS('01. KE30'!$AA:$AA,'01. KE30'!$C:$C,'06. BC BH THEO CUSTOMER-USD'!$D165,'01. KE30'!$F:$F,'06. BC BH THEO CUSTOMER-USD'!$H165,'01. KE30'!$A:$A,'06. BC BH THEO CUSTOMER-USD'!EA$4),"-")</f>
        <v>-810.25117172493265</v>
      </c>
      <c r="EB165" s="114">
        <f>IFERROR(SUMIFS('01. KE30'!$X:$X,'01. KE30'!$C:$C,'06. BC BH THEO CUSTOMER-USD'!$D165,'01. KE30'!$F:$F,'06. BC BH THEO CUSTOMER-USD'!$H165,'01. KE30'!$A:$A,'06. BC BH THEO CUSTOMER-USD'!EB$4)-SUMIFS('01. KE30'!$AA:$AA,'01. KE30'!$C:$C,'06. BC BH THEO CUSTOMER-USD'!$D165,'01. KE30'!$F:$F,'06. BC BH THEO CUSTOMER-USD'!$H165,'01. KE30'!$A:$A,'06. BC BH THEO CUSTOMER-USD'!EB$4),"-")</f>
        <v>0</v>
      </c>
      <c r="EC165" s="114">
        <f>IFERROR(SUMIFS('01. KE30'!$X:$X,'01. KE30'!$C:$C,'06. BC BH THEO CUSTOMER-USD'!$D165,'01. KE30'!$F:$F,'06. BC BH THEO CUSTOMER-USD'!$H165,'01. KE30'!$A:$A,'06. BC BH THEO CUSTOMER-USD'!EC$4)-SUMIFS('01. KE30'!$AA:$AA,'01. KE30'!$C:$C,'06. BC BH THEO CUSTOMER-USD'!$D165,'01. KE30'!$F:$F,'06. BC BH THEO CUSTOMER-USD'!$H165,'01. KE30'!$A:$A,'06. BC BH THEO CUSTOMER-USD'!EC$4),"-")</f>
        <v>0</v>
      </c>
      <c r="ED165" s="114">
        <f>IFERROR(SUMIFS('01. KE30'!$X:$X,'01. KE30'!$C:$C,'06. BC BH THEO CUSTOMER-USD'!$D165,'01. KE30'!$F:$F,'06. BC BH THEO CUSTOMER-USD'!$H165,'01. KE30'!$A:$A,'06. BC BH THEO CUSTOMER-USD'!ED$4)-SUMIFS('01. KE30'!$AA:$AA,'01. KE30'!$C:$C,'06. BC BH THEO CUSTOMER-USD'!$D165,'01. KE30'!$F:$F,'06. BC BH THEO CUSTOMER-USD'!$H165,'01. KE30'!$A:$A,'06. BC BH THEO CUSTOMER-USD'!ED$4),"-")</f>
        <v>0</v>
      </c>
      <c r="EE165" s="114">
        <f>IFERROR(SUMIFS('01. KE30'!$X:$X,'01. KE30'!$C:$C,'06. BC BH THEO CUSTOMER-USD'!$D165,'01. KE30'!$F:$F,'06. BC BH THEO CUSTOMER-USD'!$H165,'01. KE30'!$A:$A,'06. BC BH THEO CUSTOMER-USD'!EE$4)-SUMIFS('01. KE30'!$AA:$AA,'01. KE30'!$C:$C,'06. BC BH THEO CUSTOMER-USD'!$D165,'01. KE30'!$F:$F,'06. BC BH THEO CUSTOMER-USD'!$H165,'01. KE30'!$A:$A,'06. BC BH THEO CUSTOMER-USD'!EE$4),"-")</f>
        <v>0</v>
      </c>
      <c r="EF165" s="114">
        <f>IFERROR(SUMIFS('01. KE30'!$X:$X,'01. KE30'!$C:$C,'06. BC BH THEO CUSTOMER-USD'!$D165,'01. KE30'!$F:$F,'06. BC BH THEO CUSTOMER-USD'!$H165,'01. KE30'!$A:$A,'06. BC BH THEO CUSTOMER-USD'!EF$4)-SUMIFS('01. KE30'!$AA:$AA,'01. KE30'!$C:$C,'06. BC BH THEO CUSTOMER-USD'!$D165,'01. KE30'!$F:$F,'06. BC BH THEO CUSTOMER-USD'!$H165,'01. KE30'!$A:$A,'06. BC BH THEO CUSTOMER-USD'!EF$4),"-")</f>
        <v>0</v>
      </c>
      <c r="EH165" s="571">
        <f t="shared" ref="EH165" si="1800">IFERROR(DT165/DF165,"-")</f>
        <v>-0.38346978181818175</v>
      </c>
      <c r="EI165" s="572" t="str">
        <f t="shared" ref="EI165" si="1801">IFERROR(DU165/DG165,"-")</f>
        <v>-</v>
      </c>
      <c r="EJ165" s="572" t="str">
        <f t="shared" ref="EJ165" si="1802">IFERROR(DV165/DH165,"-")</f>
        <v>-</v>
      </c>
      <c r="EK165" s="572" t="str">
        <f t="shared" ref="EK165" si="1803">IFERROR(DW165/DI165,"-")</f>
        <v>-</v>
      </c>
      <c r="EL165" s="572" t="str">
        <f t="shared" ref="EL165" si="1804">IFERROR(DX165/DJ165,"-")</f>
        <v>-</v>
      </c>
      <c r="EM165" s="572" t="str">
        <f t="shared" ref="EM165" si="1805">IFERROR(DY165/DK165,"-")</f>
        <v>-</v>
      </c>
      <c r="EN165" s="572" t="str">
        <f t="shared" ref="EN165" si="1806">IFERROR(DZ165/DL165,"-")</f>
        <v>-</v>
      </c>
      <c r="EO165" s="572">
        <f t="shared" ref="EO165" si="1807">IFERROR(EA165/DM165,"-")</f>
        <v>-0.38346978181818175</v>
      </c>
      <c r="EP165" s="572" t="str">
        <f t="shared" ref="EP165" si="1808">IFERROR(EB165/DN165,"-")</f>
        <v>-</v>
      </c>
      <c r="EQ165" s="572" t="str">
        <f t="shared" ref="EQ165" si="1809">IFERROR(EC165/DO165,"-")</f>
        <v>-</v>
      </c>
      <c r="ER165" s="572" t="str">
        <f t="shared" ref="ER165" si="1810">IFERROR(ED165/DP165,"-")</f>
        <v>-</v>
      </c>
      <c r="ES165" s="572" t="str">
        <f t="shared" ref="ES165" si="1811">IFERROR(EE165/DQ165,"-")</f>
        <v>-</v>
      </c>
      <c r="ET165" s="572" t="str">
        <f t="shared" ref="ET165" si="1812">IFERROR(EF165/DR165,"-")</f>
        <v>-</v>
      </c>
    </row>
    <row r="166" spans="1:150" ht="15.5" hidden="1" outlineLevel="1" x14ac:dyDescent="0.35">
      <c r="A166" s="10">
        <f>A164+1</f>
        <v>8</v>
      </c>
      <c r="B166" s="10" t="s">
        <v>266</v>
      </c>
      <c r="C166" s="497" t="s">
        <v>29</v>
      </c>
      <c r="D166" s="9">
        <v>1000</v>
      </c>
      <c r="E166" s="8" t="s">
        <v>29</v>
      </c>
      <c r="F166" s="12" t="s">
        <v>245</v>
      </c>
      <c r="G166" s="12" t="str">
        <f>_xlfn.XLOOKUP(F166,'Quy đổi'!$G$5:$G$32,'Quy đổi'!$H$5:$H$32,0)</f>
        <v>Nội địa</v>
      </c>
      <c r="H166" s="80" t="s">
        <v>224</v>
      </c>
      <c r="I166" s="7" t="s">
        <v>225</v>
      </c>
      <c r="J166" s="69" t="s">
        <v>22</v>
      </c>
      <c r="K166" s="5"/>
      <c r="L166" s="92" t="str">
        <f t="shared" si="1263"/>
        <v>-</v>
      </c>
      <c r="M166" s="106" t="str">
        <f>IFERROR(SUMIFS('01. KE30'!$K:$K,'01. KE30'!$C:$C,'06. BC BH THEO CUSTOMER-USD'!$D166,'01. KE30'!$F:$F,'06. BC BH THEO CUSTOMER-USD'!$H166,'01. KE30'!$A:$A,'06. BC BH THEO CUSTOMER-USD'!M$4)/'06. BC BH THEO CUSTOMER-USD'!CS166/'02. Tỷ giá'!B$5,"-")</f>
        <v>-</v>
      </c>
      <c r="N166" s="106" t="str">
        <f>IFERROR(SUMIFS('01. KE30'!$K:$K,'01. KE30'!$C:$C,'06. BC BH THEO CUSTOMER-USD'!$D166,'01. KE30'!$F:$F,'06. BC BH THEO CUSTOMER-USD'!$H166,'01. KE30'!$A:$A,'06. BC BH THEO CUSTOMER-USD'!N$4)/'06. BC BH THEO CUSTOMER-USD'!CT166/'02. Tỷ giá'!C$5,"-")</f>
        <v>-</v>
      </c>
      <c r="O166" s="106" t="str">
        <f>IFERROR(SUMIFS('01. KE30'!$K:$K,'01. KE30'!$C:$C,'06. BC BH THEO CUSTOMER-USD'!$D166,'01. KE30'!$F:$F,'06. BC BH THEO CUSTOMER-USD'!$H166,'01. KE30'!$A:$A,'06. BC BH THEO CUSTOMER-USD'!O$4)/'06. BC BH THEO CUSTOMER-USD'!CU166/'02. Tỷ giá'!D$5,"-")</f>
        <v>-</v>
      </c>
      <c r="P166" s="106" t="str">
        <f>IFERROR(SUMIFS('01. KE30'!$K:$K,'01. KE30'!$C:$C,'06. BC BH THEO CUSTOMER-USD'!$D166,'01. KE30'!$F:$F,'06. BC BH THEO CUSTOMER-USD'!$H166,'01. KE30'!$A:$A,'06. BC BH THEO CUSTOMER-USD'!P$4)/'06. BC BH THEO CUSTOMER-USD'!CV166/'02. Tỷ giá'!E$5,"-")</f>
        <v>-</v>
      </c>
      <c r="Q166" s="106" t="str">
        <f>IFERROR(SUMIFS('01. KE30'!$K:$K,'01. KE30'!$C:$C,'06. BC BH THEO CUSTOMER-USD'!$D166,'01. KE30'!$F:$F,'06. BC BH THEO CUSTOMER-USD'!$H166,'01. KE30'!$A:$A,'06. BC BH THEO CUSTOMER-USD'!Q$4)/'06. BC BH THEO CUSTOMER-USD'!CW166/'02. Tỷ giá'!F$5,"-")</f>
        <v>-</v>
      </c>
      <c r="R166" s="106" t="str">
        <f>IFERROR(SUMIFS('01. KE30'!$K:$K,'01. KE30'!$C:$C,'06. BC BH THEO CUSTOMER-USD'!$D166,'01. KE30'!$F:$F,'06. BC BH THEO CUSTOMER-USD'!$H166,'01. KE30'!$A:$A,'06. BC BH THEO CUSTOMER-USD'!R$4)/'06. BC BH THEO CUSTOMER-USD'!CX166/'02. Tỷ giá'!G$5,"-")</f>
        <v>-</v>
      </c>
      <c r="S166" s="106" t="str">
        <f>IFERROR(SUMIFS('01. KE30'!$K:$K,'01. KE30'!$C:$C,'06. BC BH THEO CUSTOMER-USD'!$D166,'01. KE30'!$F:$F,'06. BC BH THEO CUSTOMER-USD'!$H166,'01. KE30'!$A:$A,'06. BC BH THEO CUSTOMER-USD'!S$4)/'06. BC BH THEO CUSTOMER-USD'!CY166/'02. Tỷ giá'!H$5,"-")</f>
        <v>-</v>
      </c>
      <c r="T166" s="106" t="str">
        <f>IFERROR(SUMIFS('01. KE30'!$K:$K,'01. KE30'!$C:$C,'06. BC BH THEO CUSTOMER-USD'!$D166,'01. KE30'!$F:$F,'06. BC BH THEO CUSTOMER-USD'!$H166,'01. KE30'!$A:$A,'06. BC BH THEO CUSTOMER-USD'!T$4)/'06. BC BH THEO CUSTOMER-USD'!CZ166/'02. Tỷ giá'!I$5,"-")</f>
        <v>-</v>
      </c>
      <c r="U166" s="106" t="str">
        <f>IFERROR(SUMIFS('01. KE30'!$K:$K,'01. KE30'!$C:$C,'06. BC BH THEO CUSTOMER-USD'!$D166,'01. KE30'!$F:$F,'06. BC BH THEO CUSTOMER-USD'!$H166,'01. KE30'!$A:$A,'06. BC BH THEO CUSTOMER-USD'!U$4)/'06. BC BH THEO CUSTOMER-USD'!DA166/'02. Tỷ giá'!J$5,"-")</f>
        <v>-</v>
      </c>
      <c r="V166" s="106" t="str">
        <f>IFERROR(SUMIFS('01. KE30'!$K:$K,'01. KE30'!$C:$C,'06. BC BH THEO CUSTOMER-USD'!$D166,'01. KE30'!$F:$F,'06. BC BH THEO CUSTOMER-USD'!$H166,'01. KE30'!$A:$A,'06. BC BH THEO CUSTOMER-USD'!V$4)/'06. BC BH THEO CUSTOMER-USD'!DB166/'02. Tỷ giá'!K$5,"-")</f>
        <v>-</v>
      </c>
      <c r="W166" s="106" t="str">
        <f>IFERROR(SUMIFS('01. KE30'!$K:$K,'01. KE30'!$C:$C,'06. BC BH THEO CUSTOMER-USD'!$D166,'01. KE30'!$F:$F,'06. BC BH THEO CUSTOMER-USD'!$H166,'01. KE30'!$A:$A,'06. BC BH THEO CUSTOMER-USD'!W$4)/'06. BC BH THEO CUSTOMER-USD'!DC166/'02. Tỷ giá'!L$5,"-")</f>
        <v>-</v>
      </c>
      <c r="X166" s="106" t="str">
        <f>IFERROR(SUMIFS('01. KE30'!$K:$K,'01. KE30'!$C:$C,'06. BC BH THEO CUSTOMER-USD'!$D166,'01. KE30'!$F:$F,'06. BC BH THEO CUSTOMER-USD'!$H166,'01. KE30'!$A:$A,'06. BC BH THEO CUSTOMER-USD'!X$4)/'06. BC BH THEO CUSTOMER-USD'!DD166/'02. Tỷ giá'!M$5,"-")</f>
        <v>-</v>
      </c>
      <c r="Z166" s="92" t="str">
        <f t="shared" si="1264"/>
        <v>-</v>
      </c>
      <c r="AA166" s="147" t="str">
        <f>IFERROR(SUMIFS('01. KE30'!$O:$O,'01. KE30'!$C:$C,'06. BC BH THEO CUSTOMER-USD'!$D166,'01. KE30'!$F:$F,'06. BC BH THEO CUSTOMER-USD'!$H166,'01. KE30'!$A:$A,'06. BC BH THEO CUSTOMER-USD'!M$4)/'06. BC BH THEO CUSTOMER-USD'!CS166/'02. Tỷ giá'!B$5,"-")</f>
        <v>-</v>
      </c>
      <c r="AB166" s="147" t="str">
        <f>IFERROR(SUMIFS('01. KE30'!$O:$O,'01. KE30'!$C:$C,'06. BC BH THEO CUSTOMER-USD'!$D166,'01. KE30'!$F:$F,'06. BC BH THEO CUSTOMER-USD'!$H166,'01. KE30'!$A:$A,'06. BC BH THEO CUSTOMER-USD'!N$4)/'06. BC BH THEO CUSTOMER-USD'!CT166/'02. Tỷ giá'!C$5,"-")</f>
        <v>-</v>
      </c>
      <c r="AC166" s="147" t="str">
        <f>IFERROR(SUMIFS('01. KE30'!$O:$O,'01. KE30'!$C:$C,'06. BC BH THEO CUSTOMER-USD'!$D166,'01. KE30'!$F:$F,'06. BC BH THEO CUSTOMER-USD'!$H166,'01. KE30'!$A:$A,'06. BC BH THEO CUSTOMER-USD'!O$4)/'06. BC BH THEO CUSTOMER-USD'!CU166/'02. Tỷ giá'!D$5,"-")</f>
        <v>-</v>
      </c>
      <c r="AD166" s="147" t="str">
        <f>IFERROR(SUMIFS('01. KE30'!$O:$O,'01. KE30'!$C:$C,'06. BC BH THEO CUSTOMER-USD'!$D166,'01. KE30'!$F:$F,'06. BC BH THEO CUSTOMER-USD'!$H166,'01. KE30'!$A:$A,'06. BC BH THEO CUSTOMER-USD'!P$4)/'06. BC BH THEO CUSTOMER-USD'!CV166/'02. Tỷ giá'!E$5,"-")</f>
        <v>-</v>
      </c>
      <c r="AE166" s="147" t="str">
        <f>IFERROR(SUMIFS('01. KE30'!$O:$O,'01. KE30'!$C:$C,'06. BC BH THEO CUSTOMER-USD'!$D166,'01. KE30'!$F:$F,'06. BC BH THEO CUSTOMER-USD'!$H166,'01. KE30'!$A:$A,'06. BC BH THEO CUSTOMER-USD'!Q$4)/'06. BC BH THEO CUSTOMER-USD'!CW166/'02. Tỷ giá'!F$5,"-")</f>
        <v>-</v>
      </c>
      <c r="AF166" s="147" t="str">
        <f>IFERROR(SUMIFS('01. KE30'!$O:$O,'01. KE30'!$C:$C,'06. BC BH THEO CUSTOMER-USD'!$D166,'01. KE30'!$F:$F,'06. BC BH THEO CUSTOMER-USD'!$H166,'01. KE30'!$A:$A,'06. BC BH THEO CUSTOMER-USD'!R$4)/'06. BC BH THEO CUSTOMER-USD'!CX166/'02. Tỷ giá'!G$5,"-")</f>
        <v>-</v>
      </c>
      <c r="AG166" s="147" t="str">
        <f>IFERROR(SUMIFS('01. KE30'!$O:$O,'01. KE30'!$C:$C,'06. BC BH THEO CUSTOMER-USD'!$D166,'01. KE30'!$F:$F,'06. BC BH THEO CUSTOMER-USD'!$H166,'01. KE30'!$A:$A,'06. BC BH THEO CUSTOMER-USD'!S$4)/'06. BC BH THEO CUSTOMER-USD'!CY166/'02. Tỷ giá'!H$5,"-")</f>
        <v>-</v>
      </c>
      <c r="AH166" s="147" t="str">
        <f>IFERROR(SUMIFS('01. KE30'!$O:$O,'01. KE30'!$C:$C,'06. BC BH THEO CUSTOMER-USD'!$D166,'01. KE30'!$F:$F,'06. BC BH THEO CUSTOMER-USD'!$H166,'01. KE30'!$A:$A,'06. BC BH THEO CUSTOMER-USD'!T$4)/'06. BC BH THEO CUSTOMER-USD'!CZ166/'02. Tỷ giá'!I$5,"-")</f>
        <v>-</v>
      </c>
      <c r="AI166" s="147" t="str">
        <f>IFERROR(SUMIFS('01. KE30'!$O:$O,'01. KE30'!$C:$C,'06. BC BH THEO CUSTOMER-USD'!$D166,'01. KE30'!$F:$F,'06. BC BH THEO CUSTOMER-USD'!$H166,'01. KE30'!$A:$A,'06. BC BH THEO CUSTOMER-USD'!U$4)/'06. BC BH THEO CUSTOMER-USD'!DA166/'02. Tỷ giá'!J$5,"-")</f>
        <v>-</v>
      </c>
      <c r="AJ166" s="147" t="str">
        <f>IFERROR(SUMIFS('01. KE30'!$O:$O,'01. KE30'!$C:$C,'06. BC BH THEO CUSTOMER-USD'!$D166,'01. KE30'!$F:$F,'06. BC BH THEO CUSTOMER-USD'!$H166,'01. KE30'!$A:$A,'06. BC BH THEO CUSTOMER-USD'!V$4)/'06. BC BH THEO CUSTOMER-USD'!DB166/'02. Tỷ giá'!K$5,"-")</f>
        <v>-</v>
      </c>
      <c r="AK166" s="147" t="str">
        <f>IFERROR(SUMIFS('01. KE30'!$O:$O,'01. KE30'!$C:$C,'06. BC BH THEO CUSTOMER-USD'!$D166,'01. KE30'!$F:$F,'06. BC BH THEO CUSTOMER-USD'!$H166,'01. KE30'!$A:$A,'06. BC BH THEO CUSTOMER-USD'!W$4)/'06. BC BH THEO CUSTOMER-USD'!DC166/'02. Tỷ giá'!L$5,"-")</f>
        <v>-</v>
      </c>
      <c r="AL166" s="147" t="str">
        <f>IFERROR(SUMIFS('01. KE30'!$O:$O,'01. KE30'!$C:$C,'06. BC BH THEO CUSTOMER-USD'!$D166,'01. KE30'!$F:$F,'06. BC BH THEO CUSTOMER-USD'!$H166,'01. KE30'!$A:$A,'06. BC BH THEO CUSTOMER-USD'!X$4)/'06. BC BH THEO CUSTOMER-USD'!DD166/'02. Tỷ giá'!M$5,"-")</f>
        <v>-</v>
      </c>
      <c r="AN166" s="55">
        <f t="shared" si="1265"/>
        <v>790</v>
      </c>
      <c r="AO166" s="4">
        <v>870</v>
      </c>
      <c r="AP166" s="4">
        <v>800</v>
      </c>
      <c r="AQ166" s="4">
        <v>805</v>
      </c>
      <c r="AR166" s="4">
        <v>805</v>
      </c>
      <c r="AS166" s="4">
        <v>765</v>
      </c>
      <c r="AT166" s="4">
        <v>765</v>
      </c>
      <c r="AU166" s="4">
        <v>780</v>
      </c>
      <c r="AV166" s="4">
        <f t="shared" si="1272"/>
        <v>760</v>
      </c>
      <c r="AW166" s="4">
        <v>760</v>
      </c>
      <c r="AX166" s="4"/>
      <c r="AY166" s="4"/>
      <c r="AZ166" s="4"/>
      <c r="BB166" s="54" t="str">
        <f t="shared" si="637"/>
        <v>-</v>
      </c>
      <c r="BC166" s="95" t="str">
        <f t="shared" si="1333"/>
        <v>-</v>
      </c>
      <c r="BD166" s="95" t="str">
        <f t="shared" si="1718"/>
        <v>-</v>
      </c>
      <c r="BE166" s="95" t="str">
        <f t="shared" si="1718"/>
        <v>-</v>
      </c>
      <c r="BF166" s="95" t="str">
        <f t="shared" si="1718"/>
        <v>-</v>
      </c>
      <c r="BG166" s="95" t="str">
        <f t="shared" si="1718"/>
        <v>-</v>
      </c>
      <c r="BH166" s="95" t="str">
        <f t="shared" si="1718"/>
        <v>-</v>
      </c>
      <c r="BI166" s="95" t="str">
        <f t="shared" si="1718"/>
        <v>-</v>
      </c>
      <c r="BJ166" s="95" t="str">
        <f t="shared" si="1718"/>
        <v>-</v>
      </c>
      <c r="BK166" s="95" t="str">
        <f t="shared" si="1718"/>
        <v>-</v>
      </c>
      <c r="BL166" s="95" t="str">
        <f t="shared" si="1718"/>
        <v>-</v>
      </c>
      <c r="BM166" s="95" t="str">
        <f t="shared" si="1718"/>
        <v>-</v>
      </c>
      <c r="BN166" s="95" t="str">
        <f t="shared" si="1718"/>
        <v>-</v>
      </c>
      <c r="BP166" s="143" t="str">
        <f t="shared" si="639"/>
        <v>-</v>
      </c>
      <c r="BQ166" s="143" t="str">
        <f t="shared" si="1331"/>
        <v>-</v>
      </c>
      <c r="BR166" s="143" t="str">
        <f t="shared" si="518"/>
        <v>-</v>
      </c>
      <c r="BS166" s="143" t="str">
        <f t="shared" si="519"/>
        <v>-</v>
      </c>
      <c r="BT166" s="143" t="str">
        <f t="shared" si="520"/>
        <v>-</v>
      </c>
      <c r="BU166" s="143" t="str">
        <f t="shared" si="521"/>
        <v>-</v>
      </c>
      <c r="BV166" s="143" t="str">
        <f t="shared" si="522"/>
        <v>-</v>
      </c>
      <c r="BW166" s="143" t="str">
        <f t="shared" si="523"/>
        <v>-</v>
      </c>
      <c r="BX166" s="143" t="str">
        <f t="shared" si="524"/>
        <v>-</v>
      </c>
      <c r="BY166" s="143" t="str">
        <f t="shared" si="525"/>
        <v>-</v>
      </c>
      <c r="BZ166" s="143" t="str">
        <f t="shared" si="526"/>
        <v>-</v>
      </c>
      <c r="CA166" s="143" t="str">
        <f t="shared" si="527"/>
        <v>-</v>
      </c>
      <c r="CB166" s="143" t="str">
        <f t="shared" si="528"/>
        <v>-</v>
      </c>
      <c r="CD166" s="112" t="str">
        <f t="shared" si="1723"/>
        <v>-</v>
      </c>
      <c r="CE166" s="95" t="str">
        <f>IFERROR(SUMIFS('01. KE30'!$R:$R,'01. KE30'!$C:$C,'06. BC BH THEO CUSTOMER-USD'!$D166,'01. KE30'!$F:$F,'06. BC BH THEO CUSTOMER-USD'!$H166,'01. KE30'!$A:$A,'06. BC BH THEO CUSTOMER-USD'!CE$4)/CS166/'02. Tỷ giá'!B$5," -")</f>
        <v xml:space="preserve"> -</v>
      </c>
      <c r="CF166" s="95" t="str">
        <f>IFERROR(SUMIFS('01. KE30'!$R:$R,'01. KE30'!$C:$C,'06. BC BH THEO CUSTOMER-USD'!$D166,'01. KE30'!$F:$F,'06. BC BH THEO CUSTOMER-USD'!$H166,'01. KE30'!$A:$A,'06. BC BH THEO CUSTOMER-USD'!CF$4)/CT166/'02. Tỷ giá'!C$5," -")</f>
        <v xml:space="preserve"> -</v>
      </c>
      <c r="CG166" s="95" t="str">
        <f>IFERROR(SUMIFS('01. KE30'!$R:$R,'01. KE30'!$C:$C,'06. BC BH THEO CUSTOMER-USD'!$D166,'01. KE30'!$F:$F,'06. BC BH THEO CUSTOMER-USD'!$H166,'01. KE30'!$A:$A,'06. BC BH THEO CUSTOMER-USD'!CG$4)/CU166/'02. Tỷ giá'!D$5," -")</f>
        <v xml:space="preserve"> -</v>
      </c>
      <c r="CH166" s="95" t="str">
        <f>IFERROR(SUMIFS('01. KE30'!$R:$R,'01. KE30'!$C:$C,'06. BC BH THEO CUSTOMER-USD'!$D166,'01. KE30'!$F:$F,'06. BC BH THEO CUSTOMER-USD'!$H166,'01. KE30'!$A:$A,'06. BC BH THEO CUSTOMER-USD'!CH$4)/CV166/'02. Tỷ giá'!E$5," -")</f>
        <v xml:space="preserve"> -</v>
      </c>
      <c r="CI166" s="95" t="str">
        <f>IFERROR(SUMIFS('01. KE30'!$R:$R,'01. KE30'!$C:$C,'06. BC BH THEO CUSTOMER-USD'!$D166,'01. KE30'!$F:$F,'06. BC BH THEO CUSTOMER-USD'!$H166,'01. KE30'!$A:$A,'06. BC BH THEO CUSTOMER-USD'!CI$4)/CW166/'02. Tỷ giá'!F$5," -")</f>
        <v xml:space="preserve"> -</v>
      </c>
      <c r="CJ166" s="95" t="str">
        <f>IFERROR(SUMIFS('01. KE30'!$R:$R,'01. KE30'!$C:$C,'06. BC BH THEO CUSTOMER-USD'!$D166,'01. KE30'!$F:$F,'06. BC BH THEO CUSTOMER-USD'!$H166,'01. KE30'!$A:$A,'06. BC BH THEO CUSTOMER-USD'!CJ$4)/CX166/'02. Tỷ giá'!G$5," -")</f>
        <v xml:space="preserve"> -</v>
      </c>
      <c r="CK166" s="95" t="str">
        <f>IFERROR(SUMIFS('01. KE30'!$R:$R,'01. KE30'!$C:$C,'06. BC BH THEO CUSTOMER-USD'!$D166,'01. KE30'!$F:$F,'06. BC BH THEO CUSTOMER-USD'!$H166,'01. KE30'!$A:$A,'06. BC BH THEO CUSTOMER-USD'!CK$4)/CY166/'02. Tỷ giá'!H$5," -")</f>
        <v xml:space="preserve"> -</v>
      </c>
      <c r="CL166" s="95" t="str">
        <f>IFERROR(SUMIFS('01. KE30'!$R:$R,'01. KE30'!$C:$C,'06. BC BH THEO CUSTOMER-USD'!$D166,'01. KE30'!$F:$F,'06. BC BH THEO CUSTOMER-USD'!$H166,'01. KE30'!$A:$A,'06. BC BH THEO CUSTOMER-USD'!CL$4)/CZ166/'02. Tỷ giá'!I$5," -")</f>
        <v xml:space="preserve"> -</v>
      </c>
      <c r="CM166" s="95" t="str">
        <f>IFERROR(SUMIFS('01. KE30'!$R:$R,'01. KE30'!$C:$C,'06. BC BH THEO CUSTOMER-USD'!$D166,'01. KE30'!$F:$F,'06. BC BH THEO CUSTOMER-USD'!$H166,'01. KE30'!$A:$A,'06. BC BH THEO CUSTOMER-USD'!CM$4)/DA166/'02. Tỷ giá'!J$5," -")</f>
        <v xml:space="preserve"> -</v>
      </c>
      <c r="CN166" s="95" t="str">
        <f>IFERROR(SUMIFS('01. KE30'!$R:$R,'01. KE30'!$C:$C,'06. BC BH THEO CUSTOMER-USD'!$D166,'01. KE30'!$F:$F,'06. BC BH THEO CUSTOMER-USD'!$H166,'01. KE30'!$A:$A,'06. BC BH THEO CUSTOMER-USD'!CN$4)/DB166/'02. Tỷ giá'!K$5," -")</f>
        <v xml:space="preserve"> -</v>
      </c>
      <c r="CO166" s="95" t="str">
        <f>IFERROR(SUMIFS('01. KE30'!$R:$R,'01. KE30'!$C:$C,'06. BC BH THEO CUSTOMER-USD'!$D166,'01. KE30'!$F:$F,'06. BC BH THEO CUSTOMER-USD'!$H166,'01. KE30'!$A:$A,'06. BC BH THEO CUSTOMER-USD'!CO$4)/DC166/'02. Tỷ giá'!L$5," -")</f>
        <v xml:space="preserve"> -</v>
      </c>
      <c r="CP166" s="95" t="str">
        <f>IFERROR(SUMIFS('01. KE30'!$R:$R,'01. KE30'!$C:$C,'06. BC BH THEO CUSTOMER-USD'!$D166,'01. KE30'!$F:$F,'06. BC BH THEO CUSTOMER-USD'!$H166,'01. KE30'!$A:$A,'06. BC BH THEO CUSTOMER-USD'!CP$4)/DD166/'02. Tỷ giá'!M$5," -")</f>
        <v xml:space="preserve"> -</v>
      </c>
      <c r="CR166" s="112">
        <f t="shared" si="1754"/>
        <v>0</v>
      </c>
      <c r="CS166" s="114">
        <f>SUMIFS('01. KE30'!$I:$I,'01. KE30'!$C:$C,'06. BC BH THEO CUSTOMER-USD'!$D166,'01. KE30'!$F:$F,'06. BC BH THEO CUSTOMER-USD'!$H166,'01. KE30'!$A:$A,'06. BC BH THEO CUSTOMER-USD'!CS$4)/1000</f>
        <v>0</v>
      </c>
      <c r="CT166" s="114">
        <f>SUMIFS('01. KE30'!$I:$I,'01. KE30'!$C:$C,'06. BC BH THEO CUSTOMER-USD'!$D166,'01. KE30'!$F:$F,'06. BC BH THEO CUSTOMER-USD'!$H166,'01. KE30'!$A:$A,'06. BC BH THEO CUSTOMER-USD'!CT$4)/1000</f>
        <v>0</v>
      </c>
      <c r="CU166" s="114">
        <f>SUMIFS('01. KE30'!$I:$I,'01. KE30'!$C:$C,'06. BC BH THEO CUSTOMER-USD'!$D166,'01. KE30'!$F:$F,'06. BC BH THEO CUSTOMER-USD'!$H166,'01. KE30'!$A:$A,'06. BC BH THEO CUSTOMER-USD'!CU$4)/1000</f>
        <v>0</v>
      </c>
      <c r="CV166" s="114">
        <f>SUMIFS('01. KE30'!$I:$I,'01. KE30'!$C:$C,'06. BC BH THEO CUSTOMER-USD'!$D166,'01. KE30'!$F:$F,'06. BC BH THEO CUSTOMER-USD'!$H166,'01. KE30'!$A:$A,'06. BC BH THEO CUSTOMER-USD'!CV$4)/1000</f>
        <v>0</v>
      </c>
      <c r="CW166" s="114">
        <f>SUMIFS('01. KE30'!$I:$I,'01. KE30'!$C:$C,'06. BC BH THEO CUSTOMER-USD'!$D166,'01. KE30'!$F:$F,'06. BC BH THEO CUSTOMER-USD'!$H166,'01. KE30'!$A:$A,'06. BC BH THEO CUSTOMER-USD'!CW$4)/1000</f>
        <v>0</v>
      </c>
      <c r="CX166" s="114">
        <f>SUMIFS('01. KE30'!$I:$I,'01. KE30'!$C:$C,'06. BC BH THEO CUSTOMER-USD'!$D166,'01. KE30'!$F:$F,'06. BC BH THEO CUSTOMER-USD'!$H166,'01. KE30'!$A:$A,'06. BC BH THEO CUSTOMER-USD'!CX$4)/1000</f>
        <v>0</v>
      </c>
      <c r="CY166" s="114">
        <f>SUMIFS('01. KE30'!$I:$I,'01. KE30'!$C:$C,'06. BC BH THEO CUSTOMER-USD'!$D166,'01. KE30'!$F:$F,'06. BC BH THEO CUSTOMER-USD'!$H166,'01. KE30'!$A:$A,'06. BC BH THEO CUSTOMER-USD'!CY$4)/1000</f>
        <v>0</v>
      </c>
      <c r="CZ166" s="114">
        <f>SUMIFS('01. KE30'!$I:$I,'01. KE30'!$C:$C,'06. BC BH THEO CUSTOMER-USD'!$D166,'01. KE30'!$F:$F,'06. BC BH THEO CUSTOMER-USD'!$H166,'01. KE30'!$A:$A,'06. BC BH THEO CUSTOMER-USD'!CZ$4)/1000</f>
        <v>0</v>
      </c>
      <c r="DA166" s="114">
        <f>SUMIFS('01. KE30'!$I:$I,'01. KE30'!$C:$C,'06. BC BH THEO CUSTOMER-USD'!$D166,'01. KE30'!$F:$F,'06. BC BH THEO CUSTOMER-USD'!$H166,'01. KE30'!$A:$A,'06. BC BH THEO CUSTOMER-USD'!DA$4)/1000</f>
        <v>0</v>
      </c>
      <c r="DB166" s="114">
        <f>SUMIFS('01. KE30'!$I:$I,'01. KE30'!$C:$C,'06. BC BH THEO CUSTOMER-USD'!$D166,'01. KE30'!$F:$F,'06. BC BH THEO CUSTOMER-USD'!$H166,'01. KE30'!$A:$A,'06. BC BH THEO CUSTOMER-USD'!DB$4)/1000</f>
        <v>0</v>
      </c>
      <c r="DC166" s="114">
        <f>SUMIFS('01. KE30'!$I:$I,'01. KE30'!$C:$C,'06. BC BH THEO CUSTOMER-USD'!$D166,'01. KE30'!$F:$F,'06. BC BH THEO CUSTOMER-USD'!$H166,'01. KE30'!$A:$A,'06. BC BH THEO CUSTOMER-USD'!DC$4)/1000</f>
        <v>0</v>
      </c>
      <c r="DD166" s="114">
        <f>SUMIFS('01. KE30'!$I:$I,'01. KE30'!$C:$C,'06. BC BH THEO CUSTOMER-USD'!$D166,'01. KE30'!$F:$F,'06. BC BH THEO CUSTOMER-USD'!$H166,'01. KE30'!$A:$A,'06. BC BH THEO CUSTOMER-USD'!DD$4)/1000</f>
        <v>0</v>
      </c>
      <c r="DF166" s="112">
        <f t="shared" si="1724"/>
        <v>0</v>
      </c>
      <c r="DG166" s="54" t="str">
        <f t="shared" si="1725"/>
        <v>-</v>
      </c>
      <c r="DH166" s="54" t="str">
        <f t="shared" si="1726"/>
        <v>-</v>
      </c>
      <c r="DI166" s="54" t="str">
        <f t="shared" si="1727"/>
        <v>-</v>
      </c>
      <c r="DJ166" s="54" t="str">
        <f t="shared" si="1728"/>
        <v>-</v>
      </c>
      <c r="DK166" s="54" t="str">
        <f t="shared" si="1729"/>
        <v>-</v>
      </c>
      <c r="DL166" s="54" t="str">
        <f t="shared" si="1730"/>
        <v>-</v>
      </c>
      <c r="DM166" s="54" t="str">
        <f t="shared" si="1731"/>
        <v>-</v>
      </c>
      <c r="DN166" s="54" t="str">
        <f t="shared" si="1732"/>
        <v>-</v>
      </c>
      <c r="DO166" s="54" t="str">
        <f t="shared" si="1733"/>
        <v>-</v>
      </c>
      <c r="DP166" s="54" t="str">
        <f t="shared" si="1734"/>
        <v>-</v>
      </c>
      <c r="DQ166" s="54" t="str">
        <f t="shared" si="1735"/>
        <v>-</v>
      </c>
      <c r="DR166" s="54" t="str">
        <f t="shared" si="1736"/>
        <v>-</v>
      </c>
      <c r="DT166" s="112">
        <f t="shared" si="652"/>
        <v>0</v>
      </c>
      <c r="DU166" s="114">
        <f>IFERROR(SUMIFS('01. KE30'!$X:$X,'01. KE30'!$C:$C,'06. BC BH THEO CUSTOMER-USD'!$D166,'01. KE30'!$F:$F,'06. BC BH THEO CUSTOMER-USD'!$H166,'01. KE30'!$A:$A,'06. BC BH THEO CUSTOMER-USD'!DU$4)-SUMIFS('01. KE30'!$AA:$AA,'01. KE30'!$C:$C,'06. BC BH THEO CUSTOMER-USD'!$D166,'01. KE30'!$F:$F,'06. BC BH THEO CUSTOMER-USD'!$H166,'01. KE30'!$A:$A,'06. BC BH THEO CUSTOMER-USD'!DU$4),"-")</f>
        <v>0</v>
      </c>
      <c r="DV166" s="114">
        <f>IFERROR(SUMIFS('01. KE30'!$X:$X,'01. KE30'!$C:$C,'06. BC BH THEO CUSTOMER-USD'!$D166,'01. KE30'!$F:$F,'06. BC BH THEO CUSTOMER-USD'!$H166,'01. KE30'!$A:$A,'06. BC BH THEO CUSTOMER-USD'!DV$4)-SUMIFS('01. KE30'!$AA:$AA,'01. KE30'!$C:$C,'06. BC BH THEO CUSTOMER-USD'!$D166,'01. KE30'!$F:$F,'06. BC BH THEO CUSTOMER-USD'!$H166,'01. KE30'!$A:$A,'06. BC BH THEO CUSTOMER-USD'!DV$4),"-")</f>
        <v>0</v>
      </c>
      <c r="DW166" s="114">
        <f>IFERROR(SUMIFS('01. KE30'!$X:$X,'01. KE30'!$C:$C,'06. BC BH THEO CUSTOMER-USD'!$D166,'01. KE30'!$F:$F,'06. BC BH THEO CUSTOMER-USD'!$H166,'01. KE30'!$A:$A,'06. BC BH THEO CUSTOMER-USD'!DW$4)-SUMIFS('01. KE30'!$AA:$AA,'01. KE30'!$C:$C,'06. BC BH THEO CUSTOMER-USD'!$D166,'01. KE30'!$F:$F,'06. BC BH THEO CUSTOMER-USD'!$H166,'01. KE30'!$A:$A,'06. BC BH THEO CUSTOMER-USD'!DW$4),"-")</f>
        <v>0</v>
      </c>
      <c r="DX166" s="114">
        <f>IFERROR(SUMIFS('01. KE30'!$X:$X,'01. KE30'!$C:$C,'06. BC BH THEO CUSTOMER-USD'!$D166,'01. KE30'!$F:$F,'06. BC BH THEO CUSTOMER-USD'!$H166,'01. KE30'!$A:$A,'06. BC BH THEO CUSTOMER-USD'!DX$4)-SUMIFS('01. KE30'!$AA:$AA,'01. KE30'!$C:$C,'06. BC BH THEO CUSTOMER-USD'!$D166,'01. KE30'!$F:$F,'06. BC BH THEO CUSTOMER-USD'!$H166,'01. KE30'!$A:$A,'06. BC BH THEO CUSTOMER-USD'!DX$4),"-")</f>
        <v>0</v>
      </c>
      <c r="DY166" s="114">
        <f>IFERROR(SUMIFS('01. KE30'!$X:$X,'01. KE30'!$C:$C,'06. BC BH THEO CUSTOMER-USD'!$D166,'01. KE30'!$F:$F,'06. BC BH THEO CUSTOMER-USD'!$H166,'01. KE30'!$A:$A,'06. BC BH THEO CUSTOMER-USD'!DY$4)-SUMIFS('01. KE30'!$AA:$AA,'01. KE30'!$C:$C,'06. BC BH THEO CUSTOMER-USD'!$D166,'01. KE30'!$F:$F,'06. BC BH THEO CUSTOMER-USD'!$H166,'01. KE30'!$A:$A,'06. BC BH THEO CUSTOMER-USD'!DY$4),"-")</f>
        <v>0</v>
      </c>
      <c r="DZ166" s="114">
        <f>IFERROR(SUMIFS('01. KE30'!$X:$X,'01. KE30'!$C:$C,'06. BC BH THEO CUSTOMER-USD'!$D166,'01. KE30'!$F:$F,'06. BC BH THEO CUSTOMER-USD'!$H166,'01. KE30'!$A:$A,'06. BC BH THEO CUSTOMER-USD'!DZ$4)-SUMIFS('01. KE30'!$AA:$AA,'01. KE30'!$C:$C,'06. BC BH THEO CUSTOMER-USD'!$D166,'01. KE30'!$F:$F,'06. BC BH THEO CUSTOMER-USD'!$H166,'01. KE30'!$A:$A,'06. BC BH THEO CUSTOMER-USD'!DZ$4),"-")</f>
        <v>0</v>
      </c>
      <c r="EA166" s="114">
        <f>IFERROR(SUMIFS('01. KE30'!$X:$X,'01. KE30'!$C:$C,'06. BC BH THEO CUSTOMER-USD'!$D166,'01. KE30'!$F:$F,'06. BC BH THEO CUSTOMER-USD'!$H166,'01. KE30'!$A:$A,'06. BC BH THEO CUSTOMER-USD'!EA$4)-SUMIFS('01. KE30'!$AA:$AA,'01. KE30'!$C:$C,'06. BC BH THEO CUSTOMER-USD'!$D166,'01. KE30'!$F:$F,'06. BC BH THEO CUSTOMER-USD'!$H166,'01. KE30'!$A:$A,'06. BC BH THEO CUSTOMER-USD'!EA$4),"-")</f>
        <v>0</v>
      </c>
      <c r="EB166" s="114">
        <f>IFERROR(SUMIFS('01. KE30'!$X:$X,'01. KE30'!$C:$C,'06. BC BH THEO CUSTOMER-USD'!$D166,'01. KE30'!$F:$F,'06. BC BH THEO CUSTOMER-USD'!$H166,'01. KE30'!$A:$A,'06. BC BH THEO CUSTOMER-USD'!EB$4)-SUMIFS('01. KE30'!$AA:$AA,'01. KE30'!$C:$C,'06. BC BH THEO CUSTOMER-USD'!$D166,'01. KE30'!$F:$F,'06. BC BH THEO CUSTOMER-USD'!$H166,'01. KE30'!$A:$A,'06. BC BH THEO CUSTOMER-USD'!EB$4),"-")</f>
        <v>0</v>
      </c>
      <c r="EC166" s="114">
        <f>IFERROR(SUMIFS('01. KE30'!$X:$X,'01. KE30'!$C:$C,'06. BC BH THEO CUSTOMER-USD'!$D166,'01. KE30'!$F:$F,'06. BC BH THEO CUSTOMER-USD'!$H166,'01. KE30'!$A:$A,'06. BC BH THEO CUSTOMER-USD'!EC$4)-SUMIFS('01. KE30'!$AA:$AA,'01. KE30'!$C:$C,'06. BC BH THEO CUSTOMER-USD'!$D166,'01. KE30'!$F:$F,'06. BC BH THEO CUSTOMER-USD'!$H166,'01. KE30'!$A:$A,'06. BC BH THEO CUSTOMER-USD'!EC$4),"-")</f>
        <v>0</v>
      </c>
      <c r="ED166" s="114">
        <f>IFERROR(SUMIFS('01. KE30'!$X:$X,'01. KE30'!$C:$C,'06. BC BH THEO CUSTOMER-USD'!$D166,'01. KE30'!$F:$F,'06. BC BH THEO CUSTOMER-USD'!$H166,'01. KE30'!$A:$A,'06. BC BH THEO CUSTOMER-USD'!ED$4)-SUMIFS('01. KE30'!$AA:$AA,'01. KE30'!$C:$C,'06. BC BH THEO CUSTOMER-USD'!$D166,'01. KE30'!$F:$F,'06. BC BH THEO CUSTOMER-USD'!$H166,'01. KE30'!$A:$A,'06. BC BH THEO CUSTOMER-USD'!ED$4),"-")</f>
        <v>0</v>
      </c>
      <c r="EE166" s="114">
        <f>IFERROR(SUMIFS('01. KE30'!$X:$X,'01. KE30'!$C:$C,'06. BC BH THEO CUSTOMER-USD'!$D166,'01. KE30'!$F:$F,'06. BC BH THEO CUSTOMER-USD'!$H166,'01. KE30'!$A:$A,'06. BC BH THEO CUSTOMER-USD'!EE$4)-SUMIFS('01. KE30'!$AA:$AA,'01. KE30'!$C:$C,'06. BC BH THEO CUSTOMER-USD'!$D166,'01. KE30'!$F:$F,'06. BC BH THEO CUSTOMER-USD'!$H166,'01. KE30'!$A:$A,'06. BC BH THEO CUSTOMER-USD'!EE$4),"-")</f>
        <v>0</v>
      </c>
      <c r="EF166" s="114">
        <f>IFERROR(SUMIFS('01. KE30'!$X:$X,'01. KE30'!$C:$C,'06. BC BH THEO CUSTOMER-USD'!$D166,'01. KE30'!$F:$F,'06. BC BH THEO CUSTOMER-USD'!$H166,'01. KE30'!$A:$A,'06. BC BH THEO CUSTOMER-USD'!EF$4)-SUMIFS('01. KE30'!$AA:$AA,'01. KE30'!$C:$C,'06. BC BH THEO CUSTOMER-USD'!$D166,'01. KE30'!$F:$F,'06. BC BH THEO CUSTOMER-USD'!$H166,'01. KE30'!$A:$A,'06. BC BH THEO CUSTOMER-USD'!EF$4),"-")</f>
        <v>0</v>
      </c>
      <c r="EH166" s="571" t="str">
        <f t="shared" si="1737"/>
        <v>-</v>
      </c>
      <c r="EI166" s="572" t="str">
        <f t="shared" si="1738"/>
        <v>-</v>
      </c>
      <c r="EJ166" s="572" t="str">
        <f t="shared" si="1739"/>
        <v>-</v>
      </c>
      <c r="EK166" s="572" t="str">
        <f t="shared" si="1740"/>
        <v>-</v>
      </c>
      <c r="EL166" s="572" t="str">
        <f t="shared" si="1741"/>
        <v>-</v>
      </c>
      <c r="EM166" s="572" t="str">
        <f t="shared" si="1742"/>
        <v>-</v>
      </c>
      <c r="EN166" s="572" t="str">
        <f t="shared" si="1743"/>
        <v>-</v>
      </c>
      <c r="EO166" s="572" t="str">
        <f t="shared" si="1744"/>
        <v>-</v>
      </c>
      <c r="EP166" s="572" t="str">
        <f t="shared" si="1745"/>
        <v>-</v>
      </c>
      <c r="EQ166" s="572" t="str">
        <f t="shared" si="1746"/>
        <v>-</v>
      </c>
      <c r="ER166" s="572" t="str">
        <f t="shared" si="1747"/>
        <v>-</v>
      </c>
      <c r="ES166" s="572" t="str">
        <f t="shared" si="1748"/>
        <v>-</v>
      </c>
      <c r="ET166" s="572" t="str">
        <f t="shared" si="1749"/>
        <v>-</v>
      </c>
    </row>
    <row r="167" spans="1:150" ht="15.5" hidden="1" outlineLevel="1" x14ac:dyDescent="0.35">
      <c r="A167" s="10">
        <f t="shared" si="1266"/>
        <v>9</v>
      </c>
      <c r="B167" s="10" t="s">
        <v>266</v>
      </c>
      <c r="C167" s="497"/>
      <c r="D167" s="9" t="s">
        <v>637</v>
      </c>
      <c r="E167" s="8" t="s">
        <v>638</v>
      </c>
      <c r="F167" s="12" t="s">
        <v>245</v>
      </c>
      <c r="G167" s="12" t="str">
        <f>_xlfn.XLOOKUP(F167,'Quy đổi'!$G$5:$G$32,'Quy đổi'!$H$5:$H$32,0)</f>
        <v>Nội địa</v>
      </c>
      <c r="H167" s="80" t="s">
        <v>206</v>
      </c>
      <c r="I167" s="7" t="s">
        <v>207</v>
      </c>
      <c r="J167" s="69" t="s">
        <v>22</v>
      </c>
      <c r="K167" s="5"/>
      <c r="L167" s="92">
        <f t="shared" ref="L167:L170" si="1813">IFERROR(AVERAGE(M167:X167),"-")</f>
        <v>729.55155641139083</v>
      </c>
      <c r="M167" s="106" t="str">
        <f>IFERROR(SUMIFS('01. KE30'!$K:$K,'01. KE30'!$C:$C,'06. BC BH THEO CUSTOMER-USD'!$D167,'01. KE30'!$F:$F,'06. BC BH THEO CUSTOMER-USD'!$H167,'01. KE30'!$A:$A,'06. BC BH THEO CUSTOMER-USD'!M$4)/'06. BC BH THEO CUSTOMER-USD'!CS167/'02. Tỷ giá'!B$5,"-")</f>
        <v>-</v>
      </c>
      <c r="N167" s="106" t="str">
        <f>IFERROR(SUMIFS('01. KE30'!$K:$K,'01. KE30'!$C:$C,'06. BC BH THEO CUSTOMER-USD'!$D167,'01. KE30'!$F:$F,'06. BC BH THEO CUSTOMER-USD'!$H167,'01. KE30'!$A:$A,'06. BC BH THEO CUSTOMER-USD'!N$4)/'06. BC BH THEO CUSTOMER-USD'!CT167/'02. Tỷ giá'!C$5,"-")</f>
        <v>-</v>
      </c>
      <c r="O167" s="106" t="str">
        <f>IFERROR(SUMIFS('01. KE30'!$K:$K,'01. KE30'!$C:$C,'06. BC BH THEO CUSTOMER-USD'!$D167,'01. KE30'!$F:$F,'06. BC BH THEO CUSTOMER-USD'!$H167,'01. KE30'!$A:$A,'06. BC BH THEO CUSTOMER-USD'!O$4)/'06. BC BH THEO CUSTOMER-USD'!CU167/'02. Tỷ giá'!D$5,"-")</f>
        <v>-</v>
      </c>
      <c r="P167" s="106">
        <f>IFERROR(SUMIFS('01. KE30'!$K:$K,'01. KE30'!$C:$C,'06. BC BH THEO CUSTOMER-USD'!$D167,'01. KE30'!$F:$F,'06. BC BH THEO CUSTOMER-USD'!$H167,'01. KE30'!$A:$A,'06. BC BH THEO CUSTOMER-USD'!P$4)/'06. BC BH THEO CUSTOMER-USD'!CV167/'02. Tỷ giá'!E$5,"-")</f>
        <v>734.86184023745</v>
      </c>
      <c r="Q167" s="106" t="str">
        <f>IFERROR(SUMIFS('01. KE30'!$K:$K,'01. KE30'!$C:$C,'06. BC BH THEO CUSTOMER-USD'!$D167,'01. KE30'!$F:$F,'06. BC BH THEO CUSTOMER-USD'!$H167,'01. KE30'!$A:$A,'06. BC BH THEO CUSTOMER-USD'!Q$4)/'06. BC BH THEO CUSTOMER-USD'!CW167/'02. Tỷ giá'!F$5,"-")</f>
        <v>-</v>
      </c>
      <c r="R167" s="106" t="str">
        <f>IFERROR(SUMIFS('01. KE30'!$K:$K,'01. KE30'!$C:$C,'06. BC BH THEO CUSTOMER-USD'!$D167,'01. KE30'!$F:$F,'06. BC BH THEO CUSTOMER-USD'!$H167,'01. KE30'!$A:$A,'06. BC BH THEO CUSTOMER-USD'!R$4)/'06. BC BH THEO CUSTOMER-USD'!CX167/'02. Tỷ giá'!G$5,"-")</f>
        <v>-</v>
      </c>
      <c r="S167" s="106" t="str">
        <f>IFERROR(SUMIFS('01. KE30'!$K:$K,'01. KE30'!$C:$C,'06. BC BH THEO CUSTOMER-USD'!$D167,'01. KE30'!$F:$F,'06. BC BH THEO CUSTOMER-USD'!$H167,'01. KE30'!$A:$A,'06. BC BH THEO CUSTOMER-USD'!S$4)/'06. BC BH THEO CUSTOMER-USD'!CY167/'02. Tỷ giá'!H$5,"-")</f>
        <v>-</v>
      </c>
      <c r="T167" s="106">
        <f>IFERROR(SUMIFS('01. KE30'!$K:$K,'01. KE30'!$C:$C,'06. BC BH THEO CUSTOMER-USD'!$D167,'01. KE30'!$F:$F,'06. BC BH THEO CUSTOMER-USD'!$H167,'01. KE30'!$A:$A,'06. BC BH THEO CUSTOMER-USD'!T$4)/'06. BC BH THEO CUSTOMER-USD'!CZ167/'02. Tỷ giá'!I$5,"-")</f>
        <v>727.86690345559714</v>
      </c>
      <c r="U167" s="106">
        <f>IFERROR(SUMIFS('01. KE30'!$K:$K,'01. KE30'!$C:$C,'06. BC BH THEO CUSTOMER-USD'!$D167,'01. KE30'!$F:$F,'06. BC BH THEO CUSTOMER-USD'!$H167,'01. KE30'!$A:$A,'06. BC BH THEO CUSTOMER-USD'!U$4)/'06. BC BH THEO CUSTOMER-USD'!DA167/'02. Tỷ giá'!J$5,"-")</f>
        <v>725.92592554112559</v>
      </c>
      <c r="V167" s="106" t="str">
        <f>IFERROR(SUMIFS('01. KE30'!$K:$K,'01. KE30'!$C:$C,'06. BC BH THEO CUSTOMER-USD'!$D167,'01. KE30'!$F:$F,'06. BC BH THEO CUSTOMER-USD'!$H167,'01. KE30'!$A:$A,'06. BC BH THEO CUSTOMER-USD'!V$4)/'06. BC BH THEO CUSTOMER-USD'!DB167/'02. Tỷ giá'!K$5,"-")</f>
        <v>-</v>
      </c>
      <c r="W167" s="106" t="str">
        <f>IFERROR(SUMIFS('01. KE30'!$K:$K,'01. KE30'!$C:$C,'06. BC BH THEO CUSTOMER-USD'!$D167,'01. KE30'!$F:$F,'06. BC BH THEO CUSTOMER-USD'!$H167,'01. KE30'!$A:$A,'06. BC BH THEO CUSTOMER-USD'!W$4)/'06. BC BH THEO CUSTOMER-USD'!DC167/'02. Tỷ giá'!L$5,"-")</f>
        <v>-</v>
      </c>
      <c r="X167" s="106" t="str">
        <f>IFERROR(SUMIFS('01. KE30'!$K:$K,'01. KE30'!$C:$C,'06. BC BH THEO CUSTOMER-USD'!$D167,'01. KE30'!$F:$F,'06. BC BH THEO CUSTOMER-USD'!$H167,'01. KE30'!$A:$A,'06. BC BH THEO CUSTOMER-USD'!X$4)/'06. BC BH THEO CUSTOMER-USD'!DD167/'02. Tỷ giá'!M$5,"-")</f>
        <v>-</v>
      </c>
      <c r="Z167" s="92">
        <f t="shared" ref="Z167:Z170" si="1814">IFERROR(AVERAGE(AA167:AL167),"-")</f>
        <v>692.17180493418482</v>
      </c>
      <c r="AA167" s="147" t="str">
        <f>IFERROR(SUMIFS('01. KE30'!$O:$O,'01. KE30'!$C:$C,'06. BC BH THEO CUSTOMER-USD'!$D167,'01. KE30'!$F:$F,'06. BC BH THEO CUSTOMER-USD'!$H167,'01. KE30'!$A:$A,'06. BC BH THEO CUSTOMER-USD'!M$4)/'06. BC BH THEO CUSTOMER-USD'!CS167/'02. Tỷ giá'!B$5,"-")</f>
        <v>-</v>
      </c>
      <c r="AB167" s="147" t="str">
        <f>IFERROR(SUMIFS('01. KE30'!$O:$O,'01. KE30'!$C:$C,'06. BC BH THEO CUSTOMER-USD'!$D167,'01. KE30'!$F:$F,'06. BC BH THEO CUSTOMER-USD'!$H167,'01. KE30'!$A:$A,'06. BC BH THEO CUSTOMER-USD'!N$4)/'06. BC BH THEO CUSTOMER-USD'!CT167/'02. Tỷ giá'!C$5,"-")</f>
        <v>-</v>
      </c>
      <c r="AC167" s="147" t="str">
        <f>IFERROR(SUMIFS('01. KE30'!$O:$O,'01. KE30'!$C:$C,'06. BC BH THEO CUSTOMER-USD'!$D167,'01. KE30'!$F:$F,'06. BC BH THEO CUSTOMER-USD'!$H167,'01. KE30'!$A:$A,'06. BC BH THEO CUSTOMER-USD'!O$4)/'06. BC BH THEO CUSTOMER-USD'!CU167/'02. Tỷ giá'!D$5,"-")</f>
        <v>-</v>
      </c>
      <c r="AD167" s="147">
        <f>IFERROR(SUMIFS('01. KE30'!$O:$O,'01. KE30'!$C:$C,'06. BC BH THEO CUSTOMER-USD'!$D167,'01. KE30'!$F:$F,'06. BC BH THEO CUSTOMER-USD'!$H167,'01. KE30'!$A:$A,'06. BC BH THEO CUSTOMER-USD'!P$4)/'06. BC BH THEO CUSTOMER-USD'!CV167/'02. Tỷ giá'!E$5,"-")</f>
        <v>699.01492092169599</v>
      </c>
      <c r="AE167" s="147" t="str">
        <f>IFERROR(SUMIFS('01. KE30'!$O:$O,'01. KE30'!$C:$C,'06. BC BH THEO CUSTOMER-USD'!$D167,'01. KE30'!$F:$F,'06. BC BH THEO CUSTOMER-USD'!$H167,'01. KE30'!$A:$A,'06. BC BH THEO CUSTOMER-USD'!Q$4)/'06. BC BH THEO CUSTOMER-USD'!CW167/'02. Tỷ giá'!F$5,"-")</f>
        <v>-</v>
      </c>
      <c r="AF167" s="147" t="str">
        <f>IFERROR(SUMIFS('01. KE30'!$O:$O,'01. KE30'!$C:$C,'06. BC BH THEO CUSTOMER-USD'!$D167,'01. KE30'!$F:$F,'06. BC BH THEO CUSTOMER-USD'!$H167,'01. KE30'!$A:$A,'06. BC BH THEO CUSTOMER-USD'!R$4)/'06. BC BH THEO CUSTOMER-USD'!CX167/'02. Tỷ giá'!G$5,"-")</f>
        <v>-</v>
      </c>
      <c r="AG167" s="147" t="str">
        <f>IFERROR(SUMIFS('01. KE30'!$O:$O,'01. KE30'!$C:$C,'06. BC BH THEO CUSTOMER-USD'!$D167,'01. KE30'!$F:$F,'06. BC BH THEO CUSTOMER-USD'!$H167,'01. KE30'!$A:$A,'06. BC BH THEO CUSTOMER-USD'!S$4)/'06. BC BH THEO CUSTOMER-USD'!CY167/'02. Tỷ giá'!H$5,"-")</f>
        <v>-</v>
      </c>
      <c r="AH167" s="147">
        <f>IFERROR(SUMIFS('01. KE30'!$O:$O,'01. KE30'!$C:$C,'06. BC BH THEO CUSTOMER-USD'!$D167,'01. KE30'!$F:$F,'06. BC BH THEO CUSTOMER-USD'!$H167,'01. KE30'!$A:$A,'06. BC BH THEO CUSTOMER-USD'!T$4)/'06. BC BH THEO CUSTOMER-USD'!CZ167/'02. Tỷ giá'!I$5,"-")</f>
        <v>689.66980643497072</v>
      </c>
      <c r="AI167" s="147">
        <f>IFERROR(SUMIFS('01. KE30'!$O:$O,'01. KE30'!$C:$C,'06. BC BH THEO CUSTOMER-USD'!$D167,'01. KE30'!$F:$F,'06. BC BH THEO CUSTOMER-USD'!$H167,'01. KE30'!$A:$A,'06. BC BH THEO CUSTOMER-USD'!U$4)/'06. BC BH THEO CUSTOMER-USD'!DA167/'02. Tỷ giá'!J$5,"-")</f>
        <v>687.83068744588752</v>
      </c>
      <c r="AJ167" s="147" t="str">
        <f>IFERROR(SUMIFS('01. KE30'!$O:$O,'01. KE30'!$C:$C,'06. BC BH THEO CUSTOMER-USD'!$D167,'01. KE30'!$F:$F,'06. BC BH THEO CUSTOMER-USD'!$H167,'01. KE30'!$A:$A,'06. BC BH THEO CUSTOMER-USD'!V$4)/'06. BC BH THEO CUSTOMER-USD'!DB167/'02. Tỷ giá'!K$5,"-")</f>
        <v>-</v>
      </c>
      <c r="AK167" s="147" t="str">
        <f>IFERROR(SUMIFS('01. KE30'!$O:$O,'01. KE30'!$C:$C,'06. BC BH THEO CUSTOMER-USD'!$D167,'01. KE30'!$F:$F,'06. BC BH THEO CUSTOMER-USD'!$H167,'01. KE30'!$A:$A,'06. BC BH THEO CUSTOMER-USD'!W$4)/'06. BC BH THEO CUSTOMER-USD'!DC167/'02. Tỷ giá'!L$5,"-")</f>
        <v>-</v>
      </c>
      <c r="AL167" s="147" t="str">
        <f>IFERROR(SUMIFS('01. KE30'!$O:$O,'01. KE30'!$C:$C,'06. BC BH THEO CUSTOMER-USD'!$D167,'01. KE30'!$F:$F,'06. BC BH THEO CUSTOMER-USD'!$H167,'01. KE30'!$A:$A,'06. BC BH THEO CUSTOMER-USD'!X$4)/'06. BC BH THEO CUSTOMER-USD'!DD167/'02. Tỷ giá'!M$5,"-")</f>
        <v>-</v>
      </c>
      <c r="AN167" s="55">
        <f t="shared" ref="AN167:AN170" si="1815">IFERROR(AVERAGE(AO167:AZ167),"-")</f>
        <v>790</v>
      </c>
      <c r="AO167" s="4">
        <v>870</v>
      </c>
      <c r="AP167" s="4">
        <v>800</v>
      </c>
      <c r="AQ167" s="4">
        <v>805</v>
      </c>
      <c r="AR167" s="4">
        <v>805</v>
      </c>
      <c r="AS167" s="4">
        <v>765</v>
      </c>
      <c r="AT167" s="4">
        <v>765</v>
      </c>
      <c r="AU167" s="4">
        <v>780</v>
      </c>
      <c r="AV167" s="4">
        <f t="shared" si="1272"/>
        <v>760</v>
      </c>
      <c r="AW167" s="4">
        <v>760</v>
      </c>
      <c r="AX167" s="4"/>
      <c r="AY167" s="4"/>
      <c r="AZ167" s="4"/>
      <c r="BB167" s="54">
        <f t="shared" ref="BB167:BB170" si="1816">IF(L167&lt;&gt;"-",Z167-AN167,"-")</f>
        <v>-97.82819506581518</v>
      </c>
      <c r="BC167" s="95" t="str">
        <f t="shared" ref="BC167:BC170" si="1817">IF(M167&lt;&gt;"-",AA167-AO167,"-")</f>
        <v>-</v>
      </c>
      <c r="BD167" s="95" t="str">
        <f t="shared" ref="BD167:BD170" si="1818">IF(N167&lt;&gt;"-",AB167-AP167,"-")</f>
        <v>-</v>
      </c>
      <c r="BE167" s="95" t="str">
        <f t="shared" ref="BE167:BE170" si="1819">IF(O167&lt;&gt;"-",AC167-AQ167,"-")</f>
        <v>-</v>
      </c>
      <c r="BF167" s="95">
        <f t="shared" ref="BF167:BF170" si="1820">IF(P167&lt;&gt;"-",AD167-AR167,"-")</f>
        <v>-105.98507907830401</v>
      </c>
      <c r="BG167" s="95" t="str">
        <f t="shared" ref="BG167:BG170" si="1821">IF(Q167&lt;&gt;"-",AE167-AS167,"-")</f>
        <v>-</v>
      </c>
      <c r="BH167" s="95" t="str">
        <f t="shared" ref="BH167:BH170" si="1822">IF(R167&lt;&gt;"-",AF167-AT167,"-")</f>
        <v>-</v>
      </c>
      <c r="BI167" s="95" t="str">
        <f t="shared" ref="BI167:BI170" si="1823">IF(S167&lt;&gt;"-",AG167-AU167,"-")</f>
        <v>-</v>
      </c>
      <c r="BJ167" s="95">
        <f t="shared" ref="BJ167:BJ170" si="1824">IF(T167&lt;&gt;"-",AH167-AV167,"-")</f>
        <v>-70.330193565029276</v>
      </c>
      <c r="BK167" s="95">
        <f t="shared" ref="BK167:BK170" si="1825">IF(U167&lt;&gt;"-",AI167-AW167,"-")</f>
        <v>-72.16931255411248</v>
      </c>
      <c r="BL167" s="95" t="str">
        <f t="shared" ref="BL167:BL170" si="1826">IF(V167&lt;&gt;"-",AJ167-AX167,"-")</f>
        <v>-</v>
      </c>
      <c r="BM167" s="95" t="str">
        <f t="shared" ref="BM167:BM170" si="1827">IF(W167&lt;&gt;"-",AK167-AY167,"-")</f>
        <v>-</v>
      </c>
      <c r="BN167" s="95" t="str">
        <f t="shared" ref="BN167:BN170" si="1828">IF(X167&lt;&gt;"-",AL167-AZ167,"-")</f>
        <v>-</v>
      </c>
      <c r="BP167" s="143">
        <f t="shared" ref="BP167:BP170" si="1829">IFERROR(IF(BB167&lt;&gt;"-",BB167/AN167,"-"),"-")</f>
        <v>-0.12383315831115846</v>
      </c>
      <c r="BQ167" s="143" t="str">
        <f t="shared" ref="BQ167:BQ170" si="1830">IFERROR(IF(BC167&lt;&gt;"-",BC167/AO167,"-"),"-")</f>
        <v>-</v>
      </c>
      <c r="BR167" s="143" t="str">
        <f t="shared" ref="BR167:BR170" si="1831">IFERROR(IF(BD167&lt;&gt;"-",BD167/AP167,"-"),"-")</f>
        <v>-</v>
      </c>
      <c r="BS167" s="143" t="str">
        <f t="shared" ref="BS167:BS170" si="1832">IFERROR(IF(BE167&lt;&gt;"-",BE167/AQ167,"-"),"-")</f>
        <v>-</v>
      </c>
      <c r="BT167" s="143">
        <f t="shared" ref="BT167:BT170" si="1833">IFERROR(IF(BF167&lt;&gt;"-",BF167/AR167,"-"),"-")</f>
        <v>-0.13165848332708574</v>
      </c>
      <c r="BU167" s="143" t="str">
        <f t="shared" ref="BU167:BU170" si="1834">IFERROR(IF(BG167&lt;&gt;"-",BG167/AS167,"-"),"-")</f>
        <v>-</v>
      </c>
      <c r="BV167" s="143" t="str">
        <f t="shared" ref="BV167:BV170" si="1835">IFERROR(IF(BH167&lt;&gt;"-",BH167/AT167,"-"),"-")</f>
        <v>-</v>
      </c>
      <c r="BW167" s="143" t="str">
        <f t="shared" ref="BW167:BW170" si="1836">IFERROR(IF(BI167&lt;&gt;"-",BI167/AU167,"-"),"-")</f>
        <v>-</v>
      </c>
      <c r="BX167" s="143">
        <f t="shared" ref="BX167:BX170" si="1837">IFERROR(IF(BJ167&lt;&gt;"-",BJ167/AV167,"-"),"-")</f>
        <v>-9.2539728375038516E-2</v>
      </c>
      <c r="BY167" s="143">
        <f t="shared" ref="BY167:BY170" si="1838">IFERROR(IF(BK167&lt;&gt;"-",BK167/AW167,"-"),"-")</f>
        <v>-9.4959621781726941E-2</v>
      </c>
      <c r="BZ167" s="143" t="str">
        <f t="shared" ref="BZ167:BZ170" si="1839">IFERROR(IF(BL167&lt;&gt;"-",BL167/AX167,"-"),"-")</f>
        <v>-</v>
      </c>
      <c r="CA167" s="143" t="str">
        <f t="shared" ref="CA167:CA170" si="1840">IFERROR(IF(BM167&lt;&gt;"-",BM167/AY167,"-"),"-")</f>
        <v>-</v>
      </c>
      <c r="CB167" s="143" t="str">
        <f t="shared" ref="CB167:CB170" si="1841">IFERROR(IF(BN167&lt;&gt;"-",BN167/AZ167,"-"),"-")</f>
        <v>-</v>
      </c>
      <c r="CD167" s="112">
        <f t="shared" ref="CD167:CD170" si="1842">IFERROR(AVERAGE(CE167:CP167),"-")</f>
        <v>789.23980397033574</v>
      </c>
      <c r="CE167" s="95" t="str">
        <f>IFERROR(SUMIFS('01. KE30'!$R:$R,'01. KE30'!$C:$C,'06. BC BH THEO CUSTOMER-USD'!$D167,'01. KE30'!$F:$F,'06. BC BH THEO CUSTOMER-USD'!$H167,'01. KE30'!$A:$A,'06. BC BH THEO CUSTOMER-USD'!CE$4)/CS167/'02. Tỷ giá'!B$5," -")</f>
        <v xml:space="preserve"> -</v>
      </c>
      <c r="CF167" s="95" t="str">
        <f>IFERROR(SUMIFS('01. KE30'!$R:$R,'01. KE30'!$C:$C,'06. BC BH THEO CUSTOMER-USD'!$D167,'01. KE30'!$F:$F,'06. BC BH THEO CUSTOMER-USD'!$H167,'01. KE30'!$A:$A,'06. BC BH THEO CUSTOMER-USD'!CF$4)/CT167/'02. Tỷ giá'!C$5," -")</f>
        <v xml:space="preserve"> -</v>
      </c>
      <c r="CG167" s="95" t="str">
        <f>IFERROR(SUMIFS('01. KE30'!$R:$R,'01. KE30'!$C:$C,'06. BC BH THEO CUSTOMER-USD'!$D167,'01. KE30'!$F:$F,'06. BC BH THEO CUSTOMER-USD'!$H167,'01. KE30'!$A:$A,'06. BC BH THEO CUSTOMER-USD'!CG$4)/CU167/'02. Tỷ giá'!D$5," -")</f>
        <v xml:space="preserve"> -</v>
      </c>
      <c r="CH167" s="95">
        <f>IFERROR(SUMIFS('01. KE30'!$R:$R,'01. KE30'!$C:$C,'06. BC BH THEO CUSTOMER-USD'!$D167,'01. KE30'!$F:$F,'06. BC BH THEO CUSTOMER-USD'!$H167,'01. KE30'!$A:$A,'06. BC BH THEO CUSTOMER-USD'!CH$4)/CV167/'02. Tỷ giá'!E$5," -")</f>
        <v>501.11338237191893</v>
      </c>
      <c r="CI167" s="95" t="str">
        <f>IFERROR(SUMIFS('01. KE30'!$R:$R,'01. KE30'!$C:$C,'06. BC BH THEO CUSTOMER-USD'!$D167,'01. KE30'!$F:$F,'06. BC BH THEO CUSTOMER-USD'!$H167,'01. KE30'!$A:$A,'06. BC BH THEO CUSTOMER-USD'!CI$4)/CW167/'02. Tỷ giá'!F$5," -")</f>
        <v xml:space="preserve"> -</v>
      </c>
      <c r="CJ167" s="95" t="str">
        <f>IFERROR(SUMIFS('01. KE30'!$R:$R,'01. KE30'!$C:$C,'06. BC BH THEO CUSTOMER-USD'!$D167,'01. KE30'!$F:$F,'06. BC BH THEO CUSTOMER-USD'!$H167,'01. KE30'!$A:$A,'06. BC BH THEO CUSTOMER-USD'!CJ$4)/CX167/'02. Tỷ giá'!G$5," -")</f>
        <v xml:space="preserve"> -</v>
      </c>
      <c r="CK167" s="95" t="str">
        <f>IFERROR(SUMIFS('01. KE30'!$R:$R,'01. KE30'!$C:$C,'06. BC BH THEO CUSTOMER-USD'!$D167,'01. KE30'!$F:$F,'06. BC BH THEO CUSTOMER-USD'!$H167,'01. KE30'!$A:$A,'06. BC BH THEO CUSTOMER-USD'!CK$4)/CY167/'02. Tỷ giá'!H$5," -")</f>
        <v xml:space="preserve"> -</v>
      </c>
      <c r="CL167" s="95">
        <f>IFERROR(SUMIFS('01. KE30'!$R:$R,'01. KE30'!$C:$C,'06. BC BH THEO CUSTOMER-USD'!$D167,'01. KE30'!$F:$F,'06. BC BH THEO CUSTOMER-USD'!$H167,'01. KE30'!$A:$A,'06. BC BH THEO CUSTOMER-USD'!CL$4)/CZ167/'02. Tỷ giá'!I$5," -")</f>
        <v>1052.5812070282659</v>
      </c>
      <c r="CM167" s="95">
        <f>IFERROR(SUMIFS('01. KE30'!$R:$R,'01. KE30'!$C:$C,'06. BC BH THEO CUSTOMER-USD'!$D167,'01. KE30'!$F:$F,'06. BC BH THEO CUSTOMER-USD'!$H167,'01. KE30'!$A:$A,'06. BC BH THEO CUSTOMER-USD'!CM$4)/DA167/'02. Tỷ giá'!J$5," -")</f>
        <v>814.02482251082245</v>
      </c>
      <c r="CN167" s="95" t="str">
        <f>IFERROR(SUMIFS('01. KE30'!$R:$R,'01. KE30'!$C:$C,'06. BC BH THEO CUSTOMER-USD'!$D167,'01. KE30'!$F:$F,'06. BC BH THEO CUSTOMER-USD'!$H167,'01. KE30'!$A:$A,'06. BC BH THEO CUSTOMER-USD'!CN$4)/DB167/'02. Tỷ giá'!K$5," -")</f>
        <v xml:space="preserve"> -</v>
      </c>
      <c r="CO167" s="95" t="str">
        <f>IFERROR(SUMIFS('01. KE30'!$R:$R,'01. KE30'!$C:$C,'06. BC BH THEO CUSTOMER-USD'!$D167,'01. KE30'!$F:$F,'06. BC BH THEO CUSTOMER-USD'!$H167,'01. KE30'!$A:$A,'06. BC BH THEO CUSTOMER-USD'!CO$4)/DC167/'02. Tỷ giá'!L$5," -")</f>
        <v xml:space="preserve"> -</v>
      </c>
      <c r="CP167" s="95" t="str">
        <f>IFERROR(SUMIFS('01. KE30'!$R:$R,'01. KE30'!$C:$C,'06. BC BH THEO CUSTOMER-USD'!$D167,'01. KE30'!$F:$F,'06. BC BH THEO CUSTOMER-USD'!$H167,'01. KE30'!$A:$A,'06. BC BH THEO CUSTOMER-USD'!CP$4)/DD167/'02. Tỷ giá'!M$5," -")</f>
        <v xml:space="preserve"> -</v>
      </c>
      <c r="CR167" s="112">
        <f t="shared" ref="CR167:CR170" si="1843">SUM(CS167:DD167)</f>
        <v>33.125</v>
      </c>
      <c r="CS167" s="114">
        <f>SUMIFS('01. KE30'!$I:$I,'01. KE30'!$C:$C,'06. BC BH THEO CUSTOMER-USD'!$D167,'01. KE30'!$F:$F,'06. BC BH THEO CUSTOMER-USD'!$H167,'01. KE30'!$A:$A,'06. BC BH THEO CUSTOMER-USD'!CS$4)/1000</f>
        <v>0</v>
      </c>
      <c r="CT167" s="114">
        <f>SUMIFS('01. KE30'!$I:$I,'01. KE30'!$C:$C,'06. BC BH THEO CUSTOMER-USD'!$D167,'01. KE30'!$F:$F,'06. BC BH THEO CUSTOMER-USD'!$H167,'01. KE30'!$A:$A,'06. BC BH THEO CUSTOMER-USD'!CT$4)/1000</f>
        <v>0</v>
      </c>
      <c r="CU167" s="114">
        <f>SUMIFS('01. KE30'!$I:$I,'01. KE30'!$C:$C,'06. BC BH THEO CUSTOMER-USD'!$D167,'01. KE30'!$F:$F,'06. BC BH THEO CUSTOMER-USD'!$H167,'01. KE30'!$A:$A,'06. BC BH THEO CUSTOMER-USD'!CU$4)/1000</f>
        <v>0</v>
      </c>
      <c r="CV167" s="114">
        <f>SUMIFS('01. KE30'!$I:$I,'01. KE30'!$C:$C,'06. BC BH THEO CUSTOMER-USD'!$D167,'01. KE30'!$F:$F,'06. BC BH THEO CUSTOMER-USD'!$H167,'01. KE30'!$A:$A,'06. BC BH THEO CUSTOMER-USD'!CV$4)/1000</f>
        <v>1.5</v>
      </c>
      <c r="CW167" s="114">
        <f>SUMIFS('01. KE30'!$I:$I,'01. KE30'!$C:$C,'06. BC BH THEO CUSTOMER-USD'!$D167,'01. KE30'!$F:$F,'06. BC BH THEO CUSTOMER-USD'!$H167,'01. KE30'!$A:$A,'06. BC BH THEO CUSTOMER-USD'!CW$4)/1000</f>
        <v>0</v>
      </c>
      <c r="CX167" s="114">
        <f>SUMIFS('01. KE30'!$I:$I,'01. KE30'!$C:$C,'06. BC BH THEO CUSTOMER-USD'!$D167,'01. KE30'!$F:$F,'06. BC BH THEO CUSTOMER-USD'!$H167,'01. KE30'!$A:$A,'06. BC BH THEO CUSTOMER-USD'!CX$4)/1000</f>
        <v>0</v>
      </c>
      <c r="CY167" s="114">
        <f>SUMIFS('01. KE30'!$I:$I,'01. KE30'!$C:$C,'06. BC BH THEO CUSTOMER-USD'!$D167,'01. KE30'!$F:$F,'06. BC BH THEO CUSTOMER-USD'!$H167,'01. KE30'!$A:$A,'06. BC BH THEO CUSTOMER-USD'!CY$4)/1000</f>
        <v>0</v>
      </c>
      <c r="CZ167" s="114">
        <f>SUMIFS('01. KE30'!$I:$I,'01. KE30'!$C:$C,'06. BC BH THEO CUSTOMER-USD'!$D167,'01. KE30'!$F:$F,'06. BC BH THEO CUSTOMER-USD'!$H167,'01. KE30'!$A:$A,'06. BC BH THEO CUSTOMER-USD'!CZ$4)/1000</f>
        <v>9.625</v>
      </c>
      <c r="DA167" s="114">
        <f>SUMIFS('01. KE30'!$I:$I,'01. KE30'!$C:$C,'06. BC BH THEO CUSTOMER-USD'!$D167,'01. KE30'!$F:$F,'06. BC BH THEO CUSTOMER-USD'!$H167,'01. KE30'!$A:$A,'06. BC BH THEO CUSTOMER-USD'!DA$4)/1000</f>
        <v>22</v>
      </c>
      <c r="DB167" s="114">
        <f>SUMIFS('01. KE30'!$I:$I,'01. KE30'!$C:$C,'06. BC BH THEO CUSTOMER-USD'!$D167,'01. KE30'!$F:$F,'06. BC BH THEO CUSTOMER-USD'!$H167,'01. KE30'!$A:$A,'06. BC BH THEO CUSTOMER-USD'!DB$4)/1000</f>
        <v>0</v>
      </c>
      <c r="DC167" s="114">
        <f>SUMIFS('01. KE30'!$I:$I,'01. KE30'!$C:$C,'06. BC BH THEO CUSTOMER-USD'!$D167,'01. KE30'!$F:$F,'06. BC BH THEO CUSTOMER-USD'!$H167,'01. KE30'!$A:$A,'06. BC BH THEO CUSTOMER-USD'!DC$4)/1000</f>
        <v>0</v>
      </c>
      <c r="DD167" s="114">
        <f>SUMIFS('01. KE30'!$I:$I,'01. KE30'!$C:$C,'06. BC BH THEO CUSTOMER-USD'!$D167,'01. KE30'!$F:$F,'06. BC BH THEO CUSTOMER-USD'!$H167,'01. KE30'!$A:$A,'06. BC BH THEO CUSTOMER-USD'!DD$4)/1000</f>
        <v>0</v>
      </c>
      <c r="DF167" s="112">
        <f t="shared" ref="DF167:DF170" si="1844">SUM(DG167:DR167)</f>
        <v>24078.382068021059</v>
      </c>
      <c r="DG167" s="54" t="str">
        <f t="shared" ref="DG167:DG170" si="1845">IFERROR(M167*CS167,"-")</f>
        <v>-</v>
      </c>
      <c r="DH167" s="54" t="str">
        <f t="shared" ref="DH167:DH170" si="1846">IFERROR(N167*CT167,"-")</f>
        <v>-</v>
      </c>
      <c r="DI167" s="54" t="str">
        <f t="shared" ref="DI167:DI170" si="1847">IFERROR(O167*CU167,"-")</f>
        <v>-</v>
      </c>
      <c r="DJ167" s="54">
        <f t="shared" ref="DJ167:DJ170" si="1848">IFERROR(P167*CV167,"-")</f>
        <v>1102.292760356175</v>
      </c>
      <c r="DK167" s="54" t="str">
        <f t="shared" ref="DK167:DK170" si="1849">IFERROR(Q167*CW167,"-")</f>
        <v>-</v>
      </c>
      <c r="DL167" s="54" t="str">
        <f t="shared" ref="DL167:DL170" si="1850">IFERROR(R167*CX167,"-")</f>
        <v>-</v>
      </c>
      <c r="DM167" s="54" t="str">
        <f t="shared" ref="DM167:DM170" si="1851">IFERROR(S167*CY167,"-")</f>
        <v>-</v>
      </c>
      <c r="DN167" s="54">
        <f t="shared" ref="DN167:DN170" si="1852">IFERROR(T167*CZ167,"-")</f>
        <v>7005.7189457601226</v>
      </c>
      <c r="DO167" s="54">
        <f t="shared" ref="DO167:DO170" si="1853">IFERROR(U167*DA167,"-")</f>
        <v>15970.370361904763</v>
      </c>
      <c r="DP167" s="54" t="str">
        <f t="shared" ref="DP167:DP170" si="1854">IFERROR(V167*DB167,"-")</f>
        <v>-</v>
      </c>
      <c r="DQ167" s="54" t="str">
        <f t="shared" ref="DQ167:DQ170" si="1855">IFERROR(W167*DC167,"-")</f>
        <v>-</v>
      </c>
      <c r="DR167" s="54" t="str">
        <f t="shared" ref="DR167:DR170" si="1856">IFERROR(X167*DD167,"-")</f>
        <v>-</v>
      </c>
      <c r="DT167" s="112">
        <f t="shared" ref="DT167:DT170" si="1857">SUM(DU167:EF167)</f>
        <v>-5972.4408943143726</v>
      </c>
      <c r="DU167" s="114">
        <f>IFERROR(SUMIFS('01. KE30'!$X:$X,'01. KE30'!$C:$C,'06. BC BH THEO CUSTOMER-USD'!$D167,'01. KE30'!$F:$F,'06. BC BH THEO CUSTOMER-USD'!$H167,'01. KE30'!$A:$A,'06. BC BH THEO CUSTOMER-USD'!DU$4)-SUMIFS('01. KE30'!$AA:$AA,'01. KE30'!$C:$C,'06. BC BH THEO CUSTOMER-USD'!$D167,'01. KE30'!$F:$F,'06. BC BH THEO CUSTOMER-USD'!$H167,'01. KE30'!$A:$A,'06. BC BH THEO CUSTOMER-USD'!DU$4),"-")</f>
        <v>0</v>
      </c>
      <c r="DV167" s="114">
        <f>IFERROR(SUMIFS('01. KE30'!$X:$X,'01. KE30'!$C:$C,'06. BC BH THEO CUSTOMER-USD'!$D167,'01. KE30'!$F:$F,'06. BC BH THEO CUSTOMER-USD'!$H167,'01. KE30'!$A:$A,'06. BC BH THEO CUSTOMER-USD'!DV$4)-SUMIFS('01. KE30'!$AA:$AA,'01. KE30'!$C:$C,'06. BC BH THEO CUSTOMER-USD'!$D167,'01. KE30'!$F:$F,'06. BC BH THEO CUSTOMER-USD'!$H167,'01. KE30'!$A:$A,'06. BC BH THEO CUSTOMER-USD'!DV$4),"-")</f>
        <v>0</v>
      </c>
      <c r="DW167" s="114">
        <f>IFERROR(SUMIFS('01. KE30'!$X:$X,'01. KE30'!$C:$C,'06. BC BH THEO CUSTOMER-USD'!$D167,'01. KE30'!$F:$F,'06. BC BH THEO CUSTOMER-USD'!$H167,'01. KE30'!$A:$A,'06. BC BH THEO CUSTOMER-USD'!DW$4)-SUMIFS('01. KE30'!$AA:$AA,'01. KE30'!$C:$C,'06. BC BH THEO CUSTOMER-USD'!$D167,'01. KE30'!$F:$F,'06. BC BH THEO CUSTOMER-USD'!$H167,'01. KE30'!$A:$A,'06. BC BH THEO CUSTOMER-USD'!DW$4),"-")</f>
        <v>0</v>
      </c>
      <c r="DX167" s="114">
        <f>IFERROR(SUMIFS('01. KE30'!$X:$X,'01. KE30'!$C:$C,'06. BC BH THEO CUSTOMER-USD'!$D167,'01. KE30'!$F:$F,'06. BC BH THEO CUSTOMER-USD'!$H167,'01. KE30'!$A:$A,'06. BC BH THEO CUSTOMER-USD'!DX$4)-SUMIFS('01. KE30'!$AA:$AA,'01. KE30'!$C:$C,'06. BC BH THEO CUSTOMER-USD'!$D167,'01. KE30'!$F:$F,'06. BC BH THEO CUSTOMER-USD'!$H167,'01. KE30'!$A:$A,'06. BC BH THEO CUSTOMER-USD'!DX$4),"-")</f>
        <v>296.85230782466544</v>
      </c>
      <c r="DY167" s="114">
        <f>IFERROR(SUMIFS('01. KE30'!$X:$X,'01. KE30'!$C:$C,'06. BC BH THEO CUSTOMER-USD'!$D167,'01. KE30'!$F:$F,'06. BC BH THEO CUSTOMER-USD'!$H167,'01. KE30'!$A:$A,'06. BC BH THEO CUSTOMER-USD'!DY$4)-SUMIFS('01. KE30'!$AA:$AA,'01. KE30'!$C:$C,'06. BC BH THEO CUSTOMER-USD'!$D167,'01. KE30'!$F:$F,'06. BC BH THEO CUSTOMER-USD'!$H167,'01. KE30'!$A:$A,'06. BC BH THEO CUSTOMER-USD'!DY$4),"-")</f>
        <v>0</v>
      </c>
      <c r="DZ167" s="114">
        <f>IFERROR(SUMIFS('01. KE30'!$X:$X,'01. KE30'!$C:$C,'06. BC BH THEO CUSTOMER-USD'!$D167,'01. KE30'!$F:$F,'06. BC BH THEO CUSTOMER-USD'!$H167,'01. KE30'!$A:$A,'06. BC BH THEO CUSTOMER-USD'!DZ$4)-SUMIFS('01. KE30'!$AA:$AA,'01. KE30'!$C:$C,'06. BC BH THEO CUSTOMER-USD'!$D167,'01. KE30'!$F:$F,'06. BC BH THEO CUSTOMER-USD'!$H167,'01. KE30'!$A:$A,'06. BC BH THEO CUSTOMER-USD'!DZ$4),"-")</f>
        <v>0</v>
      </c>
      <c r="EA167" s="114">
        <f>IFERROR(SUMIFS('01. KE30'!$X:$X,'01. KE30'!$C:$C,'06. BC BH THEO CUSTOMER-USD'!$D167,'01. KE30'!$F:$F,'06. BC BH THEO CUSTOMER-USD'!$H167,'01. KE30'!$A:$A,'06. BC BH THEO CUSTOMER-USD'!EA$4)-SUMIFS('01. KE30'!$AA:$AA,'01. KE30'!$C:$C,'06. BC BH THEO CUSTOMER-USD'!$D167,'01. KE30'!$F:$F,'06. BC BH THEO CUSTOMER-USD'!$H167,'01. KE30'!$A:$A,'06. BC BH THEO CUSTOMER-USD'!EA$4),"-")</f>
        <v>0</v>
      </c>
      <c r="EB167" s="114">
        <f>IFERROR(SUMIFS('01. KE30'!$X:$X,'01. KE30'!$C:$C,'06. BC BH THEO CUSTOMER-USD'!$D167,'01. KE30'!$F:$F,'06. BC BH THEO CUSTOMER-USD'!$H167,'01. KE30'!$A:$A,'06. BC BH THEO CUSTOMER-USD'!EB$4)-SUMIFS('01. KE30'!$AA:$AA,'01. KE30'!$C:$C,'06. BC BH THEO CUSTOMER-USD'!$D167,'01. KE30'!$F:$F,'06. BC BH THEO CUSTOMER-USD'!$H167,'01. KE30'!$A:$A,'06. BC BH THEO CUSTOMER-USD'!EB$4),"-")</f>
        <v>-3493.0222307104659</v>
      </c>
      <c r="EC167" s="114">
        <f>IFERROR(SUMIFS('01. KE30'!$X:$X,'01. KE30'!$C:$C,'06. BC BH THEO CUSTOMER-USD'!$D167,'01. KE30'!$F:$F,'06. BC BH THEO CUSTOMER-USD'!$H167,'01. KE30'!$A:$A,'06. BC BH THEO CUSTOMER-USD'!EC$4)-SUMIFS('01. KE30'!$AA:$AA,'01. KE30'!$C:$C,'06. BC BH THEO CUSTOMER-USD'!$D167,'01. KE30'!$F:$F,'06. BC BH THEO CUSTOMER-USD'!$H167,'01. KE30'!$A:$A,'06. BC BH THEO CUSTOMER-USD'!EC$4),"-")</f>
        <v>-2776.270971428572</v>
      </c>
      <c r="ED167" s="114">
        <f>IFERROR(SUMIFS('01. KE30'!$X:$X,'01. KE30'!$C:$C,'06. BC BH THEO CUSTOMER-USD'!$D167,'01. KE30'!$F:$F,'06. BC BH THEO CUSTOMER-USD'!$H167,'01. KE30'!$A:$A,'06. BC BH THEO CUSTOMER-USD'!ED$4)-SUMIFS('01. KE30'!$AA:$AA,'01. KE30'!$C:$C,'06. BC BH THEO CUSTOMER-USD'!$D167,'01. KE30'!$F:$F,'06. BC BH THEO CUSTOMER-USD'!$H167,'01. KE30'!$A:$A,'06. BC BH THEO CUSTOMER-USD'!ED$4),"-")</f>
        <v>0</v>
      </c>
      <c r="EE167" s="114">
        <f>IFERROR(SUMIFS('01. KE30'!$X:$X,'01. KE30'!$C:$C,'06. BC BH THEO CUSTOMER-USD'!$D167,'01. KE30'!$F:$F,'06. BC BH THEO CUSTOMER-USD'!$H167,'01. KE30'!$A:$A,'06. BC BH THEO CUSTOMER-USD'!EE$4)-SUMIFS('01. KE30'!$AA:$AA,'01. KE30'!$C:$C,'06. BC BH THEO CUSTOMER-USD'!$D167,'01. KE30'!$F:$F,'06. BC BH THEO CUSTOMER-USD'!$H167,'01. KE30'!$A:$A,'06. BC BH THEO CUSTOMER-USD'!EE$4),"-")</f>
        <v>0</v>
      </c>
      <c r="EF167" s="114">
        <f>IFERROR(SUMIFS('01. KE30'!$X:$X,'01. KE30'!$C:$C,'06. BC BH THEO CUSTOMER-USD'!$D167,'01. KE30'!$F:$F,'06. BC BH THEO CUSTOMER-USD'!$H167,'01. KE30'!$A:$A,'06. BC BH THEO CUSTOMER-USD'!EF$4)-SUMIFS('01. KE30'!$AA:$AA,'01. KE30'!$C:$C,'06. BC BH THEO CUSTOMER-USD'!$D167,'01. KE30'!$F:$F,'06. BC BH THEO CUSTOMER-USD'!$H167,'01. KE30'!$A:$A,'06. BC BH THEO CUSTOMER-USD'!EF$4),"-")</f>
        <v>0</v>
      </c>
      <c r="EH167" s="571">
        <f t="shared" ref="EH167:EH170" si="1858">IFERROR(DT167/DF167,"-")</f>
        <v>-0.24804161996608903</v>
      </c>
      <c r="EI167" s="572" t="str">
        <f t="shared" ref="EI167:EI170" si="1859">IFERROR(DU167/DG167,"-")</f>
        <v>-</v>
      </c>
      <c r="EJ167" s="572" t="str">
        <f t="shared" ref="EJ167:EJ170" si="1860">IFERROR(DV167/DH167,"-")</f>
        <v>-</v>
      </c>
      <c r="EK167" s="572" t="str">
        <f t="shared" ref="EK167:EK170" si="1861">IFERROR(DW167/DI167,"-")</f>
        <v>-</v>
      </c>
      <c r="EL167" s="572">
        <f t="shared" ref="EL167:EL170" si="1862">IFERROR(DX167/DJ167,"-")</f>
        <v>0.26930441576042463</v>
      </c>
      <c r="EM167" s="572" t="str">
        <f t="shared" ref="EM167:EM170" si="1863">IFERROR(DY167/DK167,"-")</f>
        <v>-</v>
      </c>
      <c r="EN167" s="572" t="str">
        <f t="shared" ref="EN167:EN170" si="1864">IFERROR(DZ167/DL167,"-")</f>
        <v>-</v>
      </c>
      <c r="EO167" s="572" t="str">
        <f t="shared" ref="EO167:EO170" si="1865">IFERROR(EA167/DM167,"-")</f>
        <v>-</v>
      </c>
      <c r="EP167" s="572">
        <f t="shared" ref="EP167:EP170" si="1866">IFERROR(EB167/DN167,"-")</f>
        <v>-0.49859582688860948</v>
      </c>
      <c r="EQ167" s="572">
        <f t="shared" ref="EQ167:EQ170" si="1867">IFERROR(EC167/DO167,"-")</f>
        <v>-0.17383885962037579</v>
      </c>
      <c r="ER167" s="572" t="str">
        <f t="shared" ref="ER167:ER170" si="1868">IFERROR(ED167/DP167,"-")</f>
        <v>-</v>
      </c>
      <c r="ES167" s="572" t="str">
        <f t="shared" ref="ES167:ES170" si="1869">IFERROR(EE167/DQ167,"-")</f>
        <v>-</v>
      </c>
      <c r="ET167" s="572" t="str">
        <f t="shared" ref="ET167:ET170" si="1870">IFERROR(EF167/DR167,"-")</f>
        <v>-</v>
      </c>
    </row>
    <row r="168" spans="1:150" ht="15.5" hidden="1" outlineLevel="1" x14ac:dyDescent="0.35">
      <c r="A168" s="10">
        <f>A166+1</f>
        <v>9</v>
      </c>
      <c r="B168" s="10" t="s">
        <v>266</v>
      </c>
      <c r="C168" s="497"/>
      <c r="D168" s="9" t="s">
        <v>637</v>
      </c>
      <c r="E168" s="8" t="s">
        <v>638</v>
      </c>
      <c r="F168" s="12" t="s">
        <v>245</v>
      </c>
      <c r="G168" s="12" t="str">
        <f>_xlfn.XLOOKUP(F168,'Quy đổi'!$G$5:$G$32,'Quy đổi'!$H$5:$H$32,0)</f>
        <v>Nội địa</v>
      </c>
      <c r="H168" s="80" t="s">
        <v>216</v>
      </c>
      <c r="I168" s="7" t="s">
        <v>217</v>
      </c>
      <c r="J168" s="69" t="s">
        <v>22</v>
      </c>
      <c r="K168" s="5"/>
      <c r="L168" s="92">
        <f t="shared" ref="L168" si="1871">IFERROR(AVERAGE(M168:X168),"-")</f>
        <v>586.92969650403381</v>
      </c>
      <c r="M168" s="106" t="str">
        <f>IFERROR(SUMIFS('01. KE30'!$K:$K,'01. KE30'!$C:$C,'06. BC BH THEO CUSTOMER-USD'!$D168,'01. KE30'!$F:$F,'06. BC BH THEO CUSTOMER-USD'!$H168,'01. KE30'!$A:$A,'06. BC BH THEO CUSTOMER-USD'!M$4)/'06. BC BH THEO CUSTOMER-USD'!CS168/'02. Tỷ giá'!B$5,"-")</f>
        <v>-</v>
      </c>
      <c r="N168" s="106" t="str">
        <f>IFERROR(SUMIFS('01. KE30'!$K:$K,'01. KE30'!$C:$C,'06. BC BH THEO CUSTOMER-USD'!$D168,'01. KE30'!$F:$F,'06. BC BH THEO CUSTOMER-USD'!$H168,'01. KE30'!$A:$A,'06. BC BH THEO CUSTOMER-USD'!N$4)/'06. BC BH THEO CUSTOMER-USD'!CT168/'02. Tỷ giá'!C$5,"-")</f>
        <v>-</v>
      </c>
      <c r="O168" s="106" t="str">
        <f>IFERROR(SUMIFS('01. KE30'!$K:$K,'01. KE30'!$C:$C,'06. BC BH THEO CUSTOMER-USD'!$D168,'01. KE30'!$F:$F,'06. BC BH THEO CUSTOMER-USD'!$H168,'01. KE30'!$A:$A,'06. BC BH THEO CUSTOMER-USD'!O$4)/'06. BC BH THEO CUSTOMER-USD'!CU168/'02. Tỷ giá'!D$5,"-")</f>
        <v>-</v>
      </c>
      <c r="P168" s="106" t="str">
        <f>IFERROR(SUMIFS('01. KE30'!$K:$K,'01. KE30'!$C:$C,'06. BC BH THEO CUSTOMER-USD'!$D168,'01. KE30'!$F:$F,'06. BC BH THEO CUSTOMER-USD'!$H168,'01. KE30'!$A:$A,'06. BC BH THEO CUSTOMER-USD'!P$4)/'06. BC BH THEO CUSTOMER-USD'!CV168/'02. Tỷ giá'!E$5,"-")</f>
        <v>-</v>
      </c>
      <c r="Q168" s="106" t="str">
        <f>IFERROR(SUMIFS('01. KE30'!$K:$K,'01. KE30'!$C:$C,'06. BC BH THEO CUSTOMER-USD'!$D168,'01. KE30'!$F:$F,'06. BC BH THEO CUSTOMER-USD'!$H168,'01. KE30'!$A:$A,'06. BC BH THEO CUSTOMER-USD'!Q$4)/'06. BC BH THEO CUSTOMER-USD'!CW168/'02. Tỷ giá'!F$5,"-")</f>
        <v>-</v>
      </c>
      <c r="R168" s="106" t="str">
        <f>IFERROR(SUMIFS('01. KE30'!$K:$K,'01. KE30'!$C:$C,'06. BC BH THEO CUSTOMER-USD'!$D168,'01. KE30'!$F:$F,'06. BC BH THEO CUSTOMER-USD'!$H168,'01. KE30'!$A:$A,'06. BC BH THEO CUSTOMER-USD'!R$4)/'06. BC BH THEO CUSTOMER-USD'!CX168/'02. Tỷ giá'!G$5,"-")</f>
        <v>-</v>
      </c>
      <c r="S168" s="106">
        <f>IFERROR(SUMIFS('01. KE30'!$K:$K,'01. KE30'!$C:$C,'06. BC BH THEO CUSTOMER-USD'!$D168,'01. KE30'!$F:$F,'06. BC BH THEO CUSTOMER-USD'!$H168,'01. KE30'!$A:$A,'06. BC BH THEO CUSTOMER-USD'!S$4)/'06. BC BH THEO CUSTOMER-USD'!CY168/'02. Tỷ giá'!H$5,"-")</f>
        <v>586.92969650403381</v>
      </c>
      <c r="T168" s="106" t="str">
        <f>IFERROR(SUMIFS('01. KE30'!$K:$K,'01. KE30'!$C:$C,'06. BC BH THEO CUSTOMER-USD'!$D168,'01. KE30'!$F:$F,'06. BC BH THEO CUSTOMER-USD'!$H168,'01. KE30'!$A:$A,'06. BC BH THEO CUSTOMER-USD'!T$4)/'06. BC BH THEO CUSTOMER-USD'!CZ168/'02. Tỷ giá'!I$5,"-")</f>
        <v>-</v>
      </c>
      <c r="U168" s="106" t="str">
        <f>IFERROR(SUMIFS('01. KE30'!$K:$K,'01. KE30'!$C:$C,'06. BC BH THEO CUSTOMER-USD'!$D168,'01. KE30'!$F:$F,'06. BC BH THEO CUSTOMER-USD'!$H168,'01. KE30'!$A:$A,'06. BC BH THEO CUSTOMER-USD'!U$4)/'06. BC BH THEO CUSTOMER-USD'!DA168/'02. Tỷ giá'!J$5,"-")</f>
        <v>-</v>
      </c>
      <c r="V168" s="106" t="str">
        <f>IFERROR(SUMIFS('01. KE30'!$K:$K,'01. KE30'!$C:$C,'06. BC BH THEO CUSTOMER-USD'!$D168,'01. KE30'!$F:$F,'06. BC BH THEO CUSTOMER-USD'!$H168,'01. KE30'!$A:$A,'06. BC BH THEO CUSTOMER-USD'!V$4)/'06. BC BH THEO CUSTOMER-USD'!DB168/'02. Tỷ giá'!K$5,"-")</f>
        <v>-</v>
      </c>
      <c r="W168" s="106" t="str">
        <f>IFERROR(SUMIFS('01. KE30'!$K:$K,'01. KE30'!$C:$C,'06. BC BH THEO CUSTOMER-USD'!$D168,'01. KE30'!$F:$F,'06. BC BH THEO CUSTOMER-USD'!$H168,'01. KE30'!$A:$A,'06. BC BH THEO CUSTOMER-USD'!W$4)/'06. BC BH THEO CUSTOMER-USD'!DC168/'02. Tỷ giá'!L$5,"-")</f>
        <v>-</v>
      </c>
      <c r="X168" s="106" t="str">
        <f>IFERROR(SUMIFS('01. KE30'!$K:$K,'01. KE30'!$C:$C,'06. BC BH THEO CUSTOMER-USD'!$D168,'01. KE30'!$F:$F,'06. BC BH THEO CUSTOMER-USD'!$H168,'01. KE30'!$A:$A,'06. BC BH THEO CUSTOMER-USD'!X$4)/'06. BC BH THEO CUSTOMER-USD'!DD168/'02. Tỷ giá'!M$5,"-")</f>
        <v>-</v>
      </c>
      <c r="Z168" s="92">
        <f t="shared" ref="Z168" si="1872">IFERROR(AVERAGE(AA168:AL168),"-")</f>
        <v>586.92969650403381</v>
      </c>
      <c r="AA168" s="147" t="str">
        <f>IFERROR(SUMIFS('01. KE30'!$O:$O,'01. KE30'!$C:$C,'06. BC BH THEO CUSTOMER-USD'!$D168,'01. KE30'!$F:$F,'06. BC BH THEO CUSTOMER-USD'!$H168,'01. KE30'!$A:$A,'06. BC BH THEO CUSTOMER-USD'!M$4)/'06. BC BH THEO CUSTOMER-USD'!CS168/'02. Tỷ giá'!B$5,"-")</f>
        <v>-</v>
      </c>
      <c r="AB168" s="147" t="str">
        <f>IFERROR(SUMIFS('01. KE30'!$O:$O,'01. KE30'!$C:$C,'06. BC BH THEO CUSTOMER-USD'!$D168,'01. KE30'!$F:$F,'06. BC BH THEO CUSTOMER-USD'!$H168,'01. KE30'!$A:$A,'06. BC BH THEO CUSTOMER-USD'!N$4)/'06. BC BH THEO CUSTOMER-USD'!CT168/'02. Tỷ giá'!C$5,"-")</f>
        <v>-</v>
      </c>
      <c r="AC168" s="147" t="str">
        <f>IFERROR(SUMIFS('01. KE30'!$O:$O,'01. KE30'!$C:$C,'06. BC BH THEO CUSTOMER-USD'!$D168,'01. KE30'!$F:$F,'06. BC BH THEO CUSTOMER-USD'!$H168,'01. KE30'!$A:$A,'06. BC BH THEO CUSTOMER-USD'!O$4)/'06. BC BH THEO CUSTOMER-USD'!CU168/'02. Tỷ giá'!D$5,"-")</f>
        <v>-</v>
      </c>
      <c r="AD168" s="147" t="str">
        <f>IFERROR(SUMIFS('01. KE30'!$O:$O,'01. KE30'!$C:$C,'06. BC BH THEO CUSTOMER-USD'!$D168,'01. KE30'!$F:$F,'06. BC BH THEO CUSTOMER-USD'!$H168,'01. KE30'!$A:$A,'06. BC BH THEO CUSTOMER-USD'!P$4)/'06. BC BH THEO CUSTOMER-USD'!CV168/'02. Tỷ giá'!E$5,"-")</f>
        <v>-</v>
      </c>
      <c r="AE168" s="147" t="str">
        <f>IFERROR(SUMIFS('01. KE30'!$O:$O,'01. KE30'!$C:$C,'06. BC BH THEO CUSTOMER-USD'!$D168,'01. KE30'!$F:$F,'06. BC BH THEO CUSTOMER-USD'!$H168,'01. KE30'!$A:$A,'06. BC BH THEO CUSTOMER-USD'!Q$4)/'06. BC BH THEO CUSTOMER-USD'!CW168/'02. Tỷ giá'!F$5,"-")</f>
        <v>-</v>
      </c>
      <c r="AF168" s="147" t="str">
        <f>IFERROR(SUMIFS('01. KE30'!$O:$O,'01. KE30'!$C:$C,'06. BC BH THEO CUSTOMER-USD'!$D168,'01. KE30'!$F:$F,'06. BC BH THEO CUSTOMER-USD'!$H168,'01. KE30'!$A:$A,'06. BC BH THEO CUSTOMER-USD'!R$4)/'06. BC BH THEO CUSTOMER-USD'!CX168/'02. Tỷ giá'!G$5,"-")</f>
        <v>-</v>
      </c>
      <c r="AG168" s="147">
        <f>IFERROR(SUMIFS('01. KE30'!$O:$O,'01. KE30'!$C:$C,'06. BC BH THEO CUSTOMER-USD'!$D168,'01. KE30'!$F:$F,'06. BC BH THEO CUSTOMER-USD'!$H168,'01. KE30'!$A:$A,'06. BC BH THEO CUSTOMER-USD'!S$4)/'06. BC BH THEO CUSTOMER-USD'!CY168/'02. Tỷ giá'!H$5,"-")</f>
        <v>586.92969650403381</v>
      </c>
      <c r="AH168" s="147" t="str">
        <f>IFERROR(SUMIFS('01. KE30'!$O:$O,'01. KE30'!$C:$C,'06. BC BH THEO CUSTOMER-USD'!$D168,'01. KE30'!$F:$F,'06. BC BH THEO CUSTOMER-USD'!$H168,'01. KE30'!$A:$A,'06. BC BH THEO CUSTOMER-USD'!T$4)/'06. BC BH THEO CUSTOMER-USD'!CZ168/'02. Tỷ giá'!I$5,"-")</f>
        <v>-</v>
      </c>
      <c r="AI168" s="147" t="str">
        <f>IFERROR(SUMIFS('01. KE30'!$O:$O,'01. KE30'!$C:$C,'06. BC BH THEO CUSTOMER-USD'!$D168,'01. KE30'!$F:$F,'06. BC BH THEO CUSTOMER-USD'!$H168,'01. KE30'!$A:$A,'06. BC BH THEO CUSTOMER-USD'!U$4)/'06. BC BH THEO CUSTOMER-USD'!DA168/'02. Tỷ giá'!J$5,"-")</f>
        <v>-</v>
      </c>
      <c r="AJ168" s="147" t="str">
        <f>IFERROR(SUMIFS('01. KE30'!$O:$O,'01. KE30'!$C:$C,'06. BC BH THEO CUSTOMER-USD'!$D168,'01. KE30'!$F:$F,'06. BC BH THEO CUSTOMER-USD'!$H168,'01. KE30'!$A:$A,'06. BC BH THEO CUSTOMER-USD'!V$4)/'06. BC BH THEO CUSTOMER-USD'!DB168/'02. Tỷ giá'!K$5,"-")</f>
        <v>-</v>
      </c>
      <c r="AK168" s="147" t="str">
        <f>IFERROR(SUMIFS('01. KE30'!$O:$O,'01. KE30'!$C:$C,'06. BC BH THEO CUSTOMER-USD'!$D168,'01. KE30'!$F:$F,'06. BC BH THEO CUSTOMER-USD'!$H168,'01. KE30'!$A:$A,'06. BC BH THEO CUSTOMER-USD'!W$4)/'06. BC BH THEO CUSTOMER-USD'!DC168/'02. Tỷ giá'!L$5,"-")</f>
        <v>-</v>
      </c>
      <c r="AL168" s="147" t="str">
        <f>IFERROR(SUMIFS('01. KE30'!$O:$O,'01. KE30'!$C:$C,'06. BC BH THEO CUSTOMER-USD'!$D168,'01. KE30'!$F:$F,'06. BC BH THEO CUSTOMER-USD'!$H168,'01. KE30'!$A:$A,'06. BC BH THEO CUSTOMER-USD'!X$4)/'06. BC BH THEO CUSTOMER-USD'!DD168/'02. Tỷ giá'!M$5,"-")</f>
        <v>-</v>
      </c>
      <c r="AN168" s="55">
        <f t="shared" ref="AN168" si="1873">IFERROR(AVERAGE(AO168:AZ168),"-")</f>
        <v>790</v>
      </c>
      <c r="AO168" s="4">
        <v>870</v>
      </c>
      <c r="AP168" s="4">
        <v>800</v>
      </c>
      <c r="AQ168" s="4">
        <v>805</v>
      </c>
      <c r="AR168" s="4">
        <v>805</v>
      </c>
      <c r="AS168" s="4">
        <v>765</v>
      </c>
      <c r="AT168" s="4">
        <v>765</v>
      </c>
      <c r="AU168" s="4">
        <v>780</v>
      </c>
      <c r="AV168" s="4">
        <f t="shared" si="1272"/>
        <v>760</v>
      </c>
      <c r="AW168" s="4">
        <v>760</v>
      </c>
      <c r="AX168" s="4"/>
      <c r="AY168" s="4"/>
      <c r="AZ168" s="4"/>
      <c r="BB168" s="54">
        <f t="shared" ref="BB168" si="1874">IF(L168&lt;&gt;"-",Z168-AN168,"-")</f>
        <v>-203.07030349596619</v>
      </c>
      <c r="BC168" s="95" t="str">
        <f t="shared" ref="BC168" si="1875">IF(M168&lt;&gt;"-",AA168-AO168,"-")</f>
        <v>-</v>
      </c>
      <c r="BD168" s="95" t="str">
        <f t="shared" ref="BD168" si="1876">IF(N168&lt;&gt;"-",AB168-AP168,"-")</f>
        <v>-</v>
      </c>
      <c r="BE168" s="95" t="str">
        <f t="shared" ref="BE168" si="1877">IF(O168&lt;&gt;"-",AC168-AQ168,"-")</f>
        <v>-</v>
      </c>
      <c r="BF168" s="95" t="str">
        <f t="shared" ref="BF168" si="1878">IF(P168&lt;&gt;"-",AD168-AR168,"-")</f>
        <v>-</v>
      </c>
      <c r="BG168" s="95" t="str">
        <f t="shared" ref="BG168" si="1879">IF(Q168&lt;&gt;"-",AE168-AS168,"-")</f>
        <v>-</v>
      </c>
      <c r="BH168" s="95" t="str">
        <f t="shared" ref="BH168" si="1880">IF(R168&lt;&gt;"-",AF168-AT168,"-")</f>
        <v>-</v>
      </c>
      <c r="BI168" s="95">
        <f t="shared" ref="BI168" si="1881">IF(S168&lt;&gt;"-",AG168-AU168,"-")</f>
        <v>-193.07030349596619</v>
      </c>
      <c r="BJ168" s="95" t="str">
        <f t="shared" ref="BJ168" si="1882">IF(T168&lt;&gt;"-",AH168-AV168,"-")</f>
        <v>-</v>
      </c>
      <c r="BK168" s="95" t="str">
        <f t="shared" ref="BK168" si="1883">IF(U168&lt;&gt;"-",AI168-AW168,"-")</f>
        <v>-</v>
      </c>
      <c r="BL168" s="95" t="str">
        <f t="shared" ref="BL168" si="1884">IF(V168&lt;&gt;"-",AJ168-AX168,"-")</f>
        <v>-</v>
      </c>
      <c r="BM168" s="95" t="str">
        <f t="shared" ref="BM168" si="1885">IF(W168&lt;&gt;"-",AK168-AY168,"-")</f>
        <v>-</v>
      </c>
      <c r="BN168" s="95" t="str">
        <f t="shared" ref="BN168" si="1886">IF(X168&lt;&gt;"-",AL168-AZ168,"-")</f>
        <v>-</v>
      </c>
      <c r="BP168" s="143">
        <f t="shared" ref="BP168" si="1887">IFERROR(IF(BB168&lt;&gt;"-",BB168/AN168,"-"),"-")</f>
        <v>-0.25705101708350148</v>
      </c>
      <c r="BQ168" s="143" t="str">
        <f t="shared" ref="BQ168" si="1888">IFERROR(IF(BC168&lt;&gt;"-",BC168/AO168,"-"),"-")</f>
        <v>-</v>
      </c>
      <c r="BR168" s="143" t="str">
        <f t="shared" ref="BR168" si="1889">IFERROR(IF(BD168&lt;&gt;"-",BD168/AP168,"-"),"-")</f>
        <v>-</v>
      </c>
      <c r="BS168" s="143" t="str">
        <f t="shared" ref="BS168" si="1890">IFERROR(IF(BE168&lt;&gt;"-",BE168/AQ168,"-"),"-")</f>
        <v>-</v>
      </c>
      <c r="BT168" s="143" t="str">
        <f t="shared" ref="BT168" si="1891">IFERROR(IF(BF168&lt;&gt;"-",BF168/AR168,"-"),"-")</f>
        <v>-</v>
      </c>
      <c r="BU168" s="143" t="str">
        <f t="shared" ref="BU168" si="1892">IFERROR(IF(BG168&lt;&gt;"-",BG168/AS168,"-"),"-")</f>
        <v>-</v>
      </c>
      <c r="BV168" s="143" t="str">
        <f t="shared" ref="BV168" si="1893">IFERROR(IF(BH168&lt;&gt;"-",BH168/AT168,"-"),"-")</f>
        <v>-</v>
      </c>
      <c r="BW168" s="143">
        <f t="shared" ref="BW168" si="1894">IFERROR(IF(BI168&lt;&gt;"-",BI168/AU168,"-"),"-")</f>
        <v>-0.24752603012303356</v>
      </c>
      <c r="BX168" s="143" t="str">
        <f t="shared" ref="BX168" si="1895">IFERROR(IF(BJ168&lt;&gt;"-",BJ168/AV168,"-"),"-")</f>
        <v>-</v>
      </c>
      <c r="BY168" s="143" t="str">
        <f t="shared" ref="BY168" si="1896">IFERROR(IF(BK168&lt;&gt;"-",BK168/AW168,"-"),"-")</f>
        <v>-</v>
      </c>
      <c r="BZ168" s="143" t="str">
        <f t="shared" ref="BZ168" si="1897">IFERROR(IF(BL168&lt;&gt;"-",BL168/AX168,"-"),"-")</f>
        <v>-</v>
      </c>
      <c r="CA168" s="143" t="str">
        <f t="shared" ref="CA168" si="1898">IFERROR(IF(BM168&lt;&gt;"-",BM168/AY168,"-"),"-")</f>
        <v>-</v>
      </c>
      <c r="CB168" s="143" t="str">
        <f t="shared" ref="CB168" si="1899">IFERROR(IF(BN168&lt;&gt;"-",BN168/AZ168,"-"),"-")</f>
        <v>-</v>
      </c>
      <c r="CD168" s="112">
        <f t="shared" ref="CD168" si="1900">IFERROR(AVERAGE(CE168:CP168),"-")</f>
        <v>716.58867972851851</v>
      </c>
      <c r="CE168" s="95" t="str">
        <f>IFERROR(SUMIFS('01. KE30'!$R:$R,'01. KE30'!$C:$C,'06. BC BH THEO CUSTOMER-USD'!$D168,'01. KE30'!$F:$F,'06. BC BH THEO CUSTOMER-USD'!$H168,'01. KE30'!$A:$A,'06. BC BH THEO CUSTOMER-USD'!CE$4)/CS168/'02. Tỷ giá'!B$5," -")</f>
        <v xml:space="preserve"> -</v>
      </c>
      <c r="CF168" s="95" t="str">
        <f>IFERROR(SUMIFS('01. KE30'!$R:$R,'01. KE30'!$C:$C,'06. BC BH THEO CUSTOMER-USD'!$D168,'01. KE30'!$F:$F,'06. BC BH THEO CUSTOMER-USD'!$H168,'01. KE30'!$A:$A,'06. BC BH THEO CUSTOMER-USD'!CF$4)/CT168/'02. Tỷ giá'!C$5," -")</f>
        <v xml:space="preserve"> -</v>
      </c>
      <c r="CG168" s="95" t="str">
        <f>IFERROR(SUMIFS('01. KE30'!$R:$R,'01. KE30'!$C:$C,'06. BC BH THEO CUSTOMER-USD'!$D168,'01. KE30'!$F:$F,'06. BC BH THEO CUSTOMER-USD'!$H168,'01. KE30'!$A:$A,'06. BC BH THEO CUSTOMER-USD'!CG$4)/CU168/'02. Tỷ giá'!D$5," -")</f>
        <v xml:space="preserve"> -</v>
      </c>
      <c r="CH168" s="95" t="str">
        <f>IFERROR(SUMIFS('01. KE30'!$R:$R,'01. KE30'!$C:$C,'06. BC BH THEO CUSTOMER-USD'!$D168,'01. KE30'!$F:$F,'06. BC BH THEO CUSTOMER-USD'!$H168,'01. KE30'!$A:$A,'06. BC BH THEO CUSTOMER-USD'!CH$4)/CV168/'02. Tỷ giá'!E$5," -")</f>
        <v xml:space="preserve"> -</v>
      </c>
      <c r="CI168" s="95" t="str">
        <f>IFERROR(SUMIFS('01. KE30'!$R:$R,'01. KE30'!$C:$C,'06. BC BH THEO CUSTOMER-USD'!$D168,'01. KE30'!$F:$F,'06. BC BH THEO CUSTOMER-USD'!$H168,'01. KE30'!$A:$A,'06. BC BH THEO CUSTOMER-USD'!CI$4)/CW168/'02. Tỷ giá'!F$5," -")</f>
        <v xml:space="preserve"> -</v>
      </c>
      <c r="CJ168" s="95" t="str">
        <f>IFERROR(SUMIFS('01. KE30'!$R:$R,'01. KE30'!$C:$C,'06. BC BH THEO CUSTOMER-USD'!$D168,'01. KE30'!$F:$F,'06. BC BH THEO CUSTOMER-USD'!$H168,'01. KE30'!$A:$A,'06. BC BH THEO CUSTOMER-USD'!CJ$4)/CX168/'02. Tỷ giá'!G$5," -")</f>
        <v xml:space="preserve"> -</v>
      </c>
      <c r="CK168" s="95">
        <f>IFERROR(SUMIFS('01. KE30'!$R:$R,'01. KE30'!$C:$C,'06. BC BH THEO CUSTOMER-USD'!$D168,'01. KE30'!$F:$F,'06. BC BH THEO CUSTOMER-USD'!$H168,'01. KE30'!$A:$A,'06. BC BH THEO CUSTOMER-USD'!CK$4)/CY168/'02. Tỷ giá'!H$5," -")</f>
        <v>716.58867972851851</v>
      </c>
      <c r="CL168" s="95" t="str">
        <f>IFERROR(SUMIFS('01. KE30'!$R:$R,'01. KE30'!$C:$C,'06. BC BH THEO CUSTOMER-USD'!$D168,'01. KE30'!$F:$F,'06. BC BH THEO CUSTOMER-USD'!$H168,'01. KE30'!$A:$A,'06. BC BH THEO CUSTOMER-USD'!CL$4)/CZ168/'02. Tỷ giá'!I$5," -")</f>
        <v xml:space="preserve"> -</v>
      </c>
      <c r="CM168" s="95" t="str">
        <f>IFERROR(SUMIFS('01. KE30'!$R:$R,'01. KE30'!$C:$C,'06. BC BH THEO CUSTOMER-USD'!$D168,'01. KE30'!$F:$F,'06. BC BH THEO CUSTOMER-USD'!$H168,'01. KE30'!$A:$A,'06. BC BH THEO CUSTOMER-USD'!CM$4)/DA168/'02. Tỷ giá'!J$5," -")</f>
        <v xml:space="preserve"> -</v>
      </c>
      <c r="CN168" s="95" t="str">
        <f>IFERROR(SUMIFS('01. KE30'!$R:$R,'01. KE30'!$C:$C,'06. BC BH THEO CUSTOMER-USD'!$D168,'01. KE30'!$F:$F,'06. BC BH THEO CUSTOMER-USD'!$H168,'01. KE30'!$A:$A,'06. BC BH THEO CUSTOMER-USD'!CN$4)/DB168/'02. Tỷ giá'!K$5," -")</f>
        <v xml:space="preserve"> -</v>
      </c>
      <c r="CO168" s="95" t="str">
        <f>IFERROR(SUMIFS('01. KE30'!$R:$R,'01. KE30'!$C:$C,'06. BC BH THEO CUSTOMER-USD'!$D168,'01. KE30'!$F:$F,'06. BC BH THEO CUSTOMER-USD'!$H168,'01. KE30'!$A:$A,'06. BC BH THEO CUSTOMER-USD'!CO$4)/DC168/'02. Tỷ giá'!L$5," -")</f>
        <v xml:space="preserve"> -</v>
      </c>
      <c r="CP168" s="95" t="str">
        <f>IFERROR(SUMIFS('01. KE30'!$R:$R,'01. KE30'!$C:$C,'06. BC BH THEO CUSTOMER-USD'!$D168,'01. KE30'!$F:$F,'06. BC BH THEO CUSTOMER-USD'!$H168,'01. KE30'!$A:$A,'06. BC BH THEO CUSTOMER-USD'!CP$4)/DD168/'02. Tỷ giá'!M$5," -")</f>
        <v xml:space="preserve"> -</v>
      </c>
      <c r="CR168" s="112">
        <f t="shared" ref="CR168" si="1901">SUM(CS168:DD168)</f>
        <v>0.3</v>
      </c>
      <c r="CS168" s="114">
        <f>SUMIFS('01. KE30'!$I:$I,'01. KE30'!$C:$C,'06. BC BH THEO CUSTOMER-USD'!$D168,'01. KE30'!$F:$F,'06. BC BH THEO CUSTOMER-USD'!$H168,'01. KE30'!$A:$A,'06. BC BH THEO CUSTOMER-USD'!CS$4)/1000</f>
        <v>0</v>
      </c>
      <c r="CT168" s="114">
        <f>SUMIFS('01. KE30'!$I:$I,'01. KE30'!$C:$C,'06. BC BH THEO CUSTOMER-USD'!$D168,'01. KE30'!$F:$F,'06. BC BH THEO CUSTOMER-USD'!$H168,'01. KE30'!$A:$A,'06. BC BH THEO CUSTOMER-USD'!CT$4)/1000</f>
        <v>0</v>
      </c>
      <c r="CU168" s="114">
        <f>SUMIFS('01. KE30'!$I:$I,'01. KE30'!$C:$C,'06. BC BH THEO CUSTOMER-USD'!$D168,'01. KE30'!$F:$F,'06. BC BH THEO CUSTOMER-USD'!$H168,'01. KE30'!$A:$A,'06. BC BH THEO CUSTOMER-USD'!CU$4)/1000</f>
        <v>0</v>
      </c>
      <c r="CV168" s="114">
        <f>SUMIFS('01. KE30'!$I:$I,'01. KE30'!$C:$C,'06. BC BH THEO CUSTOMER-USD'!$D168,'01. KE30'!$F:$F,'06. BC BH THEO CUSTOMER-USD'!$H168,'01. KE30'!$A:$A,'06. BC BH THEO CUSTOMER-USD'!CV$4)/1000</f>
        <v>0</v>
      </c>
      <c r="CW168" s="114">
        <f>SUMIFS('01. KE30'!$I:$I,'01. KE30'!$C:$C,'06. BC BH THEO CUSTOMER-USD'!$D168,'01. KE30'!$F:$F,'06. BC BH THEO CUSTOMER-USD'!$H168,'01. KE30'!$A:$A,'06. BC BH THEO CUSTOMER-USD'!CW$4)/1000</f>
        <v>0</v>
      </c>
      <c r="CX168" s="114">
        <f>SUMIFS('01. KE30'!$I:$I,'01. KE30'!$C:$C,'06. BC BH THEO CUSTOMER-USD'!$D168,'01. KE30'!$F:$F,'06. BC BH THEO CUSTOMER-USD'!$H168,'01. KE30'!$A:$A,'06. BC BH THEO CUSTOMER-USD'!CX$4)/1000</f>
        <v>0</v>
      </c>
      <c r="CY168" s="114">
        <f>SUMIFS('01. KE30'!$I:$I,'01. KE30'!$C:$C,'06. BC BH THEO CUSTOMER-USD'!$D168,'01. KE30'!$F:$F,'06. BC BH THEO CUSTOMER-USD'!$H168,'01. KE30'!$A:$A,'06. BC BH THEO CUSTOMER-USD'!CY$4)/1000</f>
        <v>0.3</v>
      </c>
      <c r="CZ168" s="114">
        <f>SUMIFS('01. KE30'!$I:$I,'01. KE30'!$C:$C,'06. BC BH THEO CUSTOMER-USD'!$D168,'01. KE30'!$F:$F,'06. BC BH THEO CUSTOMER-USD'!$H168,'01. KE30'!$A:$A,'06. BC BH THEO CUSTOMER-USD'!CZ$4)/1000</f>
        <v>0</v>
      </c>
      <c r="DA168" s="114">
        <f>SUMIFS('01. KE30'!$I:$I,'01. KE30'!$C:$C,'06. BC BH THEO CUSTOMER-USD'!$D168,'01. KE30'!$F:$F,'06. BC BH THEO CUSTOMER-USD'!$H168,'01. KE30'!$A:$A,'06. BC BH THEO CUSTOMER-USD'!DA$4)/1000</f>
        <v>0</v>
      </c>
      <c r="DB168" s="114">
        <f>SUMIFS('01. KE30'!$I:$I,'01. KE30'!$C:$C,'06. BC BH THEO CUSTOMER-USD'!$D168,'01. KE30'!$F:$F,'06. BC BH THEO CUSTOMER-USD'!$H168,'01. KE30'!$A:$A,'06. BC BH THEO CUSTOMER-USD'!DB$4)/1000</f>
        <v>0</v>
      </c>
      <c r="DC168" s="114">
        <f>SUMIFS('01. KE30'!$I:$I,'01. KE30'!$C:$C,'06. BC BH THEO CUSTOMER-USD'!$D168,'01. KE30'!$F:$F,'06. BC BH THEO CUSTOMER-USD'!$H168,'01. KE30'!$A:$A,'06. BC BH THEO CUSTOMER-USD'!DC$4)/1000</f>
        <v>0</v>
      </c>
      <c r="DD168" s="114">
        <f>SUMIFS('01. KE30'!$I:$I,'01. KE30'!$C:$C,'06. BC BH THEO CUSTOMER-USD'!$D168,'01. KE30'!$F:$F,'06. BC BH THEO CUSTOMER-USD'!$H168,'01. KE30'!$A:$A,'06. BC BH THEO CUSTOMER-USD'!DD$4)/1000</f>
        <v>0</v>
      </c>
      <c r="DF168" s="112">
        <f t="shared" ref="DF168" si="1902">SUM(DG168:DR168)</f>
        <v>176.07890895121014</v>
      </c>
      <c r="DG168" s="54" t="str">
        <f t="shared" ref="DG168" si="1903">IFERROR(M168*CS168,"-")</f>
        <v>-</v>
      </c>
      <c r="DH168" s="54" t="str">
        <f t="shared" ref="DH168" si="1904">IFERROR(N168*CT168,"-")</f>
        <v>-</v>
      </c>
      <c r="DI168" s="54" t="str">
        <f t="shared" ref="DI168" si="1905">IFERROR(O168*CU168,"-")</f>
        <v>-</v>
      </c>
      <c r="DJ168" s="54" t="str">
        <f t="shared" ref="DJ168" si="1906">IFERROR(P168*CV168,"-")</f>
        <v>-</v>
      </c>
      <c r="DK168" s="54" t="str">
        <f t="shared" ref="DK168" si="1907">IFERROR(Q168*CW168,"-")</f>
        <v>-</v>
      </c>
      <c r="DL168" s="54" t="str">
        <f t="shared" ref="DL168" si="1908">IFERROR(R168*CX168,"-")</f>
        <v>-</v>
      </c>
      <c r="DM168" s="54">
        <f t="shared" ref="DM168" si="1909">IFERROR(S168*CY168,"-")</f>
        <v>176.07890895121014</v>
      </c>
      <c r="DN168" s="54" t="str">
        <f t="shared" ref="DN168" si="1910">IFERROR(T168*CZ168,"-")</f>
        <v>-</v>
      </c>
      <c r="DO168" s="54" t="str">
        <f t="shared" ref="DO168" si="1911">IFERROR(U168*DA168,"-")</f>
        <v>-</v>
      </c>
      <c r="DP168" s="54" t="str">
        <f t="shared" ref="DP168" si="1912">IFERROR(V168*DB168,"-")</f>
        <v>-</v>
      </c>
      <c r="DQ168" s="54" t="str">
        <f t="shared" ref="DQ168" si="1913">IFERROR(W168*DC168,"-")</f>
        <v>-</v>
      </c>
      <c r="DR168" s="54" t="str">
        <f t="shared" ref="DR168" si="1914">IFERROR(X168*DD168,"-")</f>
        <v>-</v>
      </c>
      <c r="DT168" s="112">
        <f t="shared" ref="DT168" si="1915">SUM(DU168:EF168)</f>
        <v>-38.897694967345387</v>
      </c>
      <c r="DU168" s="114">
        <f>IFERROR(SUMIFS('01. KE30'!$X:$X,'01. KE30'!$C:$C,'06. BC BH THEO CUSTOMER-USD'!$D168,'01. KE30'!$F:$F,'06. BC BH THEO CUSTOMER-USD'!$H168,'01. KE30'!$A:$A,'06. BC BH THEO CUSTOMER-USD'!DU$4)-SUMIFS('01. KE30'!$AA:$AA,'01. KE30'!$C:$C,'06. BC BH THEO CUSTOMER-USD'!$D168,'01. KE30'!$F:$F,'06. BC BH THEO CUSTOMER-USD'!$H168,'01. KE30'!$A:$A,'06. BC BH THEO CUSTOMER-USD'!DU$4),"-")</f>
        <v>0</v>
      </c>
      <c r="DV168" s="114">
        <f>IFERROR(SUMIFS('01. KE30'!$X:$X,'01. KE30'!$C:$C,'06. BC BH THEO CUSTOMER-USD'!$D168,'01. KE30'!$F:$F,'06. BC BH THEO CUSTOMER-USD'!$H168,'01. KE30'!$A:$A,'06. BC BH THEO CUSTOMER-USD'!DV$4)-SUMIFS('01. KE30'!$AA:$AA,'01. KE30'!$C:$C,'06. BC BH THEO CUSTOMER-USD'!$D168,'01. KE30'!$F:$F,'06. BC BH THEO CUSTOMER-USD'!$H168,'01. KE30'!$A:$A,'06. BC BH THEO CUSTOMER-USD'!DV$4),"-")</f>
        <v>0</v>
      </c>
      <c r="DW168" s="114">
        <f>IFERROR(SUMIFS('01. KE30'!$X:$X,'01. KE30'!$C:$C,'06. BC BH THEO CUSTOMER-USD'!$D168,'01. KE30'!$F:$F,'06. BC BH THEO CUSTOMER-USD'!$H168,'01. KE30'!$A:$A,'06. BC BH THEO CUSTOMER-USD'!DW$4)-SUMIFS('01. KE30'!$AA:$AA,'01. KE30'!$C:$C,'06. BC BH THEO CUSTOMER-USD'!$D168,'01. KE30'!$F:$F,'06. BC BH THEO CUSTOMER-USD'!$H168,'01. KE30'!$A:$A,'06. BC BH THEO CUSTOMER-USD'!DW$4),"-")</f>
        <v>0</v>
      </c>
      <c r="DX168" s="114">
        <f>IFERROR(SUMIFS('01. KE30'!$X:$X,'01. KE30'!$C:$C,'06. BC BH THEO CUSTOMER-USD'!$D168,'01. KE30'!$F:$F,'06. BC BH THEO CUSTOMER-USD'!$H168,'01. KE30'!$A:$A,'06. BC BH THEO CUSTOMER-USD'!DX$4)-SUMIFS('01. KE30'!$AA:$AA,'01. KE30'!$C:$C,'06. BC BH THEO CUSTOMER-USD'!$D168,'01. KE30'!$F:$F,'06. BC BH THEO CUSTOMER-USD'!$H168,'01. KE30'!$A:$A,'06. BC BH THEO CUSTOMER-USD'!DX$4),"-")</f>
        <v>0</v>
      </c>
      <c r="DY168" s="114">
        <f>IFERROR(SUMIFS('01. KE30'!$X:$X,'01. KE30'!$C:$C,'06. BC BH THEO CUSTOMER-USD'!$D168,'01. KE30'!$F:$F,'06. BC BH THEO CUSTOMER-USD'!$H168,'01. KE30'!$A:$A,'06. BC BH THEO CUSTOMER-USD'!DY$4)-SUMIFS('01. KE30'!$AA:$AA,'01. KE30'!$C:$C,'06. BC BH THEO CUSTOMER-USD'!$D168,'01. KE30'!$F:$F,'06. BC BH THEO CUSTOMER-USD'!$H168,'01. KE30'!$A:$A,'06. BC BH THEO CUSTOMER-USD'!DY$4),"-")</f>
        <v>0</v>
      </c>
      <c r="DZ168" s="114">
        <f>IFERROR(SUMIFS('01. KE30'!$X:$X,'01. KE30'!$C:$C,'06. BC BH THEO CUSTOMER-USD'!$D168,'01. KE30'!$F:$F,'06. BC BH THEO CUSTOMER-USD'!$H168,'01. KE30'!$A:$A,'06. BC BH THEO CUSTOMER-USD'!DZ$4)-SUMIFS('01. KE30'!$AA:$AA,'01. KE30'!$C:$C,'06. BC BH THEO CUSTOMER-USD'!$D168,'01. KE30'!$F:$F,'06. BC BH THEO CUSTOMER-USD'!$H168,'01. KE30'!$A:$A,'06. BC BH THEO CUSTOMER-USD'!DZ$4),"-")</f>
        <v>0</v>
      </c>
      <c r="EA168" s="114">
        <f>IFERROR(SUMIFS('01. KE30'!$X:$X,'01. KE30'!$C:$C,'06. BC BH THEO CUSTOMER-USD'!$D168,'01. KE30'!$F:$F,'06. BC BH THEO CUSTOMER-USD'!$H168,'01. KE30'!$A:$A,'06. BC BH THEO CUSTOMER-USD'!EA$4)-SUMIFS('01. KE30'!$AA:$AA,'01. KE30'!$C:$C,'06. BC BH THEO CUSTOMER-USD'!$D168,'01. KE30'!$F:$F,'06. BC BH THEO CUSTOMER-USD'!$H168,'01. KE30'!$A:$A,'06. BC BH THEO CUSTOMER-USD'!EA$4),"-")</f>
        <v>-38.897694967345387</v>
      </c>
      <c r="EB168" s="114">
        <f>IFERROR(SUMIFS('01. KE30'!$X:$X,'01. KE30'!$C:$C,'06. BC BH THEO CUSTOMER-USD'!$D168,'01. KE30'!$F:$F,'06. BC BH THEO CUSTOMER-USD'!$H168,'01. KE30'!$A:$A,'06. BC BH THEO CUSTOMER-USD'!EB$4)-SUMIFS('01. KE30'!$AA:$AA,'01. KE30'!$C:$C,'06. BC BH THEO CUSTOMER-USD'!$D168,'01. KE30'!$F:$F,'06. BC BH THEO CUSTOMER-USD'!$H168,'01. KE30'!$A:$A,'06. BC BH THEO CUSTOMER-USD'!EB$4),"-")</f>
        <v>0</v>
      </c>
      <c r="EC168" s="114">
        <f>IFERROR(SUMIFS('01. KE30'!$X:$X,'01. KE30'!$C:$C,'06. BC BH THEO CUSTOMER-USD'!$D168,'01. KE30'!$F:$F,'06. BC BH THEO CUSTOMER-USD'!$H168,'01. KE30'!$A:$A,'06. BC BH THEO CUSTOMER-USD'!EC$4)-SUMIFS('01. KE30'!$AA:$AA,'01. KE30'!$C:$C,'06. BC BH THEO CUSTOMER-USD'!$D168,'01. KE30'!$F:$F,'06. BC BH THEO CUSTOMER-USD'!$H168,'01. KE30'!$A:$A,'06. BC BH THEO CUSTOMER-USD'!EC$4),"-")</f>
        <v>0</v>
      </c>
      <c r="ED168" s="114">
        <f>IFERROR(SUMIFS('01. KE30'!$X:$X,'01. KE30'!$C:$C,'06. BC BH THEO CUSTOMER-USD'!$D168,'01. KE30'!$F:$F,'06. BC BH THEO CUSTOMER-USD'!$H168,'01. KE30'!$A:$A,'06. BC BH THEO CUSTOMER-USD'!ED$4)-SUMIFS('01. KE30'!$AA:$AA,'01. KE30'!$C:$C,'06. BC BH THEO CUSTOMER-USD'!$D168,'01. KE30'!$F:$F,'06. BC BH THEO CUSTOMER-USD'!$H168,'01. KE30'!$A:$A,'06. BC BH THEO CUSTOMER-USD'!ED$4),"-")</f>
        <v>0</v>
      </c>
      <c r="EE168" s="114">
        <f>IFERROR(SUMIFS('01. KE30'!$X:$X,'01. KE30'!$C:$C,'06. BC BH THEO CUSTOMER-USD'!$D168,'01. KE30'!$F:$F,'06. BC BH THEO CUSTOMER-USD'!$H168,'01. KE30'!$A:$A,'06. BC BH THEO CUSTOMER-USD'!EE$4)-SUMIFS('01. KE30'!$AA:$AA,'01. KE30'!$C:$C,'06. BC BH THEO CUSTOMER-USD'!$D168,'01. KE30'!$F:$F,'06. BC BH THEO CUSTOMER-USD'!$H168,'01. KE30'!$A:$A,'06. BC BH THEO CUSTOMER-USD'!EE$4),"-")</f>
        <v>0</v>
      </c>
      <c r="EF168" s="114">
        <f>IFERROR(SUMIFS('01. KE30'!$X:$X,'01. KE30'!$C:$C,'06. BC BH THEO CUSTOMER-USD'!$D168,'01. KE30'!$F:$F,'06. BC BH THEO CUSTOMER-USD'!$H168,'01. KE30'!$A:$A,'06. BC BH THEO CUSTOMER-USD'!EF$4)-SUMIFS('01. KE30'!$AA:$AA,'01. KE30'!$C:$C,'06. BC BH THEO CUSTOMER-USD'!$D168,'01. KE30'!$F:$F,'06. BC BH THEO CUSTOMER-USD'!$H168,'01. KE30'!$A:$A,'06. BC BH THEO CUSTOMER-USD'!EF$4),"-")</f>
        <v>0</v>
      </c>
      <c r="EH168" s="571">
        <f t="shared" ref="EH168" si="1916">IFERROR(DT168/DF168,"-")</f>
        <v>-0.22091058604936939</v>
      </c>
      <c r="EI168" s="572" t="str">
        <f t="shared" ref="EI168" si="1917">IFERROR(DU168/DG168,"-")</f>
        <v>-</v>
      </c>
      <c r="EJ168" s="572" t="str">
        <f t="shared" ref="EJ168" si="1918">IFERROR(DV168/DH168,"-")</f>
        <v>-</v>
      </c>
      <c r="EK168" s="572" t="str">
        <f t="shared" ref="EK168" si="1919">IFERROR(DW168/DI168,"-")</f>
        <v>-</v>
      </c>
      <c r="EL168" s="572" t="str">
        <f t="shared" ref="EL168" si="1920">IFERROR(DX168/DJ168,"-")</f>
        <v>-</v>
      </c>
      <c r="EM168" s="572" t="str">
        <f t="shared" ref="EM168" si="1921">IFERROR(DY168/DK168,"-")</f>
        <v>-</v>
      </c>
      <c r="EN168" s="572" t="str">
        <f t="shared" ref="EN168" si="1922">IFERROR(DZ168/DL168,"-")</f>
        <v>-</v>
      </c>
      <c r="EO168" s="572">
        <f t="shared" ref="EO168" si="1923">IFERROR(EA168/DM168,"-")</f>
        <v>-0.22091058604936939</v>
      </c>
      <c r="EP168" s="572" t="str">
        <f t="shared" ref="EP168" si="1924">IFERROR(EB168/DN168,"-")</f>
        <v>-</v>
      </c>
      <c r="EQ168" s="572" t="str">
        <f t="shared" ref="EQ168" si="1925">IFERROR(EC168/DO168,"-")</f>
        <v>-</v>
      </c>
      <c r="ER168" s="572" t="str">
        <f t="shared" ref="ER168" si="1926">IFERROR(ED168/DP168,"-")</f>
        <v>-</v>
      </c>
      <c r="ES168" s="572" t="str">
        <f t="shared" ref="ES168" si="1927">IFERROR(EE168/DQ168,"-")</f>
        <v>-</v>
      </c>
      <c r="ET168" s="572" t="str">
        <f t="shared" ref="ET168" si="1928">IFERROR(EF168/DR168,"-")</f>
        <v>-</v>
      </c>
    </row>
    <row r="169" spans="1:150" ht="15.5" hidden="1" outlineLevel="1" x14ac:dyDescent="0.35">
      <c r="A169" s="10">
        <f>A167+1</f>
        <v>10</v>
      </c>
      <c r="B169" s="10" t="s">
        <v>266</v>
      </c>
      <c r="C169" s="497"/>
      <c r="D169" s="9" t="s">
        <v>637</v>
      </c>
      <c r="E169" s="8" t="s">
        <v>638</v>
      </c>
      <c r="F169" s="12" t="s">
        <v>245</v>
      </c>
      <c r="G169" s="12" t="str">
        <f>_xlfn.XLOOKUP(F169,'Quy đổi'!$G$5:$G$32,'Quy đổi'!$H$5:$H$32,0)</f>
        <v>Nội địa</v>
      </c>
      <c r="H169" s="80" t="s">
        <v>210</v>
      </c>
      <c r="I169" s="7" t="s">
        <v>211</v>
      </c>
      <c r="J169" s="69" t="s">
        <v>22</v>
      </c>
      <c r="K169" s="5"/>
      <c r="L169" s="92">
        <f t="shared" si="1813"/>
        <v>732.48576354056024</v>
      </c>
      <c r="M169" s="106" t="str">
        <f>IFERROR(SUMIFS('01. KE30'!$K:$K,'01. KE30'!$C:$C,'06. BC BH THEO CUSTOMER-USD'!$D169,'01. KE30'!$F:$F,'06. BC BH THEO CUSTOMER-USD'!$H169,'01. KE30'!$A:$A,'06. BC BH THEO CUSTOMER-USD'!M$4)/'06. BC BH THEO CUSTOMER-USD'!CS169/'02. Tỷ giá'!B$5,"-")</f>
        <v>-</v>
      </c>
      <c r="N169" s="106" t="str">
        <f>IFERROR(SUMIFS('01. KE30'!$K:$K,'01. KE30'!$C:$C,'06. BC BH THEO CUSTOMER-USD'!$D169,'01. KE30'!$F:$F,'06. BC BH THEO CUSTOMER-USD'!$H169,'01. KE30'!$A:$A,'06. BC BH THEO CUSTOMER-USD'!N$4)/'06. BC BH THEO CUSTOMER-USD'!CT169/'02. Tỷ giá'!C$5,"-")</f>
        <v>-</v>
      </c>
      <c r="O169" s="106" t="str">
        <f>IFERROR(SUMIFS('01. KE30'!$K:$K,'01. KE30'!$C:$C,'06. BC BH THEO CUSTOMER-USD'!$D169,'01. KE30'!$F:$F,'06. BC BH THEO CUSTOMER-USD'!$H169,'01. KE30'!$A:$A,'06. BC BH THEO CUSTOMER-USD'!O$4)/'06. BC BH THEO CUSTOMER-USD'!CU169/'02. Tỷ giá'!D$5,"-")</f>
        <v>-</v>
      </c>
      <c r="P169" s="106">
        <f>IFERROR(SUMIFS('01. KE30'!$K:$K,'01. KE30'!$C:$C,'06. BC BH THEO CUSTOMER-USD'!$D169,'01. KE30'!$F:$F,'06. BC BH THEO CUSTOMER-USD'!$H169,'01. KE30'!$A:$A,'06. BC BH THEO CUSTOMER-USD'!P$4)/'06. BC BH THEO CUSTOMER-USD'!CV169/'02. Tỷ giá'!E$5,"-")</f>
        <v>734.86184023745</v>
      </c>
      <c r="Q169" s="106" t="str">
        <f>IFERROR(SUMIFS('01. KE30'!$K:$K,'01. KE30'!$C:$C,'06. BC BH THEO CUSTOMER-USD'!$D169,'01. KE30'!$F:$F,'06. BC BH THEO CUSTOMER-USD'!$H169,'01. KE30'!$A:$A,'06. BC BH THEO CUSTOMER-USD'!Q$4)/'06. BC BH THEO CUSTOMER-USD'!CW169/'02. Tỷ giá'!F$5,"-")</f>
        <v>-</v>
      </c>
      <c r="R169" s="106" t="str">
        <f>IFERROR(SUMIFS('01. KE30'!$K:$K,'01. KE30'!$C:$C,'06. BC BH THEO CUSTOMER-USD'!$D169,'01. KE30'!$F:$F,'06. BC BH THEO CUSTOMER-USD'!$H169,'01. KE30'!$A:$A,'06. BC BH THEO CUSTOMER-USD'!R$4)/'06. BC BH THEO CUSTOMER-USD'!CX169/'02. Tỷ giá'!G$5,"-")</f>
        <v>-</v>
      </c>
      <c r="S169" s="106" t="str">
        <f>IFERROR(SUMIFS('01. KE30'!$K:$K,'01. KE30'!$C:$C,'06. BC BH THEO CUSTOMER-USD'!$D169,'01. KE30'!$F:$F,'06. BC BH THEO CUSTOMER-USD'!$H169,'01. KE30'!$A:$A,'06. BC BH THEO CUSTOMER-USD'!S$4)/'06. BC BH THEO CUSTOMER-USD'!CY169/'02. Tỷ giá'!H$5,"-")</f>
        <v>-</v>
      </c>
      <c r="T169" s="106">
        <f>IFERROR(SUMIFS('01. KE30'!$K:$K,'01. KE30'!$C:$C,'06. BC BH THEO CUSTOMER-USD'!$D169,'01. KE30'!$F:$F,'06. BC BH THEO CUSTOMER-USD'!$H169,'01. KE30'!$A:$A,'06. BC BH THEO CUSTOMER-USD'!T$4)/'06. BC BH THEO CUSTOMER-USD'!CZ169/'02. Tỷ giá'!I$5,"-")</f>
        <v>736.6695279764798</v>
      </c>
      <c r="U169" s="106">
        <f>IFERROR(SUMIFS('01. KE30'!$K:$K,'01. KE30'!$C:$C,'06. BC BH THEO CUSTOMER-USD'!$D169,'01. KE30'!$F:$F,'06. BC BH THEO CUSTOMER-USD'!$H169,'01. KE30'!$A:$A,'06. BC BH THEO CUSTOMER-USD'!U$4)/'06. BC BH THEO CUSTOMER-USD'!DA169/'02. Tỷ giá'!J$5,"-")</f>
        <v>725.92592240775105</v>
      </c>
      <c r="V169" s="106" t="str">
        <f>IFERROR(SUMIFS('01. KE30'!$K:$K,'01. KE30'!$C:$C,'06. BC BH THEO CUSTOMER-USD'!$D169,'01. KE30'!$F:$F,'06. BC BH THEO CUSTOMER-USD'!$H169,'01. KE30'!$A:$A,'06. BC BH THEO CUSTOMER-USD'!V$4)/'06. BC BH THEO CUSTOMER-USD'!DB169/'02. Tỷ giá'!K$5,"-")</f>
        <v>-</v>
      </c>
      <c r="W169" s="106" t="str">
        <f>IFERROR(SUMIFS('01. KE30'!$K:$K,'01. KE30'!$C:$C,'06. BC BH THEO CUSTOMER-USD'!$D169,'01. KE30'!$F:$F,'06. BC BH THEO CUSTOMER-USD'!$H169,'01. KE30'!$A:$A,'06. BC BH THEO CUSTOMER-USD'!W$4)/'06. BC BH THEO CUSTOMER-USD'!DC169/'02. Tỷ giá'!L$5,"-")</f>
        <v>-</v>
      </c>
      <c r="X169" s="106" t="str">
        <f>IFERROR(SUMIFS('01. KE30'!$K:$K,'01. KE30'!$C:$C,'06. BC BH THEO CUSTOMER-USD'!$D169,'01. KE30'!$F:$F,'06. BC BH THEO CUSTOMER-USD'!$H169,'01. KE30'!$A:$A,'06. BC BH THEO CUSTOMER-USD'!X$4)/'06. BC BH THEO CUSTOMER-USD'!DD169/'02. Tỷ giá'!M$5,"-")</f>
        <v>-</v>
      </c>
      <c r="Z169" s="92">
        <f t="shared" si="1814"/>
        <v>698.12405429708258</v>
      </c>
      <c r="AA169" s="147" t="str">
        <f>IFERROR(SUMIFS('01. KE30'!$O:$O,'01. KE30'!$C:$C,'06. BC BH THEO CUSTOMER-USD'!$D169,'01. KE30'!$F:$F,'06. BC BH THEO CUSTOMER-USD'!$H169,'01. KE30'!$A:$A,'06. BC BH THEO CUSTOMER-USD'!M$4)/'06. BC BH THEO CUSTOMER-USD'!CS169/'02. Tỷ giá'!B$5,"-")</f>
        <v>-</v>
      </c>
      <c r="AB169" s="147" t="str">
        <f>IFERROR(SUMIFS('01. KE30'!$O:$O,'01. KE30'!$C:$C,'06. BC BH THEO CUSTOMER-USD'!$D169,'01. KE30'!$F:$F,'06. BC BH THEO CUSTOMER-USD'!$H169,'01. KE30'!$A:$A,'06. BC BH THEO CUSTOMER-USD'!N$4)/'06. BC BH THEO CUSTOMER-USD'!CT169/'02. Tỷ giá'!C$5,"-")</f>
        <v>-</v>
      </c>
      <c r="AC169" s="147" t="str">
        <f>IFERROR(SUMIFS('01. KE30'!$O:$O,'01. KE30'!$C:$C,'06. BC BH THEO CUSTOMER-USD'!$D169,'01. KE30'!$F:$F,'06. BC BH THEO CUSTOMER-USD'!$H169,'01. KE30'!$A:$A,'06. BC BH THEO CUSTOMER-USD'!O$4)/'06. BC BH THEO CUSTOMER-USD'!CU169/'02. Tỷ giá'!D$5,"-")</f>
        <v>-</v>
      </c>
      <c r="AD169" s="147">
        <f>IFERROR(SUMIFS('01. KE30'!$O:$O,'01. KE30'!$C:$C,'06. BC BH THEO CUSTOMER-USD'!$D169,'01. KE30'!$F:$F,'06. BC BH THEO CUSTOMER-USD'!$H169,'01. KE30'!$A:$A,'06. BC BH THEO CUSTOMER-USD'!P$4)/'06. BC BH THEO CUSTOMER-USD'!CV169/'02. Tỷ giá'!E$5,"-")</f>
        <v>699.01492092169599</v>
      </c>
      <c r="AE169" s="147" t="str">
        <f>IFERROR(SUMIFS('01. KE30'!$O:$O,'01. KE30'!$C:$C,'06. BC BH THEO CUSTOMER-USD'!$D169,'01. KE30'!$F:$F,'06. BC BH THEO CUSTOMER-USD'!$H169,'01. KE30'!$A:$A,'06. BC BH THEO CUSTOMER-USD'!Q$4)/'06. BC BH THEO CUSTOMER-USD'!CW169/'02. Tỷ giá'!F$5,"-")</f>
        <v>-</v>
      </c>
      <c r="AF169" s="147" t="str">
        <f>IFERROR(SUMIFS('01. KE30'!$O:$O,'01. KE30'!$C:$C,'06. BC BH THEO CUSTOMER-USD'!$D169,'01. KE30'!$F:$F,'06. BC BH THEO CUSTOMER-USD'!$H169,'01. KE30'!$A:$A,'06. BC BH THEO CUSTOMER-USD'!R$4)/'06. BC BH THEO CUSTOMER-USD'!CX169/'02. Tỷ giá'!G$5,"-")</f>
        <v>-</v>
      </c>
      <c r="AG169" s="147" t="str">
        <f>IFERROR(SUMIFS('01. KE30'!$O:$O,'01. KE30'!$C:$C,'06. BC BH THEO CUSTOMER-USD'!$D169,'01. KE30'!$F:$F,'06. BC BH THEO CUSTOMER-USD'!$H169,'01. KE30'!$A:$A,'06. BC BH THEO CUSTOMER-USD'!S$4)/'06. BC BH THEO CUSTOMER-USD'!CY169/'02. Tỷ giá'!H$5,"-")</f>
        <v>-</v>
      </c>
      <c r="AH169" s="147">
        <f>IFERROR(SUMIFS('01. KE30'!$O:$O,'01. KE30'!$C:$C,'06. BC BH THEO CUSTOMER-USD'!$D169,'01. KE30'!$F:$F,'06. BC BH THEO CUSTOMER-USD'!$H169,'01. KE30'!$A:$A,'06. BC BH THEO CUSTOMER-USD'!T$4)/'06. BC BH THEO CUSTOMER-USD'!CZ169/'02. Tỷ giá'!I$5,"-")</f>
        <v>707.52655765703889</v>
      </c>
      <c r="AI169" s="147">
        <f>IFERROR(SUMIFS('01. KE30'!$O:$O,'01. KE30'!$C:$C,'06. BC BH THEO CUSTOMER-USD'!$D169,'01. KE30'!$F:$F,'06. BC BH THEO CUSTOMER-USD'!$H169,'01. KE30'!$A:$A,'06. BC BH THEO CUSTOMER-USD'!U$4)/'06. BC BH THEO CUSTOMER-USD'!DA169/'02. Tỷ giá'!J$5,"-")</f>
        <v>687.83068431251286</v>
      </c>
      <c r="AJ169" s="147" t="str">
        <f>IFERROR(SUMIFS('01. KE30'!$O:$O,'01. KE30'!$C:$C,'06. BC BH THEO CUSTOMER-USD'!$D169,'01. KE30'!$F:$F,'06. BC BH THEO CUSTOMER-USD'!$H169,'01. KE30'!$A:$A,'06. BC BH THEO CUSTOMER-USD'!V$4)/'06. BC BH THEO CUSTOMER-USD'!DB169/'02. Tỷ giá'!K$5,"-")</f>
        <v>-</v>
      </c>
      <c r="AK169" s="147" t="str">
        <f>IFERROR(SUMIFS('01. KE30'!$O:$O,'01. KE30'!$C:$C,'06. BC BH THEO CUSTOMER-USD'!$D169,'01. KE30'!$F:$F,'06. BC BH THEO CUSTOMER-USD'!$H169,'01. KE30'!$A:$A,'06. BC BH THEO CUSTOMER-USD'!W$4)/'06. BC BH THEO CUSTOMER-USD'!DC169/'02. Tỷ giá'!L$5,"-")</f>
        <v>-</v>
      </c>
      <c r="AL169" s="147" t="str">
        <f>IFERROR(SUMIFS('01. KE30'!$O:$O,'01. KE30'!$C:$C,'06. BC BH THEO CUSTOMER-USD'!$D169,'01. KE30'!$F:$F,'06. BC BH THEO CUSTOMER-USD'!$H169,'01. KE30'!$A:$A,'06. BC BH THEO CUSTOMER-USD'!X$4)/'06. BC BH THEO CUSTOMER-USD'!DD169/'02. Tỷ giá'!M$5,"-")</f>
        <v>-</v>
      </c>
      <c r="AN169" s="55">
        <f t="shared" si="1815"/>
        <v>790</v>
      </c>
      <c r="AO169" s="4">
        <v>870</v>
      </c>
      <c r="AP169" s="4">
        <v>800</v>
      </c>
      <c r="AQ169" s="4">
        <v>805</v>
      </c>
      <c r="AR169" s="4">
        <v>805</v>
      </c>
      <c r="AS169" s="4">
        <v>765</v>
      </c>
      <c r="AT169" s="4">
        <v>765</v>
      </c>
      <c r="AU169" s="4">
        <v>780</v>
      </c>
      <c r="AV169" s="4">
        <f t="shared" si="1272"/>
        <v>760</v>
      </c>
      <c r="AW169" s="4">
        <v>760</v>
      </c>
      <c r="AX169" s="4"/>
      <c r="AY169" s="4"/>
      <c r="AZ169" s="4"/>
      <c r="BB169" s="54">
        <f t="shared" si="1816"/>
        <v>-91.87594570291742</v>
      </c>
      <c r="BC169" s="95" t="str">
        <f t="shared" si="1817"/>
        <v>-</v>
      </c>
      <c r="BD169" s="95" t="str">
        <f t="shared" si="1818"/>
        <v>-</v>
      </c>
      <c r="BE169" s="95" t="str">
        <f t="shared" si="1819"/>
        <v>-</v>
      </c>
      <c r="BF169" s="95">
        <f t="shared" si="1820"/>
        <v>-105.98507907830401</v>
      </c>
      <c r="BG169" s="95" t="str">
        <f t="shared" si="1821"/>
        <v>-</v>
      </c>
      <c r="BH169" s="95" t="str">
        <f t="shared" si="1822"/>
        <v>-</v>
      </c>
      <c r="BI169" s="95" t="str">
        <f t="shared" si="1823"/>
        <v>-</v>
      </c>
      <c r="BJ169" s="95">
        <f t="shared" si="1824"/>
        <v>-52.473442342961107</v>
      </c>
      <c r="BK169" s="95">
        <f t="shared" si="1825"/>
        <v>-72.169315687487142</v>
      </c>
      <c r="BL169" s="95" t="str">
        <f t="shared" si="1826"/>
        <v>-</v>
      </c>
      <c r="BM169" s="95" t="str">
        <f t="shared" si="1827"/>
        <v>-</v>
      </c>
      <c r="BN169" s="95" t="str">
        <f t="shared" si="1828"/>
        <v>-</v>
      </c>
      <c r="BP169" s="143">
        <f t="shared" si="1829"/>
        <v>-0.11629866544673091</v>
      </c>
      <c r="BQ169" s="143" t="str">
        <f t="shared" si="1830"/>
        <v>-</v>
      </c>
      <c r="BR169" s="143" t="str">
        <f t="shared" si="1831"/>
        <v>-</v>
      </c>
      <c r="BS169" s="143" t="str">
        <f t="shared" si="1832"/>
        <v>-</v>
      </c>
      <c r="BT169" s="143">
        <f t="shared" si="1833"/>
        <v>-0.13165848332708574</v>
      </c>
      <c r="BU169" s="143" t="str">
        <f t="shared" si="1834"/>
        <v>-</v>
      </c>
      <c r="BV169" s="143" t="str">
        <f t="shared" si="1835"/>
        <v>-</v>
      </c>
      <c r="BW169" s="143" t="str">
        <f t="shared" si="1836"/>
        <v>-</v>
      </c>
      <c r="BX169" s="143">
        <f t="shared" si="1837"/>
        <v>-6.9044003082843558E-2</v>
      </c>
      <c r="BY169" s="143">
        <f t="shared" si="1838"/>
        <v>-9.4959625904588341E-2</v>
      </c>
      <c r="BZ169" s="143" t="str">
        <f t="shared" si="1839"/>
        <v>-</v>
      </c>
      <c r="CA169" s="143" t="str">
        <f t="shared" si="1840"/>
        <v>-</v>
      </c>
      <c r="CB169" s="143" t="str">
        <f t="shared" si="1841"/>
        <v>-</v>
      </c>
      <c r="CD169" s="112">
        <f t="shared" si="1842"/>
        <v>1237.9449646129449</v>
      </c>
      <c r="CE169" s="95" t="str">
        <f>IFERROR(SUMIFS('01. KE30'!$R:$R,'01. KE30'!$C:$C,'06. BC BH THEO CUSTOMER-USD'!$D169,'01. KE30'!$F:$F,'06. BC BH THEO CUSTOMER-USD'!$H169,'01. KE30'!$A:$A,'06. BC BH THEO CUSTOMER-USD'!CE$4)/CS169/'02. Tỷ giá'!B$5," -")</f>
        <v xml:space="preserve"> -</v>
      </c>
      <c r="CF169" s="95" t="str">
        <f>IFERROR(SUMIFS('01. KE30'!$R:$R,'01. KE30'!$C:$C,'06. BC BH THEO CUSTOMER-USD'!$D169,'01. KE30'!$F:$F,'06. BC BH THEO CUSTOMER-USD'!$H169,'01. KE30'!$A:$A,'06. BC BH THEO CUSTOMER-USD'!CF$4)/CT169/'02. Tỷ giá'!C$5," -")</f>
        <v xml:space="preserve"> -</v>
      </c>
      <c r="CG169" s="95" t="str">
        <f>IFERROR(SUMIFS('01. KE30'!$R:$R,'01. KE30'!$C:$C,'06. BC BH THEO CUSTOMER-USD'!$D169,'01. KE30'!$F:$F,'06. BC BH THEO CUSTOMER-USD'!$H169,'01. KE30'!$A:$A,'06. BC BH THEO CUSTOMER-USD'!CG$4)/CU169/'02. Tỷ giá'!D$5," -")</f>
        <v xml:space="preserve"> -</v>
      </c>
      <c r="CH169" s="95">
        <f>IFERROR(SUMIFS('01. KE30'!$R:$R,'01. KE30'!$C:$C,'06. BC BH THEO CUSTOMER-USD'!$D169,'01. KE30'!$F:$F,'06. BC BH THEO CUSTOMER-USD'!$H169,'01. KE30'!$A:$A,'06. BC BH THEO CUSTOMER-USD'!CH$4)/CV169/'02. Tỷ giá'!E$5," -")</f>
        <v>1329.7591947348044</v>
      </c>
      <c r="CI169" s="95" t="str">
        <f>IFERROR(SUMIFS('01. KE30'!$R:$R,'01. KE30'!$C:$C,'06. BC BH THEO CUSTOMER-USD'!$D169,'01. KE30'!$F:$F,'06. BC BH THEO CUSTOMER-USD'!$H169,'01. KE30'!$A:$A,'06. BC BH THEO CUSTOMER-USD'!CI$4)/CW169/'02. Tỷ giá'!F$5," -")</f>
        <v xml:space="preserve"> -</v>
      </c>
      <c r="CJ169" s="95" t="str">
        <f>IFERROR(SUMIFS('01. KE30'!$R:$R,'01. KE30'!$C:$C,'06. BC BH THEO CUSTOMER-USD'!$D169,'01. KE30'!$F:$F,'06. BC BH THEO CUSTOMER-USD'!$H169,'01. KE30'!$A:$A,'06. BC BH THEO CUSTOMER-USD'!CJ$4)/CX169/'02. Tỷ giá'!G$5," -")</f>
        <v xml:space="preserve"> -</v>
      </c>
      <c r="CK169" s="95" t="str">
        <f>IFERROR(SUMIFS('01. KE30'!$R:$R,'01. KE30'!$C:$C,'06. BC BH THEO CUSTOMER-USD'!$D169,'01. KE30'!$F:$F,'06. BC BH THEO CUSTOMER-USD'!$H169,'01. KE30'!$A:$A,'06. BC BH THEO CUSTOMER-USD'!CK$4)/CY169/'02. Tỷ giá'!H$5," -")</f>
        <v xml:space="preserve"> -</v>
      </c>
      <c r="CL169" s="95">
        <f>IFERROR(SUMIFS('01. KE30'!$R:$R,'01. KE30'!$C:$C,'06. BC BH THEO CUSTOMER-USD'!$D169,'01. KE30'!$F:$F,'06. BC BH THEO CUSTOMER-USD'!$H169,'01. KE30'!$A:$A,'06. BC BH THEO CUSTOMER-USD'!CL$4)/CZ169/'02. Tỷ giá'!I$5," -")</f>
        <v>1493.0734829836433</v>
      </c>
      <c r="CM169" s="95">
        <f>IFERROR(SUMIFS('01. KE30'!$R:$R,'01. KE30'!$C:$C,'06. BC BH THEO CUSTOMER-USD'!$D169,'01. KE30'!$F:$F,'06. BC BH THEO CUSTOMER-USD'!$H169,'01. KE30'!$A:$A,'06. BC BH THEO CUSTOMER-USD'!CM$4)/DA169/'02. Tỷ giá'!J$5," -")</f>
        <v>891.00221612038752</v>
      </c>
      <c r="CN169" s="95" t="str">
        <f>IFERROR(SUMIFS('01. KE30'!$R:$R,'01. KE30'!$C:$C,'06. BC BH THEO CUSTOMER-USD'!$D169,'01. KE30'!$F:$F,'06. BC BH THEO CUSTOMER-USD'!$H169,'01. KE30'!$A:$A,'06. BC BH THEO CUSTOMER-USD'!CN$4)/DB169/'02. Tỷ giá'!K$5," -")</f>
        <v xml:space="preserve"> -</v>
      </c>
      <c r="CO169" s="95" t="str">
        <f>IFERROR(SUMIFS('01. KE30'!$R:$R,'01. KE30'!$C:$C,'06. BC BH THEO CUSTOMER-USD'!$D169,'01. KE30'!$F:$F,'06. BC BH THEO CUSTOMER-USD'!$H169,'01. KE30'!$A:$A,'06. BC BH THEO CUSTOMER-USD'!CO$4)/DC169/'02. Tỷ giá'!L$5," -")</f>
        <v xml:space="preserve"> -</v>
      </c>
      <c r="CP169" s="95" t="str">
        <f>IFERROR(SUMIFS('01. KE30'!$R:$R,'01. KE30'!$C:$C,'06. BC BH THEO CUSTOMER-USD'!$D169,'01. KE30'!$F:$F,'06. BC BH THEO CUSTOMER-USD'!$H169,'01. KE30'!$A:$A,'06. BC BH THEO CUSTOMER-USD'!CP$4)/DD169/'02. Tỷ giá'!M$5," -")</f>
        <v xml:space="preserve"> -</v>
      </c>
      <c r="CR169" s="112">
        <f t="shared" si="1843"/>
        <v>67.5</v>
      </c>
      <c r="CS169" s="114">
        <f>SUMIFS('01. KE30'!$I:$I,'01. KE30'!$C:$C,'06. BC BH THEO CUSTOMER-USD'!$D169,'01. KE30'!$F:$F,'06. BC BH THEO CUSTOMER-USD'!$H169,'01. KE30'!$A:$A,'06. BC BH THEO CUSTOMER-USD'!CS$4)/1000</f>
        <v>0</v>
      </c>
      <c r="CT169" s="114">
        <f>SUMIFS('01. KE30'!$I:$I,'01. KE30'!$C:$C,'06. BC BH THEO CUSTOMER-USD'!$D169,'01. KE30'!$F:$F,'06. BC BH THEO CUSTOMER-USD'!$H169,'01. KE30'!$A:$A,'06. BC BH THEO CUSTOMER-USD'!CT$4)/1000</f>
        <v>0</v>
      </c>
      <c r="CU169" s="114">
        <f>SUMIFS('01. KE30'!$I:$I,'01. KE30'!$C:$C,'06. BC BH THEO CUSTOMER-USD'!$D169,'01. KE30'!$F:$F,'06. BC BH THEO CUSTOMER-USD'!$H169,'01. KE30'!$A:$A,'06. BC BH THEO CUSTOMER-USD'!CU$4)/1000</f>
        <v>0</v>
      </c>
      <c r="CV169" s="114">
        <f>SUMIFS('01. KE30'!$I:$I,'01. KE30'!$C:$C,'06. BC BH THEO CUSTOMER-USD'!$D169,'01. KE30'!$F:$F,'06. BC BH THEO CUSTOMER-USD'!$H169,'01. KE30'!$A:$A,'06. BC BH THEO CUSTOMER-USD'!CV$4)/1000</f>
        <v>1.5</v>
      </c>
      <c r="CW169" s="114">
        <f>SUMIFS('01. KE30'!$I:$I,'01. KE30'!$C:$C,'06. BC BH THEO CUSTOMER-USD'!$D169,'01. KE30'!$F:$F,'06. BC BH THEO CUSTOMER-USD'!$H169,'01. KE30'!$A:$A,'06. BC BH THEO CUSTOMER-USD'!CW$4)/1000</f>
        <v>0</v>
      </c>
      <c r="CX169" s="114">
        <f>SUMIFS('01. KE30'!$I:$I,'01. KE30'!$C:$C,'06. BC BH THEO CUSTOMER-USD'!$D169,'01. KE30'!$F:$F,'06. BC BH THEO CUSTOMER-USD'!$H169,'01. KE30'!$A:$A,'06. BC BH THEO CUSTOMER-USD'!CX$4)/1000</f>
        <v>0</v>
      </c>
      <c r="CY169" s="114">
        <f>SUMIFS('01. KE30'!$I:$I,'01. KE30'!$C:$C,'06. BC BH THEO CUSTOMER-USD'!$D169,'01. KE30'!$F:$F,'06. BC BH THEO CUSTOMER-USD'!$H169,'01. KE30'!$A:$A,'06. BC BH THEO CUSTOMER-USD'!CY$4)/1000</f>
        <v>0</v>
      </c>
      <c r="CZ169" s="114">
        <f>SUMIFS('01. KE30'!$I:$I,'01. KE30'!$C:$C,'06. BC BH THEO CUSTOMER-USD'!$D169,'01. KE30'!$F:$F,'06. BC BH THEO CUSTOMER-USD'!$H169,'01. KE30'!$A:$A,'06. BC BH THEO CUSTOMER-USD'!CZ$4)/1000</f>
        <v>37.125</v>
      </c>
      <c r="DA169" s="114">
        <f>SUMIFS('01. KE30'!$I:$I,'01. KE30'!$C:$C,'06. BC BH THEO CUSTOMER-USD'!$D169,'01. KE30'!$F:$F,'06. BC BH THEO CUSTOMER-USD'!$H169,'01. KE30'!$A:$A,'06. BC BH THEO CUSTOMER-USD'!DA$4)/1000</f>
        <v>28.875</v>
      </c>
      <c r="DB169" s="114">
        <f>SUMIFS('01. KE30'!$I:$I,'01. KE30'!$C:$C,'06. BC BH THEO CUSTOMER-USD'!$D169,'01. KE30'!$F:$F,'06. BC BH THEO CUSTOMER-USD'!$H169,'01. KE30'!$A:$A,'06. BC BH THEO CUSTOMER-USD'!DB$4)/1000</f>
        <v>0</v>
      </c>
      <c r="DC169" s="114">
        <f>SUMIFS('01. KE30'!$I:$I,'01. KE30'!$C:$C,'06. BC BH THEO CUSTOMER-USD'!$D169,'01. KE30'!$F:$F,'06. BC BH THEO CUSTOMER-USD'!$H169,'01. KE30'!$A:$A,'06. BC BH THEO CUSTOMER-USD'!DC$4)/1000</f>
        <v>0</v>
      </c>
      <c r="DD169" s="114">
        <f>SUMIFS('01. KE30'!$I:$I,'01. KE30'!$C:$C,'06. BC BH THEO CUSTOMER-USD'!$D169,'01. KE30'!$F:$F,'06. BC BH THEO CUSTOMER-USD'!$H169,'01. KE30'!$A:$A,'06. BC BH THEO CUSTOMER-USD'!DD$4)/1000</f>
        <v>0</v>
      </c>
      <c r="DF169" s="112">
        <f t="shared" si="1844"/>
        <v>49412.259996006804</v>
      </c>
      <c r="DG169" s="54" t="str">
        <f t="shared" si="1845"/>
        <v>-</v>
      </c>
      <c r="DH169" s="54" t="str">
        <f t="shared" si="1846"/>
        <v>-</v>
      </c>
      <c r="DI169" s="54" t="str">
        <f t="shared" si="1847"/>
        <v>-</v>
      </c>
      <c r="DJ169" s="54">
        <f t="shared" si="1848"/>
        <v>1102.292760356175</v>
      </c>
      <c r="DK169" s="54" t="str">
        <f t="shared" si="1849"/>
        <v>-</v>
      </c>
      <c r="DL169" s="54" t="str">
        <f t="shared" si="1850"/>
        <v>-</v>
      </c>
      <c r="DM169" s="54" t="str">
        <f t="shared" si="1851"/>
        <v>-</v>
      </c>
      <c r="DN169" s="54">
        <f t="shared" si="1852"/>
        <v>27348.856226126813</v>
      </c>
      <c r="DO169" s="54">
        <f t="shared" si="1853"/>
        <v>20961.111009523811</v>
      </c>
      <c r="DP169" s="54" t="str">
        <f t="shared" si="1854"/>
        <v>-</v>
      </c>
      <c r="DQ169" s="54" t="str">
        <f t="shared" si="1855"/>
        <v>-</v>
      </c>
      <c r="DR169" s="54" t="str">
        <f t="shared" si="1856"/>
        <v>-</v>
      </c>
      <c r="DT169" s="112">
        <f t="shared" si="1857"/>
        <v>-35976.123994422232</v>
      </c>
      <c r="DU169" s="114">
        <f>IFERROR(SUMIFS('01. KE30'!$X:$X,'01. KE30'!$C:$C,'06. BC BH THEO CUSTOMER-USD'!$D169,'01. KE30'!$F:$F,'06. BC BH THEO CUSTOMER-USD'!$H169,'01. KE30'!$A:$A,'06. BC BH THEO CUSTOMER-USD'!DU$4)-SUMIFS('01. KE30'!$AA:$AA,'01. KE30'!$C:$C,'06. BC BH THEO CUSTOMER-USD'!$D169,'01. KE30'!$F:$F,'06. BC BH THEO CUSTOMER-USD'!$H169,'01. KE30'!$A:$A,'06. BC BH THEO CUSTOMER-USD'!DU$4),"-")</f>
        <v>0</v>
      </c>
      <c r="DV169" s="114">
        <f>IFERROR(SUMIFS('01. KE30'!$X:$X,'01. KE30'!$C:$C,'06. BC BH THEO CUSTOMER-USD'!$D169,'01. KE30'!$F:$F,'06. BC BH THEO CUSTOMER-USD'!$H169,'01. KE30'!$A:$A,'06. BC BH THEO CUSTOMER-USD'!DV$4)-SUMIFS('01. KE30'!$AA:$AA,'01. KE30'!$C:$C,'06. BC BH THEO CUSTOMER-USD'!$D169,'01. KE30'!$F:$F,'06. BC BH THEO CUSTOMER-USD'!$H169,'01. KE30'!$A:$A,'06. BC BH THEO CUSTOMER-USD'!DV$4),"-")</f>
        <v>0</v>
      </c>
      <c r="DW169" s="114">
        <f>IFERROR(SUMIFS('01. KE30'!$X:$X,'01. KE30'!$C:$C,'06. BC BH THEO CUSTOMER-USD'!$D169,'01. KE30'!$F:$F,'06. BC BH THEO CUSTOMER-USD'!$H169,'01. KE30'!$A:$A,'06. BC BH THEO CUSTOMER-USD'!DW$4)-SUMIFS('01. KE30'!$AA:$AA,'01. KE30'!$C:$C,'06. BC BH THEO CUSTOMER-USD'!$D169,'01. KE30'!$F:$F,'06. BC BH THEO CUSTOMER-USD'!$H169,'01. KE30'!$A:$A,'06. BC BH THEO CUSTOMER-USD'!DW$4),"-")</f>
        <v>0</v>
      </c>
      <c r="DX169" s="114">
        <f>IFERROR(SUMIFS('01. KE30'!$X:$X,'01. KE30'!$C:$C,'06. BC BH THEO CUSTOMER-USD'!$D169,'01. KE30'!$F:$F,'06. BC BH THEO CUSTOMER-USD'!$H169,'01. KE30'!$A:$A,'06. BC BH THEO CUSTOMER-USD'!DX$4)-SUMIFS('01. KE30'!$AA:$AA,'01. KE30'!$C:$C,'06. BC BH THEO CUSTOMER-USD'!$D169,'01. KE30'!$F:$F,'06. BC BH THEO CUSTOMER-USD'!$H169,'01. KE30'!$A:$A,'06. BC BH THEO CUSTOMER-USD'!DX$4),"-")</f>
        <v>-946.11641071966278</v>
      </c>
      <c r="DY169" s="114">
        <f>IFERROR(SUMIFS('01. KE30'!$X:$X,'01. KE30'!$C:$C,'06. BC BH THEO CUSTOMER-USD'!$D169,'01. KE30'!$F:$F,'06. BC BH THEO CUSTOMER-USD'!$H169,'01. KE30'!$A:$A,'06. BC BH THEO CUSTOMER-USD'!DY$4)-SUMIFS('01. KE30'!$AA:$AA,'01. KE30'!$C:$C,'06. BC BH THEO CUSTOMER-USD'!$D169,'01. KE30'!$F:$F,'06. BC BH THEO CUSTOMER-USD'!$H169,'01. KE30'!$A:$A,'06. BC BH THEO CUSTOMER-USD'!DY$4),"-")</f>
        <v>0</v>
      </c>
      <c r="DZ169" s="114">
        <f>IFERROR(SUMIFS('01. KE30'!$X:$X,'01. KE30'!$C:$C,'06. BC BH THEO CUSTOMER-USD'!$D169,'01. KE30'!$F:$F,'06. BC BH THEO CUSTOMER-USD'!$H169,'01. KE30'!$A:$A,'06. BC BH THEO CUSTOMER-USD'!DZ$4)-SUMIFS('01. KE30'!$AA:$AA,'01. KE30'!$C:$C,'06. BC BH THEO CUSTOMER-USD'!$D169,'01. KE30'!$F:$F,'06. BC BH THEO CUSTOMER-USD'!$H169,'01. KE30'!$A:$A,'06. BC BH THEO CUSTOMER-USD'!DZ$4),"-")</f>
        <v>0</v>
      </c>
      <c r="EA169" s="114">
        <f>IFERROR(SUMIFS('01. KE30'!$X:$X,'01. KE30'!$C:$C,'06. BC BH THEO CUSTOMER-USD'!$D169,'01. KE30'!$F:$F,'06. BC BH THEO CUSTOMER-USD'!$H169,'01. KE30'!$A:$A,'06. BC BH THEO CUSTOMER-USD'!EA$4)-SUMIFS('01. KE30'!$AA:$AA,'01. KE30'!$C:$C,'06. BC BH THEO CUSTOMER-USD'!$D169,'01. KE30'!$F:$F,'06. BC BH THEO CUSTOMER-USD'!$H169,'01. KE30'!$A:$A,'06. BC BH THEO CUSTOMER-USD'!EA$4),"-")</f>
        <v>0</v>
      </c>
      <c r="EB169" s="114">
        <f>IFERROR(SUMIFS('01. KE30'!$X:$X,'01. KE30'!$C:$C,'06. BC BH THEO CUSTOMER-USD'!$D169,'01. KE30'!$F:$F,'06. BC BH THEO CUSTOMER-USD'!$H169,'01. KE30'!$A:$A,'06. BC BH THEO CUSTOMER-USD'!EB$4)-SUMIFS('01. KE30'!$AA:$AA,'01. KE30'!$C:$C,'06. BC BH THEO CUSTOMER-USD'!$D169,'01. KE30'!$F:$F,'06. BC BH THEO CUSTOMER-USD'!$H169,'01. KE30'!$A:$A,'06. BC BH THEO CUSTOMER-USD'!EB$4),"-")</f>
        <v>-29163.429602750188</v>
      </c>
      <c r="EC169" s="114">
        <f>IFERROR(SUMIFS('01. KE30'!$X:$X,'01. KE30'!$C:$C,'06. BC BH THEO CUSTOMER-USD'!$D169,'01. KE30'!$F:$F,'06. BC BH THEO CUSTOMER-USD'!$H169,'01. KE30'!$A:$A,'06. BC BH THEO CUSTOMER-USD'!EC$4)-SUMIFS('01. KE30'!$AA:$AA,'01. KE30'!$C:$C,'06. BC BH THEO CUSTOMER-USD'!$D169,'01. KE30'!$F:$F,'06. BC BH THEO CUSTOMER-USD'!$H169,'01. KE30'!$A:$A,'06. BC BH THEO CUSTOMER-USD'!EC$4),"-")</f>
        <v>-5866.577980952381</v>
      </c>
      <c r="ED169" s="114">
        <f>IFERROR(SUMIFS('01. KE30'!$X:$X,'01. KE30'!$C:$C,'06. BC BH THEO CUSTOMER-USD'!$D169,'01. KE30'!$F:$F,'06. BC BH THEO CUSTOMER-USD'!$H169,'01. KE30'!$A:$A,'06. BC BH THEO CUSTOMER-USD'!ED$4)-SUMIFS('01. KE30'!$AA:$AA,'01. KE30'!$C:$C,'06. BC BH THEO CUSTOMER-USD'!$D169,'01. KE30'!$F:$F,'06. BC BH THEO CUSTOMER-USD'!$H169,'01. KE30'!$A:$A,'06. BC BH THEO CUSTOMER-USD'!ED$4),"-")</f>
        <v>0</v>
      </c>
      <c r="EE169" s="114">
        <f>IFERROR(SUMIFS('01. KE30'!$X:$X,'01. KE30'!$C:$C,'06. BC BH THEO CUSTOMER-USD'!$D169,'01. KE30'!$F:$F,'06. BC BH THEO CUSTOMER-USD'!$H169,'01. KE30'!$A:$A,'06. BC BH THEO CUSTOMER-USD'!EE$4)-SUMIFS('01. KE30'!$AA:$AA,'01. KE30'!$C:$C,'06. BC BH THEO CUSTOMER-USD'!$D169,'01. KE30'!$F:$F,'06. BC BH THEO CUSTOMER-USD'!$H169,'01. KE30'!$A:$A,'06. BC BH THEO CUSTOMER-USD'!EE$4),"-")</f>
        <v>0</v>
      </c>
      <c r="EF169" s="114">
        <f>IFERROR(SUMIFS('01. KE30'!$X:$X,'01. KE30'!$C:$C,'06. BC BH THEO CUSTOMER-USD'!$D169,'01. KE30'!$F:$F,'06. BC BH THEO CUSTOMER-USD'!$H169,'01. KE30'!$A:$A,'06. BC BH THEO CUSTOMER-USD'!EF$4)-SUMIFS('01. KE30'!$AA:$AA,'01. KE30'!$C:$C,'06. BC BH THEO CUSTOMER-USD'!$D169,'01. KE30'!$F:$F,'06. BC BH THEO CUSTOMER-USD'!$H169,'01. KE30'!$A:$A,'06. BC BH THEO CUSTOMER-USD'!EF$4),"-")</f>
        <v>0</v>
      </c>
      <c r="EH169" s="571">
        <f t="shared" si="1858"/>
        <v>-0.72808092561096383</v>
      </c>
      <c r="EI169" s="572" t="str">
        <f t="shared" si="1859"/>
        <v>-</v>
      </c>
      <c r="EJ169" s="572" t="str">
        <f t="shared" si="1860"/>
        <v>-</v>
      </c>
      <c r="EK169" s="572" t="str">
        <f t="shared" si="1861"/>
        <v>-</v>
      </c>
      <c r="EL169" s="572">
        <f t="shared" si="1862"/>
        <v>-0.85831681450393615</v>
      </c>
      <c r="EM169" s="572" t="str">
        <f t="shared" si="1863"/>
        <v>-</v>
      </c>
      <c r="EN169" s="572" t="str">
        <f t="shared" si="1864"/>
        <v>-</v>
      </c>
      <c r="EO169" s="572" t="str">
        <f t="shared" si="1865"/>
        <v>-</v>
      </c>
      <c r="EP169" s="572">
        <f t="shared" si="1866"/>
        <v>-1.0663491504587999</v>
      </c>
      <c r="EQ169" s="572">
        <f t="shared" si="1867"/>
        <v>-0.27987915231625199</v>
      </c>
      <c r="ER169" s="572" t="str">
        <f t="shared" si="1868"/>
        <v>-</v>
      </c>
      <c r="ES169" s="572" t="str">
        <f t="shared" si="1869"/>
        <v>-</v>
      </c>
      <c r="ET169" s="572" t="str">
        <f t="shared" si="1870"/>
        <v>-</v>
      </c>
    </row>
    <row r="170" spans="1:150" ht="15.5" hidden="1" outlineLevel="1" x14ac:dyDescent="0.35">
      <c r="A170" s="10">
        <f t="shared" si="1266"/>
        <v>11</v>
      </c>
      <c r="B170" s="10" t="s">
        <v>266</v>
      </c>
      <c r="C170" s="497"/>
      <c r="D170" s="9" t="s">
        <v>637</v>
      </c>
      <c r="E170" s="8" t="s">
        <v>638</v>
      </c>
      <c r="F170" s="12" t="s">
        <v>245</v>
      </c>
      <c r="G170" s="12" t="str">
        <f>_xlfn.XLOOKUP(F170,'Quy đổi'!$G$5:$G$32,'Quy đổi'!$H$5:$H$32,0)</f>
        <v>Nội địa</v>
      </c>
      <c r="H170" s="80" t="s">
        <v>204</v>
      </c>
      <c r="I170" s="7" t="s">
        <v>205</v>
      </c>
      <c r="J170" s="69" t="s">
        <v>22</v>
      </c>
      <c r="K170" s="5"/>
      <c r="L170" s="92">
        <f t="shared" si="1813"/>
        <v>732.71284668401972</v>
      </c>
      <c r="M170" s="106" t="str">
        <f>IFERROR(SUMIFS('01. KE30'!$K:$K,'01. KE30'!$C:$C,'06. BC BH THEO CUSTOMER-USD'!$D170,'01. KE30'!$F:$F,'06. BC BH THEO CUSTOMER-USD'!$H170,'01. KE30'!$A:$A,'06. BC BH THEO CUSTOMER-USD'!M$4)/'06. BC BH THEO CUSTOMER-USD'!CS170/'02. Tỷ giá'!B$5,"-")</f>
        <v>-</v>
      </c>
      <c r="N170" s="106" t="str">
        <f>IFERROR(SUMIFS('01. KE30'!$K:$K,'01. KE30'!$C:$C,'06. BC BH THEO CUSTOMER-USD'!$D170,'01. KE30'!$F:$F,'06. BC BH THEO CUSTOMER-USD'!$H170,'01. KE30'!$A:$A,'06. BC BH THEO CUSTOMER-USD'!N$4)/'06. BC BH THEO CUSTOMER-USD'!CT170/'02. Tỷ giá'!C$5,"-")</f>
        <v>-</v>
      </c>
      <c r="O170" s="106" t="str">
        <f>IFERROR(SUMIFS('01. KE30'!$K:$K,'01. KE30'!$C:$C,'06. BC BH THEO CUSTOMER-USD'!$D170,'01. KE30'!$F:$F,'06. BC BH THEO CUSTOMER-USD'!$H170,'01. KE30'!$A:$A,'06. BC BH THEO CUSTOMER-USD'!O$4)/'06. BC BH THEO CUSTOMER-USD'!CU170/'02. Tỷ giá'!D$5,"-")</f>
        <v>-</v>
      </c>
      <c r="P170" s="106">
        <f>IFERROR(SUMIFS('01. KE30'!$K:$K,'01. KE30'!$C:$C,'06. BC BH THEO CUSTOMER-USD'!$D170,'01. KE30'!$F:$F,'06. BC BH THEO CUSTOMER-USD'!$H170,'01. KE30'!$A:$A,'06. BC BH THEO CUSTOMER-USD'!P$4)/'06. BC BH THEO CUSTOMER-USD'!CV170/'02. Tỷ giá'!E$5,"-")</f>
        <v>737.7295987179142</v>
      </c>
      <c r="Q170" s="106">
        <f>IFERROR(SUMIFS('01. KE30'!$K:$K,'01. KE30'!$C:$C,'06. BC BH THEO CUSTOMER-USD'!$D170,'01. KE30'!$F:$F,'06. BC BH THEO CUSTOMER-USD'!$H170,'01. KE30'!$A:$A,'06. BC BH THEO CUSTOMER-USD'!Q$4)/'06. BC BH THEO CUSTOMER-USD'!CW170/'02. Tỷ giá'!F$5,"-")</f>
        <v>736.87376351413479</v>
      </c>
      <c r="R170" s="106">
        <f>IFERROR(SUMIFS('01. KE30'!$K:$K,'01. KE30'!$C:$C,'06. BC BH THEO CUSTOMER-USD'!$D170,'01. KE30'!$F:$F,'06. BC BH THEO CUSTOMER-USD'!$H170,'01. KE30'!$A:$A,'06. BC BH THEO CUSTOMER-USD'!R$4)/'06. BC BH THEO CUSTOMER-USD'!CX170/'02. Tỷ giá'!G$5,"-")</f>
        <v>735.16803801907975</v>
      </c>
      <c r="S170" s="106" t="str">
        <f>IFERROR(SUMIFS('01. KE30'!$K:$K,'01. KE30'!$C:$C,'06. BC BH THEO CUSTOMER-USD'!$D170,'01. KE30'!$F:$F,'06. BC BH THEO CUSTOMER-USD'!$H170,'01. KE30'!$A:$A,'06. BC BH THEO CUSTOMER-USD'!S$4)/'06. BC BH THEO CUSTOMER-USD'!CY170/'02. Tỷ giá'!H$5,"-")</f>
        <v>-</v>
      </c>
      <c r="T170" s="106">
        <f>IFERROR(SUMIFS('01. KE30'!$K:$K,'01. KE30'!$C:$C,'06. BC BH THEO CUSTOMER-USD'!$D170,'01. KE30'!$F:$F,'06. BC BH THEO CUSTOMER-USD'!$H170,'01. KE30'!$A:$A,'06. BC BH THEO CUSTOMER-USD'!T$4)/'06. BC BH THEO CUSTOMER-USD'!CZ170/'02. Tỷ giá'!I$5,"-")</f>
        <v>727.86690742412668</v>
      </c>
      <c r="U170" s="106">
        <f>IFERROR(SUMIFS('01. KE30'!$K:$K,'01. KE30'!$C:$C,'06. BC BH THEO CUSTOMER-USD'!$D170,'01. KE30'!$F:$F,'06. BC BH THEO CUSTOMER-USD'!$H170,'01. KE30'!$A:$A,'06. BC BH THEO CUSTOMER-USD'!U$4)/'06. BC BH THEO CUSTOMER-USD'!DA170/'02. Tỷ giá'!J$5,"-")</f>
        <v>725.92592574484331</v>
      </c>
      <c r="V170" s="106" t="str">
        <f>IFERROR(SUMIFS('01. KE30'!$K:$K,'01. KE30'!$C:$C,'06. BC BH THEO CUSTOMER-USD'!$D170,'01. KE30'!$F:$F,'06. BC BH THEO CUSTOMER-USD'!$H170,'01. KE30'!$A:$A,'06. BC BH THEO CUSTOMER-USD'!V$4)/'06. BC BH THEO CUSTOMER-USD'!DB170/'02. Tỷ giá'!K$5,"-")</f>
        <v>-</v>
      </c>
      <c r="W170" s="106" t="str">
        <f>IFERROR(SUMIFS('01. KE30'!$K:$K,'01. KE30'!$C:$C,'06. BC BH THEO CUSTOMER-USD'!$D170,'01. KE30'!$F:$F,'06. BC BH THEO CUSTOMER-USD'!$H170,'01. KE30'!$A:$A,'06. BC BH THEO CUSTOMER-USD'!W$4)/'06. BC BH THEO CUSTOMER-USD'!DC170/'02. Tỷ giá'!L$5,"-")</f>
        <v>-</v>
      </c>
      <c r="X170" s="106" t="str">
        <f>IFERROR(SUMIFS('01. KE30'!$K:$K,'01. KE30'!$C:$C,'06. BC BH THEO CUSTOMER-USD'!$D170,'01. KE30'!$F:$F,'06. BC BH THEO CUSTOMER-USD'!$H170,'01. KE30'!$A:$A,'06. BC BH THEO CUSTOMER-USD'!X$4)/'06. BC BH THEO CUSTOMER-USD'!DD170/'02. Tỷ giá'!M$5,"-")</f>
        <v>-</v>
      </c>
      <c r="Z170" s="92">
        <f t="shared" si="1814"/>
        <v>693.56917382262941</v>
      </c>
      <c r="AA170" s="147" t="str">
        <f>IFERROR(SUMIFS('01. KE30'!$O:$O,'01. KE30'!$C:$C,'06. BC BH THEO CUSTOMER-USD'!$D170,'01. KE30'!$F:$F,'06. BC BH THEO CUSTOMER-USD'!$H170,'01. KE30'!$A:$A,'06. BC BH THEO CUSTOMER-USD'!M$4)/'06. BC BH THEO CUSTOMER-USD'!CS170/'02. Tỷ giá'!B$5,"-")</f>
        <v>-</v>
      </c>
      <c r="AB170" s="147" t="str">
        <f>IFERROR(SUMIFS('01. KE30'!$O:$O,'01. KE30'!$C:$C,'06. BC BH THEO CUSTOMER-USD'!$D170,'01. KE30'!$F:$F,'06. BC BH THEO CUSTOMER-USD'!$H170,'01. KE30'!$A:$A,'06. BC BH THEO CUSTOMER-USD'!N$4)/'06. BC BH THEO CUSTOMER-USD'!CT170/'02. Tỷ giá'!C$5,"-")</f>
        <v>-</v>
      </c>
      <c r="AC170" s="147" t="str">
        <f>IFERROR(SUMIFS('01. KE30'!$O:$O,'01. KE30'!$C:$C,'06. BC BH THEO CUSTOMER-USD'!$D170,'01. KE30'!$F:$F,'06. BC BH THEO CUSTOMER-USD'!$H170,'01. KE30'!$A:$A,'06. BC BH THEO CUSTOMER-USD'!O$4)/'06. BC BH THEO CUSTOMER-USD'!CU170/'02. Tỷ giá'!D$5,"-")</f>
        <v>-</v>
      </c>
      <c r="AD170" s="147">
        <f>IFERROR(SUMIFS('01. KE30'!$O:$O,'01. KE30'!$C:$C,'06. BC BH THEO CUSTOMER-USD'!$D170,'01. KE30'!$F:$F,'06. BC BH THEO CUSTOMER-USD'!$H170,'01. KE30'!$A:$A,'06. BC BH THEO CUSTOMER-USD'!P$4)/'06. BC BH THEO CUSTOMER-USD'!CV170/'02. Tỷ giá'!E$5,"-")</f>
        <v>699.01492585689982</v>
      </c>
      <c r="AE170" s="147">
        <f>IFERROR(SUMIFS('01. KE30'!$O:$O,'01. KE30'!$C:$C,'06. BC BH THEO CUSTOMER-USD'!$D170,'01. KE30'!$F:$F,'06. BC BH THEO CUSTOMER-USD'!$H170,'01. KE30'!$A:$A,'06. BC BH THEO CUSTOMER-USD'!Q$4)/'06. BC BH THEO CUSTOMER-USD'!CW170/'02. Tỷ giá'!F$5,"-")</f>
        <v>694.74265409764246</v>
      </c>
      <c r="AF170" s="147">
        <f>IFERROR(SUMIFS('01. KE30'!$O:$O,'01. KE30'!$C:$C,'06. BC BH THEO CUSTOMER-USD'!$D170,'01. KE30'!$F:$F,'06. BC BH THEO CUSTOMER-USD'!$H170,'01. KE30'!$A:$A,'06. BC BH THEO CUSTOMER-USD'!R$4)/'06. BC BH THEO CUSTOMER-USD'!CX170/'02. Tỷ giá'!G$5,"-")</f>
        <v>696.58779110549949</v>
      </c>
      <c r="AG170" s="147" t="str">
        <f>IFERROR(SUMIFS('01. KE30'!$O:$O,'01. KE30'!$C:$C,'06. BC BH THEO CUSTOMER-USD'!$D170,'01. KE30'!$F:$F,'06. BC BH THEO CUSTOMER-USD'!$H170,'01. KE30'!$A:$A,'06. BC BH THEO CUSTOMER-USD'!S$4)/'06. BC BH THEO CUSTOMER-USD'!CY170/'02. Tỷ giá'!H$5,"-")</f>
        <v>-</v>
      </c>
      <c r="AH170" s="147">
        <f>IFERROR(SUMIFS('01. KE30'!$O:$O,'01. KE30'!$C:$C,'06. BC BH THEO CUSTOMER-USD'!$D170,'01. KE30'!$F:$F,'06. BC BH THEO CUSTOMER-USD'!$H170,'01. KE30'!$A:$A,'06. BC BH THEO CUSTOMER-USD'!T$4)/'06. BC BH THEO CUSTOMER-USD'!CZ170/'02. Tỷ giá'!I$5,"-")</f>
        <v>689.66981040350026</v>
      </c>
      <c r="AI170" s="147">
        <f>IFERROR(SUMIFS('01. KE30'!$O:$O,'01. KE30'!$C:$C,'06. BC BH THEO CUSTOMER-USD'!$D170,'01. KE30'!$F:$F,'06. BC BH THEO CUSTOMER-USD'!$H170,'01. KE30'!$A:$A,'06. BC BH THEO CUSTOMER-USD'!U$4)/'06. BC BH THEO CUSTOMER-USD'!DA170/'02. Tỷ giá'!J$5,"-")</f>
        <v>687.83068764960524</v>
      </c>
      <c r="AJ170" s="147" t="str">
        <f>IFERROR(SUMIFS('01. KE30'!$O:$O,'01. KE30'!$C:$C,'06. BC BH THEO CUSTOMER-USD'!$D170,'01. KE30'!$F:$F,'06. BC BH THEO CUSTOMER-USD'!$H170,'01. KE30'!$A:$A,'06. BC BH THEO CUSTOMER-USD'!V$4)/'06. BC BH THEO CUSTOMER-USD'!DB170/'02. Tỷ giá'!K$5,"-")</f>
        <v>-</v>
      </c>
      <c r="AK170" s="147" t="str">
        <f>IFERROR(SUMIFS('01. KE30'!$O:$O,'01. KE30'!$C:$C,'06. BC BH THEO CUSTOMER-USD'!$D170,'01. KE30'!$F:$F,'06. BC BH THEO CUSTOMER-USD'!$H170,'01. KE30'!$A:$A,'06. BC BH THEO CUSTOMER-USD'!W$4)/'06. BC BH THEO CUSTOMER-USD'!DC170/'02. Tỷ giá'!L$5,"-")</f>
        <v>-</v>
      </c>
      <c r="AL170" s="147" t="str">
        <f>IFERROR(SUMIFS('01. KE30'!$O:$O,'01. KE30'!$C:$C,'06. BC BH THEO CUSTOMER-USD'!$D170,'01. KE30'!$F:$F,'06. BC BH THEO CUSTOMER-USD'!$H170,'01. KE30'!$A:$A,'06. BC BH THEO CUSTOMER-USD'!X$4)/'06. BC BH THEO CUSTOMER-USD'!DD170/'02. Tỷ giá'!M$5,"-")</f>
        <v>-</v>
      </c>
      <c r="AN170" s="55">
        <f t="shared" si="1815"/>
        <v>790</v>
      </c>
      <c r="AO170" s="4">
        <v>870</v>
      </c>
      <c r="AP170" s="4">
        <v>800</v>
      </c>
      <c r="AQ170" s="4">
        <v>805</v>
      </c>
      <c r="AR170" s="4">
        <v>805</v>
      </c>
      <c r="AS170" s="4">
        <v>765</v>
      </c>
      <c r="AT170" s="4">
        <v>765</v>
      </c>
      <c r="AU170" s="4">
        <v>780</v>
      </c>
      <c r="AV170" s="4">
        <f t="shared" si="1272"/>
        <v>760</v>
      </c>
      <c r="AW170" s="4">
        <v>760</v>
      </c>
      <c r="AX170" s="4"/>
      <c r="AY170" s="4"/>
      <c r="AZ170" s="4"/>
      <c r="BB170" s="54">
        <f t="shared" si="1816"/>
        <v>-96.430826177370591</v>
      </c>
      <c r="BC170" s="95" t="str">
        <f t="shared" si="1817"/>
        <v>-</v>
      </c>
      <c r="BD170" s="95" t="str">
        <f t="shared" si="1818"/>
        <v>-</v>
      </c>
      <c r="BE170" s="95" t="str">
        <f t="shared" si="1819"/>
        <v>-</v>
      </c>
      <c r="BF170" s="95">
        <f t="shared" si="1820"/>
        <v>-105.98507414310018</v>
      </c>
      <c r="BG170" s="95">
        <f t="shared" si="1821"/>
        <v>-70.257345902357542</v>
      </c>
      <c r="BH170" s="95">
        <f t="shared" si="1822"/>
        <v>-68.412208894500509</v>
      </c>
      <c r="BI170" s="95" t="str">
        <f t="shared" si="1823"/>
        <v>-</v>
      </c>
      <c r="BJ170" s="95">
        <f t="shared" si="1824"/>
        <v>-70.330189596499736</v>
      </c>
      <c r="BK170" s="95">
        <f t="shared" si="1825"/>
        <v>-72.169312350394762</v>
      </c>
      <c r="BL170" s="95" t="str">
        <f t="shared" si="1826"/>
        <v>-</v>
      </c>
      <c r="BM170" s="95" t="str">
        <f t="shared" si="1827"/>
        <v>-</v>
      </c>
      <c r="BN170" s="95" t="str">
        <f t="shared" si="1828"/>
        <v>-</v>
      </c>
      <c r="BP170" s="143">
        <f t="shared" si="1829"/>
        <v>-0.12206433693338049</v>
      </c>
      <c r="BQ170" s="143" t="str">
        <f t="shared" si="1830"/>
        <v>-</v>
      </c>
      <c r="BR170" s="143" t="str">
        <f t="shared" si="1831"/>
        <v>-</v>
      </c>
      <c r="BS170" s="143" t="str">
        <f t="shared" si="1832"/>
        <v>-</v>
      </c>
      <c r="BT170" s="143">
        <f t="shared" si="1833"/>
        <v>-0.13165847719639773</v>
      </c>
      <c r="BU170" s="143">
        <f t="shared" si="1834"/>
        <v>-9.1839667846219011E-2</v>
      </c>
      <c r="BV170" s="143">
        <f t="shared" si="1835"/>
        <v>-8.9427724045098703E-2</v>
      </c>
      <c r="BW170" s="143" t="str">
        <f t="shared" si="1836"/>
        <v>-</v>
      </c>
      <c r="BX170" s="143">
        <f t="shared" si="1837"/>
        <v>-9.2539723153289122E-2</v>
      </c>
      <c r="BY170" s="143">
        <f t="shared" si="1838"/>
        <v>-9.4959621513677317E-2</v>
      </c>
      <c r="BZ170" s="143" t="str">
        <f t="shared" si="1839"/>
        <v>-</v>
      </c>
      <c r="CA170" s="143" t="str">
        <f t="shared" si="1840"/>
        <v>-</v>
      </c>
      <c r="CB170" s="143" t="str">
        <f t="shared" si="1841"/>
        <v>-</v>
      </c>
      <c r="CD170" s="112">
        <f t="shared" si="1842"/>
        <v>1052.7436239855299</v>
      </c>
      <c r="CE170" s="95" t="str">
        <f>IFERROR(SUMIFS('01. KE30'!$R:$R,'01. KE30'!$C:$C,'06. BC BH THEO CUSTOMER-USD'!$D170,'01. KE30'!$F:$F,'06. BC BH THEO CUSTOMER-USD'!$H170,'01. KE30'!$A:$A,'06. BC BH THEO CUSTOMER-USD'!CE$4)/CS170/'02. Tỷ giá'!B$5," -")</f>
        <v xml:space="preserve"> -</v>
      </c>
      <c r="CF170" s="95" t="str">
        <f>IFERROR(SUMIFS('01. KE30'!$R:$R,'01. KE30'!$C:$C,'06. BC BH THEO CUSTOMER-USD'!$D170,'01. KE30'!$F:$F,'06. BC BH THEO CUSTOMER-USD'!$H170,'01. KE30'!$A:$A,'06. BC BH THEO CUSTOMER-USD'!CF$4)/CT170/'02. Tỷ giá'!C$5," -")</f>
        <v xml:space="preserve"> -</v>
      </c>
      <c r="CG170" s="95" t="str">
        <f>IFERROR(SUMIFS('01. KE30'!$R:$R,'01. KE30'!$C:$C,'06. BC BH THEO CUSTOMER-USD'!$D170,'01. KE30'!$F:$F,'06. BC BH THEO CUSTOMER-USD'!$H170,'01. KE30'!$A:$A,'06. BC BH THEO CUSTOMER-USD'!CG$4)/CU170/'02. Tỷ giá'!D$5," -")</f>
        <v xml:space="preserve"> -</v>
      </c>
      <c r="CH170" s="95">
        <f>IFERROR(SUMIFS('01. KE30'!$R:$R,'01. KE30'!$C:$C,'06. BC BH THEO CUSTOMER-USD'!$D170,'01. KE30'!$F:$F,'06. BC BH THEO CUSTOMER-USD'!$H170,'01. KE30'!$A:$A,'06. BC BH THEO CUSTOMER-USD'!CH$4)/CV170/'02. Tỷ giá'!E$5," -")</f>
        <v>1008.4639335908308</v>
      </c>
      <c r="CI170" s="95">
        <f>IFERROR(SUMIFS('01. KE30'!$R:$R,'01. KE30'!$C:$C,'06. BC BH THEO CUSTOMER-USD'!$D170,'01. KE30'!$F:$F,'06. BC BH THEO CUSTOMER-USD'!$H170,'01. KE30'!$A:$A,'06. BC BH THEO CUSTOMER-USD'!CI$4)/CW170/'02. Tỷ giá'!F$5," -")</f>
        <v>1031.4601939437207</v>
      </c>
      <c r="CJ170" s="95">
        <f>IFERROR(SUMIFS('01. KE30'!$R:$R,'01. KE30'!$C:$C,'06. BC BH THEO CUSTOMER-USD'!$D170,'01. KE30'!$F:$F,'06. BC BH THEO CUSTOMER-USD'!$H170,'01. KE30'!$A:$A,'06. BC BH THEO CUSTOMER-USD'!CJ$4)/CX170/'02. Tỷ giá'!G$5," -")</f>
        <v>1066.5405338103255</v>
      </c>
      <c r="CK170" s="95" t="str">
        <f>IFERROR(SUMIFS('01. KE30'!$R:$R,'01. KE30'!$C:$C,'06. BC BH THEO CUSTOMER-USD'!$D170,'01. KE30'!$F:$F,'06. BC BH THEO CUSTOMER-USD'!$H170,'01. KE30'!$A:$A,'06. BC BH THEO CUSTOMER-USD'!CK$4)/CY170/'02. Tỷ giá'!H$5," -")</f>
        <v xml:space="preserve"> -</v>
      </c>
      <c r="CL170" s="95">
        <f>IFERROR(SUMIFS('01. KE30'!$R:$R,'01. KE30'!$C:$C,'06. BC BH THEO CUSTOMER-USD'!$D170,'01. KE30'!$F:$F,'06. BC BH THEO CUSTOMER-USD'!$H170,'01. KE30'!$A:$A,'06. BC BH THEO CUSTOMER-USD'!CL$4)/CZ170/'02. Tỷ giá'!I$5," -")</f>
        <v>1063.3400166678241</v>
      </c>
      <c r="CM170" s="95">
        <f>IFERROR(SUMIFS('01. KE30'!$R:$R,'01. KE30'!$C:$C,'06. BC BH THEO CUSTOMER-USD'!$D170,'01. KE30'!$F:$F,'06. BC BH THEO CUSTOMER-USD'!$H170,'01. KE30'!$A:$A,'06. BC BH THEO CUSTOMER-USD'!CM$4)/DA170/'02. Tỷ giá'!J$5," -")</f>
        <v>1093.9134419149477</v>
      </c>
      <c r="CN170" s="95" t="str">
        <f>IFERROR(SUMIFS('01. KE30'!$R:$R,'01. KE30'!$C:$C,'06. BC BH THEO CUSTOMER-USD'!$D170,'01. KE30'!$F:$F,'06. BC BH THEO CUSTOMER-USD'!$H170,'01. KE30'!$A:$A,'06. BC BH THEO CUSTOMER-USD'!CN$4)/DB170/'02. Tỷ giá'!K$5," -")</f>
        <v xml:space="preserve"> -</v>
      </c>
      <c r="CO170" s="95" t="str">
        <f>IFERROR(SUMIFS('01. KE30'!$R:$R,'01. KE30'!$C:$C,'06. BC BH THEO CUSTOMER-USD'!$D170,'01. KE30'!$F:$F,'06. BC BH THEO CUSTOMER-USD'!$H170,'01. KE30'!$A:$A,'06. BC BH THEO CUSTOMER-USD'!CO$4)/DC170/'02. Tỷ giá'!L$5," -")</f>
        <v xml:space="preserve"> -</v>
      </c>
      <c r="CP170" s="95" t="str">
        <f>IFERROR(SUMIFS('01. KE30'!$R:$R,'01. KE30'!$C:$C,'06. BC BH THEO CUSTOMER-USD'!$D170,'01. KE30'!$F:$F,'06. BC BH THEO CUSTOMER-USD'!$H170,'01. KE30'!$A:$A,'06. BC BH THEO CUSTOMER-USD'!CP$4)/DD170/'02. Tỷ giá'!M$5," -")</f>
        <v xml:space="preserve"> -</v>
      </c>
      <c r="CR170" s="112">
        <f t="shared" si="1843"/>
        <v>141</v>
      </c>
      <c r="CS170" s="114">
        <f>SUMIFS('01. KE30'!$I:$I,'01. KE30'!$C:$C,'06. BC BH THEO CUSTOMER-USD'!$D170,'01. KE30'!$F:$F,'06. BC BH THEO CUSTOMER-USD'!$H170,'01. KE30'!$A:$A,'06. BC BH THEO CUSTOMER-USD'!CS$4)/1000</f>
        <v>0</v>
      </c>
      <c r="CT170" s="114">
        <f>SUMIFS('01. KE30'!$I:$I,'01. KE30'!$C:$C,'06. BC BH THEO CUSTOMER-USD'!$D170,'01. KE30'!$F:$F,'06. BC BH THEO CUSTOMER-USD'!$H170,'01. KE30'!$A:$A,'06. BC BH THEO CUSTOMER-USD'!CT$4)/1000</f>
        <v>0</v>
      </c>
      <c r="CU170" s="114">
        <f>SUMIFS('01. KE30'!$I:$I,'01. KE30'!$C:$C,'06. BC BH THEO CUSTOMER-USD'!$D170,'01. KE30'!$F:$F,'06. BC BH THEO CUSTOMER-USD'!$H170,'01. KE30'!$A:$A,'06. BC BH THEO CUSTOMER-USD'!CU$4)/1000</f>
        <v>0</v>
      </c>
      <c r="CV170" s="114">
        <f>SUMIFS('01. KE30'!$I:$I,'01. KE30'!$C:$C,'06. BC BH THEO CUSTOMER-USD'!$D170,'01. KE30'!$F:$F,'06. BC BH THEO CUSTOMER-USD'!$H170,'01. KE30'!$A:$A,'06. BC BH THEO CUSTOMER-USD'!CV$4)/1000</f>
        <v>26.875</v>
      </c>
      <c r="CW170" s="114">
        <f>SUMIFS('01. KE30'!$I:$I,'01. KE30'!$C:$C,'06. BC BH THEO CUSTOMER-USD'!$D170,'01. KE30'!$F:$F,'06. BC BH THEO CUSTOMER-USD'!$H170,'01. KE30'!$A:$A,'06. BC BH THEO CUSTOMER-USD'!CW$4)/1000</f>
        <v>35.75</v>
      </c>
      <c r="CX170" s="114">
        <f>SUMIFS('01. KE30'!$I:$I,'01. KE30'!$C:$C,'06. BC BH THEO CUSTOMER-USD'!$D170,'01. KE30'!$F:$F,'06. BC BH THEO CUSTOMER-USD'!$H170,'01. KE30'!$A:$A,'06. BC BH THEO CUSTOMER-USD'!CX$4)/1000</f>
        <v>33</v>
      </c>
      <c r="CY170" s="114">
        <f>SUMIFS('01. KE30'!$I:$I,'01. KE30'!$C:$C,'06. BC BH THEO CUSTOMER-USD'!$D170,'01. KE30'!$F:$F,'06. BC BH THEO CUSTOMER-USD'!$H170,'01. KE30'!$A:$A,'06. BC BH THEO CUSTOMER-USD'!CY$4)/1000</f>
        <v>0</v>
      </c>
      <c r="CZ170" s="114">
        <f>SUMIFS('01. KE30'!$I:$I,'01. KE30'!$C:$C,'06. BC BH THEO CUSTOMER-USD'!$D170,'01. KE30'!$F:$F,'06. BC BH THEO CUSTOMER-USD'!$H170,'01. KE30'!$A:$A,'06. BC BH THEO CUSTOMER-USD'!CZ$4)/1000</f>
        <v>22</v>
      </c>
      <c r="DA170" s="114">
        <f>SUMIFS('01. KE30'!$I:$I,'01. KE30'!$C:$C,'06. BC BH THEO CUSTOMER-USD'!$D170,'01. KE30'!$F:$F,'06. BC BH THEO CUSTOMER-USD'!$H170,'01. KE30'!$A:$A,'06. BC BH THEO CUSTOMER-USD'!DA$4)/1000</f>
        <v>23.375</v>
      </c>
      <c r="DB170" s="114">
        <f>SUMIFS('01. KE30'!$I:$I,'01. KE30'!$C:$C,'06. BC BH THEO CUSTOMER-USD'!$D170,'01. KE30'!$F:$F,'06. BC BH THEO CUSTOMER-USD'!$H170,'01. KE30'!$A:$A,'06. BC BH THEO CUSTOMER-USD'!DB$4)/1000</f>
        <v>0</v>
      </c>
      <c r="DC170" s="114">
        <f>SUMIFS('01. KE30'!$I:$I,'01. KE30'!$C:$C,'06. BC BH THEO CUSTOMER-USD'!$D170,'01. KE30'!$F:$F,'06. BC BH THEO CUSTOMER-USD'!$H170,'01. KE30'!$A:$A,'06. BC BH THEO CUSTOMER-USD'!DC$4)/1000</f>
        <v>0</v>
      </c>
      <c r="DD170" s="114">
        <f>SUMIFS('01. KE30'!$I:$I,'01. KE30'!$C:$C,'06. BC BH THEO CUSTOMER-USD'!$D170,'01. KE30'!$F:$F,'06. BC BH THEO CUSTOMER-USD'!$H170,'01. KE30'!$A:$A,'06. BC BH THEO CUSTOMER-USD'!DD$4)/1000</f>
        <v>0</v>
      </c>
      <c r="DF170" s="112">
        <f t="shared" si="1844"/>
        <v>103411.85574342038</v>
      </c>
      <c r="DG170" s="54" t="str">
        <f t="shared" si="1845"/>
        <v>-</v>
      </c>
      <c r="DH170" s="54" t="str">
        <f t="shared" si="1846"/>
        <v>-</v>
      </c>
      <c r="DI170" s="54" t="str">
        <f t="shared" si="1847"/>
        <v>-</v>
      </c>
      <c r="DJ170" s="54">
        <f t="shared" si="1848"/>
        <v>19826.482965543943</v>
      </c>
      <c r="DK170" s="54">
        <f t="shared" si="1849"/>
        <v>26343.237045630318</v>
      </c>
      <c r="DL170" s="54">
        <f t="shared" si="1850"/>
        <v>24260.545254629633</v>
      </c>
      <c r="DM170" s="54" t="str">
        <f t="shared" si="1851"/>
        <v>-</v>
      </c>
      <c r="DN170" s="54">
        <f t="shared" si="1852"/>
        <v>16013.071963330787</v>
      </c>
      <c r="DO170" s="54">
        <f t="shared" si="1853"/>
        <v>16968.518514285712</v>
      </c>
      <c r="DP170" s="54" t="str">
        <f t="shared" si="1854"/>
        <v>-</v>
      </c>
      <c r="DQ170" s="54" t="str">
        <f t="shared" si="1855"/>
        <v>-</v>
      </c>
      <c r="DR170" s="54" t="str">
        <f t="shared" si="1856"/>
        <v>-</v>
      </c>
      <c r="DT170" s="112">
        <f t="shared" si="1857"/>
        <v>-50275.463560373464</v>
      </c>
      <c r="DU170" s="114">
        <f>IFERROR(SUMIFS('01. KE30'!$X:$X,'01. KE30'!$C:$C,'06. BC BH THEO CUSTOMER-USD'!$D170,'01. KE30'!$F:$F,'06. BC BH THEO CUSTOMER-USD'!$H170,'01. KE30'!$A:$A,'06. BC BH THEO CUSTOMER-USD'!DU$4)-SUMIFS('01. KE30'!$AA:$AA,'01. KE30'!$C:$C,'06. BC BH THEO CUSTOMER-USD'!$D170,'01. KE30'!$F:$F,'06. BC BH THEO CUSTOMER-USD'!$H170,'01. KE30'!$A:$A,'06. BC BH THEO CUSTOMER-USD'!DU$4),"-")</f>
        <v>0</v>
      </c>
      <c r="DV170" s="114">
        <f>IFERROR(SUMIFS('01. KE30'!$X:$X,'01. KE30'!$C:$C,'06. BC BH THEO CUSTOMER-USD'!$D170,'01. KE30'!$F:$F,'06. BC BH THEO CUSTOMER-USD'!$H170,'01. KE30'!$A:$A,'06. BC BH THEO CUSTOMER-USD'!DV$4)-SUMIFS('01. KE30'!$AA:$AA,'01. KE30'!$C:$C,'06. BC BH THEO CUSTOMER-USD'!$D170,'01. KE30'!$F:$F,'06. BC BH THEO CUSTOMER-USD'!$H170,'01. KE30'!$A:$A,'06. BC BH THEO CUSTOMER-USD'!DV$4),"-")</f>
        <v>0</v>
      </c>
      <c r="DW170" s="114">
        <f>IFERROR(SUMIFS('01. KE30'!$X:$X,'01. KE30'!$C:$C,'06. BC BH THEO CUSTOMER-USD'!$D170,'01. KE30'!$F:$F,'06. BC BH THEO CUSTOMER-USD'!$H170,'01. KE30'!$A:$A,'06. BC BH THEO CUSTOMER-USD'!DW$4)-SUMIFS('01. KE30'!$AA:$AA,'01. KE30'!$C:$C,'06. BC BH THEO CUSTOMER-USD'!$D170,'01. KE30'!$F:$F,'06. BC BH THEO CUSTOMER-USD'!$H170,'01. KE30'!$A:$A,'06. BC BH THEO CUSTOMER-USD'!DW$4),"-")</f>
        <v>0</v>
      </c>
      <c r="DX170" s="114">
        <f>IFERROR(SUMIFS('01. KE30'!$X:$X,'01. KE30'!$C:$C,'06. BC BH THEO CUSTOMER-USD'!$D170,'01. KE30'!$F:$F,'06. BC BH THEO CUSTOMER-USD'!$H170,'01. KE30'!$A:$A,'06. BC BH THEO CUSTOMER-USD'!DX$4)-SUMIFS('01. KE30'!$AA:$AA,'01. KE30'!$C:$C,'06. BC BH THEO CUSTOMER-USD'!$D170,'01. KE30'!$F:$F,'06. BC BH THEO CUSTOMER-USD'!$H170,'01. KE30'!$A:$A,'06. BC BH THEO CUSTOMER-USD'!DX$4),"-")</f>
        <v>-8316.4420828494003</v>
      </c>
      <c r="DY170" s="114">
        <f>IFERROR(SUMIFS('01. KE30'!$X:$X,'01. KE30'!$C:$C,'06. BC BH THEO CUSTOMER-USD'!$D170,'01. KE30'!$F:$F,'06. BC BH THEO CUSTOMER-USD'!$H170,'01. KE30'!$A:$A,'06. BC BH THEO CUSTOMER-USD'!DY$4)-SUMIFS('01. KE30'!$AA:$AA,'01. KE30'!$C:$C,'06. BC BH THEO CUSTOMER-USD'!$D170,'01. KE30'!$F:$F,'06. BC BH THEO CUSTOMER-USD'!$H170,'01. KE30'!$A:$A,'06. BC BH THEO CUSTOMER-USD'!DY$4),"-")</f>
        <v>-12037.65204949729</v>
      </c>
      <c r="DZ170" s="114">
        <f>IFERROR(SUMIFS('01. KE30'!$X:$X,'01. KE30'!$C:$C,'06. BC BH THEO CUSTOMER-USD'!$D170,'01. KE30'!$F:$F,'06. BC BH THEO CUSTOMER-USD'!$H170,'01. KE30'!$A:$A,'06. BC BH THEO CUSTOMER-USD'!DZ$4)-SUMIFS('01. KE30'!$AA:$AA,'01. KE30'!$C:$C,'06. BC BH THEO CUSTOMER-USD'!$D170,'01. KE30'!$F:$F,'06. BC BH THEO CUSTOMER-USD'!$H170,'01. KE30'!$A:$A,'06. BC BH THEO CUSTOMER-USD'!DZ$4),"-")</f>
        <v>-12208.440509259257</v>
      </c>
      <c r="EA170" s="114">
        <f>IFERROR(SUMIFS('01. KE30'!$X:$X,'01. KE30'!$C:$C,'06. BC BH THEO CUSTOMER-USD'!$D170,'01. KE30'!$F:$F,'06. BC BH THEO CUSTOMER-USD'!$H170,'01. KE30'!$A:$A,'06. BC BH THEO CUSTOMER-USD'!EA$4)-SUMIFS('01. KE30'!$AA:$AA,'01. KE30'!$C:$C,'06. BC BH THEO CUSTOMER-USD'!$D170,'01. KE30'!$F:$F,'06. BC BH THEO CUSTOMER-USD'!$H170,'01. KE30'!$A:$A,'06. BC BH THEO CUSTOMER-USD'!EA$4),"-")</f>
        <v>0</v>
      </c>
      <c r="EB170" s="114">
        <f>IFERROR(SUMIFS('01. KE30'!$X:$X,'01. KE30'!$C:$C,'06. BC BH THEO CUSTOMER-USD'!$D170,'01. KE30'!$F:$F,'06. BC BH THEO CUSTOMER-USD'!$H170,'01. KE30'!$A:$A,'06. BC BH THEO CUSTOMER-USD'!EB$4)-SUMIFS('01. KE30'!$AA:$AA,'01. KE30'!$C:$C,'06. BC BH THEO CUSTOMER-USD'!$D170,'01. KE30'!$F:$F,'06. BC BH THEO CUSTOMER-USD'!$H170,'01. KE30'!$A:$A,'06. BC BH THEO CUSTOMER-USD'!EB$4),"-")</f>
        <v>-8220.7445378151278</v>
      </c>
      <c r="EC170" s="114">
        <f>IFERROR(SUMIFS('01. KE30'!$X:$X,'01. KE30'!$C:$C,'06. BC BH THEO CUSTOMER-USD'!$D170,'01. KE30'!$F:$F,'06. BC BH THEO CUSTOMER-USD'!$H170,'01. KE30'!$A:$A,'06. BC BH THEO CUSTOMER-USD'!EC$4)-SUMIFS('01. KE30'!$AA:$AA,'01. KE30'!$C:$C,'06. BC BH THEO CUSTOMER-USD'!$D170,'01. KE30'!$F:$F,'06. BC BH THEO CUSTOMER-USD'!$H170,'01. KE30'!$A:$A,'06. BC BH THEO CUSTOMER-USD'!EC$4),"-")</f>
        <v>-9492.1843809523816</v>
      </c>
      <c r="ED170" s="114">
        <f>IFERROR(SUMIFS('01. KE30'!$X:$X,'01. KE30'!$C:$C,'06. BC BH THEO CUSTOMER-USD'!$D170,'01. KE30'!$F:$F,'06. BC BH THEO CUSTOMER-USD'!$H170,'01. KE30'!$A:$A,'06. BC BH THEO CUSTOMER-USD'!ED$4)-SUMIFS('01. KE30'!$AA:$AA,'01. KE30'!$C:$C,'06. BC BH THEO CUSTOMER-USD'!$D170,'01. KE30'!$F:$F,'06. BC BH THEO CUSTOMER-USD'!$H170,'01. KE30'!$A:$A,'06. BC BH THEO CUSTOMER-USD'!ED$4),"-")</f>
        <v>0</v>
      </c>
      <c r="EE170" s="114">
        <f>IFERROR(SUMIFS('01. KE30'!$X:$X,'01. KE30'!$C:$C,'06. BC BH THEO CUSTOMER-USD'!$D170,'01. KE30'!$F:$F,'06. BC BH THEO CUSTOMER-USD'!$H170,'01. KE30'!$A:$A,'06. BC BH THEO CUSTOMER-USD'!EE$4)-SUMIFS('01. KE30'!$AA:$AA,'01. KE30'!$C:$C,'06. BC BH THEO CUSTOMER-USD'!$D170,'01. KE30'!$F:$F,'06. BC BH THEO CUSTOMER-USD'!$H170,'01. KE30'!$A:$A,'06. BC BH THEO CUSTOMER-USD'!EE$4),"-")</f>
        <v>0</v>
      </c>
      <c r="EF170" s="114">
        <f>IFERROR(SUMIFS('01. KE30'!$X:$X,'01. KE30'!$C:$C,'06. BC BH THEO CUSTOMER-USD'!$D170,'01. KE30'!$F:$F,'06. BC BH THEO CUSTOMER-USD'!$H170,'01. KE30'!$A:$A,'06. BC BH THEO CUSTOMER-USD'!EF$4)-SUMIFS('01. KE30'!$AA:$AA,'01. KE30'!$C:$C,'06. BC BH THEO CUSTOMER-USD'!$D170,'01. KE30'!$F:$F,'06. BC BH THEO CUSTOMER-USD'!$H170,'01. KE30'!$A:$A,'06. BC BH THEO CUSTOMER-USD'!EF$4),"-")</f>
        <v>0</v>
      </c>
      <c r="EH170" s="571">
        <f t="shared" si="1858"/>
        <v>-0.48616730837046468</v>
      </c>
      <c r="EI170" s="572" t="str">
        <f t="shared" si="1859"/>
        <v>-</v>
      </c>
      <c r="EJ170" s="572" t="str">
        <f t="shared" si="1860"/>
        <v>-</v>
      </c>
      <c r="EK170" s="572" t="str">
        <f t="shared" si="1861"/>
        <v>-</v>
      </c>
      <c r="EL170" s="572">
        <f t="shared" si="1862"/>
        <v>-0.41946128808131944</v>
      </c>
      <c r="EM170" s="572">
        <f t="shared" si="1863"/>
        <v>-0.45695417114632975</v>
      </c>
      <c r="EN170" s="572">
        <f t="shared" si="1864"/>
        <v>-0.50322201669929589</v>
      </c>
      <c r="EO170" s="572" t="str">
        <f t="shared" si="1865"/>
        <v>-</v>
      </c>
      <c r="EP170" s="572">
        <f t="shared" si="1866"/>
        <v>-0.51337710569466388</v>
      </c>
      <c r="EQ170" s="572">
        <f t="shared" si="1867"/>
        <v>-0.55939971264792254</v>
      </c>
      <c r="ER170" s="572" t="str">
        <f t="shared" si="1868"/>
        <v>-</v>
      </c>
      <c r="ES170" s="572" t="str">
        <f t="shared" si="1869"/>
        <v>-</v>
      </c>
      <c r="ET170" s="572" t="str">
        <f t="shared" si="1870"/>
        <v>-</v>
      </c>
    </row>
    <row r="171" spans="1:150" ht="15.5" hidden="1" outlineLevel="1" x14ac:dyDescent="0.35">
      <c r="A171" s="10">
        <f t="shared" si="1266"/>
        <v>12</v>
      </c>
      <c r="B171" s="10" t="s">
        <v>266</v>
      </c>
      <c r="C171" s="497"/>
      <c r="D171" s="9" t="s">
        <v>21</v>
      </c>
      <c r="E171" s="8" t="s">
        <v>20</v>
      </c>
      <c r="F171" s="12" t="s">
        <v>245</v>
      </c>
      <c r="G171" s="12" t="str">
        <f>_xlfn.XLOOKUP(F171,'Quy đổi'!$G$5:$G$32,'Quy đổi'!$H$5:$H$32,0)</f>
        <v>Nội địa</v>
      </c>
      <c r="H171" s="80" t="s">
        <v>210</v>
      </c>
      <c r="I171" s="7" t="s">
        <v>211</v>
      </c>
      <c r="J171" s="69" t="s">
        <v>22</v>
      </c>
      <c r="K171" s="5"/>
      <c r="L171" s="92">
        <f t="shared" ref="L171" si="1929">IFERROR(AVERAGE(M171:X171),"-")</f>
        <v>696.5877946127946</v>
      </c>
      <c r="M171" s="106" t="str">
        <f>IFERROR(SUMIFS('01. KE30'!$K:$K,'01. KE30'!$C:$C,'06. BC BH THEO CUSTOMER-USD'!$D171,'01. KE30'!$F:$F,'06. BC BH THEO CUSTOMER-USD'!$H171,'01. KE30'!$A:$A,'06. BC BH THEO CUSTOMER-USD'!M$4)/'06. BC BH THEO CUSTOMER-USD'!CS171/'02. Tỷ giá'!B$5,"-")</f>
        <v>-</v>
      </c>
      <c r="N171" s="106" t="str">
        <f>IFERROR(SUMIFS('01. KE30'!$K:$K,'01. KE30'!$C:$C,'06. BC BH THEO CUSTOMER-USD'!$D171,'01. KE30'!$F:$F,'06. BC BH THEO CUSTOMER-USD'!$H171,'01. KE30'!$A:$A,'06. BC BH THEO CUSTOMER-USD'!N$4)/'06. BC BH THEO CUSTOMER-USD'!CT171/'02. Tỷ giá'!C$5,"-")</f>
        <v>-</v>
      </c>
      <c r="O171" s="106" t="str">
        <f>IFERROR(SUMIFS('01. KE30'!$K:$K,'01. KE30'!$C:$C,'06. BC BH THEO CUSTOMER-USD'!$D171,'01. KE30'!$F:$F,'06. BC BH THEO CUSTOMER-USD'!$H171,'01. KE30'!$A:$A,'06. BC BH THEO CUSTOMER-USD'!O$4)/'06. BC BH THEO CUSTOMER-USD'!CU171/'02. Tỷ giá'!D$5,"-")</f>
        <v>-</v>
      </c>
      <c r="P171" s="106" t="str">
        <f>IFERROR(SUMIFS('01. KE30'!$K:$K,'01. KE30'!$C:$C,'06. BC BH THEO CUSTOMER-USD'!$D171,'01. KE30'!$F:$F,'06. BC BH THEO CUSTOMER-USD'!$H171,'01. KE30'!$A:$A,'06. BC BH THEO CUSTOMER-USD'!P$4)/'06. BC BH THEO CUSTOMER-USD'!CV171/'02. Tỷ giá'!E$5,"-")</f>
        <v>-</v>
      </c>
      <c r="Q171" s="106" t="str">
        <f>IFERROR(SUMIFS('01. KE30'!$K:$K,'01. KE30'!$C:$C,'06. BC BH THEO CUSTOMER-USD'!$D171,'01. KE30'!$F:$F,'06. BC BH THEO CUSTOMER-USD'!$H171,'01. KE30'!$A:$A,'06. BC BH THEO CUSTOMER-USD'!Q$4)/'06. BC BH THEO CUSTOMER-USD'!CW171/'02. Tỷ giá'!F$5,"-")</f>
        <v>-</v>
      </c>
      <c r="R171" s="106">
        <f>IFERROR(SUMIFS('01. KE30'!$K:$K,'01. KE30'!$C:$C,'06. BC BH THEO CUSTOMER-USD'!$D171,'01. KE30'!$F:$F,'06. BC BH THEO CUSTOMER-USD'!$H171,'01. KE30'!$A:$A,'06. BC BH THEO CUSTOMER-USD'!R$4)/'06. BC BH THEO CUSTOMER-USD'!CX171/'02. Tỷ giá'!G$5,"-")</f>
        <v>696.5877946127946</v>
      </c>
      <c r="S171" s="106" t="str">
        <f>IFERROR(SUMIFS('01. KE30'!$K:$K,'01. KE30'!$C:$C,'06. BC BH THEO CUSTOMER-USD'!$D171,'01. KE30'!$F:$F,'06. BC BH THEO CUSTOMER-USD'!$H171,'01. KE30'!$A:$A,'06. BC BH THEO CUSTOMER-USD'!S$4)/'06. BC BH THEO CUSTOMER-USD'!CY171/'02. Tỷ giá'!H$5,"-")</f>
        <v>-</v>
      </c>
      <c r="T171" s="106" t="str">
        <f>IFERROR(SUMIFS('01. KE30'!$K:$K,'01. KE30'!$C:$C,'06. BC BH THEO CUSTOMER-USD'!$D171,'01. KE30'!$F:$F,'06. BC BH THEO CUSTOMER-USD'!$H171,'01. KE30'!$A:$A,'06. BC BH THEO CUSTOMER-USD'!T$4)/'06. BC BH THEO CUSTOMER-USD'!CZ171/'02. Tỷ giá'!I$5,"-")</f>
        <v>-</v>
      </c>
      <c r="U171" s="106" t="str">
        <f>IFERROR(SUMIFS('01. KE30'!$K:$K,'01. KE30'!$C:$C,'06. BC BH THEO CUSTOMER-USD'!$D171,'01. KE30'!$F:$F,'06. BC BH THEO CUSTOMER-USD'!$H171,'01. KE30'!$A:$A,'06. BC BH THEO CUSTOMER-USD'!U$4)/'06. BC BH THEO CUSTOMER-USD'!DA171/'02. Tỷ giá'!J$5,"-")</f>
        <v>-</v>
      </c>
      <c r="V171" s="106" t="str">
        <f>IFERROR(SUMIFS('01. KE30'!$K:$K,'01. KE30'!$C:$C,'06. BC BH THEO CUSTOMER-USD'!$D171,'01. KE30'!$F:$F,'06. BC BH THEO CUSTOMER-USD'!$H171,'01. KE30'!$A:$A,'06. BC BH THEO CUSTOMER-USD'!V$4)/'06. BC BH THEO CUSTOMER-USD'!DB171/'02. Tỷ giá'!K$5,"-")</f>
        <v>-</v>
      </c>
      <c r="W171" s="106" t="str">
        <f>IFERROR(SUMIFS('01. KE30'!$K:$K,'01. KE30'!$C:$C,'06. BC BH THEO CUSTOMER-USD'!$D171,'01. KE30'!$F:$F,'06. BC BH THEO CUSTOMER-USD'!$H171,'01. KE30'!$A:$A,'06. BC BH THEO CUSTOMER-USD'!W$4)/'06. BC BH THEO CUSTOMER-USD'!DC171/'02. Tỷ giá'!L$5,"-")</f>
        <v>-</v>
      </c>
      <c r="X171" s="106" t="str">
        <f>IFERROR(SUMIFS('01. KE30'!$K:$K,'01. KE30'!$C:$C,'06. BC BH THEO CUSTOMER-USD'!$D171,'01. KE30'!$F:$F,'06. BC BH THEO CUSTOMER-USD'!$H171,'01. KE30'!$A:$A,'06. BC BH THEO CUSTOMER-USD'!X$4)/'06. BC BH THEO CUSTOMER-USD'!DD171/'02. Tỷ giá'!M$5,"-")</f>
        <v>-</v>
      </c>
      <c r="Z171" s="92">
        <f t="shared" ref="Z171" si="1930">IFERROR(AVERAGE(AA171:AL171),"-")</f>
        <v>696.5877946127946</v>
      </c>
      <c r="AA171" s="147" t="str">
        <f>IFERROR(SUMIFS('01. KE30'!$O:$O,'01. KE30'!$C:$C,'06. BC BH THEO CUSTOMER-USD'!$D171,'01. KE30'!$F:$F,'06. BC BH THEO CUSTOMER-USD'!$H171,'01. KE30'!$A:$A,'06. BC BH THEO CUSTOMER-USD'!M$4)/'06. BC BH THEO CUSTOMER-USD'!CS171/'02. Tỷ giá'!B$5,"-")</f>
        <v>-</v>
      </c>
      <c r="AB171" s="147" t="str">
        <f>IFERROR(SUMIFS('01. KE30'!$O:$O,'01. KE30'!$C:$C,'06. BC BH THEO CUSTOMER-USD'!$D171,'01. KE30'!$F:$F,'06. BC BH THEO CUSTOMER-USD'!$H171,'01. KE30'!$A:$A,'06. BC BH THEO CUSTOMER-USD'!N$4)/'06. BC BH THEO CUSTOMER-USD'!CT171/'02. Tỷ giá'!C$5,"-")</f>
        <v>-</v>
      </c>
      <c r="AC171" s="147" t="str">
        <f>IFERROR(SUMIFS('01. KE30'!$O:$O,'01. KE30'!$C:$C,'06. BC BH THEO CUSTOMER-USD'!$D171,'01. KE30'!$F:$F,'06. BC BH THEO CUSTOMER-USD'!$H171,'01. KE30'!$A:$A,'06. BC BH THEO CUSTOMER-USD'!O$4)/'06. BC BH THEO CUSTOMER-USD'!CU171/'02. Tỷ giá'!D$5,"-")</f>
        <v>-</v>
      </c>
      <c r="AD171" s="147" t="str">
        <f>IFERROR(SUMIFS('01. KE30'!$O:$O,'01. KE30'!$C:$C,'06. BC BH THEO CUSTOMER-USD'!$D171,'01. KE30'!$F:$F,'06. BC BH THEO CUSTOMER-USD'!$H171,'01. KE30'!$A:$A,'06. BC BH THEO CUSTOMER-USD'!P$4)/'06. BC BH THEO CUSTOMER-USD'!CV171/'02. Tỷ giá'!E$5,"-")</f>
        <v>-</v>
      </c>
      <c r="AE171" s="147" t="str">
        <f>IFERROR(SUMIFS('01. KE30'!$O:$O,'01. KE30'!$C:$C,'06. BC BH THEO CUSTOMER-USD'!$D171,'01. KE30'!$F:$F,'06. BC BH THEO CUSTOMER-USD'!$H171,'01. KE30'!$A:$A,'06. BC BH THEO CUSTOMER-USD'!Q$4)/'06. BC BH THEO CUSTOMER-USD'!CW171/'02. Tỷ giá'!F$5,"-")</f>
        <v>-</v>
      </c>
      <c r="AF171" s="147">
        <f>IFERROR(SUMIFS('01. KE30'!$O:$O,'01. KE30'!$C:$C,'06. BC BH THEO CUSTOMER-USD'!$D171,'01. KE30'!$F:$F,'06. BC BH THEO CUSTOMER-USD'!$H171,'01. KE30'!$A:$A,'06. BC BH THEO CUSTOMER-USD'!R$4)/'06. BC BH THEO CUSTOMER-USD'!CX171/'02. Tỷ giá'!G$5,"-")</f>
        <v>696.5877946127946</v>
      </c>
      <c r="AG171" s="147" t="str">
        <f>IFERROR(SUMIFS('01. KE30'!$O:$O,'01. KE30'!$C:$C,'06. BC BH THEO CUSTOMER-USD'!$D171,'01. KE30'!$F:$F,'06. BC BH THEO CUSTOMER-USD'!$H171,'01. KE30'!$A:$A,'06. BC BH THEO CUSTOMER-USD'!S$4)/'06. BC BH THEO CUSTOMER-USD'!CY171/'02. Tỷ giá'!H$5,"-")</f>
        <v>-</v>
      </c>
      <c r="AH171" s="147" t="str">
        <f>IFERROR(SUMIFS('01. KE30'!$O:$O,'01. KE30'!$C:$C,'06. BC BH THEO CUSTOMER-USD'!$D171,'01. KE30'!$F:$F,'06. BC BH THEO CUSTOMER-USD'!$H171,'01. KE30'!$A:$A,'06. BC BH THEO CUSTOMER-USD'!T$4)/'06. BC BH THEO CUSTOMER-USD'!CZ171/'02. Tỷ giá'!I$5,"-")</f>
        <v>-</v>
      </c>
      <c r="AI171" s="147" t="str">
        <f>IFERROR(SUMIFS('01. KE30'!$O:$O,'01. KE30'!$C:$C,'06. BC BH THEO CUSTOMER-USD'!$D171,'01. KE30'!$F:$F,'06. BC BH THEO CUSTOMER-USD'!$H171,'01. KE30'!$A:$A,'06. BC BH THEO CUSTOMER-USD'!U$4)/'06. BC BH THEO CUSTOMER-USD'!DA171/'02. Tỷ giá'!J$5,"-")</f>
        <v>-</v>
      </c>
      <c r="AJ171" s="147" t="str">
        <f>IFERROR(SUMIFS('01. KE30'!$O:$O,'01. KE30'!$C:$C,'06. BC BH THEO CUSTOMER-USD'!$D171,'01. KE30'!$F:$F,'06. BC BH THEO CUSTOMER-USD'!$H171,'01. KE30'!$A:$A,'06. BC BH THEO CUSTOMER-USD'!V$4)/'06. BC BH THEO CUSTOMER-USD'!DB171/'02. Tỷ giá'!K$5,"-")</f>
        <v>-</v>
      </c>
      <c r="AK171" s="147" t="str">
        <f>IFERROR(SUMIFS('01. KE30'!$O:$O,'01. KE30'!$C:$C,'06. BC BH THEO CUSTOMER-USD'!$D171,'01. KE30'!$F:$F,'06. BC BH THEO CUSTOMER-USD'!$H171,'01. KE30'!$A:$A,'06. BC BH THEO CUSTOMER-USD'!W$4)/'06. BC BH THEO CUSTOMER-USD'!DC171/'02. Tỷ giá'!L$5,"-")</f>
        <v>-</v>
      </c>
      <c r="AL171" s="147" t="str">
        <f>IFERROR(SUMIFS('01. KE30'!$O:$O,'01. KE30'!$C:$C,'06. BC BH THEO CUSTOMER-USD'!$D171,'01. KE30'!$F:$F,'06. BC BH THEO CUSTOMER-USD'!$H171,'01. KE30'!$A:$A,'06. BC BH THEO CUSTOMER-USD'!X$4)/'06. BC BH THEO CUSTOMER-USD'!DD171/'02. Tỷ giá'!M$5,"-")</f>
        <v>-</v>
      </c>
      <c r="AN171" s="55">
        <f t="shared" ref="AN171" si="1931">IFERROR(AVERAGE(AO171:AZ171),"-")</f>
        <v>790</v>
      </c>
      <c r="AO171" s="4">
        <v>870</v>
      </c>
      <c r="AP171" s="4">
        <v>800</v>
      </c>
      <c r="AQ171" s="4">
        <v>805</v>
      </c>
      <c r="AR171" s="4">
        <v>805</v>
      </c>
      <c r="AS171" s="4">
        <v>765</v>
      </c>
      <c r="AT171" s="4">
        <v>765</v>
      </c>
      <c r="AU171" s="4">
        <v>780</v>
      </c>
      <c r="AV171" s="4">
        <f t="shared" si="1272"/>
        <v>760</v>
      </c>
      <c r="AW171" s="4">
        <v>760</v>
      </c>
      <c r="AX171" s="4"/>
      <c r="AY171" s="4"/>
      <c r="AZ171" s="4"/>
      <c r="BB171" s="54">
        <f t="shared" ref="BB171" si="1932">IF(L171&lt;&gt;"-",Z171-AN171,"-")</f>
        <v>-93.412205387205404</v>
      </c>
      <c r="BC171" s="95" t="str">
        <f t="shared" ref="BC171" si="1933">IF(M171&lt;&gt;"-",AA171-AO171,"-")</f>
        <v>-</v>
      </c>
      <c r="BD171" s="95" t="str">
        <f t="shared" ref="BD171" si="1934">IF(N171&lt;&gt;"-",AB171-AP171,"-")</f>
        <v>-</v>
      </c>
      <c r="BE171" s="95" t="str">
        <f t="shared" ref="BE171" si="1935">IF(O171&lt;&gt;"-",AC171-AQ171,"-")</f>
        <v>-</v>
      </c>
      <c r="BF171" s="95" t="str">
        <f t="shared" ref="BF171" si="1936">IF(P171&lt;&gt;"-",AD171-AR171,"-")</f>
        <v>-</v>
      </c>
      <c r="BG171" s="95" t="str">
        <f t="shared" ref="BG171" si="1937">IF(Q171&lt;&gt;"-",AE171-AS171,"-")</f>
        <v>-</v>
      </c>
      <c r="BH171" s="95">
        <f t="shared" ref="BH171" si="1938">IF(R171&lt;&gt;"-",AF171-AT171,"-")</f>
        <v>-68.412205387205404</v>
      </c>
      <c r="BI171" s="95" t="str">
        <f t="shared" ref="BI171" si="1939">IF(S171&lt;&gt;"-",AG171-AU171,"-")</f>
        <v>-</v>
      </c>
      <c r="BJ171" s="95" t="str">
        <f t="shared" ref="BJ171" si="1940">IF(T171&lt;&gt;"-",AH171-AV171,"-")</f>
        <v>-</v>
      </c>
      <c r="BK171" s="95" t="str">
        <f t="shared" ref="BK171" si="1941">IF(U171&lt;&gt;"-",AI171-AW171,"-")</f>
        <v>-</v>
      </c>
      <c r="BL171" s="95" t="str">
        <f t="shared" ref="BL171" si="1942">IF(V171&lt;&gt;"-",AJ171-AX171,"-")</f>
        <v>-</v>
      </c>
      <c r="BM171" s="95" t="str">
        <f t="shared" ref="BM171" si="1943">IF(W171&lt;&gt;"-",AK171-AY171,"-")</f>
        <v>-</v>
      </c>
      <c r="BN171" s="95" t="str">
        <f t="shared" ref="BN171" si="1944">IF(X171&lt;&gt;"-",AL171-AZ171,"-")</f>
        <v>-</v>
      </c>
      <c r="BP171" s="143">
        <f t="shared" ref="BP171" si="1945">IFERROR(IF(BB171&lt;&gt;"-",BB171/AN171,"-"),"-")</f>
        <v>-0.11824329795848786</v>
      </c>
      <c r="BQ171" s="143" t="str">
        <f t="shared" ref="BQ171" si="1946">IFERROR(IF(BC171&lt;&gt;"-",BC171/AO171,"-"),"-")</f>
        <v>-</v>
      </c>
      <c r="BR171" s="143" t="str">
        <f t="shared" ref="BR171" si="1947">IFERROR(IF(BD171&lt;&gt;"-",BD171/AP171,"-"),"-")</f>
        <v>-</v>
      </c>
      <c r="BS171" s="143" t="str">
        <f t="shared" ref="BS171" si="1948">IFERROR(IF(BE171&lt;&gt;"-",BE171/AQ171,"-"),"-")</f>
        <v>-</v>
      </c>
      <c r="BT171" s="143" t="str">
        <f t="shared" ref="BT171" si="1949">IFERROR(IF(BF171&lt;&gt;"-",BF171/AR171,"-"),"-")</f>
        <v>-</v>
      </c>
      <c r="BU171" s="143" t="str">
        <f t="shared" ref="BU171" si="1950">IFERROR(IF(BG171&lt;&gt;"-",BG171/AS171,"-"),"-")</f>
        <v>-</v>
      </c>
      <c r="BV171" s="143">
        <f t="shared" ref="BV171" si="1951">IFERROR(IF(BH171&lt;&gt;"-",BH171/AT171,"-"),"-")</f>
        <v>-8.9427719460399221E-2</v>
      </c>
      <c r="BW171" s="143" t="str">
        <f t="shared" ref="BW171" si="1952">IFERROR(IF(BI171&lt;&gt;"-",BI171/AU171,"-"),"-")</f>
        <v>-</v>
      </c>
      <c r="BX171" s="143" t="str">
        <f t="shared" ref="BX171" si="1953">IFERROR(IF(BJ171&lt;&gt;"-",BJ171/AV171,"-"),"-")</f>
        <v>-</v>
      </c>
      <c r="BY171" s="143" t="str">
        <f t="shared" ref="BY171" si="1954">IFERROR(IF(BK171&lt;&gt;"-",BK171/AW171,"-"),"-")</f>
        <v>-</v>
      </c>
      <c r="BZ171" s="143" t="str">
        <f t="shared" ref="BZ171" si="1955">IFERROR(IF(BL171&lt;&gt;"-",BL171/AX171,"-"),"-")</f>
        <v>-</v>
      </c>
      <c r="CA171" s="143" t="str">
        <f t="shared" ref="CA171" si="1956">IFERROR(IF(BM171&lt;&gt;"-",BM171/AY171,"-"),"-")</f>
        <v>-</v>
      </c>
      <c r="CB171" s="143" t="str">
        <f t="shared" ref="CB171" si="1957">IFERROR(IF(BN171&lt;&gt;"-",BN171/AZ171,"-"),"-")</f>
        <v>-</v>
      </c>
      <c r="CD171" s="112">
        <f t="shared" ref="CD171" si="1958">IFERROR(AVERAGE(CE171:CP171),"-")</f>
        <v>1325.1421296296296</v>
      </c>
      <c r="CE171" s="95" t="str">
        <f>IFERROR(SUMIFS('01. KE30'!$R:$R,'01. KE30'!$C:$C,'06. BC BH THEO CUSTOMER-USD'!$D171,'01. KE30'!$F:$F,'06. BC BH THEO CUSTOMER-USD'!$H171,'01. KE30'!$A:$A,'06. BC BH THEO CUSTOMER-USD'!CE$4)/CS171/'02. Tỷ giá'!B$5," -")</f>
        <v xml:space="preserve"> -</v>
      </c>
      <c r="CF171" s="95" t="str">
        <f>IFERROR(SUMIFS('01. KE30'!$R:$R,'01. KE30'!$C:$C,'06. BC BH THEO CUSTOMER-USD'!$D171,'01. KE30'!$F:$F,'06. BC BH THEO CUSTOMER-USD'!$H171,'01. KE30'!$A:$A,'06. BC BH THEO CUSTOMER-USD'!CF$4)/CT171/'02. Tỷ giá'!C$5," -")</f>
        <v xml:space="preserve"> -</v>
      </c>
      <c r="CG171" s="95" t="str">
        <f>IFERROR(SUMIFS('01. KE30'!$R:$R,'01. KE30'!$C:$C,'06. BC BH THEO CUSTOMER-USD'!$D171,'01. KE30'!$F:$F,'06. BC BH THEO CUSTOMER-USD'!$H171,'01. KE30'!$A:$A,'06. BC BH THEO CUSTOMER-USD'!CG$4)/CU171/'02. Tỷ giá'!D$5," -")</f>
        <v xml:space="preserve"> -</v>
      </c>
      <c r="CH171" s="95" t="str">
        <f>IFERROR(SUMIFS('01. KE30'!$R:$R,'01. KE30'!$C:$C,'06. BC BH THEO CUSTOMER-USD'!$D171,'01. KE30'!$F:$F,'06. BC BH THEO CUSTOMER-USD'!$H171,'01. KE30'!$A:$A,'06. BC BH THEO CUSTOMER-USD'!CH$4)/CV171/'02. Tỷ giá'!E$5," -")</f>
        <v xml:space="preserve"> -</v>
      </c>
      <c r="CI171" s="95" t="str">
        <f>IFERROR(SUMIFS('01. KE30'!$R:$R,'01. KE30'!$C:$C,'06. BC BH THEO CUSTOMER-USD'!$D171,'01. KE30'!$F:$F,'06. BC BH THEO CUSTOMER-USD'!$H171,'01. KE30'!$A:$A,'06. BC BH THEO CUSTOMER-USD'!CI$4)/CW171/'02. Tỷ giá'!F$5," -")</f>
        <v xml:space="preserve"> -</v>
      </c>
      <c r="CJ171" s="95">
        <f>IFERROR(SUMIFS('01. KE30'!$R:$R,'01. KE30'!$C:$C,'06. BC BH THEO CUSTOMER-USD'!$D171,'01. KE30'!$F:$F,'06. BC BH THEO CUSTOMER-USD'!$H171,'01. KE30'!$A:$A,'06. BC BH THEO CUSTOMER-USD'!CJ$4)/CX171/'02. Tỷ giá'!G$5," -")</f>
        <v>1325.1421296296296</v>
      </c>
      <c r="CK171" s="95" t="str">
        <f>IFERROR(SUMIFS('01. KE30'!$R:$R,'01. KE30'!$C:$C,'06. BC BH THEO CUSTOMER-USD'!$D171,'01. KE30'!$F:$F,'06. BC BH THEO CUSTOMER-USD'!$H171,'01. KE30'!$A:$A,'06. BC BH THEO CUSTOMER-USD'!CK$4)/CY171/'02. Tỷ giá'!H$5," -")</f>
        <v xml:space="preserve"> -</v>
      </c>
      <c r="CL171" s="95" t="str">
        <f>IFERROR(SUMIFS('01. KE30'!$R:$R,'01. KE30'!$C:$C,'06. BC BH THEO CUSTOMER-USD'!$D171,'01. KE30'!$F:$F,'06. BC BH THEO CUSTOMER-USD'!$H171,'01. KE30'!$A:$A,'06. BC BH THEO CUSTOMER-USD'!CL$4)/CZ171/'02. Tỷ giá'!I$5," -")</f>
        <v xml:space="preserve"> -</v>
      </c>
      <c r="CM171" s="95" t="str">
        <f>IFERROR(SUMIFS('01. KE30'!$R:$R,'01. KE30'!$C:$C,'06. BC BH THEO CUSTOMER-USD'!$D171,'01. KE30'!$F:$F,'06. BC BH THEO CUSTOMER-USD'!$H171,'01. KE30'!$A:$A,'06. BC BH THEO CUSTOMER-USD'!CM$4)/DA171/'02. Tỷ giá'!J$5," -")</f>
        <v xml:space="preserve"> -</v>
      </c>
      <c r="CN171" s="95" t="str">
        <f>IFERROR(SUMIFS('01. KE30'!$R:$R,'01. KE30'!$C:$C,'06. BC BH THEO CUSTOMER-USD'!$D171,'01. KE30'!$F:$F,'06. BC BH THEO CUSTOMER-USD'!$H171,'01. KE30'!$A:$A,'06. BC BH THEO CUSTOMER-USD'!CN$4)/DB171/'02. Tỷ giá'!K$5," -")</f>
        <v xml:space="preserve"> -</v>
      </c>
      <c r="CO171" s="95" t="str">
        <f>IFERROR(SUMIFS('01. KE30'!$R:$R,'01. KE30'!$C:$C,'06. BC BH THEO CUSTOMER-USD'!$D171,'01. KE30'!$F:$F,'06. BC BH THEO CUSTOMER-USD'!$H171,'01. KE30'!$A:$A,'06. BC BH THEO CUSTOMER-USD'!CO$4)/DC171/'02. Tỷ giá'!L$5," -")</f>
        <v xml:space="preserve"> -</v>
      </c>
      <c r="CP171" s="95" t="str">
        <f>IFERROR(SUMIFS('01. KE30'!$R:$R,'01. KE30'!$C:$C,'06. BC BH THEO CUSTOMER-USD'!$D171,'01. KE30'!$F:$F,'06. BC BH THEO CUSTOMER-USD'!$H171,'01. KE30'!$A:$A,'06. BC BH THEO CUSTOMER-USD'!CP$4)/DD171/'02. Tỷ giá'!M$5," -")</f>
        <v xml:space="preserve"> -</v>
      </c>
      <c r="CR171" s="112">
        <f t="shared" ref="CR171" si="1959">SUM(CS171:DD171)</f>
        <v>5.5</v>
      </c>
      <c r="CS171" s="114">
        <f>SUMIFS('01. KE30'!$I:$I,'01. KE30'!$C:$C,'06. BC BH THEO CUSTOMER-USD'!$D171,'01. KE30'!$F:$F,'06. BC BH THEO CUSTOMER-USD'!$H171,'01. KE30'!$A:$A,'06. BC BH THEO CUSTOMER-USD'!CS$4)/1000</f>
        <v>0</v>
      </c>
      <c r="CT171" s="114">
        <f>SUMIFS('01. KE30'!$I:$I,'01. KE30'!$C:$C,'06. BC BH THEO CUSTOMER-USD'!$D171,'01. KE30'!$F:$F,'06. BC BH THEO CUSTOMER-USD'!$H171,'01. KE30'!$A:$A,'06. BC BH THEO CUSTOMER-USD'!CT$4)/1000</f>
        <v>0</v>
      </c>
      <c r="CU171" s="114">
        <f>SUMIFS('01. KE30'!$I:$I,'01. KE30'!$C:$C,'06. BC BH THEO CUSTOMER-USD'!$D171,'01. KE30'!$F:$F,'06. BC BH THEO CUSTOMER-USD'!$H171,'01. KE30'!$A:$A,'06. BC BH THEO CUSTOMER-USD'!CU$4)/1000</f>
        <v>0</v>
      </c>
      <c r="CV171" s="114">
        <f>SUMIFS('01. KE30'!$I:$I,'01. KE30'!$C:$C,'06. BC BH THEO CUSTOMER-USD'!$D171,'01. KE30'!$F:$F,'06. BC BH THEO CUSTOMER-USD'!$H171,'01. KE30'!$A:$A,'06. BC BH THEO CUSTOMER-USD'!CV$4)/1000</f>
        <v>0</v>
      </c>
      <c r="CW171" s="114">
        <f>SUMIFS('01. KE30'!$I:$I,'01. KE30'!$C:$C,'06. BC BH THEO CUSTOMER-USD'!$D171,'01. KE30'!$F:$F,'06. BC BH THEO CUSTOMER-USD'!$H171,'01. KE30'!$A:$A,'06. BC BH THEO CUSTOMER-USD'!CW$4)/1000</f>
        <v>0</v>
      </c>
      <c r="CX171" s="114">
        <f>SUMIFS('01. KE30'!$I:$I,'01. KE30'!$C:$C,'06. BC BH THEO CUSTOMER-USD'!$D171,'01. KE30'!$F:$F,'06. BC BH THEO CUSTOMER-USD'!$H171,'01. KE30'!$A:$A,'06. BC BH THEO CUSTOMER-USD'!CX$4)/1000</f>
        <v>5.5</v>
      </c>
      <c r="CY171" s="114">
        <f>SUMIFS('01. KE30'!$I:$I,'01. KE30'!$C:$C,'06. BC BH THEO CUSTOMER-USD'!$D171,'01. KE30'!$F:$F,'06. BC BH THEO CUSTOMER-USD'!$H171,'01. KE30'!$A:$A,'06. BC BH THEO CUSTOMER-USD'!CY$4)/1000</f>
        <v>0</v>
      </c>
      <c r="CZ171" s="114">
        <f>SUMIFS('01. KE30'!$I:$I,'01. KE30'!$C:$C,'06. BC BH THEO CUSTOMER-USD'!$D171,'01. KE30'!$F:$F,'06. BC BH THEO CUSTOMER-USD'!$H171,'01. KE30'!$A:$A,'06. BC BH THEO CUSTOMER-USD'!CZ$4)/1000</f>
        <v>0</v>
      </c>
      <c r="DA171" s="114">
        <f>SUMIFS('01. KE30'!$I:$I,'01. KE30'!$C:$C,'06. BC BH THEO CUSTOMER-USD'!$D171,'01. KE30'!$F:$F,'06. BC BH THEO CUSTOMER-USD'!$H171,'01. KE30'!$A:$A,'06. BC BH THEO CUSTOMER-USD'!DA$4)/1000</f>
        <v>0</v>
      </c>
      <c r="DB171" s="114">
        <f>SUMIFS('01. KE30'!$I:$I,'01. KE30'!$C:$C,'06. BC BH THEO CUSTOMER-USD'!$D171,'01. KE30'!$F:$F,'06. BC BH THEO CUSTOMER-USD'!$H171,'01. KE30'!$A:$A,'06. BC BH THEO CUSTOMER-USD'!DB$4)/1000</f>
        <v>0</v>
      </c>
      <c r="DC171" s="114">
        <f>SUMIFS('01. KE30'!$I:$I,'01. KE30'!$C:$C,'06. BC BH THEO CUSTOMER-USD'!$D171,'01. KE30'!$F:$F,'06. BC BH THEO CUSTOMER-USD'!$H171,'01. KE30'!$A:$A,'06. BC BH THEO CUSTOMER-USD'!DC$4)/1000</f>
        <v>0</v>
      </c>
      <c r="DD171" s="114">
        <f>SUMIFS('01. KE30'!$I:$I,'01. KE30'!$C:$C,'06. BC BH THEO CUSTOMER-USD'!$D171,'01. KE30'!$F:$F,'06. BC BH THEO CUSTOMER-USD'!$H171,'01. KE30'!$A:$A,'06. BC BH THEO CUSTOMER-USD'!DD$4)/1000</f>
        <v>0</v>
      </c>
      <c r="DF171" s="112">
        <f t="shared" ref="DF171" si="1960">SUM(DG171:DR171)</f>
        <v>3831.2328703703702</v>
      </c>
      <c r="DG171" s="54" t="str">
        <f t="shared" ref="DG171" si="1961">IFERROR(M171*CS171,"-")</f>
        <v>-</v>
      </c>
      <c r="DH171" s="54" t="str">
        <f t="shared" ref="DH171" si="1962">IFERROR(N171*CT171,"-")</f>
        <v>-</v>
      </c>
      <c r="DI171" s="54" t="str">
        <f t="shared" ref="DI171" si="1963">IFERROR(O171*CU171,"-")</f>
        <v>-</v>
      </c>
      <c r="DJ171" s="54" t="str">
        <f t="shared" ref="DJ171" si="1964">IFERROR(P171*CV171,"-")</f>
        <v>-</v>
      </c>
      <c r="DK171" s="54" t="str">
        <f t="shared" ref="DK171" si="1965">IFERROR(Q171*CW171,"-")</f>
        <v>-</v>
      </c>
      <c r="DL171" s="54">
        <f t="shared" ref="DL171" si="1966">IFERROR(R171*CX171,"-")</f>
        <v>3831.2328703703702</v>
      </c>
      <c r="DM171" s="54" t="str">
        <f t="shared" ref="DM171" si="1967">IFERROR(S171*CY171,"-")</f>
        <v>-</v>
      </c>
      <c r="DN171" s="54" t="str">
        <f t="shared" ref="DN171" si="1968">IFERROR(T171*CZ171,"-")</f>
        <v>-</v>
      </c>
      <c r="DO171" s="54" t="str">
        <f t="shared" ref="DO171" si="1969">IFERROR(U171*DA171,"-")</f>
        <v>-</v>
      </c>
      <c r="DP171" s="54" t="str">
        <f t="shared" ref="DP171" si="1970">IFERROR(V171*DB171,"-")</f>
        <v>-</v>
      </c>
      <c r="DQ171" s="54" t="str">
        <f t="shared" ref="DQ171" si="1971">IFERROR(W171*DC171,"-")</f>
        <v>-</v>
      </c>
      <c r="DR171" s="54" t="str">
        <f t="shared" ref="DR171" si="1972">IFERROR(X171*DD171,"-")</f>
        <v>-</v>
      </c>
      <c r="DT171" s="112">
        <f t="shared" ref="DT171" si="1973">SUM(DU171:EF171)</f>
        <v>-3457.0488425925928</v>
      </c>
      <c r="DU171" s="114">
        <f>IFERROR(SUMIFS('01. KE30'!$X:$X,'01. KE30'!$C:$C,'06. BC BH THEO CUSTOMER-USD'!$D171,'01. KE30'!$F:$F,'06. BC BH THEO CUSTOMER-USD'!$H171,'01. KE30'!$A:$A,'06. BC BH THEO CUSTOMER-USD'!DU$4)-SUMIFS('01. KE30'!$AA:$AA,'01. KE30'!$C:$C,'06. BC BH THEO CUSTOMER-USD'!$D171,'01. KE30'!$F:$F,'06. BC BH THEO CUSTOMER-USD'!$H171,'01. KE30'!$A:$A,'06. BC BH THEO CUSTOMER-USD'!DU$4),"-")</f>
        <v>0</v>
      </c>
      <c r="DV171" s="114">
        <f>IFERROR(SUMIFS('01. KE30'!$X:$X,'01. KE30'!$C:$C,'06. BC BH THEO CUSTOMER-USD'!$D171,'01. KE30'!$F:$F,'06. BC BH THEO CUSTOMER-USD'!$H171,'01. KE30'!$A:$A,'06. BC BH THEO CUSTOMER-USD'!DV$4)-SUMIFS('01. KE30'!$AA:$AA,'01. KE30'!$C:$C,'06. BC BH THEO CUSTOMER-USD'!$D171,'01. KE30'!$F:$F,'06. BC BH THEO CUSTOMER-USD'!$H171,'01. KE30'!$A:$A,'06. BC BH THEO CUSTOMER-USD'!DV$4),"-")</f>
        <v>0</v>
      </c>
      <c r="DW171" s="114">
        <f>IFERROR(SUMIFS('01. KE30'!$X:$X,'01. KE30'!$C:$C,'06. BC BH THEO CUSTOMER-USD'!$D171,'01. KE30'!$F:$F,'06. BC BH THEO CUSTOMER-USD'!$H171,'01. KE30'!$A:$A,'06. BC BH THEO CUSTOMER-USD'!DW$4)-SUMIFS('01. KE30'!$AA:$AA,'01. KE30'!$C:$C,'06. BC BH THEO CUSTOMER-USD'!$D171,'01. KE30'!$F:$F,'06. BC BH THEO CUSTOMER-USD'!$H171,'01. KE30'!$A:$A,'06. BC BH THEO CUSTOMER-USD'!DW$4),"-")</f>
        <v>0</v>
      </c>
      <c r="DX171" s="114">
        <f>IFERROR(SUMIFS('01. KE30'!$X:$X,'01. KE30'!$C:$C,'06. BC BH THEO CUSTOMER-USD'!$D171,'01. KE30'!$F:$F,'06. BC BH THEO CUSTOMER-USD'!$H171,'01. KE30'!$A:$A,'06. BC BH THEO CUSTOMER-USD'!DX$4)-SUMIFS('01. KE30'!$AA:$AA,'01. KE30'!$C:$C,'06. BC BH THEO CUSTOMER-USD'!$D171,'01. KE30'!$F:$F,'06. BC BH THEO CUSTOMER-USD'!$H171,'01. KE30'!$A:$A,'06. BC BH THEO CUSTOMER-USD'!DX$4),"-")</f>
        <v>0</v>
      </c>
      <c r="DY171" s="114">
        <f>IFERROR(SUMIFS('01. KE30'!$X:$X,'01. KE30'!$C:$C,'06. BC BH THEO CUSTOMER-USD'!$D171,'01. KE30'!$F:$F,'06. BC BH THEO CUSTOMER-USD'!$H171,'01. KE30'!$A:$A,'06. BC BH THEO CUSTOMER-USD'!DY$4)-SUMIFS('01. KE30'!$AA:$AA,'01. KE30'!$C:$C,'06. BC BH THEO CUSTOMER-USD'!$D171,'01. KE30'!$F:$F,'06. BC BH THEO CUSTOMER-USD'!$H171,'01. KE30'!$A:$A,'06. BC BH THEO CUSTOMER-USD'!DY$4),"-")</f>
        <v>0</v>
      </c>
      <c r="DZ171" s="114">
        <f>IFERROR(SUMIFS('01. KE30'!$X:$X,'01. KE30'!$C:$C,'06. BC BH THEO CUSTOMER-USD'!$D171,'01. KE30'!$F:$F,'06. BC BH THEO CUSTOMER-USD'!$H171,'01. KE30'!$A:$A,'06. BC BH THEO CUSTOMER-USD'!DZ$4)-SUMIFS('01. KE30'!$AA:$AA,'01. KE30'!$C:$C,'06. BC BH THEO CUSTOMER-USD'!$D171,'01. KE30'!$F:$F,'06. BC BH THEO CUSTOMER-USD'!$H171,'01. KE30'!$A:$A,'06. BC BH THEO CUSTOMER-USD'!DZ$4),"-")</f>
        <v>-3457.0488425925928</v>
      </c>
      <c r="EA171" s="114">
        <f>IFERROR(SUMIFS('01. KE30'!$X:$X,'01. KE30'!$C:$C,'06. BC BH THEO CUSTOMER-USD'!$D171,'01. KE30'!$F:$F,'06. BC BH THEO CUSTOMER-USD'!$H171,'01. KE30'!$A:$A,'06. BC BH THEO CUSTOMER-USD'!EA$4)-SUMIFS('01. KE30'!$AA:$AA,'01. KE30'!$C:$C,'06. BC BH THEO CUSTOMER-USD'!$D171,'01. KE30'!$F:$F,'06. BC BH THEO CUSTOMER-USD'!$H171,'01. KE30'!$A:$A,'06. BC BH THEO CUSTOMER-USD'!EA$4),"-")</f>
        <v>0</v>
      </c>
      <c r="EB171" s="114">
        <f>IFERROR(SUMIFS('01. KE30'!$X:$X,'01. KE30'!$C:$C,'06. BC BH THEO CUSTOMER-USD'!$D171,'01. KE30'!$F:$F,'06. BC BH THEO CUSTOMER-USD'!$H171,'01. KE30'!$A:$A,'06. BC BH THEO CUSTOMER-USD'!EB$4)-SUMIFS('01. KE30'!$AA:$AA,'01. KE30'!$C:$C,'06. BC BH THEO CUSTOMER-USD'!$D171,'01. KE30'!$F:$F,'06. BC BH THEO CUSTOMER-USD'!$H171,'01. KE30'!$A:$A,'06. BC BH THEO CUSTOMER-USD'!EB$4),"-")</f>
        <v>0</v>
      </c>
      <c r="EC171" s="114">
        <f>IFERROR(SUMIFS('01. KE30'!$X:$X,'01. KE30'!$C:$C,'06. BC BH THEO CUSTOMER-USD'!$D171,'01. KE30'!$F:$F,'06. BC BH THEO CUSTOMER-USD'!$H171,'01. KE30'!$A:$A,'06. BC BH THEO CUSTOMER-USD'!EC$4)-SUMIFS('01. KE30'!$AA:$AA,'01. KE30'!$C:$C,'06. BC BH THEO CUSTOMER-USD'!$D171,'01. KE30'!$F:$F,'06. BC BH THEO CUSTOMER-USD'!$H171,'01. KE30'!$A:$A,'06. BC BH THEO CUSTOMER-USD'!EC$4),"-")</f>
        <v>0</v>
      </c>
      <c r="ED171" s="114">
        <f>IFERROR(SUMIFS('01. KE30'!$X:$X,'01. KE30'!$C:$C,'06. BC BH THEO CUSTOMER-USD'!$D171,'01. KE30'!$F:$F,'06. BC BH THEO CUSTOMER-USD'!$H171,'01. KE30'!$A:$A,'06. BC BH THEO CUSTOMER-USD'!ED$4)-SUMIFS('01. KE30'!$AA:$AA,'01. KE30'!$C:$C,'06. BC BH THEO CUSTOMER-USD'!$D171,'01. KE30'!$F:$F,'06. BC BH THEO CUSTOMER-USD'!$H171,'01. KE30'!$A:$A,'06. BC BH THEO CUSTOMER-USD'!ED$4),"-")</f>
        <v>0</v>
      </c>
      <c r="EE171" s="114">
        <f>IFERROR(SUMIFS('01. KE30'!$X:$X,'01. KE30'!$C:$C,'06. BC BH THEO CUSTOMER-USD'!$D171,'01. KE30'!$F:$F,'06. BC BH THEO CUSTOMER-USD'!$H171,'01. KE30'!$A:$A,'06. BC BH THEO CUSTOMER-USD'!EE$4)-SUMIFS('01. KE30'!$AA:$AA,'01. KE30'!$C:$C,'06. BC BH THEO CUSTOMER-USD'!$D171,'01. KE30'!$F:$F,'06. BC BH THEO CUSTOMER-USD'!$H171,'01. KE30'!$A:$A,'06. BC BH THEO CUSTOMER-USD'!EE$4),"-")</f>
        <v>0</v>
      </c>
      <c r="EF171" s="114">
        <f>IFERROR(SUMIFS('01. KE30'!$X:$X,'01. KE30'!$C:$C,'06. BC BH THEO CUSTOMER-USD'!$D171,'01. KE30'!$F:$F,'06. BC BH THEO CUSTOMER-USD'!$H171,'01. KE30'!$A:$A,'06. BC BH THEO CUSTOMER-USD'!EF$4)-SUMIFS('01. KE30'!$AA:$AA,'01. KE30'!$C:$C,'06. BC BH THEO CUSTOMER-USD'!$D171,'01. KE30'!$F:$F,'06. BC BH THEO CUSTOMER-USD'!$H171,'01. KE30'!$A:$A,'06. BC BH THEO CUSTOMER-USD'!EF$4),"-")</f>
        <v>0</v>
      </c>
      <c r="EH171" s="571">
        <f t="shared" ref="EH171" si="1974">IFERROR(DT171/DF171,"-")</f>
        <v>-0.90233325917836871</v>
      </c>
      <c r="EI171" s="572" t="str">
        <f t="shared" ref="EI171" si="1975">IFERROR(DU171/DG171,"-")</f>
        <v>-</v>
      </c>
      <c r="EJ171" s="572" t="str">
        <f t="shared" ref="EJ171" si="1976">IFERROR(DV171/DH171,"-")</f>
        <v>-</v>
      </c>
      <c r="EK171" s="572" t="str">
        <f t="shared" ref="EK171" si="1977">IFERROR(DW171/DI171,"-")</f>
        <v>-</v>
      </c>
      <c r="EL171" s="572" t="str">
        <f t="shared" ref="EL171" si="1978">IFERROR(DX171/DJ171,"-")</f>
        <v>-</v>
      </c>
      <c r="EM171" s="572" t="str">
        <f t="shared" ref="EM171" si="1979">IFERROR(DY171/DK171,"-")</f>
        <v>-</v>
      </c>
      <c r="EN171" s="572">
        <f t="shared" ref="EN171" si="1980">IFERROR(DZ171/DL171,"-")</f>
        <v>-0.90233325917836871</v>
      </c>
      <c r="EO171" s="572" t="str">
        <f t="shared" ref="EO171" si="1981">IFERROR(EA171/DM171,"-")</f>
        <v>-</v>
      </c>
      <c r="EP171" s="572" t="str">
        <f t="shared" ref="EP171" si="1982">IFERROR(EB171/DN171,"-")</f>
        <v>-</v>
      </c>
      <c r="EQ171" s="572" t="str">
        <f t="shared" ref="EQ171" si="1983">IFERROR(EC171/DO171,"-")</f>
        <v>-</v>
      </c>
      <c r="ER171" s="572" t="str">
        <f t="shared" ref="ER171" si="1984">IFERROR(ED171/DP171,"-")</f>
        <v>-</v>
      </c>
      <c r="ES171" s="572" t="str">
        <f t="shared" ref="ES171" si="1985">IFERROR(EE171/DQ171,"-")</f>
        <v>-</v>
      </c>
      <c r="ET171" s="572" t="str">
        <f t="shared" ref="ET171" si="1986">IFERROR(EF171/DR171,"-")</f>
        <v>-</v>
      </c>
    </row>
    <row r="172" spans="1:150" ht="15.5" hidden="1" outlineLevel="1" x14ac:dyDescent="0.35">
      <c r="A172" s="10">
        <f>A166+1</f>
        <v>9</v>
      </c>
      <c r="B172" s="10" t="s">
        <v>266</v>
      </c>
      <c r="C172" s="442" t="s">
        <v>489</v>
      </c>
      <c r="D172" s="9" t="s">
        <v>452</v>
      </c>
      <c r="E172" s="12" t="s">
        <v>453</v>
      </c>
      <c r="F172" s="12" t="s">
        <v>245</v>
      </c>
      <c r="G172" s="12" t="str">
        <f>_xlfn.XLOOKUP(F172,'Quy đổi'!$G$5:$G$32,'Quy đổi'!$H$5:$H$32,0)</f>
        <v>Nội địa</v>
      </c>
      <c r="H172" s="76" t="s">
        <v>48</v>
      </c>
      <c r="I172" s="7" t="s">
        <v>47</v>
      </c>
      <c r="J172" s="69" t="s">
        <v>22</v>
      </c>
      <c r="K172" s="11"/>
      <c r="L172" s="92">
        <f t="shared" ref="L172" si="1987">IFERROR(AVERAGE(M172:X172),"-")</f>
        <v>1065.7689048491818</v>
      </c>
      <c r="M172" s="106">
        <f>IFERROR(SUMIFS('01. KE30'!$K:$K,'01. KE30'!$C:$C,'06. BC BH THEO CUSTOMER-USD'!$D172,'01. KE30'!$F:$F,'06. BC BH THEO CUSTOMER-USD'!$H172,'01. KE30'!$A:$A,'06. BC BH THEO CUSTOMER-USD'!M$4)/'06. BC BH THEO CUSTOMER-USD'!CS172/'02. Tỷ giá'!B$5,"-")</f>
        <v>1076.4753111200321</v>
      </c>
      <c r="N172" s="106" t="str">
        <f>IFERROR(SUMIFS('01. KE30'!$K:$K,'01. KE30'!$C:$C,'06. BC BH THEO CUSTOMER-USD'!$D172,'01. KE30'!$F:$F,'06. BC BH THEO CUSTOMER-USD'!$H172,'01. KE30'!$A:$A,'06. BC BH THEO CUSTOMER-USD'!N$4)/'06. BC BH THEO CUSTOMER-USD'!CT172/'02. Tỷ giá'!C$5,"-")</f>
        <v>-</v>
      </c>
      <c r="O172" s="106">
        <f>IFERROR(SUMIFS('01. KE30'!$K:$K,'01. KE30'!$C:$C,'06. BC BH THEO CUSTOMER-USD'!$D172,'01. KE30'!$F:$F,'06. BC BH THEO CUSTOMER-USD'!$H172,'01. KE30'!$A:$A,'06. BC BH THEO CUSTOMER-USD'!O$4)/'06. BC BH THEO CUSTOMER-USD'!CU172/'02. Tỷ giá'!D$5,"-")</f>
        <v>1062.007874015748</v>
      </c>
      <c r="P172" s="106" t="str">
        <f>IFERROR(SUMIFS('01. KE30'!$K:$K,'01. KE30'!$C:$C,'06. BC BH THEO CUSTOMER-USD'!$D172,'01. KE30'!$F:$F,'06. BC BH THEO CUSTOMER-USD'!$H172,'01. KE30'!$A:$A,'06. BC BH THEO CUSTOMER-USD'!P$4)/'06. BC BH THEO CUSTOMER-USD'!CV172/'02. Tỷ giá'!E$5,"-")</f>
        <v>-</v>
      </c>
      <c r="Q172" s="106" t="str">
        <f>IFERROR(SUMIFS('01. KE30'!$K:$K,'01. KE30'!$C:$C,'06. BC BH THEO CUSTOMER-USD'!$D172,'01. KE30'!$F:$F,'06. BC BH THEO CUSTOMER-USD'!$H172,'01. KE30'!$A:$A,'06. BC BH THEO CUSTOMER-USD'!Q$4)/'06. BC BH THEO CUSTOMER-USD'!CW172/'02. Tỷ giá'!F$5,"-")</f>
        <v>-</v>
      </c>
      <c r="R172" s="106" t="str">
        <f>IFERROR(SUMIFS('01. KE30'!$K:$K,'01. KE30'!$C:$C,'06. BC BH THEO CUSTOMER-USD'!$D172,'01. KE30'!$F:$F,'06. BC BH THEO CUSTOMER-USD'!$H172,'01. KE30'!$A:$A,'06. BC BH THEO CUSTOMER-USD'!R$4)/'06. BC BH THEO CUSTOMER-USD'!CX172/'02. Tỷ giá'!G$5,"-")</f>
        <v>-</v>
      </c>
      <c r="S172" s="106" t="str">
        <f>IFERROR(SUMIFS('01. KE30'!$K:$K,'01. KE30'!$C:$C,'06. BC BH THEO CUSTOMER-USD'!$D172,'01. KE30'!$F:$F,'06. BC BH THEO CUSTOMER-USD'!$H172,'01. KE30'!$A:$A,'06. BC BH THEO CUSTOMER-USD'!S$4)/'06. BC BH THEO CUSTOMER-USD'!CY172/'02. Tỷ giá'!H$5,"-")</f>
        <v>-</v>
      </c>
      <c r="T172" s="106">
        <f>IFERROR(SUMIFS('01. KE30'!$K:$K,'01. KE30'!$C:$C,'06. BC BH THEO CUSTOMER-USD'!$D172,'01. KE30'!$F:$F,'06. BC BH THEO CUSTOMER-USD'!$H172,'01. KE30'!$A:$A,'06. BC BH THEO CUSTOMER-USD'!T$4)/'06. BC BH THEO CUSTOMER-USD'!CZ172/'02. Tỷ giá'!I$5,"-")</f>
        <v>1058.8235294117646</v>
      </c>
      <c r="U172" s="106" t="str">
        <f>IFERROR(SUMIFS('01. KE30'!$K:$K,'01. KE30'!$C:$C,'06. BC BH THEO CUSTOMER-USD'!$D172,'01. KE30'!$F:$F,'06. BC BH THEO CUSTOMER-USD'!$H172,'01. KE30'!$A:$A,'06. BC BH THEO CUSTOMER-USD'!U$4)/'06. BC BH THEO CUSTOMER-USD'!DA172/'02. Tỷ giá'!J$5,"-")</f>
        <v>-</v>
      </c>
      <c r="V172" s="106" t="str">
        <f>IFERROR(SUMIFS('01. KE30'!$K:$K,'01. KE30'!$C:$C,'06. BC BH THEO CUSTOMER-USD'!$D172,'01. KE30'!$F:$F,'06. BC BH THEO CUSTOMER-USD'!$H172,'01. KE30'!$A:$A,'06. BC BH THEO CUSTOMER-USD'!V$4)/'06. BC BH THEO CUSTOMER-USD'!DB172/'02. Tỷ giá'!K$5,"-")</f>
        <v>-</v>
      </c>
      <c r="W172" s="106" t="str">
        <f>IFERROR(SUMIFS('01. KE30'!$K:$K,'01. KE30'!$C:$C,'06. BC BH THEO CUSTOMER-USD'!$D172,'01. KE30'!$F:$F,'06. BC BH THEO CUSTOMER-USD'!$H172,'01. KE30'!$A:$A,'06. BC BH THEO CUSTOMER-USD'!W$4)/'06. BC BH THEO CUSTOMER-USD'!DC172/'02. Tỷ giá'!L$5,"-")</f>
        <v>-</v>
      </c>
      <c r="X172" s="106" t="str">
        <f>IFERROR(SUMIFS('01. KE30'!$K:$K,'01. KE30'!$C:$C,'06. BC BH THEO CUSTOMER-USD'!$D172,'01. KE30'!$F:$F,'06. BC BH THEO CUSTOMER-USD'!$H172,'01. KE30'!$A:$A,'06. BC BH THEO CUSTOMER-USD'!X$4)/'06. BC BH THEO CUSTOMER-USD'!DD172/'02. Tỷ giá'!M$5,"-")</f>
        <v>-</v>
      </c>
      <c r="Z172" s="92">
        <f t="shared" ref="Z172" si="1988">IFERROR(AVERAGE(AA172:AL172),"-")</f>
        <v>1065.7689048491818</v>
      </c>
      <c r="AA172" s="147">
        <f>IFERROR(SUMIFS('01. KE30'!$O:$O,'01. KE30'!$C:$C,'06. BC BH THEO CUSTOMER-USD'!$D172,'01. KE30'!$F:$F,'06. BC BH THEO CUSTOMER-USD'!$H172,'01. KE30'!$A:$A,'06. BC BH THEO CUSTOMER-USD'!M$4)/'06. BC BH THEO CUSTOMER-USD'!CS172/'02. Tỷ giá'!B$5,"-")</f>
        <v>1076.4753111200321</v>
      </c>
      <c r="AB172" s="147" t="str">
        <f>IFERROR(SUMIFS('01. KE30'!$O:$O,'01. KE30'!$C:$C,'06. BC BH THEO CUSTOMER-USD'!$D172,'01. KE30'!$F:$F,'06. BC BH THEO CUSTOMER-USD'!$H172,'01. KE30'!$A:$A,'06. BC BH THEO CUSTOMER-USD'!N$4)/'06. BC BH THEO CUSTOMER-USD'!CT172/'02. Tỷ giá'!C$5,"-")</f>
        <v>-</v>
      </c>
      <c r="AC172" s="147">
        <f>IFERROR(SUMIFS('01. KE30'!$O:$O,'01. KE30'!$C:$C,'06. BC BH THEO CUSTOMER-USD'!$D172,'01. KE30'!$F:$F,'06. BC BH THEO CUSTOMER-USD'!$H172,'01. KE30'!$A:$A,'06. BC BH THEO CUSTOMER-USD'!O$4)/'06. BC BH THEO CUSTOMER-USD'!CU172/'02. Tỷ giá'!D$5,"-")</f>
        <v>1062.007874015748</v>
      </c>
      <c r="AD172" s="147" t="str">
        <f>IFERROR(SUMIFS('01. KE30'!$O:$O,'01. KE30'!$C:$C,'06. BC BH THEO CUSTOMER-USD'!$D172,'01. KE30'!$F:$F,'06. BC BH THEO CUSTOMER-USD'!$H172,'01. KE30'!$A:$A,'06. BC BH THEO CUSTOMER-USD'!P$4)/'06. BC BH THEO CUSTOMER-USD'!CV172/'02. Tỷ giá'!E$5,"-")</f>
        <v>-</v>
      </c>
      <c r="AE172" s="147" t="str">
        <f>IFERROR(SUMIFS('01. KE30'!$O:$O,'01. KE30'!$C:$C,'06. BC BH THEO CUSTOMER-USD'!$D172,'01. KE30'!$F:$F,'06. BC BH THEO CUSTOMER-USD'!$H172,'01. KE30'!$A:$A,'06. BC BH THEO CUSTOMER-USD'!Q$4)/'06. BC BH THEO CUSTOMER-USD'!CW172/'02. Tỷ giá'!F$5,"-")</f>
        <v>-</v>
      </c>
      <c r="AF172" s="147" t="str">
        <f>IFERROR(SUMIFS('01. KE30'!$O:$O,'01. KE30'!$C:$C,'06. BC BH THEO CUSTOMER-USD'!$D172,'01. KE30'!$F:$F,'06. BC BH THEO CUSTOMER-USD'!$H172,'01. KE30'!$A:$A,'06. BC BH THEO CUSTOMER-USD'!R$4)/'06. BC BH THEO CUSTOMER-USD'!CX172/'02. Tỷ giá'!G$5,"-")</f>
        <v>-</v>
      </c>
      <c r="AG172" s="147" t="str">
        <f>IFERROR(SUMIFS('01. KE30'!$O:$O,'01. KE30'!$C:$C,'06. BC BH THEO CUSTOMER-USD'!$D172,'01. KE30'!$F:$F,'06. BC BH THEO CUSTOMER-USD'!$H172,'01. KE30'!$A:$A,'06. BC BH THEO CUSTOMER-USD'!S$4)/'06. BC BH THEO CUSTOMER-USD'!CY172/'02. Tỷ giá'!H$5,"-")</f>
        <v>-</v>
      </c>
      <c r="AH172" s="147">
        <f>IFERROR(SUMIFS('01. KE30'!$O:$O,'01. KE30'!$C:$C,'06. BC BH THEO CUSTOMER-USD'!$D172,'01. KE30'!$F:$F,'06. BC BH THEO CUSTOMER-USD'!$H172,'01. KE30'!$A:$A,'06. BC BH THEO CUSTOMER-USD'!T$4)/'06. BC BH THEO CUSTOMER-USD'!CZ172/'02. Tỷ giá'!I$5,"-")</f>
        <v>1058.8235294117646</v>
      </c>
      <c r="AI172" s="147" t="str">
        <f>IFERROR(SUMIFS('01. KE30'!$O:$O,'01. KE30'!$C:$C,'06. BC BH THEO CUSTOMER-USD'!$D172,'01. KE30'!$F:$F,'06. BC BH THEO CUSTOMER-USD'!$H172,'01. KE30'!$A:$A,'06. BC BH THEO CUSTOMER-USD'!U$4)/'06. BC BH THEO CUSTOMER-USD'!DA172/'02. Tỷ giá'!J$5,"-")</f>
        <v>-</v>
      </c>
      <c r="AJ172" s="147" t="str">
        <f>IFERROR(SUMIFS('01. KE30'!$O:$O,'01. KE30'!$C:$C,'06. BC BH THEO CUSTOMER-USD'!$D172,'01. KE30'!$F:$F,'06. BC BH THEO CUSTOMER-USD'!$H172,'01. KE30'!$A:$A,'06. BC BH THEO CUSTOMER-USD'!V$4)/'06. BC BH THEO CUSTOMER-USD'!DB172/'02. Tỷ giá'!K$5,"-")</f>
        <v>-</v>
      </c>
      <c r="AK172" s="147" t="str">
        <f>IFERROR(SUMIFS('01. KE30'!$O:$O,'01. KE30'!$C:$C,'06. BC BH THEO CUSTOMER-USD'!$D172,'01. KE30'!$F:$F,'06. BC BH THEO CUSTOMER-USD'!$H172,'01. KE30'!$A:$A,'06. BC BH THEO CUSTOMER-USD'!W$4)/'06. BC BH THEO CUSTOMER-USD'!DC172/'02. Tỷ giá'!L$5,"-")</f>
        <v>-</v>
      </c>
      <c r="AL172" s="147" t="str">
        <f>IFERROR(SUMIFS('01. KE30'!$O:$O,'01. KE30'!$C:$C,'06. BC BH THEO CUSTOMER-USD'!$D172,'01. KE30'!$F:$F,'06. BC BH THEO CUSTOMER-USD'!$H172,'01. KE30'!$A:$A,'06. BC BH THEO CUSTOMER-USD'!X$4)/'06. BC BH THEO CUSTOMER-USD'!DD172/'02. Tỷ giá'!M$5,"-")</f>
        <v>-</v>
      </c>
      <c r="AN172" s="55">
        <f t="shared" ref="AN172" si="1989">IFERROR(AVERAGE(AO172:AZ172),"-")</f>
        <v>790</v>
      </c>
      <c r="AO172" s="4">
        <v>870</v>
      </c>
      <c r="AP172" s="4">
        <v>800</v>
      </c>
      <c r="AQ172" s="4">
        <v>805</v>
      </c>
      <c r="AR172" s="4">
        <v>805</v>
      </c>
      <c r="AS172" s="4">
        <v>765</v>
      </c>
      <c r="AT172" s="4">
        <v>765</v>
      </c>
      <c r="AU172" s="4">
        <v>780</v>
      </c>
      <c r="AV172" s="4">
        <f t="shared" si="1272"/>
        <v>760</v>
      </c>
      <c r="AW172" s="4">
        <v>760</v>
      </c>
      <c r="AX172" s="4"/>
      <c r="AY172" s="4"/>
      <c r="AZ172" s="4"/>
      <c r="BB172" s="54">
        <f t="shared" ref="BB172" si="1990">IF(L172&lt;&gt;"-",Z172-AN172,"-")</f>
        <v>275.76890484918181</v>
      </c>
      <c r="BC172" s="95">
        <f t="shared" ref="BC172" si="1991">IF(M172&lt;&gt;"-",AA172-AO172,"-")</f>
        <v>206.47531112003207</v>
      </c>
      <c r="BD172" s="95" t="str">
        <f t="shared" ref="BD172" si="1992">IF(N172&lt;&gt;"-",AB172-AP172,"-")</f>
        <v>-</v>
      </c>
      <c r="BE172" s="95">
        <f t="shared" ref="BE172" si="1993">IF(O172&lt;&gt;"-",AC172-AQ172,"-")</f>
        <v>257.00787401574803</v>
      </c>
      <c r="BF172" s="95" t="str">
        <f t="shared" ref="BF172" si="1994">IF(P172&lt;&gt;"-",AD172-AR172,"-")</f>
        <v>-</v>
      </c>
      <c r="BG172" s="95" t="str">
        <f t="shared" ref="BG172" si="1995">IF(Q172&lt;&gt;"-",AE172-AS172,"-")</f>
        <v>-</v>
      </c>
      <c r="BH172" s="95" t="str">
        <f t="shared" ref="BH172" si="1996">IF(R172&lt;&gt;"-",AF172-AT172,"-")</f>
        <v>-</v>
      </c>
      <c r="BI172" s="95" t="str">
        <f t="shared" ref="BI172" si="1997">IF(S172&lt;&gt;"-",AG172-AU172,"-")</f>
        <v>-</v>
      </c>
      <c r="BJ172" s="95">
        <f t="shared" ref="BJ172" si="1998">IF(T172&lt;&gt;"-",AH172-AV172,"-")</f>
        <v>298.82352941176464</v>
      </c>
      <c r="BK172" s="95" t="str">
        <f t="shared" ref="BK172" si="1999">IF(U172&lt;&gt;"-",AI172-AW172,"-")</f>
        <v>-</v>
      </c>
      <c r="BL172" s="95" t="str">
        <f t="shared" ref="BL172" si="2000">IF(V172&lt;&gt;"-",AJ172-AX172,"-")</f>
        <v>-</v>
      </c>
      <c r="BM172" s="95" t="str">
        <f t="shared" ref="BM172" si="2001">IF(W172&lt;&gt;"-",AK172-AY172,"-")</f>
        <v>-</v>
      </c>
      <c r="BN172" s="95" t="str">
        <f t="shared" ref="BN172" si="2002">IF(X172&lt;&gt;"-",AL172-AZ172,"-")</f>
        <v>-</v>
      </c>
      <c r="BP172" s="143">
        <f t="shared" ref="BP172" si="2003">IFERROR(IF(BB172&lt;&gt;"-",BB172/AN172,"-"),"-")</f>
        <v>0.34907456310023016</v>
      </c>
      <c r="BQ172" s="143">
        <f t="shared" ref="BQ172" si="2004">IFERROR(IF(BC172&lt;&gt;"-",BC172/AO172,"-"),"-")</f>
        <v>0.23732794381612882</v>
      </c>
      <c r="BR172" s="143" t="str">
        <f t="shared" ref="BR172" si="2005">IFERROR(IF(BD172&lt;&gt;"-",BD172/AP172,"-"),"-")</f>
        <v>-</v>
      </c>
      <c r="BS172" s="143">
        <f t="shared" ref="BS172" si="2006">IFERROR(IF(BE172&lt;&gt;"-",BE172/AQ172,"-"),"-")</f>
        <v>0.31926443977111557</v>
      </c>
      <c r="BT172" s="143" t="str">
        <f t="shared" ref="BT172" si="2007">IFERROR(IF(BF172&lt;&gt;"-",BF172/AR172,"-"),"-")</f>
        <v>-</v>
      </c>
      <c r="BU172" s="143" t="str">
        <f t="shared" ref="BU172" si="2008">IFERROR(IF(BG172&lt;&gt;"-",BG172/AS172,"-"),"-")</f>
        <v>-</v>
      </c>
      <c r="BV172" s="143" t="str">
        <f t="shared" ref="BV172" si="2009">IFERROR(IF(BH172&lt;&gt;"-",BH172/AT172,"-"),"-")</f>
        <v>-</v>
      </c>
      <c r="BW172" s="143" t="str">
        <f t="shared" ref="BW172" si="2010">IFERROR(IF(BI172&lt;&gt;"-",BI172/AU172,"-"),"-")</f>
        <v>-</v>
      </c>
      <c r="BX172" s="143">
        <f t="shared" ref="BX172" si="2011">IFERROR(IF(BJ172&lt;&gt;"-",BJ172/AV172,"-"),"-")</f>
        <v>0.39318885448916402</v>
      </c>
      <c r="BY172" s="143" t="str">
        <f t="shared" ref="BY172" si="2012">IFERROR(IF(BK172&lt;&gt;"-",BK172/AW172,"-"),"-")</f>
        <v>-</v>
      </c>
      <c r="BZ172" s="143" t="str">
        <f t="shared" ref="BZ172" si="2013">IFERROR(IF(BL172&lt;&gt;"-",BL172/AX172,"-"),"-")</f>
        <v>-</v>
      </c>
      <c r="CA172" s="143" t="str">
        <f t="shared" ref="CA172" si="2014">IFERROR(IF(BM172&lt;&gt;"-",BM172/AY172,"-"),"-")</f>
        <v>-</v>
      </c>
      <c r="CB172" s="143" t="str">
        <f t="shared" ref="CB172" si="2015">IFERROR(IF(BN172&lt;&gt;"-",BN172/AZ172,"-"),"-")</f>
        <v>-</v>
      </c>
      <c r="CD172" s="112">
        <f t="shared" si="1723"/>
        <v>326.15662716339398</v>
      </c>
      <c r="CE172" s="95">
        <f>IFERROR(SUMIFS('01. KE30'!$R:$R,'01. KE30'!$C:$C,'06. BC BH THEO CUSTOMER-USD'!$D172,'01. KE30'!$F:$F,'06. BC BH THEO CUSTOMER-USD'!$H172,'01. KE30'!$A:$A,'06. BC BH THEO CUSTOMER-USD'!CE$4)/CS172/'02. Tỷ giá'!B$5," -")</f>
        <v>331.37861635220122</v>
      </c>
      <c r="CF172" s="95" t="str">
        <f>IFERROR(SUMIFS('01. KE30'!$R:$R,'01. KE30'!$C:$C,'06. BC BH THEO CUSTOMER-USD'!$D172,'01. KE30'!$F:$F,'06. BC BH THEO CUSTOMER-USD'!$H172,'01. KE30'!$A:$A,'06. BC BH THEO CUSTOMER-USD'!CF$4)/CT172/'02. Tỷ giá'!C$5," -")</f>
        <v xml:space="preserve"> -</v>
      </c>
      <c r="CG172" s="95">
        <f>IFERROR(SUMIFS('01. KE30'!$R:$R,'01. KE30'!$C:$C,'06. BC BH THEO CUSTOMER-USD'!$D172,'01. KE30'!$F:$F,'06. BC BH THEO CUSTOMER-USD'!$H172,'01. KE30'!$A:$A,'06. BC BH THEO CUSTOMER-USD'!CG$4)/CU172/'02. Tỷ giá'!D$5," -")</f>
        <v>325.5564803149606</v>
      </c>
      <c r="CH172" s="95" t="str">
        <f>IFERROR(SUMIFS('01. KE30'!$R:$R,'01. KE30'!$C:$C,'06. BC BH THEO CUSTOMER-USD'!$D172,'01. KE30'!$F:$F,'06. BC BH THEO CUSTOMER-USD'!$H172,'01. KE30'!$A:$A,'06. BC BH THEO CUSTOMER-USD'!CH$4)/CV172/'02. Tỷ giá'!E$5," -")</f>
        <v xml:space="preserve"> -</v>
      </c>
      <c r="CI172" s="95" t="str">
        <f>IFERROR(SUMIFS('01. KE30'!$R:$R,'01. KE30'!$C:$C,'06. BC BH THEO CUSTOMER-USD'!$D172,'01. KE30'!$F:$F,'06. BC BH THEO CUSTOMER-USD'!$H172,'01. KE30'!$A:$A,'06. BC BH THEO CUSTOMER-USD'!CI$4)/CW172/'02. Tỷ giá'!F$5," -")</f>
        <v xml:space="preserve"> -</v>
      </c>
      <c r="CJ172" s="95" t="str">
        <f>IFERROR(SUMIFS('01. KE30'!$R:$R,'01. KE30'!$C:$C,'06. BC BH THEO CUSTOMER-USD'!$D172,'01. KE30'!$F:$F,'06. BC BH THEO CUSTOMER-USD'!$H172,'01. KE30'!$A:$A,'06. BC BH THEO CUSTOMER-USD'!CJ$4)/CX172/'02. Tỷ giá'!G$5," -")</f>
        <v xml:space="preserve"> -</v>
      </c>
      <c r="CK172" s="95" t="str">
        <f>IFERROR(SUMIFS('01. KE30'!$R:$R,'01. KE30'!$C:$C,'06. BC BH THEO CUSTOMER-USD'!$D172,'01. KE30'!$F:$F,'06. BC BH THEO CUSTOMER-USD'!$H172,'01. KE30'!$A:$A,'06. BC BH THEO CUSTOMER-USD'!CK$4)/CY172/'02. Tỷ giá'!H$5," -")</f>
        <v xml:space="preserve"> -</v>
      </c>
      <c r="CL172" s="95">
        <f>IFERROR(SUMIFS('01. KE30'!$R:$R,'01. KE30'!$C:$C,'06. BC BH THEO CUSTOMER-USD'!$D172,'01. KE30'!$F:$F,'06. BC BH THEO CUSTOMER-USD'!$H172,'01. KE30'!$A:$A,'06. BC BH THEO CUSTOMER-USD'!CL$4)/CZ172/'02. Tỷ giá'!I$5," -")</f>
        <v>321.53478482302012</v>
      </c>
      <c r="CM172" s="95" t="str">
        <f>IFERROR(SUMIFS('01. KE30'!$R:$R,'01. KE30'!$C:$C,'06. BC BH THEO CUSTOMER-USD'!$D172,'01. KE30'!$F:$F,'06. BC BH THEO CUSTOMER-USD'!$H172,'01. KE30'!$A:$A,'06. BC BH THEO CUSTOMER-USD'!CM$4)/DA172/'02. Tỷ giá'!J$5," -")</f>
        <v xml:space="preserve"> -</v>
      </c>
      <c r="CN172" s="95" t="str">
        <f>IFERROR(SUMIFS('01. KE30'!$R:$R,'01. KE30'!$C:$C,'06. BC BH THEO CUSTOMER-USD'!$D172,'01. KE30'!$F:$F,'06. BC BH THEO CUSTOMER-USD'!$H172,'01. KE30'!$A:$A,'06. BC BH THEO CUSTOMER-USD'!CN$4)/DB172/'02. Tỷ giá'!K$5," -")</f>
        <v xml:space="preserve"> -</v>
      </c>
      <c r="CO172" s="95" t="str">
        <f>IFERROR(SUMIFS('01. KE30'!$R:$R,'01. KE30'!$C:$C,'06. BC BH THEO CUSTOMER-USD'!$D172,'01. KE30'!$F:$F,'06. BC BH THEO CUSTOMER-USD'!$H172,'01. KE30'!$A:$A,'06. BC BH THEO CUSTOMER-USD'!CO$4)/DC172/'02. Tỷ giá'!L$5," -")</f>
        <v xml:space="preserve"> -</v>
      </c>
      <c r="CP172" s="95" t="str">
        <f>IFERROR(SUMIFS('01. KE30'!$R:$R,'01. KE30'!$C:$C,'06. BC BH THEO CUSTOMER-USD'!$D172,'01. KE30'!$F:$F,'06. BC BH THEO CUSTOMER-USD'!$H172,'01. KE30'!$A:$A,'06. BC BH THEO CUSTOMER-USD'!CP$4)/DD172/'02. Tỷ giá'!M$5," -")</f>
        <v xml:space="preserve"> -</v>
      </c>
      <c r="CR172" s="112">
        <f t="shared" si="1754"/>
        <v>11</v>
      </c>
      <c r="CS172" s="114">
        <f>SUMIFS('01. KE30'!$I:$I,'01. KE30'!$C:$C,'06. BC BH THEO CUSTOMER-USD'!$D172,'01. KE30'!$F:$F,'06. BC BH THEO CUSTOMER-USD'!$H172,'01. KE30'!$A:$A,'06. BC BH THEO CUSTOMER-USD'!CS$4)/1000</f>
        <v>3</v>
      </c>
      <c r="CT172" s="114">
        <f>SUMIFS('01. KE30'!$I:$I,'01. KE30'!$C:$C,'06. BC BH THEO CUSTOMER-USD'!$D172,'01. KE30'!$F:$F,'06. BC BH THEO CUSTOMER-USD'!$H172,'01. KE30'!$A:$A,'06. BC BH THEO CUSTOMER-USD'!CT$4)/1000</f>
        <v>0</v>
      </c>
      <c r="CU172" s="114">
        <f>SUMIFS('01. KE30'!$I:$I,'01. KE30'!$C:$C,'06. BC BH THEO CUSTOMER-USD'!$D172,'01. KE30'!$F:$F,'06. BC BH THEO CUSTOMER-USD'!$H172,'01. KE30'!$A:$A,'06. BC BH THEO CUSTOMER-USD'!CU$4)/1000</f>
        <v>5</v>
      </c>
      <c r="CV172" s="114">
        <f>SUMIFS('01. KE30'!$I:$I,'01. KE30'!$C:$C,'06. BC BH THEO CUSTOMER-USD'!$D172,'01. KE30'!$F:$F,'06. BC BH THEO CUSTOMER-USD'!$H172,'01. KE30'!$A:$A,'06. BC BH THEO CUSTOMER-USD'!CV$4)/1000</f>
        <v>0</v>
      </c>
      <c r="CW172" s="114">
        <f>SUMIFS('01. KE30'!$I:$I,'01. KE30'!$C:$C,'06. BC BH THEO CUSTOMER-USD'!$D172,'01. KE30'!$F:$F,'06. BC BH THEO CUSTOMER-USD'!$H172,'01. KE30'!$A:$A,'06. BC BH THEO CUSTOMER-USD'!CW$4)/1000</f>
        <v>0</v>
      </c>
      <c r="CX172" s="114">
        <f>SUMIFS('01. KE30'!$I:$I,'01. KE30'!$C:$C,'06. BC BH THEO CUSTOMER-USD'!$D172,'01. KE30'!$F:$F,'06. BC BH THEO CUSTOMER-USD'!$H172,'01. KE30'!$A:$A,'06. BC BH THEO CUSTOMER-USD'!CX$4)/1000</f>
        <v>0</v>
      </c>
      <c r="CY172" s="114">
        <f>SUMIFS('01. KE30'!$I:$I,'01. KE30'!$C:$C,'06. BC BH THEO CUSTOMER-USD'!$D172,'01. KE30'!$F:$F,'06. BC BH THEO CUSTOMER-USD'!$H172,'01. KE30'!$A:$A,'06. BC BH THEO CUSTOMER-USD'!CY$4)/1000</f>
        <v>0</v>
      </c>
      <c r="CZ172" s="114">
        <f>SUMIFS('01. KE30'!$I:$I,'01. KE30'!$C:$C,'06. BC BH THEO CUSTOMER-USD'!$D172,'01. KE30'!$F:$F,'06. BC BH THEO CUSTOMER-USD'!$H172,'01. KE30'!$A:$A,'06. BC BH THEO CUSTOMER-USD'!CZ$4)/1000</f>
        <v>3</v>
      </c>
      <c r="DA172" s="114">
        <f>SUMIFS('01. KE30'!$I:$I,'01. KE30'!$C:$C,'06. BC BH THEO CUSTOMER-USD'!$D172,'01. KE30'!$F:$F,'06. BC BH THEO CUSTOMER-USD'!$H172,'01. KE30'!$A:$A,'06. BC BH THEO CUSTOMER-USD'!DA$4)/1000</f>
        <v>0</v>
      </c>
      <c r="DB172" s="114">
        <f>SUMIFS('01. KE30'!$I:$I,'01. KE30'!$C:$C,'06. BC BH THEO CUSTOMER-USD'!$D172,'01. KE30'!$F:$F,'06. BC BH THEO CUSTOMER-USD'!$H172,'01. KE30'!$A:$A,'06. BC BH THEO CUSTOMER-USD'!DB$4)/1000</f>
        <v>0</v>
      </c>
      <c r="DC172" s="114">
        <f>SUMIFS('01. KE30'!$I:$I,'01. KE30'!$C:$C,'06. BC BH THEO CUSTOMER-USD'!$D172,'01. KE30'!$F:$F,'06. BC BH THEO CUSTOMER-USD'!$H172,'01. KE30'!$A:$A,'06. BC BH THEO CUSTOMER-USD'!DC$4)/1000</f>
        <v>0</v>
      </c>
      <c r="DD172" s="114">
        <f>SUMIFS('01. KE30'!$I:$I,'01. KE30'!$C:$C,'06. BC BH THEO CUSTOMER-USD'!$D172,'01. KE30'!$F:$F,'06. BC BH THEO CUSTOMER-USD'!$H172,'01. KE30'!$A:$A,'06. BC BH THEO CUSTOMER-USD'!DD$4)/1000</f>
        <v>0</v>
      </c>
      <c r="DF172" s="112">
        <f t="shared" ref="DF172" si="2016">SUM(DG172:DR172)</f>
        <v>11715.935891674129</v>
      </c>
      <c r="DG172" s="54">
        <f t="shared" ref="DG172" si="2017">IFERROR(M172*CS172,"-")</f>
        <v>3229.4259333600962</v>
      </c>
      <c r="DH172" s="54" t="str">
        <f t="shared" ref="DH172" si="2018">IFERROR(N172*CT172,"-")</f>
        <v>-</v>
      </c>
      <c r="DI172" s="54">
        <f t="shared" ref="DI172" si="2019">IFERROR(O172*CU172,"-")</f>
        <v>5310.0393700787399</v>
      </c>
      <c r="DJ172" s="54" t="str">
        <f t="shared" ref="DJ172" si="2020">IFERROR(P172*CV172,"-")</f>
        <v>-</v>
      </c>
      <c r="DK172" s="54" t="str">
        <f t="shared" ref="DK172" si="2021">IFERROR(Q172*CW172,"-")</f>
        <v>-</v>
      </c>
      <c r="DL172" s="54" t="str">
        <f t="shared" ref="DL172" si="2022">IFERROR(R172*CX172,"-")</f>
        <v>-</v>
      </c>
      <c r="DM172" s="54" t="str">
        <f t="shared" ref="DM172" si="2023">IFERROR(S172*CY172,"-")</f>
        <v>-</v>
      </c>
      <c r="DN172" s="54">
        <f t="shared" ref="DN172" si="2024">IFERROR(T172*CZ172,"-")</f>
        <v>3176.4705882352937</v>
      </c>
      <c r="DO172" s="54" t="str">
        <f t="shared" ref="DO172" si="2025">IFERROR(U172*DA172,"-")</f>
        <v>-</v>
      </c>
      <c r="DP172" s="54" t="str">
        <f t="shared" ref="DP172" si="2026">IFERROR(V172*DB172,"-")</f>
        <v>-</v>
      </c>
      <c r="DQ172" s="54" t="str">
        <f t="shared" ref="DQ172" si="2027">IFERROR(W172*DC172,"-")</f>
        <v>-</v>
      </c>
      <c r="DR172" s="54" t="str">
        <f t="shared" ref="DR172" si="2028">IFERROR(X172*DD172,"-")</f>
        <v>-</v>
      </c>
      <c r="DT172" s="112">
        <f t="shared" ref="DT172" si="2029">SUM(DU172:EF172)</f>
        <v>8129.4132865736628</v>
      </c>
      <c r="DU172" s="114">
        <f>IFERROR(SUMIFS('01. KE30'!$X:$X,'01. KE30'!$C:$C,'06. BC BH THEO CUSTOMER-USD'!$D172,'01. KE30'!$F:$F,'06. BC BH THEO CUSTOMER-USD'!$H172,'01. KE30'!$A:$A,'06. BC BH THEO CUSTOMER-USD'!DU$4)-SUMIFS('01. KE30'!$AA:$AA,'01. KE30'!$C:$C,'06. BC BH THEO CUSTOMER-USD'!$D172,'01. KE30'!$F:$F,'06. BC BH THEO CUSTOMER-USD'!$H172,'01. KE30'!$A:$A,'06. BC BH THEO CUSTOMER-USD'!DU$4),"-")</f>
        <v>2235.2900843034922</v>
      </c>
      <c r="DV172" s="114">
        <f>IFERROR(SUMIFS('01. KE30'!$X:$X,'01. KE30'!$C:$C,'06. BC BH THEO CUSTOMER-USD'!$D172,'01. KE30'!$F:$F,'06. BC BH THEO CUSTOMER-USD'!$H172,'01. KE30'!$A:$A,'06. BC BH THEO CUSTOMER-USD'!DV$4)-SUMIFS('01. KE30'!$AA:$AA,'01. KE30'!$C:$C,'06. BC BH THEO CUSTOMER-USD'!$D172,'01. KE30'!$F:$F,'06. BC BH THEO CUSTOMER-USD'!$H172,'01. KE30'!$A:$A,'06. BC BH THEO CUSTOMER-USD'!DV$4),"-")</f>
        <v>0</v>
      </c>
      <c r="DW172" s="114">
        <f>IFERROR(SUMIFS('01. KE30'!$X:$X,'01. KE30'!$C:$C,'06. BC BH THEO CUSTOMER-USD'!$D172,'01. KE30'!$F:$F,'06. BC BH THEO CUSTOMER-USD'!$H172,'01. KE30'!$A:$A,'06. BC BH THEO CUSTOMER-USD'!DW$4)-SUMIFS('01. KE30'!$AA:$AA,'01. KE30'!$C:$C,'06. BC BH THEO CUSTOMER-USD'!$D172,'01. KE30'!$F:$F,'06. BC BH THEO CUSTOMER-USD'!$H172,'01. KE30'!$A:$A,'06. BC BH THEO CUSTOMER-USD'!DW$4),"-")</f>
        <v>3682.2569685039371</v>
      </c>
      <c r="DX172" s="114">
        <f>IFERROR(SUMIFS('01. KE30'!$X:$X,'01. KE30'!$C:$C,'06. BC BH THEO CUSTOMER-USD'!$D172,'01. KE30'!$F:$F,'06. BC BH THEO CUSTOMER-USD'!$H172,'01. KE30'!$A:$A,'06. BC BH THEO CUSTOMER-USD'!DX$4)-SUMIFS('01. KE30'!$AA:$AA,'01. KE30'!$C:$C,'06. BC BH THEO CUSTOMER-USD'!$D172,'01. KE30'!$F:$F,'06. BC BH THEO CUSTOMER-USD'!$H172,'01. KE30'!$A:$A,'06. BC BH THEO CUSTOMER-USD'!DX$4),"-")</f>
        <v>0</v>
      </c>
      <c r="DY172" s="114">
        <f>IFERROR(SUMIFS('01. KE30'!$X:$X,'01. KE30'!$C:$C,'06. BC BH THEO CUSTOMER-USD'!$D172,'01. KE30'!$F:$F,'06. BC BH THEO CUSTOMER-USD'!$H172,'01. KE30'!$A:$A,'06. BC BH THEO CUSTOMER-USD'!DY$4)-SUMIFS('01. KE30'!$AA:$AA,'01. KE30'!$C:$C,'06. BC BH THEO CUSTOMER-USD'!$D172,'01. KE30'!$F:$F,'06. BC BH THEO CUSTOMER-USD'!$H172,'01. KE30'!$A:$A,'06. BC BH THEO CUSTOMER-USD'!DY$4),"-")</f>
        <v>0</v>
      </c>
      <c r="DZ172" s="114">
        <f>IFERROR(SUMIFS('01. KE30'!$X:$X,'01. KE30'!$C:$C,'06. BC BH THEO CUSTOMER-USD'!$D172,'01. KE30'!$F:$F,'06. BC BH THEO CUSTOMER-USD'!$H172,'01. KE30'!$A:$A,'06. BC BH THEO CUSTOMER-USD'!DZ$4)-SUMIFS('01. KE30'!$AA:$AA,'01. KE30'!$C:$C,'06. BC BH THEO CUSTOMER-USD'!$D172,'01. KE30'!$F:$F,'06. BC BH THEO CUSTOMER-USD'!$H172,'01. KE30'!$A:$A,'06. BC BH THEO CUSTOMER-USD'!DZ$4),"-")</f>
        <v>0</v>
      </c>
      <c r="EA172" s="114">
        <f>IFERROR(SUMIFS('01. KE30'!$X:$X,'01. KE30'!$C:$C,'06. BC BH THEO CUSTOMER-USD'!$D172,'01. KE30'!$F:$F,'06. BC BH THEO CUSTOMER-USD'!$H172,'01. KE30'!$A:$A,'06. BC BH THEO CUSTOMER-USD'!EA$4)-SUMIFS('01. KE30'!$AA:$AA,'01. KE30'!$C:$C,'06. BC BH THEO CUSTOMER-USD'!$D172,'01. KE30'!$F:$F,'06. BC BH THEO CUSTOMER-USD'!$H172,'01. KE30'!$A:$A,'06. BC BH THEO CUSTOMER-USD'!EA$4),"-")</f>
        <v>0</v>
      </c>
      <c r="EB172" s="114">
        <f>IFERROR(SUMIFS('01. KE30'!$X:$X,'01. KE30'!$C:$C,'06. BC BH THEO CUSTOMER-USD'!$D172,'01. KE30'!$F:$F,'06. BC BH THEO CUSTOMER-USD'!$H172,'01. KE30'!$A:$A,'06. BC BH THEO CUSTOMER-USD'!EB$4)-SUMIFS('01. KE30'!$AA:$AA,'01. KE30'!$C:$C,'06. BC BH THEO CUSTOMER-USD'!$D172,'01. KE30'!$F:$F,'06. BC BH THEO CUSTOMER-USD'!$H172,'01. KE30'!$A:$A,'06. BC BH THEO CUSTOMER-USD'!EB$4),"-")</f>
        <v>2211.8662337662336</v>
      </c>
      <c r="EC172" s="114">
        <f>IFERROR(SUMIFS('01. KE30'!$X:$X,'01. KE30'!$C:$C,'06. BC BH THEO CUSTOMER-USD'!$D172,'01. KE30'!$F:$F,'06. BC BH THEO CUSTOMER-USD'!$H172,'01. KE30'!$A:$A,'06. BC BH THEO CUSTOMER-USD'!EC$4)-SUMIFS('01. KE30'!$AA:$AA,'01. KE30'!$C:$C,'06. BC BH THEO CUSTOMER-USD'!$D172,'01. KE30'!$F:$F,'06. BC BH THEO CUSTOMER-USD'!$H172,'01. KE30'!$A:$A,'06. BC BH THEO CUSTOMER-USD'!EC$4),"-")</f>
        <v>0</v>
      </c>
      <c r="ED172" s="114">
        <f>IFERROR(SUMIFS('01. KE30'!$X:$X,'01. KE30'!$C:$C,'06. BC BH THEO CUSTOMER-USD'!$D172,'01. KE30'!$F:$F,'06. BC BH THEO CUSTOMER-USD'!$H172,'01. KE30'!$A:$A,'06. BC BH THEO CUSTOMER-USD'!ED$4)-SUMIFS('01. KE30'!$AA:$AA,'01. KE30'!$C:$C,'06. BC BH THEO CUSTOMER-USD'!$D172,'01. KE30'!$F:$F,'06. BC BH THEO CUSTOMER-USD'!$H172,'01. KE30'!$A:$A,'06. BC BH THEO CUSTOMER-USD'!ED$4),"-")</f>
        <v>0</v>
      </c>
      <c r="EE172" s="114">
        <f>IFERROR(SUMIFS('01. KE30'!$X:$X,'01. KE30'!$C:$C,'06. BC BH THEO CUSTOMER-USD'!$D172,'01. KE30'!$F:$F,'06. BC BH THEO CUSTOMER-USD'!$H172,'01. KE30'!$A:$A,'06. BC BH THEO CUSTOMER-USD'!EE$4)-SUMIFS('01. KE30'!$AA:$AA,'01. KE30'!$C:$C,'06. BC BH THEO CUSTOMER-USD'!$D172,'01. KE30'!$F:$F,'06. BC BH THEO CUSTOMER-USD'!$H172,'01. KE30'!$A:$A,'06. BC BH THEO CUSTOMER-USD'!EE$4),"-")</f>
        <v>0</v>
      </c>
      <c r="EF172" s="114">
        <f>IFERROR(SUMIFS('01. KE30'!$X:$X,'01. KE30'!$C:$C,'06. BC BH THEO CUSTOMER-USD'!$D172,'01. KE30'!$F:$F,'06. BC BH THEO CUSTOMER-USD'!$H172,'01. KE30'!$A:$A,'06. BC BH THEO CUSTOMER-USD'!EF$4)-SUMIFS('01. KE30'!$AA:$AA,'01. KE30'!$C:$C,'06. BC BH THEO CUSTOMER-USD'!$D172,'01. KE30'!$F:$F,'06. BC BH THEO CUSTOMER-USD'!$H172,'01. KE30'!$A:$A,'06. BC BH THEO CUSTOMER-USD'!EF$4),"-")</f>
        <v>0</v>
      </c>
      <c r="EH172" s="571">
        <f t="shared" si="1737"/>
        <v>0.69387655939213433</v>
      </c>
      <c r="EI172" s="572">
        <f t="shared" si="1738"/>
        <v>0.69216329168997448</v>
      </c>
      <c r="EJ172" s="572" t="str">
        <f t="shared" si="1739"/>
        <v>-</v>
      </c>
      <c r="EK172" s="572">
        <f t="shared" si="1740"/>
        <v>0.69345191473586654</v>
      </c>
      <c r="EL172" s="572" t="str">
        <f t="shared" si="1741"/>
        <v>-</v>
      </c>
      <c r="EM172" s="572" t="str">
        <f t="shared" si="1742"/>
        <v>-</v>
      </c>
      <c r="EN172" s="572" t="str">
        <f t="shared" si="1743"/>
        <v>-</v>
      </c>
      <c r="EO172" s="572" t="str">
        <f t="shared" si="1744"/>
        <v>-</v>
      </c>
      <c r="EP172" s="572">
        <f t="shared" si="1745"/>
        <v>0.69632825877825877</v>
      </c>
      <c r="EQ172" s="572" t="str">
        <f t="shared" si="1746"/>
        <v>-</v>
      </c>
      <c r="ER172" s="572" t="str">
        <f t="shared" si="1747"/>
        <v>-</v>
      </c>
      <c r="ES172" s="572" t="str">
        <f t="shared" si="1748"/>
        <v>-</v>
      </c>
      <c r="ET172" s="572" t="str">
        <f t="shared" si="1749"/>
        <v>-</v>
      </c>
    </row>
    <row r="173" spans="1:150" s="14" customFormat="1" ht="15" hidden="1" collapsed="1" x14ac:dyDescent="0.3">
      <c r="A173" s="58" t="s">
        <v>268</v>
      </c>
      <c r="B173" s="474"/>
      <c r="C173" s="59"/>
      <c r="D173" s="59"/>
      <c r="E173" s="60" t="s">
        <v>267</v>
      </c>
      <c r="F173" s="60"/>
      <c r="G173" s="60"/>
      <c r="H173" s="61"/>
      <c r="I173" s="61"/>
      <c r="J173" s="16"/>
      <c r="K173" s="60"/>
      <c r="L173" s="145">
        <f>IFERROR(AVERAGE(L174:L206),"-")</f>
        <v>614.24036056799787</v>
      </c>
      <c r="M173" s="145">
        <f t="shared" ref="M173:X173" si="2030">IFERROR(AVERAGE(M174:M206),"-")</f>
        <v>631.90448615014043</v>
      </c>
      <c r="N173" s="145">
        <f t="shared" si="2030"/>
        <v>640.62355863907669</v>
      </c>
      <c r="O173" s="145">
        <f t="shared" si="2030"/>
        <v>637.06618171081175</v>
      </c>
      <c r="P173" s="145">
        <f t="shared" si="2030"/>
        <v>595.48563232724825</v>
      </c>
      <c r="Q173" s="145">
        <f t="shared" si="2030"/>
        <v>626.94451803043842</v>
      </c>
      <c r="R173" s="145">
        <f t="shared" si="2030"/>
        <v>601.20884704769253</v>
      </c>
      <c r="S173" s="145">
        <f t="shared" si="2030"/>
        <v>616.67923080206594</v>
      </c>
      <c r="T173" s="145">
        <f t="shared" si="2030"/>
        <v>592.97431101907466</v>
      </c>
      <c r="U173" s="145">
        <f t="shared" si="2030"/>
        <v>587.87561507851262</v>
      </c>
      <c r="V173" s="145" t="str">
        <f t="shared" si="2030"/>
        <v>-</v>
      </c>
      <c r="W173" s="145" t="str">
        <f t="shared" si="2030"/>
        <v>-</v>
      </c>
      <c r="X173" s="145" t="str">
        <f t="shared" si="2030"/>
        <v>-</v>
      </c>
      <c r="Z173" s="71">
        <f>IFERROR(AVERAGE(Z174:Z206),0)</f>
        <v>607.11986444567049</v>
      </c>
      <c r="AA173" s="71">
        <f>IFERROR(AVERAGE(AA174:AA206),"-")</f>
        <v>631.90448615014043</v>
      </c>
      <c r="AB173" s="71">
        <f t="shared" ref="AB173:AL173" si="2031">IFERROR(AVERAGE(AB174:AB206),"-")</f>
        <v>640.62355863907669</v>
      </c>
      <c r="AC173" s="71">
        <f t="shared" si="2031"/>
        <v>615.85545519725292</v>
      </c>
      <c r="AD173" s="71">
        <f t="shared" si="2031"/>
        <v>592.82399856805341</v>
      </c>
      <c r="AE173" s="71">
        <f t="shared" si="2031"/>
        <v>612.24432240694534</v>
      </c>
      <c r="AF173" s="71">
        <f t="shared" si="2031"/>
        <v>594.77880589542917</v>
      </c>
      <c r="AG173" s="71">
        <f t="shared" si="2031"/>
        <v>616.67923080206594</v>
      </c>
      <c r="AH173" s="71">
        <f t="shared" si="2031"/>
        <v>584.48606723671344</v>
      </c>
      <c r="AI173" s="71">
        <f t="shared" si="2031"/>
        <v>587.87561507851262</v>
      </c>
      <c r="AJ173" s="71" t="str">
        <f t="shared" si="2031"/>
        <v>-</v>
      </c>
      <c r="AK173" s="71" t="str">
        <f t="shared" si="2031"/>
        <v>-</v>
      </c>
      <c r="AL173" s="71" t="str">
        <f t="shared" si="2031"/>
        <v>-</v>
      </c>
      <c r="AN173" s="71">
        <f>IFERROR(AVERAGE(AN174:AN206),0)</f>
        <v>739.34343434343384</v>
      </c>
      <c r="AO173" s="71">
        <f t="shared" ref="AO173:AZ173" si="2032">IFERROR(AVERAGE(AO174:AO206),0)</f>
        <v>844.09090909090912</v>
      </c>
      <c r="AP173" s="71">
        <f t="shared" si="2032"/>
        <v>750</v>
      </c>
      <c r="AQ173" s="71">
        <f t="shared" si="2032"/>
        <v>750</v>
      </c>
      <c r="AR173" s="71">
        <f t="shared" si="2032"/>
        <v>750</v>
      </c>
      <c r="AS173" s="71">
        <f t="shared" si="2032"/>
        <v>720</v>
      </c>
      <c r="AT173" s="71">
        <f t="shared" si="2032"/>
        <v>720</v>
      </c>
      <c r="AU173" s="71">
        <f t="shared" si="2032"/>
        <v>720</v>
      </c>
      <c r="AV173" s="71">
        <f t="shared" si="2032"/>
        <v>700</v>
      </c>
      <c r="AW173" s="71">
        <f t="shared" si="2032"/>
        <v>700</v>
      </c>
      <c r="AX173" s="71">
        <f t="shared" si="2032"/>
        <v>0</v>
      </c>
      <c r="AY173" s="71">
        <f t="shared" si="2032"/>
        <v>0</v>
      </c>
      <c r="AZ173" s="71">
        <f t="shared" si="2032"/>
        <v>0</v>
      </c>
      <c r="BA173" s="71">
        <f>IFERROR(AVERAGE(BA174:BA245),0)</f>
        <v>0</v>
      </c>
      <c r="BB173" s="96">
        <f t="shared" si="637"/>
        <v>-132.22356989776335</v>
      </c>
      <c r="BC173" s="96">
        <f t="shared" si="1333"/>
        <v>-212.18642294076869</v>
      </c>
      <c r="BD173" s="96">
        <f t="shared" si="1718"/>
        <v>-109.37644136092331</v>
      </c>
      <c r="BE173" s="96">
        <f t="shared" si="1718"/>
        <v>-134.14454480274708</v>
      </c>
      <c r="BF173" s="96">
        <f t="shared" si="1718"/>
        <v>-157.17600143194659</v>
      </c>
      <c r="BG173" s="96">
        <f t="shared" si="1718"/>
        <v>-107.75567759305466</v>
      </c>
      <c r="BH173" s="96">
        <f t="shared" si="1718"/>
        <v>-125.22119410457083</v>
      </c>
      <c r="BI173" s="96">
        <f t="shared" si="1718"/>
        <v>-103.32076919793406</v>
      </c>
      <c r="BJ173" s="96">
        <f t="shared" si="1718"/>
        <v>-115.51393276328656</v>
      </c>
      <c r="BK173" s="96">
        <f t="shared" si="1718"/>
        <v>-112.12438492148738</v>
      </c>
      <c r="BL173" s="96" t="str">
        <f t="shared" si="1718"/>
        <v>-</v>
      </c>
      <c r="BM173" s="96" t="str">
        <f t="shared" si="1718"/>
        <v>-</v>
      </c>
      <c r="BN173" s="96" t="str">
        <f t="shared" si="1718"/>
        <v>-</v>
      </c>
      <c r="BP173" s="142">
        <f t="shared" si="639"/>
        <v>-0.17883917507860619</v>
      </c>
      <c r="BQ173" s="142">
        <f t="shared" si="1331"/>
        <v>-0.25137863784043679</v>
      </c>
      <c r="BR173" s="142">
        <f t="shared" si="518"/>
        <v>-0.14583525514789775</v>
      </c>
      <c r="BS173" s="142">
        <f t="shared" si="519"/>
        <v>-0.17885939307032944</v>
      </c>
      <c r="BT173" s="142">
        <f t="shared" si="520"/>
        <v>-0.20956800190926211</v>
      </c>
      <c r="BU173" s="142">
        <f t="shared" si="521"/>
        <v>-0.14966066332368702</v>
      </c>
      <c r="BV173" s="142">
        <f t="shared" si="522"/>
        <v>-0.17391832514523725</v>
      </c>
      <c r="BW173" s="142">
        <f t="shared" si="523"/>
        <v>-0.14350106833046397</v>
      </c>
      <c r="BX173" s="142">
        <f t="shared" si="524"/>
        <v>-0.16501990394755223</v>
      </c>
      <c r="BY173" s="142">
        <f t="shared" si="525"/>
        <v>-0.16017769274498198</v>
      </c>
      <c r="BZ173" s="142" t="str">
        <f t="shared" si="526"/>
        <v>-</v>
      </c>
      <c r="CA173" s="142" t="str">
        <f t="shared" si="527"/>
        <v>-</v>
      </c>
      <c r="CB173" s="142" t="str">
        <f t="shared" si="528"/>
        <v>-</v>
      </c>
      <c r="CD173" s="113">
        <f>IFERROR(AVERAGE(CD174:CD206),0)</f>
        <v>950.09523113265368</v>
      </c>
      <c r="CE173" s="113">
        <f t="shared" ref="CE173:CP173" si="2033">SUM(CE174:CE206)</f>
        <v>2099.692807440118</v>
      </c>
      <c r="CF173" s="113">
        <f t="shared" si="2033"/>
        <v>9046.6475091142293</v>
      </c>
      <c r="CG173" s="113">
        <f t="shared" si="2033"/>
        <v>10874.929496111114</v>
      </c>
      <c r="CH173" s="113">
        <f t="shared" si="2033"/>
        <v>15301.700636641286</v>
      </c>
      <c r="CI173" s="113">
        <f t="shared" si="2033"/>
        <v>7767.2825647565987</v>
      </c>
      <c r="CJ173" s="113">
        <f t="shared" si="2033"/>
        <v>5584.3595417217812</v>
      </c>
      <c r="CK173" s="113">
        <f t="shared" si="2033"/>
        <v>3507.9510853776778</v>
      </c>
      <c r="CL173" s="113">
        <f t="shared" si="2033"/>
        <v>8190.5525333942651</v>
      </c>
      <c r="CM173" s="113">
        <f t="shared" si="2033"/>
        <v>6532.2232613334645</v>
      </c>
      <c r="CN173" s="113">
        <f t="shared" si="2033"/>
        <v>0</v>
      </c>
      <c r="CO173" s="113">
        <f t="shared" si="2033"/>
        <v>0</v>
      </c>
      <c r="CP173" s="113">
        <f t="shared" si="2033"/>
        <v>0</v>
      </c>
      <c r="CR173" s="115">
        <f>SUM(CR174:CR206)</f>
        <v>674.2999999999995</v>
      </c>
      <c r="CS173" s="115">
        <f t="shared" ref="CS173:DD173" si="2034">SUM(CS174:CS206)</f>
        <v>7.5</v>
      </c>
      <c r="CT173" s="115">
        <f t="shared" si="2034"/>
        <v>16.5</v>
      </c>
      <c r="CU173" s="115">
        <f t="shared" si="2034"/>
        <v>76.549999999999983</v>
      </c>
      <c r="CV173" s="115">
        <f t="shared" si="2034"/>
        <v>57.224999999999987</v>
      </c>
      <c r="CW173" s="115">
        <f t="shared" si="2034"/>
        <v>94.5</v>
      </c>
      <c r="CX173" s="115">
        <f t="shared" si="2034"/>
        <v>82</v>
      </c>
      <c r="CY173" s="115">
        <f t="shared" si="2034"/>
        <v>27.75</v>
      </c>
      <c r="CZ173" s="115">
        <f t="shared" si="2034"/>
        <v>52.024999999999999</v>
      </c>
      <c r="DA173" s="115">
        <f t="shared" si="2034"/>
        <v>260.25</v>
      </c>
      <c r="DB173" s="115">
        <f t="shared" si="2034"/>
        <v>0</v>
      </c>
      <c r="DC173" s="115">
        <f t="shared" si="2034"/>
        <v>0</v>
      </c>
      <c r="DD173" s="115">
        <f t="shared" si="2034"/>
        <v>0</v>
      </c>
      <c r="DF173" s="115">
        <f>SUM(DF174:DF206)</f>
        <v>399209.95391189191</v>
      </c>
      <c r="DG173" s="115">
        <f t="shared" ref="DG173:EF173" si="2035">SUM(DG174:DG206)</f>
        <v>4739.2836611802486</v>
      </c>
      <c r="DH173" s="115">
        <f t="shared" si="2035"/>
        <v>10368.802244978338</v>
      </c>
      <c r="DI173" s="115">
        <f t="shared" si="2035"/>
        <v>46430.628464566922</v>
      </c>
      <c r="DJ173" s="115">
        <f t="shared" si="2035"/>
        <v>34779.362330623313</v>
      </c>
      <c r="DK173" s="115">
        <f t="shared" si="2035"/>
        <v>59815.459280742463</v>
      </c>
      <c r="DL173" s="115">
        <f t="shared" si="2035"/>
        <v>46986.096720679008</v>
      </c>
      <c r="DM173" s="115">
        <f t="shared" si="2035"/>
        <v>17288.918747598924</v>
      </c>
      <c r="DN173" s="115">
        <f t="shared" si="2035"/>
        <v>31745.465928189453</v>
      </c>
      <c r="DO173" s="115">
        <f t="shared" si="2035"/>
        <v>147055.9365333333</v>
      </c>
      <c r="DP173" s="115">
        <f t="shared" si="2035"/>
        <v>0</v>
      </c>
      <c r="DQ173" s="115">
        <f t="shared" si="2035"/>
        <v>0</v>
      </c>
      <c r="DR173" s="115">
        <f t="shared" si="2035"/>
        <v>0</v>
      </c>
      <c r="DT173" s="115">
        <f t="shared" si="2035"/>
        <v>-263030.43008753628</v>
      </c>
      <c r="DU173" s="115">
        <f t="shared" si="2035"/>
        <v>-3397.4830991569656</v>
      </c>
      <c r="DV173" s="115">
        <f t="shared" si="2035"/>
        <v>-7314.2426939740053</v>
      </c>
      <c r="DW173" s="115">
        <f t="shared" si="2035"/>
        <v>-31979.719142607169</v>
      </c>
      <c r="DX173" s="115">
        <f t="shared" si="2035"/>
        <v>-23987.036082075105</v>
      </c>
      <c r="DY173" s="115">
        <f t="shared" si="2035"/>
        <v>-33730.228074245941</v>
      </c>
      <c r="DZ173" s="115">
        <f t="shared" si="2035"/>
        <v>-27894.083371913581</v>
      </c>
      <c r="EA173" s="115">
        <f t="shared" si="2035"/>
        <v>-6257.7370726085273</v>
      </c>
      <c r="EB173" s="115">
        <f t="shared" si="2035"/>
        <v>-12130.378036669212</v>
      </c>
      <c r="EC173" s="115">
        <f t="shared" si="2035"/>
        <v>-116339.52251428572</v>
      </c>
      <c r="ED173" s="115">
        <f t="shared" si="2035"/>
        <v>0</v>
      </c>
      <c r="EE173" s="115">
        <f t="shared" si="2035"/>
        <v>0</v>
      </c>
      <c r="EF173" s="115">
        <f t="shared" si="2035"/>
        <v>0</v>
      </c>
      <c r="EH173" s="574">
        <f t="shared" si="1737"/>
        <v>-0.65887743406715937</v>
      </c>
      <c r="EI173" s="574">
        <f t="shared" si="1738"/>
        <v>-0.71687692530116942</v>
      </c>
      <c r="EJ173" s="574">
        <f t="shared" si="1739"/>
        <v>-0.70540864037756423</v>
      </c>
      <c r="EK173" s="574">
        <f t="shared" si="1740"/>
        <v>-0.68876343483078584</v>
      </c>
      <c r="EL173" s="574">
        <f t="shared" si="1741"/>
        <v>-0.68969165834746948</v>
      </c>
      <c r="EM173" s="574">
        <f t="shared" si="1742"/>
        <v>-0.56390485803902135</v>
      </c>
      <c r="EN173" s="574">
        <f t="shared" si="1743"/>
        <v>-0.5936667507781539</v>
      </c>
      <c r="EO173" s="574">
        <f t="shared" si="1744"/>
        <v>-0.36195074798865595</v>
      </c>
      <c r="EP173" s="574">
        <f t="shared" si="1745"/>
        <v>-0.38211371866801408</v>
      </c>
      <c r="EQ173" s="574">
        <f t="shared" si="1746"/>
        <v>-0.79112428411154245</v>
      </c>
      <c r="ER173" s="574" t="str">
        <f t="shared" si="1747"/>
        <v>-</v>
      </c>
      <c r="ES173" s="574" t="str">
        <f t="shared" si="1748"/>
        <v>-</v>
      </c>
      <c r="ET173" s="574" t="str">
        <f t="shared" si="1749"/>
        <v>-</v>
      </c>
    </row>
    <row r="174" spans="1:150" ht="15.5" hidden="1" outlineLevel="1" x14ac:dyDescent="0.35">
      <c r="A174" s="10">
        <v>1</v>
      </c>
      <c r="B174" s="10" t="s">
        <v>295</v>
      </c>
      <c r="C174" s="442" t="s">
        <v>489</v>
      </c>
      <c r="D174" s="9" t="s">
        <v>456</v>
      </c>
      <c r="E174" s="22" t="s">
        <v>457</v>
      </c>
      <c r="F174" s="12" t="s">
        <v>245</v>
      </c>
      <c r="G174" s="12" t="str">
        <f>_xlfn.XLOOKUP(F174,'Quy đổi'!$G$5:$G$32,'Quy đổi'!$H$5:$H$32,0)</f>
        <v>Nội địa</v>
      </c>
      <c r="H174" s="81" t="s">
        <v>39</v>
      </c>
      <c r="I174" s="7" t="s">
        <v>38</v>
      </c>
      <c r="J174" s="13" t="s">
        <v>22</v>
      </c>
      <c r="K174" s="21"/>
      <c r="L174" s="92">
        <f t="shared" si="1263"/>
        <v>604.10438145963519</v>
      </c>
      <c r="M174" s="106">
        <f>IFERROR(SUMIFS('01. KE30'!$K:$K,'01. KE30'!$C:$C,'06. BC BH THEO CUSTOMER-USD'!$D174,'01. KE30'!$F:$F,'06. BC BH THEO CUSTOMER-USD'!$H174,'01. KE30'!$A:$A,'06. BC BH THEO CUSTOMER-USD'!M$4)/'06. BC BH THEO CUSTOMER-USD'!CS174/'02. Tỷ giá'!B$5,"-")</f>
        <v>631.9044828047638</v>
      </c>
      <c r="N174" s="106">
        <f>IFERROR(SUMIFS('01. KE30'!$K:$K,'01. KE30'!$C:$C,'06. BC BH THEO CUSTOMER-USD'!$D174,'01. KE30'!$F:$F,'06. BC BH THEO CUSTOMER-USD'!$H174,'01. KE30'!$A:$A,'06. BC BH THEO CUSTOMER-USD'!N$4)/'06. BC BH THEO CUSTOMER-USD'!CT174/'02. Tỷ giá'!C$5,"-")</f>
        <v>619.95827753708807</v>
      </c>
      <c r="O174" s="106">
        <f>IFERROR(SUMIFS('01. KE30'!$K:$K,'01. KE30'!$C:$C,'06. BC BH THEO CUSTOMER-USD'!$D174,'01. KE30'!$F:$F,'06. BC BH THEO CUSTOMER-USD'!$H174,'01. KE30'!$A:$A,'06. BC BH THEO CUSTOMER-USD'!O$4)/'06. BC BH THEO CUSTOMER-USD'!CU174/'02. Tỷ giá'!D$5,"-")</f>
        <v>619.71420472440946</v>
      </c>
      <c r="P174" s="106">
        <f>IFERROR(SUMIFS('01. KE30'!$K:$K,'01. KE30'!$C:$C,'06. BC BH THEO CUSTOMER-USD'!$D174,'01. KE30'!$F:$F,'06. BC BH THEO CUSTOMER-USD'!$H174,'01. KE30'!$A:$A,'06. BC BH THEO CUSTOMER-USD'!P$4)/'06. BC BH THEO CUSTOMER-USD'!CV174/'02. Tỷ giá'!E$5,"-")</f>
        <v>594.01470363421583</v>
      </c>
      <c r="Q174" s="106">
        <f>IFERROR(SUMIFS('01. KE30'!$K:$K,'01. KE30'!$C:$C,'06. BC BH THEO CUSTOMER-USD'!$D174,'01. KE30'!$F:$F,'06. BC BH THEO CUSTOMER-USD'!$H174,'01. KE30'!$A:$A,'06. BC BH THEO CUSTOMER-USD'!Q$4)/'06. BC BH THEO CUSTOMER-USD'!CW174/'02. Tỷ giá'!F$5,"-")</f>
        <v>580.04640371229698</v>
      </c>
      <c r="R174" s="106" t="str">
        <f>IFERROR(SUMIFS('01. KE30'!$K:$K,'01. KE30'!$C:$C,'06. BC BH THEO CUSTOMER-USD'!$D174,'01. KE30'!$F:$F,'06. BC BH THEO CUSTOMER-USD'!$H174,'01. KE30'!$A:$A,'06. BC BH THEO CUSTOMER-USD'!R$4)/'06. BC BH THEO CUSTOMER-USD'!CX174/'02. Tỷ giá'!G$5,"-")</f>
        <v>-</v>
      </c>
      <c r="S174" s="106" t="str">
        <f>IFERROR(SUMIFS('01. KE30'!$K:$K,'01. KE30'!$C:$C,'06. BC BH THEO CUSTOMER-USD'!$D174,'01. KE30'!$F:$F,'06. BC BH THEO CUSTOMER-USD'!$H174,'01. KE30'!$A:$A,'06. BC BH THEO CUSTOMER-USD'!S$4)/'06. BC BH THEO CUSTOMER-USD'!CY174/'02. Tỷ giá'!H$5,"-")</f>
        <v>-</v>
      </c>
      <c r="T174" s="106">
        <f>IFERROR(SUMIFS('01. KE30'!$K:$K,'01. KE30'!$C:$C,'06. BC BH THEO CUSTOMER-USD'!$D174,'01. KE30'!$F:$F,'06. BC BH THEO CUSTOMER-USD'!$H174,'01. KE30'!$A:$A,'06. BC BH THEO CUSTOMER-USD'!T$4)/'06. BC BH THEO CUSTOMER-USD'!CZ174/'02. Tỷ giá'!I$5,"-")</f>
        <v>592.05500381970967</v>
      </c>
      <c r="U174" s="106">
        <f>IFERROR(SUMIFS('01. KE30'!$K:$K,'01. KE30'!$C:$C,'06. BC BH THEO CUSTOMER-USD'!$D174,'01. KE30'!$F:$F,'06. BC BH THEO CUSTOMER-USD'!$H174,'01. KE30'!$A:$A,'06. BC BH THEO CUSTOMER-USD'!U$4)/'06. BC BH THEO CUSTOMER-USD'!DA174/'02. Tỷ giá'!J$5,"-")</f>
        <v>591.03759398496243</v>
      </c>
      <c r="V174" s="106" t="str">
        <f>IFERROR(SUMIFS('01. KE30'!$K:$K,'01. KE30'!$C:$C,'06. BC BH THEO CUSTOMER-USD'!$D174,'01. KE30'!$F:$F,'06. BC BH THEO CUSTOMER-USD'!$H174,'01. KE30'!$A:$A,'06. BC BH THEO CUSTOMER-USD'!V$4)/'06. BC BH THEO CUSTOMER-USD'!DB174/'02. Tỷ giá'!K$5,"-")</f>
        <v>-</v>
      </c>
      <c r="W174" s="106" t="str">
        <f>IFERROR(SUMIFS('01. KE30'!$K:$K,'01. KE30'!$C:$C,'06. BC BH THEO CUSTOMER-USD'!$D174,'01. KE30'!$F:$F,'06. BC BH THEO CUSTOMER-USD'!$H174,'01. KE30'!$A:$A,'06. BC BH THEO CUSTOMER-USD'!W$4)/'06. BC BH THEO CUSTOMER-USD'!DC174/'02. Tỷ giá'!L$5,"-")</f>
        <v>-</v>
      </c>
      <c r="X174" s="106" t="str">
        <f>IFERROR(SUMIFS('01. KE30'!$K:$K,'01. KE30'!$C:$C,'06. BC BH THEO CUSTOMER-USD'!$D174,'01. KE30'!$F:$F,'06. BC BH THEO CUSTOMER-USD'!$H174,'01. KE30'!$A:$A,'06. BC BH THEO CUSTOMER-USD'!X$4)/'06. BC BH THEO CUSTOMER-USD'!DD174/'02. Tỷ giá'!M$5,"-")</f>
        <v>-</v>
      </c>
      <c r="Z174" s="92">
        <f t="shared" si="1264"/>
        <v>604.10438145963519</v>
      </c>
      <c r="AA174" s="147">
        <f>IFERROR(SUMIFS('01. KE30'!$O:$O,'01. KE30'!$C:$C,'06. BC BH THEO CUSTOMER-USD'!$D174,'01. KE30'!$F:$F,'06. BC BH THEO CUSTOMER-USD'!$H174,'01. KE30'!$A:$A,'06. BC BH THEO CUSTOMER-USD'!M$4)/'06. BC BH THEO CUSTOMER-USD'!CS174/'02. Tỷ giá'!B$5,"-")</f>
        <v>631.9044828047638</v>
      </c>
      <c r="AB174" s="147">
        <f>IFERROR(SUMIFS('01. KE30'!$O:$O,'01. KE30'!$C:$C,'06. BC BH THEO CUSTOMER-USD'!$D174,'01. KE30'!$F:$F,'06. BC BH THEO CUSTOMER-USD'!$H174,'01. KE30'!$A:$A,'06. BC BH THEO CUSTOMER-USD'!N$4)/'06. BC BH THEO CUSTOMER-USD'!CT174/'02. Tỷ giá'!C$5,"-")</f>
        <v>619.95827753708807</v>
      </c>
      <c r="AC174" s="147">
        <f>IFERROR(SUMIFS('01. KE30'!$O:$O,'01. KE30'!$C:$C,'06. BC BH THEO CUSTOMER-USD'!$D174,'01. KE30'!$F:$F,'06. BC BH THEO CUSTOMER-USD'!$H174,'01. KE30'!$A:$A,'06. BC BH THEO CUSTOMER-USD'!O$4)/'06. BC BH THEO CUSTOMER-USD'!CU174/'02. Tỷ giá'!D$5,"-")</f>
        <v>619.71420472440946</v>
      </c>
      <c r="AD174" s="147">
        <f>IFERROR(SUMIFS('01. KE30'!$O:$O,'01. KE30'!$C:$C,'06. BC BH THEO CUSTOMER-USD'!$D174,'01. KE30'!$F:$F,'06. BC BH THEO CUSTOMER-USD'!$H174,'01. KE30'!$A:$A,'06. BC BH THEO CUSTOMER-USD'!P$4)/'06. BC BH THEO CUSTOMER-USD'!CV174/'02. Tỷ giá'!E$5,"-")</f>
        <v>594.01470363421583</v>
      </c>
      <c r="AE174" s="147">
        <f>IFERROR(SUMIFS('01. KE30'!$O:$O,'01. KE30'!$C:$C,'06. BC BH THEO CUSTOMER-USD'!$D174,'01. KE30'!$F:$F,'06. BC BH THEO CUSTOMER-USD'!$H174,'01. KE30'!$A:$A,'06. BC BH THEO CUSTOMER-USD'!Q$4)/'06. BC BH THEO CUSTOMER-USD'!CW174/'02. Tỷ giá'!F$5,"-")</f>
        <v>580.04640371229698</v>
      </c>
      <c r="AF174" s="147" t="str">
        <f>IFERROR(SUMIFS('01. KE30'!$O:$O,'01. KE30'!$C:$C,'06. BC BH THEO CUSTOMER-USD'!$D174,'01. KE30'!$F:$F,'06. BC BH THEO CUSTOMER-USD'!$H174,'01. KE30'!$A:$A,'06. BC BH THEO CUSTOMER-USD'!R$4)/'06. BC BH THEO CUSTOMER-USD'!CX174/'02. Tỷ giá'!G$5,"-")</f>
        <v>-</v>
      </c>
      <c r="AG174" s="147" t="str">
        <f>IFERROR(SUMIFS('01. KE30'!$O:$O,'01. KE30'!$C:$C,'06. BC BH THEO CUSTOMER-USD'!$D174,'01. KE30'!$F:$F,'06. BC BH THEO CUSTOMER-USD'!$H174,'01. KE30'!$A:$A,'06. BC BH THEO CUSTOMER-USD'!S$4)/'06. BC BH THEO CUSTOMER-USD'!CY174/'02. Tỷ giá'!H$5,"-")</f>
        <v>-</v>
      </c>
      <c r="AH174" s="147">
        <f>IFERROR(SUMIFS('01. KE30'!$O:$O,'01. KE30'!$C:$C,'06. BC BH THEO CUSTOMER-USD'!$D174,'01. KE30'!$F:$F,'06. BC BH THEO CUSTOMER-USD'!$H174,'01. KE30'!$A:$A,'06. BC BH THEO CUSTOMER-USD'!T$4)/'06. BC BH THEO CUSTOMER-USD'!CZ174/'02. Tỷ giá'!I$5,"-")</f>
        <v>592.05500381970967</v>
      </c>
      <c r="AI174" s="147">
        <f>IFERROR(SUMIFS('01. KE30'!$O:$O,'01. KE30'!$C:$C,'06. BC BH THEO CUSTOMER-USD'!$D174,'01. KE30'!$F:$F,'06. BC BH THEO CUSTOMER-USD'!$H174,'01. KE30'!$A:$A,'06. BC BH THEO CUSTOMER-USD'!U$4)/'06. BC BH THEO CUSTOMER-USD'!DA174/'02. Tỷ giá'!J$5,"-")</f>
        <v>591.03759398496243</v>
      </c>
      <c r="AJ174" s="147" t="str">
        <f>IFERROR(SUMIFS('01. KE30'!$O:$O,'01. KE30'!$C:$C,'06. BC BH THEO CUSTOMER-USD'!$D174,'01. KE30'!$F:$F,'06. BC BH THEO CUSTOMER-USD'!$H174,'01. KE30'!$A:$A,'06. BC BH THEO CUSTOMER-USD'!V$4)/'06. BC BH THEO CUSTOMER-USD'!DB174/'02. Tỷ giá'!K$5,"-")</f>
        <v>-</v>
      </c>
      <c r="AK174" s="147" t="str">
        <f>IFERROR(SUMIFS('01. KE30'!$O:$O,'01. KE30'!$C:$C,'06. BC BH THEO CUSTOMER-USD'!$D174,'01. KE30'!$F:$F,'06. BC BH THEO CUSTOMER-USD'!$H174,'01. KE30'!$A:$A,'06. BC BH THEO CUSTOMER-USD'!W$4)/'06. BC BH THEO CUSTOMER-USD'!DC174/'02. Tỷ giá'!L$5,"-")</f>
        <v>-</v>
      </c>
      <c r="AL174" s="147" t="str">
        <f>IFERROR(SUMIFS('01. KE30'!$O:$O,'01. KE30'!$C:$C,'06. BC BH THEO CUSTOMER-USD'!$D174,'01. KE30'!$F:$F,'06. BC BH THEO CUSTOMER-USD'!$H174,'01. KE30'!$A:$A,'06. BC BH THEO CUSTOMER-USD'!X$4)/'06. BC BH THEO CUSTOMER-USD'!DD174/'02. Tỷ giá'!M$5,"-")</f>
        <v>-</v>
      </c>
      <c r="AN174" s="55">
        <f t="shared" si="1265"/>
        <v>737.22222222222217</v>
      </c>
      <c r="AO174" s="4">
        <v>825</v>
      </c>
      <c r="AP174" s="4">
        <v>750</v>
      </c>
      <c r="AQ174" s="4">
        <v>750</v>
      </c>
      <c r="AR174" s="4">
        <v>750</v>
      </c>
      <c r="AS174" s="4">
        <v>720</v>
      </c>
      <c r="AT174" s="4">
        <v>720</v>
      </c>
      <c r="AU174" s="4">
        <v>720</v>
      </c>
      <c r="AV174" s="4">
        <f t="shared" si="1272"/>
        <v>700</v>
      </c>
      <c r="AW174" s="4">
        <v>700</v>
      </c>
      <c r="AX174" s="4"/>
      <c r="AY174" s="4"/>
      <c r="AZ174" s="4"/>
      <c r="BB174" s="95">
        <f t="shared" si="637"/>
        <v>-133.11784076258698</v>
      </c>
      <c r="BC174" s="95">
        <f t="shared" si="1333"/>
        <v>-193.0955171952362</v>
      </c>
      <c r="BD174" s="95">
        <f t="shared" si="1718"/>
        <v>-130.04172246291193</v>
      </c>
      <c r="BE174" s="95">
        <f t="shared" si="1718"/>
        <v>-130.28579527559054</v>
      </c>
      <c r="BF174" s="95">
        <f t="shared" si="1718"/>
        <v>-155.98529636578417</v>
      </c>
      <c r="BG174" s="95">
        <f t="shared" si="1718"/>
        <v>-139.95359628770302</v>
      </c>
      <c r="BH174" s="95" t="str">
        <f t="shared" si="1718"/>
        <v>-</v>
      </c>
      <c r="BI174" s="95" t="str">
        <f t="shared" si="1718"/>
        <v>-</v>
      </c>
      <c r="BJ174" s="95">
        <f t="shared" si="1718"/>
        <v>-107.94499618029033</v>
      </c>
      <c r="BK174" s="95">
        <f t="shared" si="1718"/>
        <v>-108.96240601503757</v>
      </c>
      <c r="BL174" s="95" t="str">
        <f t="shared" si="1718"/>
        <v>-</v>
      </c>
      <c r="BM174" s="95" t="str">
        <f t="shared" si="1718"/>
        <v>-</v>
      </c>
      <c r="BN174" s="95" t="str">
        <f t="shared" si="1718"/>
        <v>-</v>
      </c>
      <c r="BP174" s="143">
        <f t="shared" si="639"/>
        <v>-0.18056677722129358</v>
      </c>
      <c r="BQ174" s="143">
        <f t="shared" si="1331"/>
        <v>-0.23405517235786205</v>
      </c>
      <c r="BR174" s="143">
        <f t="shared" si="518"/>
        <v>-0.17338896328388259</v>
      </c>
      <c r="BS174" s="143">
        <f t="shared" si="519"/>
        <v>-0.1737143937007874</v>
      </c>
      <c r="BT174" s="143">
        <f t="shared" si="520"/>
        <v>-0.20798039515437888</v>
      </c>
      <c r="BU174" s="143">
        <f t="shared" si="521"/>
        <v>-0.19437999484403198</v>
      </c>
      <c r="BV174" s="143" t="str">
        <f t="shared" si="522"/>
        <v>-</v>
      </c>
      <c r="BW174" s="143" t="str">
        <f t="shared" si="523"/>
        <v>-</v>
      </c>
      <c r="BX174" s="143">
        <f t="shared" si="524"/>
        <v>-0.15420713740041475</v>
      </c>
      <c r="BY174" s="143">
        <f t="shared" si="525"/>
        <v>-0.15566058002148225</v>
      </c>
      <c r="BZ174" s="143" t="str">
        <f t="shared" si="526"/>
        <v>-</v>
      </c>
      <c r="CA174" s="143" t="str">
        <f t="shared" si="527"/>
        <v>-</v>
      </c>
      <c r="CB174" s="143" t="str">
        <f t="shared" si="528"/>
        <v>-</v>
      </c>
      <c r="CD174" s="112">
        <f t="shared" ref="CD174:CD206" si="2036">IFERROR(AVERAGE(CE174:CP174),"-")</f>
        <v>980.93485281931396</v>
      </c>
      <c r="CE174" s="95">
        <f>IFERROR(SUMIFS('01. KE30'!$R:$R,'01. KE30'!$C:$C,'06. BC BH THEO CUSTOMER-USD'!$D174,'01. KE30'!$F:$F,'06. BC BH THEO CUSTOMER-USD'!$H174,'01. KE30'!$A:$A,'06. BC BH THEO CUSTOMER-USD'!CE$4)/CS174/'02. Tỷ giá'!B$5," -")</f>
        <v>991.42001873410948</v>
      </c>
      <c r="CF174" s="95">
        <f>IFERROR(SUMIFS('01. KE30'!$R:$R,'01. KE30'!$C:$C,'06. BC BH THEO CUSTOMER-USD'!$D174,'01. KE30'!$F:$F,'06. BC BH THEO CUSTOMER-USD'!$H174,'01. KE30'!$A:$A,'06. BC BH THEO CUSTOMER-USD'!CF$4)/CT174/'02. Tỷ giá'!C$5," -")</f>
        <v>978.18193514507016</v>
      </c>
      <c r="CG174" s="95">
        <f>IFERROR(SUMIFS('01. KE30'!$R:$R,'01. KE30'!$C:$C,'06. BC BH THEO CUSTOMER-USD'!$D174,'01. KE30'!$F:$F,'06. BC BH THEO CUSTOMER-USD'!$H174,'01. KE30'!$A:$A,'06. BC BH THEO CUSTOMER-USD'!CG$4)/CU174/'02. Tỷ giá'!D$5," -")</f>
        <v>981.00495013123361</v>
      </c>
      <c r="CH174" s="95">
        <f>IFERROR(SUMIFS('01. KE30'!$R:$R,'01. KE30'!$C:$C,'06. BC BH THEO CUSTOMER-USD'!$D174,'01. KE30'!$F:$F,'06. BC BH THEO CUSTOMER-USD'!$H174,'01. KE30'!$A:$A,'06. BC BH THEO CUSTOMER-USD'!CH$4)/CV174/'02. Tỷ giá'!E$5," -")</f>
        <v>971.39538004903864</v>
      </c>
      <c r="CI174" s="95">
        <f>IFERROR(SUMIFS('01. KE30'!$R:$R,'01. KE30'!$C:$C,'06. BC BH THEO CUSTOMER-USD'!$D174,'01. KE30'!$F:$F,'06. BC BH THEO CUSTOMER-USD'!$H174,'01. KE30'!$A:$A,'06. BC BH THEO CUSTOMER-USD'!CI$4)/CW174/'02. Tỷ giá'!F$5," -")</f>
        <v>970.8144238205723</v>
      </c>
      <c r="CJ174" s="95" t="str">
        <f>IFERROR(SUMIFS('01. KE30'!$R:$R,'01. KE30'!$C:$C,'06. BC BH THEO CUSTOMER-USD'!$D174,'01. KE30'!$F:$F,'06. BC BH THEO CUSTOMER-USD'!$H174,'01. KE30'!$A:$A,'06. BC BH THEO CUSTOMER-USD'!CJ$4)/CX174/'02. Tỷ giá'!G$5," -")</f>
        <v xml:space="preserve"> -</v>
      </c>
      <c r="CK174" s="95" t="str">
        <f>IFERROR(SUMIFS('01. KE30'!$R:$R,'01. KE30'!$C:$C,'06. BC BH THEO CUSTOMER-USD'!$D174,'01. KE30'!$F:$F,'06. BC BH THEO CUSTOMER-USD'!$H174,'01. KE30'!$A:$A,'06. BC BH THEO CUSTOMER-USD'!CK$4)/CY174/'02. Tỷ giá'!H$5," -")</f>
        <v xml:space="preserve"> -</v>
      </c>
      <c r="CL174" s="95">
        <f>IFERROR(SUMIFS('01. KE30'!$R:$R,'01. KE30'!$C:$C,'06. BC BH THEO CUSTOMER-USD'!$D174,'01. KE30'!$F:$F,'06. BC BH THEO CUSTOMER-USD'!$H174,'01. KE30'!$A:$A,'06. BC BH THEO CUSTOMER-USD'!CL$4)/CZ174/'02. Tỷ giá'!I$5," -")</f>
        <v>1012.7128698752229</v>
      </c>
      <c r="CM174" s="95">
        <f>IFERROR(SUMIFS('01. KE30'!$R:$R,'01. KE30'!$C:$C,'06. BC BH THEO CUSTOMER-USD'!$D174,'01. KE30'!$F:$F,'06. BC BH THEO CUSTOMER-USD'!$H174,'01. KE30'!$A:$A,'06. BC BH THEO CUSTOMER-USD'!CM$4)/DA174/'02. Tỷ giá'!J$5," -")</f>
        <v>961.01439197994978</v>
      </c>
      <c r="CN174" s="95" t="str">
        <f>IFERROR(SUMIFS('01. KE30'!$R:$R,'01. KE30'!$C:$C,'06. BC BH THEO CUSTOMER-USD'!$D174,'01. KE30'!$F:$F,'06. BC BH THEO CUSTOMER-USD'!$H174,'01. KE30'!$A:$A,'06. BC BH THEO CUSTOMER-USD'!CN$4)/DB174/'02. Tỷ giá'!K$5," -")</f>
        <v xml:space="preserve"> -</v>
      </c>
      <c r="CO174" s="95" t="str">
        <f>IFERROR(SUMIFS('01. KE30'!$R:$R,'01. KE30'!$C:$C,'06. BC BH THEO CUSTOMER-USD'!$D174,'01. KE30'!$F:$F,'06. BC BH THEO CUSTOMER-USD'!$H174,'01. KE30'!$A:$A,'06. BC BH THEO CUSTOMER-USD'!CO$4)/DC174/'02. Tỷ giá'!L$5," -")</f>
        <v xml:space="preserve"> -</v>
      </c>
      <c r="CP174" s="95" t="str">
        <f>IFERROR(SUMIFS('01. KE30'!$R:$R,'01. KE30'!$C:$C,'06. BC BH THEO CUSTOMER-USD'!$D174,'01. KE30'!$F:$F,'06. BC BH THEO CUSTOMER-USD'!$H174,'01. KE30'!$A:$A,'06. BC BH THEO CUSTOMER-USD'!CP$4)/DD174/'02. Tỷ giá'!M$5," -")</f>
        <v xml:space="preserve"> -</v>
      </c>
      <c r="CR174" s="112">
        <f t="shared" si="1249"/>
        <v>45</v>
      </c>
      <c r="CS174" s="114">
        <f>SUMIFS('01. KE30'!$I:$I,'01. KE30'!$C:$C,'06. BC BH THEO CUSTOMER-USD'!$D174,'01. KE30'!$F:$F,'06. BC BH THEO CUSTOMER-USD'!$H174,'01. KE30'!$A:$A,'06. BC BH THEO CUSTOMER-USD'!CS$4)/1000</f>
        <v>1.5</v>
      </c>
      <c r="CT174" s="114">
        <f>SUMIFS('01. KE30'!$I:$I,'01. KE30'!$C:$C,'06. BC BH THEO CUSTOMER-USD'!$D174,'01. KE30'!$F:$F,'06. BC BH THEO CUSTOMER-USD'!$H174,'01. KE30'!$A:$A,'06. BC BH THEO CUSTOMER-USD'!CT$4)/1000</f>
        <v>1.5</v>
      </c>
      <c r="CU174" s="114">
        <f>SUMIFS('01. KE30'!$I:$I,'01. KE30'!$C:$C,'06. BC BH THEO CUSTOMER-USD'!$D174,'01. KE30'!$F:$F,'06. BC BH THEO CUSTOMER-USD'!$H174,'01. KE30'!$A:$A,'06. BC BH THEO CUSTOMER-USD'!CU$4)/1000</f>
        <v>7.5</v>
      </c>
      <c r="CV174" s="114">
        <f>SUMIFS('01. KE30'!$I:$I,'01. KE30'!$C:$C,'06. BC BH THEO CUSTOMER-USD'!$D174,'01. KE30'!$F:$F,'06. BC BH THEO CUSTOMER-USD'!$H174,'01. KE30'!$A:$A,'06. BC BH THEO CUSTOMER-USD'!CV$4)/1000</f>
        <v>9.75</v>
      </c>
      <c r="CW174" s="114">
        <f>SUMIFS('01. KE30'!$I:$I,'01. KE30'!$C:$C,'06. BC BH THEO CUSTOMER-USD'!$D174,'01. KE30'!$F:$F,'06. BC BH THEO CUSTOMER-USD'!$H174,'01. KE30'!$A:$A,'06. BC BH THEO CUSTOMER-USD'!CW$4)/1000</f>
        <v>3</v>
      </c>
      <c r="CX174" s="114">
        <f>SUMIFS('01. KE30'!$I:$I,'01. KE30'!$C:$C,'06. BC BH THEO CUSTOMER-USD'!$D174,'01. KE30'!$F:$F,'06. BC BH THEO CUSTOMER-USD'!$H174,'01. KE30'!$A:$A,'06. BC BH THEO CUSTOMER-USD'!CX$4)/1000</f>
        <v>0</v>
      </c>
      <c r="CY174" s="114">
        <f>SUMIFS('01. KE30'!$I:$I,'01. KE30'!$C:$C,'06. BC BH THEO CUSTOMER-USD'!$D174,'01. KE30'!$F:$F,'06. BC BH THEO CUSTOMER-USD'!$H174,'01. KE30'!$A:$A,'06. BC BH THEO CUSTOMER-USD'!CY$4)/1000</f>
        <v>0</v>
      </c>
      <c r="CZ174" s="114">
        <f>SUMIFS('01. KE30'!$I:$I,'01. KE30'!$C:$C,'06. BC BH THEO CUSTOMER-USD'!$D174,'01. KE30'!$F:$F,'06. BC BH THEO CUSTOMER-USD'!$H174,'01. KE30'!$A:$A,'06. BC BH THEO CUSTOMER-USD'!CZ$4)/1000</f>
        <v>7.5</v>
      </c>
      <c r="DA174" s="114">
        <f>SUMIFS('01. KE30'!$I:$I,'01. KE30'!$C:$C,'06. BC BH THEO CUSTOMER-USD'!$D174,'01. KE30'!$F:$F,'06. BC BH THEO CUSTOMER-USD'!$H174,'01. KE30'!$A:$A,'06. BC BH THEO CUSTOMER-USD'!DA$4)/1000</f>
        <v>14.25</v>
      </c>
      <c r="DB174" s="114">
        <f>SUMIFS('01. KE30'!$I:$I,'01. KE30'!$C:$C,'06. BC BH THEO CUSTOMER-USD'!$D174,'01. KE30'!$F:$F,'06. BC BH THEO CUSTOMER-USD'!$H174,'01. KE30'!$A:$A,'06. BC BH THEO CUSTOMER-USD'!DB$4)/1000</f>
        <v>0</v>
      </c>
      <c r="DC174" s="114">
        <f>SUMIFS('01. KE30'!$I:$I,'01. KE30'!$C:$C,'06. BC BH THEO CUSTOMER-USD'!$D174,'01. KE30'!$F:$F,'06. BC BH THEO CUSTOMER-USD'!$H174,'01. KE30'!$A:$A,'06. BC BH THEO CUSTOMER-USD'!DC$4)/1000</f>
        <v>0</v>
      </c>
      <c r="DD174" s="114">
        <f>SUMIFS('01. KE30'!$I:$I,'01. KE30'!$C:$C,'06. BC BH THEO CUSTOMER-USD'!$D174,'01. KE30'!$F:$F,'06. BC BH THEO CUSTOMER-USD'!$H174,'01. KE30'!$A:$A,'06. BC BH THEO CUSTOMER-USD'!DD$4)/1000</f>
        <v>0</v>
      </c>
      <c r="DF174" s="112">
        <f t="shared" ref="DF174:DF186" si="2037">SUM(DG174:DR174)</f>
        <v>26920.131490449883</v>
      </c>
      <c r="DG174" s="54">
        <f t="shared" ref="DG174:DG186" si="2038">IFERROR(M174*CS174,"-")</f>
        <v>947.8567242071457</v>
      </c>
      <c r="DH174" s="54">
        <f t="shared" ref="DH174:DH186" si="2039">IFERROR(N174*CT174,"-")</f>
        <v>929.93741630563204</v>
      </c>
      <c r="DI174" s="54">
        <f t="shared" ref="DI174:DI186" si="2040">IFERROR(O174*CU174,"-")</f>
        <v>4647.8565354330713</v>
      </c>
      <c r="DJ174" s="54">
        <f t="shared" ref="DJ174:DJ186" si="2041">IFERROR(P174*CV174,"-")</f>
        <v>5791.6433604336044</v>
      </c>
      <c r="DK174" s="54">
        <f t="shared" ref="DK174:DK186" si="2042">IFERROR(Q174*CW174,"-")</f>
        <v>1740.1392111368909</v>
      </c>
      <c r="DL174" s="54" t="str">
        <f t="shared" ref="DL174:DL186" si="2043">IFERROR(R174*CX174,"-")</f>
        <v>-</v>
      </c>
      <c r="DM174" s="54" t="str">
        <f t="shared" ref="DM174:DM186" si="2044">IFERROR(S174*CY174,"-")</f>
        <v>-</v>
      </c>
      <c r="DN174" s="54">
        <f t="shared" ref="DN174:DN186" si="2045">IFERROR(T174*CZ174,"-")</f>
        <v>4440.4125286478229</v>
      </c>
      <c r="DO174" s="54">
        <f t="shared" ref="DO174:DO186" si="2046">IFERROR(U174*DA174,"-")</f>
        <v>8422.2857142857138</v>
      </c>
      <c r="DP174" s="54" t="str">
        <f t="shared" ref="DP174:DP186" si="2047">IFERROR(V174*DB174,"-")</f>
        <v>-</v>
      </c>
      <c r="DQ174" s="54" t="str">
        <f t="shared" ref="DQ174:DQ186" si="2048">IFERROR(W174*DC174,"-")</f>
        <v>-</v>
      </c>
      <c r="DR174" s="54" t="str">
        <f t="shared" ref="DR174:DR186" si="2049">IFERROR(X174*DD174,"-")</f>
        <v>-</v>
      </c>
      <c r="DT174" s="112">
        <f t="shared" si="652"/>
        <v>-17065.15840307144</v>
      </c>
      <c r="DU174" s="114">
        <f>IFERROR(SUMIFS('01. KE30'!$X:$X,'01. KE30'!$C:$C,'06. BC BH THEO CUSTOMER-USD'!$D174,'01. KE30'!$F:$F,'06. BC BH THEO CUSTOMER-USD'!$H174,'01. KE30'!$A:$A,'06. BC BH THEO CUSTOMER-USD'!DU$4)-SUMIFS('01. KE30'!$AA:$AA,'01. KE30'!$C:$C,'06. BC BH THEO CUSTOMER-USD'!$D174,'01. KE30'!$F:$F,'06. BC BH THEO CUSTOMER-USD'!$H174,'01. KE30'!$A:$A,'06. BC BH THEO CUSTOMER-USD'!DU$4),"-")</f>
        <v>-539.27330389401857</v>
      </c>
      <c r="DV174" s="114">
        <f>IFERROR(SUMIFS('01. KE30'!$X:$X,'01. KE30'!$C:$C,'06. BC BH THEO CUSTOMER-USD'!$D174,'01. KE30'!$F:$F,'06. BC BH THEO CUSTOMER-USD'!$H174,'01. KE30'!$A:$A,'06. BC BH THEO CUSTOMER-USD'!DV$4)-SUMIFS('01. KE30'!$AA:$AA,'01. KE30'!$C:$C,'06. BC BH THEO CUSTOMER-USD'!$D174,'01. KE30'!$F:$F,'06. BC BH THEO CUSTOMER-USD'!$H174,'01. KE30'!$A:$A,'06. BC BH THEO CUSTOMER-USD'!DV$4),"-")</f>
        <v>-537.33548641197319</v>
      </c>
      <c r="DW174" s="114">
        <f>IFERROR(SUMIFS('01. KE30'!$X:$X,'01. KE30'!$C:$C,'06. BC BH THEO CUSTOMER-USD'!$D174,'01. KE30'!$F:$F,'06. BC BH THEO CUSTOMER-USD'!$H174,'01. KE30'!$A:$A,'06. BC BH THEO CUSTOMER-USD'!DW$4)-SUMIFS('01. KE30'!$AA:$AA,'01. KE30'!$C:$C,'06. BC BH THEO CUSTOMER-USD'!$D174,'01. KE30'!$F:$F,'06. BC BH THEO CUSTOMER-USD'!$H174,'01. KE30'!$A:$A,'06. BC BH THEO CUSTOMER-USD'!DW$4),"-")</f>
        <v>-2709.680590551181</v>
      </c>
      <c r="DX174" s="114">
        <f>IFERROR(SUMIFS('01. KE30'!$X:$X,'01. KE30'!$C:$C,'06. BC BH THEO CUSTOMER-USD'!$D174,'01. KE30'!$F:$F,'06. BC BH THEO CUSTOMER-USD'!$H174,'01. KE30'!$A:$A,'06. BC BH THEO CUSTOMER-USD'!DX$4)-SUMIFS('01. KE30'!$AA:$AA,'01. KE30'!$C:$C,'06. BC BH THEO CUSTOMER-USD'!$D174,'01. KE30'!$F:$F,'06. BC BH THEO CUSTOMER-USD'!$H174,'01. KE30'!$A:$A,'06. BC BH THEO CUSTOMER-USD'!DX$4),"-")</f>
        <v>-3679.4615950445213</v>
      </c>
      <c r="DY174" s="114">
        <f>IFERROR(SUMIFS('01. KE30'!$X:$X,'01. KE30'!$C:$C,'06. BC BH THEO CUSTOMER-USD'!$D174,'01. KE30'!$F:$F,'06. BC BH THEO CUSTOMER-USD'!$H174,'01. KE30'!$A:$A,'06. BC BH THEO CUSTOMER-USD'!DY$4)-SUMIFS('01. KE30'!$AA:$AA,'01. KE30'!$C:$C,'06. BC BH THEO CUSTOMER-USD'!$D174,'01. KE30'!$F:$F,'06. BC BH THEO CUSTOMER-USD'!$H174,'01. KE30'!$A:$A,'06. BC BH THEO CUSTOMER-USD'!DY$4),"-")</f>
        <v>-1172.304060324826</v>
      </c>
      <c r="DZ174" s="114">
        <f>IFERROR(SUMIFS('01. KE30'!$X:$X,'01. KE30'!$C:$C,'06. BC BH THEO CUSTOMER-USD'!$D174,'01. KE30'!$F:$F,'06. BC BH THEO CUSTOMER-USD'!$H174,'01. KE30'!$A:$A,'06. BC BH THEO CUSTOMER-USD'!DZ$4)-SUMIFS('01. KE30'!$AA:$AA,'01. KE30'!$C:$C,'06. BC BH THEO CUSTOMER-USD'!$D174,'01. KE30'!$F:$F,'06. BC BH THEO CUSTOMER-USD'!$H174,'01. KE30'!$A:$A,'06. BC BH THEO CUSTOMER-USD'!DZ$4),"-")</f>
        <v>0</v>
      </c>
      <c r="EA174" s="114">
        <f>IFERROR(SUMIFS('01. KE30'!$X:$X,'01. KE30'!$C:$C,'06. BC BH THEO CUSTOMER-USD'!$D174,'01. KE30'!$F:$F,'06. BC BH THEO CUSTOMER-USD'!$H174,'01. KE30'!$A:$A,'06. BC BH THEO CUSTOMER-USD'!EA$4)-SUMIFS('01. KE30'!$AA:$AA,'01. KE30'!$C:$C,'06. BC BH THEO CUSTOMER-USD'!$D174,'01. KE30'!$F:$F,'06. BC BH THEO CUSTOMER-USD'!$H174,'01. KE30'!$A:$A,'06. BC BH THEO CUSTOMER-USD'!EA$4),"-")</f>
        <v>0</v>
      </c>
      <c r="EB174" s="114">
        <f>IFERROR(SUMIFS('01. KE30'!$X:$X,'01. KE30'!$C:$C,'06. BC BH THEO CUSTOMER-USD'!$D174,'01. KE30'!$F:$F,'06. BC BH THEO CUSTOMER-USD'!$H174,'01. KE30'!$A:$A,'06. BC BH THEO CUSTOMER-USD'!EB$4)-SUMIFS('01. KE30'!$AA:$AA,'01. KE30'!$C:$C,'06. BC BH THEO CUSTOMER-USD'!$D174,'01. KE30'!$F:$F,'06. BC BH THEO CUSTOMER-USD'!$H174,'01. KE30'!$A:$A,'06. BC BH THEO CUSTOMER-USD'!EB$4),"-")</f>
        <v>-3154.9339954163479</v>
      </c>
      <c r="EC174" s="114">
        <f>IFERROR(SUMIFS('01. KE30'!$X:$X,'01. KE30'!$C:$C,'06. BC BH THEO CUSTOMER-USD'!$D174,'01. KE30'!$F:$F,'06. BC BH THEO CUSTOMER-USD'!$H174,'01. KE30'!$A:$A,'06. BC BH THEO CUSTOMER-USD'!EC$4)-SUMIFS('01. KE30'!$AA:$AA,'01. KE30'!$C:$C,'06. BC BH THEO CUSTOMER-USD'!$D174,'01. KE30'!$F:$F,'06. BC BH THEO CUSTOMER-USD'!$H174,'01. KE30'!$A:$A,'06. BC BH THEO CUSTOMER-USD'!EC$4),"-")</f>
        <v>-5272.169371428572</v>
      </c>
      <c r="ED174" s="114">
        <f>IFERROR(SUMIFS('01. KE30'!$X:$X,'01. KE30'!$C:$C,'06. BC BH THEO CUSTOMER-USD'!$D174,'01. KE30'!$F:$F,'06. BC BH THEO CUSTOMER-USD'!$H174,'01. KE30'!$A:$A,'06. BC BH THEO CUSTOMER-USD'!ED$4)-SUMIFS('01. KE30'!$AA:$AA,'01. KE30'!$C:$C,'06. BC BH THEO CUSTOMER-USD'!$D174,'01. KE30'!$F:$F,'06. BC BH THEO CUSTOMER-USD'!$H174,'01. KE30'!$A:$A,'06. BC BH THEO CUSTOMER-USD'!ED$4),"-")</f>
        <v>0</v>
      </c>
      <c r="EE174" s="114">
        <f>IFERROR(SUMIFS('01. KE30'!$X:$X,'01. KE30'!$C:$C,'06. BC BH THEO CUSTOMER-USD'!$D174,'01. KE30'!$F:$F,'06. BC BH THEO CUSTOMER-USD'!$H174,'01. KE30'!$A:$A,'06. BC BH THEO CUSTOMER-USD'!EE$4)-SUMIFS('01. KE30'!$AA:$AA,'01. KE30'!$C:$C,'06. BC BH THEO CUSTOMER-USD'!$D174,'01. KE30'!$F:$F,'06. BC BH THEO CUSTOMER-USD'!$H174,'01. KE30'!$A:$A,'06. BC BH THEO CUSTOMER-USD'!EE$4),"-")</f>
        <v>0</v>
      </c>
      <c r="EF174" s="114">
        <f>IFERROR(SUMIFS('01. KE30'!$X:$X,'01. KE30'!$C:$C,'06. BC BH THEO CUSTOMER-USD'!$D174,'01. KE30'!$F:$F,'06. BC BH THEO CUSTOMER-USD'!$H174,'01. KE30'!$A:$A,'06. BC BH THEO CUSTOMER-USD'!EF$4)-SUMIFS('01. KE30'!$AA:$AA,'01. KE30'!$C:$C,'06. BC BH THEO CUSTOMER-USD'!$D174,'01. KE30'!$F:$F,'06. BC BH THEO CUSTOMER-USD'!$H174,'01. KE30'!$A:$A,'06. BC BH THEO CUSTOMER-USD'!EF$4),"-")</f>
        <v>0</v>
      </c>
      <c r="EH174" s="571">
        <f t="shared" si="1737"/>
        <v>-0.63391809245528508</v>
      </c>
      <c r="EI174" s="572">
        <f t="shared" si="1738"/>
        <v>-0.56893968267736328</v>
      </c>
      <c r="EJ174" s="572">
        <f t="shared" si="1739"/>
        <v>-0.57781897683679517</v>
      </c>
      <c r="EK174" s="572">
        <f t="shared" si="1740"/>
        <v>-0.58299574651107477</v>
      </c>
      <c r="EL174" s="572">
        <f t="shared" si="1741"/>
        <v>-0.63530527797710423</v>
      </c>
      <c r="EM174" s="572">
        <f t="shared" si="1742"/>
        <v>-0.67368406666666669</v>
      </c>
      <c r="EN174" s="572" t="str">
        <f t="shared" si="1743"/>
        <v>-</v>
      </c>
      <c r="EO174" s="572" t="str">
        <f t="shared" si="1744"/>
        <v>-</v>
      </c>
      <c r="EP174" s="572">
        <f t="shared" si="1745"/>
        <v>-0.71050470537634391</v>
      </c>
      <c r="EQ174" s="572">
        <f t="shared" si="1746"/>
        <v>-0.62597845172671152</v>
      </c>
      <c r="ER174" s="572" t="str">
        <f t="shared" si="1747"/>
        <v>-</v>
      </c>
      <c r="ES174" s="572" t="str">
        <f t="shared" si="1748"/>
        <v>-</v>
      </c>
      <c r="ET174" s="572" t="str">
        <f t="shared" si="1749"/>
        <v>-</v>
      </c>
    </row>
    <row r="175" spans="1:150" ht="15.5" hidden="1" outlineLevel="1" x14ac:dyDescent="0.35">
      <c r="A175" s="10">
        <f>A174+1</f>
        <v>2</v>
      </c>
      <c r="B175" s="10" t="s">
        <v>295</v>
      </c>
      <c r="C175" s="442" t="s">
        <v>489</v>
      </c>
      <c r="D175" s="9" t="s">
        <v>456</v>
      </c>
      <c r="E175" s="8" t="s">
        <v>457</v>
      </c>
      <c r="F175" s="12" t="s">
        <v>245</v>
      </c>
      <c r="G175" s="12" t="str">
        <f>_xlfn.XLOOKUP(F175,'Quy đổi'!$G$5:$G$32,'Quy đổi'!$H$5:$H$32,0)</f>
        <v>Nội địa</v>
      </c>
      <c r="H175" s="80" t="s">
        <v>37</v>
      </c>
      <c r="I175" s="7" t="s">
        <v>36</v>
      </c>
      <c r="J175" s="69" t="s">
        <v>22</v>
      </c>
      <c r="K175" s="5"/>
      <c r="L175" s="92">
        <f t="shared" si="1263"/>
        <v>608.04868258706313</v>
      </c>
      <c r="M175" s="106">
        <f>IFERROR(SUMIFS('01. KE30'!$K:$K,'01. KE30'!$C:$C,'06. BC BH THEO CUSTOMER-USD'!$D175,'01. KE30'!$F:$F,'06. BC BH THEO CUSTOMER-USD'!$H175,'01. KE30'!$A:$A,'06. BC BH THEO CUSTOMER-USD'!M$4)/'06. BC BH THEO CUSTOMER-USD'!CS175/'02. Tỷ giá'!B$5,"-")</f>
        <v>631.90448949551717</v>
      </c>
      <c r="N175" s="106">
        <f>IFERROR(SUMIFS('01. KE30'!$K:$K,'01. KE30'!$C:$C,'06. BC BH THEO CUSTOMER-USD'!$D175,'01. KE30'!$F:$F,'06. BC BH THEO CUSTOMER-USD'!$H175,'01. KE30'!$A:$A,'06. BC BH THEO CUSTOMER-USD'!N$4)/'06. BC BH THEO CUSTOMER-USD'!CT175/'02. Tỷ giá'!C$5,"-")</f>
        <v>619.95827955686173</v>
      </c>
      <c r="O175" s="106">
        <f>IFERROR(SUMIFS('01. KE30'!$K:$K,'01. KE30'!$C:$C,'06. BC BH THEO CUSTOMER-USD'!$D175,'01. KE30'!$F:$F,'06. BC BH THEO CUSTOMER-USD'!$H175,'01. KE30'!$A:$A,'06. BC BH THEO CUSTOMER-USD'!O$4)/'06. BC BH THEO CUSTOMER-USD'!CU175/'02. Tỷ giá'!D$5,"-")</f>
        <v>619.71420085647185</v>
      </c>
      <c r="P175" s="106">
        <f>IFERROR(SUMIFS('01. KE30'!$K:$K,'01. KE30'!$C:$C,'06. BC BH THEO CUSTOMER-USD'!$D175,'01. KE30'!$F:$F,'06. BC BH THEO CUSTOMER-USD'!$H175,'01. KE30'!$A:$A,'06. BC BH THEO CUSTOMER-USD'!P$4)/'06. BC BH THEO CUSTOMER-USD'!CV175/'02. Tỷ giá'!E$5,"-")</f>
        <v>604.07841011743449</v>
      </c>
      <c r="Q175" s="106">
        <f>IFERROR(SUMIFS('01. KE30'!$K:$K,'01. KE30'!$C:$C,'06. BC BH THEO CUSTOMER-USD'!$D175,'01. KE30'!$F:$F,'06. BC BH THEO CUSTOMER-USD'!$H175,'01. KE30'!$A:$A,'06. BC BH THEO CUSTOMER-USD'!Q$4)/'06. BC BH THEO CUSTOMER-USD'!CW175/'02. Tỷ giá'!F$5,"-")</f>
        <v>602.28340185343484</v>
      </c>
      <c r="R175" s="106">
        <f>IFERROR(SUMIFS('01. KE30'!$K:$K,'01. KE30'!$C:$C,'06. BC BH THEO CUSTOMER-USD'!$D175,'01. KE30'!$F:$F,'06. BC BH THEO CUSTOMER-USD'!$H175,'01. KE30'!$A:$A,'06. BC BH THEO CUSTOMER-USD'!R$4)/'06. BC BH THEO CUSTOMER-USD'!CX175/'02. Tỷ giá'!G$5,"-")</f>
        <v>607.28166152263373</v>
      </c>
      <c r="S175" s="106">
        <f>IFERROR(SUMIFS('01. KE30'!$K:$K,'01. KE30'!$C:$C,'06. BC BH THEO CUSTOMER-USD'!$D175,'01. KE30'!$F:$F,'06. BC BH THEO CUSTOMER-USD'!$H175,'01. KE30'!$A:$A,'06. BC BH THEO CUSTOMER-USD'!S$4)/'06. BC BH THEO CUSTOMER-USD'!CY175/'02. Tỷ giá'!H$5,"-")</f>
        <v>604.19363981730476</v>
      </c>
      <c r="T175" s="106">
        <f>IFERROR(SUMIFS('01. KE30'!$K:$K,'01. KE30'!$C:$C,'06. BC BH THEO CUSTOMER-USD'!$D175,'01. KE30'!$F:$F,'06. BC BH THEO CUSTOMER-USD'!$H175,'01. KE30'!$A:$A,'06. BC BH THEO CUSTOMER-USD'!T$4)/'06. BC BH THEO CUSTOMER-USD'!CZ175/'02. Tỷ giá'!I$5,"-")</f>
        <v>592.54786958771786</v>
      </c>
      <c r="U175" s="106">
        <f>IFERROR(SUMIFS('01. KE30'!$K:$K,'01. KE30'!$C:$C,'06. BC BH THEO CUSTOMER-USD'!$D175,'01. KE30'!$F:$F,'06. BC BH THEO CUSTOMER-USD'!$H175,'01. KE30'!$A:$A,'06. BC BH THEO CUSTOMER-USD'!U$4)/'06. BC BH THEO CUSTOMER-USD'!DA175/'02. Tỷ giá'!J$5,"-")</f>
        <v>590.47619047619048</v>
      </c>
      <c r="V175" s="106" t="str">
        <f>IFERROR(SUMIFS('01. KE30'!$K:$K,'01. KE30'!$C:$C,'06. BC BH THEO CUSTOMER-USD'!$D175,'01. KE30'!$F:$F,'06. BC BH THEO CUSTOMER-USD'!$H175,'01. KE30'!$A:$A,'06. BC BH THEO CUSTOMER-USD'!V$4)/'06. BC BH THEO CUSTOMER-USD'!DB175/'02. Tỷ giá'!K$5,"-")</f>
        <v>-</v>
      </c>
      <c r="W175" s="106" t="str">
        <f>IFERROR(SUMIFS('01. KE30'!$K:$K,'01. KE30'!$C:$C,'06. BC BH THEO CUSTOMER-USD'!$D175,'01. KE30'!$F:$F,'06. BC BH THEO CUSTOMER-USD'!$H175,'01. KE30'!$A:$A,'06. BC BH THEO CUSTOMER-USD'!W$4)/'06. BC BH THEO CUSTOMER-USD'!DC175/'02. Tỷ giá'!L$5,"-")</f>
        <v>-</v>
      </c>
      <c r="X175" s="106" t="str">
        <f>IFERROR(SUMIFS('01. KE30'!$K:$K,'01. KE30'!$C:$C,'06. BC BH THEO CUSTOMER-USD'!$D175,'01. KE30'!$F:$F,'06. BC BH THEO CUSTOMER-USD'!$H175,'01. KE30'!$A:$A,'06. BC BH THEO CUSTOMER-USD'!X$4)/'06. BC BH THEO CUSTOMER-USD'!DD175/'02. Tỷ giá'!M$5,"-")</f>
        <v>-</v>
      </c>
      <c r="Z175" s="92">
        <f t="shared" si="1264"/>
        <v>608.04868258706313</v>
      </c>
      <c r="AA175" s="147">
        <f>IFERROR(SUMIFS('01. KE30'!$O:$O,'01. KE30'!$C:$C,'06. BC BH THEO CUSTOMER-USD'!$D175,'01. KE30'!$F:$F,'06. BC BH THEO CUSTOMER-USD'!$H175,'01. KE30'!$A:$A,'06. BC BH THEO CUSTOMER-USD'!M$4)/'06. BC BH THEO CUSTOMER-USD'!CS175/'02. Tỷ giá'!B$5,"-")</f>
        <v>631.90448949551717</v>
      </c>
      <c r="AB175" s="147">
        <f>IFERROR(SUMIFS('01. KE30'!$O:$O,'01. KE30'!$C:$C,'06. BC BH THEO CUSTOMER-USD'!$D175,'01. KE30'!$F:$F,'06. BC BH THEO CUSTOMER-USD'!$H175,'01. KE30'!$A:$A,'06. BC BH THEO CUSTOMER-USD'!N$4)/'06. BC BH THEO CUSTOMER-USD'!CT175/'02. Tỷ giá'!C$5,"-")</f>
        <v>619.95827955686173</v>
      </c>
      <c r="AC175" s="147">
        <f>IFERROR(SUMIFS('01. KE30'!$O:$O,'01. KE30'!$C:$C,'06. BC BH THEO CUSTOMER-USD'!$D175,'01. KE30'!$F:$F,'06. BC BH THEO CUSTOMER-USD'!$H175,'01. KE30'!$A:$A,'06. BC BH THEO CUSTOMER-USD'!O$4)/'06. BC BH THEO CUSTOMER-USD'!CU175/'02. Tỷ giá'!D$5,"-")</f>
        <v>619.71420085647185</v>
      </c>
      <c r="AD175" s="147">
        <f>IFERROR(SUMIFS('01. KE30'!$O:$O,'01. KE30'!$C:$C,'06. BC BH THEO CUSTOMER-USD'!$D175,'01. KE30'!$F:$F,'06. BC BH THEO CUSTOMER-USD'!$H175,'01. KE30'!$A:$A,'06. BC BH THEO CUSTOMER-USD'!P$4)/'06. BC BH THEO CUSTOMER-USD'!CV175/'02. Tỷ giá'!E$5,"-")</f>
        <v>604.07841011743449</v>
      </c>
      <c r="AE175" s="147">
        <f>IFERROR(SUMIFS('01. KE30'!$O:$O,'01. KE30'!$C:$C,'06. BC BH THEO CUSTOMER-USD'!$D175,'01. KE30'!$F:$F,'06. BC BH THEO CUSTOMER-USD'!$H175,'01. KE30'!$A:$A,'06. BC BH THEO CUSTOMER-USD'!Q$4)/'06. BC BH THEO CUSTOMER-USD'!CW175/'02. Tỷ giá'!F$5,"-")</f>
        <v>602.28340185343484</v>
      </c>
      <c r="AF175" s="147">
        <f>IFERROR(SUMIFS('01. KE30'!$O:$O,'01. KE30'!$C:$C,'06. BC BH THEO CUSTOMER-USD'!$D175,'01. KE30'!$F:$F,'06. BC BH THEO CUSTOMER-USD'!$H175,'01. KE30'!$A:$A,'06. BC BH THEO CUSTOMER-USD'!R$4)/'06. BC BH THEO CUSTOMER-USD'!CX175/'02. Tỷ giá'!G$5,"-")</f>
        <v>607.28166152263373</v>
      </c>
      <c r="AG175" s="147">
        <f>IFERROR(SUMIFS('01. KE30'!$O:$O,'01. KE30'!$C:$C,'06. BC BH THEO CUSTOMER-USD'!$D175,'01. KE30'!$F:$F,'06. BC BH THEO CUSTOMER-USD'!$H175,'01. KE30'!$A:$A,'06. BC BH THEO CUSTOMER-USD'!S$4)/'06. BC BH THEO CUSTOMER-USD'!CY175/'02. Tỷ giá'!H$5,"-")</f>
        <v>604.19363981730476</v>
      </c>
      <c r="AH175" s="147">
        <f>IFERROR(SUMIFS('01. KE30'!$O:$O,'01. KE30'!$C:$C,'06. BC BH THEO CUSTOMER-USD'!$D175,'01. KE30'!$F:$F,'06. BC BH THEO CUSTOMER-USD'!$H175,'01. KE30'!$A:$A,'06. BC BH THEO CUSTOMER-USD'!T$4)/'06. BC BH THEO CUSTOMER-USD'!CZ175/'02. Tỷ giá'!I$5,"-")</f>
        <v>592.54786958771786</v>
      </c>
      <c r="AI175" s="147">
        <f>IFERROR(SUMIFS('01. KE30'!$O:$O,'01. KE30'!$C:$C,'06. BC BH THEO CUSTOMER-USD'!$D175,'01. KE30'!$F:$F,'06. BC BH THEO CUSTOMER-USD'!$H175,'01. KE30'!$A:$A,'06. BC BH THEO CUSTOMER-USD'!U$4)/'06. BC BH THEO CUSTOMER-USD'!DA175/'02. Tỷ giá'!J$5,"-")</f>
        <v>590.47619047619048</v>
      </c>
      <c r="AJ175" s="147" t="str">
        <f>IFERROR(SUMIFS('01. KE30'!$O:$O,'01. KE30'!$C:$C,'06. BC BH THEO CUSTOMER-USD'!$D175,'01. KE30'!$F:$F,'06. BC BH THEO CUSTOMER-USD'!$H175,'01. KE30'!$A:$A,'06. BC BH THEO CUSTOMER-USD'!V$4)/'06. BC BH THEO CUSTOMER-USD'!DB175/'02. Tỷ giá'!K$5,"-")</f>
        <v>-</v>
      </c>
      <c r="AK175" s="147" t="str">
        <f>IFERROR(SUMIFS('01. KE30'!$O:$O,'01. KE30'!$C:$C,'06. BC BH THEO CUSTOMER-USD'!$D175,'01. KE30'!$F:$F,'06. BC BH THEO CUSTOMER-USD'!$H175,'01. KE30'!$A:$A,'06. BC BH THEO CUSTOMER-USD'!W$4)/'06. BC BH THEO CUSTOMER-USD'!DC175/'02. Tỷ giá'!L$5,"-")</f>
        <v>-</v>
      </c>
      <c r="AL175" s="147" t="str">
        <f>IFERROR(SUMIFS('01. KE30'!$O:$O,'01. KE30'!$C:$C,'06. BC BH THEO CUSTOMER-USD'!$D175,'01. KE30'!$F:$F,'06. BC BH THEO CUSTOMER-USD'!$H175,'01. KE30'!$A:$A,'06. BC BH THEO CUSTOMER-USD'!X$4)/'06. BC BH THEO CUSTOMER-USD'!DD175/'02. Tỷ giá'!M$5,"-")</f>
        <v>-</v>
      </c>
      <c r="AN175" s="55">
        <f>IFERROR(AVERAGE(AO175:AZ175),"-")</f>
        <v>737.22222222222217</v>
      </c>
      <c r="AO175" s="4">
        <v>825</v>
      </c>
      <c r="AP175" s="4">
        <v>750</v>
      </c>
      <c r="AQ175" s="4">
        <v>750</v>
      </c>
      <c r="AR175" s="4">
        <v>750</v>
      </c>
      <c r="AS175" s="4">
        <v>720</v>
      </c>
      <c r="AT175" s="4">
        <v>720</v>
      </c>
      <c r="AU175" s="4">
        <v>720</v>
      </c>
      <c r="AV175" s="4">
        <f t="shared" si="1272"/>
        <v>700</v>
      </c>
      <c r="AW175" s="4">
        <v>700</v>
      </c>
      <c r="AX175" s="4"/>
      <c r="AY175" s="4"/>
      <c r="AZ175" s="4"/>
      <c r="BB175" s="95">
        <f t="shared" si="637"/>
        <v>-129.17353963515905</v>
      </c>
      <c r="BC175" s="95">
        <f t="shared" si="1333"/>
        <v>-193.09551050448283</v>
      </c>
      <c r="BD175" s="95">
        <f t="shared" si="1718"/>
        <v>-130.04172044313827</v>
      </c>
      <c r="BE175" s="95">
        <f t="shared" si="1718"/>
        <v>-130.28579914352815</v>
      </c>
      <c r="BF175" s="95">
        <f t="shared" si="1718"/>
        <v>-145.92158988256551</v>
      </c>
      <c r="BG175" s="95">
        <f t="shared" si="1718"/>
        <v>-117.71659814656516</v>
      </c>
      <c r="BH175" s="95">
        <f t="shared" si="1718"/>
        <v>-112.71833847736627</v>
      </c>
      <c r="BI175" s="95">
        <f t="shared" si="1718"/>
        <v>-115.80636018269524</v>
      </c>
      <c r="BJ175" s="95">
        <f t="shared" si="1718"/>
        <v>-107.45213041228214</v>
      </c>
      <c r="BK175" s="95">
        <f t="shared" si="1718"/>
        <v>-109.52380952380952</v>
      </c>
      <c r="BL175" s="95" t="str">
        <f t="shared" si="1718"/>
        <v>-</v>
      </c>
      <c r="BM175" s="95" t="str">
        <f t="shared" si="1718"/>
        <v>-</v>
      </c>
      <c r="BN175" s="95" t="str">
        <f t="shared" si="1718"/>
        <v>-</v>
      </c>
      <c r="BP175" s="143">
        <f t="shared" si="639"/>
        <v>-0.17521655715394596</v>
      </c>
      <c r="BQ175" s="143">
        <f t="shared" si="1331"/>
        <v>-0.23405516424785797</v>
      </c>
      <c r="BR175" s="143">
        <f t="shared" si="518"/>
        <v>-0.17338896059085104</v>
      </c>
      <c r="BS175" s="143">
        <f t="shared" si="519"/>
        <v>-0.17371439885803755</v>
      </c>
      <c r="BT175" s="143">
        <f t="shared" si="520"/>
        <v>-0.19456211984342067</v>
      </c>
      <c r="BU175" s="143">
        <f t="shared" si="521"/>
        <v>-0.16349527520356272</v>
      </c>
      <c r="BV175" s="143">
        <f t="shared" si="522"/>
        <v>-0.15655324788523092</v>
      </c>
      <c r="BW175" s="143">
        <f t="shared" si="523"/>
        <v>-0.16084216692041006</v>
      </c>
      <c r="BX175" s="143">
        <f t="shared" si="524"/>
        <v>-0.15350304344611734</v>
      </c>
      <c r="BY175" s="143">
        <f t="shared" si="525"/>
        <v>-0.15646258503401358</v>
      </c>
      <c r="BZ175" s="143" t="str">
        <f t="shared" si="526"/>
        <v>-</v>
      </c>
      <c r="CA175" s="143" t="str">
        <f t="shared" si="527"/>
        <v>-</v>
      </c>
      <c r="CB175" s="143" t="str">
        <f t="shared" si="528"/>
        <v>-</v>
      </c>
      <c r="CD175" s="112">
        <f t="shared" si="2036"/>
        <v>953.99623107189427</v>
      </c>
      <c r="CE175" s="95">
        <f>IFERROR(SUMIFS('01. KE30'!$R:$R,'01. KE30'!$C:$C,'06. BC BH THEO CUSTOMER-USD'!$D175,'01. KE30'!$F:$F,'06. BC BH THEO CUSTOMER-USD'!$H175,'01. KE30'!$A:$A,'06. BC BH THEO CUSTOMER-USD'!CE$4)/CS175/'02. Tỷ giá'!B$5," -")</f>
        <v>1108.2727887060084</v>
      </c>
      <c r="CF175" s="95">
        <f>IFERROR(SUMIFS('01. KE30'!$R:$R,'01. KE30'!$C:$C,'06. BC BH THEO CUSTOMER-USD'!$D175,'01. KE30'!$F:$F,'06. BC BH THEO CUSTOMER-USD'!$H175,'01. KE30'!$A:$A,'06. BC BH THEO CUSTOMER-USD'!CF$4)/CT175/'02. Tỷ giá'!C$5," -")</f>
        <v>1129.38031730643</v>
      </c>
      <c r="CG175" s="95">
        <f>IFERROR(SUMIFS('01. KE30'!$R:$R,'01. KE30'!$C:$C,'06. BC BH THEO CUSTOMER-USD'!$D175,'01. KE30'!$F:$F,'06. BC BH THEO CUSTOMER-USD'!$H175,'01. KE30'!$A:$A,'06. BC BH THEO CUSTOMER-USD'!CG$4)/CU175/'02. Tỷ giá'!D$5," -")</f>
        <v>1202.3194059953032</v>
      </c>
      <c r="CH175" s="95">
        <f>IFERROR(SUMIFS('01. KE30'!$R:$R,'01. KE30'!$C:$C,'06. BC BH THEO CUSTOMER-USD'!$D175,'01. KE30'!$F:$F,'06. BC BH THEO CUSTOMER-USD'!$H175,'01. KE30'!$A:$A,'06. BC BH THEO CUSTOMER-USD'!CH$4)/CV175/'02. Tỷ giá'!E$5," -")</f>
        <v>1080.6671828623048</v>
      </c>
      <c r="CI175" s="95">
        <f>IFERROR(SUMIFS('01. KE30'!$R:$R,'01. KE30'!$C:$C,'06. BC BH THEO CUSTOMER-USD'!$D175,'01. KE30'!$F:$F,'06. BC BH THEO CUSTOMER-USD'!$H175,'01. KE30'!$A:$A,'06. BC BH THEO CUSTOMER-USD'!CI$4)/CW175/'02. Tỷ giá'!F$5," -")</f>
        <v>974.34563981492795</v>
      </c>
      <c r="CJ175" s="95">
        <f>IFERROR(SUMIFS('01. KE30'!$R:$R,'01. KE30'!$C:$C,'06. BC BH THEO CUSTOMER-USD'!$D175,'01. KE30'!$F:$F,'06. BC BH THEO CUSTOMER-USD'!$H175,'01. KE30'!$A:$A,'06. BC BH THEO CUSTOMER-USD'!CJ$4)/CX175/'02. Tỷ giá'!G$5," -")</f>
        <v>942.66224279835387</v>
      </c>
      <c r="CK175" s="95">
        <f>IFERROR(SUMIFS('01. KE30'!$R:$R,'01. KE30'!$C:$C,'06. BC BH THEO CUSTOMER-USD'!$D175,'01. KE30'!$F:$F,'06. BC BH THEO CUSTOMER-USD'!$H175,'01. KE30'!$A:$A,'06. BC BH THEO CUSTOMER-USD'!CK$4)/CY175/'02. Tỷ giá'!H$5," -")</f>
        <v>762.75091561019337</v>
      </c>
      <c r="CL175" s="95">
        <f>IFERROR(SUMIFS('01. KE30'!$R:$R,'01. KE30'!$C:$C,'06. BC BH THEO CUSTOMER-USD'!$D175,'01. KE30'!$F:$F,'06. BC BH THEO CUSTOMER-USD'!$H175,'01. KE30'!$A:$A,'06. BC BH THEO CUSTOMER-USD'!CL$4)/CZ175/'02. Tỷ giá'!I$5," -")</f>
        <v>668.93641867304109</v>
      </c>
      <c r="CM175" s="95">
        <f>IFERROR(SUMIFS('01. KE30'!$R:$R,'01. KE30'!$C:$C,'06. BC BH THEO CUSTOMER-USD'!$D175,'01. KE30'!$F:$F,'06. BC BH THEO CUSTOMER-USD'!$H175,'01. KE30'!$A:$A,'06. BC BH THEO CUSTOMER-USD'!CM$4)/DA175/'02. Tỷ giá'!J$5," -")</f>
        <v>716.63116788048558</v>
      </c>
      <c r="CN175" s="95" t="str">
        <f>IFERROR(SUMIFS('01. KE30'!$R:$R,'01. KE30'!$C:$C,'06. BC BH THEO CUSTOMER-USD'!$D175,'01. KE30'!$F:$F,'06. BC BH THEO CUSTOMER-USD'!$H175,'01. KE30'!$A:$A,'06. BC BH THEO CUSTOMER-USD'!CN$4)/DB175/'02. Tỷ giá'!K$5," -")</f>
        <v xml:space="preserve"> -</v>
      </c>
      <c r="CO175" s="95" t="str">
        <f>IFERROR(SUMIFS('01. KE30'!$R:$R,'01. KE30'!$C:$C,'06. BC BH THEO CUSTOMER-USD'!$D175,'01. KE30'!$F:$F,'06. BC BH THEO CUSTOMER-USD'!$H175,'01. KE30'!$A:$A,'06. BC BH THEO CUSTOMER-USD'!CO$4)/DC175/'02. Tỷ giá'!L$5," -")</f>
        <v xml:space="preserve"> -</v>
      </c>
      <c r="CP175" s="95" t="str">
        <f>IFERROR(SUMIFS('01. KE30'!$R:$R,'01. KE30'!$C:$C,'06. BC BH THEO CUSTOMER-USD'!$D175,'01. KE30'!$F:$F,'06. BC BH THEO CUSTOMER-USD'!$H175,'01. KE30'!$A:$A,'06. BC BH THEO CUSTOMER-USD'!CP$4)/DD175/'02. Tỷ giá'!M$5," -")</f>
        <v xml:space="preserve"> -</v>
      </c>
      <c r="CR175" s="112">
        <f t="shared" si="1249"/>
        <v>124.5</v>
      </c>
      <c r="CS175" s="114">
        <f>SUMIFS('01. KE30'!$I:$I,'01. KE30'!$C:$C,'06. BC BH THEO CUSTOMER-USD'!$D175,'01. KE30'!$F:$F,'06. BC BH THEO CUSTOMER-USD'!$H175,'01. KE30'!$A:$A,'06. BC BH THEO CUSTOMER-USD'!CS$4)/1000</f>
        <v>6</v>
      </c>
      <c r="CT175" s="114">
        <f>SUMIFS('01. KE30'!$I:$I,'01. KE30'!$C:$C,'06. BC BH THEO CUSTOMER-USD'!$D175,'01. KE30'!$F:$F,'06. BC BH THEO CUSTOMER-USD'!$H175,'01. KE30'!$A:$A,'06. BC BH THEO CUSTOMER-USD'!CT$4)/1000</f>
        <v>9.75</v>
      </c>
      <c r="CU175" s="114">
        <f>SUMIFS('01. KE30'!$I:$I,'01. KE30'!$C:$C,'06. BC BH THEO CUSTOMER-USD'!$D175,'01. KE30'!$F:$F,'06. BC BH THEO CUSTOMER-USD'!$H175,'01. KE30'!$A:$A,'06. BC BH THEO CUSTOMER-USD'!CU$4)/1000</f>
        <v>14.25</v>
      </c>
      <c r="CV175" s="114">
        <f>SUMIFS('01. KE30'!$I:$I,'01. KE30'!$C:$C,'06. BC BH THEO CUSTOMER-USD'!$D175,'01. KE30'!$F:$F,'06. BC BH THEO CUSTOMER-USD'!$H175,'01. KE30'!$A:$A,'06. BC BH THEO CUSTOMER-USD'!CV$4)/1000</f>
        <v>23.25</v>
      </c>
      <c r="CW175" s="114">
        <f>SUMIFS('01. KE30'!$I:$I,'01. KE30'!$C:$C,'06. BC BH THEO CUSTOMER-USD'!$D175,'01. KE30'!$F:$F,'06. BC BH THEO CUSTOMER-USD'!$H175,'01. KE30'!$A:$A,'06. BC BH THEO CUSTOMER-USD'!CW$4)/1000</f>
        <v>14.25</v>
      </c>
      <c r="CX175" s="114">
        <f>SUMIFS('01. KE30'!$I:$I,'01. KE30'!$C:$C,'06. BC BH THEO CUSTOMER-USD'!$D175,'01. KE30'!$F:$F,'06. BC BH THEO CUSTOMER-USD'!$H175,'01. KE30'!$A:$A,'06. BC BH THEO CUSTOMER-USD'!CX$4)/1000</f>
        <v>12</v>
      </c>
      <c r="CY175" s="114">
        <f>SUMIFS('01. KE30'!$I:$I,'01. KE30'!$C:$C,'06. BC BH THEO CUSTOMER-USD'!$D175,'01. KE30'!$F:$F,'06. BC BH THEO CUSTOMER-USD'!$H175,'01. KE30'!$A:$A,'06. BC BH THEO CUSTOMER-USD'!CY$4)/1000</f>
        <v>9</v>
      </c>
      <c r="CZ175" s="114">
        <f>SUMIFS('01. KE30'!$I:$I,'01. KE30'!$C:$C,'06. BC BH THEO CUSTOMER-USD'!$D175,'01. KE30'!$F:$F,'06. BC BH THEO CUSTOMER-USD'!$H175,'01. KE30'!$A:$A,'06. BC BH THEO CUSTOMER-USD'!CZ$4)/1000</f>
        <v>23.25</v>
      </c>
      <c r="DA175" s="114">
        <f>SUMIFS('01. KE30'!$I:$I,'01. KE30'!$C:$C,'06. BC BH THEO CUSTOMER-USD'!$D175,'01. KE30'!$F:$F,'06. BC BH THEO CUSTOMER-USD'!$H175,'01. KE30'!$A:$A,'06. BC BH THEO CUSTOMER-USD'!DA$4)/1000</f>
        <v>12.75</v>
      </c>
      <c r="DB175" s="114">
        <f>SUMIFS('01. KE30'!$I:$I,'01. KE30'!$C:$C,'06. BC BH THEO CUSTOMER-USD'!$D175,'01. KE30'!$F:$F,'06. BC BH THEO CUSTOMER-USD'!$H175,'01. KE30'!$A:$A,'06. BC BH THEO CUSTOMER-USD'!DB$4)/1000</f>
        <v>0</v>
      </c>
      <c r="DC175" s="114">
        <f>SUMIFS('01. KE30'!$I:$I,'01. KE30'!$C:$C,'06. BC BH THEO CUSTOMER-USD'!$D175,'01. KE30'!$F:$F,'06. BC BH THEO CUSTOMER-USD'!$H175,'01. KE30'!$A:$A,'06. BC BH THEO CUSTOMER-USD'!DC$4)/1000</f>
        <v>0</v>
      </c>
      <c r="DD175" s="114">
        <f>SUMIFS('01. KE30'!$I:$I,'01. KE30'!$C:$C,'06. BC BH THEO CUSTOMER-USD'!$D175,'01. KE30'!$F:$F,'06. BC BH THEO CUSTOMER-USD'!$H175,'01. KE30'!$A:$A,'06. BC BH THEO CUSTOMER-USD'!DD$4)/1000</f>
        <v>0</v>
      </c>
      <c r="DF175" s="112">
        <f t="shared" si="2037"/>
        <v>75324.741129612245</v>
      </c>
      <c r="DG175" s="54">
        <f t="shared" si="2038"/>
        <v>3791.4269369731028</v>
      </c>
      <c r="DH175" s="54">
        <f t="shared" si="2039"/>
        <v>6044.5932256794022</v>
      </c>
      <c r="DI175" s="54">
        <f t="shared" si="2040"/>
        <v>8830.927362204724</v>
      </c>
      <c r="DJ175" s="54">
        <f t="shared" si="2041"/>
        <v>14044.823035230353</v>
      </c>
      <c r="DK175" s="54">
        <f t="shared" si="2042"/>
        <v>8582.538476411446</v>
      </c>
      <c r="DL175" s="54">
        <f t="shared" si="2043"/>
        <v>7287.3799382716043</v>
      </c>
      <c r="DM175" s="54">
        <f t="shared" si="2044"/>
        <v>5437.7427583557428</v>
      </c>
      <c r="DN175" s="54">
        <f t="shared" si="2045"/>
        <v>13776.73796791444</v>
      </c>
      <c r="DO175" s="54">
        <f t="shared" si="2046"/>
        <v>7528.5714285714284</v>
      </c>
      <c r="DP175" s="54" t="str">
        <f t="shared" si="2047"/>
        <v>-</v>
      </c>
      <c r="DQ175" s="54" t="str">
        <f t="shared" si="2048"/>
        <v>-</v>
      </c>
      <c r="DR175" s="54" t="str">
        <f t="shared" si="2049"/>
        <v>-</v>
      </c>
      <c r="DT175" s="112">
        <f t="shared" si="652"/>
        <v>-41345.86687940226</v>
      </c>
      <c r="DU175" s="114">
        <f>IFERROR(SUMIFS('01. KE30'!$X:$X,'01. KE30'!$C:$C,'06. BC BH THEO CUSTOMER-USD'!$D175,'01. KE30'!$F:$F,'06. BC BH THEO CUSTOMER-USD'!$H175,'01. KE30'!$A:$A,'06. BC BH THEO CUSTOMER-USD'!DU$4)-SUMIFS('01. KE30'!$AA:$AA,'01. KE30'!$C:$C,'06. BC BH THEO CUSTOMER-USD'!$D175,'01. KE30'!$F:$F,'06. BC BH THEO CUSTOMER-USD'!$H175,'01. KE30'!$A:$A,'06. BC BH THEO CUSTOMER-USD'!DU$4),"-")</f>
        <v>-2858.209795262947</v>
      </c>
      <c r="DV175" s="114">
        <f>IFERROR(SUMIFS('01. KE30'!$X:$X,'01. KE30'!$C:$C,'06. BC BH THEO CUSTOMER-USD'!$D175,'01. KE30'!$F:$F,'06. BC BH THEO CUSTOMER-USD'!$H175,'01. KE30'!$A:$A,'06. BC BH THEO CUSTOMER-USD'!DV$4)-SUMIFS('01. KE30'!$AA:$AA,'01. KE30'!$C:$C,'06. BC BH THEO CUSTOMER-USD'!$D175,'01. KE30'!$F:$F,'06. BC BH THEO CUSTOMER-USD'!$H175,'01. KE30'!$A:$A,'06. BC BH THEO CUSTOMER-USD'!DV$4),"-")</f>
        <v>-4966.864868058291</v>
      </c>
      <c r="DW175" s="114">
        <f>IFERROR(SUMIFS('01. KE30'!$X:$X,'01. KE30'!$C:$C,'06. BC BH THEO CUSTOMER-USD'!$D175,'01. KE30'!$F:$F,'06. BC BH THEO CUSTOMER-USD'!$H175,'01. KE30'!$A:$A,'06. BC BH THEO CUSTOMER-USD'!DW$4)-SUMIFS('01. KE30'!$AA:$AA,'01. KE30'!$C:$C,'06. BC BH THEO CUSTOMER-USD'!$D175,'01. KE30'!$F:$F,'06. BC BH THEO CUSTOMER-USD'!$H175,'01. KE30'!$A:$A,'06. BC BH THEO CUSTOMER-USD'!DW$4),"-")</f>
        <v>-8302.124173228347</v>
      </c>
      <c r="DX175" s="114">
        <f>IFERROR(SUMIFS('01. KE30'!$X:$X,'01. KE30'!$C:$C,'06. BC BH THEO CUSTOMER-USD'!$D175,'01. KE30'!$F:$F,'06. BC BH THEO CUSTOMER-USD'!$H175,'01. KE30'!$A:$A,'06. BC BH THEO CUSTOMER-USD'!DX$4)-SUMIFS('01. KE30'!$AA:$AA,'01. KE30'!$C:$C,'06. BC BH THEO CUSTOMER-USD'!$D175,'01. KE30'!$F:$F,'06. BC BH THEO CUSTOMER-USD'!$H175,'01. KE30'!$A:$A,'06. BC BH THEO CUSTOMER-USD'!DX$4),"-")</f>
        <v>-11080.688966318236</v>
      </c>
      <c r="DY175" s="114">
        <f>IFERROR(SUMIFS('01. KE30'!$X:$X,'01. KE30'!$C:$C,'06. BC BH THEO CUSTOMER-USD'!$D175,'01. KE30'!$F:$F,'06. BC BH THEO CUSTOMER-USD'!$H175,'01. KE30'!$A:$A,'06. BC BH THEO CUSTOMER-USD'!DY$4)-SUMIFS('01. KE30'!$AA:$AA,'01. KE30'!$C:$C,'06. BC BH THEO CUSTOMER-USD'!$D175,'01. KE30'!$F:$F,'06. BC BH THEO CUSTOMER-USD'!$H175,'01. KE30'!$A:$A,'06. BC BH THEO CUSTOMER-USD'!DY$4),"-")</f>
        <v>-5301.8868909512767</v>
      </c>
      <c r="DZ175" s="114">
        <f>IFERROR(SUMIFS('01. KE30'!$X:$X,'01. KE30'!$C:$C,'06. BC BH THEO CUSTOMER-USD'!$D175,'01. KE30'!$F:$F,'06. BC BH THEO CUSTOMER-USD'!$H175,'01. KE30'!$A:$A,'06. BC BH THEO CUSTOMER-USD'!DZ$4)-SUMIFS('01. KE30'!$AA:$AA,'01. KE30'!$C:$C,'06. BC BH THEO CUSTOMER-USD'!$D175,'01. KE30'!$F:$F,'06. BC BH THEO CUSTOMER-USD'!$H175,'01. KE30'!$A:$A,'06. BC BH THEO CUSTOMER-USD'!DZ$4),"-")</f>
        <v>-4024.5669753086413</v>
      </c>
      <c r="EA175" s="114">
        <f>IFERROR(SUMIFS('01. KE30'!$X:$X,'01. KE30'!$C:$C,'06. BC BH THEO CUSTOMER-USD'!$D175,'01. KE30'!$F:$F,'06. BC BH THEO CUSTOMER-USD'!$H175,'01. KE30'!$A:$A,'06. BC BH THEO CUSTOMER-USD'!EA$4)-SUMIFS('01. KE30'!$AA:$AA,'01. KE30'!$C:$C,'06. BC BH THEO CUSTOMER-USD'!$D175,'01. KE30'!$F:$F,'06. BC BH THEO CUSTOMER-USD'!$H175,'01. KE30'!$A:$A,'06. BC BH THEO CUSTOMER-USD'!EA$4),"-")</f>
        <v>-1427.0154821359965</v>
      </c>
      <c r="EB175" s="114">
        <f>IFERROR(SUMIFS('01. KE30'!$X:$X,'01. KE30'!$C:$C,'06. BC BH THEO CUSTOMER-USD'!$D175,'01. KE30'!$F:$F,'06. BC BH THEO CUSTOMER-USD'!$H175,'01. KE30'!$A:$A,'06. BC BH THEO CUSTOMER-USD'!EB$4)-SUMIFS('01. KE30'!$AA:$AA,'01. KE30'!$C:$C,'06. BC BH THEO CUSTOMER-USD'!$D175,'01. KE30'!$F:$F,'06. BC BH THEO CUSTOMER-USD'!$H175,'01. KE30'!$A:$A,'06. BC BH THEO CUSTOMER-USD'!EB$4),"-")</f>
        <v>-1776.0337662337661</v>
      </c>
      <c r="EC175" s="114">
        <f>IFERROR(SUMIFS('01. KE30'!$X:$X,'01. KE30'!$C:$C,'06. BC BH THEO CUSTOMER-USD'!$D175,'01. KE30'!$F:$F,'06. BC BH THEO CUSTOMER-USD'!$H175,'01. KE30'!$A:$A,'06. BC BH THEO CUSTOMER-USD'!EC$4)-SUMIFS('01. KE30'!$AA:$AA,'01. KE30'!$C:$C,'06. BC BH THEO CUSTOMER-USD'!$D175,'01. KE30'!$F:$F,'06. BC BH THEO CUSTOMER-USD'!$H175,'01. KE30'!$A:$A,'06. BC BH THEO CUSTOMER-USD'!EC$4),"-")</f>
        <v>-1608.4759619047627</v>
      </c>
      <c r="ED175" s="114">
        <f>IFERROR(SUMIFS('01. KE30'!$X:$X,'01. KE30'!$C:$C,'06. BC BH THEO CUSTOMER-USD'!$D175,'01. KE30'!$F:$F,'06. BC BH THEO CUSTOMER-USD'!$H175,'01. KE30'!$A:$A,'06. BC BH THEO CUSTOMER-USD'!ED$4)-SUMIFS('01. KE30'!$AA:$AA,'01. KE30'!$C:$C,'06. BC BH THEO CUSTOMER-USD'!$D175,'01. KE30'!$F:$F,'06. BC BH THEO CUSTOMER-USD'!$H175,'01. KE30'!$A:$A,'06. BC BH THEO CUSTOMER-USD'!ED$4),"-")</f>
        <v>0</v>
      </c>
      <c r="EE175" s="114">
        <f>IFERROR(SUMIFS('01. KE30'!$X:$X,'01. KE30'!$C:$C,'06. BC BH THEO CUSTOMER-USD'!$D175,'01. KE30'!$F:$F,'06. BC BH THEO CUSTOMER-USD'!$H175,'01. KE30'!$A:$A,'06. BC BH THEO CUSTOMER-USD'!EE$4)-SUMIFS('01. KE30'!$AA:$AA,'01. KE30'!$C:$C,'06. BC BH THEO CUSTOMER-USD'!$D175,'01. KE30'!$F:$F,'06. BC BH THEO CUSTOMER-USD'!$H175,'01. KE30'!$A:$A,'06. BC BH THEO CUSTOMER-USD'!EE$4),"-")</f>
        <v>0</v>
      </c>
      <c r="EF175" s="114">
        <f>IFERROR(SUMIFS('01. KE30'!$X:$X,'01. KE30'!$C:$C,'06. BC BH THEO CUSTOMER-USD'!$D175,'01. KE30'!$F:$F,'06. BC BH THEO CUSTOMER-USD'!$H175,'01. KE30'!$A:$A,'06. BC BH THEO CUSTOMER-USD'!EF$4)-SUMIFS('01. KE30'!$AA:$AA,'01. KE30'!$C:$C,'06. BC BH THEO CUSTOMER-USD'!$D175,'01. KE30'!$F:$F,'06. BC BH THEO CUSTOMER-USD'!$H175,'01. KE30'!$A:$A,'06. BC BH THEO CUSTOMER-USD'!EF$4),"-")</f>
        <v>0</v>
      </c>
      <c r="EH175" s="571">
        <f t="shared" si="1737"/>
        <v>-0.54890154628288601</v>
      </c>
      <c r="EI175" s="572">
        <f t="shared" si="1738"/>
        <v>-0.75386123556552231</v>
      </c>
      <c r="EJ175" s="572">
        <f t="shared" si="1739"/>
        <v>-0.821703741280295</v>
      </c>
      <c r="EK175" s="572">
        <f t="shared" si="1740"/>
        <v>-0.94011917805602285</v>
      </c>
      <c r="EL175" s="572">
        <f t="shared" si="1741"/>
        <v>-0.78895183930215307</v>
      </c>
      <c r="EM175" s="572">
        <f t="shared" si="1742"/>
        <v>-0.61775276691426095</v>
      </c>
      <c r="EN175" s="572">
        <f t="shared" si="1743"/>
        <v>-0.55226528730477775</v>
      </c>
      <c r="EO175" s="572">
        <f t="shared" si="1744"/>
        <v>-0.26242791274802701</v>
      </c>
      <c r="EP175" s="572">
        <f t="shared" si="1745"/>
        <v>-0.12891540583627917</v>
      </c>
      <c r="EQ175" s="572">
        <f t="shared" si="1746"/>
        <v>-0.21364955850727399</v>
      </c>
      <c r="ER175" s="572" t="str">
        <f t="shared" si="1747"/>
        <v>-</v>
      </c>
      <c r="ES175" s="572" t="str">
        <f t="shared" si="1748"/>
        <v>-</v>
      </c>
      <c r="ET175" s="572" t="str">
        <f t="shared" si="1749"/>
        <v>-</v>
      </c>
    </row>
    <row r="176" spans="1:150" ht="15.5" hidden="1" outlineLevel="1" x14ac:dyDescent="0.35">
      <c r="A176" s="10">
        <f t="shared" si="1266"/>
        <v>3</v>
      </c>
      <c r="B176" s="10" t="s">
        <v>295</v>
      </c>
      <c r="C176" s="442" t="s">
        <v>489</v>
      </c>
      <c r="D176" s="9" t="s">
        <v>456</v>
      </c>
      <c r="E176" s="8" t="s">
        <v>457</v>
      </c>
      <c r="F176" s="12" t="s">
        <v>245</v>
      </c>
      <c r="G176" s="12" t="str">
        <f>_xlfn.XLOOKUP(F176,'Quy đổi'!$G$5:$G$32,'Quy đổi'!$H$5:$H$32,0)</f>
        <v>Nội địa</v>
      </c>
      <c r="H176" s="80" t="s">
        <v>43</v>
      </c>
      <c r="I176" s="7" t="s">
        <v>42</v>
      </c>
      <c r="J176" s="69" t="s">
        <v>22</v>
      </c>
      <c r="K176" s="5"/>
      <c r="L176" s="92">
        <f t="shared" si="1263"/>
        <v>619.95830379414474</v>
      </c>
      <c r="M176" s="106" t="str">
        <f>IFERROR(SUMIFS('01. KE30'!$K:$K,'01. KE30'!$C:$C,'06. BC BH THEO CUSTOMER-USD'!$D176,'01. KE30'!$F:$F,'06. BC BH THEO CUSTOMER-USD'!$H176,'01. KE30'!$A:$A,'06. BC BH THEO CUSTOMER-USD'!M$4)/'06. BC BH THEO CUSTOMER-USD'!CS176/'02. Tỷ giá'!B$5,"-")</f>
        <v>-</v>
      </c>
      <c r="N176" s="106">
        <f>IFERROR(SUMIFS('01. KE30'!$K:$K,'01. KE30'!$C:$C,'06. BC BH THEO CUSTOMER-USD'!$D176,'01. KE30'!$F:$F,'06. BC BH THEO CUSTOMER-USD'!$H176,'01. KE30'!$A:$A,'06. BC BH THEO CUSTOMER-USD'!N$4)/'06. BC BH THEO CUSTOMER-USD'!CT176/'02. Tỷ giá'!C$5,"-")</f>
        <v>619.95830379414474</v>
      </c>
      <c r="O176" s="106" t="str">
        <f>IFERROR(SUMIFS('01. KE30'!$K:$K,'01. KE30'!$C:$C,'06. BC BH THEO CUSTOMER-USD'!$D176,'01. KE30'!$F:$F,'06. BC BH THEO CUSTOMER-USD'!$H176,'01. KE30'!$A:$A,'06. BC BH THEO CUSTOMER-USD'!O$4)/'06. BC BH THEO CUSTOMER-USD'!CU176/'02. Tỷ giá'!D$5,"-")</f>
        <v>-</v>
      </c>
      <c r="P176" s="106" t="str">
        <f>IFERROR(SUMIFS('01. KE30'!$K:$K,'01. KE30'!$C:$C,'06. BC BH THEO CUSTOMER-USD'!$D176,'01. KE30'!$F:$F,'06. BC BH THEO CUSTOMER-USD'!$H176,'01. KE30'!$A:$A,'06. BC BH THEO CUSTOMER-USD'!P$4)/'06. BC BH THEO CUSTOMER-USD'!CV176/'02. Tỷ giá'!E$5,"-")</f>
        <v>-</v>
      </c>
      <c r="Q176" s="106" t="str">
        <f>IFERROR(SUMIFS('01. KE30'!$K:$K,'01. KE30'!$C:$C,'06. BC BH THEO CUSTOMER-USD'!$D176,'01. KE30'!$F:$F,'06. BC BH THEO CUSTOMER-USD'!$H176,'01. KE30'!$A:$A,'06. BC BH THEO CUSTOMER-USD'!Q$4)/'06. BC BH THEO CUSTOMER-USD'!CW176/'02. Tỷ giá'!F$5,"-")</f>
        <v>-</v>
      </c>
      <c r="R176" s="106" t="str">
        <f>IFERROR(SUMIFS('01. KE30'!$K:$K,'01. KE30'!$C:$C,'06. BC BH THEO CUSTOMER-USD'!$D176,'01. KE30'!$F:$F,'06. BC BH THEO CUSTOMER-USD'!$H176,'01. KE30'!$A:$A,'06. BC BH THEO CUSTOMER-USD'!R$4)/'06. BC BH THEO CUSTOMER-USD'!CX176/'02. Tỷ giá'!G$5,"-")</f>
        <v>-</v>
      </c>
      <c r="S176" s="106" t="str">
        <f>IFERROR(SUMIFS('01. KE30'!$K:$K,'01. KE30'!$C:$C,'06. BC BH THEO CUSTOMER-USD'!$D176,'01. KE30'!$F:$F,'06. BC BH THEO CUSTOMER-USD'!$H176,'01. KE30'!$A:$A,'06. BC BH THEO CUSTOMER-USD'!S$4)/'06. BC BH THEO CUSTOMER-USD'!CY176/'02. Tỷ giá'!H$5,"-")</f>
        <v>-</v>
      </c>
      <c r="T176" s="106" t="str">
        <f>IFERROR(SUMIFS('01. KE30'!$K:$K,'01. KE30'!$C:$C,'06. BC BH THEO CUSTOMER-USD'!$D176,'01. KE30'!$F:$F,'06. BC BH THEO CUSTOMER-USD'!$H176,'01. KE30'!$A:$A,'06. BC BH THEO CUSTOMER-USD'!T$4)/'06. BC BH THEO CUSTOMER-USD'!CZ176/'02. Tỷ giá'!I$5,"-")</f>
        <v>-</v>
      </c>
      <c r="U176" s="106" t="str">
        <f>IFERROR(SUMIFS('01. KE30'!$K:$K,'01. KE30'!$C:$C,'06. BC BH THEO CUSTOMER-USD'!$D176,'01. KE30'!$F:$F,'06. BC BH THEO CUSTOMER-USD'!$H176,'01. KE30'!$A:$A,'06. BC BH THEO CUSTOMER-USD'!U$4)/'06. BC BH THEO CUSTOMER-USD'!DA176/'02. Tỷ giá'!J$5,"-")</f>
        <v>-</v>
      </c>
      <c r="V176" s="106" t="str">
        <f>IFERROR(SUMIFS('01. KE30'!$K:$K,'01. KE30'!$C:$C,'06. BC BH THEO CUSTOMER-USD'!$D176,'01. KE30'!$F:$F,'06. BC BH THEO CUSTOMER-USD'!$H176,'01. KE30'!$A:$A,'06. BC BH THEO CUSTOMER-USD'!V$4)/'06. BC BH THEO CUSTOMER-USD'!DB176/'02. Tỷ giá'!K$5,"-")</f>
        <v>-</v>
      </c>
      <c r="W176" s="106" t="str">
        <f>IFERROR(SUMIFS('01. KE30'!$K:$K,'01. KE30'!$C:$C,'06. BC BH THEO CUSTOMER-USD'!$D176,'01. KE30'!$F:$F,'06. BC BH THEO CUSTOMER-USD'!$H176,'01. KE30'!$A:$A,'06. BC BH THEO CUSTOMER-USD'!W$4)/'06. BC BH THEO CUSTOMER-USD'!DC176/'02. Tỷ giá'!L$5,"-")</f>
        <v>-</v>
      </c>
      <c r="X176" s="106" t="str">
        <f>IFERROR(SUMIFS('01. KE30'!$K:$K,'01. KE30'!$C:$C,'06. BC BH THEO CUSTOMER-USD'!$D176,'01. KE30'!$F:$F,'06. BC BH THEO CUSTOMER-USD'!$H176,'01. KE30'!$A:$A,'06. BC BH THEO CUSTOMER-USD'!X$4)/'06. BC BH THEO CUSTOMER-USD'!DD176/'02. Tỷ giá'!M$5,"-")</f>
        <v>-</v>
      </c>
      <c r="Z176" s="92">
        <f t="shared" si="1264"/>
        <v>619.95830379414474</v>
      </c>
      <c r="AA176" s="147" t="str">
        <f>IFERROR(SUMIFS('01. KE30'!$O:$O,'01. KE30'!$C:$C,'06. BC BH THEO CUSTOMER-USD'!$D176,'01. KE30'!$F:$F,'06. BC BH THEO CUSTOMER-USD'!$H176,'01. KE30'!$A:$A,'06. BC BH THEO CUSTOMER-USD'!M$4)/'06. BC BH THEO CUSTOMER-USD'!CS176/'02. Tỷ giá'!B$5,"-")</f>
        <v>-</v>
      </c>
      <c r="AB176" s="147">
        <f>IFERROR(SUMIFS('01. KE30'!$O:$O,'01. KE30'!$C:$C,'06. BC BH THEO CUSTOMER-USD'!$D176,'01. KE30'!$F:$F,'06. BC BH THEO CUSTOMER-USD'!$H176,'01. KE30'!$A:$A,'06. BC BH THEO CUSTOMER-USD'!N$4)/'06. BC BH THEO CUSTOMER-USD'!CT176/'02. Tỷ giá'!C$5,"-")</f>
        <v>619.95830379414474</v>
      </c>
      <c r="AC176" s="147" t="str">
        <f>IFERROR(SUMIFS('01. KE30'!$O:$O,'01. KE30'!$C:$C,'06. BC BH THEO CUSTOMER-USD'!$D176,'01. KE30'!$F:$F,'06. BC BH THEO CUSTOMER-USD'!$H176,'01. KE30'!$A:$A,'06. BC BH THEO CUSTOMER-USD'!O$4)/'06. BC BH THEO CUSTOMER-USD'!CU176/'02. Tỷ giá'!D$5,"-")</f>
        <v>-</v>
      </c>
      <c r="AD176" s="147" t="str">
        <f>IFERROR(SUMIFS('01. KE30'!$O:$O,'01. KE30'!$C:$C,'06. BC BH THEO CUSTOMER-USD'!$D176,'01. KE30'!$F:$F,'06. BC BH THEO CUSTOMER-USD'!$H176,'01. KE30'!$A:$A,'06. BC BH THEO CUSTOMER-USD'!P$4)/'06. BC BH THEO CUSTOMER-USD'!CV176/'02. Tỷ giá'!E$5,"-")</f>
        <v>-</v>
      </c>
      <c r="AE176" s="147" t="str">
        <f>IFERROR(SUMIFS('01. KE30'!$O:$O,'01. KE30'!$C:$C,'06. BC BH THEO CUSTOMER-USD'!$D176,'01. KE30'!$F:$F,'06. BC BH THEO CUSTOMER-USD'!$H176,'01. KE30'!$A:$A,'06. BC BH THEO CUSTOMER-USD'!Q$4)/'06. BC BH THEO CUSTOMER-USD'!CW176/'02. Tỷ giá'!F$5,"-")</f>
        <v>-</v>
      </c>
      <c r="AF176" s="147" t="str">
        <f>IFERROR(SUMIFS('01. KE30'!$O:$O,'01. KE30'!$C:$C,'06. BC BH THEO CUSTOMER-USD'!$D176,'01. KE30'!$F:$F,'06. BC BH THEO CUSTOMER-USD'!$H176,'01. KE30'!$A:$A,'06. BC BH THEO CUSTOMER-USD'!R$4)/'06. BC BH THEO CUSTOMER-USD'!CX176/'02. Tỷ giá'!G$5,"-")</f>
        <v>-</v>
      </c>
      <c r="AG176" s="147" t="str">
        <f>IFERROR(SUMIFS('01. KE30'!$O:$O,'01. KE30'!$C:$C,'06. BC BH THEO CUSTOMER-USD'!$D176,'01. KE30'!$F:$F,'06. BC BH THEO CUSTOMER-USD'!$H176,'01. KE30'!$A:$A,'06. BC BH THEO CUSTOMER-USD'!S$4)/'06. BC BH THEO CUSTOMER-USD'!CY176/'02. Tỷ giá'!H$5,"-")</f>
        <v>-</v>
      </c>
      <c r="AH176" s="147" t="str">
        <f>IFERROR(SUMIFS('01. KE30'!$O:$O,'01. KE30'!$C:$C,'06. BC BH THEO CUSTOMER-USD'!$D176,'01. KE30'!$F:$F,'06. BC BH THEO CUSTOMER-USD'!$H176,'01. KE30'!$A:$A,'06. BC BH THEO CUSTOMER-USD'!T$4)/'06. BC BH THEO CUSTOMER-USD'!CZ176/'02. Tỷ giá'!I$5,"-")</f>
        <v>-</v>
      </c>
      <c r="AI176" s="147" t="str">
        <f>IFERROR(SUMIFS('01. KE30'!$O:$O,'01. KE30'!$C:$C,'06. BC BH THEO CUSTOMER-USD'!$D176,'01. KE30'!$F:$F,'06. BC BH THEO CUSTOMER-USD'!$H176,'01. KE30'!$A:$A,'06. BC BH THEO CUSTOMER-USD'!U$4)/'06. BC BH THEO CUSTOMER-USD'!DA176/'02. Tỷ giá'!J$5,"-")</f>
        <v>-</v>
      </c>
      <c r="AJ176" s="147" t="str">
        <f>IFERROR(SUMIFS('01. KE30'!$O:$O,'01. KE30'!$C:$C,'06. BC BH THEO CUSTOMER-USD'!$D176,'01. KE30'!$F:$F,'06. BC BH THEO CUSTOMER-USD'!$H176,'01. KE30'!$A:$A,'06. BC BH THEO CUSTOMER-USD'!V$4)/'06. BC BH THEO CUSTOMER-USD'!DB176/'02. Tỷ giá'!K$5,"-")</f>
        <v>-</v>
      </c>
      <c r="AK176" s="147" t="str">
        <f>IFERROR(SUMIFS('01. KE30'!$O:$O,'01. KE30'!$C:$C,'06. BC BH THEO CUSTOMER-USD'!$D176,'01. KE30'!$F:$F,'06. BC BH THEO CUSTOMER-USD'!$H176,'01. KE30'!$A:$A,'06. BC BH THEO CUSTOMER-USD'!W$4)/'06. BC BH THEO CUSTOMER-USD'!DC176/'02. Tỷ giá'!L$5,"-")</f>
        <v>-</v>
      </c>
      <c r="AL176" s="147" t="str">
        <f>IFERROR(SUMIFS('01. KE30'!$O:$O,'01. KE30'!$C:$C,'06. BC BH THEO CUSTOMER-USD'!$D176,'01. KE30'!$F:$F,'06. BC BH THEO CUSTOMER-USD'!$H176,'01. KE30'!$A:$A,'06. BC BH THEO CUSTOMER-USD'!X$4)/'06. BC BH THEO CUSTOMER-USD'!DD176/'02. Tỷ giá'!M$5,"-")</f>
        <v>-</v>
      </c>
      <c r="AN176" s="55">
        <f t="shared" si="1265"/>
        <v>737.22222222222217</v>
      </c>
      <c r="AO176" s="4">
        <v>825</v>
      </c>
      <c r="AP176" s="4">
        <v>750</v>
      </c>
      <c r="AQ176" s="4">
        <v>750</v>
      </c>
      <c r="AR176" s="4">
        <v>750</v>
      </c>
      <c r="AS176" s="4">
        <v>720</v>
      </c>
      <c r="AT176" s="4">
        <v>720</v>
      </c>
      <c r="AU176" s="4">
        <v>720</v>
      </c>
      <c r="AV176" s="4">
        <f t="shared" si="1272"/>
        <v>700</v>
      </c>
      <c r="AW176" s="4">
        <v>700</v>
      </c>
      <c r="AX176" s="4"/>
      <c r="AY176" s="4"/>
      <c r="AZ176" s="4"/>
      <c r="BB176" s="95">
        <f t="shared" si="637"/>
        <v>-117.26391842807743</v>
      </c>
      <c r="BC176" s="95" t="str">
        <f t="shared" si="1333"/>
        <v>-</v>
      </c>
      <c r="BD176" s="95">
        <f t="shared" si="1718"/>
        <v>-130.04169620585526</v>
      </c>
      <c r="BE176" s="95" t="str">
        <f t="shared" si="1718"/>
        <v>-</v>
      </c>
      <c r="BF176" s="95" t="str">
        <f t="shared" si="1718"/>
        <v>-</v>
      </c>
      <c r="BG176" s="95" t="str">
        <f t="shared" si="1718"/>
        <v>-</v>
      </c>
      <c r="BH176" s="95" t="str">
        <f t="shared" si="1718"/>
        <v>-</v>
      </c>
      <c r="BI176" s="95" t="str">
        <f t="shared" si="1718"/>
        <v>-</v>
      </c>
      <c r="BJ176" s="95" t="str">
        <f t="shared" si="1718"/>
        <v>-</v>
      </c>
      <c r="BK176" s="95" t="str">
        <f t="shared" si="1718"/>
        <v>-</v>
      </c>
      <c r="BL176" s="95" t="str">
        <f t="shared" si="1718"/>
        <v>-</v>
      </c>
      <c r="BM176" s="95" t="str">
        <f t="shared" si="1718"/>
        <v>-</v>
      </c>
      <c r="BN176" s="95" t="str">
        <f t="shared" si="1718"/>
        <v>-</v>
      </c>
      <c r="BP176" s="143">
        <f t="shared" si="639"/>
        <v>-0.15906183358744491</v>
      </c>
      <c r="BQ176" s="143" t="str">
        <f t="shared" si="1331"/>
        <v>-</v>
      </c>
      <c r="BR176" s="143">
        <f t="shared" si="518"/>
        <v>-0.17338892827447369</v>
      </c>
      <c r="BS176" s="143" t="str">
        <f t="shared" si="519"/>
        <v>-</v>
      </c>
      <c r="BT176" s="143" t="str">
        <f t="shared" si="520"/>
        <v>-</v>
      </c>
      <c r="BU176" s="143" t="str">
        <f t="shared" si="521"/>
        <v>-</v>
      </c>
      <c r="BV176" s="143" t="str">
        <f t="shared" si="522"/>
        <v>-</v>
      </c>
      <c r="BW176" s="143" t="str">
        <f t="shared" si="523"/>
        <v>-</v>
      </c>
      <c r="BX176" s="143" t="str">
        <f t="shared" si="524"/>
        <v>-</v>
      </c>
      <c r="BY176" s="143" t="str">
        <f t="shared" si="525"/>
        <v>-</v>
      </c>
      <c r="BZ176" s="143" t="str">
        <f t="shared" si="526"/>
        <v>-</v>
      </c>
      <c r="CA176" s="143" t="str">
        <f t="shared" si="527"/>
        <v>-</v>
      </c>
      <c r="CB176" s="143" t="str">
        <f t="shared" si="528"/>
        <v>-</v>
      </c>
      <c r="CD176" s="112">
        <f t="shared" si="2036"/>
        <v>982.78240777208873</v>
      </c>
      <c r="CE176" s="95" t="str">
        <f>IFERROR(SUMIFS('01. KE30'!$R:$R,'01. KE30'!$C:$C,'06. BC BH THEO CUSTOMER-USD'!$D176,'01. KE30'!$F:$F,'06. BC BH THEO CUSTOMER-USD'!$H176,'01. KE30'!$A:$A,'06. BC BH THEO CUSTOMER-USD'!CE$4)/CS176/'02. Tỷ giá'!B$5," -")</f>
        <v xml:space="preserve"> -</v>
      </c>
      <c r="CF176" s="95">
        <f>IFERROR(SUMIFS('01. KE30'!$R:$R,'01. KE30'!$C:$C,'06. BC BH THEO CUSTOMER-USD'!$D176,'01. KE30'!$F:$F,'06. BC BH THEO CUSTOMER-USD'!$H176,'01. KE30'!$A:$A,'06. BC BH THEO CUSTOMER-USD'!CF$4)/CT176/'02. Tỷ giá'!C$5," -")</f>
        <v>982.78240777208873</v>
      </c>
      <c r="CG176" s="95" t="str">
        <f>IFERROR(SUMIFS('01. KE30'!$R:$R,'01. KE30'!$C:$C,'06. BC BH THEO CUSTOMER-USD'!$D176,'01. KE30'!$F:$F,'06. BC BH THEO CUSTOMER-USD'!$H176,'01. KE30'!$A:$A,'06. BC BH THEO CUSTOMER-USD'!CG$4)/CU176/'02. Tỷ giá'!D$5," -")</f>
        <v xml:space="preserve"> -</v>
      </c>
      <c r="CH176" s="95" t="str">
        <f>IFERROR(SUMIFS('01. KE30'!$R:$R,'01. KE30'!$C:$C,'06. BC BH THEO CUSTOMER-USD'!$D176,'01. KE30'!$F:$F,'06. BC BH THEO CUSTOMER-USD'!$H176,'01. KE30'!$A:$A,'06. BC BH THEO CUSTOMER-USD'!CH$4)/CV176/'02. Tỷ giá'!E$5," -")</f>
        <v xml:space="preserve"> -</v>
      </c>
      <c r="CI176" s="95" t="str">
        <f>IFERROR(SUMIFS('01. KE30'!$R:$R,'01. KE30'!$C:$C,'06. BC BH THEO CUSTOMER-USD'!$D176,'01. KE30'!$F:$F,'06. BC BH THEO CUSTOMER-USD'!$H176,'01. KE30'!$A:$A,'06. BC BH THEO CUSTOMER-USD'!CI$4)/CW176/'02. Tỷ giá'!F$5," -")</f>
        <v xml:space="preserve"> -</v>
      </c>
      <c r="CJ176" s="95" t="str">
        <f>IFERROR(SUMIFS('01. KE30'!$R:$R,'01. KE30'!$C:$C,'06. BC BH THEO CUSTOMER-USD'!$D176,'01. KE30'!$F:$F,'06. BC BH THEO CUSTOMER-USD'!$H176,'01. KE30'!$A:$A,'06. BC BH THEO CUSTOMER-USD'!CJ$4)/CX176/'02. Tỷ giá'!G$5," -")</f>
        <v xml:space="preserve"> -</v>
      </c>
      <c r="CK176" s="95" t="str">
        <f>IFERROR(SUMIFS('01. KE30'!$R:$R,'01. KE30'!$C:$C,'06. BC BH THEO CUSTOMER-USD'!$D176,'01. KE30'!$F:$F,'06. BC BH THEO CUSTOMER-USD'!$H176,'01. KE30'!$A:$A,'06. BC BH THEO CUSTOMER-USD'!CK$4)/CY176/'02. Tỷ giá'!H$5," -")</f>
        <v xml:space="preserve"> -</v>
      </c>
      <c r="CL176" s="95" t="str">
        <f>IFERROR(SUMIFS('01. KE30'!$R:$R,'01. KE30'!$C:$C,'06. BC BH THEO CUSTOMER-USD'!$D176,'01. KE30'!$F:$F,'06. BC BH THEO CUSTOMER-USD'!$H176,'01. KE30'!$A:$A,'06. BC BH THEO CUSTOMER-USD'!CL$4)/CZ176/'02. Tỷ giá'!I$5," -")</f>
        <v xml:space="preserve"> -</v>
      </c>
      <c r="CM176" s="95" t="str">
        <f>IFERROR(SUMIFS('01. KE30'!$R:$R,'01. KE30'!$C:$C,'06. BC BH THEO CUSTOMER-USD'!$D176,'01. KE30'!$F:$F,'06. BC BH THEO CUSTOMER-USD'!$H176,'01. KE30'!$A:$A,'06. BC BH THEO CUSTOMER-USD'!CM$4)/DA176/'02. Tỷ giá'!J$5," -")</f>
        <v xml:space="preserve"> -</v>
      </c>
      <c r="CN176" s="95" t="str">
        <f>IFERROR(SUMIFS('01. KE30'!$R:$R,'01. KE30'!$C:$C,'06. BC BH THEO CUSTOMER-USD'!$D176,'01. KE30'!$F:$F,'06. BC BH THEO CUSTOMER-USD'!$H176,'01. KE30'!$A:$A,'06. BC BH THEO CUSTOMER-USD'!CN$4)/DB176/'02. Tỷ giá'!K$5," -")</f>
        <v xml:space="preserve"> -</v>
      </c>
      <c r="CO176" s="95" t="str">
        <f>IFERROR(SUMIFS('01. KE30'!$R:$R,'01. KE30'!$C:$C,'06. BC BH THEO CUSTOMER-USD'!$D176,'01. KE30'!$F:$F,'06. BC BH THEO CUSTOMER-USD'!$H176,'01. KE30'!$A:$A,'06. BC BH THEO CUSTOMER-USD'!CO$4)/DC176/'02. Tỷ giá'!L$5," -")</f>
        <v xml:space="preserve"> -</v>
      </c>
      <c r="CP176" s="95" t="str">
        <f>IFERROR(SUMIFS('01. KE30'!$R:$R,'01. KE30'!$C:$C,'06. BC BH THEO CUSTOMER-USD'!$D176,'01. KE30'!$F:$F,'06. BC BH THEO CUSTOMER-USD'!$H176,'01. KE30'!$A:$A,'06. BC BH THEO CUSTOMER-USD'!CP$4)/DD176/'02. Tỷ giá'!M$5," -")</f>
        <v xml:space="preserve"> -</v>
      </c>
      <c r="CR176" s="112">
        <f t="shared" si="1249"/>
        <v>0.75</v>
      </c>
      <c r="CS176" s="114">
        <f>SUMIFS('01. KE30'!$I:$I,'01. KE30'!$C:$C,'06. BC BH THEO CUSTOMER-USD'!$D176,'01. KE30'!$F:$F,'06. BC BH THEO CUSTOMER-USD'!$H176,'01. KE30'!$A:$A,'06. BC BH THEO CUSTOMER-USD'!CS$4)/1000</f>
        <v>0</v>
      </c>
      <c r="CT176" s="114">
        <f>SUMIFS('01. KE30'!$I:$I,'01. KE30'!$C:$C,'06. BC BH THEO CUSTOMER-USD'!$D176,'01. KE30'!$F:$F,'06. BC BH THEO CUSTOMER-USD'!$H176,'01. KE30'!$A:$A,'06. BC BH THEO CUSTOMER-USD'!CT$4)/1000</f>
        <v>0.75</v>
      </c>
      <c r="CU176" s="114">
        <f>SUMIFS('01. KE30'!$I:$I,'01. KE30'!$C:$C,'06. BC BH THEO CUSTOMER-USD'!$D176,'01. KE30'!$F:$F,'06. BC BH THEO CUSTOMER-USD'!$H176,'01. KE30'!$A:$A,'06. BC BH THEO CUSTOMER-USD'!CU$4)/1000</f>
        <v>0</v>
      </c>
      <c r="CV176" s="114">
        <f>SUMIFS('01. KE30'!$I:$I,'01. KE30'!$C:$C,'06. BC BH THEO CUSTOMER-USD'!$D176,'01. KE30'!$F:$F,'06. BC BH THEO CUSTOMER-USD'!$H176,'01. KE30'!$A:$A,'06. BC BH THEO CUSTOMER-USD'!CV$4)/1000</f>
        <v>0</v>
      </c>
      <c r="CW176" s="114">
        <f>SUMIFS('01. KE30'!$I:$I,'01. KE30'!$C:$C,'06. BC BH THEO CUSTOMER-USD'!$D176,'01. KE30'!$F:$F,'06. BC BH THEO CUSTOMER-USD'!$H176,'01. KE30'!$A:$A,'06. BC BH THEO CUSTOMER-USD'!CW$4)/1000</f>
        <v>0</v>
      </c>
      <c r="CX176" s="114">
        <f>SUMIFS('01. KE30'!$I:$I,'01. KE30'!$C:$C,'06. BC BH THEO CUSTOMER-USD'!$D176,'01. KE30'!$F:$F,'06. BC BH THEO CUSTOMER-USD'!$H176,'01. KE30'!$A:$A,'06. BC BH THEO CUSTOMER-USD'!CX$4)/1000</f>
        <v>0</v>
      </c>
      <c r="CY176" s="114">
        <f>SUMIFS('01. KE30'!$I:$I,'01. KE30'!$C:$C,'06. BC BH THEO CUSTOMER-USD'!$D176,'01. KE30'!$F:$F,'06. BC BH THEO CUSTOMER-USD'!$H176,'01. KE30'!$A:$A,'06. BC BH THEO CUSTOMER-USD'!CY$4)/1000</f>
        <v>0</v>
      </c>
      <c r="CZ176" s="114">
        <f>SUMIFS('01. KE30'!$I:$I,'01. KE30'!$C:$C,'06. BC BH THEO CUSTOMER-USD'!$D176,'01. KE30'!$F:$F,'06. BC BH THEO CUSTOMER-USD'!$H176,'01. KE30'!$A:$A,'06. BC BH THEO CUSTOMER-USD'!CZ$4)/1000</f>
        <v>0</v>
      </c>
      <c r="DA176" s="114">
        <f>SUMIFS('01. KE30'!$I:$I,'01. KE30'!$C:$C,'06. BC BH THEO CUSTOMER-USD'!$D176,'01. KE30'!$F:$F,'06. BC BH THEO CUSTOMER-USD'!$H176,'01. KE30'!$A:$A,'06. BC BH THEO CUSTOMER-USD'!DA$4)/1000</f>
        <v>0</v>
      </c>
      <c r="DB176" s="114">
        <f>SUMIFS('01. KE30'!$I:$I,'01. KE30'!$C:$C,'06. BC BH THEO CUSTOMER-USD'!$D176,'01. KE30'!$F:$F,'06. BC BH THEO CUSTOMER-USD'!$H176,'01. KE30'!$A:$A,'06. BC BH THEO CUSTOMER-USD'!DB$4)/1000</f>
        <v>0</v>
      </c>
      <c r="DC176" s="114">
        <f>SUMIFS('01. KE30'!$I:$I,'01. KE30'!$C:$C,'06. BC BH THEO CUSTOMER-USD'!$D176,'01. KE30'!$F:$F,'06. BC BH THEO CUSTOMER-USD'!$H176,'01. KE30'!$A:$A,'06. BC BH THEO CUSTOMER-USD'!DC$4)/1000</f>
        <v>0</v>
      </c>
      <c r="DD176" s="114">
        <f>SUMIFS('01. KE30'!$I:$I,'01. KE30'!$C:$C,'06. BC BH THEO CUSTOMER-USD'!$D176,'01. KE30'!$F:$F,'06. BC BH THEO CUSTOMER-USD'!$H176,'01. KE30'!$A:$A,'06. BC BH THEO CUSTOMER-USD'!DD$4)/1000</f>
        <v>0</v>
      </c>
      <c r="DF176" s="112">
        <f t="shared" si="2037"/>
        <v>464.96872784560856</v>
      </c>
      <c r="DG176" s="54" t="str">
        <f t="shared" si="2038"/>
        <v>-</v>
      </c>
      <c r="DH176" s="54">
        <f t="shared" si="2039"/>
        <v>464.96872784560856</v>
      </c>
      <c r="DI176" s="54" t="str">
        <f t="shared" si="2040"/>
        <v>-</v>
      </c>
      <c r="DJ176" s="54" t="str">
        <f t="shared" si="2041"/>
        <v>-</v>
      </c>
      <c r="DK176" s="54" t="str">
        <f t="shared" si="2042"/>
        <v>-</v>
      </c>
      <c r="DL176" s="54" t="str">
        <f t="shared" si="2043"/>
        <v>-</v>
      </c>
      <c r="DM176" s="54" t="str">
        <f t="shared" si="2044"/>
        <v>-</v>
      </c>
      <c r="DN176" s="54" t="str">
        <f t="shared" si="2045"/>
        <v>-</v>
      </c>
      <c r="DO176" s="54" t="str">
        <f t="shared" si="2046"/>
        <v>-</v>
      </c>
      <c r="DP176" s="54" t="str">
        <f t="shared" si="2047"/>
        <v>-</v>
      </c>
      <c r="DQ176" s="54" t="str">
        <f t="shared" si="2048"/>
        <v>-</v>
      </c>
      <c r="DR176" s="54" t="str">
        <f t="shared" si="2049"/>
        <v>-</v>
      </c>
      <c r="DT176" s="112">
        <f t="shared" si="652"/>
        <v>-272.11807798345802</v>
      </c>
      <c r="DU176" s="114">
        <f>IFERROR(SUMIFS('01. KE30'!$X:$X,'01. KE30'!$C:$C,'06. BC BH THEO CUSTOMER-USD'!$D176,'01. KE30'!$F:$F,'06. BC BH THEO CUSTOMER-USD'!$H176,'01. KE30'!$A:$A,'06. BC BH THEO CUSTOMER-USD'!DU$4)-SUMIFS('01. KE30'!$AA:$AA,'01. KE30'!$C:$C,'06. BC BH THEO CUSTOMER-USD'!$D176,'01. KE30'!$F:$F,'06. BC BH THEO CUSTOMER-USD'!$H176,'01. KE30'!$A:$A,'06. BC BH THEO CUSTOMER-USD'!DU$4),"-")</f>
        <v>0</v>
      </c>
      <c r="DV176" s="114">
        <f>IFERROR(SUMIFS('01. KE30'!$X:$X,'01. KE30'!$C:$C,'06. BC BH THEO CUSTOMER-USD'!$D176,'01. KE30'!$F:$F,'06. BC BH THEO CUSTOMER-USD'!$H176,'01. KE30'!$A:$A,'06. BC BH THEO CUSTOMER-USD'!DV$4)-SUMIFS('01. KE30'!$AA:$AA,'01. KE30'!$C:$C,'06. BC BH THEO CUSTOMER-USD'!$D176,'01. KE30'!$F:$F,'06. BC BH THEO CUSTOMER-USD'!$H176,'01. KE30'!$A:$A,'06. BC BH THEO CUSTOMER-USD'!DV$4),"-")</f>
        <v>-272.11807798345802</v>
      </c>
      <c r="DW176" s="114">
        <f>IFERROR(SUMIFS('01. KE30'!$X:$X,'01. KE30'!$C:$C,'06. BC BH THEO CUSTOMER-USD'!$D176,'01. KE30'!$F:$F,'06. BC BH THEO CUSTOMER-USD'!$H176,'01. KE30'!$A:$A,'06. BC BH THEO CUSTOMER-USD'!DW$4)-SUMIFS('01. KE30'!$AA:$AA,'01. KE30'!$C:$C,'06. BC BH THEO CUSTOMER-USD'!$D176,'01. KE30'!$F:$F,'06. BC BH THEO CUSTOMER-USD'!$H176,'01. KE30'!$A:$A,'06. BC BH THEO CUSTOMER-USD'!DW$4),"-")</f>
        <v>0</v>
      </c>
      <c r="DX176" s="114">
        <f>IFERROR(SUMIFS('01. KE30'!$X:$X,'01. KE30'!$C:$C,'06. BC BH THEO CUSTOMER-USD'!$D176,'01. KE30'!$F:$F,'06. BC BH THEO CUSTOMER-USD'!$H176,'01. KE30'!$A:$A,'06. BC BH THEO CUSTOMER-USD'!DX$4)-SUMIFS('01. KE30'!$AA:$AA,'01. KE30'!$C:$C,'06. BC BH THEO CUSTOMER-USD'!$D176,'01. KE30'!$F:$F,'06. BC BH THEO CUSTOMER-USD'!$H176,'01. KE30'!$A:$A,'06. BC BH THEO CUSTOMER-USD'!DX$4),"-")</f>
        <v>0</v>
      </c>
      <c r="DY176" s="114">
        <f>IFERROR(SUMIFS('01. KE30'!$X:$X,'01. KE30'!$C:$C,'06. BC BH THEO CUSTOMER-USD'!$D176,'01. KE30'!$F:$F,'06. BC BH THEO CUSTOMER-USD'!$H176,'01. KE30'!$A:$A,'06. BC BH THEO CUSTOMER-USD'!DY$4)-SUMIFS('01. KE30'!$AA:$AA,'01. KE30'!$C:$C,'06. BC BH THEO CUSTOMER-USD'!$D176,'01. KE30'!$F:$F,'06. BC BH THEO CUSTOMER-USD'!$H176,'01. KE30'!$A:$A,'06. BC BH THEO CUSTOMER-USD'!DY$4),"-")</f>
        <v>0</v>
      </c>
      <c r="DZ176" s="114">
        <f>IFERROR(SUMIFS('01. KE30'!$X:$X,'01. KE30'!$C:$C,'06. BC BH THEO CUSTOMER-USD'!$D176,'01. KE30'!$F:$F,'06. BC BH THEO CUSTOMER-USD'!$H176,'01. KE30'!$A:$A,'06. BC BH THEO CUSTOMER-USD'!DZ$4)-SUMIFS('01. KE30'!$AA:$AA,'01. KE30'!$C:$C,'06. BC BH THEO CUSTOMER-USD'!$D176,'01. KE30'!$F:$F,'06. BC BH THEO CUSTOMER-USD'!$H176,'01. KE30'!$A:$A,'06. BC BH THEO CUSTOMER-USD'!DZ$4),"-")</f>
        <v>0</v>
      </c>
      <c r="EA176" s="114">
        <f>IFERROR(SUMIFS('01. KE30'!$X:$X,'01. KE30'!$C:$C,'06. BC BH THEO CUSTOMER-USD'!$D176,'01. KE30'!$F:$F,'06. BC BH THEO CUSTOMER-USD'!$H176,'01. KE30'!$A:$A,'06. BC BH THEO CUSTOMER-USD'!EA$4)-SUMIFS('01. KE30'!$AA:$AA,'01. KE30'!$C:$C,'06. BC BH THEO CUSTOMER-USD'!$D176,'01. KE30'!$F:$F,'06. BC BH THEO CUSTOMER-USD'!$H176,'01. KE30'!$A:$A,'06. BC BH THEO CUSTOMER-USD'!EA$4),"-")</f>
        <v>0</v>
      </c>
      <c r="EB176" s="114">
        <f>IFERROR(SUMIFS('01. KE30'!$X:$X,'01. KE30'!$C:$C,'06. BC BH THEO CUSTOMER-USD'!$D176,'01. KE30'!$F:$F,'06. BC BH THEO CUSTOMER-USD'!$H176,'01. KE30'!$A:$A,'06. BC BH THEO CUSTOMER-USD'!EB$4)-SUMIFS('01. KE30'!$AA:$AA,'01. KE30'!$C:$C,'06. BC BH THEO CUSTOMER-USD'!$D176,'01. KE30'!$F:$F,'06. BC BH THEO CUSTOMER-USD'!$H176,'01. KE30'!$A:$A,'06. BC BH THEO CUSTOMER-USD'!EB$4),"-")</f>
        <v>0</v>
      </c>
      <c r="EC176" s="114">
        <f>IFERROR(SUMIFS('01. KE30'!$X:$X,'01. KE30'!$C:$C,'06. BC BH THEO CUSTOMER-USD'!$D176,'01. KE30'!$F:$F,'06. BC BH THEO CUSTOMER-USD'!$H176,'01. KE30'!$A:$A,'06. BC BH THEO CUSTOMER-USD'!EC$4)-SUMIFS('01. KE30'!$AA:$AA,'01. KE30'!$C:$C,'06. BC BH THEO CUSTOMER-USD'!$D176,'01. KE30'!$F:$F,'06. BC BH THEO CUSTOMER-USD'!$H176,'01. KE30'!$A:$A,'06. BC BH THEO CUSTOMER-USD'!EC$4),"-")</f>
        <v>0</v>
      </c>
      <c r="ED176" s="114">
        <f>IFERROR(SUMIFS('01. KE30'!$X:$X,'01. KE30'!$C:$C,'06. BC BH THEO CUSTOMER-USD'!$D176,'01. KE30'!$F:$F,'06. BC BH THEO CUSTOMER-USD'!$H176,'01. KE30'!$A:$A,'06. BC BH THEO CUSTOMER-USD'!ED$4)-SUMIFS('01. KE30'!$AA:$AA,'01. KE30'!$C:$C,'06. BC BH THEO CUSTOMER-USD'!$D176,'01. KE30'!$F:$F,'06. BC BH THEO CUSTOMER-USD'!$H176,'01. KE30'!$A:$A,'06. BC BH THEO CUSTOMER-USD'!ED$4),"-")</f>
        <v>0</v>
      </c>
      <c r="EE176" s="114">
        <f>IFERROR(SUMIFS('01. KE30'!$X:$X,'01. KE30'!$C:$C,'06. BC BH THEO CUSTOMER-USD'!$D176,'01. KE30'!$F:$F,'06. BC BH THEO CUSTOMER-USD'!$H176,'01. KE30'!$A:$A,'06. BC BH THEO CUSTOMER-USD'!EE$4)-SUMIFS('01. KE30'!$AA:$AA,'01. KE30'!$C:$C,'06. BC BH THEO CUSTOMER-USD'!$D176,'01. KE30'!$F:$F,'06. BC BH THEO CUSTOMER-USD'!$H176,'01. KE30'!$A:$A,'06. BC BH THEO CUSTOMER-USD'!EE$4),"-")</f>
        <v>0</v>
      </c>
      <c r="EF176" s="114">
        <f>IFERROR(SUMIFS('01. KE30'!$X:$X,'01. KE30'!$C:$C,'06. BC BH THEO CUSTOMER-USD'!$D176,'01. KE30'!$F:$F,'06. BC BH THEO CUSTOMER-USD'!$H176,'01. KE30'!$A:$A,'06. BC BH THEO CUSTOMER-USD'!EF$4)-SUMIFS('01. KE30'!$AA:$AA,'01. KE30'!$C:$C,'06. BC BH THEO CUSTOMER-USD'!$D176,'01. KE30'!$F:$F,'06. BC BH THEO CUSTOMER-USD'!$H176,'01. KE30'!$A:$A,'06. BC BH THEO CUSTOMER-USD'!EF$4),"-")</f>
        <v>0</v>
      </c>
      <c r="EH176" s="571">
        <f t="shared" si="1737"/>
        <v>-0.58523952620274711</v>
      </c>
      <c r="EI176" s="572" t="str">
        <f t="shared" si="1738"/>
        <v>-</v>
      </c>
      <c r="EJ176" s="572">
        <f t="shared" si="1739"/>
        <v>-0.58523952620274711</v>
      </c>
      <c r="EK176" s="572" t="str">
        <f t="shared" si="1740"/>
        <v>-</v>
      </c>
      <c r="EL176" s="572" t="str">
        <f t="shared" si="1741"/>
        <v>-</v>
      </c>
      <c r="EM176" s="572" t="str">
        <f t="shared" si="1742"/>
        <v>-</v>
      </c>
      <c r="EN176" s="572" t="str">
        <f t="shared" si="1743"/>
        <v>-</v>
      </c>
      <c r="EO176" s="572" t="str">
        <f t="shared" si="1744"/>
        <v>-</v>
      </c>
      <c r="EP176" s="572" t="str">
        <f t="shared" si="1745"/>
        <v>-</v>
      </c>
      <c r="EQ176" s="572" t="str">
        <f t="shared" si="1746"/>
        <v>-</v>
      </c>
      <c r="ER176" s="572" t="str">
        <f t="shared" si="1747"/>
        <v>-</v>
      </c>
      <c r="ES176" s="572" t="str">
        <f t="shared" si="1748"/>
        <v>-</v>
      </c>
      <c r="ET176" s="572" t="str">
        <f t="shared" si="1749"/>
        <v>-</v>
      </c>
    </row>
    <row r="177" spans="1:150" ht="15.5" hidden="1" outlineLevel="1" x14ac:dyDescent="0.35">
      <c r="A177" s="10">
        <f>A175+1</f>
        <v>3</v>
      </c>
      <c r="B177" s="10" t="s">
        <v>295</v>
      </c>
      <c r="C177" s="442" t="s">
        <v>489</v>
      </c>
      <c r="D177" s="9" t="s">
        <v>456</v>
      </c>
      <c r="E177" s="8" t="s">
        <v>457</v>
      </c>
      <c r="F177" s="12" t="s">
        <v>245</v>
      </c>
      <c r="G177" s="12" t="str">
        <f>_xlfn.XLOOKUP(F177,'Quy đổi'!$G$5:$G$32,'Quy đổi'!$H$5:$H$32,0)</f>
        <v>Nội địa</v>
      </c>
      <c r="H177" s="80" t="s">
        <v>536</v>
      </c>
      <c r="I177" s="20" t="s">
        <v>537</v>
      </c>
      <c r="J177" s="69" t="s">
        <v>22</v>
      </c>
      <c r="K177" s="5"/>
      <c r="L177" s="92">
        <f t="shared" ref="L177" si="2050">IFERROR(AVERAGE(M177:X177),"-")</f>
        <v>581.59337322715919</v>
      </c>
      <c r="M177" s="106" t="str">
        <f>IFERROR(SUMIFS('01. KE30'!$K:$K,'01. KE30'!$C:$C,'06. BC BH THEO CUSTOMER-USD'!$D177,'01. KE30'!$F:$F,'06. BC BH THEO CUSTOMER-USD'!$H177,'01. KE30'!$A:$A,'06. BC BH THEO CUSTOMER-USD'!M$4)/'06. BC BH THEO CUSTOMER-USD'!CS177/'02. Tỷ giá'!B$5,"-")</f>
        <v>-</v>
      </c>
      <c r="N177" s="106" t="str">
        <f>IFERROR(SUMIFS('01. KE30'!$K:$K,'01. KE30'!$C:$C,'06. BC BH THEO CUSTOMER-USD'!$D177,'01. KE30'!$F:$F,'06. BC BH THEO CUSTOMER-USD'!$H177,'01. KE30'!$A:$A,'06. BC BH THEO CUSTOMER-USD'!N$4)/'06. BC BH THEO CUSTOMER-USD'!CT177/'02. Tỷ giá'!C$5,"-")</f>
        <v>-</v>
      </c>
      <c r="O177" s="106" t="str">
        <f>IFERROR(SUMIFS('01. KE30'!$K:$K,'01. KE30'!$C:$C,'06. BC BH THEO CUSTOMER-USD'!$D177,'01. KE30'!$F:$F,'06. BC BH THEO CUSTOMER-USD'!$H177,'01. KE30'!$A:$A,'06. BC BH THEO CUSTOMER-USD'!O$4)/'06. BC BH THEO CUSTOMER-USD'!CU177/'02. Tỷ giá'!D$5,"-")</f>
        <v>-</v>
      </c>
      <c r="P177" s="106">
        <f>IFERROR(SUMIFS('01. KE30'!$K:$K,'01. KE30'!$C:$C,'06. BC BH THEO CUSTOMER-USD'!$D177,'01. KE30'!$F:$F,'06. BC BH THEO CUSTOMER-USD'!$H177,'01. KE30'!$A:$A,'06. BC BH THEO CUSTOMER-USD'!P$4)/'06. BC BH THEO CUSTOMER-USD'!CV177/'02. Tỷ giá'!E$5,"-")</f>
        <v>595.05887211253059</v>
      </c>
      <c r="Q177" s="106" t="str">
        <f>IFERROR(SUMIFS('01. KE30'!$K:$K,'01. KE30'!$C:$C,'06. BC BH THEO CUSTOMER-USD'!$D177,'01. KE30'!$F:$F,'06. BC BH THEO CUSTOMER-USD'!$H177,'01. KE30'!$A:$A,'06. BC BH THEO CUSTOMER-USD'!Q$4)/'06. BC BH THEO CUSTOMER-USD'!CW177/'02. Tỷ giá'!F$5,"-")</f>
        <v>-</v>
      </c>
      <c r="R177" s="106" t="str">
        <f>IFERROR(SUMIFS('01. KE30'!$K:$K,'01. KE30'!$C:$C,'06. BC BH THEO CUSTOMER-USD'!$D177,'01. KE30'!$F:$F,'06. BC BH THEO CUSTOMER-USD'!$H177,'01. KE30'!$A:$A,'06. BC BH THEO CUSTOMER-USD'!R$4)/'06. BC BH THEO CUSTOMER-USD'!CX177/'02. Tỷ giá'!G$5,"-")</f>
        <v>-</v>
      </c>
      <c r="S177" s="106">
        <f>IFERROR(SUMIFS('01. KE30'!$K:$K,'01. KE30'!$C:$C,'06. BC BH THEO CUSTOMER-USD'!$D177,'01. KE30'!$F:$F,'06. BC BH THEO CUSTOMER-USD'!$H177,'01. KE30'!$A:$A,'06. BC BH THEO CUSTOMER-USD'!S$4)/'06. BC BH THEO CUSTOMER-USD'!CY177/'02. Tỷ giá'!H$5,"-")</f>
        <v>586.92959405813804</v>
      </c>
      <c r="T177" s="106">
        <f>IFERROR(SUMIFS('01. KE30'!$K:$K,'01. KE30'!$C:$C,'06. BC BH THEO CUSTOMER-USD'!$D177,'01. KE30'!$F:$F,'06. BC BH THEO CUSTOMER-USD'!$H177,'01. KE30'!$A:$A,'06. BC BH THEO CUSTOMER-USD'!T$4)/'06. BC BH THEO CUSTOMER-USD'!CZ177/'02. Tỷ giá'!I$5,"-")</f>
        <v>572.95645530939646</v>
      </c>
      <c r="U177" s="106">
        <f>IFERROR(SUMIFS('01. KE30'!$K:$K,'01. KE30'!$C:$C,'06. BC BH THEO CUSTOMER-USD'!$D177,'01. KE30'!$F:$F,'06. BC BH THEO CUSTOMER-USD'!$H177,'01. KE30'!$A:$A,'06. BC BH THEO CUSTOMER-USD'!U$4)/'06. BC BH THEO CUSTOMER-USD'!DA177/'02. Tỷ giá'!J$5,"-")</f>
        <v>571.42857142857144</v>
      </c>
      <c r="V177" s="106" t="str">
        <f>IFERROR(SUMIFS('01. KE30'!$K:$K,'01. KE30'!$C:$C,'06. BC BH THEO CUSTOMER-USD'!$D177,'01. KE30'!$F:$F,'06. BC BH THEO CUSTOMER-USD'!$H177,'01. KE30'!$A:$A,'06. BC BH THEO CUSTOMER-USD'!V$4)/'06. BC BH THEO CUSTOMER-USD'!DB177/'02. Tỷ giá'!K$5,"-")</f>
        <v>-</v>
      </c>
      <c r="W177" s="106" t="str">
        <f>IFERROR(SUMIFS('01. KE30'!$K:$K,'01. KE30'!$C:$C,'06. BC BH THEO CUSTOMER-USD'!$D177,'01. KE30'!$F:$F,'06. BC BH THEO CUSTOMER-USD'!$H177,'01. KE30'!$A:$A,'06. BC BH THEO CUSTOMER-USD'!W$4)/'06. BC BH THEO CUSTOMER-USD'!DC177/'02. Tỷ giá'!L$5,"-")</f>
        <v>-</v>
      </c>
      <c r="X177" s="106" t="str">
        <f>IFERROR(SUMIFS('01. KE30'!$K:$K,'01. KE30'!$C:$C,'06. BC BH THEO CUSTOMER-USD'!$D177,'01. KE30'!$F:$F,'06. BC BH THEO CUSTOMER-USD'!$H177,'01. KE30'!$A:$A,'06. BC BH THEO CUSTOMER-USD'!X$4)/'06. BC BH THEO CUSTOMER-USD'!DD177/'02. Tỷ giá'!M$5,"-")</f>
        <v>-</v>
      </c>
      <c r="Z177" s="92">
        <f t="shared" ref="Z177" si="2051">IFERROR(AVERAGE(AA177:AL177),"-")</f>
        <v>581.59337322715919</v>
      </c>
      <c r="AA177" s="147" t="str">
        <f>IFERROR(SUMIFS('01. KE30'!$O:$O,'01. KE30'!$C:$C,'06. BC BH THEO CUSTOMER-USD'!$D177,'01. KE30'!$F:$F,'06. BC BH THEO CUSTOMER-USD'!$H177,'01. KE30'!$A:$A,'06. BC BH THEO CUSTOMER-USD'!M$4)/'06. BC BH THEO CUSTOMER-USD'!CS177/'02. Tỷ giá'!B$5,"-")</f>
        <v>-</v>
      </c>
      <c r="AB177" s="147" t="str">
        <f>IFERROR(SUMIFS('01. KE30'!$O:$O,'01. KE30'!$C:$C,'06. BC BH THEO CUSTOMER-USD'!$D177,'01. KE30'!$F:$F,'06. BC BH THEO CUSTOMER-USD'!$H177,'01. KE30'!$A:$A,'06. BC BH THEO CUSTOMER-USD'!N$4)/'06. BC BH THEO CUSTOMER-USD'!CT177/'02. Tỷ giá'!C$5,"-")</f>
        <v>-</v>
      </c>
      <c r="AC177" s="147" t="str">
        <f>IFERROR(SUMIFS('01. KE30'!$O:$O,'01. KE30'!$C:$C,'06. BC BH THEO CUSTOMER-USD'!$D177,'01. KE30'!$F:$F,'06. BC BH THEO CUSTOMER-USD'!$H177,'01. KE30'!$A:$A,'06. BC BH THEO CUSTOMER-USD'!O$4)/'06. BC BH THEO CUSTOMER-USD'!CU177/'02. Tỷ giá'!D$5,"-")</f>
        <v>-</v>
      </c>
      <c r="AD177" s="147">
        <f>IFERROR(SUMIFS('01. KE30'!$O:$O,'01. KE30'!$C:$C,'06. BC BH THEO CUSTOMER-USD'!$D177,'01. KE30'!$F:$F,'06. BC BH THEO CUSTOMER-USD'!$H177,'01. KE30'!$A:$A,'06. BC BH THEO CUSTOMER-USD'!P$4)/'06. BC BH THEO CUSTOMER-USD'!CV177/'02. Tỷ giá'!E$5,"-")</f>
        <v>595.05887211253059</v>
      </c>
      <c r="AE177" s="147" t="str">
        <f>IFERROR(SUMIFS('01. KE30'!$O:$O,'01. KE30'!$C:$C,'06. BC BH THEO CUSTOMER-USD'!$D177,'01. KE30'!$F:$F,'06. BC BH THEO CUSTOMER-USD'!$H177,'01. KE30'!$A:$A,'06. BC BH THEO CUSTOMER-USD'!Q$4)/'06. BC BH THEO CUSTOMER-USD'!CW177/'02. Tỷ giá'!F$5,"-")</f>
        <v>-</v>
      </c>
      <c r="AF177" s="147" t="str">
        <f>IFERROR(SUMIFS('01. KE30'!$O:$O,'01. KE30'!$C:$C,'06. BC BH THEO CUSTOMER-USD'!$D177,'01. KE30'!$F:$F,'06. BC BH THEO CUSTOMER-USD'!$H177,'01. KE30'!$A:$A,'06. BC BH THEO CUSTOMER-USD'!R$4)/'06. BC BH THEO CUSTOMER-USD'!CX177/'02. Tỷ giá'!G$5,"-")</f>
        <v>-</v>
      </c>
      <c r="AG177" s="147">
        <f>IFERROR(SUMIFS('01. KE30'!$O:$O,'01. KE30'!$C:$C,'06. BC BH THEO CUSTOMER-USD'!$D177,'01. KE30'!$F:$F,'06. BC BH THEO CUSTOMER-USD'!$H177,'01. KE30'!$A:$A,'06. BC BH THEO CUSTOMER-USD'!S$4)/'06. BC BH THEO CUSTOMER-USD'!CY177/'02. Tỷ giá'!H$5,"-")</f>
        <v>586.92959405813804</v>
      </c>
      <c r="AH177" s="147">
        <f>IFERROR(SUMIFS('01. KE30'!$O:$O,'01. KE30'!$C:$C,'06. BC BH THEO CUSTOMER-USD'!$D177,'01. KE30'!$F:$F,'06. BC BH THEO CUSTOMER-USD'!$H177,'01. KE30'!$A:$A,'06. BC BH THEO CUSTOMER-USD'!T$4)/'06. BC BH THEO CUSTOMER-USD'!CZ177/'02. Tỷ giá'!I$5,"-")</f>
        <v>572.95645530939646</v>
      </c>
      <c r="AI177" s="147">
        <f>IFERROR(SUMIFS('01. KE30'!$O:$O,'01. KE30'!$C:$C,'06. BC BH THEO CUSTOMER-USD'!$D177,'01. KE30'!$F:$F,'06. BC BH THEO CUSTOMER-USD'!$H177,'01. KE30'!$A:$A,'06. BC BH THEO CUSTOMER-USD'!U$4)/'06. BC BH THEO CUSTOMER-USD'!DA177/'02. Tỷ giá'!J$5,"-")</f>
        <v>571.42857142857144</v>
      </c>
      <c r="AJ177" s="147" t="str">
        <f>IFERROR(SUMIFS('01. KE30'!$O:$O,'01. KE30'!$C:$C,'06. BC BH THEO CUSTOMER-USD'!$D177,'01. KE30'!$F:$F,'06. BC BH THEO CUSTOMER-USD'!$H177,'01. KE30'!$A:$A,'06. BC BH THEO CUSTOMER-USD'!V$4)/'06. BC BH THEO CUSTOMER-USD'!DB177/'02. Tỷ giá'!K$5,"-")</f>
        <v>-</v>
      </c>
      <c r="AK177" s="147" t="str">
        <f>IFERROR(SUMIFS('01. KE30'!$O:$O,'01. KE30'!$C:$C,'06. BC BH THEO CUSTOMER-USD'!$D177,'01. KE30'!$F:$F,'06. BC BH THEO CUSTOMER-USD'!$H177,'01. KE30'!$A:$A,'06. BC BH THEO CUSTOMER-USD'!W$4)/'06. BC BH THEO CUSTOMER-USD'!DC177/'02. Tỷ giá'!L$5,"-")</f>
        <v>-</v>
      </c>
      <c r="AL177" s="147" t="str">
        <f>IFERROR(SUMIFS('01. KE30'!$O:$O,'01. KE30'!$C:$C,'06. BC BH THEO CUSTOMER-USD'!$D177,'01. KE30'!$F:$F,'06. BC BH THEO CUSTOMER-USD'!$H177,'01. KE30'!$A:$A,'06. BC BH THEO CUSTOMER-USD'!X$4)/'06. BC BH THEO CUSTOMER-USD'!DD177/'02. Tỷ giá'!M$5,"-")</f>
        <v>-</v>
      </c>
      <c r="AN177" s="55">
        <f t="shared" ref="AN177" si="2052">IFERROR(AVERAGE(AO177:AZ177),"-")</f>
        <v>737.22222222222217</v>
      </c>
      <c r="AO177" s="4">
        <v>825</v>
      </c>
      <c r="AP177" s="4">
        <v>750</v>
      </c>
      <c r="AQ177" s="4">
        <v>750</v>
      </c>
      <c r="AR177" s="4">
        <v>750</v>
      </c>
      <c r="AS177" s="4">
        <v>720</v>
      </c>
      <c r="AT177" s="4">
        <v>720</v>
      </c>
      <c r="AU177" s="4">
        <v>720</v>
      </c>
      <c r="AV177" s="4">
        <f t="shared" si="1272"/>
        <v>700</v>
      </c>
      <c r="AW177" s="4">
        <v>700</v>
      </c>
      <c r="AX177" s="4"/>
      <c r="AY177" s="4"/>
      <c r="AZ177" s="4"/>
      <c r="BB177" s="95">
        <f t="shared" ref="BB177" si="2053">IF(L177&lt;&gt;"-",Z177-AN177,"-")</f>
        <v>-155.62884899506298</v>
      </c>
      <c r="BC177" s="95" t="str">
        <f t="shared" ref="BC177" si="2054">IF(M177&lt;&gt;"-",AA177-AO177,"-")</f>
        <v>-</v>
      </c>
      <c r="BD177" s="95" t="str">
        <f t="shared" ref="BD177" si="2055">IF(N177&lt;&gt;"-",AB177-AP177,"-")</f>
        <v>-</v>
      </c>
      <c r="BE177" s="95" t="str">
        <f t="shared" ref="BE177" si="2056">IF(O177&lt;&gt;"-",AC177-AQ177,"-")</f>
        <v>-</v>
      </c>
      <c r="BF177" s="95">
        <f t="shared" ref="BF177" si="2057">IF(P177&lt;&gt;"-",AD177-AR177,"-")</f>
        <v>-154.94112788746941</v>
      </c>
      <c r="BG177" s="95" t="str">
        <f t="shared" ref="BG177" si="2058">IF(Q177&lt;&gt;"-",AE177-AS177,"-")</f>
        <v>-</v>
      </c>
      <c r="BH177" s="95" t="str">
        <f t="shared" ref="BH177" si="2059">IF(R177&lt;&gt;"-",AF177-AT177,"-")</f>
        <v>-</v>
      </c>
      <c r="BI177" s="95">
        <f t="shared" ref="BI177" si="2060">IF(S177&lt;&gt;"-",AG177-AU177,"-")</f>
        <v>-133.07040594186196</v>
      </c>
      <c r="BJ177" s="95">
        <f t="shared" ref="BJ177" si="2061">IF(T177&lt;&gt;"-",AH177-AV177,"-")</f>
        <v>-127.04354469060354</v>
      </c>
      <c r="BK177" s="95">
        <f t="shared" ref="BK177" si="2062">IF(U177&lt;&gt;"-",AI177-AW177,"-")</f>
        <v>-128.57142857142856</v>
      </c>
      <c r="BL177" s="95" t="str">
        <f t="shared" ref="BL177" si="2063">IF(V177&lt;&gt;"-",AJ177-AX177,"-")</f>
        <v>-</v>
      </c>
      <c r="BM177" s="95" t="str">
        <f t="shared" ref="BM177" si="2064">IF(W177&lt;&gt;"-",AK177-AY177,"-")</f>
        <v>-</v>
      </c>
      <c r="BN177" s="95" t="str">
        <f t="shared" ref="BN177" si="2065">IF(X177&lt;&gt;"-",AL177-AZ177,"-")</f>
        <v>-</v>
      </c>
      <c r="BP177" s="143">
        <f t="shared" ref="BP177" si="2066">IFERROR(IF(BB177&lt;&gt;"-",BB177/AN177,"-"),"-")</f>
        <v>-0.21110167911915101</v>
      </c>
      <c r="BQ177" s="143" t="str">
        <f t="shared" ref="BQ177" si="2067">IFERROR(IF(BC177&lt;&gt;"-",BC177/AO177,"-"),"-")</f>
        <v>-</v>
      </c>
      <c r="BR177" s="143" t="str">
        <f t="shared" ref="BR177" si="2068">IFERROR(IF(BD177&lt;&gt;"-",BD177/AP177,"-"),"-")</f>
        <v>-</v>
      </c>
      <c r="BS177" s="143" t="str">
        <f t="shared" ref="BS177" si="2069">IFERROR(IF(BE177&lt;&gt;"-",BE177/AQ177,"-"),"-")</f>
        <v>-</v>
      </c>
      <c r="BT177" s="143">
        <f t="shared" ref="BT177" si="2070">IFERROR(IF(BF177&lt;&gt;"-",BF177/AR177,"-"),"-")</f>
        <v>-0.20658817051662587</v>
      </c>
      <c r="BU177" s="143" t="str">
        <f t="shared" ref="BU177" si="2071">IFERROR(IF(BG177&lt;&gt;"-",BG177/AS177,"-"),"-")</f>
        <v>-</v>
      </c>
      <c r="BV177" s="143" t="str">
        <f t="shared" ref="BV177" si="2072">IFERROR(IF(BH177&lt;&gt;"-",BH177/AT177,"-"),"-")</f>
        <v>-</v>
      </c>
      <c r="BW177" s="143">
        <f t="shared" ref="BW177" si="2073">IFERROR(IF(BI177&lt;&gt;"-",BI177/AU177,"-"),"-")</f>
        <v>-0.18482000825258607</v>
      </c>
      <c r="BX177" s="143">
        <f t="shared" ref="BX177" si="2074">IFERROR(IF(BJ177&lt;&gt;"-",BJ177/AV177,"-"),"-")</f>
        <v>-0.18149077812943362</v>
      </c>
      <c r="BY177" s="143">
        <f t="shared" ref="BY177" si="2075">IFERROR(IF(BK177&lt;&gt;"-",BK177/AW177,"-"),"-")</f>
        <v>-0.18367346938775508</v>
      </c>
      <c r="BZ177" s="143" t="str">
        <f t="shared" ref="BZ177" si="2076">IFERROR(IF(BL177&lt;&gt;"-",BL177/AX177,"-"),"-")</f>
        <v>-</v>
      </c>
      <c r="CA177" s="143" t="str">
        <f t="shared" ref="CA177" si="2077">IFERROR(IF(BM177&lt;&gt;"-",BM177/AY177,"-"),"-")</f>
        <v>-</v>
      </c>
      <c r="CB177" s="143" t="str">
        <f t="shared" ref="CB177" si="2078">IFERROR(IF(BN177&lt;&gt;"-",BN177/AZ177,"-"),"-")</f>
        <v>-</v>
      </c>
      <c r="CD177" s="112">
        <f t="shared" ref="CD177" si="2079">IFERROR(AVERAGE(CE177:CP177),"-")</f>
        <v>1005.7272215255639</v>
      </c>
      <c r="CE177" s="95" t="str">
        <f>IFERROR(SUMIFS('01. KE30'!$R:$R,'01. KE30'!$C:$C,'06. BC BH THEO CUSTOMER-USD'!$D177,'01. KE30'!$F:$F,'06. BC BH THEO CUSTOMER-USD'!$H177,'01. KE30'!$A:$A,'06. BC BH THEO CUSTOMER-USD'!CE$4)/CS177/'02. Tỷ giá'!B$5," -")</f>
        <v xml:space="preserve"> -</v>
      </c>
      <c r="CF177" s="95" t="str">
        <f>IFERROR(SUMIFS('01. KE30'!$R:$R,'01. KE30'!$C:$C,'06. BC BH THEO CUSTOMER-USD'!$D177,'01. KE30'!$F:$F,'06. BC BH THEO CUSTOMER-USD'!$H177,'01. KE30'!$A:$A,'06. BC BH THEO CUSTOMER-USD'!CF$4)/CT177/'02. Tỷ giá'!C$5," -")</f>
        <v xml:space="preserve"> -</v>
      </c>
      <c r="CG177" s="95" t="str">
        <f>IFERROR(SUMIFS('01. KE30'!$R:$R,'01. KE30'!$C:$C,'06. BC BH THEO CUSTOMER-USD'!$D177,'01. KE30'!$F:$F,'06. BC BH THEO CUSTOMER-USD'!$H177,'01. KE30'!$A:$A,'06. BC BH THEO CUSTOMER-USD'!CG$4)/CU177/'02. Tỷ giá'!D$5," -")</f>
        <v xml:space="preserve"> -</v>
      </c>
      <c r="CH177" s="95">
        <f>IFERROR(SUMIFS('01. KE30'!$R:$R,'01. KE30'!$C:$C,'06. BC BH THEO CUSTOMER-USD'!$D177,'01. KE30'!$F:$F,'06. BC BH THEO CUSTOMER-USD'!$H177,'01. KE30'!$A:$A,'06. BC BH THEO CUSTOMER-USD'!CH$4)/CV177/'02. Tỷ giá'!E$5," -")</f>
        <v>931.25800318320648</v>
      </c>
      <c r="CI177" s="95" t="str">
        <f>IFERROR(SUMIFS('01. KE30'!$R:$R,'01. KE30'!$C:$C,'06. BC BH THEO CUSTOMER-USD'!$D177,'01. KE30'!$F:$F,'06. BC BH THEO CUSTOMER-USD'!$H177,'01. KE30'!$A:$A,'06. BC BH THEO CUSTOMER-USD'!CI$4)/CW177/'02. Tỷ giá'!F$5," -")</f>
        <v xml:space="preserve"> -</v>
      </c>
      <c r="CJ177" s="95" t="str">
        <f>IFERROR(SUMIFS('01. KE30'!$R:$R,'01. KE30'!$C:$C,'06. BC BH THEO CUSTOMER-USD'!$D177,'01. KE30'!$F:$F,'06. BC BH THEO CUSTOMER-USD'!$H177,'01. KE30'!$A:$A,'06. BC BH THEO CUSTOMER-USD'!CJ$4)/CX177/'02. Tỷ giá'!G$5," -")</f>
        <v xml:space="preserve"> -</v>
      </c>
      <c r="CK177" s="95">
        <f>IFERROR(SUMIFS('01. KE30'!$R:$R,'01. KE30'!$C:$C,'06. BC BH THEO CUSTOMER-USD'!$D177,'01. KE30'!$F:$F,'06. BC BH THEO CUSTOMER-USD'!$H177,'01. KE30'!$A:$A,'06. BC BH THEO CUSTOMER-USD'!CK$4)/CY177/'02. Tỷ giá'!H$5," -")</f>
        <v>1010.7129722115508</v>
      </c>
      <c r="CL177" s="95">
        <f>IFERROR(SUMIFS('01. KE30'!$R:$R,'01. KE30'!$C:$C,'06. BC BH THEO CUSTOMER-USD'!$D177,'01. KE30'!$F:$F,'06. BC BH THEO CUSTOMER-USD'!$H177,'01. KE30'!$A:$A,'06. BC BH THEO CUSTOMER-USD'!CL$4)/CZ177/'02. Tỷ giá'!I$5," -")</f>
        <v>1033.5272059455933</v>
      </c>
      <c r="CM177" s="95">
        <f>IFERROR(SUMIFS('01. KE30'!$R:$R,'01. KE30'!$C:$C,'06. BC BH THEO CUSTOMER-USD'!$D177,'01. KE30'!$F:$F,'06. BC BH THEO CUSTOMER-USD'!$H177,'01. KE30'!$A:$A,'06. BC BH THEO CUSTOMER-USD'!CM$4)/DA177/'02. Tỷ giá'!J$5," -")</f>
        <v>1047.4107047619048</v>
      </c>
      <c r="CN177" s="95" t="str">
        <f>IFERROR(SUMIFS('01. KE30'!$R:$R,'01. KE30'!$C:$C,'06. BC BH THEO CUSTOMER-USD'!$D177,'01. KE30'!$F:$F,'06. BC BH THEO CUSTOMER-USD'!$H177,'01. KE30'!$A:$A,'06. BC BH THEO CUSTOMER-USD'!CN$4)/DB177/'02. Tỷ giá'!K$5," -")</f>
        <v xml:space="preserve"> -</v>
      </c>
      <c r="CO177" s="95" t="str">
        <f>IFERROR(SUMIFS('01. KE30'!$R:$R,'01. KE30'!$C:$C,'06. BC BH THEO CUSTOMER-USD'!$D177,'01. KE30'!$F:$F,'06. BC BH THEO CUSTOMER-USD'!$H177,'01. KE30'!$A:$A,'06. BC BH THEO CUSTOMER-USD'!CO$4)/DC177/'02. Tỷ giá'!L$5," -")</f>
        <v xml:space="preserve"> -</v>
      </c>
      <c r="CP177" s="95" t="str">
        <f>IFERROR(SUMIFS('01. KE30'!$R:$R,'01. KE30'!$C:$C,'06. BC BH THEO CUSTOMER-USD'!$D177,'01. KE30'!$F:$F,'06. BC BH THEO CUSTOMER-USD'!$H177,'01. KE30'!$A:$A,'06. BC BH THEO CUSTOMER-USD'!CP$4)/DD177/'02. Tỷ giá'!M$5," -")</f>
        <v xml:space="preserve"> -</v>
      </c>
      <c r="CR177" s="112">
        <f t="shared" ref="CR177" si="2080">SUM(CS177:DD177)</f>
        <v>30.024999999999999</v>
      </c>
      <c r="CS177" s="114">
        <f>SUMIFS('01. KE30'!$I:$I,'01. KE30'!$C:$C,'06. BC BH THEO CUSTOMER-USD'!$D177,'01. KE30'!$F:$F,'06. BC BH THEO CUSTOMER-USD'!$H177,'01. KE30'!$A:$A,'06. BC BH THEO CUSTOMER-USD'!CS$4)/1000</f>
        <v>0</v>
      </c>
      <c r="CT177" s="114">
        <f>SUMIFS('01. KE30'!$I:$I,'01. KE30'!$C:$C,'06. BC BH THEO CUSTOMER-USD'!$D177,'01. KE30'!$F:$F,'06. BC BH THEO CUSTOMER-USD'!$H177,'01. KE30'!$A:$A,'06. BC BH THEO CUSTOMER-USD'!CT$4)/1000</f>
        <v>0</v>
      </c>
      <c r="CU177" s="114">
        <f>SUMIFS('01. KE30'!$I:$I,'01. KE30'!$C:$C,'06. BC BH THEO CUSTOMER-USD'!$D177,'01. KE30'!$F:$F,'06. BC BH THEO CUSTOMER-USD'!$H177,'01. KE30'!$A:$A,'06. BC BH THEO CUSTOMER-USD'!CU$4)/1000</f>
        <v>0</v>
      </c>
      <c r="CV177" s="114">
        <f>SUMIFS('01. KE30'!$I:$I,'01. KE30'!$C:$C,'06. BC BH THEO CUSTOMER-USD'!$D177,'01. KE30'!$F:$F,'06. BC BH THEO CUSTOMER-USD'!$H177,'01. KE30'!$A:$A,'06. BC BH THEO CUSTOMER-USD'!CV$4)/1000</f>
        <v>4.5</v>
      </c>
      <c r="CW177" s="114">
        <f>SUMIFS('01. KE30'!$I:$I,'01. KE30'!$C:$C,'06. BC BH THEO CUSTOMER-USD'!$D177,'01. KE30'!$F:$F,'06. BC BH THEO CUSTOMER-USD'!$H177,'01. KE30'!$A:$A,'06. BC BH THEO CUSTOMER-USD'!CW$4)/1000</f>
        <v>0</v>
      </c>
      <c r="CX177" s="114">
        <f>SUMIFS('01. KE30'!$I:$I,'01. KE30'!$C:$C,'06. BC BH THEO CUSTOMER-USD'!$D177,'01. KE30'!$F:$F,'06. BC BH THEO CUSTOMER-USD'!$H177,'01. KE30'!$A:$A,'06. BC BH THEO CUSTOMER-USD'!CX$4)/1000</f>
        <v>0</v>
      </c>
      <c r="CY177" s="114">
        <f>SUMIFS('01. KE30'!$I:$I,'01. KE30'!$C:$C,'06. BC BH THEO CUSTOMER-USD'!$D177,'01. KE30'!$F:$F,'06. BC BH THEO CUSTOMER-USD'!$H177,'01. KE30'!$A:$A,'06. BC BH THEO CUSTOMER-USD'!CY$4)/1000</f>
        <v>0.75</v>
      </c>
      <c r="CZ177" s="114">
        <f>SUMIFS('01. KE30'!$I:$I,'01. KE30'!$C:$C,'06. BC BH THEO CUSTOMER-USD'!$D177,'01. KE30'!$F:$F,'06. BC BH THEO CUSTOMER-USD'!$H177,'01. KE30'!$A:$A,'06. BC BH THEO CUSTOMER-USD'!CZ$4)/1000</f>
        <v>3.7749999999999999</v>
      </c>
      <c r="DA177" s="114">
        <f>SUMIFS('01. KE30'!$I:$I,'01. KE30'!$C:$C,'06. BC BH THEO CUSTOMER-USD'!$D177,'01. KE30'!$F:$F,'06. BC BH THEO CUSTOMER-USD'!$H177,'01. KE30'!$A:$A,'06. BC BH THEO CUSTOMER-USD'!DA$4)/1000</f>
        <v>21</v>
      </c>
      <c r="DB177" s="114">
        <f>SUMIFS('01. KE30'!$I:$I,'01. KE30'!$C:$C,'06. BC BH THEO CUSTOMER-USD'!$D177,'01. KE30'!$F:$F,'06. BC BH THEO CUSTOMER-USD'!$H177,'01. KE30'!$A:$A,'06. BC BH THEO CUSTOMER-USD'!DB$4)/1000</f>
        <v>0</v>
      </c>
      <c r="DC177" s="114">
        <f>SUMIFS('01. KE30'!$I:$I,'01. KE30'!$C:$C,'06. BC BH THEO CUSTOMER-USD'!$D177,'01. KE30'!$F:$F,'06. BC BH THEO CUSTOMER-USD'!$H177,'01. KE30'!$A:$A,'06. BC BH THEO CUSTOMER-USD'!DC$4)/1000</f>
        <v>0</v>
      </c>
      <c r="DD177" s="114">
        <f>SUMIFS('01. KE30'!$I:$I,'01. KE30'!$C:$C,'06. BC BH THEO CUSTOMER-USD'!$D177,'01. KE30'!$F:$F,'06. BC BH THEO CUSTOMER-USD'!$H177,'01. KE30'!$A:$A,'06. BC BH THEO CUSTOMER-USD'!DD$4)/1000</f>
        <v>0</v>
      </c>
      <c r="DF177" s="112">
        <f t="shared" ref="DF177" si="2081">SUM(DG177:DR177)</f>
        <v>17280.872738842962</v>
      </c>
      <c r="DG177" s="54" t="str">
        <f t="shared" ref="DG177" si="2082">IFERROR(M177*CS177,"-")</f>
        <v>-</v>
      </c>
      <c r="DH177" s="54" t="str">
        <f t="shared" ref="DH177" si="2083">IFERROR(N177*CT177,"-")</f>
        <v>-</v>
      </c>
      <c r="DI177" s="54" t="str">
        <f t="shared" ref="DI177" si="2084">IFERROR(O177*CU177,"-")</f>
        <v>-</v>
      </c>
      <c r="DJ177" s="54">
        <f t="shared" ref="DJ177" si="2085">IFERROR(P177*CV177,"-")</f>
        <v>2677.7649245063876</v>
      </c>
      <c r="DK177" s="54" t="str">
        <f t="shared" ref="DK177" si="2086">IFERROR(Q177*CW177,"-")</f>
        <v>-</v>
      </c>
      <c r="DL177" s="54" t="str">
        <f t="shared" ref="DL177" si="2087">IFERROR(R177*CX177,"-")</f>
        <v>-</v>
      </c>
      <c r="DM177" s="54">
        <f t="shared" ref="DM177" si="2088">IFERROR(S177*CY177,"-")</f>
        <v>440.19719554360353</v>
      </c>
      <c r="DN177" s="54">
        <f t="shared" ref="DN177" si="2089">IFERROR(T177*CZ177,"-")</f>
        <v>2162.9106187929715</v>
      </c>
      <c r="DO177" s="54">
        <f t="shared" ref="DO177" si="2090">IFERROR(U177*DA177,"-")</f>
        <v>12000</v>
      </c>
      <c r="DP177" s="54" t="str">
        <f t="shared" ref="DP177" si="2091">IFERROR(V177*DB177,"-")</f>
        <v>-</v>
      </c>
      <c r="DQ177" s="54" t="str">
        <f t="shared" ref="DQ177" si="2092">IFERROR(W177*DC177,"-")</f>
        <v>-</v>
      </c>
      <c r="DR177" s="54" t="str">
        <f t="shared" ref="DR177" si="2093">IFERROR(X177*DD177,"-")</f>
        <v>-</v>
      </c>
      <c r="DT177" s="112">
        <f t="shared" ref="DT177" si="2094">SUM(DU177:EF177)</f>
        <v>-13565.013007084744</v>
      </c>
      <c r="DU177" s="114">
        <f>IFERROR(SUMIFS('01. KE30'!$X:$X,'01. KE30'!$C:$C,'06. BC BH THEO CUSTOMER-USD'!$D177,'01. KE30'!$F:$F,'06. BC BH THEO CUSTOMER-USD'!$H177,'01. KE30'!$A:$A,'06. BC BH THEO CUSTOMER-USD'!DU$4)-SUMIFS('01. KE30'!$AA:$AA,'01. KE30'!$C:$C,'06. BC BH THEO CUSTOMER-USD'!$D177,'01. KE30'!$F:$F,'06. BC BH THEO CUSTOMER-USD'!$H177,'01. KE30'!$A:$A,'06. BC BH THEO CUSTOMER-USD'!DU$4),"-")</f>
        <v>0</v>
      </c>
      <c r="DV177" s="114">
        <f>IFERROR(SUMIFS('01. KE30'!$X:$X,'01. KE30'!$C:$C,'06. BC BH THEO CUSTOMER-USD'!$D177,'01. KE30'!$F:$F,'06. BC BH THEO CUSTOMER-USD'!$H177,'01. KE30'!$A:$A,'06. BC BH THEO CUSTOMER-USD'!DV$4)-SUMIFS('01. KE30'!$AA:$AA,'01. KE30'!$C:$C,'06. BC BH THEO CUSTOMER-USD'!$D177,'01. KE30'!$F:$F,'06. BC BH THEO CUSTOMER-USD'!$H177,'01. KE30'!$A:$A,'06. BC BH THEO CUSTOMER-USD'!DV$4),"-")</f>
        <v>0</v>
      </c>
      <c r="DW177" s="114">
        <f>IFERROR(SUMIFS('01. KE30'!$X:$X,'01. KE30'!$C:$C,'06. BC BH THEO CUSTOMER-USD'!$D177,'01. KE30'!$F:$F,'06. BC BH THEO CUSTOMER-USD'!$H177,'01. KE30'!$A:$A,'06. BC BH THEO CUSTOMER-USD'!DW$4)-SUMIFS('01. KE30'!$AA:$AA,'01. KE30'!$C:$C,'06. BC BH THEO CUSTOMER-USD'!$D177,'01. KE30'!$F:$F,'06. BC BH THEO CUSTOMER-USD'!$H177,'01. KE30'!$A:$A,'06. BC BH THEO CUSTOMER-USD'!DW$4),"-")</f>
        <v>0</v>
      </c>
      <c r="DX177" s="114">
        <f>IFERROR(SUMIFS('01. KE30'!$X:$X,'01. KE30'!$C:$C,'06. BC BH THEO CUSTOMER-USD'!$D177,'01. KE30'!$F:$F,'06. BC BH THEO CUSTOMER-USD'!$H177,'01. KE30'!$A:$A,'06. BC BH THEO CUSTOMER-USD'!DX$4)-SUMIFS('01. KE30'!$AA:$AA,'01. KE30'!$C:$C,'06. BC BH THEO CUSTOMER-USD'!$D177,'01. KE30'!$F:$F,'06. BC BH THEO CUSTOMER-USD'!$H177,'01. KE30'!$A:$A,'06. BC BH THEO CUSTOMER-USD'!DX$4),"-")</f>
        <v>-1512.8960898180408</v>
      </c>
      <c r="DY177" s="114">
        <f>IFERROR(SUMIFS('01. KE30'!$X:$X,'01. KE30'!$C:$C,'06. BC BH THEO CUSTOMER-USD'!$D177,'01. KE30'!$F:$F,'06. BC BH THEO CUSTOMER-USD'!$H177,'01. KE30'!$A:$A,'06. BC BH THEO CUSTOMER-USD'!DY$4)-SUMIFS('01. KE30'!$AA:$AA,'01. KE30'!$C:$C,'06. BC BH THEO CUSTOMER-USD'!$D177,'01. KE30'!$F:$F,'06. BC BH THEO CUSTOMER-USD'!$H177,'01. KE30'!$A:$A,'06. BC BH THEO CUSTOMER-USD'!DY$4),"-")</f>
        <v>0</v>
      </c>
      <c r="DZ177" s="114">
        <f>IFERROR(SUMIFS('01. KE30'!$X:$X,'01. KE30'!$C:$C,'06. BC BH THEO CUSTOMER-USD'!$D177,'01. KE30'!$F:$F,'06. BC BH THEO CUSTOMER-USD'!$H177,'01. KE30'!$A:$A,'06. BC BH THEO CUSTOMER-USD'!DZ$4)-SUMIFS('01. KE30'!$AA:$AA,'01. KE30'!$C:$C,'06. BC BH THEO CUSTOMER-USD'!$D177,'01. KE30'!$F:$F,'06. BC BH THEO CUSTOMER-USD'!$H177,'01. KE30'!$A:$A,'06. BC BH THEO CUSTOMER-USD'!DZ$4),"-")</f>
        <v>0</v>
      </c>
      <c r="EA177" s="114">
        <f>IFERROR(SUMIFS('01. KE30'!$X:$X,'01. KE30'!$C:$C,'06. BC BH THEO CUSTOMER-USD'!$D177,'01. KE30'!$F:$F,'06. BC BH THEO CUSTOMER-USD'!$H177,'01. KE30'!$A:$A,'06. BC BH THEO CUSTOMER-USD'!EA$4)-SUMIFS('01. KE30'!$AA:$AA,'01. KE30'!$C:$C,'06. BC BH THEO CUSTOMER-USD'!$D177,'01. KE30'!$F:$F,'06. BC BH THEO CUSTOMER-USD'!$H177,'01. KE30'!$A:$A,'06. BC BH THEO CUSTOMER-USD'!EA$4),"-")</f>
        <v>-317.8375336150595</v>
      </c>
      <c r="EB177" s="114">
        <f>IFERROR(SUMIFS('01. KE30'!$X:$X,'01. KE30'!$C:$C,'06. BC BH THEO CUSTOMER-USD'!$D177,'01. KE30'!$F:$F,'06. BC BH THEO CUSTOMER-USD'!$H177,'01. KE30'!$A:$A,'06. BC BH THEO CUSTOMER-USD'!EB$4)-SUMIFS('01. KE30'!$AA:$AA,'01. KE30'!$C:$C,'06. BC BH THEO CUSTOMER-USD'!$D177,'01. KE30'!$F:$F,'06. BC BH THEO CUSTOMER-USD'!$H177,'01. KE30'!$A:$A,'06. BC BH THEO CUSTOMER-USD'!EB$4),"-")</f>
        <v>-1738.654583651642</v>
      </c>
      <c r="EC177" s="114">
        <f>IFERROR(SUMIFS('01. KE30'!$X:$X,'01. KE30'!$C:$C,'06. BC BH THEO CUSTOMER-USD'!$D177,'01. KE30'!$F:$F,'06. BC BH THEO CUSTOMER-USD'!$H177,'01. KE30'!$A:$A,'06. BC BH THEO CUSTOMER-USD'!EC$4)-SUMIFS('01. KE30'!$AA:$AA,'01. KE30'!$C:$C,'06. BC BH THEO CUSTOMER-USD'!$D177,'01. KE30'!$F:$F,'06. BC BH THEO CUSTOMER-USD'!$H177,'01. KE30'!$A:$A,'06. BC BH THEO CUSTOMER-USD'!EC$4),"-")</f>
        <v>-9995.6248000000014</v>
      </c>
      <c r="ED177" s="114">
        <f>IFERROR(SUMIFS('01. KE30'!$X:$X,'01. KE30'!$C:$C,'06. BC BH THEO CUSTOMER-USD'!$D177,'01. KE30'!$F:$F,'06. BC BH THEO CUSTOMER-USD'!$H177,'01. KE30'!$A:$A,'06. BC BH THEO CUSTOMER-USD'!ED$4)-SUMIFS('01. KE30'!$AA:$AA,'01. KE30'!$C:$C,'06. BC BH THEO CUSTOMER-USD'!$D177,'01. KE30'!$F:$F,'06. BC BH THEO CUSTOMER-USD'!$H177,'01. KE30'!$A:$A,'06. BC BH THEO CUSTOMER-USD'!ED$4),"-")</f>
        <v>0</v>
      </c>
      <c r="EE177" s="114">
        <f>IFERROR(SUMIFS('01. KE30'!$X:$X,'01. KE30'!$C:$C,'06. BC BH THEO CUSTOMER-USD'!$D177,'01. KE30'!$F:$F,'06. BC BH THEO CUSTOMER-USD'!$H177,'01. KE30'!$A:$A,'06. BC BH THEO CUSTOMER-USD'!EE$4)-SUMIFS('01. KE30'!$AA:$AA,'01. KE30'!$C:$C,'06. BC BH THEO CUSTOMER-USD'!$D177,'01. KE30'!$F:$F,'06. BC BH THEO CUSTOMER-USD'!$H177,'01. KE30'!$A:$A,'06. BC BH THEO CUSTOMER-USD'!EE$4),"-")</f>
        <v>0</v>
      </c>
      <c r="EF177" s="114">
        <f>IFERROR(SUMIFS('01. KE30'!$X:$X,'01. KE30'!$C:$C,'06. BC BH THEO CUSTOMER-USD'!$D177,'01. KE30'!$F:$F,'06. BC BH THEO CUSTOMER-USD'!$H177,'01. KE30'!$A:$A,'06. BC BH THEO CUSTOMER-USD'!EF$4)-SUMIFS('01. KE30'!$AA:$AA,'01. KE30'!$C:$C,'06. BC BH THEO CUSTOMER-USD'!$D177,'01. KE30'!$F:$F,'06. BC BH THEO CUSTOMER-USD'!$H177,'01. KE30'!$A:$A,'06. BC BH THEO CUSTOMER-USD'!EF$4),"-")</f>
        <v>0</v>
      </c>
      <c r="EH177" s="571">
        <f t="shared" ref="EH177" si="2095">IFERROR(DT177/DF177,"-")</f>
        <v>-0.78497268118838004</v>
      </c>
      <c r="EI177" s="572" t="str">
        <f t="shared" ref="EI177" si="2096">IFERROR(DU177/DG177,"-")</f>
        <v>-</v>
      </c>
      <c r="EJ177" s="572" t="str">
        <f t="shared" ref="EJ177" si="2097">IFERROR(DV177/DH177,"-")</f>
        <v>-</v>
      </c>
      <c r="EK177" s="572" t="str">
        <f t="shared" ref="EK177" si="2098">IFERROR(DW177/DI177,"-")</f>
        <v>-</v>
      </c>
      <c r="EL177" s="572">
        <f t="shared" ref="EL177" si="2099">IFERROR(DX177/DJ177,"-")</f>
        <v>-0.56498465416897048</v>
      </c>
      <c r="EM177" s="572" t="str">
        <f t="shared" ref="EM177" si="2100">IFERROR(DY177/DK177,"-")</f>
        <v>-</v>
      </c>
      <c r="EN177" s="572" t="str">
        <f t="shared" ref="EN177" si="2101">IFERROR(DZ177/DL177,"-")</f>
        <v>-</v>
      </c>
      <c r="EO177" s="572">
        <f t="shared" ref="EO177" si="2102">IFERROR(EA177/DM177,"-")</f>
        <v>-0.72203443555009261</v>
      </c>
      <c r="EP177" s="572">
        <f t="shared" ref="EP177" si="2103">IFERROR(EB177/DN177,"-")</f>
        <v>-0.80384948344370855</v>
      </c>
      <c r="EQ177" s="572">
        <f t="shared" ref="EQ177" si="2104">IFERROR(EC177/DO177,"-")</f>
        <v>-0.83296873333333343</v>
      </c>
      <c r="ER177" s="572" t="str">
        <f t="shared" ref="ER177" si="2105">IFERROR(ED177/DP177,"-")</f>
        <v>-</v>
      </c>
      <c r="ES177" s="572" t="str">
        <f t="shared" ref="ES177" si="2106">IFERROR(EE177/DQ177,"-")</f>
        <v>-</v>
      </c>
      <c r="ET177" s="572" t="str">
        <f t="shared" ref="ET177" si="2107">IFERROR(EF177/DR177,"-")</f>
        <v>-</v>
      </c>
    </row>
    <row r="178" spans="1:150" ht="15.5" hidden="1" outlineLevel="1" x14ac:dyDescent="0.35">
      <c r="A178" s="10">
        <f>A176+1</f>
        <v>4</v>
      </c>
      <c r="B178" s="10" t="s">
        <v>295</v>
      </c>
      <c r="C178" s="442" t="s">
        <v>489</v>
      </c>
      <c r="D178" s="9" t="s">
        <v>519</v>
      </c>
      <c r="E178" s="8" t="s">
        <v>520</v>
      </c>
      <c r="F178" s="12" t="s">
        <v>245</v>
      </c>
      <c r="G178" s="12" t="str">
        <f>_xlfn.XLOOKUP(F178,'Quy đổi'!$G$5:$G$32,'Quy đổi'!$H$5:$H$32,0)</f>
        <v>Nội địa</v>
      </c>
      <c r="H178" s="80" t="s">
        <v>536</v>
      </c>
      <c r="I178" s="20" t="s">
        <v>537</v>
      </c>
      <c r="J178" s="69" t="s">
        <v>22</v>
      </c>
      <c r="K178" s="5"/>
      <c r="L178" s="92">
        <f t="shared" si="1263"/>
        <v>573.48712466475365</v>
      </c>
      <c r="M178" s="106" t="str">
        <f>IFERROR(SUMIFS('01. KE30'!$K:$K,'01. KE30'!$C:$C,'06. BC BH THEO CUSTOMER-USD'!$D178,'01. KE30'!$F:$F,'06. BC BH THEO CUSTOMER-USD'!$H178,'01. KE30'!$A:$A,'06. BC BH THEO CUSTOMER-USD'!M$4)/'06. BC BH THEO CUSTOMER-USD'!CS178/'02. Tỷ giá'!B$5,"-")</f>
        <v>-</v>
      </c>
      <c r="N178" s="106">
        <f>IFERROR(SUMIFS('01. KE30'!$K:$K,'01. KE30'!$C:$C,'06. BC BH THEO CUSTOMER-USD'!$D178,'01. KE30'!$F:$F,'06. BC BH THEO CUSTOMER-USD'!$H178,'01. KE30'!$A:$A,'06. BC BH THEO CUSTOMER-USD'!N$4)/'06. BC BH THEO CUSTOMER-USD'!CT178/'02. Tỷ giá'!C$5,"-")</f>
        <v>590.78377313903115</v>
      </c>
      <c r="O178" s="106" t="str">
        <f>IFERROR(SUMIFS('01. KE30'!$K:$K,'01. KE30'!$C:$C,'06. BC BH THEO CUSTOMER-USD'!$D178,'01. KE30'!$F:$F,'06. BC BH THEO CUSTOMER-USD'!$H178,'01. KE30'!$A:$A,'06. BC BH THEO CUSTOMER-USD'!O$4)/'06. BC BH THEO CUSTOMER-USD'!CU178/'02. Tỷ giá'!D$5,"-")</f>
        <v>-</v>
      </c>
      <c r="P178" s="106" t="str">
        <f>IFERROR(SUMIFS('01. KE30'!$K:$K,'01. KE30'!$C:$C,'06. BC BH THEO CUSTOMER-USD'!$D178,'01. KE30'!$F:$F,'06. BC BH THEO CUSTOMER-USD'!$H178,'01. KE30'!$A:$A,'06. BC BH THEO CUSTOMER-USD'!P$4)/'06. BC BH THEO CUSTOMER-USD'!CV178/'02. Tỷ giá'!E$5,"-")</f>
        <v>-</v>
      </c>
      <c r="Q178" s="106" t="str">
        <f>IFERROR(SUMIFS('01. KE30'!$K:$K,'01. KE30'!$C:$C,'06. BC BH THEO CUSTOMER-USD'!$D178,'01. KE30'!$F:$F,'06. BC BH THEO CUSTOMER-USD'!$H178,'01. KE30'!$A:$A,'06. BC BH THEO CUSTOMER-USD'!Q$4)/'06. BC BH THEO CUSTOMER-USD'!CW178/'02. Tỷ giá'!F$5,"-")</f>
        <v>-</v>
      </c>
      <c r="R178" s="106" t="str">
        <f>IFERROR(SUMIFS('01. KE30'!$K:$K,'01. KE30'!$C:$C,'06. BC BH THEO CUSTOMER-USD'!$D178,'01. KE30'!$F:$F,'06. BC BH THEO CUSTOMER-USD'!$H178,'01. KE30'!$A:$A,'06. BC BH THEO CUSTOMER-USD'!R$4)/'06. BC BH THEO CUSTOMER-USD'!CX178/'02. Tỷ giá'!G$5,"-")</f>
        <v>-</v>
      </c>
      <c r="S178" s="106" t="str">
        <f>IFERROR(SUMIFS('01. KE30'!$K:$K,'01. KE30'!$C:$C,'06. BC BH THEO CUSTOMER-USD'!$D178,'01. KE30'!$F:$F,'06. BC BH THEO CUSTOMER-USD'!$H178,'01. KE30'!$A:$A,'06. BC BH THEO CUSTOMER-USD'!S$4)/'06. BC BH THEO CUSTOMER-USD'!CY178/'02. Tỷ giá'!H$5,"-")</f>
        <v>-</v>
      </c>
      <c r="T178" s="106" t="str">
        <f>IFERROR(SUMIFS('01. KE30'!$K:$K,'01. KE30'!$C:$C,'06. BC BH THEO CUSTOMER-USD'!$D178,'01. KE30'!$F:$F,'06. BC BH THEO CUSTOMER-USD'!$H178,'01. KE30'!$A:$A,'06. BC BH THEO CUSTOMER-USD'!T$4)/'06. BC BH THEO CUSTOMER-USD'!CZ178/'02. Tỷ giá'!I$5,"-")</f>
        <v>-</v>
      </c>
      <c r="U178" s="106">
        <f>IFERROR(SUMIFS('01. KE30'!$K:$K,'01. KE30'!$C:$C,'06. BC BH THEO CUSTOMER-USD'!$D178,'01. KE30'!$F:$F,'06. BC BH THEO CUSTOMER-USD'!$H178,'01. KE30'!$A:$A,'06. BC BH THEO CUSTOMER-USD'!U$4)/'06. BC BH THEO CUSTOMER-USD'!DA178/'02. Tỷ giá'!J$5,"-")</f>
        <v>556.19047619047615</v>
      </c>
      <c r="V178" s="106" t="str">
        <f>IFERROR(SUMIFS('01. KE30'!$K:$K,'01. KE30'!$C:$C,'06. BC BH THEO CUSTOMER-USD'!$D178,'01. KE30'!$F:$F,'06. BC BH THEO CUSTOMER-USD'!$H178,'01. KE30'!$A:$A,'06. BC BH THEO CUSTOMER-USD'!V$4)/'06. BC BH THEO CUSTOMER-USD'!DB178/'02. Tỷ giá'!K$5,"-")</f>
        <v>-</v>
      </c>
      <c r="W178" s="106" t="str">
        <f>IFERROR(SUMIFS('01. KE30'!$K:$K,'01. KE30'!$C:$C,'06. BC BH THEO CUSTOMER-USD'!$D178,'01. KE30'!$F:$F,'06. BC BH THEO CUSTOMER-USD'!$H178,'01. KE30'!$A:$A,'06. BC BH THEO CUSTOMER-USD'!W$4)/'06. BC BH THEO CUSTOMER-USD'!DC178/'02. Tỷ giá'!L$5,"-")</f>
        <v>-</v>
      </c>
      <c r="X178" s="106" t="str">
        <f>IFERROR(SUMIFS('01. KE30'!$K:$K,'01. KE30'!$C:$C,'06. BC BH THEO CUSTOMER-USD'!$D178,'01. KE30'!$F:$F,'06. BC BH THEO CUSTOMER-USD'!$H178,'01. KE30'!$A:$A,'06. BC BH THEO CUSTOMER-USD'!X$4)/'06. BC BH THEO CUSTOMER-USD'!DD178/'02. Tỷ giá'!M$5,"-")</f>
        <v>-</v>
      </c>
      <c r="Z178" s="92">
        <f t="shared" si="1264"/>
        <v>573.48712466475365</v>
      </c>
      <c r="AA178" s="147" t="str">
        <f>IFERROR(SUMIFS('01. KE30'!$O:$O,'01. KE30'!$C:$C,'06. BC BH THEO CUSTOMER-USD'!$D178,'01. KE30'!$F:$F,'06. BC BH THEO CUSTOMER-USD'!$H178,'01. KE30'!$A:$A,'06. BC BH THEO CUSTOMER-USD'!M$4)/'06. BC BH THEO CUSTOMER-USD'!CS178/'02. Tỷ giá'!B$5,"-")</f>
        <v>-</v>
      </c>
      <c r="AB178" s="147">
        <f>IFERROR(SUMIFS('01. KE30'!$O:$O,'01. KE30'!$C:$C,'06. BC BH THEO CUSTOMER-USD'!$D178,'01. KE30'!$F:$F,'06. BC BH THEO CUSTOMER-USD'!$H178,'01. KE30'!$A:$A,'06. BC BH THEO CUSTOMER-USD'!N$4)/'06. BC BH THEO CUSTOMER-USD'!CT178/'02. Tỷ giá'!C$5,"-")</f>
        <v>590.78377313903115</v>
      </c>
      <c r="AC178" s="147" t="str">
        <f>IFERROR(SUMIFS('01. KE30'!$O:$O,'01. KE30'!$C:$C,'06. BC BH THEO CUSTOMER-USD'!$D178,'01. KE30'!$F:$F,'06. BC BH THEO CUSTOMER-USD'!$H178,'01. KE30'!$A:$A,'06. BC BH THEO CUSTOMER-USD'!O$4)/'06. BC BH THEO CUSTOMER-USD'!CU178/'02. Tỷ giá'!D$5,"-")</f>
        <v>-</v>
      </c>
      <c r="AD178" s="147" t="str">
        <f>IFERROR(SUMIFS('01. KE30'!$O:$O,'01. KE30'!$C:$C,'06. BC BH THEO CUSTOMER-USD'!$D178,'01. KE30'!$F:$F,'06. BC BH THEO CUSTOMER-USD'!$H178,'01. KE30'!$A:$A,'06. BC BH THEO CUSTOMER-USD'!P$4)/'06. BC BH THEO CUSTOMER-USD'!CV178/'02. Tỷ giá'!E$5,"-")</f>
        <v>-</v>
      </c>
      <c r="AE178" s="147" t="str">
        <f>IFERROR(SUMIFS('01. KE30'!$O:$O,'01. KE30'!$C:$C,'06. BC BH THEO CUSTOMER-USD'!$D178,'01. KE30'!$F:$F,'06. BC BH THEO CUSTOMER-USD'!$H178,'01. KE30'!$A:$A,'06. BC BH THEO CUSTOMER-USD'!Q$4)/'06. BC BH THEO CUSTOMER-USD'!CW178/'02. Tỷ giá'!F$5,"-")</f>
        <v>-</v>
      </c>
      <c r="AF178" s="147" t="str">
        <f>IFERROR(SUMIFS('01. KE30'!$O:$O,'01. KE30'!$C:$C,'06. BC BH THEO CUSTOMER-USD'!$D178,'01. KE30'!$F:$F,'06. BC BH THEO CUSTOMER-USD'!$H178,'01. KE30'!$A:$A,'06. BC BH THEO CUSTOMER-USD'!R$4)/'06. BC BH THEO CUSTOMER-USD'!CX178/'02. Tỷ giá'!G$5,"-")</f>
        <v>-</v>
      </c>
      <c r="AG178" s="147" t="str">
        <f>IFERROR(SUMIFS('01. KE30'!$O:$O,'01. KE30'!$C:$C,'06. BC BH THEO CUSTOMER-USD'!$D178,'01. KE30'!$F:$F,'06. BC BH THEO CUSTOMER-USD'!$H178,'01. KE30'!$A:$A,'06. BC BH THEO CUSTOMER-USD'!S$4)/'06. BC BH THEO CUSTOMER-USD'!CY178/'02. Tỷ giá'!H$5,"-")</f>
        <v>-</v>
      </c>
      <c r="AH178" s="147" t="str">
        <f>IFERROR(SUMIFS('01. KE30'!$O:$O,'01. KE30'!$C:$C,'06. BC BH THEO CUSTOMER-USD'!$D178,'01. KE30'!$F:$F,'06. BC BH THEO CUSTOMER-USD'!$H178,'01. KE30'!$A:$A,'06. BC BH THEO CUSTOMER-USD'!T$4)/'06. BC BH THEO CUSTOMER-USD'!CZ178/'02. Tỷ giá'!I$5,"-")</f>
        <v>-</v>
      </c>
      <c r="AI178" s="147">
        <f>IFERROR(SUMIFS('01. KE30'!$O:$O,'01. KE30'!$C:$C,'06. BC BH THEO CUSTOMER-USD'!$D178,'01. KE30'!$F:$F,'06. BC BH THEO CUSTOMER-USD'!$H178,'01. KE30'!$A:$A,'06. BC BH THEO CUSTOMER-USD'!U$4)/'06. BC BH THEO CUSTOMER-USD'!DA178/'02. Tỷ giá'!J$5,"-")</f>
        <v>556.19047619047615</v>
      </c>
      <c r="AJ178" s="147" t="str">
        <f>IFERROR(SUMIFS('01. KE30'!$O:$O,'01. KE30'!$C:$C,'06. BC BH THEO CUSTOMER-USD'!$D178,'01. KE30'!$F:$F,'06. BC BH THEO CUSTOMER-USD'!$H178,'01. KE30'!$A:$A,'06. BC BH THEO CUSTOMER-USD'!V$4)/'06. BC BH THEO CUSTOMER-USD'!DB178/'02. Tỷ giá'!K$5,"-")</f>
        <v>-</v>
      </c>
      <c r="AK178" s="147" t="str">
        <f>IFERROR(SUMIFS('01. KE30'!$O:$O,'01. KE30'!$C:$C,'06. BC BH THEO CUSTOMER-USD'!$D178,'01. KE30'!$F:$F,'06. BC BH THEO CUSTOMER-USD'!$H178,'01. KE30'!$A:$A,'06. BC BH THEO CUSTOMER-USD'!W$4)/'06. BC BH THEO CUSTOMER-USD'!DC178/'02. Tỷ giá'!L$5,"-")</f>
        <v>-</v>
      </c>
      <c r="AL178" s="147" t="str">
        <f>IFERROR(SUMIFS('01. KE30'!$O:$O,'01. KE30'!$C:$C,'06. BC BH THEO CUSTOMER-USD'!$D178,'01. KE30'!$F:$F,'06. BC BH THEO CUSTOMER-USD'!$H178,'01. KE30'!$A:$A,'06. BC BH THEO CUSTOMER-USD'!X$4)/'06. BC BH THEO CUSTOMER-USD'!DD178/'02. Tỷ giá'!M$5,"-")</f>
        <v>-</v>
      </c>
      <c r="AN178" s="55">
        <f t="shared" si="1265"/>
        <v>737.22222222222217</v>
      </c>
      <c r="AO178" s="4">
        <v>825</v>
      </c>
      <c r="AP178" s="4">
        <v>750</v>
      </c>
      <c r="AQ178" s="4">
        <v>750</v>
      </c>
      <c r="AR178" s="4">
        <v>750</v>
      </c>
      <c r="AS178" s="4">
        <v>720</v>
      </c>
      <c r="AT178" s="4">
        <v>720</v>
      </c>
      <c r="AU178" s="4">
        <v>720</v>
      </c>
      <c r="AV178" s="4">
        <f t="shared" si="1272"/>
        <v>700</v>
      </c>
      <c r="AW178" s="4">
        <v>700</v>
      </c>
      <c r="AX178" s="4"/>
      <c r="AY178" s="4"/>
      <c r="AZ178" s="4"/>
      <c r="BB178" s="95">
        <f t="shared" si="637"/>
        <v>-163.73509755746852</v>
      </c>
      <c r="BC178" s="95" t="str">
        <f t="shared" si="1333"/>
        <v>-</v>
      </c>
      <c r="BD178" s="95">
        <f t="shared" si="1718"/>
        <v>-159.21622686096885</v>
      </c>
      <c r="BE178" s="95" t="str">
        <f t="shared" si="1718"/>
        <v>-</v>
      </c>
      <c r="BF178" s="95" t="str">
        <f t="shared" si="1718"/>
        <v>-</v>
      </c>
      <c r="BG178" s="95" t="str">
        <f t="shared" si="1718"/>
        <v>-</v>
      </c>
      <c r="BH178" s="95" t="str">
        <f t="shared" si="1718"/>
        <v>-</v>
      </c>
      <c r="BI178" s="95" t="str">
        <f t="shared" si="1718"/>
        <v>-</v>
      </c>
      <c r="BJ178" s="95" t="str">
        <f t="shared" si="1718"/>
        <v>-</v>
      </c>
      <c r="BK178" s="95">
        <f t="shared" si="1718"/>
        <v>-143.80952380952385</v>
      </c>
      <c r="BL178" s="95" t="str">
        <f t="shared" si="1718"/>
        <v>-</v>
      </c>
      <c r="BM178" s="95" t="str">
        <f t="shared" si="1718"/>
        <v>-</v>
      </c>
      <c r="BN178" s="95" t="str">
        <f t="shared" si="1718"/>
        <v>-</v>
      </c>
      <c r="BP178" s="143">
        <f t="shared" si="639"/>
        <v>-0.22209734408699575</v>
      </c>
      <c r="BQ178" s="143" t="str">
        <f t="shared" si="1331"/>
        <v>-</v>
      </c>
      <c r="BR178" s="143">
        <f t="shared" si="518"/>
        <v>-0.2122883024812918</v>
      </c>
      <c r="BS178" s="143" t="str">
        <f t="shared" si="519"/>
        <v>-</v>
      </c>
      <c r="BT178" s="143" t="str">
        <f t="shared" si="520"/>
        <v>-</v>
      </c>
      <c r="BU178" s="143" t="str">
        <f t="shared" si="521"/>
        <v>-</v>
      </c>
      <c r="BV178" s="143" t="str">
        <f t="shared" si="522"/>
        <v>-</v>
      </c>
      <c r="BW178" s="143" t="str">
        <f t="shared" si="523"/>
        <v>-</v>
      </c>
      <c r="BX178" s="143" t="str">
        <f t="shared" si="524"/>
        <v>-</v>
      </c>
      <c r="BY178" s="143">
        <f t="shared" si="525"/>
        <v>-0.20544217687074837</v>
      </c>
      <c r="BZ178" s="143" t="str">
        <f t="shared" si="526"/>
        <v>-</v>
      </c>
      <c r="CA178" s="143" t="str">
        <f t="shared" si="527"/>
        <v>-</v>
      </c>
      <c r="CB178" s="143" t="str">
        <f t="shared" si="528"/>
        <v>-</v>
      </c>
      <c r="CD178" s="112">
        <f t="shared" si="2036"/>
        <v>1000.6416536115735</v>
      </c>
      <c r="CE178" s="95" t="str">
        <f>IFERROR(SUMIFS('01. KE30'!$R:$R,'01. KE30'!$C:$C,'06. BC BH THEO CUSTOMER-USD'!$D178,'01. KE30'!$F:$F,'06. BC BH THEO CUSTOMER-USD'!$H178,'01. KE30'!$A:$A,'06. BC BH THEO CUSTOMER-USD'!CE$4)/CS178/'02. Tỷ giá'!B$5," -")</f>
        <v xml:space="preserve"> -</v>
      </c>
      <c r="CF178" s="95">
        <f>IFERROR(SUMIFS('01. KE30'!$R:$R,'01. KE30'!$C:$C,'06. BC BH THEO CUSTOMER-USD'!$D178,'01. KE30'!$F:$F,'06. BC BH THEO CUSTOMER-USD'!$H178,'01. KE30'!$A:$A,'06. BC BH THEO CUSTOMER-USD'!CF$4)/CT178/'02. Tỷ giá'!C$5," -")</f>
        <v>953.87260076145458</v>
      </c>
      <c r="CG178" s="95" t="str">
        <f>IFERROR(SUMIFS('01. KE30'!$R:$R,'01. KE30'!$C:$C,'06. BC BH THEO CUSTOMER-USD'!$D178,'01. KE30'!$F:$F,'06. BC BH THEO CUSTOMER-USD'!$H178,'01. KE30'!$A:$A,'06. BC BH THEO CUSTOMER-USD'!CG$4)/CU178/'02. Tỷ giá'!D$5," -")</f>
        <v xml:space="preserve"> -</v>
      </c>
      <c r="CH178" s="95" t="str">
        <f>IFERROR(SUMIFS('01. KE30'!$R:$R,'01. KE30'!$C:$C,'06. BC BH THEO CUSTOMER-USD'!$D178,'01. KE30'!$F:$F,'06. BC BH THEO CUSTOMER-USD'!$H178,'01. KE30'!$A:$A,'06. BC BH THEO CUSTOMER-USD'!CH$4)/CV178/'02. Tỷ giá'!E$5," -")</f>
        <v xml:space="preserve"> -</v>
      </c>
      <c r="CI178" s="95" t="str">
        <f>IFERROR(SUMIFS('01. KE30'!$R:$R,'01. KE30'!$C:$C,'06. BC BH THEO CUSTOMER-USD'!$D178,'01. KE30'!$F:$F,'06. BC BH THEO CUSTOMER-USD'!$H178,'01. KE30'!$A:$A,'06. BC BH THEO CUSTOMER-USD'!CI$4)/CW178/'02. Tỷ giá'!F$5," -")</f>
        <v xml:space="preserve"> -</v>
      </c>
      <c r="CJ178" s="95" t="str">
        <f>IFERROR(SUMIFS('01. KE30'!$R:$R,'01. KE30'!$C:$C,'06. BC BH THEO CUSTOMER-USD'!$D178,'01. KE30'!$F:$F,'06. BC BH THEO CUSTOMER-USD'!$H178,'01. KE30'!$A:$A,'06. BC BH THEO CUSTOMER-USD'!CJ$4)/CX178/'02. Tỷ giá'!G$5," -")</f>
        <v xml:space="preserve"> -</v>
      </c>
      <c r="CK178" s="95" t="str">
        <f>IFERROR(SUMIFS('01. KE30'!$R:$R,'01. KE30'!$C:$C,'06. BC BH THEO CUSTOMER-USD'!$D178,'01. KE30'!$F:$F,'06. BC BH THEO CUSTOMER-USD'!$H178,'01. KE30'!$A:$A,'06. BC BH THEO CUSTOMER-USD'!CK$4)/CY178/'02. Tỷ giá'!H$5," -")</f>
        <v xml:space="preserve"> -</v>
      </c>
      <c r="CL178" s="95" t="str">
        <f>IFERROR(SUMIFS('01. KE30'!$R:$R,'01. KE30'!$C:$C,'06. BC BH THEO CUSTOMER-USD'!$D178,'01. KE30'!$F:$F,'06. BC BH THEO CUSTOMER-USD'!$H178,'01. KE30'!$A:$A,'06. BC BH THEO CUSTOMER-USD'!CL$4)/CZ178/'02. Tỷ giá'!I$5," -")</f>
        <v xml:space="preserve"> -</v>
      </c>
      <c r="CM178" s="95">
        <f>IFERROR(SUMIFS('01. KE30'!$R:$R,'01. KE30'!$C:$C,'06. BC BH THEO CUSTOMER-USD'!$D178,'01. KE30'!$F:$F,'06. BC BH THEO CUSTOMER-USD'!$H178,'01. KE30'!$A:$A,'06. BC BH THEO CUSTOMER-USD'!CM$4)/DA178/'02. Tỷ giá'!J$5," -")</f>
        <v>1047.4107064616924</v>
      </c>
      <c r="CN178" s="95" t="str">
        <f>IFERROR(SUMIFS('01. KE30'!$R:$R,'01. KE30'!$C:$C,'06. BC BH THEO CUSTOMER-USD'!$D178,'01. KE30'!$F:$F,'06. BC BH THEO CUSTOMER-USD'!$H178,'01. KE30'!$A:$A,'06. BC BH THEO CUSTOMER-USD'!CN$4)/DB178/'02. Tỷ giá'!K$5," -")</f>
        <v xml:space="preserve"> -</v>
      </c>
      <c r="CO178" s="95" t="str">
        <f>IFERROR(SUMIFS('01. KE30'!$R:$R,'01. KE30'!$C:$C,'06. BC BH THEO CUSTOMER-USD'!$D178,'01. KE30'!$F:$F,'06. BC BH THEO CUSTOMER-USD'!$H178,'01. KE30'!$A:$A,'06. BC BH THEO CUSTOMER-USD'!CO$4)/DC178/'02. Tỷ giá'!L$5," -")</f>
        <v xml:space="preserve"> -</v>
      </c>
      <c r="CP178" s="95" t="str">
        <f>IFERROR(SUMIFS('01. KE30'!$R:$R,'01. KE30'!$C:$C,'06. BC BH THEO CUSTOMER-USD'!$D178,'01. KE30'!$F:$F,'06. BC BH THEO CUSTOMER-USD'!$H178,'01. KE30'!$A:$A,'06. BC BH THEO CUSTOMER-USD'!CP$4)/DD178/'02. Tỷ giá'!M$5," -")</f>
        <v xml:space="preserve"> -</v>
      </c>
      <c r="CR178" s="112">
        <f t="shared" si="1249"/>
        <v>191.25</v>
      </c>
      <c r="CS178" s="114">
        <f>SUMIFS('01. KE30'!$I:$I,'01. KE30'!$C:$C,'06. BC BH THEO CUSTOMER-USD'!$D178,'01. KE30'!$F:$F,'06. BC BH THEO CUSTOMER-USD'!$H178,'01. KE30'!$A:$A,'06. BC BH THEO CUSTOMER-USD'!CS$4)/1000</f>
        <v>0</v>
      </c>
      <c r="CT178" s="114">
        <f>SUMIFS('01. KE30'!$I:$I,'01. KE30'!$C:$C,'06. BC BH THEO CUSTOMER-USD'!$D178,'01. KE30'!$F:$F,'06. BC BH THEO CUSTOMER-USD'!$H178,'01. KE30'!$A:$A,'06. BC BH THEO CUSTOMER-USD'!CT$4)/1000</f>
        <v>0.75</v>
      </c>
      <c r="CU178" s="114">
        <f>SUMIFS('01. KE30'!$I:$I,'01. KE30'!$C:$C,'06. BC BH THEO CUSTOMER-USD'!$D178,'01. KE30'!$F:$F,'06. BC BH THEO CUSTOMER-USD'!$H178,'01. KE30'!$A:$A,'06. BC BH THEO CUSTOMER-USD'!CU$4)/1000</f>
        <v>0</v>
      </c>
      <c r="CV178" s="114">
        <f>SUMIFS('01. KE30'!$I:$I,'01. KE30'!$C:$C,'06. BC BH THEO CUSTOMER-USD'!$D178,'01. KE30'!$F:$F,'06. BC BH THEO CUSTOMER-USD'!$H178,'01. KE30'!$A:$A,'06. BC BH THEO CUSTOMER-USD'!CV$4)/1000</f>
        <v>0</v>
      </c>
      <c r="CW178" s="114">
        <f>SUMIFS('01. KE30'!$I:$I,'01. KE30'!$C:$C,'06. BC BH THEO CUSTOMER-USD'!$D178,'01. KE30'!$F:$F,'06. BC BH THEO CUSTOMER-USD'!$H178,'01. KE30'!$A:$A,'06. BC BH THEO CUSTOMER-USD'!CW$4)/1000</f>
        <v>0</v>
      </c>
      <c r="CX178" s="114">
        <f>SUMIFS('01. KE30'!$I:$I,'01. KE30'!$C:$C,'06. BC BH THEO CUSTOMER-USD'!$D178,'01. KE30'!$F:$F,'06. BC BH THEO CUSTOMER-USD'!$H178,'01. KE30'!$A:$A,'06. BC BH THEO CUSTOMER-USD'!CX$4)/1000</f>
        <v>0</v>
      </c>
      <c r="CY178" s="114">
        <f>SUMIFS('01. KE30'!$I:$I,'01. KE30'!$C:$C,'06. BC BH THEO CUSTOMER-USD'!$D178,'01. KE30'!$F:$F,'06. BC BH THEO CUSTOMER-USD'!$H178,'01. KE30'!$A:$A,'06. BC BH THEO CUSTOMER-USD'!CY$4)/1000</f>
        <v>0</v>
      </c>
      <c r="CZ178" s="114">
        <f>SUMIFS('01. KE30'!$I:$I,'01. KE30'!$C:$C,'06. BC BH THEO CUSTOMER-USD'!$D178,'01. KE30'!$F:$F,'06. BC BH THEO CUSTOMER-USD'!$H178,'01. KE30'!$A:$A,'06. BC BH THEO CUSTOMER-USD'!CZ$4)/1000</f>
        <v>0</v>
      </c>
      <c r="DA178" s="114">
        <f>SUMIFS('01. KE30'!$I:$I,'01. KE30'!$C:$C,'06. BC BH THEO CUSTOMER-USD'!$D178,'01. KE30'!$F:$F,'06. BC BH THEO CUSTOMER-USD'!$H178,'01. KE30'!$A:$A,'06. BC BH THEO CUSTOMER-USD'!DA$4)/1000</f>
        <v>190.5</v>
      </c>
      <c r="DB178" s="114">
        <f>SUMIFS('01. KE30'!$I:$I,'01. KE30'!$C:$C,'06. BC BH THEO CUSTOMER-USD'!$D178,'01. KE30'!$F:$F,'06. BC BH THEO CUSTOMER-USD'!$H178,'01. KE30'!$A:$A,'06. BC BH THEO CUSTOMER-USD'!DB$4)/1000</f>
        <v>0</v>
      </c>
      <c r="DC178" s="114">
        <f>SUMIFS('01. KE30'!$I:$I,'01. KE30'!$C:$C,'06. BC BH THEO CUSTOMER-USD'!$D178,'01. KE30'!$F:$F,'06. BC BH THEO CUSTOMER-USD'!$H178,'01. KE30'!$A:$A,'06. BC BH THEO CUSTOMER-USD'!DC$4)/1000</f>
        <v>0</v>
      </c>
      <c r="DD178" s="114">
        <f>SUMIFS('01. KE30'!$I:$I,'01. KE30'!$C:$C,'06. BC BH THEO CUSTOMER-USD'!$D178,'01. KE30'!$F:$F,'06. BC BH THEO CUSTOMER-USD'!$H178,'01. KE30'!$A:$A,'06. BC BH THEO CUSTOMER-USD'!DD$4)/1000</f>
        <v>0</v>
      </c>
      <c r="DF178" s="112">
        <f t="shared" si="2037"/>
        <v>106397.37354413998</v>
      </c>
      <c r="DG178" s="54" t="str">
        <f t="shared" si="2038"/>
        <v>-</v>
      </c>
      <c r="DH178" s="54">
        <f t="shared" si="2039"/>
        <v>443.08782985427337</v>
      </c>
      <c r="DI178" s="54" t="str">
        <f t="shared" si="2040"/>
        <v>-</v>
      </c>
      <c r="DJ178" s="54" t="str">
        <f t="shared" si="2041"/>
        <v>-</v>
      </c>
      <c r="DK178" s="54" t="str">
        <f t="shared" si="2042"/>
        <v>-</v>
      </c>
      <c r="DL178" s="54" t="str">
        <f t="shared" si="2043"/>
        <v>-</v>
      </c>
      <c r="DM178" s="54" t="str">
        <f t="shared" si="2044"/>
        <v>-</v>
      </c>
      <c r="DN178" s="54" t="str">
        <f t="shared" si="2045"/>
        <v>-</v>
      </c>
      <c r="DO178" s="54">
        <f t="shared" si="2046"/>
        <v>105954.28571428571</v>
      </c>
      <c r="DP178" s="54" t="str">
        <f t="shared" si="2047"/>
        <v>-</v>
      </c>
      <c r="DQ178" s="54" t="str">
        <f t="shared" si="2048"/>
        <v>-</v>
      </c>
      <c r="DR178" s="54" t="str">
        <f t="shared" si="2049"/>
        <v>-</v>
      </c>
      <c r="DT178" s="112">
        <f t="shared" si="652"/>
        <v>-93849.770487383488</v>
      </c>
      <c r="DU178" s="114">
        <f>IFERROR(SUMIFS('01. KE30'!$X:$X,'01. KE30'!$C:$C,'06. BC BH THEO CUSTOMER-USD'!$D178,'01. KE30'!$F:$F,'06. BC BH THEO CUSTOMER-USD'!$H178,'01. KE30'!$A:$A,'06. BC BH THEO CUSTOMER-USD'!DU$4)-SUMIFS('01. KE30'!$AA:$AA,'01. KE30'!$C:$C,'06. BC BH THEO CUSTOMER-USD'!$D178,'01. KE30'!$F:$F,'06. BC BH THEO CUSTOMER-USD'!$H178,'01. KE30'!$A:$A,'06. BC BH THEO CUSTOMER-USD'!DU$4),"-")</f>
        <v>0</v>
      </c>
      <c r="DV178" s="114">
        <f>IFERROR(SUMIFS('01. KE30'!$X:$X,'01. KE30'!$C:$C,'06. BC BH THEO CUSTOMER-USD'!$D178,'01. KE30'!$F:$F,'06. BC BH THEO CUSTOMER-USD'!$H178,'01. KE30'!$A:$A,'06. BC BH THEO CUSTOMER-USD'!DV$4)-SUMIFS('01. KE30'!$AA:$AA,'01. KE30'!$C:$C,'06. BC BH THEO CUSTOMER-USD'!$D178,'01. KE30'!$F:$F,'06. BC BH THEO CUSTOMER-USD'!$H178,'01. KE30'!$A:$A,'06. BC BH THEO CUSTOMER-USD'!DV$4),"-")</f>
        <v>-272.31662071681762</v>
      </c>
      <c r="DW178" s="114">
        <f>IFERROR(SUMIFS('01. KE30'!$X:$X,'01. KE30'!$C:$C,'06. BC BH THEO CUSTOMER-USD'!$D178,'01. KE30'!$F:$F,'06. BC BH THEO CUSTOMER-USD'!$H178,'01. KE30'!$A:$A,'06. BC BH THEO CUSTOMER-USD'!DW$4)-SUMIFS('01. KE30'!$AA:$AA,'01. KE30'!$C:$C,'06. BC BH THEO CUSTOMER-USD'!$D178,'01. KE30'!$F:$F,'06. BC BH THEO CUSTOMER-USD'!$H178,'01. KE30'!$A:$A,'06. BC BH THEO CUSTOMER-USD'!DW$4),"-")</f>
        <v>0</v>
      </c>
      <c r="DX178" s="114">
        <f>IFERROR(SUMIFS('01. KE30'!$X:$X,'01. KE30'!$C:$C,'06. BC BH THEO CUSTOMER-USD'!$D178,'01. KE30'!$F:$F,'06. BC BH THEO CUSTOMER-USD'!$H178,'01. KE30'!$A:$A,'06. BC BH THEO CUSTOMER-USD'!DX$4)-SUMIFS('01. KE30'!$AA:$AA,'01. KE30'!$C:$C,'06. BC BH THEO CUSTOMER-USD'!$D178,'01. KE30'!$F:$F,'06. BC BH THEO CUSTOMER-USD'!$H178,'01. KE30'!$A:$A,'06. BC BH THEO CUSTOMER-USD'!DX$4),"-")</f>
        <v>0</v>
      </c>
      <c r="DY178" s="114">
        <f>IFERROR(SUMIFS('01. KE30'!$X:$X,'01. KE30'!$C:$C,'06. BC BH THEO CUSTOMER-USD'!$D178,'01. KE30'!$F:$F,'06. BC BH THEO CUSTOMER-USD'!$H178,'01. KE30'!$A:$A,'06. BC BH THEO CUSTOMER-USD'!DY$4)-SUMIFS('01. KE30'!$AA:$AA,'01. KE30'!$C:$C,'06. BC BH THEO CUSTOMER-USD'!$D178,'01. KE30'!$F:$F,'06. BC BH THEO CUSTOMER-USD'!$H178,'01. KE30'!$A:$A,'06. BC BH THEO CUSTOMER-USD'!DY$4),"-")</f>
        <v>0</v>
      </c>
      <c r="DZ178" s="114">
        <f>IFERROR(SUMIFS('01. KE30'!$X:$X,'01. KE30'!$C:$C,'06. BC BH THEO CUSTOMER-USD'!$D178,'01. KE30'!$F:$F,'06. BC BH THEO CUSTOMER-USD'!$H178,'01. KE30'!$A:$A,'06. BC BH THEO CUSTOMER-USD'!DZ$4)-SUMIFS('01. KE30'!$AA:$AA,'01. KE30'!$C:$C,'06. BC BH THEO CUSTOMER-USD'!$D178,'01. KE30'!$F:$F,'06. BC BH THEO CUSTOMER-USD'!$H178,'01. KE30'!$A:$A,'06. BC BH THEO CUSTOMER-USD'!DZ$4),"-")</f>
        <v>0</v>
      </c>
      <c r="EA178" s="114">
        <f>IFERROR(SUMIFS('01. KE30'!$X:$X,'01. KE30'!$C:$C,'06. BC BH THEO CUSTOMER-USD'!$D178,'01. KE30'!$F:$F,'06. BC BH THEO CUSTOMER-USD'!$H178,'01. KE30'!$A:$A,'06. BC BH THEO CUSTOMER-USD'!EA$4)-SUMIFS('01. KE30'!$AA:$AA,'01. KE30'!$C:$C,'06. BC BH THEO CUSTOMER-USD'!$D178,'01. KE30'!$F:$F,'06. BC BH THEO CUSTOMER-USD'!$H178,'01. KE30'!$A:$A,'06. BC BH THEO CUSTOMER-USD'!EA$4),"-")</f>
        <v>0</v>
      </c>
      <c r="EB178" s="114">
        <f>IFERROR(SUMIFS('01. KE30'!$X:$X,'01. KE30'!$C:$C,'06. BC BH THEO CUSTOMER-USD'!$D178,'01. KE30'!$F:$F,'06. BC BH THEO CUSTOMER-USD'!$H178,'01. KE30'!$A:$A,'06. BC BH THEO CUSTOMER-USD'!EB$4)-SUMIFS('01. KE30'!$AA:$AA,'01. KE30'!$C:$C,'06. BC BH THEO CUSTOMER-USD'!$D178,'01. KE30'!$F:$F,'06. BC BH THEO CUSTOMER-USD'!$H178,'01. KE30'!$A:$A,'06. BC BH THEO CUSTOMER-USD'!EB$4),"-")</f>
        <v>0</v>
      </c>
      <c r="EC178" s="114">
        <f>IFERROR(SUMIFS('01. KE30'!$X:$X,'01. KE30'!$C:$C,'06. BC BH THEO CUSTOMER-USD'!$D178,'01. KE30'!$F:$F,'06. BC BH THEO CUSTOMER-USD'!$H178,'01. KE30'!$A:$A,'06. BC BH THEO CUSTOMER-USD'!EC$4)-SUMIFS('01. KE30'!$AA:$AA,'01. KE30'!$C:$C,'06. BC BH THEO CUSTOMER-USD'!$D178,'01. KE30'!$F:$F,'06. BC BH THEO CUSTOMER-USD'!$H178,'01. KE30'!$A:$A,'06. BC BH THEO CUSTOMER-USD'!EC$4),"-")</f>
        <v>-93577.453866666678</v>
      </c>
      <c r="ED178" s="114">
        <f>IFERROR(SUMIFS('01. KE30'!$X:$X,'01. KE30'!$C:$C,'06. BC BH THEO CUSTOMER-USD'!$D178,'01. KE30'!$F:$F,'06. BC BH THEO CUSTOMER-USD'!$H178,'01. KE30'!$A:$A,'06. BC BH THEO CUSTOMER-USD'!ED$4)-SUMIFS('01. KE30'!$AA:$AA,'01. KE30'!$C:$C,'06. BC BH THEO CUSTOMER-USD'!$D178,'01. KE30'!$F:$F,'06. BC BH THEO CUSTOMER-USD'!$H178,'01. KE30'!$A:$A,'06. BC BH THEO CUSTOMER-USD'!ED$4),"-")</f>
        <v>0</v>
      </c>
      <c r="EE178" s="114">
        <f>IFERROR(SUMIFS('01. KE30'!$X:$X,'01. KE30'!$C:$C,'06. BC BH THEO CUSTOMER-USD'!$D178,'01. KE30'!$F:$F,'06. BC BH THEO CUSTOMER-USD'!$H178,'01. KE30'!$A:$A,'06. BC BH THEO CUSTOMER-USD'!EE$4)-SUMIFS('01. KE30'!$AA:$AA,'01. KE30'!$C:$C,'06. BC BH THEO CUSTOMER-USD'!$D178,'01. KE30'!$F:$F,'06. BC BH THEO CUSTOMER-USD'!$H178,'01. KE30'!$A:$A,'06. BC BH THEO CUSTOMER-USD'!EE$4),"-")</f>
        <v>0</v>
      </c>
      <c r="EF178" s="114">
        <f>IFERROR(SUMIFS('01. KE30'!$X:$X,'01. KE30'!$C:$C,'06. BC BH THEO CUSTOMER-USD'!$D178,'01. KE30'!$F:$F,'06. BC BH THEO CUSTOMER-USD'!$H178,'01. KE30'!$A:$A,'06. BC BH THEO CUSTOMER-USD'!EF$4)-SUMIFS('01. KE30'!$AA:$AA,'01. KE30'!$C:$C,'06. BC BH THEO CUSTOMER-USD'!$D178,'01. KE30'!$F:$F,'06. BC BH THEO CUSTOMER-USD'!$H178,'01. KE30'!$A:$A,'06. BC BH THEO CUSTOMER-USD'!EF$4),"-")</f>
        <v>0</v>
      </c>
      <c r="EH178" s="571">
        <f t="shared" si="1737"/>
        <v>-0.8820684887343484</v>
      </c>
      <c r="EI178" s="572" t="str">
        <f t="shared" si="1738"/>
        <v>-</v>
      </c>
      <c r="EJ178" s="572">
        <f t="shared" si="1739"/>
        <v>-0.61458835555555547</v>
      </c>
      <c r="EK178" s="572" t="str">
        <f t="shared" si="1740"/>
        <v>-</v>
      </c>
      <c r="EL178" s="572" t="str">
        <f t="shared" si="1741"/>
        <v>-</v>
      </c>
      <c r="EM178" s="572" t="str">
        <f t="shared" si="1742"/>
        <v>-</v>
      </c>
      <c r="EN178" s="572" t="str">
        <f t="shared" si="1743"/>
        <v>-</v>
      </c>
      <c r="EO178" s="572" t="str">
        <f t="shared" si="1744"/>
        <v>-</v>
      </c>
      <c r="EP178" s="572" t="str">
        <f t="shared" si="1745"/>
        <v>-</v>
      </c>
      <c r="EQ178" s="572">
        <f t="shared" si="1746"/>
        <v>-0.88318705785064555</v>
      </c>
      <c r="ER178" s="572" t="str">
        <f t="shared" si="1747"/>
        <v>-</v>
      </c>
      <c r="ES178" s="572" t="str">
        <f t="shared" si="1748"/>
        <v>-</v>
      </c>
      <c r="ET178" s="572" t="str">
        <f t="shared" si="1749"/>
        <v>-</v>
      </c>
    </row>
    <row r="179" spans="1:150" ht="15.5" hidden="1" outlineLevel="1" x14ac:dyDescent="0.35">
      <c r="A179" s="10">
        <f t="shared" si="1266"/>
        <v>5</v>
      </c>
      <c r="B179" s="10" t="s">
        <v>295</v>
      </c>
      <c r="C179" s="442" t="s">
        <v>489</v>
      </c>
      <c r="D179" s="9" t="s">
        <v>519</v>
      </c>
      <c r="E179" s="8" t="s">
        <v>520</v>
      </c>
      <c r="F179" s="12" t="s">
        <v>245</v>
      </c>
      <c r="G179" s="12" t="str">
        <f>_xlfn.XLOOKUP(F179,'Quy đổi'!$G$5:$G$32,'Quy đổi'!$H$5:$H$32,0)</f>
        <v>Nội địa</v>
      </c>
      <c r="H179" s="80" t="s">
        <v>41</v>
      </c>
      <c r="I179" s="20" t="s">
        <v>40</v>
      </c>
      <c r="J179" s="69" t="s">
        <v>22</v>
      </c>
      <c r="K179" s="5"/>
      <c r="L179" s="92">
        <f t="shared" si="1263"/>
        <v>599.2447822944124</v>
      </c>
      <c r="M179" s="106" t="str">
        <f>IFERROR(SUMIFS('01. KE30'!$K:$K,'01. KE30'!$C:$C,'06. BC BH THEO CUSTOMER-USD'!$D179,'01. KE30'!$F:$F,'06. BC BH THEO CUSTOMER-USD'!$H179,'01. KE30'!$A:$A,'06. BC BH THEO CUSTOMER-USD'!M$4)/'06. BC BH THEO CUSTOMER-USD'!CS179/'02. Tỷ giá'!B$5,"-")</f>
        <v>-</v>
      </c>
      <c r="N179" s="106">
        <f>IFERROR(SUMIFS('01. KE30'!$K:$K,'01. KE30'!$C:$C,'06. BC BH THEO CUSTOMER-USD'!$D179,'01. KE30'!$F:$F,'06. BC BH THEO CUSTOMER-USD'!$H179,'01. KE30'!$A:$A,'06. BC BH THEO CUSTOMER-USD'!N$4)/'06. BC BH THEO CUSTOMER-USD'!CT179/'02. Tỷ giá'!C$5,"-")</f>
        <v>590.78377313903115</v>
      </c>
      <c r="O179" s="106">
        <f>IFERROR(SUMIFS('01. KE30'!$K:$K,'01. KE30'!$C:$C,'06. BC BH THEO CUSTOMER-USD'!$D179,'01. KE30'!$F:$F,'06. BC BH THEO CUSTOMER-USD'!$H179,'01. KE30'!$A:$A,'06. BC BH THEO CUSTOMER-USD'!O$4)/'06. BC BH THEO CUSTOMER-USD'!CU179/'02. Tỷ giá'!D$5,"-")</f>
        <v>590.55118110236219</v>
      </c>
      <c r="P179" s="106">
        <f>IFERROR(SUMIFS('01. KE30'!$K:$K,'01. KE30'!$C:$C,'06. BC BH THEO CUSTOMER-USD'!$D179,'01. KE30'!$F:$F,'06. BC BH THEO CUSTOMER-USD'!$H179,'01. KE30'!$A:$A,'06. BC BH THEO CUSTOMER-USD'!P$4)/'06. BC BH THEO CUSTOMER-USD'!CV179/'02. Tỷ giá'!E$5,"-")</f>
        <v>600.07742934572207</v>
      </c>
      <c r="Q179" s="106">
        <f>IFERROR(SUMIFS('01. KE30'!$K:$K,'01. KE30'!$C:$C,'06. BC BH THEO CUSTOMER-USD'!$D179,'01. KE30'!$F:$F,'06. BC BH THEO CUSTOMER-USD'!$H179,'01. KE30'!$A:$A,'06. BC BH THEO CUSTOMER-USD'!Q$4)/'06. BC BH THEO CUSTOMER-USD'!CW179/'02. Tỷ giá'!F$5,"-")</f>
        <v>599.38128383604021</v>
      </c>
      <c r="R179" s="106">
        <f>IFERROR(SUMIFS('01. KE30'!$K:$K,'01. KE30'!$C:$C,'06. BC BH THEO CUSTOMER-USD'!$D179,'01. KE30'!$F:$F,'06. BC BH THEO CUSTOMER-USD'!$H179,'01. KE30'!$A:$A,'06. BC BH THEO CUSTOMER-USD'!R$4)/'06. BC BH THEO CUSTOMER-USD'!CX179/'02. Tỷ giá'!G$5,"-")</f>
        <v>597.99382716049388</v>
      </c>
      <c r="S179" s="106">
        <f>IFERROR(SUMIFS('01. KE30'!$K:$K,'01. KE30'!$C:$C,'06. BC BH THEO CUSTOMER-USD'!$D179,'01. KE30'!$F:$F,'06. BC BH THEO CUSTOMER-USD'!$H179,'01. KE30'!$A:$A,'06. BC BH THEO CUSTOMER-USD'!S$4)/'06. BC BH THEO CUSTOMER-USD'!CY179/'02. Tỷ giá'!H$5,"-")</f>
        <v>614.67537456780633</v>
      </c>
      <c r="T179" s="106">
        <f>IFERROR(SUMIFS('01. KE30'!$K:$K,'01. KE30'!$C:$C,'06. BC BH THEO CUSTOMER-USD'!$D179,'01. KE30'!$F:$F,'06. BC BH THEO CUSTOMER-USD'!$H179,'01. KE30'!$A:$A,'06. BC BH THEO CUSTOMER-USD'!T$4)/'06. BC BH THEO CUSTOMER-USD'!CZ179/'02. Tỷ giá'!I$5,"-")</f>
        <v>601.25060690943042</v>
      </c>
      <c r="U179" s="106" t="str">
        <f>IFERROR(SUMIFS('01. KE30'!$K:$K,'01. KE30'!$C:$C,'06. BC BH THEO CUSTOMER-USD'!$D179,'01. KE30'!$F:$F,'06. BC BH THEO CUSTOMER-USD'!$H179,'01. KE30'!$A:$A,'06. BC BH THEO CUSTOMER-USD'!U$4)/'06. BC BH THEO CUSTOMER-USD'!DA179/'02. Tỷ giá'!J$5,"-")</f>
        <v>-</v>
      </c>
      <c r="V179" s="106" t="str">
        <f>IFERROR(SUMIFS('01. KE30'!$K:$K,'01. KE30'!$C:$C,'06. BC BH THEO CUSTOMER-USD'!$D179,'01. KE30'!$F:$F,'06. BC BH THEO CUSTOMER-USD'!$H179,'01. KE30'!$A:$A,'06. BC BH THEO CUSTOMER-USD'!V$4)/'06. BC BH THEO CUSTOMER-USD'!DB179/'02. Tỷ giá'!K$5,"-")</f>
        <v>-</v>
      </c>
      <c r="W179" s="106" t="str">
        <f>IFERROR(SUMIFS('01. KE30'!$K:$K,'01. KE30'!$C:$C,'06. BC BH THEO CUSTOMER-USD'!$D179,'01. KE30'!$F:$F,'06. BC BH THEO CUSTOMER-USD'!$H179,'01. KE30'!$A:$A,'06. BC BH THEO CUSTOMER-USD'!W$4)/'06. BC BH THEO CUSTOMER-USD'!DC179/'02. Tỷ giá'!L$5,"-")</f>
        <v>-</v>
      </c>
      <c r="X179" s="106" t="str">
        <f>IFERROR(SUMIFS('01. KE30'!$K:$K,'01. KE30'!$C:$C,'06. BC BH THEO CUSTOMER-USD'!$D179,'01. KE30'!$F:$F,'06. BC BH THEO CUSTOMER-USD'!$H179,'01. KE30'!$A:$A,'06. BC BH THEO CUSTOMER-USD'!X$4)/'06. BC BH THEO CUSTOMER-USD'!DD179/'02. Tỷ giá'!M$5,"-")</f>
        <v>-</v>
      </c>
      <c r="Z179" s="92">
        <f t="shared" si="1264"/>
        <v>599.2447822944124</v>
      </c>
      <c r="AA179" s="147" t="str">
        <f>IFERROR(SUMIFS('01. KE30'!$O:$O,'01. KE30'!$C:$C,'06. BC BH THEO CUSTOMER-USD'!$D179,'01. KE30'!$F:$F,'06. BC BH THEO CUSTOMER-USD'!$H179,'01. KE30'!$A:$A,'06. BC BH THEO CUSTOMER-USD'!M$4)/'06. BC BH THEO CUSTOMER-USD'!CS179/'02. Tỷ giá'!B$5,"-")</f>
        <v>-</v>
      </c>
      <c r="AB179" s="147">
        <f>IFERROR(SUMIFS('01. KE30'!$O:$O,'01. KE30'!$C:$C,'06. BC BH THEO CUSTOMER-USD'!$D179,'01. KE30'!$F:$F,'06. BC BH THEO CUSTOMER-USD'!$H179,'01. KE30'!$A:$A,'06. BC BH THEO CUSTOMER-USD'!N$4)/'06. BC BH THEO CUSTOMER-USD'!CT179/'02. Tỷ giá'!C$5,"-")</f>
        <v>590.78377313903115</v>
      </c>
      <c r="AC179" s="147">
        <f>IFERROR(SUMIFS('01. KE30'!$O:$O,'01. KE30'!$C:$C,'06. BC BH THEO CUSTOMER-USD'!$D179,'01. KE30'!$F:$F,'06. BC BH THEO CUSTOMER-USD'!$H179,'01. KE30'!$A:$A,'06. BC BH THEO CUSTOMER-USD'!O$4)/'06. BC BH THEO CUSTOMER-USD'!CU179/'02. Tỷ giá'!D$5,"-")</f>
        <v>590.55118110236219</v>
      </c>
      <c r="AD179" s="147">
        <f>IFERROR(SUMIFS('01. KE30'!$O:$O,'01. KE30'!$C:$C,'06. BC BH THEO CUSTOMER-USD'!$D179,'01. KE30'!$F:$F,'06. BC BH THEO CUSTOMER-USD'!$H179,'01. KE30'!$A:$A,'06. BC BH THEO CUSTOMER-USD'!P$4)/'06. BC BH THEO CUSTOMER-USD'!CV179/'02. Tỷ giá'!E$5,"-")</f>
        <v>600.07742934572207</v>
      </c>
      <c r="AE179" s="147">
        <f>IFERROR(SUMIFS('01. KE30'!$O:$O,'01. KE30'!$C:$C,'06. BC BH THEO CUSTOMER-USD'!$D179,'01. KE30'!$F:$F,'06. BC BH THEO CUSTOMER-USD'!$H179,'01. KE30'!$A:$A,'06. BC BH THEO CUSTOMER-USD'!Q$4)/'06. BC BH THEO CUSTOMER-USD'!CW179/'02. Tỷ giá'!F$5,"-")</f>
        <v>599.38128383604021</v>
      </c>
      <c r="AF179" s="147">
        <f>IFERROR(SUMIFS('01. KE30'!$O:$O,'01. KE30'!$C:$C,'06. BC BH THEO CUSTOMER-USD'!$D179,'01. KE30'!$F:$F,'06. BC BH THEO CUSTOMER-USD'!$H179,'01. KE30'!$A:$A,'06. BC BH THEO CUSTOMER-USD'!R$4)/'06. BC BH THEO CUSTOMER-USD'!CX179/'02. Tỷ giá'!G$5,"-")</f>
        <v>597.99382716049388</v>
      </c>
      <c r="AG179" s="147">
        <f>IFERROR(SUMIFS('01. KE30'!$O:$O,'01. KE30'!$C:$C,'06. BC BH THEO CUSTOMER-USD'!$D179,'01. KE30'!$F:$F,'06. BC BH THEO CUSTOMER-USD'!$H179,'01. KE30'!$A:$A,'06. BC BH THEO CUSTOMER-USD'!S$4)/'06. BC BH THEO CUSTOMER-USD'!CY179/'02. Tỷ giá'!H$5,"-")</f>
        <v>614.67537456780633</v>
      </c>
      <c r="AH179" s="147">
        <f>IFERROR(SUMIFS('01. KE30'!$O:$O,'01. KE30'!$C:$C,'06. BC BH THEO CUSTOMER-USD'!$D179,'01. KE30'!$F:$F,'06. BC BH THEO CUSTOMER-USD'!$H179,'01. KE30'!$A:$A,'06. BC BH THEO CUSTOMER-USD'!T$4)/'06. BC BH THEO CUSTOMER-USD'!CZ179/'02. Tỷ giá'!I$5,"-")</f>
        <v>601.25060690943042</v>
      </c>
      <c r="AI179" s="147" t="str">
        <f>IFERROR(SUMIFS('01. KE30'!$O:$O,'01. KE30'!$C:$C,'06. BC BH THEO CUSTOMER-USD'!$D179,'01. KE30'!$F:$F,'06. BC BH THEO CUSTOMER-USD'!$H179,'01. KE30'!$A:$A,'06. BC BH THEO CUSTOMER-USD'!U$4)/'06. BC BH THEO CUSTOMER-USD'!DA179/'02. Tỷ giá'!J$5,"-")</f>
        <v>-</v>
      </c>
      <c r="AJ179" s="147" t="str">
        <f>IFERROR(SUMIFS('01. KE30'!$O:$O,'01. KE30'!$C:$C,'06. BC BH THEO CUSTOMER-USD'!$D179,'01. KE30'!$F:$F,'06. BC BH THEO CUSTOMER-USD'!$H179,'01. KE30'!$A:$A,'06. BC BH THEO CUSTOMER-USD'!V$4)/'06. BC BH THEO CUSTOMER-USD'!DB179/'02. Tỷ giá'!K$5,"-")</f>
        <v>-</v>
      </c>
      <c r="AK179" s="147" t="str">
        <f>IFERROR(SUMIFS('01. KE30'!$O:$O,'01. KE30'!$C:$C,'06. BC BH THEO CUSTOMER-USD'!$D179,'01. KE30'!$F:$F,'06. BC BH THEO CUSTOMER-USD'!$H179,'01. KE30'!$A:$A,'06. BC BH THEO CUSTOMER-USD'!W$4)/'06. BC BH THEO CUSTOMER-USD'!DC179/'02. Tỷ giá'!L$5,"-")</f>
        <v>-</v>
      </c>
      <c r="AL179" s="147" t="str">
        <f>IFERROR(SUMIFS('01. KE30'!$O:$O,'01. KE30'!$C:$C,'06. BC BH THEO CUSTOMER-USD'!$D179,'01. KE30'!$F:$F,'06. BC BH THEO CUSTOMER-USD'!$H179,'01. KE30'!$A:$A,'06. BC BH THEO CUSTOMER-USD'!X$4)/'06. BC BH THEO CUSTOMER-USD'!DD179/'02. Tỷ giá'!M$5,"-")</f>
        <v>-</v>
      </c>
      <c r="AN179" s="55">
        <f t="shared" si="1265"/>
        <v>737.22222222222217</v>
      </c>
      <c r="AO179" s="4">
        <v>825</v>
      </c>
      <c r="AP179" s="4">
        <v>750</v>
      </c>
      <c r="AQ179" s="4">
        <v>750</v>
      </c>
      <c r="AR179" s="4">
        <v>750</v>
      </c>
      <c r="AS179" s="4">
        <v>720</v>
      </c>
      <c r="AT179" s="4">
        <v>720</v>
      </c>
      <c r="AU179" s="4">
        <v>720</v>
      </c>
      <c r="AV179" s="4">
        <f t="shared" si="1272"/>
        <v>700</v>
      </c>
      <c r="AW179" s="4">
        <v>700</v>
      </c>
      <c r="AX179" s="4"/>
      <c r="AY179" s="4"/>
      <c r="AZ179" s="4"/>
      <c r="BB179" s="95">
        <f t="shared" si="637"/>
        <v>-137.97743992780977</v>
      </c>
      <c r="BC179" s="95" t="str">
        <f t="shared" si="1333"/>
        <v>-</v>
      </c>
      <c r="BD179" s="95">
        <f t="shared" si="1718"/>
        <v>-159.21622686096885</v>
      </c>
      <c r="BE179" s="95">
        <f t="shared" si="1718"/>
        <v>-159.44881889763781</v>
      </c>
      <c r="BF179" s="95">
        <f t="shared" si="1718"/>
        <v>-149.92257065427793</v>
      </c>
      <c r="BG179" s="95">
        <f t="shared" si="1718"/>
        <v>-120.61871616395979</v>
      </c>
      <c r="BH179" s="95">
        <f t="shared" si="1718"/>
        <v>-122.00617283950612</v>
      </c>
      <c r="BI179" s="95">
        <f t="shared" si="1718"/>
        <v>-105.32462543219367</v>
      </c>
      <c r="BJ179" s="95">
        <f t="shared" si="1718"/>
        <v>-98.749393090569583</v>
      </c>
      <c r="BK179" s="95" t="str">
        <f t="shared" si="1718"/>
        <v>-</v>
      </c>
      <c r="BL179" s="95" t="str">
        <f t="shared" si="1718"/>
        <v>-</v>
      </c>
      <c r="BM179" s="95" t="str">
        <f t="shared" si="1718"/>
        <v>-</v>
      </c>
      <c r="BN179" s="95" t="str">
        <f t="shared" si="1718"/>
        <v>-</v>
      </c>
      <c r="BP179" s="143">
        <f t="shared" si="639"/>
        <v>-0.18715854700079698</v>
      </c>
      <c r="BQ179" s="143" t="str">
        <f t="shared" si="1331"/>
        <v>-</v>
      </c>
      <c r="BR179" s="143">
        <f t="shared" si="518"/>
        <v>-0.2122883024812918</v>
      </c>
      <c r="BS179" s="143">
        <f t="shared" si="519"/>
        <v>-0.2125984251968504</v>
      </c>
      <c r="BT179" s="143">
        <f t="shared" si="520"/>
        <v>-0.19989676087237057</v>
      </c>
      <c r="BU179" s="143">
        <f t="shared" si="521"/>
        <v>-0.16752599467216636</v>
      </c>
      <c r="BV179" s="143">
        <f t="shared" si="522"/>
        <v>-0.16945301783264738</v>
      </c>
      <c r="BW179" s="143">
        <f t="shared" si="523"/>
        <v>-0.14628420198915787</v>
      </c>
      <c r="BX179" s="143">
        <f t="shared" si="524"/>
        <v>-0.14107056155795655</v>
      </c>
      <c r="BY179" s="143" t="str">
        <f t="shared" si="525"/>
        <v>-</v>
      </c>
      <c r="BZ179" s="143" t="str">
        <f t="shared" si="526"/>
        <v>-</v>
      </c>
      <c r="CA179" s="143" t="str">
        <f t="shared" si="527"/>
        <v>-</v>
      </c>
      <c r="CB179" s="143" t="str">
        <f t="shared" si="528"/>
        <v>-</v>
      </c>
      <c r="CD179" s="112">
        <f t="shared" si="2036"/>
        <v>972.47367721833427</v>
      </c>
      <c r="CE179" s="95" t="str">
        <f>IFERROR(SUMIFS('01. KE30'!$R:$R,'01. KE30'!$C:$C,'06. BC BH THEO CUSTOMER-USD'!$D179,'01. KE30'!$F:$F,'06. BC BH THEO CUSTOMER-USD'!$H179,'01. KE30'!$A:$A,'06. BC BH THEO CUSTOMER-USD'!CE$4)/CS179/'02. Tỷ giá'!B$5," -")</f>
        <v xml:space="preserve"> -</v>
      </c>
      <c r="CF179" s="95">
        <f>IFERROR(SUMIFS('01. KE30'!$R:$R,'01. KE30'!$C:$C,'06. BC BH THEO CUSTOMER-USD'!$D179,'01. KE30'!$F:$F,'06. BC BH THEO CUSTOMER-USD'!$H179,'01. KE30'!$A:$A,'06. BC BH THEO CUSTOMER-USD'!CF$4)/CT179/'02. Tỷ giá'!C$5," -")</f>
        <v>968.19745306551135</v>
      </c>
      <c r="CG179" s="95">
        <f>IFERROR(SUMIFS('01. KE30'!$R:$R,'01. KE30'!$C:$C,'06. BC BH THEO CUSTOMER-USD'!$D179,'01. KE30'!$F:$F,'06. BC BH THEO CUSTOMER-USD'!$H179,'01. KE30'!$A:$A,'06. BC BH THEO CUSTOMER-USD'!CG$4)/CU179/'02. Tỷ giá'!D$5," -")</f>
        <v>969.0921391076115</v>
      </c>
      <c r="CH179" s="95">
        <f>IFERROR(SUMIFS('01. KE30'!$R:$R,'01. KE30'!$C:$C,'06. BC BH THEO CUSTOMER-USD'!$D179,'01. KE30'!$F:$F,'06. BC BH THEO CUSTOMER-USD'!$H179,'01. KE30'!$A:$A,'06. BC BH THEO CUSTOMER-USD'!CH$4)/CV179/'02. Tỷ giá'!E$5," -")</f>
        <v>963.76568159332385</v>
      </c>
      <c r="CI179" s="95">
        <f>IFERROR(SUMIFS('01. KE30'!$R:$R,'01. KE30'!$C:$C,'06. BC BH THEO CUSTOMER-USD'!$D179,'01. KE30'!$F:$F,'06. BC BH THEO CUSTOMER-USD'!$H179,'01. KE30'!$A:$A,'06. BC BH THEO CUSTOMER-USD'!CI$4)/CW179/'02. Tỷ giá'!F$5," -")</f>
        <v>964.40629028100034</v>
      </c>
      <c r="CJ179" s="95">
        <f>IFERROR(SUMIFS('01. KE30'!$R:$R,'01. KE30'!$C:$C,'06. BC BH THEO CUSTOMER-USD'!$D179,'01. KE30'!$F:$F,'06. BC BH THEO CUSTOMER-USD'!$H179,'01. KE30'!$A:$A,'06. BC BH THEO CUSTOMER-USD'!CJ$4)/CX179/'02. Tỷ giá'!G$5," -")</f>
        <v>977.93134920634918</v>
      </c>
      <c r="CK179" s="95">
        <f>IFERROR(SUMIFS('01. KE30'!$R:$R,'01. KE30'!$C:$C,'06. BC BH THEO CUSTOMER-USD'!$D179,'01. KE30'!$F:$F,'06. BC BH THEO CUSTOMER-USD'!$H179,'01. KE30'!$A:$A,'06. BC BH THEO CUSTOMER-USD'!CK$4)/CY179/'02. Tỷ giá'!H$5," -")</f>
        <v>971.73628962918247</v>
      </c>
      <c r="CL179" s="95">
        <f>IFERROR(SUMIFS('01. KE30'!$R:$R,'01. KE30'!$C:$C,'06. BC BH THEO CUSTOMER-USD'!$D179,'01. KE30'!$F:$F,'06. BC BH THEO CUSTOMER-USD'!$H179,'01. KE30'!$A:$A,'06. BC BH THEO CUSTOMER-USD'!CL$4)/CZ179/'02. Tỷ giá'!I$5," -")</f>
        <v>992.18653764536123</v>
      </c>
      <c r="CM179" s="95" t="str">
        <f>IFERROR(SUMIFS('01. KE30'!$R:$R,'01. KE30'!$C:$C,'06. BC BH THEO CUSTOMER-USD'!$D179,'01. KE30'!$F:$F,'06. BC BH THEO CUSTOMER-USD'!$H179,'01. KE30'!$A:$A,'06. BC BH THEO CUSTOMER-USD'!CM$4)/DA179/'02. Tỷ giá'!J$5," -")</f>
        <v xml:space="preserve"> -</v>
      </c>
      <c r="CN179" s="95" t="str">
        <f>IFERROR(SUMIFS('01. KE30'!$R:$R,'01. KE30'!$C:$C,'06. BC BH THEO CUSTOMER-USD'!$D179,'01. KE30'!$F:$F,'06. BC BH THEO CUSTOMER-USD'!$H179,'01. KE30'!$A:$A,'06. BC BH THEO CUSTOMER-USD'!CN$4)/DB179/'02. Tỷ giá'!K$5," -")</f>
        <v xml:space="preserve"> -</v>
      </c>
      <c r="CO179" s="95" t="str">
        <f>IFERROR(SUMIFS('01. KE30'!$R:$R,'01. KE30'!$C:$C,'06. BC BH THEO CUSTOMER-USD'!$D179,'01. KE30'!$F:$F,'06. BC BH THEO CUSTOMER-USD'!$H179,'01. KE30'!$A:$A,'06. BC BH THEO CUSTOMER-USD'!CO$4)/DC179/'02. Tỷ giá'!L$5," -")</f>
        <v xml:space="preserve"> -</v>
      </c>
      <c r="CP179" s="95" t="str">
        <f>IFERROR(SUMIFS('01. KE30'!$R:$R,'01. KE30'!$C:$C,'06. BC BH THEO CUSTOMER-USD'!$D179,'01. KE30'!$F:$F,'06. BC BH THEO CUSTOMER-USD'!$H179,'01. KE30'!$A:$A,'06. BC BH THEO CUSTOMER-USD'!CP$4)/DD179/'02. Tỷ giá'!M$5," -")</f>
        <v xml:space="preserve"> -</v>
      </c>
      <c r="CR179" s="112">
        <f t="shared" si="1249"/>
        <v>88.5</v>
      </c>
      <c r="CS179" s="114">
        <f>SUMIFS('01. KE30'!$I:$I,'01. KE30'!$C:$C,'06. BC BH THEO CUSTOMER-USD'!$D179,'01. KE30'!$F:$F,'06. BC BH THEO CUSTOMER-USD'!$H179,'01. KE30'!$A:$A,'06. BC BH THEO CUSTOMER-USD'!CS$4)/1000</f>
        <v>0</v>
      </c>
      <c r="CT179" s="114">
        <f>SUMIFS('01. KE30'!$I:$I,'01. KE30'!$C:$C,'06. BC BH THEO CUSTOMER-USD'!$D179,'01. KE30'!$F:$F,'06. BC BH THEO CUSTOMER-USD'!$H179,'01. KE30'!$A:$A,'06. BC BH THEO CUSTOMER-USD'!CT$4)/1000</f>
        <v>0.75</v>
      </c>
      <c r="CU179" s="114">
        <f>SUMIFS('01. KE30'!$I:$I,'01. KE30'!$C:$C,'06. BC BH THEO CUSTOMER-USD'!$D179,'01. KE30'!$F:$F,'06. BC BH THEO CUSTOMER-USD'!$H179,'01. KE30'!$A:$A,'06. BC BH THEO CUSTOMER-USD'!CU$4)/1000</f>
        <v>24</v>
      </c>
      <c r="CV179" s="114">
        <f>SUMIFS('01. KE30'!$I:$I,'01. KE30'!$C:$C,'06. BC BH THEO CUSTOMER-USD'!$D179,'01. KE30'!$F:$F,'06. BC BH THEO CUSTOMER-USD'!$H179,'01. KE30'!$A:$A,'06. BC BH THEO CUSTOMER-USD'!CV$4)/1000</f>
        <v>9</v>
      </c>
      <c r="CW179" s="114">
        <f>SUMIFS('01. KE30'!$I:$I,'01. KE30'!$C:$C,'06. BC BH THEO CUSTOMER-USD'!$D179,'01. KE30'!$F:$F,'06. BC BH THEO CUSTOMER-USD'!$H179,'01. KE30'!$A:$A,'06. BC BH THEO CUSTOMER-USD'!CW$4)/1000</f>
        <v>15.75</v>
      </c>
      <c r="CX179" s="114">
        <f>SUMIFS('01. KE30'!$I:$I,'01. KE30'!$C:$C,'06. BC BH THEO CUSTOMER-USD'!$D179,'01. KE30'!$F:$F,'06. BC BH THEO CUSTOMER-USD'!$H179,'01. KE30'!$A:$A,'06. BC BH THEO CUSTOMER-USD'!CX$4)/1000</f>
        <v>26.25</v>
      </c>
      <c r="CY179" s="114">
        <f>SUMIFS('01. KE30'!$I:$I,'01. KE30'!$C:$C,'06. BC BH THEO CUSTOMER-USD'!$D179,'01. KE30'!$F:$F,'06. BC BH THEO CUSTOMER-USD'!$H179,'01. KE30'!$A:$A,'06. BC BH THEO CUSTOMER-USD'!CY$4)/1000</f>
        <v>10.5</v>
      </c>
      <c r="CZ179" s="114">
        <f>SUMIFS('01. KE30'!$I:$I,'01. KE30'!$C:$C,'06. BC BH THEO CUSTOMER-USD'!$D179,'01. KE30'!$F:$F,'06. BC BH THEO CUSTOMER-USD'!$H179,'01. KE30'!$A:$A,'06. BC BH THEO CUSTOMER-USD'!CZ$4)/1000</f>
        <v>2.25</v>
      </c>
      <c r="DA179" s="114">
        <f>SUMIFS('01. KE30'!$I:$I,'01. KE30'!$C:$C,'06. BC BH THEO CUSTOMER-USD'!$D179,'01. KE30'!$F:$F,'06. BC BH THEO CUSTOMER-USD'!$H179,'01. KE30'!$A:$A,'06. BC BH THEO CUSTOMER-USD'!DA$4)/1000</f>
        <v>0</v>
      </c>
      <c r="DB179" s="114">
        <f>SUMIFS('01. KE30'!$I:$I,'01. KE30'!$C:$C,'06. BC BH THEO CUSTOMER-USD'!$D179,'01. KE30'!$F:$F,'06. BC BH THEO CUSTOMER-USD'!$H179,'01. KE30'!$A:$A,'06. BC BH THEO CUSTOMER-USD'!DB$4)/1000</f>
        <v>0</v>
      </c>
      <c r="DC179" s="114">
        <f>SUMIFS('01. KE30'!$I:$I,'01. KE30'!$C:$C,'06. BC BH THEO CUSTOMER-USD'!$D179,'01. KE30'!$F:$F,'06. BC BH THEO CUSTOMER-USD'!$H179,'01. KE30'!$A:$A,'06. BC BH THEO CUSTOMER-USD'!DC$4)/1000</f>
        <v>0</v>
      </c>
      <c r="DD179" s="114">
        <f>SUMIFS('01. KE30'!$I:$I,'01. KE30'!$C:$C,'06. BC BH THEO CUSTOMER-USD'!$D179,'01. KE30'!$F:$F,'06. BC BH THEO CUSTOMER-USD'!$H179,'01. KE30'!$A:$A,'06. BC BH THEO CUSTOMER-USD'!DD$4)/1000</f>
        <v>0</v>
      </c>
      <c r="DF179" s="112">
        <f t="shared" si="2037"/>
        <v>52961.511522311244</v>
      </c>
      <c r="DG179" s="54" t="str">
        <f t="shared" si="2038"/>
        <v>-</v>
      </c>
      <c r="DH179" s="54">
        <f t="shared" si="2039"/>
        <v>443.08782985427337</v>
      </c>
      <c r="DI179" s="54">
        <f t="shared" si="2040"/>
        <v>14173.228346456694</v>
      </c>
      <c r="DJ179" s="54">
        <f t="shared" si="2041"/>
        <v>5400.6968641114981</v>
      </c>
      <c r="DK179" s="54">
        <f t="shared" si="2042"/>
        <v>9440.2552204176336</v>
      </c>
      <c r="DL179" s="54">
        <f t="shared" si="2043"/>
        <v>15697.337962962964</v>
      </c>
      <c r="DM179" s="54">
        <f t="shared" si="2044"/>
        <v>6454.0914329619663</v>
      </c>
      <c r="DN179" s="54">
        <f t="shared" si="2045"/>
        <v>1352.8138655462185</v>
      </c>
      <c r="DO179" s="54" t="str">
        <f t="shared" si="2046"/>
        <v>-</v>
      </c>
      <c r="DP179" s="54" t="str">
        <f t="shared" si="2047"/>
        <v>-</v>
      </c>
      <c r="DQ179" s="54" t="str">
        <f t="shared" si="2048"/>
        <v>-</v>
      </c>
      <c r="DR179" s="54" t="str">
        <f t="shared" si="2049"/>
        <v>-</v>
      </c>
      <c r="DT179" s="112">
        <f t="shared" si="652"/>
        <v>-32992.486779811377</v>
      </c>
      <c r="DU179" s="114">
        <f>IFERROR(SUMIFS('01. KE30'!$X:$X,'01. KE30'!$C:$C,'06. BC BH THEO CUSTOMER-USD'!$D179,'01. KE30'!$F:$F,'06. BC BH THEO CUSTOMER-USD'!$H179,'01. KE30'!$A:$A,'06. BC BH THEO CUSTOMER-USD'!DU$4)-SUMIFS('01. KE30'!$AA:$AA,'01. KE30'!$C:$C,'06. BC BH THEO CUSTOMER-USD'!$D179,'01. KE30'!$F:$F,'06. BC BH THEO CUSTOMER-USD'!$H179,'01. KE30'!$A:$A,'06. BC BH THEO CUSTOMER-USD'!DU$4),"-")</f>
        <v>0</v>
      </c>
      <c r="DV179" s="114">
        <f>IFERROR(SUMIFS('01. KE30'!$X:$X,'01. KE30'!$C:$C,'06. BC BH THEO CUSTOMER-USD'!$D179,'01. KE30'!$F:$F,'06. BC BH THEO CUSTOMER-USD'!$H179,'01. KE30'!$A:$A,'06. BC BH THEO CUSTOMER-USD'!DV$4)-SUMIFS('01. KE30'!$AA:$AA,'01. KE30'!$C:$C,'06. BC BH THEO CUSTOMER-USD'!$D179,'01. KE30'!$F:$F,'06. BC BH THEO CUSTOMER-USD'!$H179,'01. KE30'!$A:$A,'06. BC BH THEO CUSTOMER-USD'!DV$4),"-")</f>
        <v>-283.06025994486026</v>
      </c>
      <c r="DW179" s="114">
        <f>IFERROR(SUMIFS('01. KE30'!$X:$X,'01. KE30'!$C:$C,'06. BC BH THEO CUSTOMER-USD'!$D179,'01. KE30'!$F:$F,'06. BC BH THEO CUSTOMER-USD'!$H179,'01. KE30'!$A:$A,'06. BC BH THEO CUSTOMER-USD'!DW$4)-SUMIFS('01. KE30'!$AA:$AA,'01. KE30'!$C:$C,'06. BC BH THEO CUSTOMER-USD'!$D179,'01. KE30'!$F:$F,'06. BC BH THEO CUSTOMER-USD'!$H179,'01. KE30'!$A:$A,'06. BC BH THEO CUSTOMER-USD'!DW$4),"-")</f>
        <v>-9084.9829921259843</v>
      </c>
      <c r="DX179" s="114">
        <f>IFERROR(SUMIFS('01. KE30'!$X:$X,'01. KE30'!$C:$C,'06. BC BH THEO CUSTOMER-USD'!$D179,'01. KE30'!$F:$F,'06. BC BH THEO CUSTOMER-USD'!$H179,'01. KE30'!$A:$A,'06. BC BH THEO CUSTOMER-USD'!DX$4)-SUMIFS('01. KE30'!$AA:$AA,'01. KE30'!$C:$C,'06. BC BH THEO CUSTOMER-USD'!$D179,'01. KE30'!$F:$F,'06. BC BH THEO CUSTOMER-USD'!$H179,'01. KE30'!$A:$A,'06. BC BH THEO CUSTOMER-USD'!DX$4),"-")</f>
        <v>-3273.1942702284159</v>
      </c>
      <c r="DY179" s="114">
        <f>IFERROR(SUMIFS('01. KE30'!$X:$X,'01. KE30'!$C:$C,'06. BC BH THEO CUSTOMER-USD'!$D179,'01. KE30'!$F:$F,'06. BC BH THEO CUSTOMER-USD'!$H179,'01. KE30'!$A:$A,'06. BC BH THEO CUSTOMER-USD'!DY$4)-SUMIFS('01. KE30'!$AA:$AA,'01. KE30'!$C:$C,'06. BC BH THEO CUSTOMER-USD'!$D179,'01. KE30'!$F:$F,'06. BC BH THEO CUSTOMER-USD'!$H179,'01. KE30'!$A:$A,'06. BC BH THEO CUSTOMER-USD'!DY$4),"-")</f>
        <v>-5749.1438515081209</v>
      </c>
      <c r="DZ179" s="114">
        <f>IFERROR(SUMIFS('01. KE30'!$X:$X,'01. KE30'!$C:$C,'06. BC BH THEO CUSTOMER-USD'!$D179,'01. KE30'!$F:$F,'06. BC BH THEO CUSTOMER-USD'!$H179,'01. KE30'!$A:$A,'06. BC BH THEO CUSTOMER-USD'!DZ$4)-SUMIFS('01. KE30'!$AA:$AA,'01. KE30'!$C:$C,'06. BC BH THEO CUSTOMER-USD'!$D179,'01. KE30'!$F:$F,'06. BC BH THEO CUSTOMER-USD'!$H179,'01. KE30'!$A:$A,'06. BC BH THEO CUSTOMER-USD'!DZ$4),"-")</f>
        <v>-9973.3599537037044</v>
      </c>
      <c r="EA179" s="114">
        <f>IFERROR(SUMIFS('01. KE30'!$X:$X,'01. KE30'!$C:$C,'06. BC BH THEO CUSTOMER-USD'!$D179,'01. KE30'!$F:$F,'06. BC BH THEO CUSTOMER-USD'!$H179,'01. KE30'!$A:$A,'06. BC BH THEO CUSTOMER-USD'!EA$4)-SUMIFS('01. KE30'!$AA:$AA,'01. KE30'!$C:$C,'06. BC BH THEO CUSTOMER-USD'!$D179,'01. KE30'!$F:$F,'06. BC BH THEO CUSTOMER-USD'!$H179,'01. KE30'!$A:$A,'06. BC BH THEO CUSTOMER-USD'!EA$4),"-")</f>
        <v>-3749.1396081444482</v>
      </c>
      <c r="EB179" s="114">
        <f>IFERROR(SUMIFS('01. KE30'!$X:$X,'01. KE30'!$C:$C,'06. BC BH THEO CUSTOMER-USD'!$D179,'01. KE30'!$F:$F,'06. BC BH THEO CUSTOMER-USD'!$H179,'01. KE30'!$A:$A,'06. BC BH THEO CUSTOMER-USD'!EB$4)-SUMIFS('01. KE30'!$AA:$AA,'01. KE30'!$C:$C,'06. BC BH THEO CUSTOMER-USD'!$D179,'01. KE30'!$F:$F,'06. BC BH THEO CUSTOMER-USD'!$H179,'01. KE30'!$A:$A,'06. BC BH THEO CUSTOMER-USD'!EB$4),"-")</f>
        <v>-879.60584415584435</v>
      </c>
      <c r="EC179" s="114">
        <f>IFERROR(SUMIFS('01. KE30'!$X:$X,'01. KE30'!$C:$C,'06. BC BH THEO CUSTOMER-USD'!$D179,'01. KE30'!$F:$F,'06. BC BH THEO CUSTOMER-USD'!$H179,'01. KE30'!$A:$A,'06. BC BH THEO CUSTOMER-USD'!EC$4)-SUMIFS('01. KE30'!$AA:$AA,'01. KE30'!$C:$C,'06. BC BH THEO CUSTOMER-USD'!$D179,'01. KE30'!$F:$F,'06. BC BH THEO CUSTOMER-USD'!$H179,'01. KE30'!$A:$A,'06. BC BH THEO CUSTOMER-USD'!EC$4),"-")</f>
        <v>0</v>
      </c>
      <c r="ED179" s="114">
        <f>IFERROR(SUMIFS('01. KE30'!$X:$X,'01. KE30'!$C:$C,'06. BC BH THEO CUSTOMER-USD'!$D179,'01. KE30'!$F:$F,'06. BC BH THEO CUSTOMER-USD'!$H179,'01. KE30'!$A:$A,'06. BC BH THEO CUSTOMER-USD'!ED$4)-SUMIFS('01. KE30'!$AA:$AA,'01. KE30'!$C:$C,'06. BC BH THEO CUSTOMER-USD'!$D179,'01. KE30'!$F:$F,'06. BC BH THEO CUSTOMER-USD'!$H179,'01. KE30'!$A:$A,'06. BC BH THEO CUSTOMER-USD'!ED$4),"-")</f>
        <v>0</v>
      </c>
      <c r="EE179" s="114">
        <f>IFERROR(SUMIFS('01. KE30'!$X:$X,'01. KE30'!$C:$C,'06. BC BH THEO CUSTOMER-USD'!$D179,'01. KE30'!$F:$F,'06. BC BH THEO CUSTOMER-USD'!$H179,'01. KE30'!$A:$A,'06. BC BH THEO CUSTOMER-USD'!EE$4)-SUMIFS('01. KE30'!$AA:$AA,'01. KE30'!$C:$C,'06. BC BH THEO CUSTOMER-USD'!$D179,'01. KE30'!$F:$F,'06. BC BH THEO CUSTOMER-USD'!$H179,'01. KE30'!$A:$A,'06. BC BH THEO CUSTOMER-USD'!EE$4),"-")</f>
        <v>0</v>
      </c>
      <c r="EF179" s="114">
        <f>IFERROR(SUMIFS('01. KE30'!$X:$X,'01. KE30'!$C:$C,'06. BC BH THEO CUSTOMER-USD'!$D179,'01. KE30'!$F:$F,'06. BC BH THEO CUSTOMER-USD'!$H179,'01. KE30'!$A:$A,'06. BC BH THEO CUSTOMER-USD'!EF$4)-SUMIFS('01. KE30'!$AA:$AA,'01. KE30'!$C:$C,'06. BC BH THEO CUSTOMER-USD'!$D179,'01. KE30'!$F:$F,'06. BC BH THEO CUSTOMER-USD'!$H179,'01. KE30'!$A:$A,'06. BC BH THEO CUSTOMER-USD'!EF$4),"-")</f>
        <v>0</v>
      </c>
      <c r="EH179" s="571">
        <f t="shared" si="1737"/>
        <v>-0.62295213696672047</v>
      </c>
      <c r="EI179" s="572" t="str">
        <f t="shared" si="1738"/>
        <v>-</v>
      </c>
      <c r="EJ179" s="572">
        <f t="shared" si="1739"/>
        <v>-0.63883555555555571</v>
      </c>
      <c r="EK179" s="572">
        <f t="shared" si="1740"/>
        <v>-0.64099602222222218</v>
      </c>
      <c r="EL179" s="572">
        <f t="shared" si="1741"/>
        <v>-0.60606887455197123</v>
      </c>
      <c r="EM179" s="572">
        <f t="shared" si="1742"/>
        <v>-0.60900301075268815</v>
      </c>
      <c r="EN179" s="572">
        <f t="shared" si="1743"/>
        <v>-0.6353535852534562</v>
      </c>
      <c r="EO179" s="572">
        <f t="shared" si="1744"/>
        <v>-0.58089347619047615</v>
      </c>
      <c r="EP179" s="572">
        <f t="shared" si="1745"/>
        <v>-0.65020463388042715</v>
      </c>
      <c r="EQ179" s="572" t="str">
        <f t="shared" si="1746"/>
        <v>-</v>
      </c>
      <c r="ER179" s="572" t="str">
        <f t="shared" si="1747"/>
        <v>-</v>
      </c>
      <c r="ES179" s="572" t="str">
        <f t="shared" si="1748"/>
        <v>-</v>
      </c>
      <c r="ET179" s="572" t="str">
        <f t="shared" si="1749"/>
        <v>-</v>
      </c>
    </row>
    <row r="180" spans="1:150" ht="15.5" hidden="1" outlineLevel="1" x14ac:dyDescent="0.35">
      <c r="A180" s="10">
        <f t="shared" si="1266"/>
        <v>6</v>
      </c>
      <c r="B180" s="10" t="s">
        <v>295</v>
      </c>
      <c r="C180" s="442" t="s">
        <v>489</v>
      </c>
      <c r="D180" s="9" t="s">
        <v>519</v>
      </c>
      <c r="E180" s="8" t="s">
        <v>520</v>
      </c>
      <c r="F180" s="12" t="s">
        <v>245</v>
      </c>
      <c r="G180" s="12" t="str">
        <f>_xlfn.XLOOKUP(F180,'Quy đổi'!$G$5:$G$32,'Quy đổi'!$H$5:$H$32,0)</f>
        <v>Nội địa</v>
      </c>
      <c r="H180" s="80" t="s">
        <v>43</v>
      </c>
      <c r="I180" s="20" t="s">
        <v>42</v>
      </c>
      <c r="J180" s="69" t="s">
        <v>22</v>
      </c>
      <c r="K180" s="5"/>
      <c r="L180" s="92">
        <f t="shared" si="1263"/>
        <v>597.89738310805853</v>
      </c>
      <c r="M180" s="106" t="str">
        <f>IFERROR(SUMIFS('01. KE30'!$K:$K,'01. KE30'!$C:$C,'06. BC BH THEO CUSTOMER-USD'!$D180,'01. KE30'!$F:$F,'06. BC BH THEO CUSTOMER-USD'!$H180,'01. KE30'!$A:$A,'06. BC BH THEO CUSTOMER-USD'!M$4)/'06. BC BH THEO CUSTOMER-USD'!CS180/'02. Tỷ giá'!B$5,"-")</f>
        <v>-</v>
      </c>
      <c r="N180" s="106">
        <f>IFERROR(SUMIFS('01. KE30'!$K:$K,'01. KE30'!$C:$C,'06. BC BH THEO CUSTOMER-USD'!$D180,'01. KE30'!$F:$F,'06. BC BH THEO CUSTOMER-USD'!$H180,'01. KE30'!$A:$A,'06. BC BH THEO CUSTOMER-USD'!N$4)/'06. BC BH THEO CUSTOMER-USD'!CT180/'02. Tỷ giá'!C$5,"-")</f>
        <v>590.78377313903115</v>
      </c>
      <c r="O180" s="106" t="str">
        <f>IFERROR(SUMIFS('01. KE30'!$K:$K,'01. KE30'!$C:$C,'06. BC BH THEO CUSTOMER-USD'!$D180,'01. KE30'!$F:$F,'06. BC BH THEO CUSTOMER-USD'!$H180,'01. KE30'!$A:$A,'06. BC BH THEO CUSTOMER-USD'!O$4)/'06. BC BH THEO CUSTOMER-USD'!CU180/'02. Tỷ giá'!D$5,"-")</f>
        <v>-</v>
      </c>
      <c r="P180" s="106">
        <f>IFERROR(SUMIFS('01. KE30'!$K:$K,'01. KE30'!$C:$C,'06. BC BH THEO CUSTOMER-USD'!$D180,'01. KE30'!$F:$F,'06. BC BH THEO CUSTOMER-USD'!$H180,'01. KE30'!$A:$A,'06. BC BH THEO CUSTOMER-USD'!P$4)/'06. BC BH THEO CUSTOMER-USD'!CV180/'02. Tỷ giá'!E$5,"-")</f>
        <v>600.07742934572207</v>
      </c>
      <c r="Q180" s="106">
        <f>IFERROR(SUMIFS('01. KE30'!$K:$K,'01. KE30'!$C:$C,'06. BC BH THEO CUSTOMER-USD'!$D180,'01. KE30'!$F:$F,'06. BC BH THEO CUSTOMER-USD'!$H180,'01. KE30'!$A:$A,'06. BC BH THEO CUSTOMER-USD'!Q$4)/'06. BC BH THEO CUSTOMER-USD'!CW180/'02. Tỷ giá'!F$5,"-")</f>
        <v>599.38128383604021</v>
      </c>
      <c r="R180" s="106">
        <f>IFERROR(SUMIFS('01. KE30'!$K:$K,'01. KE30'!$C:$C,'06. BC BH THEO CUSTOMER-USD'!$D180,'01. KE30'!$F:$F,'06. BC BH THEO CUSTOMER-USD'!$H180,'01. KE30'!$A:$A,'06. BC BH THEO CUSTOMER-USD'!R$4)/'06. BC BH THEO CUSTOMER-USD'!CX180/'02. Tỷ giá'!G$5,"-")</f>
        <v>597.99382716049388</v>
      </c>
      <c r="S180" s="106" t="str">
        <f>IFERROR(SUMIFS('01. KE30'!$K:$K,'01. KE30'!$C:$C,'06. BC BH THEO CUSTOMER-USD'!$D180,'01. KE30'!$F:$F,'06. BC BH THEO CUSTOMER-USD'!$H180,'01. KE30'!$A:$A,'06. BC BH THEO CUSTOMER-USD'!S$4)/'06. BC BH THEO CUSTOMER-USD'!CY180/'02. Tỷ giá'!H$5,"-")</f>
        <v>-</v>
      </c>
      <c r="T180" s="106">
        <f>IFERROR(SUMIFS('01. KE30'!$K:$K,'01. KE30'!$C:$C,'06. BC BH THEO CUSTOMER-USD'!$D180,'01. KE30'!$F:$F,'06. BC BH THEO CUSTOMER-USD'!$H180,'01. KE30'!$A:$A,'06. BC BH THEO CUSTOMER-USD'!T$4)/'06. BC BH THEO CUSTOMER-USD'!CZ180/'02. Tỷ giá'!I$5,"-")</f>
        <v>601.25060205900536</v>
      </c>
      <c r="U180" s="106" t="str">
        <f>IFERROR(SUMIFS('01. KE30'!$K:$K,'01. KE30'!$C:$C,'06. BC BH THEO CUSTOMER-USD'!$D180,'01. KE30'!$F:$F,'06. BC BH THEO CUSTOMER-USD'!$H180,'01. KE30'!$A:$A,'06. BC BH THEO CUSTOMER-USD'!U$4)/'06. BC BH THEO CUSTOMER-USD'!DA180/'02. Tỷ giá'!J$5,"-")</f>
        <v>-</v>
      </c>
      <c r="V180" s="106" t="str">
        <f>IFERROR(SUMIFS('01. KE30'!$K:$K,'01. KE30'!$C:$C,'06. BC BH THEO CUSTOMER-USD'!$D180,'01. KE30'!$F:$F,'06. BC BH THEO CUSTOMER-USD'!$H180,'01. KE30'!$A:$A,'06. BC BH THEO CUSTOMER-USD'!V$4)/'06. BC BH THEO CUSTOMER-USD'!DB180/'02. Tỷ giá'!K$5,"-")</f>
        <v>-</v>
      </c>
      <c r="W180" s="106" t="str">
        <f>IFERROR(SUMIFS('01. KE30'!$K:$K,'01. KE30'!$C:$C,'06. BC BH THEO CUSTOMER-USD'!$D180,'01. KE30'!$F:$F,'06. BC BH THEO CUSTOMER-USD'!$H180,'01. KE30'!$A:$A,'06. BC BH THEO CUSTOMER-USD'!W$4)/'06. BC BH THEO CUSTOMER-USD'!DC180/'02. Tỷ giá'!L$5,"-")</f>
        <v>-</v>
      </c>
      <c r="X180" s="106" t="str">
        <f>IFERROR(SUMIFS('01. KE30'!$K:$K,'01. KE30'!$C:$C,'06. BC BH THEO CUSTOMER-USD'!$D180,'01. KE30'!$F:$F,'06. BC BH THEO CUSTOMER-USD'!$H180,'01. KE30'!$A:$A,'06. BC BH THEO CUSTOMER-USD'!X$4)/'06. BC BH THEO CUSTOMER-USD'!DD180/'02. Tỷ giá'!M$5,"-")</f>
        <v>-</v>
      </c>
      <c r="Z180" s="92">
        <f t="shared" si="1264"/>
        <v>597.89738310805853</v>
      </c>
      <c r="AA180" s="147" t="str">
        <f>IFERROR(SUMIFS('01. KE30'!$O:$O,'01. KE30'!$C:$C,'06. BC BH THEO CUSTOMER-USD'!$D180,'01. KE30'!$F:$F,'06. BC BH THEO CUSTOMER-USD'!$H180,'01. KE30'!$A:$A,'06. BC BH THEO CUSTOMER-USD'!M$4)/'06. BC BH THEO CUSTOMER-USD'!CS180/'02. Tỷ giá'!B$5,"-")</f>
        <v>-</v>
      </c>
      <c r="AB180" s="147">
        <f>IFERROR(SUMIFS('01. KE30'!$O:$O,'01. KE30'!$C:$C,'06. BC BH THEO CUSTOMER-USD'!$D180,'01. KE30'!$F:$F,'06. BC BH THEO CUSTOMER-USD'!$H180,'01. KE30'!$A:$A,'06. BC BH THEO CUSTOMER-USD'!N$4)/'06. BC BH THEO CUSTOMER-USD'!CT180/'02. Tỷ giá'!C$5,"-")</f>
        <v>590.78377313903115</v>
      </c>
      <c r="AC180" s="147" t="str">
        <f>IFERROR(SUMIFS('01. KE30'!$O:$O,'01. KE30'!$C:$C,'06. BC BH THEO CUSTOMER-USD'!$D180,'01. KE30'!$F:$F,'06. BC BH THEO CUSTOMER-USD'!$H180,'01. KE30'!$A:$A,'06. BC BH THEO CUSTOMER-USD'!O$4)/'06. BC BH THEO CUSTOMER-USD'!CU180/'02. Tỷ giá'!D$5,"-")</f>
        <v>-</v>
      </c>
      <c r="AD180" s="147">
        <f>IFERROR(SUMIFS('01. KE30'!$O:$O,'01. KE30'!$C:$C,'06. BC BH THEO CUSTOMER-USD'!$D180,'01. KE30'!$F:$F,'06. BC BH THEO CUSTOMER-USD'!$H180,'01. KE30'!$A:$A,'06. BC BH THEO CUSTOMER-USD'!P$4)/'06. BC BH THEO CUSTOMER-USD'!CV180/'02. Tỷ giá'!E$5,"-")</f>
        <v>600.07742934572207</v>
      </c>
      <c r="AE180" s="147">
        <f>IFERROR(SUMIFS('01. KE30'!$O:$O,'01. KE30'!$C:$C,'06. BC BH THEO CUSTOMER-USD'!$D180,'01. KE30'!$F:$F,'06. BC BH THEO CUSTOMER-USD'!$H180,'01. KE30'!$A:$A,'06. BC BH THEO CUSTOMER-USD'!Q$4)/'06. BC BH THEO CUSTOMER-USD'!CW180/'02. Tỷ giá'!F$5,"-")</f>
        <v>599.38128383604021</v>
      </c>
      <c r="AF180" s="147">
        <f>IFERROR(SUMIFS('01. KE30'!$O:$O,'01. KE30'!$C:$C,'06. BC BH THEO CUSTOMER-USD'!$D180,'01. KE30'!$F:$F,'06. BC BH THEO CUSTOMER-USD'!$H180,'01. KE30'!$A:$A,'06. BC BH THEO CUSTOMER-USD'!R$4)/'06. BC BH THEO CUSTOMER-USD'!CX180/'02. Tỷ giá'!G$5,"-")</f>
        <v>597.99382716049388</v>
      </c>
      <c r="AG180" s="147" t="str">
        <f>IFERROR(SUMIFS('01. KE30'!$O:$O,'01. KE30'!$C:$C,'06. BC BH THEO CUSTOMER-USD'!$D180,'01. KE30'!$F:$F,'06. BC BH THEO CUSTOMER-USD'!$H180,'01. KE30'!$A:$A,'06. BC BH THEO CUSTOMER-USD'!S$4)/'06. BC BH THEO CUSTOMER-USD'!CY180/'02. Tỷ giá'!H$5,"-")</f>
        <v>-</v>
      </c>
      <c r="AH180" s="147">
        <f>IFERROR(SUMIFS('01. KE30'!$O:$O,'01. KE30'!$C:$C,'06. BC BH THEO CUSTOMER-USD'!$D180,'01. KE30'!$F:$F,'06. BC BH THEO CUSTOMER-USD'!$H180,'01. KE30'!$A:$A,'06. BC BH THEO CUSTOMER-USD'!T$4)/'06. BC BH THEO CUSTOMER-USD'!CZ180/'02. Tỷ giá'!I$5,"-")</f>
        <v>601.25060205900536</v>
      </c>
      <c r="AI180" s="147" t="str">
        <f>IFERROR(SUMIFS('01. KE30'!$O:$O,'01. KE30'!$C:$C,'06. BC BH THEO CUSTOMER-USD'!$D180,'01. KE30'!$F:$F,'06. BC BH THEO CUSTOMER-USD'!$H180,'01. KE30'!$A:$A,'06. BC BH THEO CUSTOMER-USD'!U$4)/'06. BC BH THEO CUSTOMER-USD'!DA180/'02. Tỷ giá'!J$5,"-")</f>
        <v>-</v>
      </c>
      <c r="AJ180" s="147" t="str">
        <f>IFERROR(SUMIFS('01. KE30'!$O:$O,'01. KE30'!$C:$C,'06. BC BH THEO CUSTOMER-USD'!$D180,'01. KE30'!$F:$F,'06. BC BH THEO CUSTOMER-USD'!$H180,'01. KE30'!$A:$A,'06. BC BH THEO CUSTOMER-USD'!V$4)/'06. BC BH THEO CUSTOMER-USD'!DB180/'02. Tỷ giá'!K$5,"-")</f>
        <v>-</v>
      </c>
      <c r="AK180" s="147" t="str">
        <f>IFERROR(SUMIFS('01. KE30'!$O:$O,'01. KE30'!$C:$C,'06. BC BH THEO CUSTOMER-USD'!$D180,'01. KE30'!$F:$F,'06. BC BH THEO CUSTOMER-USD'!$H180,'01. KE30'!$A:$A,'06. BC BH THEO CUSTOMER-USD'!W$4)/'06. BC BH THEO CUSTOMER-USD'!DC180/'02. Tỷ giá'!L$5,"-")</f>
        <v>-</v>
      </c>
      <c r="AL180" s="147" t="str">
        <f>IFERROR(SUMIFS('01. KE30'!$O:$O,'01. KE30'!$C:$C,'06. BC BH THEO CUSTOMER-USD'!$D180,'01. KE30'!$F:$F,'06. BC BH THEO CUSTOMER-USD'!$H180,'01. KE30'!$A:$A,'06. BC BH THEO CUSTOMER-USD'!X$4)/'06. BC BH THEO CUSTOMER-USD'!DD180/'02. Tỷ giá'!M$5,"-")</f>
        <v>-</v>
      </c>
      <c r="AN180" s="55">
        <f t="shared" si="1265"/>
        <v>737.22222222222217</v>
      </c>
      <c r="AO180" s="4">
        <v>825</v>
      </c>
      <c r="AP180" s="4">
        <v>750</v>
      </c>
      <c r="AQ180" s="4">
        <v>750</v>
      </c>
      <c r="AR180" s="4">
        <v>750</v>
      </c>
      <c r="AS180" s="4">
        <v>720</v>
      </c>
      <c r="AT180" s="4">
        <v>720</v>
      </c>
      <c r="AU180" s="4">
        <v>720</v>
      </c>
      <c r="AV180" s="4">
        <f t="shared" si="1272"/>
        <v>700</v>
      </c>
      <c r="AW180" s="4">
        <v>700</v>
      </c>
      <c r="AX180" s="4"/>
      <c r="AY180" s="4"/>
      <c r="AZ180" s="4"/>
      <c r="BB180" s="95">
        <f t="shared" si="637"/>
        <v>-139.32483911416364</v>
      </c>
      <c r="BC180" s="95" t="str">
        <f t="shared" si="1333"/>
        <v>-</v>
      </c>
      <c r="BD180" s="95">
        <f t="shared" si="1718"/>
        <v>-159.21622686096885</v>
      </c>
      <c r="BE180" s="95" t="str">
        <f t="shared" si="1718"/>
        <v>-</v>
      </c>
      <c r="BF180" s="95">
        <f t="shared" si="1718"/>
        <v>-149.92257065427793</v>
      </c>
      <c r="BG180" s="95">
        <f t="shared" si="1718"/>
        <v>-120.61871616395979</v>
      </c>
      <c r="BH180" s="95">
        <f t="shared" si="1718"/>
        <v>-122.00617283950612</v>
      </c>
      <c r="BI180" s="95" t="str">
        <f t="shared" si="1718"/>
        <v>-</v>
      </c>
      <c r="BJ180" s="95">
        <f t="shared" si="1718"/>
        <v>-98.749397940994641</v>
      </c>
      <c r="BK180" s="95" t="str">
        <f t="shared" si="1718"/>
        <v>-</v>
      </c>
      <c r="BL180" s="95" t="str">
        <f t="shared" si="1718"/>
        <v>-</v>
      </c>
      <c r="BM180" s="95" t="str">
        <f t="shared" si="1718"/>
        <v>-</v>
      </c>
      <c r="BN180" s="95" t="str">
        <f t="shared" si="1718"/>
        <v>-</v>
      </c>
      <c r="BP180" s="143">
        <f t="shared" si="639"/>
        <v>-0.18898621733646914</v>
      </c>
      <c r="BQ180" s="143" t="str">
        <f t="shared" si="1331"/>
        <v>-</v>
      </c>
      <c r="BR180" s="143">
        <f t="shared" si="518"/>
        <v>-0.2122883024812918</v>
      </c>
      <c r="BS180" s="143" t="str">
        <f t="shared" si="519"/>
        <v>-</v>
      </c>
      <c r="BT180" s="143">
        <f t="shared" si="520"/>
        <v>-0.19989676087237057</v>
      </c>
      <c r="BU180" s="143">
        <f t="shared" si="521"/>
        <v>-0.16752599467216636</v>
      </c>
      <c r="BV180" s="143">
        <f t="shared" si="522"/>
        <v>-0.16945301783264738</v>
      </c>
      <c r="BW180" s="143" t="str">
        <f t="shared" si="523"/>
        <v>-</v>
      </c>
      <c r="BX180" s="143">
        <f t="shared" si="524"/>
        <v>-0.1410705684871352</v>
      </c>
      <c r="BY180" s="143" t="str">
        <f t="shared" si="525"/>
        <v>-</v>
      </c>
      <c r="BZ180" s="143" t="str">
        <f t="shared" si="526"/>
        <v>-</v>
      </c>
      <c r="CA180" s="143" t="str">
        <f t="shared" si="527"/>
        <v>-</v>
      </c>
      <c r="CB180" s="143" t="str">
        <f t="shared" si="528"/>
        <v>-</v>
      </c>
      <c r="CD180" s="112">
        <f t="shared" si="2036"/>
        <v>970.94193453502555</v>
      </c>
      <c r="CE180" s="95" t="str">
        <f>IFERROR(SUMIFS('01. KE30'!$R:$R,'01. KE30'!$C:$C,'06. BC BH THEO CUSTOMER-USD'!$D180,'01. KE30'!$F:$F,'06. BC BH THEO CUSTOMER-USD'!$H180,'01. KE30'!$A:$A,'06. BC BH THEO CUSTOMER-USD'!CE$4)/CS180/'02. Tỷ giá'!B$5," -")</f>
        <v xml:space="preserve"> -</v>
      </c>
      <c r="CF180" s="95">
        <f>IFERROR(SUMIFS('01. KE30'!$R:$R,'01. KE30'!$C:$C,'06. BC BH THEO CUSTOMER-USD'!$D180,'01. KE30'!$F:$F,'06. BC BH THEO CUSTOMER-USD'!$H180,'01. KE30'!$A:$A,'06. BC BH THEO CUSTOMER-USD'!CF$4)/CT180/'02. Tỷ giá'!C$5," -")</f>
        <v>982.78240777208873</v>
      </c>
      <c r="CG180" s="95" t="str">
        <f>IFERROR(SUMIFS('01. KE30'!$R:$R,'01. KE30'!$C:$C,'06. BC BH THEO CUSTOMER-USD'!$D180,'01. KE30'!$F:$F,'06. BC BH THEO CUSTOMER-USD'!$H180,'01. KE30'!$A:$A,'06. BC BH THEO CUSTOMER-USD'!CG$4)/CU180/'02. Tỷ giá'!D$5," -")</f>
        <v xml:space="preserve"> -</v>
      </c>
      <c r="CH180" s="95">
        <f>IFERROR(SUMIFS('01. KE30'!$R:$R,'01. KE30'!$C:$C,'06. BC BH THEO CUSTOMER-USD'!$D180,'01. KE30'!$F:$F,'06. BC BH THEO CUSTOMER-USD'!$H180,'01. KE30'!$A:$A,'06. BC BH THEO CUSTOMER-USD'!CH$4)/CV180/'02. Tỷ giá'!E$5," -")</f>
        <v>968.6637888759841</v>
      </c>
      <c r="CI180" s="95">
        <f>IFERROR(SUMIFS('01. KE30'!$R:$R,'01. KE30'!$C:$C,'06. BC BH THEO CUSTOMER-USD'!$D180,'01. KE30'!$F:$F,'06. BC BH THEO CUSTOMER-USD'!$H180,'01. KE30'!$A:$A,'06. BC BH THEO CUSTOMER-USD'!CI$4)/CW180/'02. Tỷ giá'!F$5," -")</f>
        <v>969.10524803889064</v>
      </c>
      <c r="CJ180" s="95">
        <f>IFERROR(SUMIFS('01. KE30'!$R:$R,'01. KE30'!$C:$C,'06. BC BH THEO CUSTOMER-USD'!$D180,'01. KE30'!$F:$F,'06. BC BH THEO CUSTOMER-USD'!$H180,'01. KE30'!$A:$A,'06. BC BH THEO CUSTOMER-USD'!CJ$4)/CX180/'02. Tỷ giá'!G$5," -")</f>
        <v>968.27519841269839</v>
      </c>
      <c r="CK180" s="95" t="str">
        <f>IFERROR(SUMIFS('01. KE30'!$R:$R,'01. KE30'!$C:$C,'06. BC BH THEO CUSTOMER-USD'!$D180,'01. KE30'!$F:$F,'06. BC BH THEO CUSTOMER-USD'!$H180,'01. KE30'!$A:$A,'06. BC BH THEO CUSTOMER-USD'!CK$4)/CY180/'02. Tỷ giá'!H$5," -")</f>
        <v xml:space="preserve"> -</v>
      </c>
      <c r="CL180" s="95">
        <f>IFERROR(SUMIFS('01. KE30'!$R:$R,'01. KE30'!$C:$C,'06. BC BH THEO CUSTOMER-USD'!$D180,'01. KE30'!$F:$F,'06. BC BH THEO CUSTOMER-USD'!$H180,'01. KE30'!$A:$A,'06. BC BH THEO CUSTOMER-USD'!CL$4)/CZ180/'02. Tỷ giá'!I$5," -")</f>
        <v>965.88302957546648</v>
      </c>
      <c r="CM180" s="95" t="str">
        <f>IFERROR(SUMIFS('01. KE30'!$R:$R,'01. KE30'!$C:$C,'06. BC BH THEO CUSTOMER-USD'!$D180,'01. KE30'!$F:$F,'06. BC BH THEO CUSTOMER-USD'!$H180,'01. KE30'!$A:$A,'06. BC BH THEO CUSTOMER-USD'!CM$4)/DA180/'02. Tỷ giá'!J$5," -")</f>
        <v xml:space="preserve"> -</v>
      </c>
      <c r="CN180" s="95" t="str">
        <f>IFERROR(SUMIFS('01. KE30'!$R:$R,'01. KE30'!$C:$C,'06. BC BH THEO CUSTOMER-USD'!$D180,'01. KE30'!$F:$F,'06. BC BH THEO CUSTOMER-USD'!$H180,'01. KE30'!$A:$A,'06. BC BH THEO CUSTOMER-USD'!CN$4)/DB180/'02. Tỷ giá'!K$5," -")</f>
        <v xml:space="preserve"> -</v>
      </c>
      <c r="CO180" s="95" t="str">
        <f>IFERROR(SUMIFS('01. KE30'!$R:$R,'01. KE30'!$C:$C,'06. BC BH THEO CUSTOMER-USD'!$D180,'01. KE30'!$F:$F,'06. BC BH THEO CUSTOMER-USD'!$H180,'01. KE30'!$A:$A,'06. BC BH THEO CUSTOMER-USD'!CO$4)/DC180/'02. Tỷ giá'!L$5," -")</f>
        <v xml:space="preserve"> -</v>
      </c>
      <c r="CP180" s="95" t="str">
        <f>IFERROR(SUMIFS('01. KE30'!$R:$R,'01. KE30'!$C:$C,'06. BC BH THEO CUSTOMER-USD'!$D180,'01. KE30'!$F:$F,'06. BC BH THEO CUSTOMER-USD'!$H180,'01. KE30'!$A:$A,'06. BC BH THEO CUSTOMER-USD'!CP$4)/DD180/'02. Tỷ giá'!M$5," -")</f>
        <v xml:space="preserve"> -</v>
      </c>
      <c r="CR180" s="112">
        <f t="shared" si="1249"/>
        <v>24.75</v>
      </c>
      <c r="CS180" s="114">
        <f>SUMIFS('01. KE30'!$I:$I,'01. KE30'!$C:$C,'06. BC BH THEO CUSTOMER-USD'!$D180,'01. KE30'!$F:$F,'06. BC BH THEO CUSTOMER-USD'!$H180,'01. KE30'!$A:$A,'06. BC BH THEO CUSTOMER-USD'!CS$4)/1000</f>
        <v>0</v>
      </c>
      <c r="CT180" s="114">
        <f>SUMIFS('01. KE30'!$I:$I,'01. KE30'!$C:$C,'06. BC BH THEO CUSTOMER-USD'!$D180,'01. KE30'!$F:$F,'06. BC BH THEO CUSTOMER-USD'!$H180,'01. KE30'!$A:$A,'06. BC BH THEO CUSTOMER-USD'!CT$4)/1000</f>
        <v>0.75</v>
      </c>
      <c r="CU180" s="114">
        <f>SUMIFS('01. KE30'!$I:$I,'01. KE30'!$C:$C,'06. BC BH THEO CUSTOMER-USD'!$D180,'01. KE30'!$F:$F,'06. BC BH THEO CUSTOMER-USD'!$H180,'01. KE30'!$A:$A,'06. BC BH THEO CUSTOMER-USD'!CU$4)/1000</f>
        <v>0</v>
      </c>
      <c r="CV180" s="114">
        <f>SUMIFS('01. KE30'!$I:$I,'01. KE30'!$C:$C,'06. BC BH THEO CUSTOMER-USD'!$D180,'01. KE30'!$F:$F,'06. BC BH THEO CUSTOMER-USD'!$H180,'01. KE30'!$A:$A,'06. BC BH THEO CUSTOMER-USD'!CV$4)/1000</f>
        <v>3</v>
      </c>
      <c r="CW180" s="114">
        <f>SUMIFS('01. KE30'!$I:$I,'01. KE30'!$C:$C,'06. BC BH THEO CUSTOMER-USD'!$D180,'01. KE30'!$F:$F,'06. BC BH THEO CUSTOMER-USD'!$H180,'01. KE30'!$A:$A,'06. BC BH THEO CUSTOMER-USD'!CW$4)/1000</f>
        <v>10.5</v>
      </c>
      <c r="CX180" s="114">
        <f>SUMIFS('01. KE30'!$I:$I,'01. KE30'!$C:$C,'06. BC BH THEO CUSTOMER-USD'!$D180,'01. KE30'!$F:$F,'06. BC BH THEO CUSTOMER-USD'!$H180,'01. KE30'!$A:$A,'06. BC BH THEO CUSTOMER-USD'!CX$4)/1000</f>
        <v>5.25</v>
      </c>
      <c r="CY180" s="114">
        <f>SUMIFS('01. KE30'!$I:$I,'01. KE30'!$C:$C,'06. BC BH THEO CUSTOMER-USD'!$D180,'01. KE30'!$F:$F,'06. BC BH THEO CUSTOMER-USD'!$H180,'01. KE30'!$A:$A,'06. BC BH THEO CUSTOMER-USD'!CY$4)/1000</f>
        <v>0</v>
      </c>
      <c r="CZ180" s="114">
        <f>SUMIFS('01. KE30'!$I:$I,'01. KE30'!$C:$C,'06. BC BH THEO CUSTOMER-USD'!$D180,'01. KE30'!$F:$F,'06. BC BH THEO CUSTOMER-USD'!$H180,'01. KE30'!$A:$A,'06. BC BH THEO CUSTOMER-USD'!CZ$4)/1000</f>
        <v>5.25</v>
      </c>
      <c r="DA180" s="114">
        <f>SUMIFS('01. KE30'!$I:$I,'01. KE30'!$C:$C,'06. BC BH THEO CUSTOMER-USD'!$D180,'01. KE30'!$F:$F,'06. BC BH THEO CUSTOMER-USD'!$H180,'01. KE30'!$A:$A,'06. BC BH THEO CUSTOMER-USD'!DA$4)/1000</f>
        <v>0</v>
      </c>
      <c r="DB180" s="114">
        <f>SUMIFS('01. KE30'!$I:$I,'01. KE30'!$C:$C,'06. BC BH THEO CUSTOMER-USD'!$D180,'01. KE30'!$F:$F,'06. BC BH THEO CUSTOMER-USD'!$H180,'01. KE30'!$A:$A,'06. BC BH THEO CUSTOMER-USD'!DB$4)/1000</f>
        <v>0</v>
      </c>
      <c r="DC180" s="114">
        <f>SUMIFS('01. KE30'!$I:$I,'01. KE30'!$C:$C,'06. BC BH THEO CUSTOMER-USD'!$D180,'01. KE30'!$F:$F,'06. BC BH THEO CUSTOMER-USD'!$H180,'01. KE30'!$A:$A,'06. BC BH THEO CUSTOMER-USD'!DC$4)/1000</f>
        <v>0</v>
      </c>
      <c r="DD180" s="114">
        <f>SUMIFS('01. KE30'!$I:$I,'01. KE30'!$C:$C,'06. BC BH THEO CUSTOMER-USD'!$D180,'01. KE30'!$F:$F,'06. BC BH THEO CUSTOMER-USD'!$H180,'01. KE30'!$A:$A,'06. BC BH THEO CUSTOMER-USD'!DD$4)/1000</f>
        <v>0</v>
      </c>
      <c r="DF180" s="112">
        <f t="shared" si="2037"/>
        <v>14832.856851572233</v>
      </c>
      <c r="DG180" s="54" t="str">
        <f t="shared" si="2038"/>
        <v>-</v>
      </c>
      <c r="DH180" s="54">
        <f t="shared" si="2039"/>
        <v>443.08782985427337</v>
      </c>
      <c r="DI180" s="54" t="str">
        <f t="shared" si="2040"/>
        <v>-</v>
      </c>
      <c r="DJ180" s="54">
        <f t="shared" si="2041"/>
        <v>1800.2322880371662</v>
      </c>
      <c r="DK180" s="54">
        <f t="shared" si="2042"/>
        <v>6293.5034802784221</v>
      </c>
      <c r="DL180" s="54">
        <f t="shared" si="2043"/>
        <v>3139.4675925925931</v>
      </c>
      <c r="DM180" s="54" t="str">
        <f t="shared" si="2044"/>
        <v>-</v>
      </c>
      <c r="DN180" s="54">
        <f t="shared" si="2045"/>
        <v>3156.5656608097779</v>
      </c>
      <c r="DO180" s="54" t="str">
        <f t="shared" si="2046"/>
        <v>-</v>
      </c>
      <c r="DP180" s="54" t="str">
        <f t="shared" si="2047"/>
        <v>-</v>
      </c>
      <c r="DQ180" s="54" t="str">
        <f t="shared" si="2048"/>
        <v>-</v>
      </c>
      <c r="DR180" s="54" t="str">
        <f t="shared" si="2049"/>
        <v>-</v>
      </c>
      <c r="DT180" s="112">
        <f t="shared" si="652"/>
        <v>-9140.1571222310049</v>
      </c>
      <c r="DU180" s="114">
        <f>IFERROR(SUMIFS('01. KE30'!$X:$X,'01. KE30'!$C:$C,'06. BC BH THEO CUSTOMER-USD'!$D180,'01. KE30'!$F:$F,'06. BC BH THEO CUSTOMER-USD'!$H180,'01. KE30'!$A:$A,'06. BC BH THEO CUSTOMER-USD'!DU$4)-SUMIFS('01. KE30'!$AA:$AA,'01. KE30'!$C:$C,'06. BC BH THEO CUSTOMER-USD'!$D180,'01. KE30'!$F:$F,'06. BC BH THEO CUSTOMER-USD'!$H180,'01. KE30'!$A:$A,'06. BC BH THEO CUSTOMER-USD'!DU$4),"-")</f>
        <v>0</v>
      </c>
      <c r="DV180" s="114">
        <f>IFERROR(SUMIFS('01. KE30'!$X:$X,'01. KE30'!$C:$C,'06. BC BH THEO CUSTOMER-USD'!$D180,'01. KE30'!$F:$F,'06. BC BH THEO CUSTOMER-USD'!$H180,'01. KE30'!$A:$A,'06. BC BH THEO CUSTOMER-USD'!DV$4)-SUMIFS('01. KE30'!$AA:$AA,'01. KE30'!$C:$C,'06. BC BH THEO CUSTOMER-USD'!$D180,'01. KE30'!$F:$F,'06. BC BH THEO CUSTOMER-USD'!$H180,'01. KE30'!$A:$A,'06. BC BH THEO CUSTOMER-USD'!DV$4),"-")</f>
        <v>-293.99897597479321</v>
      </c>
      <c r="DW180" s="114">
        <f>IFERROR(SUMIFS('01. KE30'!$X:$X,'01. KE30'!$C:$C,'06. BC BH THEO CUSTOMER-USD'!$D180,'01. KE30'!$F:$F,'06. BC BH THEO CUSTOMER-USD'!$H180,'01. KE30'!$A:$A,'06. BC BH THEO CUSTOMER-USD'!DW$4)-SUMIFS('01. KE30'!$AA:$AA,'01. KE30'!$C:$C,'06. BC BH THEO CUSTOMER-USD'!$D180,'01. KE30'!$F:$F,'06. BC BH THEO CUSTOMER-USD'!$H180,'01. KE30'!$A:$A,'06. BC BH THEO CUSTOMER-USD'!DW$4),"-")</f>
        <v>0</v>
      </c>
      <c r="DX180" s="114">
        <f>IFERROR(SUMIFS('01. KE30'!$X:$X,'01. KE30'!$C:$C,'06. BC BH THEO CUSTOMER-USD'!$D180,'01. KE30'!$F:$F,'06. BC BH THEO CUSTOMER-USD'!$H180,'01. KE30'!$A:$A,'06. BC BH THEO CUSTOMER-USD'!DX$4)-SUMIFS('01. KE30'!$AA:$AA,'01. KE30'!$C:$C,'06. BC BH THEO CUSTOMER-USD'!$D180,'01. KE30'!$F:$F,'06. BC BH THEO CUSTOMER-USD'!$H180,'01. KE30'!$A:$A,'06. BC BH THEO CUSTOMER-USD'!DX$4),"-")</f>
        <v>-1105.759078590786</v>
      </c>
      <c r="DY180" s="114">
        <f>IFERROR(SUMIFS('01. KE30'!$X:$X,'01. KE30'!$C:$C,'06. BC BH THEO CUSTOMER-USD'!$D180,'01. KE30'!$F:$F,'06. BC BH THEO CUSTOMER-USD'!$H180,'01. KE30'!$A:$A,'06. BC BH THEO CUSTOMER-USD'!DY$4)-SUMIFS('01. KE30'!$AA:$AA,'01. KE30'!$C:$C,'06. BC BH THEO CUSTOMER-USD'!$D180,'01. KE30'!$F:$F,'06. BC BH THEO CUSTOMER-USD'!$H180,'01. KE30'!$A:$A,'06. BC BH THEO CUSTOMER-USD'!DY$4),"-")</f>
        <v>-3882.1016241299303</v>
      </c>
      <c r="DZ180" s="114">
        <f>IFERROR(SUMIFS('01. KE30'!$X:$X,'01. KE30'!$C:$C,'06. BC BH THEO CUSTOMER-USD'!$D180,'01. KE30'!$F:$F,'06. BC BH THEO CUSTOMER-USD'!$H180,'01. KE30'!$A:$A,'06. BC BH THEO CUSTOMER-USD'!DZ$4)-SUMIFS('01. KE30'!$AA:$AA,'01. KE30'!$C:$C,'06. BC BH THEO CUSTOMER-USD'!$D180,'01. KE30'!$F:$F,'06. BC BH THEO CUSTOMER-USD'!$H180,'01. KE30'!$A:$A,'06. BC BH THEO CUSTOMER-USD'!DZ$4),"-")</f>
        <v>-1943.9771990740742</v>
      </c>
      <c r="EA180" s="114">
        <f>IFERROR(SUMIFS('01. KE30'!$X:$X,'01. KE30'!$C:$C,'06. BC BH THEO CUSTOMER-USD'!$D180,'01. KE30'!$F:$F,'06. BC BH THEO CUSTOMER-USD'!$H180,'01. KE30'!$A:$A,'06. BC BH THEO CUSTOMER-USD'!EA$4)-SUMIFS('01. KE30'!$AA:$AA,'01. KE30'!$C:$C,'06. BC BH THEO CUSTOMER-USD'!$D180,'01. KE30'!$F:$F,'06. BC BH THEO CUSTOMER-USD'!$H180,'01. KE30'!$A:$A,'06. BC BH THEO CUSTOMER-USD'!EA$4),"-")</f>
        <v>0</v>
      </c>
      <c r="EB180" s="114">
        <f>IFERROR(SUMIFS('01. KE30'!$X:$X,'01. KE30'!$C:$C,'06. BC BH THEO CUSTOMER-USD'!$D180,'01. KE30'!$F:$F,'06. BC BH THEO CUSTOMER-USD'!$H180,'01. KE30'!$A:$A,'06. BC BH THEO CUSTOMER-USD'!EB$4)-SUMIFS('01. KE30'!$AA:$AA,'01. KE30'!$C:$C,'06. BC BH THEO CUSTOMER-USD'!$D180,'01. KE30'!$F:$F,'06. BC BH THEO CUSTOMER-USD'!$H180,'01. KE30'!$A:$A,'06. BC BH THEO CUSTOMER-USD'!EB$4),"-")</f>
        <v>-1914.3202444614212</v>
      </c>
      <c r="EC180" s="114">
        <f>IFERROR(SUMIFS('01. KE30'!$X:$X,'01. KE30'!$C:$C,'06. BC BH THEO CUSTOMER-USD'!$D180,'01. KE30'!$F:$F,'06. BC BH THEO CUSTOMER-USD'!$H180,'01. KE30'!$A:$A,'06. BC BH THEO CUSTOMER-USD'!EC$4)-SUMIFS('01. KE30'!$AA:$AA,'01. KE30'!$C:$C,'06. BC BH THEO CUSTOMER-USD'!$D180,'01. KE30'!$F:$F,'06. BC BH THEO CUSTOMER-USD'!$H180,'01. KE30'!$A:$A,'06. BC BH THEO CUSTOMER-USD'!EC$4),"-")</f>
        <v>0</v>
      </c>
      <c r="ED180" s="114">
        <f>IFERROR(SUMIFS('01. KE30'!$X:$X,'01. KE30'!$C:$C,'06. BC BH THEO CUSTOMER-USD'!$D180,'01. KE30'!$F:$F,'06. BC BH THEO CUSTOMER-USD'!$H180,'01. KE30'!$A:$A,'06. BC BH THEO CUSTOMER-USD'!ED$4)-SUMIFS('01. KE30'!$AA:$AA,'01. KE30'!$C:$C,'06. BC BH THEO CUSTOMER-USD'!$D180,'01. KE30'!$F:$F,'06. BC BH THEO CUSTOMER-USD'!$H180,'01. KE30'!$A:$A,'06. BC BH THEO CUSTOMER-USD'!ED$4),"-")</f>
        <v>0</v>
      </c>
      <c r="EE180" s="114">
        <f>IFERROR(SUMIFS('01. KE30'!$X:$X,'01. KE30'!$C:$C,'06. BC BH THEO CUSTOMER-USD'!$D180,'01. KE30'!$F:$F,'06. BC BH THEO CUSTOMER-USD'!$H180,'01. KE30'!$A:$A,'06. BC BH THEO CUSTOMER-USD'!EE$4)-SUMIFS('01. KE30'!$AA:$AA,'01. KE30'!$C:$C,'06. BC BH THEO CUSTOMER-USD'!$D180,'01. KE30'!$F:$F,'06. BC BH THEO CUSTOMER-USD'!$H180,'01. KE30'!$A:$A,'06. BC BH THEO CUSTOMER-USD'!EE$4),"-")</f>
        <v>0</v>
      </c>
      <c r="EF180" s="114">
        <f>IFERROR(SUMIFS('01. KE30'!$X:$X,'01. KE30'!$C:$C,'06. BC BH THEO CUSTOMER-USD'!$D180,'01. KE30'!$F:$F,'06. BC BH THEO CUSTOMER-USD'!$H180,'01. KE30'!$A:$A,'06. BC BH THEO CUSTOMER-USD'!EF$4)-SUMIFS('01. KE30'!$AA:$AA,'01. KE30'!$C:$C,'06. BC BH THEO CUSTOMER-USD'!$D180,'01. KE30'!$F:$F,'06. BC BH THEO CUSTOMER-USD'!$H180,'01. KE30'!$A:$A,'06. BC BH THEO CUSTOMER-USD'!EF$4),"-")</f>
        <v>0</v>
      </c>
      <c r="EH180" s="571">
        <f t="shared" si="1737"/>
        <v>-0.61621016191915712</v>
      </c>
      <c r="EI180" s="572" t="str">
        <f t="shared" si="1738"/>
        <v>-</v>
      </c>
      <c r="EJ180" s="572">
        <f t="shared" si="1739"/>
        <v>-0.66352302222222215</v>
      </c>
      <c r="EK180" s="572" t="str">
        <f t="shared" si="1740"/>
        <v>-</v>
      </c>
      <c r="EL180" s="572">
        <f t="shared" si="1741"/>
        <v>-0.61423133333333335</v>
      </c>
      <c r="EM180" s="572">
        <f t="shared" si="1742"/>
        <v>-0.61684269124423963</v>
      </c>
      <c r="EN180" s="572">
        <f t="shared" si="1743"/>
        <v>-0.61920600921658975</v>
      </c>
      <c r="EO180" s="572" t="str">
        <f t="shared" si="1744"/>
        <v>-</v>
      </c>
      <c r="EP180" s="572">
        <f t="shared" si="1745"/>
        <v>-0.6064566526299745</v>
      </c>
      <c r="EQ180" s="572" t="str">
        <f t="shared" si="1746"/>
        <v>-</v>
      </c>
      <c r="ER180" s="572" t="str">
        <f t="shared" si="1747"/>
        <v>-</v>
      </c>
      <c r="ES180" s="572" t="str">
        <f t="shared" si="1748"/>
        <v>-</v>
      </c>
      <c r="ET180" s="572" t="str">
        <f t="shared" si="1749"/>
        <v>-</v>
      </c>
    </row>
    <row r="181" spans="1:150" ht="15.5" hidden="1" outlineLevel="1" x14ac:dyDescent="0.35">
      <c r="A181" s="10">
        <f t="shared" si="1266"/>
        <v>7</v>
      </c>
      <c r="B181" s="10" t="s">
        <v>295</v>
      </c>
      <c r="C181" s="442" t="s">
        <v>489</v>
      </c>
      <c r="D181" s="9" t="s">
        <v>65</v>
      </c>
      <c r="E181" s="8" t="s">
        <v>509</v>
      </c>
      <c r="F181" s="12" t="s">
        <v>245</v>
      </c>
      <c r="G181" s="12" t="str">
        <f>_xlfn.XLOOKUP(F181,'Quy đổi'!$G$5:$G$32,'Quy đổi'!$H$5:$H$32,0)</f>
        <v>Nội địa</v>
      </c>
      <c r="H181" s="8" t="s">
        <v>37</v>
      </c>
      <c r="I181" s="7" t="s">
        <v>36</v>
      </c>
      <c r="J181" s="69" t="s">
        <v>22</v>
      </c>
      <c r="K181" s="5"/>
      <c r="L181" s="92">
        <f t="shared" si="1263"/>
        <v>711.12863332020481</v>
      </c>
      <c r="M181" s="106" t="str">
        <f>IFERROR(SUMIFS('01. KE30'!$K:$K,'01. KE30'!$C:$C,'06. BC BH THEO CUSTOMER-USD'!$D181,'01. KE30'!$F:$F,'06. BC BH THEO CUSTOMER-USD'!$H181,'01. KE30'!$A:$A,'06. BC BH THEO CUSTOMER-USD'!M$4)/'06. BC BH THEO CUSTOMER-USD'!CS181/'02. Tỷ giá'!B$5,"-")</f>
        <v>-</v>
      </c>
      <c r="N181" s="106">
        <f>IFERROR(SUMIFS('01. KE30'!$K:$K,'01. KE30'!$C:$C,'06. BC BH THEO CUSTOMER-USD'!$D181,'01. KE30'!$F:$F,'06. BC BH THEO CUSTOMER-USD'!$H181,'01. KE30'!$A:$A,'06. BC BH THEO CUSTOMER-USD'!N$4)/'06. BC BH THEO CUSTOMER-USD'!CT181/'02. Tỷ giá'!C$5,"-")</f>
        <v>711.12863332020481</v>
      </c>
      <c r="O181" s="106" t="str">
        <f>IFERROR(SUMIFS('01. KE30'!$K:$K,'01. KE30'!$C:$C,'06. BC BH THEO CUSTOMER-USD'!$D181,'01. KE30'!$F:$F,'06. BC BH THEO CUSTOMER-USD'!$H181,'01. KE30'!$A:$A,'06. BC BH THEO CUSTOMER-USD'!O$4)/'06. BC BH THEO CUSTOMER-USD'!CU181/'02. Tỷ giá'!D$5,"-")</f>
        <v>-</v>
      </c>
      <c r="P181" s="106" t="str">
        <f>IFERROR(SUMIFS('01. KE30'!$K:$K,'01. KE30'!$C:$C,'06. BC BH THEO CUSTOMER-USD'!$D181,'01. KE30'!$F:$F,'06. BC BH THEO CUSTOMER-USD'!$H181,'01. KE30'!$A:$A,'06. BC BH THEO CUSTOMER-USD'!P$4)/'06. BC BH THEO CUSTOMER-USD'!CV181/'02. Tỷ giá'!E$5,"-")</f>
        <v>-</v>
      </c>
      <c r="Q181" s="106" t="str">
        <f>IFERROR(SUMIFS('01. KE30'!$K:$K,'01. KE30'!$C:$C,'06. BC BH THEO CUSTOMER-USD'!$D181,'01. KE30'!$F:$F,'06. BC BH THEO CUSTOMER-USD'!$H181,'01. KE30'!$A:$A,'06. BC BH THEO CUSTOMER-USD'!Q$4)/'06. BC BH THEO CUSTOMER-USD'!CW181/'02. Tỷ giá'!F$5,"-")</f>
        <v>-</v>
      </c>
      <c r="R181" s="106" t="str">
        <f>IFERROR(SUMIFS('01. KE30'!$K:$K,'01. KE30'!$C:$C,'06. BC BH THEO CUSTOMER-USD'!$D181,'01. KE30'!$F:$F,'06. BC BH THEO CUSTOMER-USD'!$H181,'01. KE30'!$A:$A,'06. BC BH THEO CUSTOMER-USD'!R$4)/'06. BC BH THEO CUSTOMER-USD'!CX181/'02. Tỷ giá'!G$5,"-")</f>
        <v>-</v>
      </c>
      <c r="S181" s="106" t="str">
        <f>IFERROR(SUMIFS('01. KE30'!$K:$K,'01. KE30'!$C:$C,'06. BC BH THEO CUSTOMER-USD'!$D181,'01. KE30'!$F:$F,'06. BC BH THEO CUSTOMER-USD'!$H181,'01. KE30'!$A:$A,'06. BC BH THEO CUSTOMER-USD'!S$4)/'06. BC BH THEO CUSTOMER-USD'!CY181/'02. Tỷ giá'!H$5,"-")</f>
        <v>-</v>
      </c>
      <c r="T181" s="106" t="str">
        <f>IFERROR(SUMIFS('01. KE30'!$K:$K,'01. KE30'!$C:$C,'06. BC BH THEO CUSTOMER-USD'!$D181,'01. KE30'!$F:$F,'06. BC BH THEO CUSTOMER-USD'!$H181,'01. KE30'!$A:$A,'06. BC BH THEO CUSTOMER-USD'!T$4)/'06. BC BH THEO CUSTOMER-USD'!CZ181/'02. Tỷ giá'!I$5,"-")</f>
        <v>-</v>
      </c>
      <c r="U181" s="106" t="str">
        <f>IFERROR(SUMIFS('01. KE30'!$K:$K,'01. KE30'!$C:$C,'06. BC BH THEO CUSTOMER-USD'!$D181,'01. KE30'!$F:$F,'06. BC BH THEO CUSTOMER-USD'!$H181,'01. KE30'!$A:$A,'06. BC BH THEO CUSTOMER-USD'!U$4)/'06. BC BH THEO CUSTOMER-USD'!DA181/'02. Tỷ giá'!J$5,"-")</f>
        <v>-</v>
      </c>
      <c r="V181" s="106" t="str">
        <f>IFERROR(SUMIFS('01. KE30'!$K:$K,'01. KE30'!$C:$C,'06. BC BH THEO CUSTOMER-USD'!$D181,'01. KE30'!$F:$F,'06. BC BH THEO CUSTOMER-USD'!$H181,'01. KE30'!$A:$A,'06. BC BH THEO CUSTOMER-USD'!V$4)/'06. BC BH THEO CUSTOMER-USD'!DB181/'02. Tỷ giá'!K$5,"-")</f>
        <v>-</v>
      </c>
      <c r="W181" s="106" t="str">
        <f>IFERROR(SUMIFS('01. KE30'!$K:$K,'01. KE30'!$C:$C,'06. BC BH THEO CUSTOMER-USD'!$D181,'01. KE30'!$F:$F,'06. BC BH THEO CUSTOMER-USD'!$H181,'01. KE30'!$A:$A,'06. BC BH THEO CUSTOMER-USD'!W$4)/'06. BC BH THEO CUSTOMER-USD'!DC181/'02. Tỷ giá'!L$5,"-")</f>
        <v>-</v>
      </c>
      <c r="X181" s="106" t="str">
        <f>IFERROR(SUMIFS('01. KE30'!$K:$K,'01. KE30'!$C:$C,'06. BC BH THEO CUSTOMER-USD'!$D181,'01. KE30'!$F:$F,'06. BC BH THEO CUSTOMER-USD'!$H181,'01. KE30'!$A:$A,'06. BC BH THEO CUSTOMER-USD'!X$4)/'06. BC BH THEO CUSTOMER-USD'!DD181/'02. Tỷ giá'!M$5,"-")</f>
        <v>-</v>
      </c>
      <c r="Z181" s="92">
        <f t="shared" si="1264"/>
        <v>711.12863332020481</v>
      </c>
      <c r="AA181" s="147" t="str">
        <f>IFERROR(SUMIFS('01. KE30'!$O:$O,'01. KE30'!$C:$C,'06. BC BH THEO CUSTOMER-USD'!$D181,'01. KE30'!$F:$F,'06. BC BH THEO CUSTOMER-USD'!$H181,'01. KE30'!$A:$A,'06. BC BH THEO CUSTOMER-USD'!M$4)/'06. BC BH THEO CUSTOMER-USD'!CS181/'02. Tỷ giá'!B$5,"-")</f>
        <v>-</v>
      </c>
      <c r="AB181" s="147">
        <f>IFERROR(SUMIFS('01. KE30'!$O:$O,'01. KE30'!$C:$C,'06. BC BH THEO CUSTOMER-USD'!$D181,'01. KE30'!$F:$F,'06. BC BH THEO CUSTOMER-USD'!$H181,'01. KE30'!$A:$A,'06. BC BH THEO CUSTOMER-USD'!N$4)/'06. BC BH THEO CUSTOMER-USD'!CT181/'02. Tỷ giá'!C$5,"-")</f>
        <v>711.12863332020481</v>
      </c>
      <c r="AC181" s="147" t="str">
        <f>IFERROR(SUMIFS('01. KE30'!$O:$O,'01. KE30'!$C:$C,'06. BC BH THEO CUSTOMER-USD'!$D181,'01. KE30'!$F:$F,'06. BC BH THEO CUSTOMER-USD'!$H181,'01. KE30'!$A:$A,'06. BC BH THEO CUSTOMER-USD'!O$4)/'06. BC BH THEO CUSTOMER-USD'!CU181/'02. Tỷ giá'!D$5,"-")</f>
        <v>-</v>
      </c>
      <c r="AD181" s="147" t="str">
        <f>IFERROR(SUMIFS('01. KE30'!$O:$O,'01. KE30'!$C:$C,'06. BC BH THEO CUSTOMER-USD'!$D181,'01. KE30'!$F:$F,'06. BC BH THEO CUSTOMER-USD'!$H181,'01. KE30'!$A:$A,'06. BC BH THEO CUSTOMER-USD'!P$4)/'06. BC BH THEO CUSTOMER-USD'!CV181/'02. Tỷ giá'!E$5,"-")</f>
        <v>-</v>
      </c>
      <c r="AE181" s="147" t="str">
        <f>IFERROR(SUMIFS('01. KE30'!$O:$O,'01. KE30'!$C:$C,'06. BC BH THEO CUSTOMER-USD'!$D181,'01. KE30'!$F:$F,'06. BC BH THEO CUSTOMER-USD'!$H181,'01. KE30'!$A:$A,'06. BC BH THEO CUSTOMER-USD'!Q$4)/'06. BC BH THEO CUSTOMER-USD'!CW181/'02. Tỷ giá'!F$5,"-")</f>
        <v>-</v>
      </c>
      <c r="AF181" s="147" t="str">
        <f>IFERROR(SUMIFS('01. KE30'!$O:$O,'01. KE30'!$C:$C,'06. BC BH THEO CUSTOMER-USD'!$D181,'01. KE30'!$F:$F,'06. BC BH THEO CUSTOMER-USD'!$H181,'01. KE30'!$A:$A,'06. BC BH THEO CUSTOMER-USD'!R$4)/'06. BC BH THEO CUSTOMER-USD'!CX181/'02. Tỷ giá'!G$5,"-")</f>
        <v>-</v>
      </c>
      <c r="AG181" s="147" t="str">
        <f>IFERROR(SUMIFS('01. KE30'!$O:$O,'01. KE30'!$C:$C,'06. BC BH THEO CUSTOMER-USD'!$D181,'01. KE30'!$F:$F,'06. BC BH THEO CUSTOMER-USD'!$H181,'01. KE30'!$A:$A,'06. BC BH THEO CUSTOMER-USD'!S$4)/'06. BC BH THEO CUSTOMER-USD'!CY181/'02. Tỷ giá'!H$5,"-")</f>
        <v>-</v>
      </c>
      <c r="AH181" s="147" t="str">
        <f>IFERROR(SUMIFS('01. KE30'!$O:$O,'01. KE30'!$C:$C,'06. BC BH THEO CUSTOMER-USD'!$D181,'01. KE30'!$F:$F,'06. BC BH THEO CUSTOMER-USD'!$H181,'01. KE30'!$A:$A,'06. BC BH THEO CUSTOMER-USD'!T$4)/'06. BC BH THEO CUSTOMER-USD'!CZ181/'02. Tỷ giá'!I$5,"-")</f>
        <v>-</v>
      </c>
      <c r="AI181" s="147" t="str">
        <f>IFERROR(SUMIFS('01. KE30'!$O:$O,'01. KE30'!$C:$C,'06. BC BH THEO CUSTOMER-USD'!$D181,'01. KE30'!$F:$F,'06. BC BH THEO CUSTOMER-USD'!$H181,'01. KE30'!$A:$A,'06. BC BH THEO CUSTOMER-USD'!U$4)/'06. BC BH THEO CUSTOMER-USD'!DA181/'02. Tỷ giá'!J$5,"-")</f>
        <v>-</v>
      </c>
      <c r="AJ181" s="147" t="str">
        <f>IFERROR(SUMIFS('01. KE30'!$O:$O,'01. KE30'!$C:$C,'06. BC BH THEO CUSTOMER-USD'!$D181,'01. KE30'!$F:$F,'06. BC BH THEO CUSTOMER-USD'!$H181,'01. KE30'!$A:$A,'06. BC BH THEO CUSTOMER-USD'!V$4)/'06. BC BH THEO CUSTOMER-USD'!DB181/'02. Tỷ giá'!K$5,"-")</f>
        <v>-</v>
      </c>
      <c r="AK181" s="147" t="str">
        <f>IFERROR(SUMIFS('01. KE30'!$O:$O,'01. KE30'!$C:$C,'06. BC BH THEO CUSTOMER-USD'!$D181,'01. KE30'!$F:$F,'06. BC BH THEO CUSTOMER-USD'!$H181,'01. KE30'!$A:$A,'06. BC BH THEO CUSTOMER-USD'!W$4)/'06. BC BH THEO CUSTOMER-USD'!DC181/'02. Tỷ giá'!L$5,"-")</f>
        <v>-</v>
      </c>
      <c r="AL181" s="147" t="str">
        <f>IFERROR(SUMIFS('01. KE30'!$O:$O,'01. KE30'!$C:$C,'06. BC BH THEO CUSTOMER-USD'!$D181,'01. KE30'!$F:$F,'06. BC BH THEO CUSTOMER-USD'!$H181,'01. KE30'!$A:$A,'06. BC BH THEO CUSTOMER-USD'!X$4)/'06. BC BH THEO CUSTOMER-USD'!DD181/'02. Tỷ giá'!M$5,"-")</f>
        <v>-</v>
      </c>
      <c r="AN181" s="55">
        <f t="shared" si="1265"/>
        <v>737.22222222222217</v>
      </c>
      <c r="AO181" s="4">
        <v>825</v>
      </c>
      <c r="AP181" s="4">
        <v>750</v>
      </c>
      <c r="AQ181" s="4">
        <v>750</v>
      </c>
      <c r="AR181" s="4">
        <v>750</v>
      </c>
      <c r="AS181" s="4">
        <v>720</v>
      </c>
      <c r="AT181" s="4">
        <v>720</v>
      </c>
      <c r="AU181" s="4">
        <v>720</v>
      </c>
      <c r="AV181" s="4">
        <f t="shared" si="1272"/>
        <v>700</v>
      </c>
      <c r="AW181" s="4">
        <v>700</v>
      </c>
      <c r="AX181" s="4"/>
      <c r="AY181" s="4"/>
      <c r="AZ181" s="4"/>
      <c r="BB181" s="95">
        <f t="shared" si="637"/>
        <v>-26.093588902017359</v>
      </c>
      <c r="BC181" s="95" t="str">
        <f t="shared" si="1333"/>
        <v>-</v>
      </c>
      <c r="BD181" s="95">
        <f t="shared" ref="BD181:BN221" si="2108">IF(N181&lt;&gt;"-",AB181-AP181,"-")</f>
        <v>-38.871366679795187</v>
      </c>
      <c r="BE181" s="95" t="str">
        <f t="shared" si="2108"/>
        <v>-</v>
      </c>
      <c r="BF181" s="95" t="str">
        <f t="shared" si="2108"/>
        <v>-</v>
      </c>
      <c r="BG181" s="95" t="str">
        <f t="shared" si="2108"/>
        <v>-</v>
      </c>
      <c r="BH181" s="95" t="str">
        <f t="shared" si="2108"/>
        <v>-</v>
      </c>
      <c r="BI181" s="95" t="str">
        <f t="shared" si="2108"/>
        <v>-</v>
      </c>
      <c r="BJ181" s="95" t="str">
        <f t="shared" si="2108"/>
        <v>-</v>
      </c>
      <c r="BK181" s="95" t="str">
        <f t="shared" si="2108"/>
        <v>-</v>
      </c>
      <c r="BL181" s="95" t="str">
        <f t="shared" si="2108"/>
        <v>-</v>
      </c>
      <c r="BM181" s="95" t="str">
        <f t="shared" si="2108"/>
        <v>-</v>
      </c>
      <c r="BN181" s="95" t="str">
        <f t="shared" si="2108"/>
        <v>-</v>
      </c>
      <c r="BP181" s="143">
        <f t="shared" si="639"/>
        <v>-3.5394468744258667E-2</v>
      </c>
      <c r="BQ181" s="143" t="str">
        <f t="shared" ref="BQ181:BQ224" si="2109">IFERROR(IF(BC181&lt;&gt;"-",BC181/AO181,"-"),"-")</f>
        <v>-</v>
      </c>
      <c r="BR181" s="143">
        <f t="shared" ref="BR181:BR224" si="2110">IFERROR(IF(BD181&lt;&gt;"-",BD181/AP181,"-"),"-")</f>
        <v>-5.1828488906393584E-2</v>
      </c>
      <c r="BS181" s="143" t="str">
        <f t="shared" ref="BS181:BS224" si="2111">IFERROR(IF(BE181&lt;&gt;"-",BE181/AQ181,"-"),"-")</f>
        <v>-</v>
      </c>
      <c r="BT181" s="143" t="str">
        <f t="shared" ref="BT181:BT224" si="2112">IFERROR(IF(BF181&lt;&gt;"-",BF181/AR181,"-"),"-")</f>
        <v>-</v>
      </c>
      <c r="BU181" s="143" t="str">
        <f t="shared" ref="BU181:BU224" si="2113">IFERROR(IF(BG181&lt;&gt;"-",BG181/AS181,"-"),"-")</f>
        <v>-</v>
      </c>
      <c r="BV181" s="143" t="str">
        <f t="shared" ref="BV181:BV224" si="2114">IFERROR(IF(BH181&lt;&gt;"-",BH181/AT181,"-"),"-")</f>
        <v>-</v>
      </c>
      <c r="BW181" s="143" t="str">
        <f t="shared" ref="BW181:BW224" si="2115">IFERROR(IF(BI181&lt;&gt;"-",BI181/AU181,"-"),"-")</f>
        <v>-</v>
      </c>
      <c r="BX181" s="143" t="str">
        <f t="shared" ref="BX181:BX224" si="2116">IFERROR(IF(BJ181&lt;&gt;"-",BJ181/AV181,"-"),"-")</f>
        <v>-</v>
      </c>
      <c r="BY181" s="143" t="str">
        <f t="shared" ref="BY181:BY224" si="2117">IFERROR(IF(BK181&lt;&gt;"-",BK181/AW181,"-"),"-")</f>
        <v>-</v>
      </c>
      <c r="BZ181" s="143" t="str">
        <f t="shared" ref="BZ181:BZ224" si="2118">IFERROR(IF(BL181&lt;&gt;"-",BL181/AX181,"-"),"-")</f>
        <v>-</v>
      </c>
      <c r="CA181" s="143" t="str">
        <f t="shared" ref="CA181:CA224" si="2119">IFERROR(IF(BM181&lt;&gt;"-",BM181/AY181,"-"),"-")</f>
        <v>-</v>
      </c>
      <c r="CB181" s="143" t="str">
        <f t="shared" ref="CB181:CB224" si="2120">IFERROR(IF(BN181&lt;&gt;"-",BN181/AZ181,"-"),"-")</f>
        <v>-</v>
      </c>
      <c r="CD181" s="112">
        <f t="shared" si="2036"/>
        <v>1129.3803334646186</v>
      </c>
      <c r="CE181" s="95" t="str">
        <f>IFERROR(SUMIFS('01. KE30'!$R:$R,'01. KE30'!$C:$C,'06. BC BH THEO CUSTOMER-USD'!$D181,'01. KE30'!$F:$F,'06. BC BH THEO CUSTOMER-USD'!$H181,'01. KE30'!$A:$A,'06. BC BH THEO CUSTOMER-USD'!CE$4)/CS181/'02. Tỷ giá'!B$5," -")</f>
        <v xml:space="preserve"> -</v>
      </c>
      <c r="CF181" s="95">
        <f>IFERROR(SUMIFS('01. KE30'!$R:$R,'01. KE30'!$C:$C,'06. BC BH THEO CUSTOMER-USD'!$D181,'01. KE30'!$F:$F,'06. BC BH THEO CUSTOMER-USD'!$H181,'01. KE30'!$A:$A,'06. BC BH THEO CUSTOMER-USD'!CF$4)/CT181/'02. Tỷ giá'!C$5," -")</f>
        <v>1129.3803334646186</v>
      </c>
      <c r="CG181" s="95" t="str">
        <f>IFERROR(SUMIFS('01. KE30'!$R:$R,'01. KE30'!$C:$C,'06. BC BH THEO CUSTOMER-USD'!$D181,'01. KE30'!$F:$F,'06. BC BH THEO CUSTOMER-USD'!$H181,'01. KE30'!$A:$A,'06. BC BH THEO CUSTOMER-USD'!CG$4)/CU181/'02. Tỷ giá'!D$5," -")</f>
        <v xml:space="preserve"> -</v>
      </c>
      <c r="CH181" s="95" t="str">
        <f>IFERROR(SUMIFS('01. KE30'!$R:$R,'01. KE30'!$C:$C,'06. BC BH THEO CUSTOMER-USD'!$D181,'01. KE30'!$F:$F,'06. BC BH THEO CUSTOMER-USD'!$H181,'01. KE30'!$A:$A,'06. BC BH THEO CUSTOMER-USD'!CH$4)/CV181/'02. Tỷ giá'!E$5," -")</f>
        <v xml:space="preserve"> -</v>
      </c>
      <c r="CI181" s="95" t="str">
        <f>IFERROR(SUMIFS('01. KE30'!$R:$R,'01. KE30'!$C:$C,'06. BC BH THEO CUSTOMER-USD'!$D181,'01. KE30'!$F:$F,'06. BC BH THEO CUSTOMER-USD'!$H181,'01. KE30'!$A:$A,'06. BC BH THEO CUSTOMER-USD'!CI$4)/CW181/'02. Tỷ giá'!F$5," -")</f>
        <v xml:space="preserve"> -</v>
      </c>
      <c r="CJ181" s="95" t="str">
        <f>IFERROR(SUMIFS('01. KE30'!$R:$R,'01. KE30'!$C:$C,'06. BC BH THEO CUSTOMER-USD'!$D181,'01. KE30'!$F:$F,'06. BC BH THEO CUSTOMER-USD'!$H181,'01. KE30'!$A:$A,'06. BC BH THEO CUSTOMER-USD'!CJ$4)/CX181/'02. Tỷ giá'!G$5," -")</f>
        <v xml:space="preserve"> -</v>
      </c>
      <c r="CK181" s="95" t="str">
        <f>IFERROR(SUMIFS('01. KE30'!$R:$R,'01. KE30'!$C:$C,'06. BC BH THEO CUSTOMER-USD'!$D181,'01. KE30'!$F:$F,'06. BC BH THEO CUSTOMER-USD'!$H181,'01. KE30'!$A:$A,'06. BC BH THEO CUSTOMER-USD'!CK$4)/CY181/'02. Tỷ giá'!H$5," -")</f>
        <v xml:space="preserve"> -</v>
      </c>
      <c r="CL181" s="95" t="str">
        <f>IFERROR(SUMIFS('01. KE30'!$R:$R,'01. KE30'!$C:$C,'06. BC BH THEO CUSTOMER-USD'!$D181,'01. KE30'!$F:$F,'06. BC BH THEO CUSTOMER-USD'!$H181,'01. KE30'!$A:$A,'06. BC BH THEO CUSTOMER-USD'!CL$4)/CZ181/'02. Tỷ giá'!I$5," -")</f>
        <v xml:space="preserve"> -</v>
      </c>
      <c r="CM181" s="95" t="str">
        <f>IFERROR(SUMIFS('01. KE30'!$R:$R,'01. KE30'!$C:$C,'06. BC BH THEO CUSTOMER-USD'!$D181,'01. KE30'!$F:$F,'06. BC BH THEO CUSTOMER-USD'!$H181,'01. KE30'!$A:$A,'06. BC BH THEO CUSTOMER-USD'!CM$4)/DA181/'02. Tỷ giá'!J$5," -")</f>
        <v xml:space="preserve"> -</v>
      </c>
      <c r="CN181" s="95" t="str">
        <f>IFERROR(SUMIFS('01. KE30'!$R:$R,'01. KE30'!$C:$C,'06. BC BH THEO CUSTOMER-USD'!$D181,'01. KE30'!$F:$F,'06. BC BH THEO CUSTOMER-USD'!$H181,'01. KE30'!$A:$A,'06. BC BH THEO CUSTOMER-USD'!CN$4)/DB181/'02. Tỷ giá'!K$5," -")</f>
        <v xml:space="preserve"> -</v>
      </c>
      <c r="CO181" s="95" t="str">
        <f>IFERROR(SUMIFS('01. KE30'!$R:$R,'01. KE30'!$C:$C,'06. BC BH THEO CUSTOMER-USD'!$D181,'01. KE30'!$F:$F,'06. BC BH THEO CUSTOMER-USD'!$H181,'01. KE30'!$A:$A,'06. BC BH THEO CUSTOMER-USD'!CO$4)/DC181/'02. Tỷ giá'!L$5," -")</f>
        <v xml:space="preserve"> -</v>
      </c>
      <c r="CP181" s="95" t="str">
        <f>IFERROR(SUMIFS('01. KE30'!$R:$R,'01. KE30'!$C:$C,'06. BC BH THEO CUSTOMER-USD'!$D181,'01. KE30'!$F:$F,'06. BC BH THEO CUSTOMER-USD'!$H181,'01. KE30'!$A:$A,'06. BC BH THEO CUSTOMER-USD'!CP$4)/DD181/'02. Tỷ giá'!M$5," -")</f>
        <v xml:space="preserve"> -</v>
      </c>
      <c r="CR181" s="112">
        <f t="shared" si="1249"/>
        <v>0.75</v>
      </c>
      <c r="CS181" s="114">
        <f>SUMIFS('01. KE30'!$I:$I,'01. KE30'!$C:$C,'06. BC BH THEO CUSTOMER-USD'!$D181,'01. KE30'!$F:$F,'06. BC BH THEO CUSTOMER-USD'!$H181,'01. KE30'!$A:$A,'06. BC BH THEO CUSTOMER-USD'!CS$4)/1000</f>
        <v>0</v>
      </c>
      <c r="CT181" s="114">
        <f>SUMIFS('01. KE30'!$I:$I,'01. KE30'!$C:$C,'06. BC BH THEO CUSTOMER-USD'!$D181,'01. KE30'!$F:$F,'06. BC BH THEO CUSTOMER-USD'!$H181,'01. KE30'!$A:$A,'06. BC BH THEO CUSTOMER-USD'!CT$4)/1000</f>
        <v>0.75</v>
      </c>
      <c r="CU181" s="114">
        <f>SUMIFS('01. KE30'!$I:$I,'01. KE30'!$C:$C,'06. BC BH THEO CUSTOMER-USD'!$D181,'01. KE30'!$F:$F,'06. BC BH THEO CUSTOMER-USD'!$H181,'01. KE30'!$A:$A,'06. BC BH THEO CUSTOMER-USD'!CU$4)/1000</f>
        <v>0</v>
      </c>
      <c r="CV181" s="114">
        <f>SUMIFS('01. KE30'!$I:$I,'01. KE30'!$C:$C,'06. BC BH THEO CUSTOMER-USD'!$D181,'01. KE30'!$F:$F,'06. BC BH THEO CUSTOMER-USD'!$H181,'01. KE30'!$A:$A,'06. BC BH THEO CUSTOMER-USD'!CV$4)/1000</f>
        <v>0</v>
      </c>
      <c r="CW181" s="114">
        <f>SUMIFS('01. KE30'!$I:$I,'01. KE30'!$C:$C,'06. BC BH THEO CUSTOMER-USD'!$D181,'01. KE30'!$F:$F,'06. BC BH THEO CUSTOMER-USD'!$H181,'01. KE30'!$A:$A,'06. BC BH THEO CUSTOMER-USD'!CW$4)/1000</f>
        <v>0</v>
      </c>
      <c r="CX181" s="114">
        <f>SUMIFS('01. KE30'!$I:$I,'01. KE30'!$C:$C,'06. BC BH THEO CUSTOMER-USD'!$D181,'01. KE30'!$F:$F,'06. BC BH THEO CUSTOMER-USD'!$H181,'01. KE30'!$A:$A,'06. BC BH THEO CUSTOMER-USD'!CX$4)/1000</f>
        <v>0</v>
      </c>
      <c r="CY181" s="114">
        <f>SUMIFS('01. KE30'!$I:$I,'01. KE30'!$C:$C,'06. BC BH THEO CUSTOMER-USD'!$D181,'01. KE30'!$F:$F,'06. BC BH THEO CUSTOMER-USD'!$H181,'01. KE30'!$A:$A,'06. BC BH THEO CUSTOMER-USD'!CY$4)/1000</f>
        <v>0</v>
      </c>
      <c r="CZ181" s="114">
        <f>SUMIFS('01. KE30'!$I:$I,'01. KE30'!$C:$C,'06. BC BH THEO CUSTOMER-USD'!$D181,'01. KE30'!$F:$F,'06. BC BH THEO CUSTOMER-USD'!$H181,'01. KE30'!$A:$A,'06. BC BH THEO CUSTOMER-USD'!CZ$4)/1000</f>
        <v>0</v>
      </c>
      <c r="DA181" s="114">
        <f>SUMIFS('01. KE30'!$I:$I,'01. KE30'!$C:$C,'06. BC BH THEO CUSTOMER-USD'!$D181,'01. KE30'!$F:$F,'06. BC BH THEO CUSTOMER-USD'!$H181,'01. KE30'!$A:$A,'06. BC BH THEO CUSTOMER-USD'!DA$4)/1000</f>
        <v>0</v>
      </c>
      <c r="DB181" s="114">
        <f>SUMIFS('01. KE30'!$I:$I,'01. KE30'!$C:$C,'06. BC BH THEO CUSTOMER-USD'!$D181,'01. KE30'!$F:$F,'06. BC BH THEO CUSTOMER-USD'!$H181,'01. KE30'!$A:$A,'06. BC BH THEO CUSTOMER-USD'!DB$4)/1000</f>
        <v>0</v>
      </c>
      <c r="DC181" s="114">
        <f>SUMIFS('01. KE30'!$I:$I,'01. KE30'!$C:$C,'06. BC BH THEO CUSTOMER-USD'!$D181,'01. KE30'!$F:$F,'06. BC BH THEO CUSTOMER-USD'!$H181,'01. KE30'!$A:$A,'06. BC BH THEO CUSTOMER-USD'!DC$4)/1000</f>
        <v>0</v>
      </c>
      <c r="DD181" s="114">
        <f>SUMIFS('01. KE30'!$I:$I,'01. KE30'!$C:$C,'06. BC BH THEO CUSTOMER-USD'!$D181,'01. KE30'!$F:$F,'06. BC BH THEO CUSTOMER-USD'!$H181,'01. KE30'!$A:$A,'06. BC BH THEO CUSTOMER-USD'!DD$4)/1000</f>
        <v>0</v>
      </c>
      <c r="DF181" s="112">
        <f t="shared" si="2037"/>
        <v>533.34647499015364</v>
      </c>
      <c r="DG181" s="54" t="str">
        <f t="shared" si="2038"/>
        <v>-</v>
      </c>
      <c r="DH181" s="54">
        <f t="shared" si="2039"/>
        <v>533.34647499015364</v>
      </c>
      <c r="DI181" s="54" t="str">
        <f t="shared" si="2040"/>
        <v>-</v>
      </c>
      <c r="DJ181" s="54" t="str">
        <f t="shared" si="2041"/>
        <v>-</v>
      </c>
      <c r="DK181" s="54" t="str">
        <f t="shared" si="2042"/>
        <v>-</v>
      </c>
      <c r="DL181" s="54" t="str">
        <f t="shared" si="2043"/>
        <v>-</v>
      </c>
      <c r="DM181" s="54" t="str">
        <f t="shared" si="2044"/>
        <v>-</v>
      </c>
      <c r="DN181" s="54" t="str">
        <f t="shared" si="2045"/>
        <v>-</v>
      </c>
      <c r="DO181" s="54" t="str">
        <f t="shared" si="2046"/>
        <v>-</v>
      </c>
      <c r="DP181" s="54" t="str">
        <f t="shared" si="2047"/>
        <v>-</v>
      </c>
      <c r="DQ181" s="54" t="str">
        <f t="shared" si="2048"/>
        <v>-</v>
      </c>
      <c r="DR181" s="54" t="str">
        <f t="shared" si="2049"/>
        <v>-</v>
      </c>
      <c r="DT181" s="112">
        <f t="shared" si="652"/>
        <v>-313.68877510831032</v>
      </c>
      <c r="DU181" s="114">
        <f>IFERROR(SUMIFS('01. KE30'!$X:$X,'01. KE30'!$C:$C,'06. BC BH THEO CUSTOMER-USD'!$D181,'01. KE30'!$F:$F,'06. BC BH THEO CUSTOMER-USD'!$H181,'01. KE30'!$A:$A,'06. BC BH THEO CUSTOMER-USD'!DU$4)-SUMIFS('01. KE30'!$AA:$AA,'01. KE30'!$C:$C,'06. BC BH THEO CUSTOMER-USD'!$D181,'01. KE30'!$F:$F,'06. BC BH THEO CUSTOMER-USD'!$H181,'01. KE30'!$A:$A,'06. BC BH THEO CUSTOMER-USD'!DU$4),"-")</f>
        <v>0</v>
      </c>
      <c r="DV181" s="114">
        <f>IFERROR(SUMIFS('01. KE30'!$X:$X,'01. KE30'!$C:$C,'06. BC BH THEO CUSTOMER-USD'!$D181,'01. KE30'!$F:$F,'06. BC BH THEO CUSTOMER-USD'!$H181,'01. KE30'!$A:$A,'06. BC BH THEO CUSTOMER-USD'!DV$4)-SUMIFS('01. KE30'!$AA:$AA,'01. KE30'!$C:$C,'06. BC BH THEO CUSTOMER-USD'!$D181,'01. KE30'!$F:$F,'06. BC BH THEO CUSTOMER-USD'!$H181,'01. KE30'!$A:$A,'06. BC BH THEO CUSTOMER-USD'!DV$4),"-")</f>
        <v>-313.68877510831032</v>
      </c>
      <c r="DW181" s="114">
        <f>IFERROR(SUMIFS('01. KE30'!$X:$X,'01. KE30'!$C:$C,'06. BC BH THEO CUSTOMER-USD'!$D181,'01. KE30'!$F:$F,'06. BC BH THEO CUSTOMER-USD'!$H181,'01. KE30'!$A:$A,'06. BC BH THEO CUSTOMER-USD'!DW$4)-SUMIFS('01. KE30'!$AA:$AA,'01. KE30'!$C:$C,'06. BC BH THEO CUSTOMER-USD'!$D181,'01. KE30'!$F:$F,'06. BC BH THEO CUSTOMER-USD'!$H181,'01. KE30'!$A:$A,'06. BC BH THEO CUSTOMER-USD'!DW$4),"-")</f>
        <v>0</v>
      </c>
      <c r="DX181" s="114">
        <f>IFERROR(SUMIFS('01. KE30'!$X:$X,'01. KE30'!$C:$C,'06. BC BH THEO CUSTOMER-USD'!$D181,'01. KE30'!$F:$F,'06. BC BH THEO CUSTOMER-USD'!$H181,'01. KE30'!$A:$A,'06. BC BH THEO CUSTOMER-USD'!DX$4)-SUMIFS('01. KE30'!$AA:$AA,'01. KE30'!$C:$C,'06. BC BH THEO CUSTOMER-USD'!$D181,'01. KE30'!$F:$F,'06. BC BH THEO CUSTOMER-USD'!$H181,'01. KE30'!$A:$A,'06. BC BH THEO CUSTOMER-USD'!DX$4),"-")</f>
        <v>0</v>
      </c>
      <c r="DY181" s="114">
        <f>IFERROR(SUMIFS('01. KE30'!$X:$X,'01. KE30'!$C:$C,'06. BC BH THEO CUSTOMER-USD'!$D181,'01. KE30'!$F:$F,'06. BC BH THEO CUSTOMER-USD'!$H181,'01. KE30'!$A:$A,'06. BC BH THEO CUSTOMER-USD'!DY$4)-SUMIFS('01. KE30'!$AA:$AA,'01. KE30'!$C:$C,'06. BC BH THEO CUSTOMER-USD'!$D181,'01. KE30'!$F:$F,'06. BC BH THEO CUSTOMER-USD'!$H181,'01. KE30'!$A:$A,'06. BC BH THEO CUSTOMER-USD'!DY$4),"-")</f>
        <v>0</v>
      </c>
      <c r="DZ181" s="114">
        <f>IFERROR(SUMIFS('01. KE30'!$X:$X,'01. KE30'!$C:$C,'06. BC BH THEO CUSTOMER-USD'!$D181,'01. KE30'!$F:$F,'06. BC BH THEO CUSTOMER-USD'!$H181,'01. KE30'!$A:$A,'06. BC BH THEO CUSTOMER-USD'!DZ$4)-SUMIFS('01. KE30'!$AA:$AA,'01. KE30'!$C:$C,'06. BC BH THEO CUSTOMER-USD'!$D181,'01. KE30'!$F:$F,'06. BC BH THEO CUSTOMER-USD'!$H181,'01. KE30'!$A:$A,'06. BC BH THEO CUSTOMER-USD'!DZ$4),"-")</f>
        <v>0</v>
      </c>
      <c r="EA181" s="114">
        <f>IFERROR(SUMIFS('01. KE30'!$X:$X,'01. KE30'!$C:$C,'06. BC BH THEO CUSTOMER-USD'!$D181,'01. KE30'!$F:$F,'06. BC BH THEO CUSTOMER-USD'!$H181,'01. KE30'!$A:$A,'06. BC BH THEO CUSTOMER-USD'!EA$4)-SUMIFS('01. KE30'!$AA:$AA,'01. KE30'!$C:$C,'06. BC BH THEO CUSTOMER-USD'!$D181,'01. KE30'!$F:$F,'06. BC BH THEO CUSTOMER-USD'!$H181,'01. KE30'!$A:$A,'06. BC BH THEO CUSTOMER-USD'!EA$4),"-")</f>
        <v>0</v>
      </c>
      <c r="EB181" s="114">
        <f>IFERROR(SUMIFS('01. KE30'!$X:$X,'01. KE30'!$C:$C,'06. BC BH THEO CUSTOMER-USD'!$D181,'01. KE30'!$F:$F,'06. BC BH THEO CUSTOMER-USD'!$H181,'01. KE30'!$A:$A,'06. BC BH THEO CUSTOMER-USD'!EB$4)-SUMIFS('01. KE30'!$AA:$AA,'01. KE30'!$C:$C,'06. BC BH THEO CUSTOMER-USD'!$D181,'01. KE30'!$F:$F,'06. BC BH THEO CUSTOMER-USD'!$H181,'01. KE30'!$A:$A,'06. BC BH THEO CUSTOMER-USD'!EB$4),"-")</f>
        <v>0</v>
      </c>
      <c r="EC181" s="114">
        <f>IFERROR(SUMIFS('01. KE30'!$X:$X,'01. KE30'!$C:$C,'06. BC BH THEO CUSTOMER-USD'!$D181,'01. KE30'!$F:$F,'06. BC BH THEO CUSTOMER-USD'!$H181,'01. KE30'!$A:$A,'06. BC BH THEO CUSTOMER-USD'!EC$4)-SUMIFS('01. KE30'!$AA:$AA,'01. KE30'!$C:$C,'06. BC BH THEO CUSTOMER-USD'!$D181,'01. KE30'!$F:$F,'06. BC BH THEO CUSTOMER-USD'!$H181,'01. KE30'!$A:$A,'06. BC BH THEO CUSTOMER-USD'!EC$4),"-")</f>
        <v>0</v>
      </c>
      <c r="ED181" s="114">
        <f>IFERROR(SUMIFS('01. KE30'!$X:$X,'01. KE30'!$C:$C,'06. BC BH THEO CUSTOMER-USD'!$D181,'01. KE30'!$F:$F,'06. BC BH THEO CUSTOMER-USD'!$H181,'01. KE30'!$A:$A,'06. BC BH THEO CUSTOMER-USD'!ED$4)-SUMIFS('01. KE30'!$AA:$AA,'01. KE30'!$C:$C,'06. BC BH THEO CUSTOMER-USD'!$D181,'01. KE30'!$F:$F,'06. BC BH THEO CUSTOMER-USD'!$H181,'01. KE30'!$A:$A,'06. BC BH THEO CUSTOMER-USD'!ED$4),"-")</f>
        <v>0</v>
      </c>
      <c r="EE181" s="114">
        <f>IFERROR(SUMIFS('01. KE30'!$X:$X,'01. KE30'!$C:$C,'06. BC BH THEO CUSTOMER-USD'!$D181,'01. KE30'!$F:$F,'06. BC BH THEO CUSTOMER-USD'!$H181,'01. KE30'!$A:$A,'06. BC BH THEO CUSTOMER-USD'!EE$4)-SUMIFS('01. KE30'!$AA:$AA,'01. KE30'!$C:$C,'06. BC BH THEO CUSTOMER-USD'!$D181,'01. KE30'!$F:$F,'06. BC BH THEO CUSTOMER-USD'!$H181,'01. KE30'!$A:$A,'06. BC BH THEO CUSTOMER-USD'!EE$4),"-")</f>
        <v>0</v>
      </c>
      <c r="EF181" s="114">
        <f>IFERROR(SUMIFS('01. KE30'!$X:$X,'01. KE30'!$C:$C,'06. BC BH THEO CUSTOMER-USD'!$D181,'01. KE30'!$F:$F,'06. BC BH THEO CUSTOMER-USD'!$H181,'01. KE30'!$A:$A,'06. BC BH THEO CUSTOMER-USD'!EF$4)-SUMIFS('01. KE30'!$AA:$AA,'01. KE30'!$C:$C,'06. BC BH THEO CUSTOMER-USD'!$D181,'01. KE30'!$F:$F,'06. BC BH THEO CUSTOMER-USD'!$H181,'01. KE30'!$A:$A,'06. BC BH THEO CUSTOMER-USD'!EF$4),"-")</f>
        <v>0</v>
      </c>
      <c r="EH181" s="571">
        <f t="shared" si="1737"/>
        <v>-0.58815196090702859</v>
      </c>
      <c r="EI181" s="572" t="str">
        <f t="shared" si="1738"/>
        <v>-</v>
      </c>
      <c r="EJ181" s="572">
        <f t="shared" si="1739"/>
        <v>-0.58815196090702859</v>
      </c>
      <c r="EK181" s="572" t="str">
        <f t="shared" si="1740"/>
        <v>-</v>
      </c>
      <c r="EL181" s="572" t="str">
        <f t="shared" si="1741"/>
        <v>-</v>
      </c>
      <c r="EM181" s="572" t="str">
        <f t="shared" si="1742"/>
        <v>-</v>
      </c>
      <c r="EN181" s="572" t="str">
        <f t="shared" si="1743"/>
        <v>-</v>
      </c>
      <c r="EO181" s="572" t="str">
        <f t="shared" si="1744"/>
        <v>-</v>
      </c>
      <c r="EP181" s="572" t="str">
        <f t="shared" si="1745"/>
        <v>-</v>
      </c>
      <c r="EQ181" s="572" t="str">
        <f t="shared" si="1746"/>
        <v>-</v>
      </c>
      <c r="ER181" s="572" t="str">
        <f t="shared" si="1747"/>
        <v>-</v>
      </c>
      <c r="ES181" s="572" t="str">
        <f t="shared" si="1748"/>
        <v>-</v>
      </c>
      <c r="ET181" s="572" t="str">
        <f t="shared" si="1749"/>
        <v>-</v>
      </c>
    </row>
    <row r="182" spans="1:150" ht="15.5" hidden="1" outlineLevel="1" x14ac:dyDescent="0.35">
      <c r="A182" s="10">
        <f t="shared" si="1266"/>
        <v>8</v>
      </c>
      <c r="B182" s="10" t="s">
        <v>295</v>
      </c>
      <c r="C182" s="442" t="s">
        <v>489</v>
      </c>
      <c r="D182" s="9" t="s">
        <v>65</v>
      </c>
      <c r="E182" s="8" t="s">
        <v>509</v>
      </c>
      <c r="F182" s="12" t="s">
        <v>245</v>
      </c>
      <c r="G182" s="12" t="str">
        <f>_xlfn.XLOOKUP(F182,'Quy đổi'!$G$5:$G$32,'Quy đổi'!$H$5:$H$32,0)</f>
        <v>Nội địa</v>
      </c>
      <c r="H182" s="8" t="s">
        <v>536</v>
      </c>
      <c r="I182" s="7" t="s">
        <v>537</v>
      </c>
      <c r="J182" s="69" t="s">
        <v>22</v>
      </c>
      <c r="K182" s="5"/>
      <c r="L182" s="92">
        <f t="shared" si="1263"/>
        <v>711.12863332020481</v>
      </c>
      <c r="M182" s="106" t="str">
        <f>IFERROR(SUMIFS('01. KE30'!$K:$K,'01. KE30'!$C:$C,'06. BC BH THEO CUSTOMER-USD'!$D182,'01. KE30'!$F:$F,'06. BC BH THEO CUSTOMER-USD'!$H182,'01. KE30'!$A:$A,'06. BC BH THEO CUSTOMER-USD'!M$4)/'06. BC BH THEO CUSTOMER-USD'!CS182/'02. Tỷ giá'!B$5,"-")</f>
        <v>-</v>
      </c>
      <c r="N182" s="106">
        <f>IFERROR(SUMIFS('01. KE30'!$K:$K,'01. KE30'!$C:$C,'06. BC BH THEO CUSTOMER-USD'!$D182,'01. KE30'!$F:$F,'06. BC BH THEO CUSTOMER-USD'!$H182,'01. KE30'!$A:$A,'06. BC BH THEO CUSTOMER-USD'!N$4)/'06. BC BH THEO CUSTOMER-USD'!CT182/'02. Tỷ giá'!C$5,"-")</f>
        <v>711.12863332020481</v>
      </c>
      <c r="O182" s="106" t="str">
        <f>IFERROR(SUMIFS('01. KE30'!$K:$K,'01. KE30'!$C:$C,'06. BC BH THEO CUSTOMER-USD'!$D182,'01. KE30'!$F:$F,'06. BC BH THEO CUSTOMER-USD'!$H182,'01. KE30'!$A:$A,'06. BC BH THEO CUSTOMER-USD'!O$4)/'06. BC BH THEO CUSTOMER-USD'!CU182/'02. Tỷ giá'!D$5,"-")</f>
        <v>-</v>
      </c>
      <c r="P182" s="106" t="str">
        <f>IFERROR(SUMIFS('01. KE30'!$K:$K,'01. KE30'!$C:$C,'06. BC BH THEO CUSTOMER-USD'!$D182,'01. KE30'!$F:$F,'06. BC BH THEO CUSTOMER-USD'!$H182,'01. KE30'!$A:$A,'06. BC BH THEO CUSTOMER-USD'!P$4)/'06. BC BH THEO CUSTOMER-USD'!CV182/'02. Tỷ giá'!E$5,"-")</f>
        <v>-</v>
      </c>
      <c r="Q182" s="106" t="str">
        <f>IFERROR(SUMIFS('01. KE30'!$K:$K,'01. KE30'!$C:$C,'06. BC BH THEO CUSTOMER-USD'!$D182,'01. KE30'!$F:$F,'06. BC BH THEO CUSTOMER-USD'!$H182,'01. KE30'!$A:$A,'06. BC BH THEO CUSTOMER-USD'!Q$4)/'06. BC BH THEO CUSTOMER-USD'!CW182/'02. Tỷ giá'!F$5,"-")</f>
        <v>-</v>
      </c>
      <c r="R182" s="106" t="str">
        <f>IFERROR(SUMIFS('01. KE30'!$K:$K,'01. KE30'!$C:$C,'06. BC BH THEO CUSTOMER-USD'!$D182,'01. KE30'!$F:$F,'06. BC BH THEO CUSTOMER-USD'!$H182,'01. KE30'!$A:$A,'06. BC BH THEO CUSTOMER-USD'!R$4)/'06. BC BH THEO CUSTOMER-USD'!CX182/'02. Tỷ giá'!G$5,"-")</f>
        <v>-</v>
      </c>
      <c r="S182" s="106" t="str">
        <f>IFERROR(SUMIFS('01. KE30'!$K:$K,'01. KE30'!$C:$C,'06. BC BH THEO CUSTOMER-USD'!$D182,'01. KE30'!$F:$F,'06. BC BH THEO CUSTOMER-USD'!$H182,'01. KE30'!$A:$A,'06. BC BH THEO CUSTOMER-USD'!S$4)/'06. BC BH THEO CUSTOMER-USD'!CY182/'02. Tỷ giá'!H$5,"-")</f>
        <v>-</v>
      </c>
      <c r="T182" s="106" t="str">
        <f>IFERROR(SUMIFS('01. KE30'!$K:$K,'01. KE30'!$C:$C,'06. BC BH THEO CUSTOMER-USD'!$D182,'01. KE30'!$F:$F,'06. BC BH THEO CUSTOMER-USD'!$H182,'01. KE30'!$A:$A,'06. BC BH THEO CUSTOMER-USD'!T$4)/'06. BC BH THEO CUSTOMER-USD'!CZ182/'02. Tỷ giá'!I$5,"-")</f>
        <v>-</v>
      </c>
      <c r="U182" s="106" t="str">
        <f>IFERROR(SUMIFS('01. KE30'!$K:$K,'01. KE30'!$C:$C,'06. BC BH THEO CUSTOMER-USD'!$D182,'01. KE30'!$F:$F,'06. BC BH THEO CUSTOMER-USD'!$H182,'01. KE30'!$A:$A,'06. BC BH THEO CUSTOMER-USD'!U$4)/'06. BC BH THEO CUSTOMER-USD'!DA182/'02. Tỷ giá'!J$5,"-")</f>
        <v>-</v>
      </c>
      <c r="V182" s="106" t="str">
        <f>IFERROR(SUMIFS('01. KE30'!$K:$K,'01. KE30'!$C:$C,'06. BC BH THEO CUSTOMER-USD'!$D182,'01. KE30'!$F:$F,'06. BC BH THEO CUSTOMER-USD'!$H182,'01. KE30'!$A:$A,'06. BC BH THEO CUSTOMER-USD'!V$4)/'06. BC BH THEO CUSTOMER-USD'!DB182/'02. Tỷ giá'!K$5,"-")</f>
        <v>-</v>
      </c>
      <c r="W182" s="106" t="str">
        <f>IFERROR(SUMIFS('01. KE30'!$K:$K,'01. KE30'!$C:$C,'06. BC BH THEO CUSTOMER-USD'!$D182,'01. KE30'!$F:$F,'06. BC BH THEO CUSTOMER-USD'!$H182,'01. KE30'!$A:$A,'06. BC BH THEO CUSTOMER-USD'!W$4)/'06. BC BH THEO CUSTOMER-USD'!DC182/'02. Tỷ giá'!L$5,"-")</f>
        <v>-</v>
      </c>
      <c r="X182" s="106" t="str">
        <f>IFERROR(SUMIFS('01. KE30'!$K:$K,'01. KE30'!$C:$C,'06. BC BH THEO CUSTOMER-USD'!$D182,'01. KE30'!$F:$F,'06. BC BH THEO CUSTOMER-USD'!$H182,'01. KE30'!$A:$A,'06. BC BH THEO CUSTOMER-USD'!X$4)/'06. BC BH THEO CUSTOMER-USD'!DD182/'02. Tỷ giá'!M$5,"-")</f>
        <v>-</v>
      </c>
      <c r="Z182" s="92">
        <f t="shared" si="1264"/>
        <v>711.12863332020481</v>
      </c>
      <c r="AA182" s="147" t="str">
        <f>IFERROR(SUMIFS('01. KE30'!$O:$O,'01. KE30'!$C:$C,'06. BC BH THEO CUSTOMER-USD'!$D182,'01. KE30'!$F:$F,'06. BC BH THEO CUSTOMER-USD'!$H182,'01. KE30'!$A:$A,'06. BC BH THEO CUSTOMER-USD'!M$4)/'06. BC BH THEO CUSTOMER-USD'!CS182/'02. Tỷ giá'!B$5,"-")</f>
        <v>-</v>
      </c>
      <c r="AB182" s="147">
        <f>IFERROR(SUMIFS('01. KE30'!$O:$O,'01. KE30'!$C:$C,'06. BC BH THEO CUSTOMER-USD'!$D182,'01. KE30'!$F:$F,'06. BC BH THEO CUSTOMER-USD'!$H182,'01. KE30'!$A:$A,'06. BC BH THEO CUSTOMER-USD'!N$4)/'06. BC BH THEO CUSTOMER-USD'!CT182/'02. Tỷ giá'!C$5,"-")</f>
        <v>711.12863332020481</v>
      </c>
      <c r="AC182" s="147" t="str">
        <f>IFERROR(SUMIFS('01. KE30'!$O:$O,'01. KE30'!$C:$C,'06. BC BH THEO CUSTOMER-USD'!$D182,'01. KE30'!$F:$F,'06. BC BH THEO CUSTOMER-USD'!$H182,'01. KE30'!$A:$A,'06. BC BH THEO CUSTOMER-USD'!O$4)/'06. BC BH THEO CUSTOMER-USD'!CU182/'02. Tỷ giá'!D$5,"-")</f>
        <v>-</v>
      </c>
      <c r="AD182" s="147" t="str">
        <f>IFERROR(SUMIFS('01. KE30'!$O:$O,'01. KE30'!$C:$C,'06. BC BH THEO CUSTOMER-USD'!$D182,'01. KE30'!$F:$F,'06. BC BH THEO CUSTOMER-USD'!$H182,'01. KE30'!$A:$A,'06. BC BH THEO CUSTOMER-USD'!P$4)/'06. BC BH THEO CUSTOMER-USD'!CV182/'02. Tỷ giá'!E$5,"-")</f>
        <v>-</v>
      </c>
      <c r="AE182" s="147" t="str">
        <f>IFERROR(SUMIFS('01. KE30'!$O:$O,'01. KE30'!$C:$C,'06. BC BH THEO CUSTOMER-USD'!$D182,'01. KE30'!$F:$F,'06. BC BH THEO CUSTOMER-USD'!$H182,'01. KE30'!$A:$A,'06. BC BH THEO CUSTOMER-USD'!Q$4)/'06. BC BH THEO CUSTOMER-USD'!CW182/'02. Tỷ giá'!F$5,"-")</f>
        <v>-</v>
      </c>
      <c r="AF182" s="147" t="str">
        <f>IFERROR(SUMIFS('01. KE30'!$O:$O,'01. KE30'!$C:$C,'06. BC BH THEO CUSTOMER-USD'!$D182,'01. KE30'!$F:$F,'06. BC BH THEO CUSTOMER-USD'!$H182,'01. KE30'!$A:$A,'06. BC BH THEO CUSTOMER-USD'!R$4)/'06. BC BH THEO CUSTOMER-USD'!CX182/'02. Tỷ giá'!G$5,"-")</f>
        <v>-</v>
      </c>
      <c r="AG182" s="147" t="str">
        <f>IFERROR(SUMIFS('01. KE30'!$O:$O,'01. KE30'!$C:$C,'06. BC BH THEO CUSTOMER-USD'!$D182,'01. KE30'!$F:$F,'06. BC BH THEO CUSTOMER-USD'!$H182,'01. KE30'!$A:$A,'06. BC BH THEO CUSTOMER-USD'!S$4)/'06. BC BH THEO CUSTOMER-USD'!CY182/'02. Tỷ giá'!H$5,"-")</f>
        <v>-</v>
      </c>
      <c r="AH182" s="147" t="str">
        <f>IFERROR(SUMIFS('01. KE30'!$O:$O,'01. KE30'!$C:$C,'06. BC BH THEO CUSTOMER-USD'!$D182,'01. KE30'!$F:$F,'06. BC BH THEO CUSTOMER-USD'!$H182,'01. KE30'!$A:$A,'06. BC BH THEO CUSTOMER-USD'!T$4)/'06. BC BH THEO CUSTOMER-USD'!CZ182/'02. Tỷ giá'!I$5,"-")</f>
        <v>-</v>
      </c>
      <c r="AI182" s="147" t="str">
        <f>IFERROR(SUMIFS('01. KE30'!$O:$O,'01. KE30'!$C:$C,'06. BC BH THEO CUSTOMER-USD'!$D182,'01. KE30'!$F:$F,'06. BC BH THEO CUSTOMER-USD'!$H182,'01. KE30'!$A:$A,'06. BC BH THEO CUSTOMER-USD'!U$4)/'06. BC BH THEO CUSTOMER-USD'!DA182/'02. Tỷ giá'!J$5,"-")</f>
        <v>-</v>
      </c>
      <c r="AJ182" s="147" t="str">
        <f>IFERROR(SUMIFS('01. KE30'!$O:$O,'01. KE30'!$C:$C,'06. BC BH THEO CUSTOMER-USD'!$D182,'01. KE30'!$F:$F,'06. BC BH THEO CUSTOMER-USD'!$H182,'01. KE30'!$A:$A,'06. BC BH THEO CUSTOMER-USD'!V$4)/'06. BC BH THEO CUSTOMER-USD'!DB182/'02. Tỷ giá'!K$5,"-")</f>
        <v>-</v>
      </c>
      <c r="AK182" s="147" t="str">
        <f>IFERROR(SUMIFS('01. KE30'!$O:$O,'01. KE30'!$C:$C,'06. BC BH THEO CUSTOMER-USD'!$D182,'01. KE30'!$F:$F,'06. BC BH THEO CUSTOMER-USD'!$H182,'01. KE30'!$A:$A,'06. BC BH THEO CUSTOMER-USD'!W$4)/'06. BC BH THEO CUSTOMER-USD'!DC182/'02. Tỷ giá'!L$5,"-")</f>
        <v>-</v>
      </c>
      <c r="AL182" s="147" t="str">
        <f>IFERROR(SUMIFS('01. KE30'!$O:$O,'01. KE30'!$C:$C,'06. BC BH THEO CUSTOMER-USD'!$D182,'01. KE30'!$F:$F,'06. BC BH THEO CUSTOMER-USD'!$H182,'01. KE30'!$A:$A,'06. BC BH THEO CUSTOMER-USD'!X$4)/'06. BC BH THEO CUSTOMER-USD'!DD182/'02. Tỷ giá'!M$5,"-")</f>
        <v>-</v>
      </c>
      <c r="AN182" s="55">
        <f t="shared" si="1265"/>
        <v>737.22222222222217</v>
      </c>
      <c r="AO182" s="4">
        <v>825</v>
      </c>
      <c r="AP182" s="4">
        <v>750</v>
      </c>
      <c r="AQ182" s="4">
        <v>750</v>
      </c>
      <c r="AR182" s="4">
        <v>750</v>
      </c>
      <c r="AS182" s="4">
        <v>720</v>
      </c>
      <c r="AT182" s="4">
        <v>720</v>
      </c>
      <c r="AU182" s="4">
        <v>720</v>
      </c>
      <c r="AV182" s="4">
        <f t="shared" si="1272"/>
        <v>700</v>
      </c>
      <c r="AW182" s="4">
        <v>700</v>
      </c>
      <c r="AX182" s="4"/>
      <c r="AY182" s="4"/>
      <c r="AZ182" s="4"/>
      <c r="BB182" s="95">
        <f t="shared" si="637"/>
        <v>-26.093588902017359</v>
      </c>
      <c r="BC182" s="95" t="str">
        <f t="shared" si="1333"/>
        <v>-</v>
      </c>
      <c r="BD182" s="95">
        <f t="shared" si="2108"/>
        <v>-38.871366679795187</v>
      </c>
      <c r="BE182" s="95" t="str">
        <f t="shared" si="2108"/>
        <v>-</v>
      </c>
      <c r="BF182" s="95" t="str">
        <f t="shared" si="2108"/>
        <v>-</v>
      </c>
      <c r="BG182" s="95" t="str">
        <f t="shared" si="2108"/>
        <v>-</v>
      </c>
      <c r="BH182" s="95" t="str">
        <f t="shared" si="2108"/>
        <v>-</v>
      </c>
      <c r="BI182" s="95" t="str">
        <f t="shared" si="2108"/>
        <v>-</v>
      </c>
      <c r="BJ182" s="95" t="str">
        <f t="shared" si="2108"/>
        <v>-</v>
      </c>
      <c r="BK182" s="95" t="str">
        <f t="shared" si="2108"/>
        <v>-</v>
      </c>
      <c r="BL182" s="95" t="str">
        <f t="shared" si="2108"/>
        <v>-</v>
      </c>
      <c r="BM182" s="95" t="str">
        <f t="shared" si="2108"/>
        <v>-</v>
      </c>
      <c r="BN182" s="95" t="str">
        <f t="shared" si="2108"/>
        <v>-</v>
      </c>
      <c r="BP182" s="143">
        <f t="shared" si="639"/>
        <v>-3.5394468744258667E-2</v>
      </c>
      <c r="BQ182" s="143" t="str">
        <f t="shared" si="2109"/>
        <v>-</v>
      </c>
      <c r="BR182" s="143">
        <f t="shared" si="2110"/>
        <v>-5.1828488906393584E-2</v>
      </c>
      <c r="BS182" s="143" t="str">
        <f t="shared" si="2111"/>
        <v>-</v>
      </c>
      <c r="BT182" s="143" t="str">
        <f t="shared" si="2112"/>
        <v>-</v>
      </c>
      <c r="BU182" s="143" t="str">
        <f t="shared" si="2113"/>
        <v>-</v>
      </c>
      <c r="BV182" s="143" t="str">
        <f t="shared" si="2114"/>
        <v>-</v>
      </c>
      <c r="BW182" s="143" t="str">
        <f t="shared" si="2115"/>
        <v>-</v>
      </c>
      <c r="BX182" s="143" t="str">
        <f t="shared" si="2116"/>
        <v>-</v>
      </c>
      <c r="BY182" s="143" t="str">
        <f t="shared" si="2117"/>
        <v>-</v>
      </c>
      <c r="BZ182" s="143" t="str">
        <f t="shared" si="2118"/>
        <v>-</v>
      </c>
      <c r="CA182" s="143" t="str">
        <f t="shared" si="2119"/>
        <v>-</v>
      </c>
      <c r="CB182" s="143" t="str">
        <f t="shared" si="2120"/>
        <v>-</v>
      </c>
      <c r="CD182" s="112">
        <f t="shared" si="2036"/>
        <v>953.87260076145458</v>
      </c>
      <c r="CE182" s="95" t="str">
        <f>IFERROR(SUMIFS('01. KE30'!$R:$R,'01. KE30'!$C:$C,'06. BC BH THEO CUSTOMER-USD'!$D182,'01. KE30'!$F:$F,'06. BC BH THEO CUSTOMER-USD'!$H182,'01. KE30'!$A:$A,'06. BC BH THEO CUSTOMER-USD'!CE$4)/CS182/'02. Tỷ giá'!B$5," -")</f>
        <v xml:space="preserve"> -</v>
      </c>
      <c r="CF182" s="95">
        <f>IFERROR(SUMIFS('01. KE30'!$R:$R,'01. KE30'!$C:$C,'06. BC BH THEO CUSTOMER-USD'!$D182,'01. KE30'!$F:$F,'06. BC BH THEO CUSTOMER-USD'!$H182,'01. KE30'!$A:$A,'06. BC BH THEO CUSTOMER-USD'!CF$4)/CT182/'02. Tỷ giá'!C$5," -")</f>
        <v>953.87260076145458</v>
      </c>
      <c r="CG182" s="95" t="str">
        <f>IFERROR(SUMIFS('01. KE30'!$R:$R,'01. KE30'!$C:$C,'06. BC BH THEO CUSTOMER-USD'!$D182,'01. KE30'!$F:$F,'06. BC BH THEO CUSTOMER-USD'!$H182,'01. KE30'!$A:$A,'06. BC BH THEO CUSTOMER-USD'!CG$4)/CU182/'02. Tỷ giá'!D$5," -")</f>
        <v xml:space="preserve"> -</v>
      </c>
      <c r="CH182" s="95" t="str">
        <f>IFERROR(SUMIFS('01. KE30'!$R:$R,'01. KE30'!$C:$C,'06. BC BH THEO CUSTOMER-USD'!$D182,'01. KE30'!$F:$F,'06. BC BH THEO CUSTOMER-USD'!$H182,'01. KE30'!$A:$A,'06. BC BH THEO CUSTOMER-USD'!CH$4)/CV182/'02. Tỷ giá'!E$5," -")</f>
        <v xml:space="preserve"> -</v>
      </c>
      <c r="CI182" s="95" t="str">
        <f>IFERROR(SUMIFS('01. KE30'!$R:$R,'01. KE30'!$C:$C,'06. BC BH THEO CUSTOMER-USD'!$D182,'01. KE30'!$F:$F,'06. BC BH THEO CUSTOMER-USD'!$H182,'01. KE30'!$A:$A,'06. BC BH THEO CUSTOMER-USD'!CI$4)/CW182/'02. Tỷ giá'!F$5," -")</f>
        <v xml:space="preserve"> -</v>
      </c>
      <c r="CJ182" s="95" t="str">
        <f>IFERROR(SUMIFS('01. KE30'!$R:$R,'01. KE30'!$C:$C,'06. BC BH THEO CUSTOMER-USD'!$D182,'01. KE30'!$F:$F,'06. BC BH THEO CUSTOMER-USD'!$H182,'01. KE30'!$A:$A,'06. BC BH THEO CUSTOMER-USD'!CJ$4)/CX182/'02. Tỷ giá'!G$5," -")</f>
        <v xml:space="preserve"> -</v>
      </c>
      <c r="CK182" s="95" t="str">
        <f>IFERROR(SUMIFS('01. KE30'!$R:$R,'01. KE30'!$C:$C,'06. BC BH THEO CUSTOMER-USD'!$D182,'01. KE30'!$F:$F,'06. BC BH THEO CUSTOMER-USD'!$H182,'01. KE30'!$A:$A,'06. BC BH THEO CUSTOMER-USD'!CK$4)/CY182/'02. Tỷ giá'!H$5," -")</f>
        <v xml:space="preserve"> -</v>
      </c>
      <c r="CL182" s="95" t="str">
        <f>IFERROR(SUMIFS('01. KE30'!$R:$R,'01. KE30'!$C:$C,'06. BC BH THEO CUSTOMER-USD'!$D182,'01. KE30'!$F:$F,'06. BC BH THEO CUSTOMER-USD'!$H182,'01. KE30'!$A:$A,'06. BC BH THEO CUSTOMER-USD'!CL$4)/CZ182/'02. Tỷ giá'!I$5," -")</f>
        <v xml:space="preserve"> -</v>
      </c>
      <c r="CM182" s="95" t="str">
        <f>IFERROR(SUMIFS('01. KE30'!$R:$R,'01. KE30'!$C:$C,'06. BC BH THEO CUSTOMER-USD'!$D182,'01. KE30'!$F:$F,'06. BC BH THEO CUSTOMER-USD'!$H182,'01. KE30'!$A:$A,'06. BC BH THEO CUSTOMER-USD'!CM$4)/DA182/'02. Tỷ giá'!J$5," -")</f>
        <v xml:space="preserve"> -</v>
      </c>
      <c r="CN182" s="95" t="str">
        <f>IFERROR(SUMIFS('01. KE30'!$R:$R,'01. KE30'!$C:$C,'06. BC BH THEO CUSTOMER-USD'!$D182,'01. KE30'!$F:$F,'06. BC BH THEO CUSTOMER-USD'!$H182,'01. KE30'!$A:$A,'06. BC BH THEO CUSTOMER-USD'!CN$4)/DB182/'02. Tỷ giá'!K$5," -")</f>
        <v xml:space="preserve"> -</v>
      </c>
      <c r="CO182" s="95" t="str">
        <f>IFERROR(SUMIFS('01. KE30'!$R:$R,'01. KE30'!$C:$C,'06. BC BH THEO CUSTOMER-USD'!$D182,'01. KE30'!$F:$F,'06. BC BH THEO CUSTOMER-USD'!$H182,'01. KE30'!$A:$A,'06. BC BH THEO CUSTOMER-USD'!CO$4)/DC182/'02. Tỷ giá'!L$5," -")</f>
        <v xml:space="preserve"> -</v>
      </c>
      <c r="CP182" s="95" t="str">
        <f>IFERROR(SUMIFS('01. KE30'!$R:$R,'01. KE30'!$C:$C,'06. BC BH THEO CUSTOMER-USD'!$D182,'01. KE30'!$F:$F,'06. BC BH THEO CUSTOMER-USD'!$H182,'01. KE30'!$A:$A,'06. BC BH THEO CUSTOMER-USD'!CP$4)/DD182/'02. Tỷ giá'!M$5," -")</f>
        <v xml:space="preserve"> -</v>
      </c>
      <c r="CR182" s="112">
        <f t="shared" ref="CR182:CR183" si="2121">SUM(CS182:DD182)</f>
        <v>0.75</v>
      </c>
      <c r="CS182" s="114">
        <f>SUMIFS('01. KE30'!$I:$I,'01. KE30'!$C:$C,'06. BC BH THEO CUSTOMER-USD'!$D182,'01. KE30'!$F:$F,'06. BC BH THEO CUSTOMER-USD'!$H182,'01. KE30'!$A:$A,'06. BC BH THEO CUSTOMER-USD'!CS$4)/1000</f>
        <v>0</v>
      </c>
      <c r="CT182" s="114">
        <f>SUMIFS('01. KE30'!$I:$I,'01. KE30'!$C:$C,'06. BC BH THEO CUSTOMER-USD'!$D182,'01. KE30'!$F:$F,'06. BC BH THEO CUSTOMER-USD'!$H182,'01. KE30'!$A:$A,'06. BC BH THEO CUSTOMER-USD'!CT$4)/1000</f>
        <v>0.75</v>
      </c>
      <c r="CU182" s="114">
        <f>SUMIFS('01. KE30'!$I:$I,'01. KE30'!$C:$C,'06. BC BH THEO CUSTOMER-USD'!$D182,'01. KE30'!$F:$F,'06. BC BH THEO CUSTOMER-USD'!$H182,'01. KE30'!$A:$A,'06. BC BH THEO CUSTOMER-USD'!CU$4)/1000</f>
        <v>0</v>
      </c>
      <c r="CV182" s="114">
        <f>SUMIFS('01. KE30'!$I:$I,'01. KE30'!$C:$C,'06. BC BH THEO CUSTOMER-USD'!$D182,'01. KE30'!$F:$F,'06. BC BH THEO CUSTOMER-USD'!$H182,'01. KE30'!$A:$A,'06. BC BH THEO CUSTOMER-USD'!CV$4)/1000</f>
        <v>0</v>
      </c>
      <c r="CW182" s="114">
        <f>SUMIFS('01. KE30'!$I:$I,'01. KE30'!$C:$C,'06. BC BH THEO CUSTOMER-USD'!$D182,'01. KE30'!$F:$F,'06. BC BH THEO CUSTOMER-USD'!$H182,'01. KE30'!$A:$A,'06. BC BH THEO CUSTOMER-USD'!CW$4)/1000</f>
        <v>0</v>
      </c>
      <c r="CX182" s="114">
        <f>SUMIFS('01. KE30'!$I:$I,'01. KE30'!$C:$C,'06. BC BH THEO CUSTOMER-USD'!$D182,'01. KE30'!$F:$F,'06. BC BH THEO CUSTOMER-USD'!$H182,'01. KE30'!$A:$A,'06. BC BH THEO CUSTOMER-USD'!CX$4)/1000</f>
        <v>0</v>
      </c>
      <c r="CY182" s="114">
        <f>SUMIFS('01. KE30'!$I:$I,'01. KE30'!$C:$C,'06. BC BH THEO CUSTOMER-USD'!$D182,'01. KE30'!$F:$F,'06. BC BH THEO CUSTOMER-USD'!$H182,'01. KE30'!$A:$A,'06. BC BH THEO CUSTOMER-USD'!CY$4)/1000</f>
        <v>0</v>
      </c>
      <c r="CZ182" s="114">
        <f>SUMIFS('01. KE30'!$I:$I,'01. KE30'!$C:$C,'06. BC BH THEO CUSTOMER-USD'!$D182,'01. KE30'!$F:$F,'06. BC BH THEO CUSTOMER-USD'!$H182,'01. KE30'!$A:$A,'06. BC BH THEO CUSTOMER-USD'!CZ$4)/1000</f>
        <v>0</v>
      </c>
      <c r="DA182" s="114">
        <f>SUMIFS('01. KE30'!$I:$I,'01. KE30'!$C:$C,'06. BC BH THEO CUSTOMER-USD'!$D182,'01. KE30'!$F:$F,'06. BC BH THEO CUSTOMER-USD'!$H182,'01. KE30'!$A:$A,'06. BC BH THEO CUSTOMER-USD'!DA$4)/1000</f>
        <v>0</v>
      </c>
      <c r="DB182" s="114">
        <f>SUMIFS('01. KE30'!$I:$I,'01. KE30'!$C:$C,'06. BC BH THEO CUSTOMER-USD'!$D182,'01. KE30'!$F:$F,'06. BC BH THEO CUSTOMER-USD'!$H182,'01. KE30'!$A:$A,'06. BC BH THEO CUSTOMER-USD'!DB$4)/1000</f>
        <v>0</v>
      </c>
      <c r="DC182" s="114">
        <f>SUMIFS('01. KE30'!$I:$I,'01. KE30'!$C:$C,'06. BC BH THEO CUSTOMER-USD'!$D182,'01. KE30'!$F:$F,'06. BC BH THEO CUSTOMER-USD'!$H182,'01. KE30'!$A:$A,'06. BC BH THEO CUSTOMER-USD'!DC$4)/1000</f>
        <v>0</v>
      </c>
      <c r="DD182" s="114">
        <f>SUMIFS('01. KE30'!$I:$I,'01. KE30'!$C:$C,'06. BC BH THEO CUSTOMER-USD'!$D182,'01. KE30'!$F:$F,'06. BC BH THEO CUSTOMER-USD'!$H182,'01. KE30'!$A:$A,'06. BC BH THEO CUSTOMER-USD'!DD$4)/1000</f>
        <v>0</v>
      </c>
      <c r="DF182" s="112">
        <f t="shared" si="2037"/>
        <v>533.34647499015364</v>
      </c>
      <c r="DG182" s="54" t="str">
        <f t="shared" si="2038"/>
        <v>-</v>
      </c>
      <c r="DH182" s="54">
        <f t="shared" si="2039"/>
        <v>533.34647499015364</v>
      </c>
      <c r="DI182" s="54" t="str">
        <f t="shared" si="2040"/>
        <v>-</v>
      </c>
      <c r="DJ182" s="54" t="str">
        <f t="shared" si="2041"/>
        <v>-</v>
      </c>
      <c r="DK182" s="54" t="str">
        <f t="shared" si="2042"/>
        <v>-</v>
      </c>
      <c r="DL182" s="54" t="str">
        <f t="shared" si="2043"/>
        <v>-</v>
      </c>
      <c r="DM182" s="54" t="str">
        <f t="shared" si="2044"/>
        <v>-</v>
      </c>
      <c r="DN182" s="54" t="str">
        <f t="shared" si="2045"/>
        <v>-</v>
      </c>
      <c r="DO182" s="54" t="str">
        <f t="shared" si="2046"/>
        <v>-</v>
      </c>
      <c r="DP182" s="54" t="str">
        <f t="shared" si="2047"/>
        <v>-</v>
      </c>
      <c r="DQ182" s="54" t="str">
        <f t="shared" si="2048"/>
        <v>-</v>
      </c>
      <c r="DR182" s="54" t="str">
        <f t="shared" si="2049"/>
        <v>-</v>
      </c>
      <c r="DT182" s="112">
        <f t="shared" si="652"/>
        <v>-182.0579755809373</v>
      </c>
      <c r="DU182" s="114">
        <f>IFERROR(SUMIFS('01. KE30'!$X:$X,'01. KE30'!$C:$C,'06. BC BH THEO CUSTOMER-USD'!$D182,'01. KE30'!$F:$F,'06. BC BH THEO CUSTOMER-USD'!$H182,'01. KE30'!$A:$A,'06. BC BH THEO CUSTOMER-USD'!DU$4)-SUMIFS('01. KE30'!$AA:$AA,'01. KE30'!$C:$C,'06. BC BH THEO CUSTOMER-USD'!$D182,'01. KE30'!$F:$F,'06. BC BH THEO CUSTOMER-USD'!$H182,'01. KE30'!$A:$A,'06. BC BH THEO CUSTOMER-USD'!DU$4),"-")</f>
        <v>0</v>
      </c>
      <c r="DV182" s="114">
        <f>IFERROR(SUMIFS('01. KE30'!$X:$X,'01. KE30'!$C:$C,'06. BC BH THEO CUSTOMER-USD'!$D182,'01. KE30'!$F:$F,'06. BC BH THEO CUSTOMER-USD'!$H182,'01. KE30'!$A:$A,'06. BC BH THEO CUSTOMER-USD'!DV$4)-SUMIFS('01. KE30'!$AA:$AA,'01. KE30'!$C:$C,'06. BC BH THEO CUSTOMER-USD'!$D182,'01. KE30'!$F:$F,'06. BC BH THEO CUSTOMER-USD'!$H182,'01. KE30'!$A:$A,'06. BC BH THEO CUSTOMER-USD'!DV$4),"-")</f>
        <v>-182.0579755809373</v>
      </c>
      <c r="DW182" s="114">
        <f>IFERROR(SUMIFS('01. KE30'!$X:$X,'01. KE30'!$C:$C,'06. BC BH THEO CUSTOMER-USD'!$D182,'01. KE30'!$F:$F,'06. BC BH THEO CUSTOMER-USD'!$H182,'01. KE30'!$A:$A,'06. BC BH THEO CUSTOMER-USD'!DW$4)-SUMIFS('01. KE30'!$AA:$AA,'01. KE30'!$C:$C,'06. BC BH THEO CUSTOMER-USD'!$D182,'01. KE30'!$F:$F,'06. BC BH THEO CUSTOMER-USD'!$H182,'01. KE30'!$A:$A,'06. BC BH THEO CUSTOMER-USD'!DW$4),"-")</f>
        <v>0</v>
      </c>
      <c r="DX182" s="114">
        <f>IFERROR(SUMIFS('01. KE30'!$X:$X,'01. KE30'!$C:$C,'06. BC BH THEO CUSTOMER-USD'!$D182,'01. KE30'!$F:$F,'06. BC BH THEO CUSTOMER-USD'!$H182,'01. KE30'!$A:$A,'06. BC BH THEO CUSTOMER-USD'!DX$4)-SUMIFS('01. KE30'!$AA:$AA,'01. KE30'!$C:$C,'06. BC BH THEO CUSTOMER-USD'!$D182,'01. KE30'!$F:$F,'06. BC BH THEO CUSTOMER-USD'!$H182,'01. KE30'!$A:$A,'06. BC BH THEO CUSTOMER-USD'!DX$4),"-")</f>
        <v>0</v>
      </c>
      <c r="DY182" s="114">
        <f>IFERROR(SUMIFS('01. KE30'!$X:$X,'01. KE30'!$C:$C,'06. BC BH THEO CUSTOMER-USD'!$D182,'01. KE30'!$F:$F,'06. BC BH THEO CUSTOMER-USD'!$H182,'01. KE30'!$A:$A,'06. BC BH THEO CUSTOMER-USD'!DY$4)-SUMIFS('01. KE30'!$AA:$AA,'01. KE30'!$C:$C,'06. BC BH THEO CUSTOMER-USD'!$D182,'01. KE30'!$F:$F,'06. BC BH THEO CUSTOMER-USD'!$H182,'01. KE30'!$A:$A,'06. BC BH THEO CUSTOMER-USD'!DY$4),"-")</f>
        <v>0</v>
      </c>
      <c r="DZ182" s="114">
        <f>IFERROR(SUMIFS('01. KE30'!$X:$X,'01. KE30'!$C:$C,'06. BC BH THEO CUSTOMER-USD'!$D182,'01. KE30'!$F:$F,'06. BC BH THEO CUSTOMER-USD'!$H182,'01. KE30'!$A:$A,'06. BC BH THEO CUSTOMER-USD'!DZ$4)-SUMIFS('01. KE30'!$AA:$AA,'01. KE30'!$C:$C,'06. BC BH THEO CUSTOMER-USD'!$D182,'01. KE30'!$F:$F,'06. BC BH THEO CUSTOMER-USD'!$H182,'01. KE30'!$A:$A,'06. BC BH THEO CUSTOMER-USD'!DZ$4),"-")</f>
        <v>0</v>
      </c>
      <c r="EA182" s="114">
        <f>IFERROR(SUMIFS('01. KE30'!$X:$X,'01. KE30'!$C:$C,'06. BC BH THEO CUSTOMER-USD'!$D182,'01. KE30'!$F:$F,'06. BC BH THEO CUSTOMER-USD'!$H182,'01. KE30'!$A:$A,'06. BC BH THEO CUSTOMER-USD'!EA$4)-SUMIFS('01. KE30'!$AA:$AA,'01. KE30'!$C:$C,'06. BC BH THEO CUSTOMER-USD'!$D182,'01. KE30'!$F:$F,'06. BC BH THEO CUSTOMER-USD'!$H182,'01. KE30'!$A:$A,'06. BC BH THEO CUSTOMER-USD'!EA$4),"-")</f>
        <v>0</v>
      </c>
      <c r="EB182" s="114">
        <f>IFERROR(SUMIFS('01. KE30'!$X:$X,'01. KE30'!$C:$C,'06. BC BH THEO CUSTOMER-USD'!$D182,'01. KE30'!$F:$F,'06. BC BH THEO CUSTOMER-USD'!$H182,'01. KE30'!$A:$A,'06. BC BH THEO CUSTOMER-USD'!EB$4)-SUMIFS('01. KE30'!$AA:$AA,'01. KE30'!$C:$C,'06. BC BH THEO CUSTOMER-USD'!$D182,'01. KE30'!$F:$F,'06. BC BH THEO CUSTOMER-USD'!$H182,'01. KE30'!$A:$A,'06. BC BH THEO CUSTOMER-USD'!EB$4),"-")</f>
        <v>0</v>
      </c>
      <c r="EC182" s="114">
        <f>IFERROR(SUMIFS('01. KE30'!$X:$X,'01. KE30'!$C:$C,'06. BC BH THEO CUSTOMER-USD'!$D182,'01. KE30'!$F:$F,'06. BC BH THEO CUSTOMER-USD'!$H182,'01. KE30'!$A:$A,'06. BC BH THEO CUSTOMER-USD'!EC$4)-SUMIFS('01. KE30'!$AA:$AA,'01. KE30'!$C:$C,'06. BC BH THEO CUSTOMER-USD'!$D182,'01. KE30'!$F:$F,'06. BC BH THEO CUSTOMER-USD'!$H182,'01. KE30'!$A:$A,'06. BC BH THEO CUSTOMER-USD'!EC$4),"-")</f>
        <v>0</v>
      </c>
      <c r="ED182" s="114">
        <f>IFERROR(SUMIFS('01. KE30'!$X:$X,'01. KE30'!$C:$C,'06. BC BH THEO CUSTOMER-USD'!$D182,'01. KE30'!$F:$F,'06. BC BH THEO CUSTOMER-USD'!$H182,'01. KE30'!$A:$A,'06. BC BH THEO CUSTOMER-USD'!ED$4)-SUMIFS('01. KE30'!$AA:$AA,'01. KE30'!$C:$C,'06. BC BH THEO CUSTOMER-USD'!$D182,'01. KE30'!$F:$F,'06. BC BH THEO CUSTOMER-USD'!$H182,'01. KE30'!$A:$A,'06. BC BH THEO CUSTOMER-USD'!ED$4),"-")</f>
        <v>0</v>
      </c>
      <c r="EE182" s="114">
        <f>IFERROR(SUMIFS('01. KE30'!$X:$X,'01. KE30'!$C:$C,'06. BC BH THEO CUSTOMER-USD'!$D182,'01. KE30'!$F:$F,'06. BC BH THEO CUSTOMER-USD'!$H182,'01. KE30'!$A:$A,'06. BC BH THEO CUSTOMER-USD'!EE$4)-SUMIFS('01. KE30'!$AA:$AA,'01. KE30'!$C:$C,'06. BC BH THEO CUSTOMER-USD'!$D182,'01. KE30'!$F:$F,'06. BC BH THEO CUSTOMER-USD'!$H182,'01. KE30'!$A:$A,'06. BC BH THEO CUSTOMER-USD'!EE$4),"-")</f>
        <v>0</v>
      </c>
      <c r="EF182" s="114">
        <f>IFERROR(SUMIFS('01. KE30'!$X:$X,'01. KE30'!$C:$C,'06. BC BH THEO CUSTOMER-USD'!$D182,'01. KE30'!$F:$F,'06. BC BH THEO CUSTOMER-USD'!$H182,'01. KE30'!$A:$A,'06. BC BH THEO CUSTOMER-USD'!EF$4)-SUMIFS('01. KE30'!$AA:$AA,'01. KE30'!$C:$C,'06. BC BH THEO CUSTOMER-USD'!$D182,'01. KE30'!$F:$F,'06. BC BH THEO CUSTOMER-USD'!$H182,'01. KE30'!$A:$A,'06. BC BH THEO CUSTOMER-USD'!EF$4),"-")</f>
        <v>0</v>
      </c>
      <c r="EH182" s="571">
        <f t="shared" si="1737"/>
        <v>-0.34135029313599263</v>
      </c>
      <c r="EI182" s="572" t="str">
        <f t="shared" si="1738"/>
        <v>-</v>
      </c>
      <c r="EJ182" s="572">
        <f t="shared" si="1739"/>
        <v>-0.34135029313599263</v>
      </c>
      <c r="EK182" s="572" t="str">
        <f t="shared" si="1740"/>
        <v>-</v>
      </c>
      <c r="EL182" s="572" t="str">
        <f t="shared" si="1741"/>
        <v>-</v>
      </c>
      <c r="EM182" s="572" t="str">
        <f t="shared" si="1742"/>
        <v>-</v>
      </c>
      <c r="EN182" s="572" t="str">
        <f t="shared" si="1743"/>
        <v>-</v>
      </c>
      <c r="EO182" s="572" t="str">
        <f t="shared" si="1744"/>
        <v>-</v>
      </c>
      <c r="EP182" s="572" t="str">
        <f t="shared" si="1745"/>
        <v>-</v>
      </c>
      <c r="EQ182" s="572" t="str">
        <f t="shared" si="1746"/>
        <v>-</v>
      </c>
      <c r="ER182" s="572" t="str">
        <f t="shared" si="1747"/>
        <v>-</v>
      </c>
      <c r="ES182" s="572" t="str">
        <f t="shared" si="1748"/>
        <v>-</v>
      </c>
      <c r="ET182" s="572" t="str">
        <f t="shared" si="1749"/>
        <v>-</v>
      </c>
    </row>
    <row r="183" spans="1:150" ht="15.5" hidden="1" outlineLevel="1" x14ac:dyDescent="0.35">
      <c r="A183" s="10">
        <f t="shared" si="1266"/>
        <v>9</v>
      </c>
      <c r="B183" s="10" t="s">
        <v>295</v>
      </c>
      <c r="C183" s="442" t="s">
        <v>489</v>
      </c>
      <c r="D183" s="9" t="s">
        <v>65</v>
      </c>
      <c r="E183" s="8" t="s">
        <v>509</v>
      </c>
      <c r="F183" s="12" t="s">
        <v>245</v>
      </c>
      <c r="G183" s="12" t="str">
        <f>_xlfn.XLOOKUP(F183,'Quy đổi'!$G$5:$G$32,'Quy đổi'!$H$5:$H$32,0)</f>
        <v>Nội địa</v>
      </c>
      <c r="H183" s="80" t="s">
        <v>41</v>
      </c>
      <c r="I183" s="20" t="s">
        <v>40</v>
      </c>
      <c r="J183" s="69" t="s">
        <v>22</v>
      </c>
      <c r="K183" s="5"/>
      <c r="L183" s="92">
        <f t="shared" si="1263"/>
        <v>711.12858080609169</v>
      </c>
      <c r="M183" s="106" t="str">
        <f>IFERROR(SUMIFS('01. KE30'!$K:$K,'01. KE30'!$C:$C,'06. BC BH THEO CUSTOMER-USD'!$D183,'01. KE30'!$F:$F,'06. BC BH THEO CUSTOMER-USD'!$H183,'01. KE30'!$A:$A,'06. BC BH THEO CUSTOMER-USD'!M$4)/'06. BC BH THEO CUSTOMER-USD'!CS183/'02. Tỷ giá'!B$5,"-")</f>
        <v>-</v>
      </c>
      <c r="N183" s="106">
        <f>IFERROR(SUMIFS('01. KE30'!$K:$K,'01. KE30'!$C:$C,'06. BC BH THEO CUSTOMER-USD'!$D183,'01. KE30'!$F:$F,'06. BC BH THEO CUSTOMER-USD'!$H183,'01. KE30'!$A:$A,'06. BC BH THEO CUSTOMER-USD'!N$4)/'06. BC BH THEO CUSTOMER-USD'!CT183/'02. Tỷ giá'!C$5,"-")</f>
        <v>711.12858080609169</v>
      </c>
      <c r="O183" s="106" t="str">
        <f>IFERROR(SUMIFS('01. KE30'!$K:$K,'01. KE30'!$C:$C,'06. BC BH THEO CUSTOMER-USD'!$D183,'01. KE30'!$F:$F,'06. BC BH THEO CUSTOMER-USD'!$H183,'01. KE30'!$A:$A,'06. BC BH THEO CUSTOMER-USD'!O$4)/'06. BC BH THEO CUSTOMER-USD'!CU183/'02. Tỷ giá'!D$5,"-")</f>
        <v>-</v>
      </c>
      <c r="P183" s="106" t="str">
        <f>IFERROR(SUMIFS('01. KE30'!$K:$K,'01. KE30'!$C:$C,'06. BC BH THEO CUSTOMER-USD'!$D183,'01. KE30'!$F:$F,'06. BC BH THEO CUSTOMER-USD'!$H183,'01. KE30'!$A:$A,'06. BC BH THEO CUSTOMER-USD'!P$4)/'06. BC BH THEO CUSTOMER-USD'!CV183/'02. Tỷ giá'!E$5,"-")</f>
        <v>-</v>
      </c>
      <c r="Q183" s="106" t="str">
        <f>IFERROR(SUMIFS('01. KE30'!$K:$K,'01. KE30'!$C:$C,'06. BC BH THEO CUSTOMER-USD'!$D183,'01. KE30'!$F:$F,'06. BC BH THEO CUSTOMER-USD'!$H183,'01. KE30'!$A:$A,'06. BC BH THEO CUSTOMER-USD'!Q$4)/'06. BC BH THEO CUSTOMER-USD'!CW183/'02. Tỷ giá'!F$5,"-")</f>
        <v>-</v>
      </c>
      <c r="R183" s="106" t="str">
        <f>IFERROR(SUMIFS('01. KE30'!$K:$K,'01. KE30'!$C:$C,'06. BC BH THEO CUSTOMER-USD'!$D183,'01. KE30'!$F:$F,'06. BC BH THEO CUSTOMER-USD'!$H183,'01. KE30'!$A:$A,'06. BC BH THEO CUSTOMER-USD'!R$4)/'06. BC BH THEO CUSTOMER-USD'!CX183/'02. Tỷ giá'!G$5,"-")</f>
        <v>-</v>
      </c>
      <c r="S183" s="106" t="str">
        <f>IFERROR(SUMIFS('01. KE30'!$K:$K,'01. KE30'!$C:$C,'06. BC BH THEO CUSTOMER-USD'!$D183,'01. KE30'!$F:$F,'06. BC BH THEO CUSTOMER-USD'!$H183,'01. KE30'!$A:$A,'06. BC BH THEO CUSTOMER-USD'!S$4)/'06. BC BH THEO CUSTOMER-USD'!CY183/'02. Tỷ giá'!H$5,"-")</f>
        <v>-</v>
      </c>
      <c r="T183" s="106" t="str">
        <f>IFERROR(SUMIFS('01. KE30'!$K:$K,'01. KE30'!$C:$C,'06. BC BH THEO CUSTOMER-USD'!$D183,'01. KE30'!$F:$F,'06. BC BH THEO CUSTOMER-USD'!$H183,'01. KE30'!$A:$A,'06. BC BH THEO CUSTOMER-USD'!T$4)/'06. BC BH THEO CUSTOMER-USD'!CZ183/'02. Tỷ giá'!I$5,"-")</f>
        <v>-</v>
      </c>
      <c r="U183" s="106" t="str">
        <f>IFERROR(SUMIFS('01. KE30'!$K:$K,'01. KE30'!$C:$C,'06. BC BH THEO CUSTOMER-USD'!$D183,'01. KE30'!$F:$F,'06. BC BH THEO CUSTOMER-USD'!$H183,'01. KE30'!$A:$A,'06. BC BH THEO CUSTOMER-USD'!U$4)/'06. BC BH THEO CUSTOMER-USD'!DA183/'02. Tỷ giá'!J$5,"-")</f>
        <v>-</v>
      </c>
      <c r="V183" s="106" t="str">
        <f>IFERROR(SUMIFS('01. KE30'!$K:$K,'01. KE30'!$C:$C,'06. BC BH THEO CUSTOMER-USD'!$D183,'01. KE30'!$F:$F,'06. BC BH THEO CUSTOMER-USD'!$H183,'01. KE30'!$A:$A,'06. BC BH THEO CUSTOMER-USD'!V$4)/'06. BC BH THEO CUSTOMER-USD'!DB183/'02. Tỷ giá'!K$5,"-")</f>
        <v>-</v>
      </c>
      <c r="W183" s="106" t="str">
        <f>IFERROR(SUMIFS('01. KE30'!$K:$K,'01. KE30'!$C:$C,'06. BC BH THEO CUSTOMER-USD'!$D183,'01. KE30'!$F:$F,'06. BC BH THEO CUSTOMER-USD'!$H183,'01. KE30'!$A:$A,'06. BC BH THEO CUSTOMER-USD'!W$4)/'06. BC BH THEO CUSTOMER-USD'!DC183/'02. Tỷ giá'!L$5,"-")</f>
        <v>-</v>
      </c>
      <c r="X183" s="106" t="str">
        <f>IFERROR(SUMIFS('01. KE30'!$K:$K,'01. KE30'!$C:$C,'06. BC BH THEO CUSTOMER-USD'!$D183,'01. KE30'!$F:$F,'06. BC BH THEO CUSTOMER-USD'!$H183,'01. KE30'!$A:$A,'06. BC BH THEO CUSTOMER-USD'!X$4)/'06. BC BH THEO CUSTOMER-USD'!DD183/'02. Tỷ giá'!M$5,"-")</f>
        <v>-</v>
      </c>
      <c r="Z183" s="92">
        <f t="shared" si="1264"/>
        <v>711.12858080609169</v>
      </c>
      <c r="AA183" s="147" t="str">
        <f>IFERROR(SUMIFS('01. KE30'!$O:$O,'01. KE30'!$C:$C,'06. BC BH THEO CUSTOMER-USD'!$D183,'01. KE30'!$F:$F,'06. BC BH THEO CUSTOMER-USD'!$H183,'01. KE30'!$A:$A,'06. BC BH THEO CUSTOMER-USD'!M$4)/'06. BC BH THEO CUSTOMER-USD'!CS183/'02. Tỷ giá'!B$5,"-")</f>
        <v>-</v>
      </c>
      <c r="AB183" s="147">
        <f>IFERROR(SUMIFS('01. KE30'!$O:$O,'01. KE30'!$C:$C,'06. BC BH THEO CUSTOMER-USD'!$D183,'01. KE30'!$F:$F,'06. BC BH THEO CUSTOMER-USD'!$H183,'01. KE30'!$A:$A,'06. BC BH THEO CUSTOMER-USD'!N$4)/'06. BC BH THEO CUSTOMER-USD'!CT183/'02. Tỷ giá'!C$5,"-")</f>
        <v>711.12858080609169</v>
      </c>
      <c r="AC183" s="147" t="str">
        <f>IFERROR(SUMIFS('01. KE30'!$O:$O,'01. KE30'!$C:$C,'06. BC BH THEO CUSTOMER-USD'!$D183,'01. KE30'!$F:$F,'06. BC BH THEO CUSTOMER-USD'!$H183,'01. KE30'!$A:$A,'06. BC BH THEO CUSTOMER-USD'!O$4)/'06. BC BH THEO CUSTOMER-USD'!CU183/'02. Tỷ giá'!D$5,"-")</f>
        <v>-</v>
      </c>
      <c r="AD183" s="147" t="str">
        <f>IFERROR(SUMIFS('01. KE30'!$O:$O,'01. KE30'!$C:$C,'06. BC BH THEO CUSTOMER-USD'!$D183,'01. KE30'!$F:$F,'06. BC BH THEO CUSTOMER-USD'!$H183,'01. KE30'!$A:$A,'06. BC BH THEO CUSTOMER-USD'!P$4)/'06. BC BH THEO CUSTOMER-USD'!CV183/'02. Tỷ giá'!E$5,"-")</f>
        <v>-</v>
      </c>
      <c r="AE183" s="147" t="str">
        <f>IFERROR(SUMIFS('01. KE30'!$O:$O,'01. KE30'!$C:$C,'06. BC BH THEO CUSTOMER-USD'!$D183,'01. KE30'!$F:$F,'06. BC BH THEO CUSTOMER-USD'!$H183,'01. KE30'!$A:$A,'06. BC BH THEO CUSTOMER-USD'!Q$4)/'06. BC BH THEO CUSTOMER-USD'!CW183/'02. Tỷ giá'!F$5,"-")</f>
        <v>-</v>
      </c>
      <c r="AF183" s="147" t="str">
        <f>IFERROR(SUMIFS('01. KE30'!$O:$O,'01. KE30'!$C:$C,'06. BC BH THEO CUSTOMER-USD'!$D183,'01. KE30'!$F:$F,'06. BC BH THEO CUSTOMER-USD'!$H183,'01. KE30'!$A:$A,'06. BC BH THEO CUSTOMER-USD'!R$4)/'06. BC BH THEO CUSTOMER-USD'!CX183/'02. Tỷ giá'!G$5,"-")</f>
        <v>-</v>
      </c>
      <c r="AG183" s="147" t="str">
        <f>IFERROR(SUMIFS('01. KE30'!$O:$O,'01. KE30'!$C:$C,'06. BC BH THEO CUSTOMER-USD'!$D183,'01. KE30'!$F:$F,'06. BC BH THEO CUSTOMER-USD'!$H183,'01. KE30'!$A:$A,'06. BC BH THEO CUSTOMER-USD'!S$4)/'06. BC BH THEO CUSTOMER-USD'!CY183/'02. Tỷ giá'!H$5,"-")</f>
        <v>-</v>
      </c>
      <c r="AH183" s="147" t="str">
        <f>IFERROR(SUMIFS('01. KE30'!$O:$O,'01. KE30'!$C:$C,'06. BC BH THEO CUSTOMER-USD'!$D183,'01. KE30'!$F:$F,'06. BC BH THEO CUSTOMER-USD'!$H183,'01. KE30'!$A:$A,'06. BC BH THEO CUSTOMER-USD'!T$4)/'06. BC BH THEO CUSTOMER-USD'!CZ183/'02. Tỷ giá'!I$5,"-")</f>
        <v>-</v>
      </c>
      <c r="AI183" s="147" t="str">
        <f>IFERROR(SUMIFS('01. KE30'!$O:$O,'01. KE30'!$C:$C,'06. BC BH THEO CUSTOMER-USD'!$D183,'01. KE30'!$F:$F,'06. BC BH THEO CUSTOMER-USD'!$H183,'01. KE30'!$A:$A,'06. BC BH THEO CUSTOMER-USD'!U$4)/'06. BC BH THEO CUSTOMER-USD'!DA183/'02. Tỷ giá'!J$5,"-")</f>
        <v>-</v>
      </c>
      <c r="AJ183" s="147" t="str">
        <f>IFERROR(SUMIFS('01. KE30'!$O:$O,'01. KE30'!$C:$C,'06. BC BH THEO CUSTOMER-USD'!$D183,'01. KE30'!$F:$F,'06. BC BH THEO CUSTOMER-USD'!$H183,'01. KE30'!$A:$A,'06. BC BH THEO CUSTOMER-USD'!V$4)/'06. BC BH THEO CUSTOMER-USD'!DB183/'02. Tỷ giá'!K$5,"-")</f>
        <v>-</v>
      </c>
      <c r="AK183" s="147" t="str">
        <f>IFERROR(SUMIFS('01. KE30'!$O:$O,'01. KE30'!$C:$C,'06. BC BH THEO CUSTOMER-USD'!$D183,'01. KE30'!$F:$F,'06. BC BH THEO CUSTOMER-USD'!$H183,'01. KE30'!$A:$A,'06. BC BH THEO CUSTOMER-USD'!W$4)/'06. BC BH THEO CUSTOMER-USD'!DC183/'02. Tỷ giá'!L$5,"-")</f>
        <v>-</v>
      </c>
      <c r="AL183" s="147" t="str">
        <f>IFERROR(SUMIFS('01. KE30'!$O:$O,'01. KE30'!$C:$C,'06. BC BH THEO CUSTOMER-USD'!$D183,'01. KE30'!$F:$F,'06. BC BH THEO CUSTOMER-USD'!$H183,'01. KE30'!$A:$A,'06. BC BH THEO CUSTOMER-USD'!X$4)/'06. BC BH THEO CUSTOMER-USD'!DD183/'02. Tỷ giá'!M$5,"-")</f>
        <v>-</v>
      </c>
      <c r="AN183" s="55">
        <f t="shared" si="1265"/>
        <v>737.22222222222217</v>
      </c>
      <c r="AO183" s="4">
        <v>825</v>
      </c>
      <c r="AP183" s="4">
        <v>750</v>
      </c>
      <c r="AQ183" s="4">
        <v>750</v>
      </c>
      <c r="AR183" s="4">
        <v>750</v>
      </c>
      <c r="AS183" s="4">
        <v>720</v>
      </c>
      <c r="AT183" s="4">
        <v>720</v>
      </c>
      <c r="AU183" s="4">
        <v>720</v>
      </c>
      <c r="AV183" s="4">
        <f t="shared" si="1272"/>
        <v>700</v>
      </c>
      <c r="AW183" s="4">
        <v>700</v>
      </c>
      <c r="AX183" s="4"/>
      <c r="AY183" s="4"/>
      <c r="AZ183" s="4"/>
      <c r="BB183" s="95">
        <f t="shared" ref="BB183:BB224" si="2122">IF(L183&lt;&gt;"-",Z183-AN183,"-")</f>
        <v>-26.093641416130481</v>
      </c>
      <c r="BC183" s="95" t="str">
        <f t="shared" ref="BC183:BC224" si="2123">IF(M183&lt;&gt;"-",AA183-AO183,"-")</f>
        <v>-</v>
      </c>
      <c r="BD183" s="95">
        <f t="shared" si="2108"/>
        <v>-38.871419193908309</v>
      </c>
      <c r="BE183" s="95" t="str">
        <f t="shared" si="2108"/>
        <v>-</v>
      </c>
      <c r="BF183" s="95" t="str">
        <f t="shared" si="2108"/>
        <v>-</v>
      </c>
      <c r="BG183" s="95" t="str">
        <f t="shared" si="2108"/>
        <v>-</v>
      </c>
      <c r="BH183" s="95" t="str">
        <f t="shared" si="2108"/>
        <v>-</v>
      </c>
      <c r="BI183" s="95" t="str">
        <f t="shared" si="2108"/>
        <v>-</v>
      </c>
      <c r="BJ183" s="95" t="str">
        <f t="shared" si="2108"/>
        <v>-</v>
      </c>
      <c r="BK183" s="95" t="str">
        <f t="shared" si="2108"/>
        <v>-</v>
      </c>
      <c r="BL183" s="95" t="str">
        <f t="shared" si="2108"/>
        <v>-</v>
      </c>
      <c r="BM183" s="95" t="str">
        <f t="shared" si="2108"/>
        <v>-</v>
      </c>
      <c r="BN183" s="95" t="str">
        <f t="shared" si="2108"/>
        <v>-</v>
      </c>
      <c r="BP183" s="143">
        <f t="shared" ref="BP183:BP224" si="2124">IFERROR(IF(BB183&lt;&gt;"-",BB183/AN183,"-"),"-")</f>
        <v>-3.5394539976665314E-2</v>
      </c>
      <c r="BQ183" s="143" t="str">
        <f t="shared" si="2109"/>
        <v>-</v>
      </c>
      <c r="BR183" s="143">
        <f t="shared" si="2110"/>
        <v>-5.1828558925211078E-2</v>
      </c>
      <c r="BS183" s="143" t="str">
        <f t="shared" si="2111"/>
        <v>-</v>
      </c>
      <c r="BT183" s="143" t="str">
        <f t="shared" si="2112"/>
        <v>-</v>
      </c>
      <c r="BU183" s="143" t="str">
        <f t="shared" si="2113"/>
        <v>-</v>
      </c>
      <c r="BV183" s="143" t="str">
        <f t="shared" si="2114"/>
        <v>-</v>
      </c>
      <c r="BW183" s="143" t="str">
        <f t="shared" si="2115"/>
        <v>-</v>
      </c>
      <c r="BX183" s="143" t="str">
        <f t="shared" si="2116"/>
        <v>-</v>
      </c>
      <c r="BY183" s="143" t="str">
        <f t="shared" si="2117"/>
        <v>-</v>
      </c>
      <c r="BZ183" s="143" t="str">
        <f t="shared" si="2118"/>
        <v>-</v>
      </c>
      <c r="CA183" s="143" t="str">
        <f t="shared" si="2119"/>
        <v>-</v>
      </c>
      <c r="CB183" s="143" t="str">
        <f t="shared" si="2120"/>
        <v>-</v>
      </c>
      <c r="CD183" s="112">
        <f t="shared" si="2036"/>
        <v>968.19745306551135</v>
      </c>
      <c r="CE183" s="95" t="str">
        <f>IFERROR(SUMIFS('01. KE30'!$R:$R,'01. KE30'!$C:$C,'06. BC BH THEO CUSTOMER-USD'!$D183,'01. KE30'!$F:$F,'06. BC BH THEO CUSTOMER-USD'!$H183,'01. KE30'!$A:$A,'06. BC BH THEO CUSTOMER-USD'!CE$4)/CS183/'02. Tỷ giá'!B$5," -")</f>
        <v xml:space="preserve"> -</v>
      </c>
      <c r="CF183" s="95">
        <f>IFERROR(SUMIFS('01. KE30'!$R:$R,'01. KE30'!$C:$C,'06. BC BH THEO CUSTOMER-USD'!$D183,'01. KE30'!$F:$F,'06. BC BH THEO CUSTOMER-USD'!$H183,'01. KE30'!$A:$A,'06. BC BH THEO CUSTOMER-USD'!CF$4)/CT183/'02. Tỷ giá'!C$5," -")</f>
        <v>968.19745306551135</v>
      </c>
      <c r="CG183" s="95" t="str">
        <f>IFERROR(SUMIFS('01. KE30'!$R:$R,'01. KE30'!$C:$C,'06. BC BH THEO CUSTOMER-USD'!$D183,'01. KE30'!$F:$F,'06. BC BH THEO CUSTOMER-USD'!$H183,'01. KE30'!$A:$A,'06. BC BH THEO CUSTOMER-USD'!CG$4)/CU183/'02. Tỷ giá'!D$5," -")</f>
        <v xml:space="preserve"> -</v>
      </c>
      <c r="CH183" s="95" t="str">
        <f>IFERROR(SUMIFS('01. KE30'!$R:$R,'01. KE30'!$C:$C,'06. BC BH THEO CUSTOMER-USD'!$D183,'01. KE30'!$F:$F,'06. BC BH THEO CUSTOMER-USD'!$H183,'01. KE30'!$A:$A,'06. BC BH THEO CUSTOMER-USD'!CH$4)/CV183/'02. Tỷ giá'!E$5," -")</f>
        <v xml:space="preserve"> -</v>
      </c>
      <c r="CI183" s="95" t="str">
        <f>IFERROR(SUMIFS('01. KE30'!$R:$R,'01. KE30'!$C:$C,'06. BC BH THEO CUSTOMER-USD'!$D183,'01. KE30'!$F:$F,'06. BC BH THEO CUSTOMER-USD'!$H183,'01. KE30'!$A:$A,'06. BC BH THEO CUSTOMER-USD'!CI$4)/CW183/'02. Tỷ giá'!F$5," -")</f>
        <v xml:space="preserve"> -</v>
      </c>
      <c r="CJ183" s="95" t="str">
        <f>IFERROR(SUMIFS('01. KE30'!$R:$R,'01. KE30'!$C:$C,'06. BC BH THEO CUSTOMER-USD'!$D183,'01. KE30'!$F:$F,'06. BC BH THEO CUSTOMER-USD'!$H183,'01. KE30'!$A:$A,'06. BC BH THEO CUSTOMER-USD'!CJ$4)/CX183/'02. Tỷ giá'!G$5," -")</f>
        <v xml:space="preserve"> -</v>
      </c>
      <c r="CK183" s="95" t="str">
        <f>IFERROR(SUMIFS('01. KE30'!$R:$R,'01. KE30'!$C:$C,'06. BC BH THEO CUSTOMER-USD'!$D183,'01. KE30'!$F:$F,'06. BC BH THEO CUSTOMER-USD'!$H183,'01. KE30'!$A:$A,'06. BC BH THEO CUSTOMER-USD'!CK$4)/CY183/'02. Tỷ giá'!H$5," -")</f>
        <v xml:space="preserve"> -</v>
      </c>
      <c r="CL183" s="95" t="str">
        <f>IFERROR(SUMIFS('01. KE30'!$R:$R,'01. KE30'!$C:$C,'06. BC BH THEO CUSTOMER-USD'!$D183,'01. KE30'!$F:$F,'06. BC BH THEO CUSTOMER-USD'!$H183,'01. KE30'!$A:$A,'06. BC BH THEO CUSTOMER-USD'!CL$4)/CZ183/'02. Tỷ giá'!I$5," -")</f>
        <v xml:space="preserve"> -</v>
      </c>
      <c r="CM183" s="95" t="str">
        <f>IFERROR(SUMIFS('01. KE30'!$R:$R,'01. KE30'!$C:$C,'06. BC BH THEO CUSTOMER-USD'!$D183,'01. KE30'!$F:$F,'06. BC BH THEO CUSTOMER-USD'!$H183,'01. KE30'!$A:$A,'06. BC BH THEO CUSTOMER-USD'!CM$4)/DA183/'02. Tỷ giá'!J$5," -")</f>
        <v xml:space="preserve"> -</v>
      </c>
      <c r="CN183" s="95" t="str">
        <f>IFERROR(SUMIFS('01. KE30'!$R:$R,'01. KE30'!$C:$C,'06. BC BH THEO CUSTOMER-USD'!$D183,'01. KE30'!$F:$F,'06. BC BH THEO CUSTOMER-USD'!$H183,'01. KE30'!$A:$A,'06. BC BH THEO CUSTOMER-USD'!CN$4)/DB183/'02. Tỷ giá'!K$5," -")</f>
        <v xml:space="preserve"> -</v>
      </c>
      <c r="CO183" s="95" t="str">
        <f>IFERROR(SUMIFS('01. KE30'!$R:$R,'01. KE30'!$C:$C,'06. BC BH THEO CUSTOMER-USD'!$D183,'01. KE30'!$F:$F,'06. BC BH THEO CUSTOMER-USD'!$H183,'01. KE30'!$A:$A,'06. BC BH THEO CUSTOMER-USD'!CO$4)/DC183/'02. Tỷ giá'!L$5," -")</f>
        <v xml:space="preserve"> -</v>
      </c>
      <c r="CP183" s="95" t="str">
        <f>IFERROR(SUMIFS('01. KE30'!$R:$R,'01. KE30'!$C:$C,'06. BC BH THEO CUSTOMER-USD'!$D183,'01. KE30'!$F:$F,'06. BC BH THEO CUSTOMER-USD'!$H183,'01. KE30'!$A:$A,'06. BC BH THEO CUSTOMER-USD'!CP$4)/DD183/'02. Tỷ giá'!M$5," -")</f>
        <v xml:space="preserve"> -</v>
      </c>
      <c r="CR183" s="112">
        <f t="shared" si="2121"/>
        <v>0.75</v>
      </c>
      <c r="CS183" s="114">
        <f>SUMIFS('01. KE30'!$I:$I,'01. KE30'!$C:$C,'06. BC BH THEO CUSTOMER-USD'!$D183,'01. KE30'!$F:$F,'06. BC BH THEO CUSTOMER-USD'!$H183,'01. KE30'!$A:$A,'06. BC BH THEO CUSTOMER-USD'!CS$4)/1000</f>
        <v>0</v>
      </c>
      <c r="CT183" s="114">
        <f>SUMIFS('01. KE30'!$I:$I,'01. KE30'!$C:$C,'06. BC BH THEO CUSTOMER-USD'!$D183,'01. KE30'!$F:$F,'06. BC BH THEO CUSTOMER-USD'!$H183,'01. KE30'!$A:$A,'06. BC BH THEO CUSTOMER-USD'!CT$4)/1000</f>
        <v>0.75</v>
      </c>
      <c r="CU183" s="114">
        <f>SUMIFS('01. KE30'!$I:$I,'01. KE30'!$C:$C,'06. BC BH THEO CUSTOMER-USD'!$D183,'01. KE30'!$F:$F,'06. BC BH THEO CUSTOMER-USD'!$H183,'01. KE30'!$A:$A,'06. BC BH THEO CUSTOMER-USD'!CU$4)/1000</f>
        <v>0</v>
      </c>
      <c r="CV183" s="114">
        <f>SUMIFS('01. KE30'!$I:$I,'01. KE30'!$C:$C,'06. BC BH THEO CUSTOMER-USD'!$D183,'01. KE30'!$F:$F,'06. BC BH THEO CUSTOMER-USD'!$H183,'01. KE30'!$A:$A,'06. BC BH THEO CUSTOMER-USD'!CV$4)/1000</f>
        <v>0</v>
      </c>
      <c r="CW183" s="114">
        <f>SUMIFS('01. KE30'!$I:$I,'01. KE30'!$C:$C,'06. BC BH THEO CUSTOMER-USD'!$D183,'01. KE30'!$F:$F,'06. BC BH THEO CUSTOMER-USD'!$H183,'01. KE30'!$A:$A,'06. BC BH THEO CUSTOMER-USD'!CW$4)/1000</f>
        <v>0</v>
      </c>
      <c r="CX183" s="114">
        <f>SUMIFS('01. KE30'!$I:$I,'01. KE30'!$C:$C,'06. BC BH THEO CUSTOMER-USD'!$D183,'01. KE30'!$F:$F,'06. BC BH THEO CUSTOMER-USD'!$H183,'01. KE30'!$A:$A,'06. BC BH THEO CUSTOMER-USD'!CX$4)/1000</f>
        <v>0</v>
      </c>
      <c r="CY183" s="114">
        <f>SUMIFS('01. KE30'!$I:$I,'01. KE30'!$C:$C,'06. BC BH THEO CUSTOMER-USD'!$D183,'01. KE30'!$F:$F,'06. BC BH THEO CUSTOMER-USD'!$H183,'01. KE30'!$A:$A,'06. BC BH THEO CUSTOMER-USD'!CY$4)/1000</f>
        <v>0</v>
      </c>
      <c r="CZ183" s="114">
        <f>SUMIFS('01. KE30'!$I:$I,'01. KE30'!$C:$C,'06. BC BH THEO CUSTOMER-USD'!$D183,'01. KE30'!$F:$F,'06. BC BH THEO CUSTOMER-USD'!$H183,'01. KE30'!$A:$A,'06. BC BH THEO CUSTOMER-USD'!CZ$4)/1000</f>
        <v>0</v>
      </c>
      <c r="DA183" s="114">
        <f>SUMIFS('01. KE30'!$I:$I,'01. KE30'!$C:$C,'06. BC BH THEO CUSTOMER-USD'!$D183,'01. KE30'!$F:$F,'06. BC BH THEO CUSTOMER-USD'!$H183,'01. KE30'!$A:$A,'06. BC BH THEO CUSTOMER-USD'!DA$4)/1000</f>
        <v>0</v>
      </c>
      <c r="DB183" s="114">
        <f>SUMIFS('01. KE30'!$I:$I,'01. KE30'!$C:$C,'06. BC BH THEO CUSTOMER-USD'!$D183,'01. KE30'!$F:$F,'06. BC BH THEO CUSTOMER-USD'!$H183,'01. KE30'!$A:$A,'06. BC BH THEO CUSTOMER-USD'!DB$4)/1000</f>
        <v>0</v>
      </c>
      <c r="DC183" s="114">
        <f>SUMIFS('01. KE30'!$I:$I,'01. KE30'!$C:$C,'06. BC BH THEO CUSTOMER-USD'!$D183,'01. KE30'!$F:$F,'06. BC BH THEO CUSTOMER-USD'!$H183,'01. KE30'!$A:$A,'06. BC BH THEO CUSTOMER-USD'!DC$4)/1000</f>
        <v>0</v>
      </c>
      <c r="DD183" s="114">
        <f>SUMIFS('01. KE30'!$I:$I,'01. KE30'!$C:$C,'06. BC BH THEO CUSTOMER-USD'!$D183,'01. KE30'!$F:$F,'06. BC BH THEO CUSTOMER-USD'!$H183,'01. KE30'!$A:$A,'06. BC BH THEO CUSTOMER-USD'!DD$4)/1000</f>
        <v>0</v>
      </c>
      <c r="DF183" s="112">
        <f t="shared" si="2037"/>
        <v>533.3464356045688</v>
      </c>
      <c r="DG183" s="54" t="str">
        <f t="shared" si="2038"/>
        <v>-</v>
      </c>
      <c r="DH183" s="54">
        <f t="shared" si="2039"/>
        <v>533.3464356045688</v>
      </c>
      <c r="DI183" s="54" t="str">
        <f t="shared" si="2040"/>
        <v>-</v>
      </c>
      <c r="DJ183" s="54" t="str">
        <f t="shared" si="2041"/>
        <v>-</v>
      </c>
      <c r="DK183" s="54" t="str">
        <f t="shared" si="2042"/>
        <v>-</v>
      </c>
      <c r="DL183" s="54" t="str">
        <f t="shared" si="2043"/>
        <v>-</v>
      </c>
      <c r="DM183" s="54" t="str">
        <f t="shared" si="2044"/>
        <v>-</v>
      </c>
      <c r="DN183" s="54" t="str">
        <f t="shared" si="2045"/>
        <v>-</v>
      </c>
      <c r="DO183" s="54" t="str">
        <f t="shared" si="2046"/>
        <v>-</v>
      </c>
      <c r="DP183" s="54" t="str">
        <f t="shared" si="2047"/>
        <v>-</v>
      </c>
      <c r="DQ183" s="54" t="str">
        <f t="shared" si="2048"/>
        <v>-</v>
      </c>
      <c r="DR183" s="54" t="str">
        <f t="shared" si="2049"/>
        <v>-</v>
      </c>
      <c r="DT183" s="112">
        <f t="shared" ref="DT183:DT186" si="2125">SUM(DU183:EF183)</f>
        <v>-192.80165419456489</v>
      </c>
      <c r="DU183" s="114">
        <f>IFERROR(SUMIFS('01. KE30'!$X:$X,'01. KE30'!$C:$C,'06. BC BH THEO CUSTOMER-USD'!$D183,'01. KE30'!$F:$F,'06. BC BH THEO CUSTOMER-USD'!$H183,'01. KE30'!$A:$A,'06. BC BH THEO CUSTOMER-USD'!DU$4)-SUMIFS('01. KE30'!$AA:$AA,'01. KE30'!$C:$C,'06. BC BH THEO CUSTOMER-USD'!$D183,'01. KE30'!$F:$F,'06. BC BH THEO CUSTOMER-USD'!$H183,'01. KE30'!$A:$A,'06. BC BH THEO CUSTOMER-USD'!DU$4),"-")</f>
        <v>0</v>
      </c>
      <c r="DV183" s="114">
        <f>IFERROR(SUMIFS('01. KE30'!$X:$X,'01. KE30'!$C:$C,'06. BC BH THEO CUSTOMER-USD'!$D183,'01. KE30'!$F:$F,'06. BC BH THEO CUSTOMER-USD'!$H183,'01. KE30'!$A:$A,'06. BC BH THEO CUSTOMER-USD'!DV$4)-SUMIFS('01. KE30'!$AA:$AA,'01. KE30'!$C:$C,'06. BC BH THEO CUSTOMER-USD'!$D183,'01. KE30'!$F:$F,'06. BC BH THEO CUSTOMER-USD'!$H183,'01. KE30'!$A:$A,'06. BC BH THEO CUSTOMER-USD'!DV$4),"-")</f>
        <v>-192.80165419456489</v>
      </c>
      <c r="DW183" s="114">
        <f>IFERROR(SUMIFS('01. KE30'!$X:$X,'01. KE30'!$C:$C,'06. BC BH THEO CUSTOMER-USD'!$D183,'01. KE30'!$F:$F,'06. BC BH THEO CUSTOMER-USD'!$H183,'01. KE30'!$A:$A,'06. BC BH THEO CUSTOMER-USD'!DW$4)-SUMIFS('01. KE30'!$AA:$AA,'01. KE30'!$C:$C,'06. BC BH THEO CUSTOMER-USD'!$D183,'01. KE30'!$F:$F,'06. BC BH THEO CUSTOMER-USD'!$H183,'01. KE30'!$A:$A,'06. BC BH THEO CUSTOMER-USD'!DW$4),"-")</f>
        <v>0</v>
      </c>
      <c r="DX183" s="114">
        <f>IFERROR(SUMIFS('01. KE30'!$X:$X,'01. KE30'!$C:$C,'06. BC BH THEO CUSTOMER-USD'!$D183,'01. KE30'!$F:$F,'06. BC BH THEO CUSTOMER-USD'!$H183,'01. KE30'!$A:$A,'06. BC BH THEO CUSTOMER-USD'!DX$4)-SUMIFS('01. KE30'!$AA:$AA,'01. KE30'!$C:$C,'06. BC BH THEO CUSTOMER-USD'!$D183,'01. KE30'!$F:$F,'06. BC BH THEO CUSTOMER-USD'!$H183,'01. KE30'!$A:$A,'06. BC BH THEO CUSTOMER-USD'!DX$4),"-")</f>
        <v>0</v>
      </c>
      <c r="DY183" s="114">
        <f>IFERROR(SUMIFS('01. KE30'!$X:$X,'01. KE30'!$C:$C,'06. BC BH THEO CUSTOMER-USD'!$D183,'01. KE30'!$F:$F,'06. BC BH THEO CUSTOMER-USD'!$H183,'01. KE30'!$A:$A,'06. BC BH THEO CUSTOMER-USD'!DY$4)-SUMIFS('01. KE30'!$AA:$AA,'01. KE30'!$C:$C,'06. BC BH THEO CUSTOMER-USD'!$D183,'01. KE30'!$F:$F,'06. BC BH THEO CUSTOMER-USD'!$H183,'01. KE30'!$A:$A,'06. BC BH THEO CUSTOMER-USD'!DY$4),"-")</f>
        <v>0</v>
      </c>
      <c r="DZ183" s="114">
        <f>IFERROR(SUMIFS('01. KE30'!$X:$X,'01. KE30'!$C:$C,'06. BC BH THEO CUSTOMER-USD'!$D183,'01. KE30'!$F:$F,'06. BC BH THEO CUSTOMER-USD'!$H183,'01. KE30'!$A:$A,'06. BC BH THEO CUSTOMER-USD'!DZ$4)-SUMIFS('01. KE30'!$AA:$AA,'01. KE30'!$C:$C,'06. BC BH THEO CUSTOMER-USD'!$D183,'01. KE30'!$F:$F,'06. BC BH THEO CUSTOMER-USD'!$H183,'01. KE30'!$A:$A,'06. BC BH THEO CUSTOMER-USD'!DZ$4),"-")</f>
        <v>0</v>
      </c>
      <c r="EA183" s="114">
        <f>IFERROR(SUMIFS('01. KE30'!$X:$X,'01. KE30'!$C:$C,'06. BC BH THEO CUSTOMER-USD'!$D183,'01. KE30'!$F:$F,'06. BC BH THEO CUSTOMER-USD'!$H183,'01. KE30'!$A:$A,'06. BC BH THEO CUSTOMER-USD'!EA$4)-SUMIFS('01. KE30'!$AA:$AA,'01. KE30'!$C:$C,'06. BC BH THEO CUSTOMER-USD'!$D183,'01. KE30'!$F:$F,'06. BC BH THEO CUSTOMER-USD'!$H183,'01. KE30'!$A:$A,'06. BC BH THEO CUSTOMER-USD'!EA$4),"-")</f>
        <v>0</v>
      </c>
      <c r="EB183" s="114">
        <f>IFERROR(SUMIFS('01. KE30'!$X:$X,'01. KE30'!$C:$C,'06. BC BH THEO CUSTOMER-USD'!$D183,'01. KE30'!$F:$F,'06. BC BH THEO CUSTOMER-USD'!$H183,'01. KE30'!$A:$A,'06. BC BH THEO CUSTOMER-USD'!EB$4)-SUMIFS('01. KE30'!$AA:$AA,'01. KE30'!$C:$C,'06. BC BH THEO CUSTOMER-USD'!$D183,'01. KE30'!$F:$F,'06. BC BH THEO CUSTOMER-USD'!$H183,'01. KE30'!$A:$A,'06. BC BH THEO CUSTOMER-USD'!EB$4),"-")</f>
        <v>0</v>
      </c>
      <c r="EC183" s="114">
        <f>IFERROR(SUMIFS('01. KE30'!$X:$X,'01. KE30'!$C:$C,'06. BC BH THEO CUSTOMER-USD'!$D183,'01. KE30'!$F:$F,'06. BC BH THEO CUSTOMER-USD'!$H183,'01. KE30'!$A:$A,'06. BC BH THEO CUSTOMER-USD'!EC$4)-SUMIFS('01. KE30'!$AA:$AA,'01. KE30'!$C:$C,'06. BC BH THEO CUSTOMER-USD'!$D183,'01. KE30'!$F:$F,'06. BC BH THEO CUSTOMER-USD'!$H183,'01. KE30'!$A:$A,'06. BC BH THEO CUSTOMER-USD'!EC$4),"-")</f>
        <v>0</v>
      </c>
      <c r="ED183" s="114">
        <f>IFERROR(SUMIFS('01. KE30'!$X:$X,'01. KE30'!$C:$C,'06. BC BH THEO CUSTOMER-USD'!$D183,'01. KE30'!$F:$F,'06. BC BH THEO CUSTOMER-USD'!$H183,'01. KE30'!$A:$A,'06. BC BH THEO CUSTOMER-USD'!ED$4)-SUMIFS('01. KE30'!$AA:$AA,'01. KE30'!$C:$C,'06. BC BH THEO CUSTOMER-USD'!$D183,'01. KE30'!$F:$F,'06. BC BH THEO CUSTOMER-USD'!$H183,'01. KE30'!$A:$A,'06. BC BH THEO CUSTOMER-USD'!ED$4),"-")</f>
        <v>0</v>
      </c>
      <c r="EE183" s="114">
        <f>IFERROR(SUMIFS('01. KE30'!$X:$X,'01. KE30'!$C:$C,'06. BC BH THEO CUSTOMER-USD'!$D183,'01. KE30'!$F:$F,'06. BC BH THEO CUSTOMER-USD'!$H183,'01. KE30'!$A:$A,'06. BC BH THEO CUSTOMER-USD'!EE$4)-SUMIFS('01. KE30'!$AA:$AA,'01. KE30'!$C:$C,'06. BC BH THEO CUSTOMER-USD'!$D183,'01. KE30'!$F:$F,'06. BC BH THEO CUSTOMER-USD'!$H183,'01. KE30'!$A:$A,'06. BC BH THEO CUSTOMER-USD'!EE$4),"-")</f>
        <v>0</v>
      </c>
      <c r="EF183" s="114">
        <f>IFERROR(SUMIFS('01. KE30'!$X:$X,'01. KE30'!$C:$C,'06. BC BH THEO CUSTOMER-USD'!$D183,'01. KE30'!$F:$F,'06. BC BH THEO CUSTOMER-USD'!$H183,'01. KE30'!$A:$A,'06. BC BH THEO CUSTOMER-USD'!EF$4)-SUMIFS('01. KE30'!$AA:$AA,'01. KE30'!$C:$C,'06. BC BH THEO CUSTOMER-USD'!$D183,'01. KE30'!$F:$F,'06. BC BH THEO CUSTOMER-USD'!$H183,'01. KE30'!$A:$A,'06. BC BH THEO CUSTOMER-USD'!EF$4),"-")</f>
        <v>0</v>
      </c>
      <c r="EH183" s="571">
        <f t="shared" si="1737"/>
        <v>-0.36149422087356181</v>
      </c>
      <c r="EI183" s="572" t="str">
        <f t="shared" si="1738"/>
        <v>-</v>
      </c>
      <c r="EJ183" s="572">
        <f t="shared" si="1739"/>
        <v>-0.36149422087356181</v>
      </c>
      <c r="EK183" s="572" t="str">
        <f t="shared" si="1740"/>
        <v>-</v>
      </c>
      <c r="EL183" s="572" t="str">
        <f t="shared" si="1741"/>
        <v>-</v>
      </c>
      <c r="EM183" s="572" t="str">
        <f t="shared" si="1742"/>
        <v>-</v>
      </c>
      <c r="EN183" s="572" t="str">
        <f t="shared" si="1743"/>
        <v>-</v>
      </c>
      <c r="EO183" s="572" t="str">
        <f t="shared" si="1744"/>
        <v>-</v>
      </c>
      <c r="EP183" s="572" t="str">
        <f t="shared" si="1745"/>
        <v>-</v>
      </c>
      <c r="EQ183" s="572" t="str">
        <f t="shared" si="1746"/>
        <v>-</v>
      </c>
      <c r="ER183" s="572" t="str">
        <f t="shared" si="1747"/>
        <v>-</v>
      </c>
      <c r="ES183" s="572" t="str">
        <f t="shared" si="1748"/>
        <v>-</v>
      </c>
      <c r="ET183" s="572" t="str">
        <f t="shared" si="1749"/>
        <v>-</v>
      </c>
    </row>
    <row r="184" spans="1:150" ht="15.5" hidden="1" outlineLevel="1" x14ac:dyDescent="0.35">
      <c r="A184" s="10">
        <f t="shared" si="1266"/>
        <v>10</v>
      </c>
      <c r="B184" s="10" t="s">
        <v>295</v>
      </c>
      <c r="C184" s="442" t="s">
        <v>489</v>
      </c>
      <c r="D184" s="9" t="s">
        <v>35</v>
      </c>
      <c r="E184" s="8" t="s">
        <v>34</v>
      </c>
      <c r="F184" s="12" t="s">
        <v>245</v>
      </c>
      <c r="G184" s="12" t="str">
        <f>_xlfn.XLOOKUP(F184,'Quy đổi'!$G$5:$G$32,'Quy đổi'!$H$5:$H$32,0)</f>
        <v>Nội địa</v>
      </c>
      <c r="H184" s="80" t="s">
        <v>33</v>
      </c>
      <c r="I184" s="20" t="s">
        <v>32</v>
      </c>
      <c r="J184" s="69" t="s">
        <v>22</v>
      </c>
      <c r="K184" s="5"/>
      <c r="L184" s="92" t="str">
        <f t="shared" si="1263"/>
        <v>-</v>
      </c>
      <c r="M184" s="106" t="str">
        <f>IFERROR(SUMIFS('01. KE30'!$K:$K,'01. KE30'!$C:$C,'06. BC BH THEO CUSTOMER-USD'!$D184,'01. KE30'!$F:$F,'06. BC BH THEO CUSTOMER-USD'!$H184,'01. KE30'!$A:$A,'06. BC BH THEO CUSTOMER-USD'!M$4)/'06. BC BH THEO CUSTOMER-USD'!CS184/'02. Tỷ giá'!B$5,"-")</f>
        <v>-</v>
      </c>
      <c r="N184" s="106" t="str">
        <f>IFERROR(SUMIFS('01. KE30'!$K:$K,'01. KE30'!$C:$C,'06. BC BH THEO CUSTOMER-USD'!$D184,'01. KE30'!$F:$F,'06. BC BH THEO CUSTOMER-USD'!$H184,'01. KE30'!$A:$A,'06. BC BH THEO CUSTOMER-USD'!N$4)/'06. BC BH THEO CUSTOMER-USD'!CT184/'02. Tỷ giá'!C$5,"-")</f>
        <v>-</v>
      </c>
      <c r="O184" s="106" t="str">
        <f>IFERROR(SUMIFS('01. KE30'!$K:$K,'01. KE30'!$C:$C,'06. BC BH THEO CUSTOMER-USD'!$D184,'01. KE30'!$F:$F,'06. BC BH THEO CUSTOMER-USD'!$H184,'01. KE30'!$A:$A,'06. BC BH THEO CUSTOMER-USD'!O$4)/'06. BC BH THEO CUSTOMER-USD'!CU184/'02. Tỷ giá'!D$5,"-")</f>
        <v>-</v>
      </c>
      <c r="P184" s="106" t="str">
        <f>IFERROR(SUMIFS('01. KE30'!$K:$K,'01. KE30'!$C:$C,'06. BC BH THEO CUSTOMER-USD'!$D184,'01. KE30'!$F:$F,'06. BC BH THEO CUSTOMER-USD'!$H184,'01. KE30'!$A:$A,'06. BC BH THEO CUSTOMER-USD'!P$4)/'06. BC BH THEO CUSTOMER-USD'!CV184/'02. Tỷ giá'!E$5,"-")</f>
        <v>-</v>
      </c>
      <c r="Q184" s="106" t="str">
        <f>IFERROR(SUMIFS('01. KE30'!$K:$K,'01. KE30'!$C:$C,'06. BC BH THEO CUSTOMER-USD'!$D184,'01. KE30'!$F:$F,'06. BC BH THEO CUSTOMER-USD'!$H184,'01. KE30'!$A:$A,'06. BC BH THEO CUSTOMER-USD'!Q$4)/'06. BC BH THEO CUSTOMER-USD'!CW184/'02. Tỷ giá'!F$5,"-")</f>
        <v>-</v>
      </c>
      <c r="R184" s="106" t="str">
        <f>IFERROR(SUMIFS('01. KE30'!$K:$K,'01. KE30'!$C:$C,'06. BC BH THEO CUSTOMER-USD'!$D184,'01. KE30'!$F:$F,'06. BC BH THEO CUSTOMER-USD'!$H184,'01. KE30'!$A:$A,'06. BC BH THEO CUSTOMER-USD'!R$4)/'06. BC BH THEO CUSTOMER-USD'!CX184/'02. Tỷ giá'!G$5,"-")</f>
        <v>-</v>
      </c>
      <c r="S184" s="106" t="str">
        <f>IFERROR(SUMIFS('01. KE30'!$K:$K,'01. KE30'!$C:$C,'06. BC BH THEO CUSTOMER-USD'!$D184,'01. KE30'!$F:$F,'06. BC BH THEO CUSTOMER-USD'!$H184,'01. KE30'!$A:$A,'06. BC BH THEO CUSTOMER-USD'!S$4)/'06. BC BH THEO CUSTOMER-USD'!CY184/'02. Tỷ giá'!H$5,"-")</f>
        <v>-</v>
      </c>
      <c r="T184" s="106" t="str">
        <f>IFERROR(SUMIFS('01. KE30'!$K:$K,'01. KE30'!$C:$C,'06. BC BH THEO CUSTOMER-USD'!$D184,'01. KE30'!$F:$F,'06. BC BH THEO CUSTOMER-USD'!$H184,'01. KE30'!$A:$A,'06. BC BH THEO CUSTOMER-USD'!T$4)/'06. BC BH THEO CUSTOMER-USD'!CZ184/'02. Tỷ giá'!I$5,"-")</f>
        <v>-</v>
      </c>
      <c r="U184" s="106" t="str">
        <f>IFERROR(SUMIFS('01. KE30'!$K:$K,'01. KE30'!$C:$C,'06. BC BH THEO CUSTOMER-USD'!$D184,'01. KE30'!$F:$F,'06. BC BH THEO CUSTOMER-USD'!$H184,'01. KE30'!$A:$A,'06. BC BH THEO CUSTOMER-USD'!U$4)/'06. BC BH THEO CUSTOMER-USD'!DA184/'02. Tỷ giá'!J$5,"-")</f>
        <v>-</v>
      </c>
      <c r="V184" s="106" t="str">
        <f>IFERROR(SUMIFS('01. KE30'!$K:$K,'01. KE30'!$C:$C,'06. BC BH THEO CUSTOMER-USD'!$D184,'01. KE30'!$F:$F,'06. BC BH THEO CUSTOMER-USD'!$H184,'01. KE30'!$A:$A,'06. BC BH THEO CUSTOMER-USD'!V$4)/'06. BC BH THEO CUSTOMER-USD'!DB184/'02. Tỷ giá'!K$5,"-")</f>
        <v>-</v>
      </c>
      <c r="W184" s="106" t="str">
        <f>IFERROR(SUMIFS('01. KE30'!$K:$K,'01. KE30'!$C:$C,'06. BC BH THEO CUSTOMER-USD'!$D184,'01. KE30'!$F:$F,'06. BC BH THEO CUSTOMER-USD'!$H184,'01. KE30'!$A:$A,'06. BC BH THEO CUSTOMER-USD'!W$4)/'06. BC BH THEO CUSTOMER-USD'!DC184/'02. Tỷ giá'!L$5,"-")</f>
        <v>-</v>
      </c>
      <c r="X184" s="106" t="str">
        <f>IFERROR(SUMIFS('01. KE30'!$K:$K,'01. KE30'!$C:$C,'06. BC BH THEO CUSTOMER-USD'!$D184,'01. KE30'!$F:$F,'06. BC BH THEO CUSTOMER-USD'!$H184,'01. KE30'!$A:$A,'06. BC BH THEO CUSTOMER-USD'!X$4)/'06. BC BH THEO CUSTOMER-USD'!DD184/'02. Tỷ giá'!M$5,"-")</f>
        <v>-</v>
      </c>
      <c r="Z184" s="92" t="str">
        <f t="shared" si="1264"/>
        <v>-</v>
      </c>
      <c r="AA184" s="147" t="str">
        <f>IFERROR(SUMIFS('01. KE30'!$O:$O,'01. KE30'!$C:$C,'06. BC BH THEO CUSTOMER-USD'!$D184,'01. KE30'!$F:$F,'06. BC BH THEO CUSTOMER-USD'!$H184,'01. KE30'!$A:$A,'06. BC BH THEO CUSTOMER-USD'!M$4)/'06. BC BH THEO CUSTOMER-USD'!CS184/'02. Tỷ giá'!B$5,"-")</f>
        <v>-</v>
      </c>
      <c r="AB184" s="147" t="str">
        <f>IFERROR(SUMIFS('01. KE30'!$O:$O,'01. KE30'!$C:$C,'06. BC BH THEO CUSTOMER-USD'!$D184,'01. KE30'!$F:$F,'06. BC BH THEO CUSTOMER-USD'!$H184,'01. KE30'!$A:$A,'06. BC BH THEO CUSTOMER-USD'!N$4)/'06. BC BH THEO CUSTOMER-USD'!CT184/'02. Tỷ giá'!C$5,"-")</f>
        <v>-</v>
      </c>
      <c r="AC184" s="147" t="str">
        <f>IFERROR(SUMIFS('01. KE30'!$O:$O,'01. KE30'!$C:$C,'06. BC BH THEO CUSTOMER-USD'!$D184,'01. KE30'!$F:$F,'06. BC BH THEO CUSTOMER-USD'!$H184,'01. KE30'!$A:$A,'06. BC BH THEO CUSTOMER-USD'!O$4)/'06. BC BH THEO CUSTOMER-USD'!CU184/'02. Tỷ giá'!D$5,"-")</f>
        <v>-</v>
      </c>
      <c r="AD184" s="147" t="str">
        <f>IFERROR(SUMIFS('01. KE30'!$O:$O,'01. KE30'!$C:$C,'06. BC BH THEO CUSTOMER-USD'!$D184,'01. KE30'!$F:$F,'06. BC BH THEO CUSTOMER-USD'!$H184,'01. KE30'!$A:$A,'06. BC BH THEO CUSTOMER-USD'!P$4)/'06. BC BH THEO CUSTOMER-USD'!CV184/'02. Tỷ giá'!E$5,"-")</f>
        <v>-</v>
      </c>
      <c r="AE184" s="147" t="str">
        <f>IFERROR(SUMIFS('01. KE30'!$O:$O,'01. KE30'!$C:$C,'06. BC BH THEO CUSTOMER-USD'!$D184,'01. KE30'!$F:$F,'06. BC BH THEO CUSTOMER-USD'!$H184,'01. KE30'!$A:$A,'06. BC BH THEO CUSTOMER-USD'!Q$4)/'06. BC BH THEO CUSTOMER-USD'!CW184/'02. Tỷ giá'!F$5,"-")</f>
        <v>-</v>
      </c>
      <c r="AF184" s="147" t="str">
        <f>IFERROR(SUMIFS('01. KE30'!$O:$O,'01. KE30'!$C:$C,'06. BC BH THEO CUSTOMER-USD'!$D184,'01. KE30'!$F:$F,'06. BC BH THEO CUSTOMER-USD'!$H184,'01. KE30'!$A:$A,'06. BC BH THEO CUSTOMER-USD'!R$4)/'06. BC BH THEO CUSTOMER-USD'!CX184/'02. Tỷ giá'!G$5,"-")</f>
        <v>-</v>
      </c>
      <c r="AG184" s="147" t="str">
        <f>IFERROR(SUMIFS('01. KE30'!$O:$O,'01. KE30'!$C:$C,'06. BC BH THEO CUSTOMER-USD'!$D184,'01. KE30'!$F:$F,'06. BC BH THEO CUSTOMER-USD'!$H184,'01. KE30'!$A:$A,'06. BC BH THEO CUSTOMER-USD'!S$4)/'06. BC BH THEO CUSTOMER-USD'!CY184/'02. Tỷ giá'!H$5,"-")</f>
        <v>-</v>
      </c>
      <c r="AH184" s="147" t="str">
        <f>IFERROR(SUMIFS('01. KE30'!$O:$O,'01. KE30'!$C:$C,'06. BC BH THEO CUSTOMER-USD'!$D184,'01. KE30'!$F:$F,'06. BC BH THEO CUSTOMER-USD'!$H184,'01. KE30'!$A:$A,'06. BC BH THEO CUSTOMER-USD'!T$4)/'06. BC BH THEO CUSTOMER-USD'!CZ184/'02. Tỷ giá'!I$5,"-")</f>
        <v>-</v>
      </c>
      <c r="AI184" s="147" t="str">
        <f>IFERROR(SUMIFS('01. KE30'!$O:$O,'01. KE30'!$C:$C,'06. BC BH THEO CUSTOMER-USD'!$D184,'01. KE30'!$F:$F,'06. BC BH THEO CUSTOMER-USD'!$H184,'01. KE30'!$A:$A,'06. BC BH THEO CUSTOMER-USD'!U$4)/'06. BC BH THEO CUSTOMER-USD'!DA184/'02. Tỷ giá'!J$5,"-")</f>
        <v>-</v>
      </c>
      <c r="AJ184" s="147" t="str">
        <f>IFERROR(SUMIFS('01. KE30'!$O:$O,'01. KE30'!$C:$C,'06. BC BH THEO CUSTOMER-USD'!$D184,'01. KE30'!$F:$F,'06. BC BH THEO CUSTOMER-USD'!$H184,'01. KE30'!$A:$A,'06. BC BH THEO CUSTOMER-USD'!V$4)/'06. BC BH THEO CUSTOMER-USD'!DB184/'02. Tỷ giá'!K$5,"-")</f>
        <v>-</v>
      </c>
      <c r="AK184" s="147" t="str">
        <f>IFERROR(SUMIFS('01. KE30'!$O:$O,'01. KE30'!$C:$C,'06. BC BH THEO CUSTOMER-USD'!$D184,'01. KE30'!$F:$F,'06. BC BH THEO CUSTOMER-USD'!$H184,'01. KE30'!$A:$A,'06. BC BH THEO CUSTOMER-USD'!W$4)/'06. BC BH THEO CUSTOMER-USD'!DC184/'02. Tỷ giá'!L$5,"-")</f>
        <v>-</v>
      </c>
      <c r="AL184" s="147" t="str">
        <f>IFERROR(SUMIFS('01. KE30'!$O:$O,'01. KE30'!$C:$C,'06. BC BH THEO CUSTOMER-USD'!$D184,'01. KE30'!$F:$F,'06. BC BH THEO CUSTOMER-USD'!$H184,'01. KE30'!$A:$A,'06. BC BH THEO CUSTOMER-USD'!X$4)/'06. BC BH THEO CUSTOMER-USD'!DD184/'02. Tỷ giá'!M$5,"-")</f>
        <v>-</v>
      </c>
      <c r="AN184" s="55">
        <f t="shared" si="1265"/>
        <v>737.22222222222217</v>
      </c>
      <c r="AO184" s="4">
        <v>825</v>
      </c>
      <c r="AP184" s="4">
        <v>750</v>
      </c>
      <c r="AQ184" s="4">
        <v>750</v>
      </c>
      <c r="AR184" s="4">
        <v>750</v>
      </c>
      <c r="AS184" s="4">
        <v>720</v>
      </c>
      <c r="AT184" s="4">
        <v>720</v>
      </c>
      <c r="AU184" s="4">
        <v>720</v>
      </c>
      <c r="AV184" s="4">
        <f t="shared" si="1272"/>
        <v>700</v>
      </c>
      <c r="AW184" s="4">
        <v>700</v>
      </c>
      <c r="AX184" s="4"/>
      <c r="AY184" s="4"/>
      <c r="AZ184" s="4"/>
      <c r="BB184" s="95" t="str">
        <f t="shared" si="2122"/>
        <v>-</v>
      </c>
      <c r="BC184" s="95" t="str">
        <f t="shared" si="2123"/>
        <v>-</v>
      </c>
      <c r="BD184" s="95" t="str">
        <f t="shared" si="2108"/>
        <v>-</v>
      </c>
      <c r="BE184" s="95" t="str">
        <f t="shared" si="2108"/>
        <v>-</v>
      </c>
      <c r="BF184" s="95" t="str">
        <f t="shared" si="2108"/>
        <v>-</v>
      </c>
      <c r="BG184" s="95" t="str">
        <f t="shared" si="2108"/>
        <v>-</v>
      </c>
      <c r="BH184" s="95" t="str">
        <f t="shared" si="2108"/>
        <v>-</v>
      </c>
      <c r="BI184" s="95" t="str">
        <f t="shared" si="2108"/>
        <v>-</v>
      </c>
      <c r="BJ184" s="95" t="str">
        <f t="shared" si="2108"/>
        <v>-</v>
      </c>
      <c r="BK184" s="95" t="str">
        <f t="shared" si="2108"/>
        <v>-</v>
      </c>
      <c r="BL184" s="95" t="str">
        <f t="shared" si="2108"/>
        <v>-</v>
      </c>
      <c r="BM184" s="95" t="str">
        <f t="shared" si="2108"/>
        <v>-</v>
      </c>
      <c r="BN184" s="95" t="str">
        <f t="shared" si="2108"/>
        <v>-</v>
      </c>
      <c r="BP184" s="143" t="str">
        <f t="shared" si="2124"/>
        <v>-</v>
      </c>
      <c r="BQ184" s="143" t="str">
        <f t="shared" si="2109"/>
        <v>-</v>
      </c>
      <c r="BR184" s="143" t="str">
        <f t="shared" si="2110"/>
        <v>-</v>
      </c>
      <c r="BS184" s="143" t="str">
        <f t="shared" si="2111"/>
        <v>-</v>
      </c>
      <c r="BT184" s="143" t="str">
        <f t="shared" si="2112"/>
        <v>-</v>
      </c>
      <c r="BU184" s="143" t="str">
        <f t="shared" si="2113"/>
        <v>-</v>
      </c>
      <c r="BV184" s="143" t="str">
        <f t="shared" si="2114"/>
        <v>-</v>
      </c>
      <c r="BW184" s="143" t="str">
        <f t="shared" si="2115"/>
        <v>-</v>
      </c>
      <c r="BX184" s="143" t="str">
        <f t="shared" si="2116"/>
        <v>-</v>
      </c>
      <c r="BY184" s="143" t="str">
        <f t="shared" si="2117"/>
        <v>-</v>
      </c>
      <c r="BZ184" s="143" t="str">
        <f t="shared" si="2118"/>
        <v>-</v>
      </c>
      <c r="CA184" s="143" t="str">
        <f t="shared" si="2119"/>
        <v>-</v>
      </c>
      <c r="CB184" s="143" t="str">
        <f t="shared" si="2120"/>
        <v>-</v>
      </c>
      <c r="CD184" s="112" t="str">
        <f t="shared" si="2036"/>
        <v>-</v>
      </c>
      <c r="CE184" s="95" t="str">
        <f>IFERROR(SUMIFS('01. KE30'!$R:$R,'01. KE30'!$C:$C,'06. BC BH THEO CUSTOMER-USD'!$D184,'01. KE30'!$F:$F,'06. BC BH THEO CUSTOMER-USD'!$H184,'01. KE30'!$A:$A,'06. BC BH THEO CUSTOMER-USD'!CE$4)/CS184/'02. Tỷ giá'!B$5," -")</f>
        <v xml:space="preserve"> -</v>
      </c>
      <c r="CF184" s="95" t="str">
        <f>IFERROR(SUMIFS('01. KE30'!$R:$R,'01. KE30'!$C:$C,'06. BC BH THEO CUSTOMER-USD'!$D184,'01. KE30'!$F:$F,'06. BC BH THEO CUSTOMER-USD'!$H184,'01. KE30'!$A:$A,'06. BC BH THEO CUSTOMER-USD'!CF$4)/CT184/'02. Tỷ giá'!C$5," -")</f>
        <v xml:space="preserve"> -</v>
      </c>
      <c r="CG184" s="95" t="str">
        <f>IFERROR(SUMIFS('01. KE30'!$R:$R,'01. KE30'!$C:$C,'06. BC BH THEO CUSTOMER-USD'!$D184,'01. KE30'!$F:$F,'06. BC BH THEO CUSTOMER-USD'!$H184,'01. KE30'!$A:$A,'06. BC BH THEO CUSTOMER-USD'!CG$4)/CU184/'02. Tỷ giá'!D$5," -")</f>
        <v xml:space="preserve"> -</v>
      </c>
      <c r="CH184" s="95" t="str">
        <f>IFERROR(SUMIFS('01. KE30'!$R:$R,'01. KE30'!$C:$C,'06. BC BH THEO CUSTOMER-USD'!$D184,'01. KE30'!$F:$F,'06. BC BH THEO CUSTOMER-USD'!$H184,'01. KE30'!$A:$A,'06. BC BH THEO CUSTOMER-USD'!CH$4)/CV184/'02. Tỷ giá'!E$5," -")</f>
        <v xml:space="preserve"> -</v>
      </c>
      <c r="CI184" s="95" t="str">
        <f>IFERROR(SUMIFS('01. KE30'!$R:$R,'01. KE30'!$C:$C,'06. BC BH THEO CUSTOMER-USD'!$D184,'01. KE30'!$F:$F,'06. BC BH THEO CUSTOMER-USD'!$H184,'01. KE30'!$A:$A,'06. BC BH THEO CUSTOMER-USD'!CI$4)/CW184/'02. Tỷ giá'!F$5," -")</f>
        <v xml:space="preserve"> -</v>
      </c>
      <c r="CJ184" s="95" t="str">
        <f>IFERROR(SUMIFS('01. KE30'!$R:$R,'01. KE30'!$C:$C,'06. BC BH THEO CUSTOMER-USD'!$D184,'01. KE30'!$F:$F,'06. BC BH THEO CUSTOMER-USD'!$H184,'01. KE30'!$A:$A,'06. BC BH THEO CUSTOMER-USD'!CJ$4)/CX184/'02. Tỷ giá'!G$5," -")</f>
        <v xml:space="preserve"> -</v>
      </c>
      <c r="CK184" s="95" t="str">
        <f>IFERROR(SUMIFS('01. KE30'!$R:$R,'01. KE30'!$C:$C,'06. BC BH THEO CUSTOMER-USD'!$D184,'01. KE30'!$F:$F,'06. BC BH THEO CUSTOMER-USD'!$H184,'01. KE30'!$A:$A,'06. BC BH THEO CUSTOMER-USD'!CK$4)/CY184/'02. Tỷ giá'!H$5," -")</f>
        <v xml:space="preserve"> -</v>
      </c>
      <c r="CL184" s="95" t="str">
        <f>IFERROR(SUMIFS('01. KE30'!$R:$R,'01. KE30'!$C:$C,'06. BC BH THEO CUSTOMER-USD'!$D184,'01. KE30'!$F:$F,'06. BC BH THEO CUSTOMER-USD'!$H184,'01. KE30'!$A:$A,'06. BC BH THEO CUSTOMER-USD'!CL$4)/CZ184/'02. Tỷ giá'!I$5," -")</f>
        <v xml:space="preserve"> -</v>
      </c>
      <c r="CM184" s="95" t="str">
        <f>IFERROR(SUMIFS('01. KE30'!$R:$R,'01. KE30'!$C:$C,'06. BC BH THEO CUSTOMER-USD'!$D184,'01. KE30'!$F:$F,'06. BC BH THEO CUSTOMER-USD'!$H184,'01. KE30'!$A:$A,'06. BC BH THEO CUSTOMER-USD'!CM$4)/DA184/'02. Tỷ giá'!J$5," -")</f>
        <v xml:space="preserve"> -</v>
      </c>
      <c r="CN184" s="95" t="str">
        <f>IFERROR(SUMIFS('01. KE30'!$R:$R,'01. KE30'!$C:$C,'06. BC BH THEO CUSTOMER-USD'!$D184,'01. KE30'!$F:$F,'06. BC BH THEO CUSTOMER-USD'!$H184,'01. KE30'!$A:$A,'06. BC BH THEO CUSTOMER-USD'!CN$4)/DB184/'02. Tỷ giá'!K$5," -")</f>
        <v xml:space="preserve"> -</v>
      </c>
      <c r="CO184" s="95" t="str">
        <f>IFERROR(SUMIFS('01. KE30'!$R:$R,'01. KE30'!$C:$C,'06. BC BH THEO CUSTOMER-USD'!$D184,'01. KE30'!$F:$F,'06. BC BH THEO CUSTOMER-USD'!$H184,'01. KE30'!$A:$A,'06. BC BH THEO CUSTOMER-USD'!CO$4)/DC184/'02. Tỷ giá'!L$5," -")</f>
        <v xml:space="preserve"> -</v>
      </c>
      <c r="CP184" s="95" t="str">
        <f>IFERROR(SUMIFS('01. KE30'!$R:$R,'01. KE30'!$C:$C,'06. BC BH THEO CUSTOMER-USD'!$D184,'01. KE30'!$F:$F,'06. BC BH THEO CUSTOMER-USD'!$H184,'01. KE30'!$A:$A,'06. BC BH THEO CUSTOMER-USD'!CP$4)/DD184/'02. Tỷ giá'!M$5," -")</f>
        <v xml:space="preserve"> -</v>
      </c>
      <c r="CR184" s="112">
        <f t="shared" si="1249"/>
        <v>0</v>
      </c>
      <c r="CS184" s="114">
        <f>SUMIFS('01. KE30'!$I:$I,'01. KE30'!$C:$C,'06. BC BH THEO CUSTOMER-USD'!$D184,'01. KE30'!$F:$F,'06. BC BH THEO CUSTOMER-USD'!$H184,'01. KE30'!$A:$A,'06. BC BH THEO CUSTOMER-USD'!CS$4)/1000</f>
        <v>0</v>
      </c>
      <c r="CT184" s="114">
        <f>SUMIFS('01. KE30'!$I:$I,'01. KE30'!$C:$C,'06. BC BH THEO CUSTOMER-USD'!$D184,'01. KE30'!$F:$F,'06. BC BH THEO CUSTOMER-USD'!$H184,'01. KE30'!$A:$A,'06. BC BH THEO CUSTOMER-USD'!CT$4)/1000</f>
        <v>0</v>
      </c>
      <c r="CU184" s="114">
        <f>SUMIFS('01. KE30'!$I:$I,'01. KE30'!$C:$C,'06. BC BH THEO CUSTOMER-USD'!$D184,'01. KE30'!$F:$F,'06. BC BH THEO CUSTOMER-USD'!$H184,'01. KE30'!$A:$A,'06. BC BH THEO CUSTOMER-USD'!CU$4)/1000</f>
        <v>0</v>
      </c>
      <c r="CV184" s="114">
        <f>SUMIFS('01. KE30'!$I:$I,'01. KE30'!$C:$C,'06. BC BH THEO CUSTOMER-USD'!$D184,'01. KE30'!$F:$F,'06. BC BH THEO CUSTOMER-USD'!$H184,'01. KE30'!$A:$A,'06. BC BH THEO CUSTOMER-USD'!CV$4)/1000</f>
        <v>0</v>
      </c>
      <c r="CW184" s="114">
        <f>SUMIFS('01. KE30'!$I:$I,'01. KE30'!$C:$C,'06. BC BH THEO CUSTOMER-USD'!$D184,'01. KE30'!$F:$F,'06. BC BH THEO CUSTOMER-USD'!$H184,'01. KE30'!$A:$A,'06. BC BH THEO CUSTOMER-USD'!CW$4)/1000</f>
        <v>0</v>
      </c>
      <c r="CX184" s="114">
        <f>SUMIFS('01. KE30'!$I:$I,'01. KE30'!$C:$C,'06. BC BH THEO CUSTOMER-USD'!$D184,'01. KE30'!$F:$F,'06. BC BH THEO CUSTOMER-USD'!$H184,'01. KE30'!$A:$A,'06. BC BH THEO CUSTOMER-USD'!CX$4)/1000</f>
        <v>0</v>
      </c>
      <c r="CY184" s="114">
        <f>SUMIFS('01. KE30'!$I:$I,'01. KE30'!$C:$C,'06. BC BH THEO CUSTOMER-USD'!$D184,'01. KE30'!$F:$F,'06. BC BH THEO CUSTOMER-USD'!$H184,'01. KE30'!$A:$A,'06. BC BH THEO CUSTOMER-USD'!CY$4)/1000</f>
        <v>0</v>
      </c>
      <c r="CZ184" s="114">
        <f>SUMIFS('01. KE30'!$I:$I,'01. KE30'!$C:$C,'06. BC BH THEO CUSTOMER-USD'!$D184,'01. KE30'!$F:$F,'06. BC BH THEO CUSTOMER-USD'!$H184,'01. KE30'!$A:$A,'06. BC BH THEO CUSTOMER-USD'!CZ$4)/1000</f>
        <v>0</v>
      </c>
      <c r="DA184" s="114">
        <f>SUMIFS('01. KE30'!$I:$I,'01. KE30'!$C:$C,'06. BC BH THEO CUSTOMER-USD'!$D184,'01. KE30'!$F:$F,'06. BC BH THEO CUSTOMER-USD'!$H184,'01. KE30'!$A:$A,'06. BC BH THEO CUSTOMER-USD'!DA$4)/1000</f>
        <v>0</v>
      </c>
      <c r="DB184" s="114">
        <f>SUMIFS('01. KE30'!$I:$I,'01. KE30'!$C:$C,'06. BC BH THEO CUSTOMER-USD'!$D184,'01. KE30'!$F:$F,'06. BC BH THEO CUSTOMER-USD'!$H184,'01. KE30'!$A:$A,'06. BC BH THEO CUSTOMER-USD'!DB$4)/1000</f>
        <v>0</v>
      </c>
      <c r="DC184" s="114">
        <f>SUMIFS('01. KE30'!$I:$I,'01. KE30'!$C:$C,'06. BC BH THEO CUSTOMER-USD'!$D184,'01. KE30'!$F:$F,'06. BC BH THEO CUSTOMER-USD'!$H184,'01. KE30'!$A:$A,'06. BC BH THEO CUSTOMER-USD'!DC$4)/1000</f>
        <v>0</v>
      </c>
      <c r="DD184" s="114">
        <f>SUMIFS('01. KE30'!$I:$I,'01. KE30'!$C:$C,'06. BC BH THEO CUSTOMER-USD'!$D184,'01. KE30'!$F:$F,'06. BC BH THEO CUSTOMER-USD'!$H184,'01. KE30'!$A:$A,'06. BC BH THEO CUSTOMER-USD'!DD$4)/1000</f>
        <v>0</v>
      </c>
      <c r="DF184" s="112">
        <f t="shared" si="2037"/>
        <v>0</v>
      </c>
      <c r="DG184" s="54" t="str">
        <f t="shared" si="2038"/>
        <v>-</v>
      </c>
      <c r="DH184" s="54" t="str">
        <f t="shared" si="2039"/>
        <v>-</v>
      </c>
      <c r="DI184" s="54" t="str">
        <f t="shared" si="2040"/>
        <v>-</v>
      </c>
      <c r="DJ184" s="54" t="str">
        <f t="shared" si="2041"/>
        <v>-</v>
      </c>
      <c r="DK184" s="54" t="str">
        <f t="shared" si="2042"/>
        <v>-</v>
      </c>
      <c r="DL184" s="54" t="str">
        <f t="shared" si="2043"/>
        <v>-</v>
      </c>
      <c r="DM184" s="54" t="str">
        <f t="shared" si="2044"/>
        <v>-</v>
      </c>
      <c r="DN184" s="54" t="str">
        <f t="shared" si="2045"/>
        <v>-</v>
      </c>
      <c r="DO184" s="54" t="str">
        <f t="shared" si="2046"/>
        <v>-</v>
      </c>
      <c r="DP184" s="54" t="str">
        <f t="shared" si="2047"/>
        <v>-</v>
      </c>
      <c r="DQ184" s="54" t="str">
        <f t="shared" si="2048"/>
        <v>-</v>
      </c>
      <c r="DR184" s="54" t="str">
        <f t="shared" si="2049"/>
        <v>-</v>
      </c>
      <c r="DT184" s="112">
        <f t="shared" si="2125"/>
        <v>0</v>
      </c>
      <c r="DU184" s="114">
        <f>IFERROR(SUMIFS('01. KE30'!$X:$X,'01. KE30'!$C:$C,'06. BC BH THEO CUSTOMER-USD'!$D184,'01. KE30'!$F:$F,'06. BC BH THEO CUSTOMER-USD'!$H184,'01. KE30'!$A:$A,'06. BC BH THEO CUSTOMER-USD'!DU$4)-SUMIFS('01. KE30'!$AA:$AA,'01. KE30'!$C:$C,'06. BC BH THEO CUSTOMER-USD'!$D184,'01. KE30'!$F:$F,'06. BC BH THEO CUSTOMER-USD'!$H184,'01. KE30'!$A:$A,'06. BC BH THEO CUSTOMER-USD'!DU$4),"-")</f>
        <v>0</v>
      </c>
      <c r="DV184" s="114">
        <f>IFERROR(SUMIFS('01. KE30'!$X:$X,'01. KE30'!$C:$C,'06. BC BH THEO CUSTOMER-USD'!$D184,'01. KE30'!$F:$F,'06. BC BH THEO CUSTOMER-USD'!$H184,'01. KE30'!$A:$A,'06. BC BH THEO CUSTOMER-USD'!DV$4)-SUMIFS('01. KE30'!$AA:$AA,'01. KE30'!$C:$C,'06. BC BH THEO CUSTOMER-USD'!$D184,'01. KE30'!$F:$F,'06. BC BH THEO CUSTOMER-USD'!$H184,'01. KE30'!$A:$A,'06. BC BH THEO CUSTOMER-USD'!DV$4),"-")</f>
        <v>0</v>
      </c>
      <c r="DW184" s="114">
        <f>IFERROR(SUMIFS('01. KE30'!$X:$X,'01. KE30'!$C:$C,'06. BC BH THEO CUSTOMER-USD'!$D184,'01. KE30'!$F:$F,'06. BC BH THEO CUSTOMER-USD'!$H184,'01. KE30'!$A:$A,'06. BC BH THEO CUSTOMER-USD'!DW$4)-SUMIFS('01. KE30'!$AA:$AA,'01. KE30'!$C:$C,'06. BC BH THEO CUSTOMER-USD'!$D184,'01. KE30'!$F:$F,'06. BC BH THEO CUSTOMER-USD'!$H184,'01. KE30'!$A:$A,'06. BC BH THEO CUSTOMER-USD'!DW$4),"-")</f>
        <v>0</v>
      </c>
      <c r="DX184" s="114">
        <f>IFERROR(SUMIFS('01. KE30'!$X:$X,'01. KE30'!$C:$C,'06. BC BH THEO CUSTOMER-USD'!$D184,'01. KE30'!$F:$F,'06. BC BH THEO CUSTOMER-USD'!$H184,'01. KE30'!$A:$A,'06. BC BH THEO CUSTOMER-USD'!DX$4)-SUMIFS('01. KE30'!$AA:$AA,'01. KE30'!$C:$C,'06. BC BH THEO CUSTOMER-USD'!$D184,'01. KE30'!$F:$F,'06. BC BH THEO CUSTOMER-USD'!$H184,'01. KE30'!$A:$A,'06. BC BH THEO CUSTOMER-USD'!DX$4),"-")</f>
        <v>0</v>
      </c>
      <c r="DY184" s="114">
        <f>IFERROR(SUMIFS('01. KE30'!$X:$X,'01. KE30'!$C:$C,'06. BC BH THEO CUSTOMER-USD'!$D184,'01. KE30'!$F:$F,'06. BC BH THEO CUSTOMER-USD'!$H184,'01. KE30'!$A:$A,'06. BC BH THEO CUSTOMER-USD'!DY$4)-SUMIFS('01. KE30'!$AA:$AA,'01. KE30'!$C:$C,'06. BC BH THEO CUSTOMER-USD'!$D184,'01. KE30'!$F:$F,'06. BC BH THEO CUSTOMER-USD'!$H184,'01. KE30'!$A:$A,'06. BC BH THEO CUSTOMER-USD'!DY$4),"-")</f>
        <v>0</v>
      </c>
      <c r="DZ184" s="114">
        <f>IFERROR(SUMIFS('01. KE30'!$X:$X,'01. KE30'!$C:$C,'06. BC BH THEO CUSTOMER-USD'!$D184,'01. KE30'!$F:$F,'06. BC BH THEO CUSTOMER-USD'!$H184,'01. KE30'!$A:$A,'06. BC BH THEO CUSTOMER-USD'!DZ$4)-SUMIFS('01. KE30'!$AA:$AA,'01. KE30'!$C:$C,'06. BC BH THEO CUSTOMER-USD'!$D184,'01. KE30'!$F:$F,'06. BC BH THEO CUSTOMER-USD'!$H184,'01. KE30'!$A:$A,'06. BC BH THEO CUSTOMER-USD'!DZ$4),"-")</f>
        <v>0</v>
      </c>
      <c r="EA184" s="114">
        <f>IFERROR(SUMIFS('01. KE30'!$X:$X,'01. KE30'!$C:$C,'06. BC BH THEO CUSTOMER-USD'!$D184,'01. KE30'!$F:$F,'06. BC BH THEO CUSTOMER-USD'!$H184,'01. KE30'!$A:$A,'06. BC BH THEO CUSTOMER-USD'!EA$4)-SUMIFS('01. KE30'!$AA:$AA,'01. KE30'!$C:$C,'06. BC BH THEO CUSTOMER-USD'!$D184,'01. KE30'!$F:$F,'06. BC BH THEO CUSTOMER-USD'!$H184,'01. KE30'!$A:$A,'06. BC BH THEO CUSTOMER-USD'!EA$4),"-")</f>
        <v>0</v>
      </c>
      <c r="EB184" s="114">
        <f>IFERROR(SUMIFS('01. KE30'!$X:$X,'01. KE30'!$C:$C,'06. BC BH THEO CUSTOMER-USD'!$D184,'01. KE30'!$F:$F,'06. BC BH THEO CUSTOMER-USD'!$H184,'01. KE30'!$A:$A,'06. BC BH THEO CUSTOMER-USD'!EB$4)-SUMIFS('01. KE30'!$AA:$AA,'01. KE30'!$C:$C,'06. BC BH THEO CUSTOMER-USD'!$D184,'01. KE30'!$F:$F,'06. BC BH THEO CUSTOMER-USD'!$H184,'01. KE30'!$A:$A,'06. BC BH THEO CUSTOMER-USD'!EB$4),"-")</f>
        <v>0</v>
      </c>
      <c r="EC184" s="114">
        <f>IFERROR(SUMIFS('01. KE30'!$X:$X,'01. KE30'!$C:$C,'06. BC BH THEO CUSTOMER-USD'!$D184,'01. KE30'!$F:$F,'06. BC BH THEO CUSTOMER-USD'!$H184,'01. KE30'!$A:$A,'06. BC BH THEO CUSTOMER-USD'!EC$4)-SUMIFS('01. KE30'!$AA:$AA,'01. KE30'!$C:$C,'06. BC BH THEO CUSTOMER-USD'!$D184,'01. KE30'!$F:$F,'06. BC BH THEO CUSTOMER-USD'!$H184,'01. KE30'!$A:$A,'06. BC BH THEO CUSTOMER-USD'!EC$4),"-")</f>
        <v>0</v>
      </c>
      <c r="ED184" s="114">
        <f>IFERROR(SUMIFS('01. KE30'!$X:$X,'01. KE30'!$C:$C,'06. BC BH THEO CUSTOMER-USD'!$D184,'01. KE30'!$F:$F,'06. BC BH THEO CUSTOMER-USD'!$H184,'01. KE30'!$A:$A,'06. BC BH THEO CUSTOMER-USD'!ED$4)-SUMIFS('01. KE30'!$AA:$AA,'01. KE30'!$C:$C,'06. BC BH THEO CUSTOMER-USD'!$D184,'01. KE30'!$F:$F,'06. BC BH THEO CUSTOMER-USD'!$H184,'01. KE30'!$A:$A,'06. BC BH THEO CUSTOMER-USD'!ED$4),"-")</f>
        <v>0</v>
      </c>
      <c r="EE184" s="114">
        <f>IFERROR(SUMIFS('01. KE30'!$X:$X,'01. KE30'!$C:$C,'06. BC BH THEO CUSTOMER-USD'!$D184,'01. KE30'!$F:$F,'06. BC BH THEO CUSTOMER-USD'!$H184,'01. KE30'!$A:$A,'06. BC BH THEO CUSTOMER-USD'!EE$4)-SUMIFS('01. KE30'!$AA:$AA,'01. KE30'!$C:$C,'06. BC BH THEO CUSTOMER-USD'!$D184,'01. KE30'!$F:$F,'06. BC BH THEO CUSTOMER-USD'!$H184,'01. KE30'!$A:$A,'06. BC BH THEO CUSTOMER-USD'!EE$4),"-")</f>
        <v>0</v>
      </c>
      <c r="EF184" s="114">
        <f>IFERROR(SUMIFS('01. KE30'!$X:$X,'01. KE30'!$C:$C,'06. BC BH THEO CUSTOMER-USD'!$D184,'01. KE30'!$F:$F,'06. BC BH THEO CUSTOMER-USD'!$H184,'01. KE30'!$A:$A,'06. BC BH THEO CUSTOMER-USD'!EF$4)-SUMIFS('01. KE30'!$AA:$AA,'01. KE30'!$C:$C,'06. BC BH THEO CUSTOMER-USD'!$D184,'01. KE30'!$F:$F,'06. BC BH THEO CUSTOMER-USD'!$H184,'01. KE30'!$A:$A,'06. BC BH THEO CUSTOMER-USD'!EF$4),"-")</f>
        <v>0</v>
      </c>
      <c r="EH184" s="571" t="str">
        <f t="shared" si="1737"/>
        <v>-</v>
      </c>
      <c r="EI184" s="572" t="str">
        <f t="shared" si="1738"/>
        <v>-</v>
      </c>
      <c r="EJ184" s="572" t="str">
        <f t="shared" si="1739"/>
        <v>-</v>
      </c>
      <c r="EK184" s="572" t="str">
        <f t="shared" si="1740"/>
        <v>-</v>
      </c>
      <c r="EL184" s="572" t="str">
        <f t="shared" si="1741"/>
        <v>-</v>
      </c>
      <c r="EM184" s="572" t="str">
        <f t="shared" si="1742"/>
        <v>-</v>
      </c>
      <c r="EN184" s="572" t="str">
        <f t="shared" si="1743"/>
        <v>-</v>
      </c>
      <c r="EO184" s="572" t="str">
        <f t="shared" si="1744"/>
        <v>-</v>
      </c>
      <c r="EP184" s="572" t="str">
        <f t="shared" si="1745"/>
        <v>-</v>
      </c>
      <c r="EQ184" s="572" t="str">
        <f t="shared" si="1746"/>
        <v>-</v>
      </c>
      <c r="ER184" s="572" t="str">
        <f t="shared" si="1747"/>
        <v>-</v>
      </c>
      <c r="ES184" s="572" t="str">
        <f t="shared" si="1748"/>
        <v>-</v>
      </c>
      <c r="ET184" s="572" t="str">
        <f t="shared" si="1749"/>
        <v>-</v>
      </c>
    </row>
    <row r="185" spans="1:150" ht="15.5" hidden="1" outlineLevel="1" x14ac:dyDescent="0.35">
      <c r="A185" s="10">
        <f t="shared" si="1266"/>
        <v>11</v>
      </c>
      <c r="B185" s="10" t="s">
        <v>295</v>
      </c>
      <c r="C185" s="442" t="s">
        <v>489</v>
      </c>
      <c r="D185" s="9" t="s">
        <v>643</v>
      </c>
      <c r="E185" s="8" t="s">
        <v>644</v>
      </c>
      <c r="F185" s="12" t="s">
        <v>245</v>
      </c>
      <c r="G185" s="12" t="str">
        <f>_xlfn.XLOOKUP(F185,'Quy đổi'!$G$5:$G$32,'Quy đổi'!$H$5:$H$32,0)</f>
        <v>Nội địa</v>
      </c>
      <c r="H185" s="80" t="s">
        <v>39</v>
      </c>
      <c r="I185" s="20" t="s">
        <v>38</v>
      </c>
      <c r="J185" s="69" t="s">
        <v>22</v>
      </c>
      <c r="K185" s="5"/>
      <c r="L185" s="92">
        <f t="shared" si="1263"/>
        <v>574.80314960629926</v>
      </c>
      <c r="M185" s="106" t="str">
        <f>IFERROR(SUMIFS('01. KE30'!$K:$K,'01. KE30'!$C:$C,'06. BC BH THEO CUSTOMER-USD'!$D185,'01. KE30'!$F:$F,'06. BC BH THEO CUSTOMER-USD'!$H185,'01. KE30'!$A:$A,'06. BC BH THEO CUSTOMER-USD'!M$4)/'06. BC BH THEO CUSTOMER-USD'!CS185/'02. Tỷ giá'!B$5,"-")</f>
        <v>-</v>
      </c>
      <c r="N185" s="106" t="str">
        <f>IFERROR(SUMIFS('01. KE30'!$K:$K,'01. KE30'!$C:$C,'06. BC BH THEO CUSTOMER-USD'!$D185,'01. KE30'!$F:$F,'06. BC BH THEO CUSTOMER-USD'!$H185,'01. KE30'!$A:$A,'06. BC BH THEO CUSTOMER-USD'!N$4)/'06. BC BH THEO CUSTOMER-USD'!CT185/'02. Tỷ giá'!C$5,"-")</f>
        <v>-</v>
      </c>
      <c r="O185" s="106">
        <f>IFERROR(SUMIFS('01. KE30'!$K:$K,'01. KE30'!$C:$C,'06. BC BH THEO CUSTOMER-USD'!$D185,'01. KE30'!$F:$F,'06. BC BH THEO CUSTOMER-USD'!$H185,'01. KE30'!$A:$A,'06. BC BH THEO CUSTOMER-USD'!O$4)/'06. BC BH THEO CUSTOMER-USD'!CU185/'02. Tỷ giá'!D$5,"-")</f>
        <v>574.80314960629926</v>
      </c>
      <c r="P185" s="106" t="str">
        <f>IFERROR(SUMIFS('01. KE30'!$K:$K,'01. KE30'!$C:$C,'06. BC BH THEO CUSTOMER-USD'!$D185,'01. KE30'!$F:$F,'06. BC BH THEO CUSTOMER-USD'!$H185,'01. KE30'!$A:$A,'06. BC BH THEO CUSTOMER-USD'!P$4)/'06. BC BH THEO CUSTOMER-USD'!CV185/'02. Tỷ giá'!E$5,"-")</f>
        <v>-</v>
      </c>
      <c r="Q185" s="106" t="str">
        <f>IFERROR(SUMIFS('01. KE30'!$K:$K,'01. KE30'!$C:$C,'06. BC BH THEO CUSTOMER-USD'!$D185,'01. KE30'!$F:$F,'06. BC BH THEO CUSTOMER-USD'!$H185,'01. KE30'!$A:$A,'06. BC BH THEO CUSTOMER-USD'!Q$4)/'06. BC BH THEO CUSTOMER-USD'!CW185/'02. Tỷ giá'!F$5,"-")</f>
        <v>-</v>
      </c>
      <c r="R185" s="106" t="str">
        <f>IFERROR(SUMIFS('01. KE30'!$K:$K,'01. KE30'!$C:$C,'06. BC BH THEO CUSTOMER-USD'!$D185,'01. KE30'!$F:$F,'06. BC BH THEO CUSTOMER-USD'!$H185,'01. KE30'!$A:$A,'06. BC BH THEO CUSTOMER-USD'!R$4)/'06. BC BH THEO CUSTOMER-USD'!CX185/'02. Tỷ giá'!G$5,"-")</f>
        <v>-</v>
      </c>
      <c r="S185" s="106" t="str">
        <f>IFERROR(SUMIFS('01. KE30'!$K:$K,'01. KE30'!$C:$C,'06. BC BH THEO CUSTOMER-USD'!$D185,'01. KE30'!$F:$F,'06. BC BH THEO CUSTOMER-USD'!$H185,'01. KE30'!$A:$A,'06. BC BH THEO CUSTOMER-USD'!S$4)/'06. BC BH THEO CUSTOMER-USD'!CY185/'02. Tỷ giá'!H$5,"-")</f>
        <v>-</v>
      </c>
      <c r="T185" s="106" t="str">
        <f>IFERROR(SUMIFS('01. KE30'!$K:$K,'01. KE30'!$C:$C,'06. BC BH THEO CUSTOMER-USD'!$D185,'01. KE30'!$F:$F,'06. BC BH THEO CUSTOMER-USD'!$H185,'01. KE30'!$A:$A,'06. BC BH THEO CUSTOMER-USD'!T$4)/'06. BC BH THEO CUSTOMER-USD'!CZ185/'02. Tỷ giá'!I$5,"-")</f>
        <v>-</v>
      </c>
      <c r="U185" s="106" t="str">
        <f>IFERROR(SUMIFS('01. KE30'!$K:$K,'01. KE30'!$C:$C,'06. BC BH THEO CUSTOMER-USD'!$D185,'01. KE30'!$F:$F,'06. BC BH THEO CUSTOMER-USD'!$H185,'01. KE30'!$A:$A,'06. BC BH THEO CUSTOMER-USD'!U$4)/'06. BC BH THEO CUSTOMER-USD'!DA185/'02. Tỷ giá'!J$5,"-")</f>
        <v>-</v>
      </c>
      <c r="V185" s="106" t="str">
        <f>IFERROR(SUMIFS('01. KE30'!$K:$K,'01. KE30'!$C:$C,'06. BC BH THEO CUSTOMER-USD'!$D185,'01. KE30'!$F:$F,'06. BC BH THEO CUSTOMER-USD'!$H185,'01. KE30'!$A:$A,'06. BC BH THEO CUSTOMER-USD'!V$4)/'06. BC BH THEO CUSTOMER-USD'!DB185/'02. Tỷ giá'!K$5,"-")</f>
        <v>-</v>
      </c>
      <c r="W185" s="106" t="str">
        <f>IFERROR(SUMIFS('01. KE30'!$K:$K,'01. KE30'!$C:$C,'06. BC BH THEO CUSTOMER-USD'!$D185,'01. KE30'!$F:$F,'06. BC BH THEO CUSTOMER-USD'!$H185,'01. KE30'!$A:$A,'06. BC BH THEO CUSTOMER-USD'!W$4)/'06. BC BH THEO CUSTOMER-USD'!DC185/'02. Tỷ giá'!L$5,"-")</f>
        <v>-</v>
      </c>
      <c r="X185" s="106" t="str">
        <f>IFERROR(SUMIFS('01. KE30'!$K:$K,'01. KE30'!$C:$C,'06. BC BH THEO CUSTOMER-USD'!$D185,'01. KE30'!$F:$F,'06. BC BH THEO CUSTOMER-USD'!$H185,'01. KE30'!$A:$A,'06. BC BH THEO CUSTOMER-USD'!X$4)/'06. BC BH THEO CUSTOMER-USD'!DD185/'02. Tỷ giá'!M$5,"-")</f>
        <v>-</v>
      </c>
      <c r="Z185" s="92">
        <f t="shared" si="1264"/>
        <v>574.80314960629926</v>
      </c>
      <c r="AA185" s="147" t="str">
        <f>IFERROR(SUMIFS('01. KE30'!$O:$O,'01. KE30'!$C:$C,'06. BC BH THEO CUSTOMER-USD'!$D185,'01. KE30'!$F:$F,'06. BC BH THEO CUSTOMER-USD'!$H185,'01. KE30'!$A:$A,'06. BC BH THEO CUSTOMER-USD'!M$4)/'06. BC BH THEO CUSTOMER-USD'!CS185/'02. Tỷ giá'!B$5,"-")</f>
        <v>-</v>
      </c>
      <c r="AB185" s="147" t="str">
        <f>IFERROR(SUMIFS('01. KE30'!$O:$O,'01. KE30'!$C:$C,'06. BC BH THEO CUSTOMER-USD'!$D185,'01. KE30'!$F:$F,'06. BC BH THEO CUSTOMER-USD'!$H185,'01. KE30'!$A:$A,'06. BC BH THEO CUSTOMER-USD'!N$4)/'06. BC BH THEO CUSTOMER-USD'!CT185/'02. Tỷ giá'!C$5,"-")</f>
        <v>-</v>
      </c>
      <c r="AC185" s="147">
        <f>IFERROR(SUMIFS('01. KE30'!$O:$O,'01. KE30'!$C:$C,'06. BC BH THEO CUSTOMER-USD'!$D185,'01. KE30'!$F:$F,'06. BC BH THEO CUSTOMER-USD'!$H185,'01. KE30'!$A:$A,'06. BC BH THEO CUSTOMER-USD'!O$4)/'06. BC BH THEO CUSTOMER-USD'!CU185/'02. Tỷ giá'!D$5,"-")</f>
        <v>574.80314960629926</v>
      </c>
      <c r="AD185" s="147" t="str">
        <f>IFERROR(SUMIFS('01. KE30'!$O:$O,'01. KE30'!$C:$C,'06. BC BH THEO CUSTOMER-USD'!$D185,'01. KE30'!$F:$F,'06. BC BH THEO CUSTOMER-USD'!$H185,'01. KE30'!$A:$A,'06. BC BH THEO CUSTOMER-USD'!P$4)/'06. BC BH THEO CUSTOMER-USD'!CV185/'02. Tỷ giá'!E$5,"-")</f>
        <v>-</v>
      </c>
      <c r="AE185" s="147" t="str">
        <f>IFERROR(SUMIFS('01. KE30'!$O:$O,'01. KE30'!$C:$C,'06. BC BH THEO CUSTOMER-USD'!$D185,'01. KE30'!$F:$F,'06. BC BH THEO CUSTOMER-USD'!$H185,'01. KE30'!$A:$A,'06. BC BH THEO CUSTOMER-USD'!Q$4)/'06. BC BH THEO CUSTOMER-USD'!CW185/'02. Tỷ giá'!F$5,"-")</f>
        <v>-</v>
      </c>
      <c r="AF185" s="147" t="str">
        <f>IFERROR(SUMIFS('01. KE30'!$O:$O,'01. KE30'!$C:$C,'06. BC BH THEO CUSTOMER-USD'!$D185,'01. KE30'!$F:$F,'06. BC BH THEO CUSTOMER-USD'!$H185,'01. KE30'!$A:$A,'06. BC BH THEO CUSTOMER-USD'!R$4)/'06. BC BH THEO CUSTOMER-USD'!CX185/'02. Tỷ giá'!G$5,"-")</f>
        <v>-</v>
      </c>
      <c r="AG185" s="147" t="str">
        <f>IFERROR(SUMIFS('01. KE30'!$O:$O,'01. KE30'!$C:$C,'06. BC BH THEO CUSTOMER-USD'!$D185,'01. KE30'!$F:$F,'06. BC BH THEO CUSTOMER-USD'!$H185,'01. KE30'!$A:$A,'06. BC BH THEO CUSTOMER-USD'!S$4)/'06. BC BH THEO CUSTOMER-USD'!CY185/'02. Tỷ giá'!H$5,"-")</f>
        <v>-</v>
      </c>
      <c r="AH185" s="147" t="str">
        <f>IFERROR(SUMIFS('01. KE30'!$O:$O,'01. KE30'!$C:$C,'06. BC BH THEO CUSTOMER-USD'!$D185,'01. KE30'!$F:$F,'06. BC BH THEO CUSTOMER-USD'!$H185,'01. KE30'!$A:$A,'06. BC BH THEO CUSTOMER-USD'!T$4)/'06. BC BH THEO CUSTOMER-USD'!CZ185/'02. Tỷ giá'!I$5,"-")</f>
        <v>-</v>
      </c>
      <c r="AI185" s="147" t="str">
        <f>IFERROR(SUMIFS('01. KE30'!$O:$O,'01. KE30'!$C:$C,'06. BC BH THEO CUSTOMER-USD'!$D185,'01. KE30'!$F:$F,'06. BC BH THEO CUSTOMER-USD'!$H185,'01. KE30'!$A:$A,'06. BC BH THEO CUSTOMER-USD'!U$4)/'06. BC BH THEO CUSTOMER-USD'!DA185/'02. Tỷ giá'!J$5,"-")</f>
        <v>-</v>
      </c>
      <c r="AJ185" s="147" t="str">
        <f>IFERROR(SUMIFS('01. KE30'!$O:$O,'01. KE30'!$C:$C,'06. BC BH THEO CUSTOMER-USD'!$D185,'01. KE30'!$F:$F,'06. BC BH THEO CUSTOMER-USD'!$H185,'01. KE30'!$A:$A,'06. BC BH THEO CUSTOMER-USD'!V$4)/'06. BC BH THEO CUSTOMER-USD'!DB185/'02. Tỷ giá'!K$5,"-")</f>
        <v>-</v>
      </c>
      <c r="AK185" s="147" t="str">
        <f>IFERROR(SUMIFS('01. KE30'!$O:$O,'01. KE30'!$C:$C,'06. BC BH THEO CUSTOMER-USD'!$D185,'01. KE30'!$F:$F,'06. BC BH THEO CUSTOMER-USD'!$H185,'01. KE30'!$A:$A,'06. BC BH THEO CUSTOMER-USD'!W$4)/'06. BC BH THEO CUSTOMER-USD'!DC185/'02. Tỷ giá'!L$5,"-")</f>
        <v>-</v>
      </c>
      <c r="AL185" s="147" t="str">
        <f>IFERROR(SUMIFS('01. KE30'!$O:$O,'01. KE30'!$C:$C,'06. BC BH THEO CUSTOMER-USD'!$D185,'01. KE30'!$F:$F,'06. BC BH THEO CUSTOMER-USD'!$H185,'01. KE30'!$A:$A,'06. BC BH THEO CUSTOMER-USD'!X$4)/'06. BC BH THEO CUSTOMER-USD'!DD185/'02. Tỷ giá'!M$5,"-")</f>
        <v>-</v>
      </c>
      <c r="AN185" s="55">
        <f t="shared" si="1265"/>
        <v>737.22222222222217</v>
      </c>
      <c r="AO185" s="4">
        <v>825</v>
      </c>
      <c r="AP185" s="4">
        <v>750</v>
      </c>
      <c r="AQ185" s="4">
        <v>750</v>
      </c>
      <c r="AR185" s="4">
        <v>750</v>
      </c>
      <c r="AS185" s="4">
        <v>720</v>
      </c>
      <c r="AT185" s="4">
        <v>720</v>
      </c>
      <c r="AU185" s="4">
        <v>720</v>
      </c>
      <c r="AV185" s="4">
        <f t="shared" si="1272"/>
        <v>700</v>
      </c>
      <c r="AW185" s="4">
        <v>700</v>
      </c>
      <c r="AX185" s="4"/>
      <c r="AY185" s="4"/>
      <c r="AZ185" s="4"/>
      <c r="BB185" s="95">
        <f t="shared" si="2122"/>
        <v>-162.41907261592291</v>
      </c>
      <c r="BC185" s="95" t="str">
        <f t="shared" si="2123"/>
        <v>-</v>
      </c>
      <c r="BD185" s="95" t="str">
        <f t="shared" si="2108"/>
        <v>-</v>
      </c>
      <c r="BE185" s="95">
        <f t="shared" si="2108"/>
        <v>-175.19685039370074</v>
      </c>
      <c r="BF185" s="95" t="str">
        <f t="shared" si="2108"/>
        <v>-</v>
      </c>
      <c r="BG185" s="95" t="str">
        <f t="shared" si="2108"/>
        <v>-</v>
      </c>
      <c r="BH185" s="95" t="str">
        <f t="shared" si="2108"/>
        <v>-</v>
      </c>
      <c r="BI185" s="95" t="str">
        <f t="shared" si="2108"/>
        <v>-</v>
      </c>
      <c r="BJ185" s="95" t="str">
        <f t="shared" si="2108"/>
        <v>-</v>
      </c>
      <c r="BK185" s="95" t="str">
        <f t="shared" si="2108"/>
        <v>-</v>
      </c>
      <c r="BL185" s="95" t="str">
        <f t="shared" si="2108"/>
        <v>-</v>
      </c>
      <c r="BM185" s="95" t="str">
        <f t="shared" si="2108"/>
        <v>-</v>
      </c>
      <c r="BN185" s="95" t="str">
        <f t="shared" si="2108"/>
        <v>-</v>
      </c>
      <c r="BP185" s="143">
        <f t="shared" si="2124"/>
        <v>-0.22031223112936041</v>
      </c>
      <c r="BQ185" s="143" t="str">
        <f t="shared" si="2109"/>
        <v>-</v>
      </c>
      <c r="BR185" s="143" t="str">
        <f t="shared" si="2110"/>
        <v>-</v>
      </c>
      <c r="BS185" s="143">
        <f t="shared" si="2111"/>
        <v>-0.23359580052493431</v>
      </c>
      <c r="BT185" s="143" t="str">
        <f t="shared" si="2112"/>
        <v>-</v>
      </c>
      <c r="BU185" s="143" t="str">
        <f t="shared" si="2113"/>
        <v>-</v>
      </c>
      <c r="BV185" s="143" t="str">
        <f t="shared" si="2114"/>
        <v>-</v>
      </c>
      <c r="BW185" s="143" t="str">
        <f t="shared" si="2115"/>
        <v>-</v>
      </c>
      <c r="BX185" s="143" t="str">
        <f t="shared" si="2116"/>
        <v>-</v>
      </c>
      <c r="BY185" s="143" t="str">
        <f t="shared" si="2117"/>
        <v>-</v>
      </c>
      <c r="BZ185" s="143" t="str">
        <f t="shared" si="2118"/>
        <v>-</v>
      </c>
      <c r="CA185" s="143" t="str">
        <f t="shared" si="2119"/>
        <v>-</v>
      </c>
      <c r="CB185" s="143" t="str">
        <f t="shared" si="2120"/>
        <v>-</v>
      </c>
      <c r="CD185" s="112">
        <f t="shared" si="2036"/>
        <v>981.00494488188986</v>
      </c>
      <c r="CE185" s="95" t="str">
        <f>IFERROR(SUMIFS('01. KE30'!$R:$R,'01. KE30'!$C:$C,'06. BC BH THEO CUSTOMER-USD'!$D185,'01. KE30'!$F:$F,'06. BC BH THEO CUSTOMER-USD'!$H185,'01. KE30'!$A:$A,'06. BC BH THEO CUSTOMER-USD'!CE$4)/CS185/'02. Tỷ giá'!B$5," -")</f>
        <v xml:space="preserve"> -</v>
      </c>
      <c r="CF185" s="95" t="str">
        <f>IFERROR(SUMIFS('01. KE30'!$R:$R,'01. KE30'!$C:$C,'06. BC BH THEO CUSTOMER-USD'!$D185,'01. KE30'!$F:$F,'06. BC BH THEO CUSTOMER-USD'!$H185,'01. KE30'!$A:$A,'06. BC BH THEO CUSTOMER-USD'!CF$4)/CT185/'02. Tỷ giá'!C$5," -")</f>
        <v xml:space="preserve"> -</v>
      </c>
      <c r="CG185" s="95">
        <f>IFERROR(SUMIFS('01. KE30'!$R:$R,'01. KE30'!$C:$C,'06. BC BH THEO CUSTOMER-USD'!$D185,'01. KE30'!$F:$F,'06. BC BH THEO CUSTOMER-USD'!$H185,'01. KE30'!$A:$A,'06. BC BH THEO CUSTOMER-USD'!CG$4)/CU185/'02. Tỷ giá'!D$5," -")</f>
        <v>981.00494488188986</v>
      </c>
      <c r="CH185" s="95" t="str">
        <f>IFERROR(SUMIFS('01. KE30'!$R:$R,'01. KE30'!$C:$C,'06. BC BH THEO CUSTOMER-USD'!$D185,'01. KE30'!$F:$F,'06. BC BH THEO CUSTOMER-USD'!$H185,'01. KE30'!$A:$A,'06. BC BH THEO CUSTOMER-USD'!CH$4)/CV185/'02. Tỷ giá'!E$5," -")</f>
        <v xml:space="preserve"> -</v>
      </c>
      <c r="CI185" s="95" t="str">
        <f>IFERROR(SUMIFS('01. KE30'!$R:$R,'01. KE30'!$C:$C,'06. BC BH THEO CUSTOMER-USD'!$D185,'01. KE30'!$F:$F,'06. BC BH THEO CUSTOMER-USD'!$H185,'01. KE30'!$A:$A,'06. BC BH THEO CUSTOMER-USD'!CI$4)/CW185/'02. Tỷ giá'!F$5," -")</f>
        <v xml:space="preserve"> -</v>
      </c>
      <c r="CJ185" s="95" t="str">
        <f>IFERROR(SUMIFS('01. KE30'!$R:$R,'01. KE30'!$C:$C,'06. BC BH THEO CUSTOMER-USD'!$D185,'01. KE30'!$F:$F,'06. BC BH THEO CUSTOMER-USD'!$H185,'01. KE30'!$A:$A,'06. BC BH THEO CUSTOMER-USD'!CJ$4)/CX185/'02. Tỷ giá'!G$5," -")</f>
        <v xml:space="preserve"> -</v>
      </c>
      <c r="CK185" s="95" t="str">
        <f>IFERROR(SUMIFS('01. KE30'!$R:$R,'01. KE30'!$C:$C,'06. BC BH THEO CUSTOMER-USD'!$D185,'01. KE30'!$F:$F,'06. BC BH THEO CUSTOMER-USD'!$H185,'01. KE30'!$A:$A,'06. BC BH THEO CUSTOMER-USD'!CK$4)/CY185/'02. Tỷ giá'!H$5," -")</f>
        <v xml:space="preserve"> -</v>
      </c>
      <c r="CL185" s="95" t="str">
        <f>IFERROR(SUMIFS('01. KE30'!$R:$R,'01. KE30'!$C:$C,'06. BC BH THEO CUSTOMER-USD'!$D185,'01. KE30'!$F:$F,'06. BC BH THEO CUSTOMER-USD'!$H185,'01. KE30'!$A:$A,'06. BC BH THEO CUSTOMER-USD'!CL$4)/CZ185/'02. Tỷ giá'!I$5," -")</f>
        <v xml:space="preserve"> -</v>
      </c>
      <c r="CM185" s="95" t="str">
        <f>IFERROR(SUMIFS('01. KE30'!$R:$R,'01. KE30'!$C:$C,'06. BC BH THEO CUSTOMER-USD'!$D185,'01. KE30'!$F:$F,'06. BC BH THEO CUSTOMER-USD'!$H185,'01. KE30'!$A:$A,'06. BC BH THEO CUSTOMER-USD'!CM$4)/DA185/'02. Tỷ giá'!J$5," -")</f>
        <v xml:space="preserve"> -</v>
      </c>
      <c r="CN185" s="95" t="str">
        <f>IFERROR(SUMIFS('01. KE30'!$R:$R,'01. KE30'!$C:$C,'06. BC BH THEO CUSTOMER-USD'!$D185,'01. KE30'!$F:$F,'06. BC BH THEO CUSTOMER-USD'!$H185,'01. KE30'!$A:$A,'06. BC BH THEO CUSTOMER-USD'!CN$4)/DB185/'02. Tỷ giá'!K$5," -")</f>
        <v xml:space="preserve"> -</v>
      </c>
      <c r="CO185" s="95" t="str">
        <f>IFERROR(SUMIFS('01. KE30'!$R:$R,'01. KE30'!$C:$C,'06. BC BH THEO CUSTOMER-USD'!$D185,'01. KE30'!$F:$F,'06. BC BH THEO CUSTOMER-USD'!$H185,'01. KE30'!$A:$A,'06. BC BH THEO CUSTOMER-USD'!CO$4)/DC185/'02. Tỷ giá'!L$5," -")</f>
        <v xml:space="preserve"> -</v>
      </c>
      <c r="CP185" s="95" t="str">
        <f>IFERROR(SUMIFS('01. KE30'!$R:$R,'01. KE30'!$C:$C,'06. BC BH THEO CUSTOMER-USD'!$D185,'01. KE30'!$F:$F,'06. BC BH THEO CUSTOMER-USD'!$H185,'01. KE30'!$A:$A,'06. BC BH THEO CUSTOMER-USD'!CP$4)/DD185/'02. Tỷ giá'!M$5," -")</f>
        <v xml:space="preserve"> -</v>
      </c>
      <c r="CR185" s="112">
        <f t="shared" si="1249"/>
        <v>10</v>
      </c>
      <c r="CS185" s="114">
        <f>SUMIFS('01. KE30'!$I:$I,'01. KE30'!$C:$C,'06. BC BH THEO CUSTOMER-USD'!$D185,'01. KE30'!$F:$F,'06. BC BH THEO CUSTOMER-USD'!$H185,'01. KE30'!$A:$A,'06. BC BH THEO CUSTOMER-USD'!CS$4)/1000</f>
        <v>0</v>
      </c>
      <c r="CT185" s="114">
        <f>SUMIFS('01. KE30'!$I:$I,'01. KE30'!$C:$C,'06. BC BH THEO CUSTOMER-USD'!$D185,'01. KE30'!$F:$F,'06. BC BH THEO CUSTOMER-USD'!$H185,'01. KE30'!$A:$A,'06. BC BH THEO CUSTOMER-USD'!CT$4)/1000</f>
        <v>0</v>
      </c>
      <c r="CU185" s="114">
        <f>SUMIFS('01. KE30'!$I:$I,'01. KE30'!$C:$C,'06. BC BH THEO CUSTOMER-USD'!$D185,'01. KE30'!$F:$F,'06. BC BH THEO CUSTOMER-USD'!$H185,'01. KE30'!$A:$A,'06. BC BH THEO CUSTOMER-USD'!CU$4)/1000</f>
        <v>10</v>
      </c>
      <c r="CV185" s="114">
        <f>SUMIFS('01. KE30'!$I:$I,'01. KE30'!$C:$C,'06. BC BH THEO CUSTOMER-USD'!$D185,'01. KE30'!$F:$F,'06. BC BH THEO CUSTOMER-USD'!$H185,'01. KE30'!$A:$A,'06. BC BH THEO CUSTOMER-USD'!CV$4)/1000</f>
        <v>0</v>
      </c>
      <c r="CW185" s="114">
        <f>SUMIFS('01. KE30'!$I:$I,'01. KE30'!$C:$C,'06. BC BH THEO CUSTOMER-USD'!$D185,'01. KE30'!$F:$F,'06. BC BH THEO CUSTOMER-USD'!$H185,'01. KE30'!$A:$A,'06. BC BH THEO CUSTOMER-USD'!CW$4)/1000</f>
        <v>0</v>
      </c>
      <c r="CX185" s="114">
        <f>SUMIFS('01. KE30'!$I:$I,'01. KE30'!$C:$C,'06. BC BH THEO CUSTOMER-USD'!$D185,'01. KE30'!$F:$F,'06. BC BH THEO CUSTOMER-USD'!$H185,'01. KE30'!$A:$A,'06. BC BH THEO CUSTOMER-USD'!CX$4)/1000</f>
        <v>0</v>
      </c>
      <c r="CY185" s="114">
        <f>SUMIFS('01. KE30'!$I:$I,'01. KE30'!$C:$C,'06. BC BH THEO CUSTOMER-USD'!$D185,'01. KE30'!$F:$F,'06. BC BH THEO CUSTOMER-USD'!$H185,'01. KE30'!$A:$A,'06. BC BH THEO CUSTOMER-USD'!CY$4)/1000</f>
        <v>0</v>
      </c>
      <c r="CZ185" s="114">
        <f>SUMIFS('01. KE30'!$I:$I,'01. KE30'!$C:$C,'06. BC BH THEO CUSTOMER-USD'!$D185,'01. KE30'!$F:$F,'06. BC BH THEO CUSTOMER-USD'!$H185,'01. KE30'!$A:$A,'06. BC BH THEO CUSTOMER-USD'!CZ$4)/1000</f>
        <v>0</v>
      </c>
      <c r="DA185" s="114">
        <f>SUMIFS('01. KE30'!$I:$I,'01. KE30'!$C:$C,'06. BC BH THEO CUSTOMER-USD'!$D185,'01. KE30'!$F:$F,'06. BC BH THEO CUSTOMER-USD'!$H185,'01. KE30'!$A:$A,'06. BC BH THEO CUSTOMER-USD'!DA$4)/1000</f>
        <v>0</v>
      </c>
      <c r="DB185" s="114">
        <f>SUMIFS('01. KE30'!$I:$I,'01. KE30'!$C:$C,'06. BC BH THEO CUSTOMER-USD'!$D185,'01. KE30'!$F:$F,'06. BC BH THEO CUSTOMER-USD'!$H185,'01. KE30'!$A:$A,'06. BC BH THEO CUSTOMER-USD'!DB$4)/1000</f>
        <v>0</v>
      </c>
      <c r="DC185" s="114">
        <f>SUMIFS('01. KE30'!$I:$I,'01. KE30'!$C:$C,'06. BC BH THEO CUSTOMER-USD'!$D185,'01. KE30'!$F:$F,'06. BC BH THEO CUSTOMER-USD'!$H185,'01. KE30'!$A:$A,'06. BC BH THEO CUSTOMER-USD'!DC$4)/1000</f>
        <v>0</v>
      </c>
      <c r="DD185" s="114">
        <f>SUMIFS('01. KE30'!$I:$I,'01. KE30'!$C:$C,'06. BC BH THEO CUSTOMER-USD'!$D185,'01. KE30'!$F:$F,'06. BC BH THEO CUSTOMER-USD'!$H185,'01. KE30'!$A:$A,'06. BC BH THEO CUSTOMER-USD'!DD$4)/1000</f>
        <v>0</v>
      </c>
      <c r="DF185" s="112">
        <f t="shared" si="2037"/>
        <v>5748.031496062993</v>
      </c>
      <c r="DG185" s="54" t="str">
        <f t="shared" si="2038"/>
        <v>-</v>
      </c>
      <c r="DH185" s="54" t="str">
        <f t="shared" si="2039"/>
        <v>-</v>
      </c>
      <c r="DI185" s="54">
        <f t="shared" si="2040"/>
        <v>5748.031496062993</v>
      </c>
      <c r="DJ185" s="54" t="str">
        <f t="shared" si="2041"/>
        <v>-</v>
      </c>
      <c r="DK185" s="54" t="str">
        <f t="shared" si="2042"/>
        <v>-</v>
      </c>
      <c r="DL185" s="54" t="str">
        <f t="shared" si="2043"/>
        <v>-</v>
      </c>
      <c r="DM185" s="54" t="str">
        <f t="shared" si="2044"/>
        <v>-</v>
      </c>
      <c r="DN185" s="54" t="str">
        <f t="shared" si="2045"/>
        <v>-</v>
      </c>
      <c r="DO185" s="54" t="str">
        <f t="shared" si="2046"/>
        <v>-</v>
      </c>
      <c r="DP185" s="54" t="str">
        <f t="shared" si="2047"/>
        <v>-</v>
      </c>
      <c r="DQ185" s="54" t="str">
        <f t="shared" si="2048"/>
        <v>-</v>
      </c>
      <c r="DR185" s="54" t="str">
        <f t="shared" si="2049"/>
        <v>-</v>
      </c>
      <c r="DT185" s="112">
        <f t="shared" si="2125"/>
        <v>-4062.0179527559058</v>
      </c>
      <c r="DU185" s="114">
        <f>IFERROR(SUMIFS('01. KE30'!$X:$X,'01. KE30'!$C:$C,'06. BC BH THEO CUSTOMER-USD'!$D185,'01. KE30'!$F:$F,'06. BC BH THEO CUSTOMER-USD'!$H185,'01. KE30'!$A:$A,'06. BC BH THEO CUSTOMER-USD'!DU$4)-SUMIFS('01. KE30'!$AA:$AA,'01. KE30'!$C:$C,'06. BC BH THEO CUSTOMER-USD'!$D185,'01. KE30'!$F:$F,'06. BC BH THEO CUSTOMER-USD'!$H185,'01. KE30'!$A:$A,'06. BC BH THEO CUSTOMER-USD'!DU$4),"-")</f>
        <v>0</v>
      </c>
      <c r="DV185" s="114">
        <f>IFERROR(SUMIFS('01. KE30'!$X:$X,'01. KE30'!$C:$C,'06. BC BH THEO CUSTOMER-USD'!$D185,'01. KE30'!$F:$F,'06. BC BH THEO CUSTOMER-USD'!$H185,'01. KE30'!$A:$A,'06. BC BH THEO CUSTOMER-USD'!DV$4)-SUMIFS('01. KE30'!$AA:$AA,'01. KE30'!$C:$C,'06. BC BH THEO CUSTOMER-USD'!$D185,'01. KE30'!$F:$F,'06. BC BH THEO CUSTOMER-USD'!$H185,'01. KE30'!$A:$A,'06. BC BH THEO CUSTOMER-USD'!DV$4),"-")</f>
        <v>0</v>
      </c>
      <c r="DW185" s="114">
        <f>IFERROR(SUMIFS('01. KE30'!$X:$X,'01. KE30'!$C:$C,'06. BC BH THEO CUSTOMER-USD'!$D185,'01. KE30'!$F:$F,'06. BC BH THEO CUSTOMER-USD'!$H185,'01. KE30'!$A:$A,'06. BC BH THEO CUSTOMER-USD'!DW$4)-SUMIFS('01. KE30'!$AA:$AA,'01. KE30'!$C:$C,'06. BC BH THEO CUSTOMER-USD'!$D185,'01. KE30'!$F:$F,'06. BC BH THEO CUSTOMER-USD'!$H185,'01. KE30'!$A:$A,'06. BC BH THEO CUSTOMER-USD'!DW$4),"-")</f>
        <v>-4062.0179527559058</v>
      </c>
      <c r="DX185" s="114">
        <f>IFERROR(SUMIFS('01. KE30'!$X:$X,'01. KE30'!$C:$C,'06. BC BH THEO CUSTOMER-USD'!$D185,'01. KE30'!$F:$F,'06. BC BH THEO CUSTOMER-USD'!$H185,'01. KE30'!$A:$A,'06. BC BH THEO CUSTOMER-USD'!DX$4)-SUMIFS('01. KE30'!$AA:$AA,'01. KE30'!$C:$C,'06. BC BH THEO CUSTOMER-USD'!$D185,'01. KE30'!$F:$F,'06. BC BH THEO CUSTOMER-USD'!$H185,'01. KE30'!$A:$A,'06. BC BH THEO CUSTOMER-USD'!DX$4),"-")</f>
        <v>0</v>
      </c>
      <c r="DY185" s="114">
        <f>IFERROR(SUMIFS('01. KE30'!$X:$X,'01. KE30'!$C:$C,'06. BC BH THEO CUSTOMER-USD'!$D185,'01. KE30'!$F:$F,'06. BC BH THEO CUSTOMER-USD'!$H185,'01. KE30'!$A:$A,'06. BC BH THEO CUSTOMER-USD'!DY$4)-SUMIFS('01. KE30'!$AA:$AA,'01. KE30'!$C:$C,'06. BC BH THEO CUSTOMER-USD'!$D185,'01. KE30'!$F:$F,'06. BC BH THEO CUSTOMER-USD'!$H185,'01. KE30'!$A:$A,'06. BC BH THEO CUSTOMER-USD'!DY$4),"-")</f>
        <v>0</v>
      </c>
      <c r="DZ185" s="114">
        <f>IFERROR(SUMIFS('01. KE30'!$X:$X,'01. KE30'!$C:$C,'06. BC BH THEO CUSTOMER-USD'!$D185,'01. KE30'!$F:$F,'06. BC BH THEO CUSTOMER-USD'!$H185,'01. KE30'!$A:$A,'06. BC BH THEO CUSTOMER-USD'!DZ$4)-SUMIFS('01. KE30'!$AA:$AA,'01. KE30'!$C:$C,'06. BC BH THEO CUSTOMER-USD'!$D185,'01. KE30'!$F:$F,'06. BC BH THEO CUSTOMER-USD'!$H185,'01. KE30'!$A:$A,'06. BC BH THEO CUSTOMER-USD'!DZ$4),"-")</f>
        <v>0</v>
      </c>
      <c r="EA185" s="114">
        <f>IFERROR(SUMIFS('01. KE30'!$X:$X,'01. KE30'!$C:$C,'06. BC BH THEO CUSTOMER-USD'!$D185,'01. KE30'!$F:$F,'06. BC BH THEO CUSTOMER-USD'!$H185,'01. KE30'!$A:$A,'06. BC BH THEO CUSTOMER-USD'!EA$4)-SUMIFS('01. KE30'!$AA:$AA,'01. KE30'!$C:$C,'06. BC BH THEO CUSTOMER-USD'!$D185,'01. KE30'!$F:$F,'06. BC BH THEO CUSTOMER-USD'!$H185,'01. KE30'!$A:$A,'06. BC BH THEO CUSTOMER-USD'!EA$4),"-")</f>
        <v>0</v>
      </c>
      <c r="EB185" s="114">
        <f>IFERROR(SUMIFS('01. KE30'!$X:$X,'01. KE30'!$C:$C,'06. BC BH THEO CUSTOMER-USD'!$D185,'01. KE30'!$F:$F,'06. BC BH THEO CUSTOMER-USD'!$H185,'01. KE30'!$A:$A,'06. BC BH THEO CUSTOMER-USD'!EB$4)-SUMIFS('01. KE30'!$AA:$AA,'01. KE30'!$C:$C,'06. BC BH THEO CUSTOMER-USD'!$D185,'01. KE30'!$F:$F,'06. BC BH THEO CUSTOMER-USD'!$H185,'01. KE30'!$A:$A,'06. BC BH THEO CUSTOMER-USD'!EB$4),"-")</f>
        <v>0</v>
      </c>
      <c r="EC185" s="114">
        <f>IFERROR(SUMIFS('01. KE30'!$X:$X,'01. KE30'!$C:$C,'06. BC BH THEO CUSTOMER-USD'!$D185,'01. KE30'!$F:$F,'06. BC BH THEO CUSTOMER-USD'!$H185,'01. KE30'!$A:$A,'06. BC BH THEO CUSTOMER-USD'!EC$4)-SUMIFS('01. KE30'!$AA:$AA,'01. KE30'!$C:$C,'06. BC BH THEO CUSTOMER-USD'!$D185,'01. KE30'!$F:$F,'06. BC BH THEO CUSTOMER-USD'!$H185,'01. KE30'!$A:$A,'06. BC BH THEO CUSTOMER-USD'!EC$4),"-")</f>
        <v>0</v>
      </c>
      <c r="ED185" s="114">
        <f>IFERROR(SUMIFS('01. KE30'!$X:$X,'01. KE30'!$C:$C,'06. BC BH THEO CUSTOMER-USD'!$D185,'01. KE30'!$F:$F,'06. BC BH THEO CUSTOMER-USD'!$H185,'01. KE30'!$A:$A,'06. BC BH THEO CUSTOMER-USD'!ED$4)-SUMIFS('01. KE30'!$AA:$AA,'01. KE30'!$C:$C,'06. BC BH THEO CUSTOMER-USD'!$D185,'01. KE30'!$F:$F,'06. BC BH THEO CUSTOMER-USD'!$H185,'01. KE30'!$A:$A,'06. BC BH THEO CUSTOMER-USD'!ED$4),"-")</f>
        <v>0</v>
      </c>
      <c r="EE185" s="114">
        <f>IFERROR(SUMIFS('01. KE30'!$X:$X,'01. KE30'!$C:$C,'06. BC BH THEO CUSTOMER-USD'!$D185,'01. KE30'!$F:$F,'06. BC BH THEO CUSTOMER-USD'!$H185,'01. KE30'!$A:$A,'06. BC BH THEO CUSTOMER-USD'!EE$4)-SUMIFS('01. KE30'!$AA:$AA,'01. KE30'!$C:$C,'06. BC BH THEO CUSTOMER-USD'!$D185,'01. KE30'!$F:$F,'06. BC BH THEO CUSTOMER-USD'!$H185,'01. KE30'!$A:$A,'06. BC BH THEO CUSTOMER-USD'!EE$4),"-")</f>
        <v>0</v>
      </c>
      <c r="EF185" s="114">
        <f>IFERROR(SUMIFS('01. KE30'!$X:$X,'01. KE30'!$C:$C,'06. BC BH THEO CUSTOMER-USD'!$D185,'01. KE30'!$F:$F,'06. BC BH THEO CUSTOMER-USD'!$H185,'01. KE30'!$A:$A,'06. BC BH THEO CUSTOMER-USD'!EF$4)-SUMIFS('01. KE30'!$AA:$AA,'01. KE30'!$C:$C,'06. BC BH THEO CUSTOMER-USD'!$D185,'01. KE30'!$F:$F,'06. BC BH THEO CUSTOMER-USD'!$H185,'01. KE30'!$A:$A,'06. BC BH THEO CUSTOMER-USD'!EF$4),"-")</f>
        <v>0</v>
      </c>
      <c r="EH185" s="571">
        <f t="shared" si="1737"/>
        <v>-0.70667983561643832</v>
      </c>
      <c r="EI185" s="572" t="str">
        <f t="shared" si="1738"/>
        <v>-</v>
      </c>
      <c r="EJ185" s="572" t="str">
        <f t="shared" si="1739"/>
        <v>-</v>
      </c>
      <c r="EK185" s="572">
        <f t="shared" si="1740"/>
        <v>-0.70667983561643832</v>
      </c>
      <c r="EL185" s="572" t="str">
        <f t="shared" si="1741"/>
        <v>-</v>
      </c>
      <c r="EM185" s="572" t="str">
        <f t="shared" si="1742"/>
        <v>-</v>
      </c>
      <c r="EN185" s="572" t="str">
        <f t="shared" si="1743"/>
        <v>-</v>
      </c>
      <c r="EO185" s="572" t="str">
        <f t="shared" si="1744"/>
        <v>-</v>
      </c>
      <c r="EP185" s="572" t="str">
        <f t="shared" si="1745"/>
        <v>-</v>
      </c>
      <c r="EQ185" s="572" t="str">
        <f t="shared" si="1746"/>
        <v>-</v>
      </c>
      <c r="ER185" s="572" t="str">
        <f t="shared" si="1747"/>
        <v>-</v>
      </c>
      <c r="ES185" s="572" t="str">
        <f t="shared" si="1748"/>
        <v>-</v>
      </c>
      <c r="ET185" s="572" t="str">
        <f t="shared" si="1749"/>
        <v>-</v>
      </c>
    </row>
    <row r="186" spans="1:150" ht="15.5" hidden="1" outlineLevel="1" x14ac:dyDescent="0.35">
      <c r="A186" s="10">
        <f t="shared" si="1266"/>
        <v>12</v>
      </c>
      <c r="B186" s="10" t="s">
        <v>295</v>
      </c>
      <c r="C186" s="442" t="s">
        <v>489</v>
      </c>
      <c r="D186" s="9" t="s">
        <v>643</v>
      </c>
      <c r="E186" s="8" t="s">
        <v>644</v>
      </c>
      <c r="F186" s="12" t="s">
        <v>245</v>
      </c>
      <c r="G186" s="12" t="str">
        <f>_xlfn.XLOOKUP(F186,'Quy đổi'!$G$5:$G$32,'Quy đổi'!$H$5:$H$32,0)</f>
        <v>Nội địa</v>
      </c>
      <c r="H186" s="80" t="s">
        <v>43</v>
      </c>
      <c r="I186" s="7" t="s">
        <v>42</v>
      </c>
      <c r="J186" s="69" t="s">
        <v>22</v>
      </c>
      <c r="K186" s="5"/>
      <c r="L186" s="92">
        <f>IFERROR(AVERAGE(M186:X186),"-")</f>
        <v>574.80314960629926</v>
      </c>
      <c r="M186" s="106" t="str">
        <f>IFERROR(SUMIFS('01. KE30'!$K:$K,'01. KE30'!$C:$C,'06. BC BH THEO CUSTOMER-USD'!$D186,'01. KE30'!$F:$F,'06. BC BH THEO CUSTOMER-USD'!$H186,'01. KE30'!$A:$A,'06. BC BH THEO CUSTOMER-USD'!M$4)/'06. BC BH THEO CUSTOMER-USD'!CS186/'02. Tỷ giá'!B$5,"-")</f>
        <v>-</v>
      </c>
      <c r="N186" s="106" t="str">
        <f>IFERROR(SUMIFS('01. KE30'!$K:$K,'01. KE30'!$C:$C,'06. BC BH THEO CUSTOMER-USD'!$D186,'01. KE30'!$F:$F,'06. BC BH THEO CUSTOMER-USD'!$H186,'01. KE30'!$A:$A,'06. BC BH THEO CUSTOMER-USD'!N$4)/'06. BC BH THEO CUSTOMER-USD'!CT186/'02. Tỷ giá'!C$5,"-")</f>
        <v>-</v>
      </c>
      <c r="O186" s="106">
        <f>IFERROR(SUMIFS('01. KE30'!$K:$K,'01. KE30'!$C:$C,'06. BC BH THEO CUSTOMER-USD'!$D186,'01. KE30'!$F:$F,'06. BC BH THEO CUSTOMER-USD'!$H186,'01. KE30'!$A:$A,'06. BC BH THEO CUSTOMER-USD'!O$4)/'06. BC BH THEO CUSTOMER-USD'!CU186/'02. Tỷ giá'!D$5,"-")</f>
        <v>574.80314960629926</v>
      </c>
      <c r="P186" s="106" t="str">
        <f>IFERROR(SUMIFS('01. KE30'!$K:$K,'01. KE30'!$C:$C,'06. BC BH THEO CUSTOMER-USD'!$D186,'01. KE30'!$F:$F,'06. BC BH THEO CUSTOMER-USD'!$H186,'01. KE30'!$A:$A,'06. BC BH THEO CUSTOMER-USD'!P$4)/'06. BC BH THEO CUSTOMER-USD'!CV186/'02. Tỷ giá'!E$5,"-")</f>
        <v>-</v>
      </c>
      <c r="Q186" s="106" t="str">
        <f>IFERROR(SUMIFS('01. KE30'!$K:$K,'01. KE30'!$C:$C,'06. BC BH THEO CUSTOMER-USD'!$D186,'01. KE30'!$F:$F,'06. BC BH THEO CUSTOMER-USD'!$H186,'01. KE30'!$A:$A,'06. BC BH THEO CUSTOMER-USD'!Q$4)/'06. BC BH THEO CUSTOMER-USD'!CW186/'02. Tỷ giá'!F$5,"-")</f>
        <v>-</v>
      </c>
      <c r="R186" s="106" t="str">
        <f>IFERROR(SUMIFS('01. KE30'!$K:$K,'01. KE30'!$C:$C,'06. BC BH THEO CUSTOMER-USD'!$D186,'01. KE30'!$F:$F,'06. BC BH THEO CUSTOMER-USD'!$H186,'01. KE30'!$A:$A,'06. BC BH THEO CUSTOMER-USD'!R$4)/'06. BC BH THEO CUSTOMER-USD'!CX186/'02. Tỷ giá'!G$5,"-")</f>
        <v>-</v>
      </c>
      <c r="S186" s="106" t="str">
        <f>IFERROR(SUMIFS('01. KE30'!$K:$K,'01. KE30'!$C:$C,'06. BC BH THEO CUSTOMER-USD'!$D186,'01. KE30'!$F:$F,'06. BC BH THEO CUSTOMER-USD'!$H186,'01. KE30'!$A:$A,'06. BC BH THEO CUSTOMER-USD'!S$4)/'06. BC BH THEO CUSTOMER-USD'!CY186/'02. Tỷ giá'!H$5,"-")</f>
        <v>-</v>
      </c>
      <c r="T186" s="106" t="str">
        <f>IFERROR(SUMIFS('01. KE30'!$K:$K,'01. KE30'!$C:$C,'06. BC BH THEO CUSTOMER-USD'!$D186,'01. KE30'!$F:$F,'06. BC BH THEO CUSTOMER-USD'!$H186,'01. KE30'!$A:$A,'06. BC BH THEO CUSTOMER-USD'!T$4)/'06. BC BH THEO CUSTOMER-USD'!CZ186/'02. Tỷ giá'!I$5,"-")</f>
        <v>-</v>
      </c>
      <c r="U186" s="106" t="str">
        <f>IFERROR(SUMIFS('01. KE30'!$K:$K,'01. KE30'!$C:$C,'06. BC BH THEO CUSTOMER-USD'!$D186,'01. KE30'!$F:$F,'06. BC BH THEO CUSTOMER-USD'!$H186,'01. KE30'!$A:$A,'06. BC BH THEO CUSTOMER-USD'!U$4)/'06. BC BH THEO CUSTOMER-USD'!DA186/'02. Tỷ giá'!J$5,"-")</f>
        <v>-</v>
      </c>
      <c r="V186" s="106" t="str">
        <f>IFERROR(SUMIFS('01. KE30'!$K:$K,'01. KE30'!$C:$C,'06. BC BH THEO CUSTOMER-USD'!$D186,'01. KE30'!$F:$F,'06. BC BH THEO CUSTOMER-USD'!$H186,'01. KE30'!$A:$A,'06. BC BH THEO CUSTOMER-USD'!V$4)/'06. BC BH THEO CUSTOMER-USD'!DB186/'02. Tỷ giá'!K$5,"-")</f>
        <v>-</v>
      </c>
      <c r="W186" s="106" t="str">
        <f>IFERROR(SUMIFS('01. KE30'!$K:$K,'01. KE30'!$C:$C,'06. BC BH THEO CUSTOMER-USD'!$D186,'01. KE30'!$F:$F,'06. BC BH THEO CUSTOMER-USD'!$H186,'01. KE30'!$A:$A,'06. BC BH THEO CUSTOMER-USD'!W$4)/'06. BC BH THEO CUSTOMER-USD'!DC186/'02. Tỷ giá'!L$5,"-")</f>
        <v>-</v>
      </c>
      <c r="X186" s="106" t="str">
        <f>IFERROR(SUMIFS('01. KE30'!$K:$K,'01. KE30'!$C:$C,'06. BC BH THEO CUSTOMER-USD'!$D186,'01. KE30'!$F:$F,'06. BC BH THEO CUSTOMER-USD'!$H186,'01. KE30'!$A:$A,'06. BC BH THEO CUSTOMER-USD'!X$4)/'06. BC BH THEO CUSTOMER-USD'!DD186/'02. Tỷ giá'!M$5,"-")</f>
        <v>-</v>
      </c>
      <c r="Z186" s="92">
        <f>IFERROR(AVERAGE(AA186:AL186),"-")</f>
        <v>574.80314960629926</v>
      </c>
      <c r="AA186" s="147" t="str">
        <f>IFERROR(SUMIFS('01. KE30'!$O:$O,'01. KE30'!$C:$C,'06. BC BH THEO CUSTOMER-USD'!$D186,'01. KE30'!$F:$F,'06. BC BH THEO CUSTOMER-USD'!$H186,'01. KE30'!$A:$A,'06. BC BH THEO CUSTOMER-USD'!M$4)/'06. BC BH THEO CUSTOMER-USD'!CS186/'02. Tỷ giá'!B$5,"-")</f>
        <v>-</v>
      </c>
      <c r="AB186" s="147" t="str">
        <f>IFERROR(SUMIFS('01. KE30'!$O:$O,'01. KE30'!$C:$C,'06. BC BH THEO CUSTOMER-USD'!$D186,'01. KE30'!$F:$F,'06. BC BH THEO CUSTOMER-USD'!$H186,'01. KE30'!$A:$A,'06. BC BH THEO CUSTOMER-USD'!N$4)/'06. BC BH THEO CUSTOMER-USD'!CT186/'02. Tỷ giá'!C$5,"-")</f>
        <v>-</v>
      </c>
      <c r="AC186" s="147">
        <f>IFERROR(SUMIFS('01. KE30'!$O:$O,'01. KE30'!$C:$C,'06. BC BH THEO CUSTOMER-USD'!$D186,'01. KE30'!$F:$F,'06. BC BH THEO CUSTOMER-USD'!$H186,'01. KE30'!$A:$A,'06. BC BH THEO CUSTOMER-USD'!O$4)/'06. BC BH THEO CUSTOMER-USD'!CU186/'02. Tỷ giá'!D$5,"-")</f>
        <v>574.80314960629926</v>
      </c>
      <c r="AD186" s="147" t="str">
        <f>IFERROR(SUMIFS('01. KE30'!$O:$O,'01. KE30'!$C:$C,'06. BC BH THEO CUSTOMER-USD'!$D186,'01. KE30'!$F:$F,'06. BC BH THEO CUSTOMER-USD'!$H186,'01. KE30'!$A:$A,'06. BC BH THEO CUSTOMER-USD'!P$4)/'06. BC BH THEO CUSTOMER-USD'!CV186/'02. Tỷ giá'!E$5,"-")</f>
        <v>-</v>
      </c>
      <c r="AE186" s="147" t="str">
        <f>IFERROR(SUMIFS('01. KE30'!$O:$O,'01. KE30'!$C:$C,'06. BC BH THEO CUSTOMER-USD'!$D186,'01. KE30'!$F:$F,'06. BC BH THEO CUSTOMER-USD'!$H186,'01. KE30'!$A:$A,'06. BC BH THEO CUSTOMER-USD'!Q$4)/'06. BC BH THEO CUSTOMER-USD'!CW186/'02. Tỷ giá'!F$5,"-")</f>
        <v>-</v>
      </c>
      <c r="AF186" s="147" t="str">
        <f>IFERROR(SUMIFS('01. KE30'!$O:$O,'01. KE30'!$C:$C,'06. BC BH THEO CUSTOMER-USD'!$D186,'01. KE30'!$F:$F,'06. BC BH THEO CUSTOMER-USD'!$H186,'01. KE30'!$A:$A,'06. BC BH THEO CUSTOMER-USD'!R$4)/'06. BC BH THEO CUSTOMER-USD'!CX186/'02. Tỷ giá'!G$5,"-")</f>
        <v>-</v>
      </c>
      <c r="AG186" s="147" t="str">
        <f>IFERROR(SUMIFS('01. KE30'!$O:$O,'01. KE30'!$C:$C,'06. BC BH THEO CUSTOMER-USD'!$D186,'01. KE30'!$F:$F,'06. BC BH THEO CUSTOMER-USD'!$H186,'01. KE30'!$A:$A,'06. BC BH THEO CUSTOMER-USD'!S$4)/'06. BC BH THEO CUSTOMER-USD'!CY186/'02. Tỷ giá'!H$5,"-")</f>
        <v>-</v>
      </c>
      <c r="AH186" s="147" t="str">
        <f>IFERROR(SUMIFS('01. KE30'!$O:$O,'01. KE30'!$C:$C,'06. BC BH THEO CUSTOMER-USD'!$D186,'01. KE30'!$F:$F,'06. BC BH THEO CUSTOMER-USD'!$H186,'01. KE30'!$A:$A,'06. BC BH THEO CUSTOMER-USD'!T$4)/'06. BC BH THEO CUSTOMER-USD'!CZ186/'02. Tỷ giá'!I$5,"-")</f>
        <v>-</v>
      </c>
      <c r="AI186" s="147" t="str">
        <f>IFERROR(SUMIFS('01. KE30'!$O:$O,'01. KE30'!$C:$C,'06. BC BH THEO CUSTOMER-USD'!$D186,'01. KE30'!$F:$F,'06. BC BH THEO CUSTOMER-USD'!$H186,'01. KE30'!$A:$A,'06. BC BH THEO CUSTOMER-USD'!U$4)/'06. BC BH THEO CUSTOMER-USD'!DA186/'02. Tỷ giá'!J$5,"-")</f>
        <v>-</v>
      </c>
      <c r="AJ186" s="147" t="str">
        <f>IFERROR(SUMIFS('01. KE30'!$O:$O,'01. KE30'!$C:$C,'06. BC BH THEO CUSTOMER-USD'!$D186,'01. KE30'!$F:$F,'06. BC BH THEO CUSTOMER-USD'!$H186,'01. KE30'!$A:$A,'06. BC BH THEO CUSTOMER-USD'!V$4)/'06. BC BH THEO CUSTOMER-USD'!DB186/'02. Tỷ giá'!K$5,"-")</f>
        <v>-</v>
      </c>
      <c r="AK186" s="147" t="str">
        <f>IFERROR(SUMIFS('01. KE30'!$O:$O,'01. KE30'!$C:$C,'06. BC BH THEO CUSTOMER-USD'!$D186,'01. KE30'!$F:$F,'06. BC BH THEO CUSTOMER-USD'!$H186,'01. KE30'!$A:$A,'06. BC BH THEO CUSTOMER-USD'!W$4)/'06. BC BH THEO CUSTOMER-USD'!DC186/'02. Tỷ giá'!L$5,"-")</f>
        <v>-</v>
      </c>
      <c r="AL186" s="147" t="str">
        <f>IFERROR(SUMIFS('01. KE30'!$O:$O,'01. KE30'!$C:$C,'06. BC BH THEO CUSTOMER-USD'!$D186,'01. KE30'!$F:$F,'06. BC BH THEO CUSTOMER-USD'!$H186,'01. KE30'!$A:$A,'06. BC BH THEO CUSTOMER-USD'!X$4)/'06. BC BH THEO CUSTOMER-USD'!DD186/'02. Tỷ giá'!M$5,"-")</f>
        <v>-</v>
      </c>
      <c r="AN186" s="92">
        <f>IFERROR(AVERAGE(AO186:AZ186),"-")</f>
        <v>740.55555555555554</v>
      </c>
      <c r="AO186" s="4">
        <v>855</v>
      </c>
      <c r="AP186" s="4">
        <v>750</v>
      </c>
      <c r="AQ186" s="4">
        <v>750</v>
      </c>
      <c r="AR186" s="4">
        <v>750</v>
      </c>
      <c r="AS186" s="4">
        <v>720</v>
      </c>
      <c r="AT186" s="4">
        <v>720</v>
      </c>
      <c r="AU186" s="4">
        <v>720</v>
      </c>
      <c r="AV186" s="4">
        <f t="shared" si="1272"/>
        <v>700</v>
      </c>
      <c r="AW186" s="4">
        <v>700</v>
      </c>
      <c r="AX186" s="4"/>
      <c r="AY186" s="4"/>
      <c r="AZ186" s="4"/>
      <c r="BB186" s="95">
        <f t="shared" si="2122"/>
        <v>-165.75240594925629</v>
      </c>
      <c r="BC186" s="95" t="str">
        <f t="shared" si="2123"/>
        <v>-</v>
      </c>
      <c r="BD186" s="95" t="str">
        <f t="shared" si="2108"/>
        <v>-</v>
      </c>
      <c r="BE186" s="95">
        <f t="shared" si="2108"/>
        <v>-175.19685039370074</v>
      </c>
      <c r="BF186" s="95" t="str">
        <f t="shared" si="2108"/>
        <v>-</v>
      </c>
      <c r="BG186" s="95" t="str">
        <f t="shared" si="2108"/>
        <v>-</v>
      </c>
      <c r="BH186" s="95" t="str">
        <f t="shared" si="2108"/>
        <v>-</v>
      </c>
      <c r="BI186" s="95" t="str">
        <f t="shared" si="2108"/>
        <v>-</v>
      </c>
      <c r="BJ186" s="95" t="str">
        <f t="shared" si="2108"/>
        <v>-</v>
      </c>
      <c r="BK186" s="95" t="str">
        <f t="shared" si="2108"/>
        <v>-</v>
      </c>
      <c r="BL186" s="95" t="str">
        <f t="shared" si="2108"/>
        <v>-</v>
      </c>
      <c r="BM186" s="95" t="str">
        <f t="shared" si="2108"/>
        <v>-</v>
      </c>
      <c r="BN186" s="95" t="str">
        <f t="shared" si="2108"/>
        <v>-</v>
      </c>
      <c r="BP186" s="143">
        <f t="shared" si="2124"/>
        <v>-0.22382170345736033</v>
      </c>
      <c r="BQ186" s="143" t="str">
        <f t="shared" si="2109"/>
        <v>-</v>
      </c>
      <c r="BR186" s="143" t="str">
        <f t="shared" si="2110"/>
        <v>-</v>
      </c>
      <c r="BS186" s="143">
        <f t="shared" si="2111"/>
        <v>-0.23359580052493431</v>
      </c>
      <c r="BT186" s="143" t="str">
        <f t="shared" si="2112"/>
        <v>-</v>
      </c>
      <c r="BU186" s="143" t="str">
        <f t="shared" si="2113"/>
        <v>-</v>
      </c>
      <c r="BV186" s="143" t="str">
        <f t="shared" si="2114"/>
        <v>-</v>
      </c>
      <c r="BW186" s="143" t="str">
        <f t="shared" si="2115"/>
        <v>-</v>
      </c>
      <c r="BX186" s="143" t="str">
        <f t="shared" si="2116"/>
        <v>-</v>
      </c>
      <c r="BY186" s="143" t="str">
        <f t="shared" si="2117"/>
        <v>-</v>
      </c>
      <c r="BZ186" s="143" t="str">
        <f t="shared" si="2118"/>
        <v>-</v>
      </c>
      <c r="CA186" s="143" t="str">
        <f t="shared" si="2119"/>
        <v>-</v>
      </c>
      <c r="CB186" s="143" t="str">
        <f t="shared" si="2120"/>
        <v>-</v>
      </c>
      <c r="CD186" s="112">
        <f t="shared" si="2036"/>
        <v>983.85560236220476</v>
      </c>
      <c r="CE186" s="95" t="str">
        <f>IFERROR(SUMIFS('01. KE30'!$R:$R,'01. KE30'!$C:$C,'06. BC BH THEO CUSTOMER-USD'!$D186,'01. KE30'!$F:$F,'06. BC BH THEO CUSTOMER-USD'!$H186,'01. KE30'!$A:$A,'06. BC BH THEO CUSTOMER-USD'!CE$4)/CS186/'02. Tỷ giá'!B$5," -")</f>
        <v xml:space="preserve"> -</v>
      </c>
      <c r="CF186" s="95" t="str">
        <f>IFERROR(SUMIFS('01. KE30'!$R:$R,'01. KE30'!$C:$C,'06. BC BH THEO CUSTOMER-USD'!$D186,'01. KE30'!$F:$F,'06. BC BH THEO CUSTOMER-USD'!$H186,'01. KE30'!$A:$A,'06. BC BH THEO CUSTOMER-USD'!CF$4)/CT186/'02. Tỷ giá'!C$5," -")</f>
        <v xml:space="preserve"> -</v>
      </c>
      <c r="CG186" s="95">
        <f>IFERROR(SUMIFS('01. KE30'!$R:$R,'01. KE30'!$C:$C,'06. BC BH THEO CUSTOMER-USD'!$D186,'01. KE30'!$F:$F,'06. BC BH THEO CUSTOMER-USD'!$H186,'01. KE30'!$A:$A,'06. BC BH THEO CUSTOMER-USD'!CG$4)/CU186/'02. Tỷ giá'!D$5," -")</f>
        <v>983.85560236220476</v>
      </c>
      <c r="CH186" s="95" t="str">
        <f>IFERROR(SUMIFS('01. KE30'!$R:$R,'01. KE30'!$C:$C,'06. BC BH THEO CUSTOMER-USD'!$D186,'01. KE30'!$F:$F,'06. BC BH THEO CUSTOMER-USD'!$H186,'01. KE30'!$A:$A,'06. BC BH THEO CUSTOMER-USD'!CH$4)/CV186/'02. Tỷ giá'!E$5," -")</f>
        <v xml:space="preserve"> -</v>
      </c>
      <c r="CI186" s="95" t="str">
        <f>IFERROR(SUMIFS('01. KE30'!$R:$R,'01. KE30'!$C:$C,'06. BC BH THEO CUSTOMER-USD'!$D186,'01. KE30'!$F:$F,'06. BC BH THEO CUSTOMER-USD'!$H186,'01. KE30'!$A:$A,'06. BC BH THEO CUSTOMER-USD'!CI$4)/CW186/'02. Tỷ giá'!F$5," -")</f>
        <v xml:space="preserve"> -</v>
      </c>
      <c r="CJ186" s="95" t="str">
        <f>IFERROR(SUMIFS('01. KE30'!$R:$R,'01. KE30'!$C:$C,'06. BC BH THEO CUSTOMER-USD'!$D186,'01. KE30'!$F:$F,'06. BC BH THEO CUSTOMER-USD'!$H186,'01. KE30'!$A:$A,'06. BC BH THEO CUSTOMER-USD'!CJ$4)/CX186/'02. Tỷ giá'!G$5," -")</f>
        <v xml:space="preserve"> -</v>
      </c>
      <c r="CK186" s="95" t="str">
        <f>IFERROR(SUMIFS('01. KE30'!$R:$R,'01. KE30'!$C:$C,'06. BC BH THEO CUSTOMER-USD'!$D186,'01. KE30'!$F:$F,'06. BC BH THEO CUSTOMER-USD'!$H186,'01. KE30'!$A:$A,'06. BC BH THEO CUSTOMER-USD'!CK$4)/CY186/'02. Tỷ giá'!H$5," -")</f>
        <v xml:space="preserve"> -</v>
      </c>
      <c r="CL186" s="95" t="str">
        <f>IFERROR(SUMIFS('01. KE30'!$R:$R,'01. KE30'!$C:$C,'06. BC BH THEO CUSTOMER-USD'!$D186,'01. KE30'!$F:$F,'06. BC BH THEO CUSTOMER-USD'!$H186,'01. KE30'!$A:$A,'06. BC BH THEO CUSTOMER-USD'!CL$4)/CZ186/'02. Tỷ giá'!I$5," -")</f>
        <v xml:space="preserve"> -</v>
      </c>
      <c r="CM186" s="95" t="str">
        <f>IFERROR(SUMIFS('01. KE30'!$R:$R,'01. KE30'!$C:$C,'06. BC BH THEO CUSTOMER-USD'!$D186,'01. KE30'!$F:$F,'06. BC BH THEO CUSTOMER-USD'!$H186,'01. KE30'!$A:$A,'06. BC BH THEO CUSTOMER-USD'!CM$4)/DA186/'02. Tỷ giá'!J$5," -")</f>
        <v xml:space="preserve"> -</v>
      </c>
      <c r="CN186" s="95" t="str">
        <f>IFERROR(SUMIFS('01. KE30'!$R:$R,'01. KE30'!$C:$C,'06. BC BH THEO CUSTOMER-USD'!$D186,'01. KE30'!$F:$F,'06. BC BH THEO CUSTOMER-USD'!$H186,'01. KE30'!$A:$A,'06. BC BH THEO CUSTOMER-USD'!CN$4)/DB186/'02. Tỷ giá'!K$5," -")</f>
        <v xml:space="preserve"> -</v>
      </c>
      <c r="CO186" s="95" t="str">
        <f>IFERROR(SUMIFS('01. KE30'!$R:$R,'01. KE30'!$C:$C,'06. BC BH THEO CUSTOMER-USD'!$D186,'01. KE30'!$F:$F,'06. BC BH THEO CUSTOMER-USD'!$H186,'01. KE30'!$A:$A,'06. BC BH THEO CUSTOMER-USD'!CO$4)/DC186/'02. Tỷ giá'!L$5," -")</f>
        <v xml:space="preserve"> -</v>
      </c>
      <c r="CP186" s="95" t="str">
        <f>IFERROR(SUMIFS('01. KE30'!$R:$R,'01. KE30'!$C:$C,'06. BC BH THEO CUSTOMER-USD'!$D186,'01. KE30'!$F:$F,'06. BC BH THEO CUSTOMER-USD'!$H186,'01. KE30'!$A:$A,'06. BC BH THEO CUSTOMER-USD'!CP$4)/DD186/'02. Tỷ giá'!M$5," -")</f>
        <v xml:space="preserve"> -</v>
      </c>
      <c r="CR186" s="112">
        <f t="shared" ref="CR186" si="2126">SUM(CS186:DD186)</f>
        <v>10</v>
      </c>
      <c r="CS186" s="114">
        <f>SUMIFS('01. KE30'!$I:$I,'01. KE30'!$C:$C,'06. BC BH THEO CUSTOMER-USD'!$D186,'01. KE30'!$F:$F,'06. BC BH THEO CUSTOMER-USD'!$H186,'01. KE30'!$A:$A,'06. BC BH THEO CUSTOMER-USD'!CS$4)/1000</f>
        <v>0</v>
      </c>
      <c r="CT186" s="114">
        <f>SUMIFS('01. KE30'!$I:$I,'01. KE30'!$C:$C,'06. BC BH THEO CUSTOMER-USD'!$D186,'01. KE30'!$F:$F,'06. BC BH THEO CUSTOMER-USD'!$H186,'01. KE30'!$A:$A,'06. BC BH THEO CUSTOMER-USD'!CT$4)/1000</f>
        <v>0</v>
      </c>
      <c r="CU186" s="114">
        <f>SUMIFS('01. KE30'!$I:$I,'01. KE30'!$C:$C,'06. BC BH THEO CUSTOMER-USD'!$D186,'01. KE30'!$F:$F,'06. BC BH THEO CUSTOMER-USD'!$H186,'01. KE30'!$A:$A,'06. BC BH THEO CUSTOMER-USD'!CU$4)/1000</f>
        <v>10</v>
      </c>
      <c r="CV186" s="114">
        <f>SUMIFS('01. KE30'!$I:$I,'01. KE30'!$C:$C,'06. BC BH THEO CUSTOMER-USD'!$D186,'01. KE30'!$F:$F,'06. BC BH THEO CUSTOMER-USD'!$H186,'01. KE30'!$A:$A,'06. BC BH THEO CUSTOMER-USD'!CV$4)/1000</f>
        <v>0</v>
      </c>
      <c r="CW186" s="114">
        <f>SUMIFS('01. KE30'!$I:$I,'01. KE30'!$C:$C,'06. BC BH THEO CUSTOMER-USD'!$D186,'01. KE30'!$F:$F,'06. BC BH THEO CUSTOMER-USD'!$H186,'01. KE30'!$A:$A,'06. BC BH THEO CUSTOMER-USD'!CW$4)/1000</f>
        <v>0</v>
      </c>
      <c r="CX186" s="114">
        <f>SUMIFS('01. KE30'!$I:$I,'01. KE30'!$C:$C,'06. BC BH THEO CUSTOMER-USD'!$D186,'01. KE30'!$F:$F,'06. BC BH THEO CUSTOMER-USD'!$H186,'01. KE30'!$A:$A,'06. BC BH THEO CUSTOMER-USD'!CX$4)/1000</f>
        <v>0</v>
      </c>
      <c r="CY186" s="114">
        <f>SUMIFS('01. KE30'!$I:$I,'01. KE30'!$C:$C,'06. BC BH THEO CUSTOMER-USD'!$D186,'01. KE30'!$F:$F,'06. BC BH THEO CUSTOMER-USD'!$H186,'01. KE30'!$A:$A,'06. BC BH THEO CUSTOMER-USD'!CY$4)/1000</f>
        <v>0</v>
      </c>
      <c r="CZ186" s="114">
        <f>SUMIFS('01. KE30'!$I:$I,'01. KE30'!$C:$C,'06. BC BH THEO CUSTOMER-USD'!$D186,'01. KE30'!$F:$F,'06. BC BH THEO CUSTOMER-USD'!$H186,'01. KE30'!$A:$A,'06. BC BH THEO CUSTOMER-USD'!CZ$4)/1000</f>
        <v>0</v>
      </c>
      <c r="DA186" s="114">
        <f>SUMIFS('01. KE30'!$I:$I,'01. KE30'!$C:$C,'06. BC BH THEO CUSTOMER-USD'!$D186,'01. KE30'!$F:$F,'06. BC BH THEO CUSTOMER-USD'!$H186,'01. KE30'!$A:$A,'06. BC BH THEO CUSTOMER-USD'!DA$4)/1000</f>
        <v>0</v>
      </c>
      <c r="DB186" s="114">
        <f>SUMIFS('01. KE30'!$I:$I,'01. KE30'!$C:$C,'06. BC BH THEO CUSTOMER-USD'!$D186,'01. KE30'!$F:$F,'06. BC BH THEO CUSTOMER-USD'!$H186,'01. KE30'!$A:$A,'06. BC BH THEO CUSTOMER-USD'!DB$4)/1000</f>
        <v>0</v>
      </c>
      <c r="DC186" s="114">
        <f>SUMIFS('01. KE30'!$I:$I,'01. KE30'!$C:$C,'06. BC BH THEO CUSTOMER-USD'!$D186,'01. KE30'!$F:$F,'06. BC BH THEO CUSTOMER-USD'!$H186,'01. KE30'!$A:$A,'06. BC BH THEO CUSTOMER-USD'!DC$4)/1000</f>
        <v>0</v>
      </c>
      <c r="DD186" s="114">
        <f>SUMIFS('01. KE30'!$I:$I,'01. KE30'!$C:$C,'06. BC BH THEO CUSTOMER-USD'!$D186,'01. KE30'!$F:$F,'06. BC BH THEO CUSTOMER-USD'!$H186,'01. KE30'!$A:$A,'06. BC BH THEO CUSTOMER-USD'!DD$4)/1000</f>
        <v>0</v>
      </c>
      <c r="DF186" s="112">
        <f t="shared" si="2037"/>
        <v>5748.031496062993</v>
      </c>
      <c r="DG186" s="54" t="str">
        <f t="shared" si="2038"/>
        <v>-</v>
      </c>
      <c r="DH186" s="54" t="str">
        <f t="shared" si="2039"/>
        <v>-</v>
      </c>
      <c r="DI186" s="54">
        <f t="shared" si="2040"/>
        <v>5748.031496062993</v>
      </c>
      <c r="DJ186" s="54" t="str">
        <f t="shared" si="2041"/>
        <v>-</v>
      </c>
      <c r="DK186" s="54" t="str">
        <f t="shared" si="2042"/>
        <v>-</v>
      </c>
      <c r="DL186" s="54" t="str">
        <f t="shared" si="2043"/>
        <v>-</v>
      </c>
      <c r="DM186" s="54" t="str">
        <f t="shared" si="2044"/>
        <v>-</v>
      </c>
      <c r="DN186" s="54" t="str">
        <f t="shared" si="2045"/>
        <v>-</v>
      </c>
      <c r="DO186" s="54" t="str">
        <f t="shared" si="2046"/>
        <v>-</v>
      </c>
      <c r="DP186" s="54" t="str">
        <f t="shared" si="2047"/>
        <v>-</v>
      </c>
      <c r="DQ186" s="54" t="str">
        <f t="shared" si="2048"/>
        <v>-</v>
      </c>
      <c r="DR186" s="54" t="str">
        <f t="shared" si="2049"/>
        <v>-</v>
      </c>
      <c r="DT186" s="112">
        <f t="shared" si="2125"/>
        <v>-4090.524527559056</v>
      </c>
      <c r="DU186" s="114">
        <f>IFERROR(SUMIFS('01. KE30'!$X:$X,'01. KE30'!$C:$C,'06. BC BH THEO CUSTOMER-USD'!$D186,'01. KE30'!$F:$F,'06. BC BH THEO CUSTOMER-USD'!$H186,'01. KE30'!$A:$A,'06. BC BH THEO CUSTOMER-USD'!DU$4)-SUMIFS('01. KE30'!$AA:$AA,'01. KE30'!$C:$C,'06. BC BH THEO CUSTOMER-USD'!$D186,'01. KE30'!$F:$F,'06. BC BH THEO CUSTOMER-USD'!$H186,'01. KE30'!$A:$A,'06. BC BH THEO CUSTOMER-USD'!DU$4),"-")</f>
        <v>0</v>
      </c>
      <c r="DV186" s="114">
        <f>IFERROR(SUMIFS('01. KE30'!$X:$X,'01. KE30'!$C:$C,'06. BC BH THEO CUSTOMER-USD'!$D186,'01. KE30'!$F:$F,'06. BC BH THEO CUSTOMER-USD'!$H186,'01. KE30'!$A:$A,'06. BC BH THEO CUSTOMER-USD'!DV$4)-SUMIFS('01. KE30'!$AA:$AA,'01. KE30'!$C:$C,'06. BC BH THEO CUSTOMER-USD'!$D186,'01. KE30'!$F:$F,'06. BC BH THEO CUSTOMER-USD'!$H186,'01. KE30'!$A:$A,'06. BC BH THEO CUSTOMER-USD'!DV$4),"-")</f>
        <v>0</v>
      </c>
      <c r="DW186" s="114">
        <f>IFERROR(SUMIFS('01. KE30'!$X:$X,'01. KE30'!$C:$C,'06. BC BH THEO CUSTOMER-USD'!$D186,'01. KE30'!$F:$F,'06. BC BH THEO CUSTOMER-USD'!$H186,'01. KE30'!$A:$A,'06. BC BH THEO CUSTOMER-USD'!DW$4)-SUMIFS('01. KE30'!$AA:$AA,'01. KE30'!$C:$C,'06. BC BH THEO CUSTOMER-USD'!$D186,'01. KE30'!$F:$F,'06. BC BH THEO CUSTOMER-USD'!$H186,'01. KE30'!$A:$A,'06. BC BH THEO CUSTOMER-USD'!DW$4),"-")</f>
        <v>-4090.524527559056</v>
      </c>
      <c r="DX186" s="114">
        <f>IFERROR(SUMIFS('01. KE30'!$X:$X,'01. KE30'!$C:$C,'06. BC BH THEO CUSTOMER-USD'!$D186,'01. KE30'!$F:$F,'06. BC BH THEO CUSTOMER-USD'!$H186,'01. KE30'!$A:$A,'06. BC BH THEO CUSTOMER-USD'!DX$4)-SUMIFS('01. KE30'!$AA:$AA,'01. KE30'!$C:$C,'06. BC BH THEO CUSTOMER-USD'!$D186,'01. KE30'!$F:$F,'06. BC BH THEO CUSTOMER-USD'!$H186,'01. KE30'!$A:$A,'06. BC BH THEO CUSTOMER-USD'!DX$4),"-")</f>
        <v>0</v>
      </c>
      <c r="DY186" s="114">
        <f>IFERROR(SUMIFS('01. KE30'!$X:$X,'01. KE30'!$C:$C,'06. BC BH THEO CUSTOMER-USD'!$D186,'01. KE30'!$F:$F,'06. BC BH THEO CUSTOMER-USD'!$H186,'01. KE30'!$A:$A,'06. BC BH THEO CUSTOMER-USD'!DY$4)-SUMIFS('01. KE30'!$AA:$AA,'01. KE30'!$C:$C,'06. BC BH THEO CUSTOMER-USD'!$D186,'01. KE30'!$F:$F,'06. BC BH THEO CUSTOMER-USD'!$H186,'01. KE30'!$A:$A,'06. BC BH THEO CUSTOMER-USD'!DY$4),"-")</f>
        <v>0</v>
      </c>
      <c r="DZ186" s="114">
        <f>IFERROR(SUMIFS('01. KE30'!$X:$X,'01. KE30'!$C:$C,'06. BC BH THEO CUSTOMER-USD'!$D186,'01. KE30'!$F:$F,'06. BC BH THEO CUSTOMER-USD'!$H186,'01. KE30'!$A:$A,'06. BC BH THEO CUSTOMER-USD'!DZ$4)-SUMIFS('01. KE30'!$AA:$AA,'01. KE30'!$C:$C,'06. BC BH THEO CUSTOMER-USD'!$D186,'01. KE30'!$F:$F,'06. BC BH THEO CUSTOMER-USD'!$H186,'01. KE30'!$A:$A,'06. BC BH THEO CUSTOMER-USD'!DZ$4),"-")</f>
        <v>0</v>
      </c>
      <c r="EA186" s="114">
        <f>IFERROR(SUMIFS('01. KE30'!$X:$X,'01. KE30'!$C:$C,'06. BC BH THEO CUSTOMER-USD'!$D186,'01. KE30'!$F:$F,'06. BC BH THEO CUSTOMER-USD'!$H186,'01. KE30'!$A:$A,'06. BC BH THEO CUSTOMER-USD'!EA$4)-SUMIFS('01. KE30'!$AA:$AA,'01. KE30'!$C:$C,'06. BC BH THEO CUSTOMER-USD'!$D186,'01. KE30'!$F:$F,'06. BC BH THEO CUSTOMER-USD'!$H186,'01. KE30'!$A:$A,'06. BC BH THEO CUSTOMER-USD'!EA$4),"-")</f>
        <v>0</v>
      </c>
      <c r="EB186" s="114">
        <f>IFERROR(SUMIFS('01. KE30'!$X:$X,'01. KE30'!$C:$C,'06. BC BH THEO CUSTOMER-USD'!$D186,'01. KE30'!$F:$F,'06. BC BH THEO CUSTOMER-USD'!$H186,'01. KE30'!$A:$A,'06. BC BH THEO CUSTOMER-USD'!EB$4)-SUMIFS('01. KE30'!$AA:$AA,'01. KE30'!$C:$C,'06. BC BH THEO CUSTOMER-USD'!$D186,'01. KE30'!$F:$F,'06. BC BH THEO CUSTOMER-USD'!$H186,'01. KE30'!$A:$A,'06. BC BH THEO CUSTOMER-USD'!EB$4),"-")</f>
        <v>0</v>
      </c>
      <c r="EC186" s="114">
        <f>IFERROR(SUMIFS('01. KE30'!$X:$X,'01. KE30'!$C:$C,'06. BC BH THEO CUSTOMER-USD'!$D186,'01. KE30'!$F:$F,'06. BC BH THEO CUSTOMER-USD'!$H186,'01. KE30'!$A:$A,'06. BC BH THEO CUSTOMER-USD'!EC$4)-SUMIFS('01. KE30'!$AA:$AA,'01. KE30'!$C:$C,'06. BC BH THEO CUSTOMER-USD'!$D186,'01. KE30'!$F:$F,'06. BC BH THEO CUSTOMER-USD'!$H186,'01. KE30'!$A:$A,'06. BC BH THEO CUSTOMER-USD'!EC$4),"-")</f>
        <v>0</v>
      </c>
      <c r="ED186" s="114">
        <f>IFERROR(SUMIFS('01. KE30'!$X:$X,'01. KE30'!$C:$C,'06. BC BH THEO CUSTOMER-USD'!$D186,'01. KE30'!$F:$F,'06. BC BH THEO CUSTOMER-USD'!$H186,'01. KE30'!$A:$A,'06. BC BH THEO CUSTOMER-USD'!ED$4)-SUMIFS('01. KE30'!$AA:$AA,'01. KE30'!$C:$C,'06. BC BH THEO CUSTOMER-USD'!$D186,'01. KE30'!$F:$F,'06. BC BH THEO CUSTOMER-USD'!$H186,'01. KE30'!$A:$A,'06. BC BH THEO CUSTOMER-USD'!ED$4),"-")</f>
        <v>0</v>
      </c>
      <c r="EE186" s="114">
        <f>IFERROR(SUMIFS('01. KE30'!$X:$X,'01. KE30'!$C:$C,'06. BC BH THEO CUSTOMER-USD'!$D186,'01. KE30'!$F:$F,'06. BC BH THEO CUSTOMER-USD'!$H186,'01. KE30'!$A:$A,'06. BC BH THEO CUSTOMER-USD'!EE$4)-SUMIFS('01. KE30'!$AA:$AA,'01. KE30'!$C:$C,'06. BC BH THEO CUSTOMER-USD'!$D186,'01. KE30'!$F:$F,'06. BC BH THEO CUSTOMER-USD'!$H186,'01. KE30'!$A:$A,'06. BC BH THEO CUSTOMER-USD'!EE$4),"-")</f>
        <v>0</v>
      </c>
      <c r="EF186" s="114">
        <f>IFERROR(SUMIFS('01. KE30'!$X:$X,'01. KE30'!$C:$C,'06. BC BH THEO CUSTOMER-USD'!$D186,'01. KE30'!$F:$F,'06. BC BH THEO CUSTOMER-USD'!$H186,'01. KE30'!$A:$A,'06. BC BH THEO CUSTOMER-USD'!EF$4)-SUMIFS('01. KE30'!$AA:$AA,'01. KE30'!$C:$C,'06. BC BH THEO CUSTOMER-USD'!$D186,'01. KE30'!$F:$F,'06. BC BH THEO CUSTOMER-USD'!$H186,'01. KE30'!$A:$A,'06. BC BH THEO CUSTOMER-USD'!EF$4),"-")</f>
        <v>0</v>
      </c>
      <c r="EH186" s="571">
        <f t="shared" si="1737"/>
        <v>-0.71163919863013703</v>
      </c>
      <c r="EI186" s="572" t="str">
        <f t="shared" si="1738"/>
        <v>-</v>
      </c>
      <c r="EJ186" s="572" t="str">
        <f t="shared" si="1739"/>
        <v>-</v>
      </c>
      <c r="EK186" s="572">
        <f t="shared" si="1740"/>
        <v>-0.71163919863013703</v>
      </c>
      <c r="EL186" s="572" t="str">
        <f t="shared" si="1741"/>
        <v>-</v>
      </c>
      <c r="EM186" s="572" t="str">
        <f t="shared" si="1742"/>
        <v>-</v>
      </c>
      <c r="EN186" s="572" t="str">
        <f t="shared" si="1743"/>
        <v>-</v>
      </c>
      <c r="EO186" s="572" t="str">
        <f t="shared" si="1744"/>
        <v>-</v>
      </c>
      <c r="EP186" s="572" t="str">
        <f t="shared" si="1745"/>
        <v>-</v>
      </c>
      <c r="EQ186" s="572" t="str">
        <f t="shared" si="1746"/>
        <v>-</v>
      </c>
      <c r="ER186" s="572" t="str">
        <f t="shared" si="1747"/>
        <v>-</v>
      </c>
      <c r="ES186" s="572" t="str">
        <f t="shared" si="1748"/>
        <v>-</v>
      </c>
      <c r="ET186" s="572" t="str">
        <f t="shared" si="1749"/>
        <v>-</v>
      </c>
    </row>
    <row r="187" spans="1:150" ht="15.5" hidden="1" outlineLevel="1" x14ac:dyDescent="0.35">
      <c r="A187" s="10">
        <f t="shared" si="1266"/>
        <v>13</v>
      </c>
      <c r="B187" s="10" t="s">
        <v>295</v>
      </c>
      <c r="C187" s="442" t="s">
        <v>489</v>
      </c>
      <c r="D187" s="9" t="s">
        <v>637</v>
      </c>
      <c r="E187" s="8" t="s">
        <v>638</v>
      </c>
      <c r="F187" s="12" t="s">
        <v>245</v>
      </c>
      <c r="G187" s="12" t="str">
        <f>_xlfn.XLOOKUP(F187,'Quy đổi'!$G$5:$G$32,'Quy đổi'!$H$5:$H$32,0)</f>
        <v>Nội địa</v>
      </c>
      <c r="H187" s="80" t="s">
        <v>37</v>
      </c>
      <c r="I187" s="7" t="s">
        <v>36</v>
      </c>
      <c r="J187" s="69" t="s">
        <v>22</v>
      </c>
      <c r="K187" s="5"/>
      <c r="L187" s="92">
        <f t="shared" ref="L187:L192" si="2127">IFERROR(AVERAGE(M187:X187),"-")</f>
        <v>663.79782617615228</v>
      </c>
      <c r="M187" s="106" t="str">
        <f>IFERROR(SUMIFS('01. KE30'!$K:$K,'01. KE30'!$C:$C,'06. BC BH THEO CUSTOMER-USD'!$D187,'01. KE30'!$F:$F,'06. BC BH THEO CUSTOMER-USD'!$H187,'01. KE30'!$A:$A,'06. BC BH THEO CUSTOMER-USD'!M$4)/'06. BC BH THEO CUSTOMER-USD'!CS187/'02. Tỷ giá'!B$5,"-")</f>
        <v>-</v>
      </c>
      <c r="N187" s="106" t="str">
        <f>IFERROR(SUMIFS('01. KE30'!$K:$K,'01. KE30'!$C:$C,'06. BC BH THEO CUSTOMER-USD'!$D187,'01. KE30'!$F:$F,'06. BC BH THEO CUSTOMER-USD'!$H187,'01. KE30'!$A:$A,'06. BC BH THEO CUSTOMER-USD'!N$4)/'06. BC BH THEO CUSTOMER-USD'!CT187/'02. Tỷ giá'!C$5,"-")</f>
        <v>-</v>
      </c>
      <c r="O187" s="106">
        <f>IFERROR(SUMIFS('01. KE30'!$K:$K,'01. KE30'!$C:$C,'06. BC BH THEO CUSTOMER-USD'!$D187,'01. KE30'!$F:$F,'06. BC BH THEO CUSTOMER-USD'!$H187,'01. KE30'!$A:$A,'06. BC BH THEO CUSTOMER-USD'!O$4)/'06. BC BH THEO CUSTOMER-USD'!CU187/'02. Tỷ giá'!D$5,"-")</f>
        <v>674.39527559055114</v>
      </c>
      <c r="P187" s="106">
        <f>IFERROR(SUMIFS('01. KE30'!$K:$K,'01. KE30'!$C:$C,'06. BC BH THEO CUSTOMER-USD'!$D187,'01. KE30'!$F:$F,'06. BC BH THEO CUSTOMER-USD'!$H187,'01. KE30'!$A:$A,'06. BC BH THEO CUSTOMER-USD'!P$4)/'06. BC BH THEO CUSTOMER-USD'!CV187/'02. Tỷ giá'!E$5,"-")</f>
        <v>669.90722673893413</v>
      </c>
      <c r="Q187" s="106">
        <f>IFERROR(SUMIFS('01. KE30'!$K:$K,'01. KE30'!$C:$C,'06. BC BH THEO CUSTOMER-USD'!$D187,'01. KE30'!$F:$F,'06. BC BH THEO CUSTOMER-USD'!$H187,'01. KE30'!$A:$A,'06. BC BH THEO CUSTOMER-USD'!Q$4)/'06. BC BH THEO CUSTOMER-USD'!CW187/'02. Tỷ giá'!F$5,"-")</f>
        <v>662.39866976024757</v>
      </c>
      <c r="R187" s="106">
        <f>IFERROR(SUMIFS('01. KE30'!$K:$K,'01. KE30'!$C:$C,'06. BC BH THEO CUSTOMER-USD'!$D187,'01. KE30'!$F:$F,'06. BC BH THEO CUSTOMER-USD'!$H187,'01. KE30'!$A:$A,'06. BC BH THEO CUSTOMER-USD'!R$4)/'06. BC BH THEO CUSTOMER-USD'!CX187/'02. Tỷ giá'!G$5,"-")</f>
        <v>660.86534207818931</v>
      </c>
      <c r="S187" s="106">
        <f>IFERROR(SUMIFS('01. KE30'!$K:$K,'01. KE30'!$C:$C,'06. BC BH THEO CUSTOMER-USD'!$D187,'01. KE30'!$F:$F,'06. BC BH THEO CUSTOMER-USD'!$H187,'01. KE30'!$A:$A,'06. BC BH THEO CUSTOMER-USD'!S$4)/'06. BC BH THEO CUSTOMER-USD'!CY187/'02. Tỷ giá'!H$5,"-")</f>
        <v>660.91831476501477</v>
      </c>
      <c r="T187" s="106">
        <f>IFERROR(SUMIFS('01. KE30'!$K:$K,'01. KE30'!$C:$C,'06. BC BH THEO CUSTOMER-USD'!$D187,'01. KE30'!$F:$F,'06. BC BH THEO CUSTOMER-USD'!$H187,'01. KE30'!$A:$A,'06. BC BH THEO CUSTOMER-USD'!T$4)/'06. BC BH THEO CUSTOMER-USD'!CZ187/'02. Tỷ giá'!I$5,"-")</f>
        <v>654.30212812397679</v>
      </c>
      <c r="U187" s="106" t="str">
        <f>IFERROR(SUMIFS('01. KE30'!$K:$K,'01. KE30'!$C:$C,'06. BC BH THEO CUSTOMER-USD'!$D187,'01. KE30'!$F:$F,'06. BC BH THEO CUSTOMER-USD'!$H187,'01. KE30'!$A:$A,'06. BC BH THEO CUSTOMER-USD'!U$4)/'06. BC BH THEO CUSTOMER-USD'!DA187/'02. Tỷ giá'!J$5,"-")</f>
        <v>-</v>
      </c>
      <c r="V187" s="106" t="str">
        <f>IFERROR(SUMIFS('01. KE30'!$K:$K,'01. KE30'!$C:$C,'06. BC BH THEO CUSTOMER-USD'!$D187,'01. KE30'!$F:$F,'06. BC BH THEO CUSTOMER-USD'!$H187,'01. KE30'!$A:$A,'06. BC BH THEO CUSTOMER-USD'!V$4)/'06. BC BH THEO CUSTOMER-USD'!DB187/'02. Tỷ giá'!K$5,"-")</f>
        <v>-</v>
      </c>
      <c r="W187" s="106" t="str">
        <f>IFERROR(SUMIFS('01. KE30'!$K:$K,'01. KE30'!$C:$C,'06. BC BH THEO CUSTOMER-USD'!$D187,'01. KE30'!$F:$F,'06. BC BH THEO CUSTOMER-USD'!$H187,'01. KE30'!$A:$A,'06. BC BH THEO CUSTOMER-USD'!W$4)/'06. BC BH THEO CUSTOMER-USD'!DC187/'02. Tỷ giá'!L$5,"-")</f>
        <v>-</v>
      </c>
      <c r="X187" s="106" t="str">
        <f>IFERROR(SUMIFS('01. KE30'!$K:$K,'01. KE30'!$C:$C,'06. BC BH THEO CUSTOMER-USD'!$D187,'01. KE30'!$F:$F,'06. BC BH THEO CUSTOMER-USD'!$H187,'01. KE30'!$A:$A,'06. BC BH THEO CUSTOMER-USD'!X$4)/'06. BC BH THEO CUSTOMER-USD'!DD187/'02. Tỷ giá'!M$5,"-")</f>
        <v>-</v>
      </c>
      <c r="Z187" s="92">
        <f t="shared" ref="Z187:Z192" si="2128">IFERROR(AVERAGE(AA187:AL187),"-")</f>
        <v>630.89727233132453</v>
      </c>
      <c r="AA187" s="147" t="str">
        <f>IFERROR(SUMIFS('01. KE30'!$O:$O,'01. KE30'!$C:$C,'06. BC BH THEO CUSTOMER-USD'!$D187,'01. KE30'!$F:$F,'06. BC BH THEO CUSTOMER-USD'!$H187,'01. KE30'!$A:$A,'06. BC BH THEO CUSTOMER-USD'!M$4)/'06. BC BH THEO CUSTOMER-USD'!CS187/'02. Tỷ giá'!B$5,"-")</f>
        <v>-</v>
      </c>
      <c r="AB187" s="147" t="str">
        <f>IFERROR(SUMIFS('01. KE30'!$O:$O,'01. KE30'!$C:$C,'06. BC BH THEO CUSTOMER-USD'!$D187,'01. KE30'!$F:$F,'06. BC BH THEO CUSTOMER-USD'!$H187,'01. KE30'!$A:$A,'06. BC BH THEO CUSTOMER-USD'!N$4)/'06. BC BH THEO CUSTOMER-USD'!CT187/'02. Tỷ giá'!C$5,"-")</f>
        <v>-</v>
      </c>
      <c r="AC187" s="147">
        <f>IFERROR(SUMIFS('01. KE30'!$O:$O,'01. KE30'!$C:$C,'06. BC BH THEO CUSTOMER-USD'!$D187,'01. KE30'!$F:$F,'06. BC BH THEO CUSTOMER-USD'!$H187,'01. KE30'!$A:$A,'06. BC BH THEO CUSTOMER-USD'!O$4)/'06. BC BH THEO CUSTOMER-USD'!CU187/'02. Tỷ giá'!D$5,"-")</f>
        <v>635.02519685039374</v>
      </c>
      <c r="AD187" s="147">
        <f>IFERROR(SUMIFS('01. KE30'!$O:$O,'01. KE30'!$C:$C,'06. BC BH THEO CUSTOMER-USD'!$D187,'01. KE30'!$F:$F,'06. BC BH THEO CUSTOMER-USD'!$H187,'01. KE30'!$A:$A,'06. BC BH THEO CUSTOMER-USD'!P$4)/'06. BC BH THEO CUSTOMER-USD'!CV187/'02. Tỷ giá'!E$5,"-")</f>
        <v>627.32108659181824</v>
      </c>
      <c r="AE187" s="147">
        <f>IFERROR(SUMIFS('01. KE30'!$O:$O,'01. KE30'!$C:$C,'06. BC BH THEO CUSTOMER-USD'!$D187,'01. KE30'!$F:$F,'06. BC BH THEO CUSTOMER-USD'!$H187,'01. KE30'!$A:$A,'06. BC BH THEO CUSTOMER-USD'!Q$4)/'06. BC BH THEO CUSTOMER-USD'!CW187/'02. Tỷ giá'!F$5,"-")</f>
        <v>623.72890951276099</v>
      </c>
      <c r="AF187" s="147">
        <f>IFERROR(SUMIFS('01. KE30'!$O:$O,'01. KE30'!$C:$C,'06. BC BH THEO CUSTOMER-USD'!$D187,'01. KE30'!$F:$F,'06. BC BH THEO CUSTOMER-USD'!$H187,'01. KE30'!$A:$A,'06. BC BH THEO CUSTOMER-USD'!R$4)/'06. BC BH THEO CUSTOMER-USD'!CX187/'02. Tỷ giá'!G$5,"-")</f>
        <v>622.28509516460906</v>
      </c>
      <c r="AG187" s="147">
        <f>IFERROR(SUMIFS('01. KE30'!$O:$O,'01. KE30'!$C:$C,'06. BC BH THEO CUSTOMER-USD'!$D187,'01. KE30'!$F:$F,'06. BC BH THEO CUSTOMER-USD'!$H187,'01. KE30'!$A:$A,'06. BC BH THEO CUSTOMER-USD'!S$4)/'06. BC BH THEO CUSTOMER-USD'!CY187/'02. Tỷ giá'!H$5,"-")</f>
        <v>660.91831476501477</v>
      </c>
      <c r="AH187" s="147">
        <f>IFERROR(SUMIFS('01. KE30'!$O:$O,'01. KE30'!$C:$C,'06. BC BH THEO CUSTOMER-USD'!$D187,'01. KE30'!$F:$F,'06. BC BH THEO CUSTOMER-USD'!$H187,'01. KE30'!$A:$A,'06. BC BH THEO CUSTOMER-USD'!T$4)/'06. BC BH THEO CUSTOMER-USD'!CZ187/'02. Tỷ giá'!I$5,"-")</f>
        <v>616.10503110335048</v>
      </c>
      <c r="AI187" s="147" t="str">
        <f>IFERROR(SUMIFS('01. KE30'!$O:$O,'01. KE30'!$C:$C,'06. BC BH THEO CUSTOMER-USD'!$D187,'01. KE30'!$F:$F,'06. BC BH THEO CUSTOMER-USD'!$H187,'01. KE30'!$A:$A,'06. BC BH THEO CUSTOMER-USD'!U$4)/'06. BC BH THEO CUSTOMER-USD'!DA187/'02. Tỷ giá'!J$5,"-")</f>
        <v>-</v>
      </c>
      <c r="AJ187" s="147" t="str">
        <f>IFERROR(SUMIFS('01. KE30'!$O:$O,'01. KE30'!$C:$C,'06. BC BH THEO CUSTOMER-USD'!$D187,'01. KE30'!$F:$F,'06. BC BH THEO CUSTOMER-USD'!$H187,'01. KE30'!$A:$A,'06. BC BH THEO CUSTOMER-USD'!V$4)/'06. BC BH THEO CUSTOMER-USD'!DB187/'02. Tỷ giá'!K$5,"-")</f>
        <v>-</v>
      </c>
      <c r="AK187" s="147" t="str">
        <f>IFERROR(SUMIFS('01. KE30'!$O:$O,'01. KE30'!$C:$C,'06. BC BH THEO CUSTOMER-USD'!$D187,'01. KE30'!$F:$F,'06. BC BH THEO CUSTOMER-USD'!$H187,'01. KE30'!$A:$A,'06. BC BH THEO CUSTOMER-USD'!W$4)/'06. BC BH THEO CUSTOMER-USD'!DC187/'02. Tỷ giá'!L$5,"-")</f>
        <v>-</v>
      </c>
      <c r="AL187" s="147" t="str">
        <f>IFERROR(SUMIFS('01. KE30'!$O:$O,'01. KE30'!$C:$C,'06. BC BH THEO CUSTOMER-USD'!$D187,'01. KE30'!$F:$F,'06. BC BH THEO CUSTOMER-USD'!$H187,'01. KE30'!$A:$A,'06. BC BH THEO CUSTOMER-USD'!X$4)/'06. BC BH THEO CUSTOMER-USD'!DD187/'02. Tỷ giá'!M$5,"-")</f>
        <v>-</v>
      </c>
      <c r="AN187" s="92">
        <f t="shared" ref="AN187:AN192" si="2129">IFERROR(AVERAGE(AO187:AZ187),"-")</f>
        <v>740.55555555555554</v>
      </c>
      <c r="AO187" s="4">
        <v>855</v>
      </c>
      <c r="AP187" s="4">
        <v>750</v>
      </c>
      <c r="AQ187" s="4">
        <v>750</v>
      </c>
      <c r="AR187" s="4">
        <v>750</v>
      </c>
      <c r="AS187" s="4">
        <v>720</v>
      </c>
      <c r="AT187" s="4">
        <v>720</v>
      </c>
      <c r="AU187" s="4">
        <v>720</v>
      </c>
      <c r="AV187" s="4">
        <f t="shared" si="1272"/>
        <v>700</v>
      </c>
      <c r="AW187" s="4">
        <v>700</v>
      </c>
      <c r="AX187" s="4"/>
      <c r="AY187" s="4"/>
      <c r="AZ187" s="4"/>
      <c r="BB187" s="95">
        <f t="shared" ref="BB187:BB192" si="2130">IF(L187&lt;&gt;"-",Z187-AN187,"-")</f>
        <v>-109.65828322423101</v>
      </c>
      <c r="BC187" s="95" t="str">
        <f t="shared" ref="BC187:BC192" si="2131">IF(M187&lt;&gt;"-",AA187-AO187,"-")</f>
        <v>-</v>
      </c>
      <c r="BD187" s="95" t="str">
        <f t="shared" ref="BD187:BD192" si="2132">IF(N187&lt;&gt;"-",AB187-AP187,"-")</f>
        <v>-</v>
      </c>
      <c r="BE187" s="95">
        <f t="shared" ref="BE187:BE192" si="2133">IF(O187&lt;&gt;"-",AC187-AQ187,"-")</f>
        <v>-114.97480314960626</v>
      </c>
      <c r="BF187" s="95">
        <f t="shared" ref="BF187:BF192" si="2134">IF(P187&lt;&gt;"-",AD187-AR187,"-")</f>
        <v>-122.67891340818176</v>
      </c>
      <c r="BG187" s="95">
        <f t="shared" ref="BG187:BG192" si="2135">IF(Q187&lt;&gt;"-",AE187-AS187,"-")</f>
        <v>-96.271090487239007</v>
      </c>
      <c r="BH187" s="95">
        <f t="shared" ref="BH187:BH192" si="2136">IF(R187&lt;&gt;"-",AF187-AT187,"-")</f>
        <v>-97.714904835390939</v>
      </c>
      <c r="BI187" s="95">
        <f t="shared" ref="BI187:BI192" si="2137">IF(S187&lt;&gt;"-",AG187-AU187,"-")</f>
        <v>-59.08168523498523</v>
      </c>
      <c r="BJ187" s="95">
        <f t="shared" ref="BJ187:BJ192" si="2138">IF(T187&lt;&gt;"-",AH187-AV187,"-")</f>
        <v>-83.894968896649516</v>
      </c>
      <c r="BK187" s="95" t="str">
        <f t="shared" ref="BK187:BK192" si="2139">IF(U187&lt;&gt;"-",AI187-AW187,"-")</f>
        <v>-</v>
      </c>
      <c r="BL187" s="95" t="str">
        <f t="shared" ref="BL187:BL192" si="2140">IF(V187&lt;&gt;"-",AJ187-AX187,"-")</f>
        <v>-</v>
      </c>
      <c r="BM187" s="95" t="str">
        <f t="shared" ref="BM187:BM192" si="2141">IF(W187&lt;&gt;"-",AK187-AY187,"-")</f>
        <v>-</v>
      </c>
      <c r="BN187" s="95" t="str">
        <f t="shared" ref="BN187:BN192" si="2142">IF(X187&lt;&gt;"-",AL187-AZ187,"-")</f>
        <v>-</v>
      </c>
      <c r="BP187" s="143">
        <f t="shared" ref="BP187:BP192" si="2143">IFERROR(IF(BB187&lt;&gt;"-",BB187/AN187,"-"),"-")</f>
        <v>-0.14807570127803138</v>
      </c>
      <c r="BQ187" s="143" t="str">
        <f t="shared" ref="BQ187:BQ192" si="2144">IFERROR(IF(BC187&lt;&gt;"-",BC187/AO187,"-"),"-")</f>
        <v>-</v>
      </c>
      <c r="BR187" s="143" t="str">
        <f t="shared" ref="BR187:BR192" si="2145">IFERROR(IF(BD187&lt;&gt;"-",BD187/AP187,"-"),"-")</f>
        <v>-</v>
      </c>
      <c r="BS187" s="143">
        <f t="shared" ref="BS187:BS192" si="2146">IFERROR(IF(BE187&lt;&gt;"-",BE187/AQ187,"-"),"-")</f>
        <v>-0.15329973753280834</v>
      </c>
      <c r="BT187" s="143">
        <f t="shared" ref="BT187:BT192" si="2147">IFERROR(IF(BF187&lt;&gt;"-",BF187/AR187,"-"),"-")</f>
        <v>-0.16357188454424235</v>
      </c>
      <c r="BU187" s="143">
        <f t="shared" ref="BU187:BU192" si="2148">IFERROR(IF(BG187&lt;&gt;"-",BG187/AS187,"-"),"-")</f>
        <v>-0.13370984789894308</v>
      </c>
      <c r="BV187" s="143">
        <f t="shared" ref="BV187:BV192" si="2149">IFERROR(IF(BH187&lt;&gt;"-",BH187/AT187,"-"),"-")</f>
        <v>-0.13571514560470962</v>
      </c>
      <c r="BW187" s="143">
        <f t="shared" ref="BW187:BW192" si="2150">IFERROR(IF(BI187&lt;&gt;"-",BI187/AU187,"-"),"-")</f>
        <v>-8.2057896159701701E-2</v>
      </c>
      <c r="BX187" s="143">
        <f t="shared" ref="BX187:BX192" si="2151">IFERROR(IF(BJ187&lt;&gt;"-",BJ187/AV187,"-"),"-")</f>
        <v>-0.11984995556664217</v>
      </c>
      <c r="BY187" s="143" t="str">
        <f t="shared" ref="BY187:BY192" si="2152">IFERROR(IF(BK187&lt;&gt;"-",BK187/AW187,"-"),"-")</f>
        <v>-</v>
      </c>
      <c r="BZ187" s="143" t="str">
        <f t="shared" ref="BZ187:BZ192" si="2153">IFERROR(IF(BL187&lt;&gt;"-",BL187/AX187,"-"),"-")</f>
        <v>-</v>
      </c>
      <c r="CA187" s="143" t="str">
        <f t="shared" ref="CA187:CA192" si="2154">IFERROR(IF(BM187&lt;&gt;"-",BM187/AY187,"-"),"-")</f>
        <v>-</v>
      </c>
      <c r="CB187" s="143" t="str">
        <f t="shared" ref="CB187:CB192" si="2155">IFERROR(IF(BN187&lt;&gt;"-",BN187/AZ187,"-"),"-")</f>
        <v>-</v>
      </c>
      <c r="CD187" s="112">
        <f t="shared" ref="CD187:CD192" si="2156">IFERROR(AVERAGE(CE187:CP187),"-")</f>
        <v>938.61368043590346</v>
      </c>
      <c r="CE187" s="95" t="str">
        <f>IFERROR(SUMIFS('01. KE30'!$R:$R,'01. KE30'!$C:$C,'06. BC BH THEO CUSTOMER-USD'!$D187,'01. KE30'!$F:$F,'06. BC BH THEO CUSTOMER-USD'!$H187,'01. KE30'!$A:$A,'06. BC BH THEO CUSTOMER-USD'!CE$4)/CS187/'02. Tỷ giá'!B$5," -")</f>
        <v xml:space="preserve"> -</v>
      </c>
      <c r="CF187" s="95" t="str">
        <f>IFERROR(SUMIFS('01. KE30'!$R:$R,'01. KE30'!$C:$C,'06. BC BH THEO CUSTOMER-USD'!$D187,'01. KE30'!$F:$F,'06. BC BH THEO CUSTOMER-USD'!$H187,'01. KE30'!$A:$A,'06. BC BH THEO CUSTOMER-USD'!CF$4)/CT187/'02. Tỷ giá'!C$5," -")</f>
        <v xml:space="preserve"> -</v>
      </c>
      <c r="CG187" s="95">
        <f>IFERROR(SUMIFS('01. KE30'!$R:$R,'01. KE30'!$C:$C,'06. BC BH THEO CUSTOMER-USD'!$D187,'01. KE30'!$F:$F,'06. BC BH THEO CUSTOMER-USD'!$H187,'01. KE30'!$A:$A,'06. BC BH THEO CUSTOMER-USD'!CG$4)/CU187/'02. Tỷ giá'!D$5," -")</f>
        <v>1202.3196850393701</v>
      </c>
      <c r="CH187" s="95">
        <f>IFERROR(SUMIFS('01. KE30'!$R:$R,'01. KE30'!$C:$C,'06. BC BH THEO CUSTOMER-USD'!$D187,'01. KE30'!$F:$F,'06. BC BH THEO CUSTOMER-USD'!$H187,'01. KE30'!$A:$A,'06. BC BH THEO CUSTOMER-USD'!CH$4)/CV187/'02. Tỷ giá'!E$5," -")</f>
        <v>1080.6671828623048</v>
      </c>
      <c r="CI187" s="95">
        <f>IFERROR(SUMIFS('01. KE30'!$R:$R,'01. KE30'!$C:$C,'06. BC BH THEO CUSTOMER-USD'!$D187,'01. KE30'!$F:$F,'06. BC BH THEO CUSTOMER-USD'!$H187,'01. KE30'!$A:$A,'06. BC BH THEO CUSTOMER-USD'!CI$4)/CW187/'02. Tỷ giá'!F$5," -")</f>
        <v>974.34564578499612</v>
      </c>
      <c r="CJ187" s="95">
        <f>IFERROR(SUMIFS('01. KE30'!$R:$R,'01. KE30'!$C:$C,'06. BC BH THEO CUSTOMER-USD'!$D187,'01. KE30'!$F:$F,'06. BC BH THEO CUSTOMER-USD'!$H187,'01. KE30'!$A:$A,'06. BC BH THEO CUSTOMER-USD'!CJ$4)/CX187/'02. Tỷ giá'!G$5," -")</f>
        <v>942.66224279835387</v>
      </c>
      <c r="CK187" s="95">
        <f>IFERROR(SUMIFS('01. KE30'!$R:$R,'01. KE30'!$C:$C,'06. BC BH THEO CUSTOMER-USD'!$D187,'01. KE30'!$F:$F,'06. BC BH THEO CUSTOMER-USD'!$H187,'01. KE30'!$A:$A,'06. BC BH THEO CUSTOMER-USD'!CK$4)/CY187/'02. Tỷ giá'!H$5," -")</f>
        <v>762.75090792675121</v>
      </c>
      <c r="CL187" s="95">
        <f>IFERROR(SUMIFS('01. KE30'!$R:$R,'01. KE30'!$C:$C,'06. BC BH THEO CUSTOMER-USD'!$D187,'01. KE30'!$F:$F,'06. BC BH THEO CUSTOMER-USD'!$H187,'01. KE30'!$A:$A,'06. BC BH THEO CUSTOMER-USD'!CL$4)/CZ187/'02. Tỷ giá'!I$5," -")</f>
        <v>668.93641820364508</v>
      </c>
      <c r="CM187" s="95" t="str">
        <f>IFERROR(SUMIFS('01. KE30'!$R:$R,'01. KE30'!$C:$C,'06. BC BH THEO CUSTOMER-USD'!$D187,'01. KE30'!$F:$F,'06. BC BH THEO CUSTOMER-USD'!$H187,'01. KE30'!$A:$A,'06. BC BH THEO CUSTOMER-USD'!CM$4)/DA187/'02. Tỷ giá'!J$5," -")</f>
        <v xml:space="preserve"> -</v>
      </c>
      <c r="CN187" s="95" t="str">
        <f>IFERROR(SUMIFS('01. KE30'!$R:$R,'01. KE30'!$C:$C,'06. BC BH THEO CUSTOMER-USD'!$D187,'01. KE30'!$F:$F,'06. BC BH THEO CUSTOMER-USD'!$H187,'01. KE30'!$A:$A,'06. BC BH THEO CUSTOMER-USD'!CN$4)/DB187/'02. Tỷ giá'!K$5," -")</f>
        <v xml:space="preserve"> -</v>
      </c>
      <c r="CO187" s="95" t="str">
        <f>IFERROR(SUMIFS('01. KE30'!$R:$R,'01. KE30'!$C:$C,'06. BC BH THEO CUSTOMER-USD'!$D187,'01. KE30'!$F:$F,'06. BC BH THEO CUSTOMER-USD'!$H187,'01. KE30'!$A:$A,'06. BC BH THEO CUSTOMER-USD'!CO$4)/DC187/'02. Tỷ giá'!L$5," -")</f>
        <v xml:space="preserve"> -</v>
      </c>
      <c r="CP187" s="95" t="str">
        <f>IFERROR(SUMIFS('01. KE30'!$R:$R,'01. KE30'!$C:$C,'06. BC BH THEO CUSTOMER-USD'!$D187,'01. KE30'!$F:$F,'06. BC BH THEO CUSTOMER-USD'!$H187,'01. KE30'!$A:$A,'06. BC BH THEO CUSTOMER-USD'!CP$4)/DD187/'02. Tỷ giá'!M$5," -")</f>
        <v xml:space="preserve"> -</v>
      </c>
      <c r="CR187" s="112">
        <f t="shared" ref="CR187:CR192" si="2157">SUM(CS187:DD187)</f>
        <v>39.799999999999997</v>
      </c>
      <c r="CS187" s="114">
        <f>SUMIFS('01. KE30'!$I:$I,'01. KE30'!$C:$C,'06. BC BH THEO CUSTOMER-USD'!$D187,'01. KE30'!$F:$F,'06. BC BH THEO CUSTOMER-USD'!$H187,'01. KE30'!$A:$A,'06. BC BH THEO CUSTOMER-USD'!CS$4)/1000</f>
        <v>0</v>
      </c>
      <c r="CT187" s="114">
        <f>SUMIFS('01. KE30'!$I:$I,'01. KE30'!$C:$C,'06. BC BH THEO CUSTOMER-USD'!$D187,'01. KE30'!$F:$F,'06. BC BH THEO CUSTOMER-USD'!$H187,'01. KE30'!$A:$A,'06. BC BH THEO CUSTOMER-USD'!CT$4)/1000</f>
        <v>0</v>
      </c>
      <c r="CU187" s="114">
        <f>SUMIFS('01. KE30'!$I:$I,'01. KE30'!$C:$C,'06. BC BH THEO CUSTOMER-USD'!$D187,'01. KE30'!$F:$F,'06. BC BH THEO CUSTOMER-USD'!$H187,'01. KE30'!$A:$A,'06. BC BH THEO CUSTOMER-USD'!CU$4)/1000</f>
        <v>0.05</v>
      </c>
      <c r="CV187" s="114">
        <f>SUMIFS('01. KE30'!$I:$I,'01. KE30'!$C:$C,'06. BC BH THEO CUSTOMER-USD'!$D187,'01. KE30'!$F:$F,'06. BC BH THEO CUSTOMER-USD'!$H187,'01. KE30'!$A:$A,'06. BC BH THEO CUSTOMER-USD'!CV$4)/1000</f>
        <v>6</v>
      </c>
      <c r="CW187" s="114">
        <f>SUMIFS('01. KE30'!$I:$I,'01. KE30'!$C:$C,'06. BC BH THEO CUSTOMER-USD'!$D187,'01. KE30'!$F:$F,'06. BC BH THEO CUSTOMER-USD'!$H187,'01. KE30'!$A:$A,'06. BC BH THEO CUSTOMER-USD'!CW$4)/1000</f>
        <v>15</v>
      </c>
      <c r="CX187" s="114">
        <f>SUMIFS('01. KE30'!$I:$I,'01. KE30'!$C:$C,'06. BC BH THEO CUSTOMER-USD'!$D187,'01. KE30'!$F:$F,'06. BC BH THEO CUSTOMER-USD'!$H187,'01. KE30'!$A:$A,'06. BC BH THEO CUSTOMER-USD'!CX$4)/1000</f>
        <v>6</v>
      </c>
      <c r="CY187" s="114">
        <f>SUMIFS('01. KE30'!$I:$I,'01. KE30'!$C:$C,'06. BC BH THEO CUSTOMER-USD'!$D187,'01. KE30'!$F:$F,'06. BC BH THEO CUSTOMER-USD'!$H187,'01. KE30'!$A:$A,'06. BC BH THEO CUSTOMER-USD'!CY$4)/1000</f>
        <v>7.5</v>
      </c>
      <c r="CZ187" s="114">
        <f>SUMIFS('01. KE30'!$I:$I,'01. KE30'!$C:$C,'06. BC BH THEO CUSTOMER-USD'!$D187,'01. KE30'!$F:$F,'06. BC BH THEO CUSTOMER-USD'!$H187,'01. KE30'!$A:$A,'06. BC BH THEO CUSTOMER-USD'!CZ$4)/1000</f>
        <v>5.25</v>
      </c>
      <c r="DA187" s="114">
        <f>SUMIFS('01. KE30'!$I:$I,'01. KE30'!$C:$C,'06. BC BH THEO CUSTOMER-USD'!$D187,'01. KE30'!$F:$F,'06. BC BH THEO CUSTOMER-USD'!$H187,'01. KE30'!$A:$A,'06. BC BH THEO CUSTOMER-USD'!DA$4)/1000</f>
        <v>0</v>
      </c>
      <c r="DB187" s="114">
        <f>SUMIFS('01. KE30'!$I:$I,'01. KE30'!$C:$C,'06. BC BH THEO CUSTOMER-USD'!$D187,'01. KE30'!$F:$F,'06. BC BH THEO CUSTOMER-USD'!$H187,'01. KE30'!$A:$A,'06. BC BH THEO CUSTOMER-USD'!DB$4)/1000</f>
        <v>0</v>
      </c>
      <c r="DC187" s="114">
        <f>SUMIFS('01. KE30'!$I:$I,'01. KE30'!$C:$C,'06. BC BH THEO CUSTOMER-USD'!$D187,'01. KE30'!$F:$F,'06. BC BH THEO CUSTOMER-USD'!$H187,'01. KE30'!$A:$A,'06. BC BH THEO CUSTOMER-USD'!DC$4)/1000</f>
        <v>0</v>
      </c>
      <c r="DD187" s="114">
        <f>SUMIFS('01. KE30'!$I:$I,'01. KE30'!$C:$C,'06. BC BH THEO CUSTOMER-USD'!$D187,'01. KE30'!$F:$F,'06. BC BH THEO CUSTOMER-USD'!$H187,'01. KE30'!$A:$A,'06. BC BH THEO CUSTOMER-USD'!DD$4)/1000</f>
        <v>0</v>
      </c>
      <c r="DF187" s="112">
        <f t="shared" ref="DF187:DF192" si="2158">SUM(DG187:DR187)</f>
        <v>26346.308756474471</v>
      </c>
      <c r="DG187" s="54" t="str">
        <f t="shared" ref="DG187:DG192" si="2159">IFERROR(M187*CS187,"-")</f>
        <v>-</v>
      </c>
      <c r="DH187" s="54" t="str">
        <f t="shared" ref="DH187:DH192" si="2160">IFERROR(N187*CT187,"-")</f>
        <v>-</v>
      </c>
      <c r="DI187" s="54">
        <f t="shared" ref="DI187:DI192" si="2161">IFERROR(O187*CU187,"-")</f>
        <v>33.719763779527561</v>
      </c>
      <c r="DJ187" s="54">
        <f t="shared" ref="DJ187:DJ192" si="2162">IFERROR(P187*CV187,"-")</f>
        <v>4019.4433604336045</v>
      </c>
      <c r="DK187" s="54">
        <f t="shared" ref="DK187:DK192" si="2163">IFERROR(Q187*CW187,"-")</f>
        <v>9935.9800464037144</v>
      </c>
      <c r="DL187" s="54">
        <f t="shared" ref="DL187:DL192" si="2164">IFERROR(R187*CX187,"-")</f>
        <v>3965.1920524691359</v>
      </c>
      <c r="DM187" s="54">
        <f t="shared" ref="DM187:DM192" si="2165">IFERROR(S187*CY187,"-")</f>
        <v>4956.8873607376108</v>
      </c>
      <c r="DN187" s="54">
        <f t="shared" ref="DN187:DN192" si="2166">IFERROR(T187*CZ187,"-")</f>
        <v>3435.0861726508783</v>
      </c>
      <c r="DO187" s="54" t="str">
        <f t="shared" ref="DO187:DO192" si="2167">IFERROR(U187*DA187,"-")</f>
        <v>-</v>
      </c>
      <c r="DP187" s="54" t="str">
        <f t="shared" ref="DP187:DP192" si="2168">IFERROR(V187*DB187,"-")</f>
        <v>-</v>
      </c>
      <c r="DQ187" s="54" t="str">
        <f t="shared" ref="DQ187:DQ192" si="2169">IFERROR(W187*DC187,"-")</f>
        <v>-</v>
      </c>
      <c r="DR187" s="54" t="str">
        <f t="shared" ref="DR187:DR192" si="2170">IFERROR(X187*DD187,"-")</f>
        <v>-</v>
      </c>
      <c r="DT187" s="112">
        <f t="shared" ref="DT187:DT192" si="2171">SUM(DU187:EF187)</f>
        <v>-10971.064462907934</v>
      </c>
      <c r="DU187" s="114">
        <f>IFERROR(SUMIFS('01. KE30'!$X:$X,'01. KE30'!$C:$C,'06. BC BH THEO CUSTOMER-USD'!$D187,'01. KE30'!$F:$F,'06. BC BH THEO CUSTOMER-USD'!$H187,'01. KE30'!$A:$A,'06. BC BH THEO CUSTOMER-USD'!DU$4)-SUMIFS('01. KE30'!$AA:$AA,'01. KE30'!$C:$C,'06. BC BH THEO CUSTOMER-USD'!$D187,'01. KE30'!$F:$F,'06. BC BH THEO CUSTOMER-USD'!$H187,'01. KE30'!$A:$A,'06. BC BH THEO CUSTOMER-USD'!DU$4),"-")</f>
        <v>0</v>
      </c>
      <c r="DV187" s="114">
        <f>IFERROR(SUMIFS('01. KE30'!$X:$X,'01. KE30'!$C:$C,'06. BC BH THEO CUSTOMER-USD'!$D187,'01. KE30'!$F:$F,'06. BC BH THEO CUSTOMER-USD'!$H187,'01. KE30'!$A:$A,'06. BC BH THEO CUSTOMER-USD'!DV$4)-SUMIFS('01. KE30'!$AA:$AA,'01. KE30'!$C:$C,'06. BC BH THEO CUSTOMER-USD'!$D187,'01. KE30'!$F:$F,'06. BC BH THEO CUSTOMER-USD'!$H187,'01. KE30'!$A:$A,'06. BC BH THEO CUSTOMER-USD'!DV$4),"-")</f>
        <v>0</v>
      </c>
      <c r="DW187" s="114">
        <f>IFERROR(SUMIFS('01. KE30'!$X:$X,'01. KE30'!$C:$C,'06. BC BH THEO CUSTOMER-USD'!$D187,'01. KE30'!$F:$F,'06. BC BH THEO CUSTOMER-USD'!$H187,'01. KE30'!$A:$A,'06. BC BH THEO CUSTOMER-USD'!DW$4)-SUMIFS('01. KE30'!$AA:$AA,'01. KE30'!$C:$C,'06. BC BH THEO CUSTOMER-USD'!$D187,'01. KE30'!$F:$F,'06. BC BH THEO CUSTOMER-USD'!$H187,'01. KE30'!$A:$A,'06. BC BH THEO CUSTOMER-USD'!DW$4),"-")</f>
        <v>-28.364724409448822</v>
      </c>
      <c r="DX187" s="114">
        <f>IFERROR(SUMIFS('01. KE30'!$X:$X,'01. KE30'!$C:$C,'06. BC BH THEO CUSTOMER-USD'!$D187,'01. KE30'!$F:$F,'06. BC BH THEO CUSTOMER-USD'!$H187,'01. KE30'!$A:$A,'06. BC BH THEO CUSTOMER-USD'!DX$4)-SUMIFS('01. KE30'!$AA:$AA,'01. KE30'!$C:$C,'06. BC BH THEO CUSTOMER-USD'!$D187,'01. KE30'!$F:$F,'06. BC BH THEO CUSTOMER-USD'!$H187,'01. KE30'!$A:$A,'06. BC BH THEO CUSTOMER-USD'!DX$4),"-")</f>
        <v>-2720.0765776229191</v>
      </c>
      <c r="DY187" s="114">
        <f>IFERROR(SUMIFS('01. KE30'!$X:$X,'01. KE30'!$C:$C,'06. BC BH THEO CUSTOMER-USD'!$D187,'01. KE30'!$F:$F,'06. BC BH THEO CUSTOMER-USD'!$H187,'01. KE30'!$A:$A,'06. BC BH THEO CUSTOMER-USD'!DY$4)-SUMIFS('01. KE30'!$AA:$AA,'01. KE30'!$C:$C,'06. BC BH THEO CUSTOMER-USD'!$D187,'01. KE30'!$F:$F,'06. BC BH THEO CUSTOMER-USD'!$H187,'01. KE30'!$A:$A,'06. BC BH THEO CUSTOMER-USD'!DY$4),"-")</f>
        <v>-5259.2510440835267</v>
      </c>
      <c r="DZ187" s="114">
        <f>IFERROR(SUMIFS('01. KE30'!$X:$X,'01. KE30'!$C:$C,'06. BC BH THEO CUSTOMER-USD'!$D187,'01. KE30'!$F:$F,'06. BC BH THEO CUSTOMER-USD'!$H187,'01. KE30'!$A:$A,'06. BC BH THEO CUSTOMER-USD'!DZ$4)-SUMIFS('01. KE30'!$AA:$AA,'01. KE30'!$C:$C,'06. BC BH THEO CUSTOMER-USD'!$D187,'01. KE30'!$F:$F,'06. BC BH THEO CUSTOMER-USD'!$H187,'01. KE30'!$A:$A,'06. BC BH THEO CUSTOMER-USD'!DZ$4),"-")</f>
        <v>-1922.2628858024691</v>
      </c>
      <c r="EA187" s="114">
        <f>IFERROR(SUMIFS('01. KE30'!$X:$X,'01. KE30'!$C:$C,'06. BC BH THEO CUSTOMER-USD'!$D187,'01. KE30'!$F:$F,'06. BC BH THEO CUSTOMER-USD'!$H187,'01. KE30'!$A:$A,'06. BC BH THEO CUSTOMER-USD'!EA$4)-SUMIFS('01. KE30'!$AA:$AA,'01. KE30'!$C:$C,'06. BC BH THEO CUSTOMER-USD'!$D187,'01. KE30'!$F:$F,'06. BC BH THEO CUSTOMER-USD'!$H187,'01. KE30'!$A:$A,'06. BC BH THEO CUSTOMER-USD'!EA$4),"-")</f>
        <v>-763.7444487130233</v>
      </c>
      <c r="EB187" s="114">
        <f>IFERROR(SUMIFS('01. KE30'!$X:$X,'01. KE30'!$C:$C,'06. BC BH THEO CUSTOMER-USD'!$D187,'01. KE30'!$F:$F,'06. BC BH THEO CUSTOMER-USD'!$H187,'01. KE30'!$A:$A,'06. BC BH THEO CUSTOMER-USD'!EB$4)-SUMIFS('01. KE30'!$AA:$AA,'01. KE30'!$C:$C,'06. BC BH THEO CUSTOMER-USD'!$D187,'01. KE30'!$F:$F,'06. BC BH THEO CUSTOMER-USD'!$H187,'01. KE30'!$A:$A,'06. BC BH THEO CUSTOMER-USD'!EB$4),"-")</f>
        <v>-277.36478227654698</v>
      </c>
      <c r="EC187" s="114">
        <f>IFERROR(SUMIFS('01. KE30'!$X:$X,'01. KE30'!$C:$C,'06. BC BH THEO CUSTOMER-USD'!$D187,'01. KE30'!$F:$F,'06. BC BH THEO CUSTOMER-USD'!$H187,'01. KE30'!$A:$A,'06. BC BH THEO CUSTOMER-USD'!EC$4)-SUMIFS('01. KE30'!$AA:$AA,'01. KE30'!$C:$C,'06. BC BH THEO CUSTOMER-USD'!$D187,'01. KE30'!$F:$F,'06. BC BH THEO CUSTOMER-USD'!$H187,'01. KE30'!$A:$A,'06. BC BH THEO CUSTOMER-USD'!EC$4),"-")</f>
        <v>0</v>
      </c>
      <c r="ED187" s="114">
        <f>IFERROR(SUMIFS('01. KE30'!$X:$X,'01. KE30'!$C:$C,'06. BC BH THEO CUSTOMER-USD'!$D187,'01. KE30'!$F:$F,'06. BC BH THEO CUSTOMER-USD'!$H187,'01. KE30'!$A:$A,'06. BC BH THEO CUSTOMER-USD'!ED$4)-SUMIFS('01. KE30'!$AA:$AA,'01. KE30'!$C:$C,'06. BC BH THEO CUSTOMER-USD'!$D187,'01. KE30'!$F:$F,'06. BC BH THEO CUSTOMER-USD'!$H187,'01. KE30'!$A:$A,'06. BC BH THEO CUSTOMER-USD'!ED$4),"-")</f>
        <v>0</v>
      </c>
      <c r="EE187" s="114">
        <f>IFERROR(SUMIFS('01. KE30'!$X:$X,'01. KE30'!$C:$C,'06. BC BH THEO CUSTOMER-USD'!$D187,'01. KE30'!$F:$F,'06. BC BH THEO CUSTOMER-USD'!$H187,'01. KE30'!$A:$A,'06. BC BH THEO CUSTOMER-USD'!EE$4)-SUMIFS('01. KE30'!$AA:$AA,'01. KE30'!$C:$C,'06. BC BH THEO CUSTOMER-USD'!$D187,'01. KE30'!$F:$F,'06. BC BH THEO CUSTOMER-USD'!$H187,'01. KE30'!$A:$A,'06. BC BH THEO CUSTOMER-USD'!EE$4),"-")</f>
        <v>0</v>
      </c>
      <c r="EF187" s="114">
        <f>IFERROR(SUMIFS('01. KE30'!$X:$X,'01. KE30'!$C:$C,'06. BC BH THEO CUSTOMER-USD'!$D187,'01. KE30'!$F:$F,'06. BC BH THEO CUSTOMER-USD'!$H187,'01. KE30'!$A:$A,'06. BC BH THEO CUSTOMER-USD'!EF$4)-SUMIFS('01. KE30'!$AA:$AA,'01. KE30'!$C:$C,'06. BC BH THEO CUSTOMER-USD'!$D187,'01. KE30'!$F:$F,'06. BC BH THEO CUSTOMER-USD'!$H187,'01. KE30'!$A:$A,'06. BC BH THEO CUSTOMER-USD'!EF$4),"-")</f>
        <v>0</v>
      </c>
      <c r="EH187" s="571">
        <f t="shared" ref="EH187:EH192" si="2172">IFERROR(DT187/DF187,"-")</f>
        <v>-0.41641751656052584</v>
      </c>
      <c r="EI187" s="572" t="str">
        <f t="shared" ref="EI187:EI192" si="2173">IFERROR(DU187/DG187,"-")</f>
        <v>-</v>
      </c>
      <c r="EJ187" s="572" t="str">
        <f t="shared" ref="EJ187:EJ192" si="2174">IFERROR(DV187/DH187,"-")</f>
        <v>-</v>
      </c>
      <c r="EK187" s="572">
        <f t="shared" ref="EK187:EK192" si="2175">IFERROR(DW187/DI187,"-")</f>
        <v>-0.84118989073909323</v>
      </c>
      <c r="EL187" s="572">
        <f t="shared" ref="EL187:EL192" si="2176">IFERROR(DX187/DJ187,"-")</f>
        <v>-0.67672966968478099</v>
      </c>
      <c r="EM187" s="572">
        <f t="shared" ref="EM187:EM192" si="2177">IFERROR(DY187/DK187,"-")</f>
        <v>-0.52931376869935343</v>
      </c>
      <c r="EN187" s="572">
        <f t="shared" ref="EN187:EN192" si="2178">IFERROR(DZ187/DL187,"-")</f>
        <v>-0.48478430814100687</v>
      </c>
      <c r="EO187" s="572">
        <f t="shared" ref="EO187:EO192" si="2179">IFERROR(EA187/DM187,"-")</f>
        <v>-0.15407742664529181</v>
      </c>
      <c r="EP187" s="572">
        <f t="shared" ref="EP187:EP192" si="2180">IFERROR(EB187/DN187,"-")</f>
        <v>-8.0744635894389447E-2</v>
      </c>
      <c r="EQ187" s="572" t="str">
        <f t="shared" ref="EQ187:EQ192" si="2181">IFERROR(EC187/DO187,"-")</f>
        <v>-</v>
      </c>
      <c r="ER187" s="572" t="str">
        <f t="shared" ref="ER187:ER192" si="2182">IFERROR(ED187/DP187,"-")</f>
        <v>-</v>
      </c>
      <c r="ES187" s="572" t="str">
        <f t="shared" ref="ES187:ES192" si="2183">IFERROR(EE187/DQ187,"-")</f>
        <v>-</v>
      </c>
      <c r="ET187" s="572" t="str">
        <f t="shared" ref="ET187:ET192" si="2184">IFERROR(EF187/DR187,"-")</f>
        <v>-</v>
      </c>
    </row>
    <row r="188" spans="1:150" ht="15.5" hidden="1" outlineLevel="1" x14ac:dyDescent="0.35">
      <c r="A188" s="10">
        <f t="shared" si="1266"/>
        <v>14</v>
      </c>
      <c r="B188" s="10" t="s">
        <v>295</v>
      </c>
      <c r="C188" s="442" t="s">
        <v>489</v>
      </c>
      <c r="D188" s="9" t="s">
        <v>637</v>
      </c>
      <c r="E188" s="8" t="s">
        <v>638</v>
      </c>
      <c r="F188" s="12" t="s">
        <v>245</v>
      </c>
      <c r="G188" s="12" t="str">
        <f>_xlfn.XLOOKUP(F188,'Quy đổi'!$G$5:$G$32,'Quy đổi'!$H$5:$H$32,0)</f>
        <v>Nội địa</v>
      </c>
      <c r="H188" s="80" t="s">
        <v>536</v>
      </c>
      <c r="I188" s="7" t="s">
        <v>537</v>
      </c>
      <c r="J188" s="69" t="s">
        <v>22</v>
      </c>
      <c r="K188" s="5"/>
      <c r="L188" s="92">
        <f t="shared" si="2127"/>
        <v>674.39527559055114</v>
      </c>
      <c r="M188" s="106" t="str">
        <f>IFERROR(SUMIFS('01. KE30'!$K:$K,'01. KE30'!$C:$C,'06. BC BH THEO CUSTOMER-USD'!$D188,'01. KE30'!$F:$F,'06. BC BH THEO CUSTOMER-USD'!$H188,'01. KE30'!$A:$A,'06. BC BH THEO CUSTOMER-USD'!M$4)/'06. BC BH THEO CUSTOMER-USD'!CS188/'02. Tỷ giá'!B$5,"-")</f>
        <v>-</v>
      </c>
      <c r="N188" s="106" t="str">
        <f>IFERROR(SUMIFS('01. KE30'!$K:$K,'01. KE30'!$C:$C,'06. BC BH THEO CUSTOMER-USD'!$D188,'01. KE30'!$F:$F,'06. BC BH THEO CUSTOMER-USD'!$H188,'01. KE30'!$A:$A,'06. BC BH THEO CUSTOMER-USD'!N$4)/'06. BC BH THEO CUSTOMER-USD'!CT188/'02. Tỷ giá'!C$5,"-")</f>
        <v>-</v>
      </c>
      <c r="O188" s="106">
        <f>IFERROR(SUMIFS('01. KE30'!$K:$K,'01. KE30'!$C:$C,'06. BC BH THEO CUSTOMER-USD'!$D188,'01. KE30'!$F:$F,'06. BC BH THEO CUSTOMER-USD'!$H188,'01. KE30'!$A:$A,'06. BC BH THEO CUSTOMER-USD'!O$4)/'06. BC BH THEO CUSTOMER-USD'!CU188/'02. Tỷ giá'!D$5,"-")</f>
        <v>674.39527559055114</v>
      </c>
      <c r="P188" s="106" t="str">
        <f>IFERROR(SUMIFS('01. KE30'!$K:$K,'01. KE30'!$C:$C,'06. BC BH THEO CUSTOMER-USD'!$D188,'01. KE30'!$F:$F,'06. BC BH THEO CUSTOMER-USD'!$H188,'01. KE30'!$A:$A,'06. BC BH THEO CUSTOMER-USD'!P$4)/'06. BC BH THEO CUSTOMER-USD'!CV188/'02. Tỷ giá'!E$5,"-")</f>
        <v>-</v>
      </c>
      <c r="Q188" s="106" t="str">
        <f>IFERROR(SUMIFS('01. KE30'!$K:$K,'01. KE30'!$C:$C,'06. BC BH THEO CUSTOMER-USD'!$D188,'01. KE30'!$F:$F,'06. BC BH THEO CUSTOMER-USD'!$H188,'01. KE30'!$A:$A,'06. BC BH THEO CUSTOMER-USD'!Q$4)/'06. BC BH THEO CUSTOMER-USD'!CW188/'02. Tỷ giá'!F$5,"-")</f>
        <v>-</v>
      </c>
      <c r="R188" s="106" t="str">
        <f>IFERROR(SUMIFS('01. KE30'!$K:$K,'01. KE30'!$C:$C,'06. BC BH THEO CUSTOMER-USD'!$D188,'01. KE30'!$F:$F,'06. BC BH THEO CUSTOMER-USD'!$H188,'01. KE30'!$A:$A,'06. BC BH THEO CUSTOMER-USD'!R$4)/'06. BC BH THEO CUSTOMER-USD'!CX188/'02. Tỷ giá'!G$5,"-")</f>
        <v>-</v>
      </c>
      <c r="S188" s="106" t="str">
        <f>IFERROR(SUMIFS('01. KE30'!$K:$K,'01. KE30'!$C:$C,'06. BC BH THEO CUSTOMER-USD'!$D188,'01. KE30'!$F:$F,'06. BC BH THEO CUSTOMER-USD'!$H188,'01. KE30'!$A:$A,'06. BC BH THEO CUSTOMER-USD'!S$4)/'06. BC BH THEO CUSTOMER-USD'!CY188/'02. Tỷ giá'!H$5,"-")</f>
        <v>-</v>
      </c>
      <c r="T188" s="106" t="str">
        <f>IFERROR(SUMIFS('01. KE30'!$K:$K,'01. KE30'!$C:$C,'06. BC BH THEO CUSTOMER-USD'!$D188,'01. KE30'!$F:$F,'06. BC BH THEO CUSTOMER-USD'!$H188,'01. KE30'!$A:$A,'06. BC BH THEO CUSTOMER-USD'!T$4)/'06. BC BH THEO CUSTOMER-USD'!CZ188/'02. Tỷ giá'!I$5,"-")</f>
        <v>-</v>
      </c>
      <c r="U188" s="106" t="str">
        <f>IFERROR(SUMIFS('01. KE30'!$K:$K,'01. KE30'!$C:$C,'06. BC BH THEO CUSTOMER-USD'!$D188,'01. KE30'!$F:$F,'06. BC BH THEO CUSTOMER-USD'!$H188,'01. KE30'!$A:$A,'06. BC BH THEO CUSTOMER-USD'!U$4)/'06. BC BH THEO CUSTOMER-USD'!DA188/'02. Tỷ giá'!J$5,"-")</f>
        <v>-</v>
      </c>
      <c r="V188" s="106" t="str">
        <f>IFERROR(SUMIFS('01. KE30'!$K:$K,'01. KE30'!$C:$C,'06. BC BH THEO CUSTOMER-USD'!$D188,'01. KE30'!$F:$F,'06. BC BH THEO CUSTOMER-USD'!$H188,'01. KE30'!$A:$A,'06. BC BH THEO CUSTOMER-USD'!V$4)/'06. BC BH THEO CUSTOMER-USD'!DB188/'02. Tỷ giá'!K$5,"-")</f>
        <v>-</v>
      </c>
      <c r="W188" s="106" t="str">
        <f>IFERROR(SUMIFS('01. KE30'!$K:$K,'01. KE30'!$C:$C,'06. BC BH THEO CUSTOMER-USD'!$D188,'01. KE30'!$F:$F,'06. BC BH THEO CUSTOMER-USD'!$H188,'01. KE30'!$A:$A,'06. BC BH THEO CUSTOMER-USD'!W$4)/'06. BC BH THEO CUSTOMER-USD'!DC188/'02. Tỷ giá'!L$5,"-")</f>
        <v>-</v>
      </c>
      <c r="X188" s="106" t="str">
        <f>IFERROR(SUMIFS('01. KE30'!$K:$K,'01. KE30'!$C:$C,'06. BC BH THEO CUSTOMER-USD'!$D188,'01. KE30'!$F:$F,'06. BC BH THEO CUSTOMER-USD'!$H188,'01. KE30'!$A:$A,'06. BC BH THEO CUSTOMER-USD'!X$4)/'06. BC BH THEO CUSTOMER-USD'!DD188/'02. Tỷ giá'!M$5,"-")</f>
        <v>-</v>
      </c>
      <c r="Z188" s="92">
        <f t="shared" si="2128"/>
        <v>635.02519685039374</v>
      </c>
      <c r="AA188" s="147" t="str">
        <f>IFERROR(SUMIFS('01. KE30'!$O:$O,'01. KE30'!$C:$C,'06. BC BH THEO CUSTOMER-USD'!$D188,'01. KE30'!$F:$F,'06. BC BH THEO CUSTOMER-USD'!$H188,'01. KE30'!$A:$A,'06. BC BH THEO CUSTOMER-USD'!M$4)/'06. BC BH THEO CUSTOMER-USD'!CS188/'02. Tỷ giá'!B$5,"-")</f>
        <v>-</v>
      </c>
      <c r="AB188" s="147" t="str">
        <f>IFERROR(SUMIFS('01. KE30'!$O:$O,'01. KE30'!$C:$C,'06. BC BH THEO CUSTOMER-USD'!$D188,'01. KE30'!$F:$F,'06. BC BH THEO CUSTOMER-USD'!$H188,'01. KE30'!$A:$A,'06. BC BH THEO CUSTOMER-USD'!N$4)/'06. BC BH THEO CUSTOMER-USD'!CT188/'02. Tỷ giá'!C$5,"-")</f>
        <v>-</v>
      </c>
      <c r="AC188" s="147">
        <f>IFERROR(SUMIFS('01. KE30'!$O:$O,'01. KE30'!$C:$C,'06. BC BH THEO CUSTOMER-USD'!$D188,'01. KE30'!$F:$F,'06. BC BH THEO CUSTOMER-USD'!$H188,'01. KE30'!$A:$A,'06. BC BH THEO CUSTOMER-USD'!O$4)/'06. BC BH THEO CUSTOMER-USD'!CU188/'02. Tỷ giá'!D$5,"-")</f>
        <v>635.02519685039374</v>
      </c>
      <c r="AD188" s="147" t="str">
        <f>IFERROR(SUMIFS('01. KE30'!$O:$O,'01. KE30'!$C:$C,'06. BC BH THEO CUSTOMER-USD'!$D188,'01. KE30'!$F:$F,'06. BC BH THEO CUSTOMER-USD'!$H188,'01. KE30'!$A:$A,'06. BC BH THEO CUSTOMER-USD'!P$4)/'06. BC BH THEO CUSTOMER-USD'!CV188/'02. Tỷ giá'!E$5,"-")</f>
        <v>-</v>
      </c>
      <c r="AE188" s="147" t="str">
        <f>IFERROR(SUMIFS('01. KE30'!$O:$O,'01. KE30'!$C:$C,'06. BC BH THEO CUSTOMER-USD'!$D188,'01. KE30'!$F:$F,'06. BC BH THEO CUSTOMER-USD'!$H188,'01. KE30'!$A:$A,'06. BC BH THEO CUSTOMER-USD'!Q$4)/'06. BC BH THEO CUSTOMER-USD'!CW188/'02. Tỷ giá'!F$5,"-")</f>
        <v>-</v>
      </c>
      <c r="AF188" s="147" t="str">
        <f>IFERROR(SUMIFS('01. KE30'!$O:$O,'01. KE30'!$C:$C,'06. BC BH THEO CUSTOMER-USD'!$D188,'01. KE30'!$F:$F,'06. BC BH THEO CUSTOMER-USD'!$H188,'01. KE30'!$A:$A,'06. BC BH THEO CUSTOMER-USD'!R$4)/'06. BC BH THEO CUSTOMER-USD'!CX188/'02. Tỷ giá'!G$5,"-")</f>
        <v>-</v>
      </c>
      <c r="AG188" s="147" t="str">
        <f>IFERROR(SUMIFS('01. KE30'!$O:$O,'01. KE30'!$C:$C,'06. BC BH THEO CUSTOMER-USD'!$D188,'01. KE30'!$F:$F,'06. BC BH THEO CUSTOMER-USD'!$H188,'01. KE30'!$A:$A,'06. BC BH THEO CUSTOMER-USD'!S$4)/'06. BC BH THEO CUSTOMER-USD'!CY188/'02. Tỷ giá'!H$5,"-")</f>
        <v>-</v>
      </c>
      <c r="AH188" s="147" t="str">
        <f>IFERROR(SUMIFS('01. KE30'!$O:$O,'01. KE30'!$C:$C,'06. BC BH THEO CUSTOMER-USD'!$D188,'01. KE30'!$F:$F,'06. BC BH THEO CUSTOMER-USD'!$H188,'01. KE30'!$A:$A,'06. BC BH THEO CUSTOMER-USD'!T$4)/'06. BC BH THEO CUSTOMER-USD'!CZ188/'02. Tỷ giá'!I$5,"-")</f>
        <v>-</v>
      </c>
      <c r="AI188" s="147" t="str">
        <f>IFERROR(SUMIFS('01. KE30'!$O:$O,'01. KE30'!$C:$C,'06. BC BH THEO CUSTOMER-USD'!$D188,'01. KE30'!$F:$F,'06. BC BH THEO CUSTOMER-USD'!$H188,'01. KE30'!$A:$A,'06. BC BH THEO CUSTOMER-USD'!U$4)/'06. BC BH THEO CUSTOMER-USD'!DA188/'02. Tỷ giá'!J$5,"-")</f>
        <v>-</v>
      </c>
      <c r="AJ188" s="147" t="str">
        <f>IFERROR(SUMIFS('01. KE30'!$O:$O,'01. KE30'!$C:$C,'06. BC BH THEO CUSTOMER-USD'!$D188,'01. KE30'!$F:$F,'06. BC BH THEO CUSTOMER-USD'!$H188,'01. KE30'!$A:$A,'06. BC BH THEO CUSTOMER-USD'!V$4)/'06. BC BH THEO CUSTOMER-USD'!DB188/'02. Tỷ giá'!K$5,"-")</f>
        <v>-</v>
      </c>
      <c r="AK188" s="147" t="str">
        <f>IFERROR(SUMIFS('01. KE30'!$O:$O,'01. KE30'!$C:$C,'06. BC BH THEO CUSTOMER-USD'!$D188,'01. KE30'!$F:$F,'06. BC BH THEO CUSTOMER-USD'!$H188,'01. KE30'!$A:$A,'06. BC BH THEO CUSTOMER-USD'!W$4)/'06. BC BH THEO CUSTOMER-USD'!DC188/'02. Tỷ giá'!L$5,"-")</f>
        <v>-</v>
      </c>
      <c r="AL188" s="147" t="str">
        <f>IFERROR(SUMIFS('01. KE30'!$O:$O,'01. KE30'!$C:$C,'06. BC BH THEO CUSTOMER-USD'!$D188,'01. KE30'!$F:$F,'06. BC BH THEO CUSTOMER-USD'!$H188,'01. KE30'!$A:$A,'06. BC BH THEO CUSTOMER-USD'!X$4)/'06. BC BH THEO CUSTOMER-USD'!DD188/'02. Tỷ giá'!M$5,"-")</f>
        <v>-</v>
      </c>
      <c r="AN188" s="92">
        <f t="shared" si="2129"/>
        <v>740.55555555555554</v>
      </c>
      <c r="AO188" s="4">
        <v>855</v>
      </c>
      <c r="AP188" s="4">
        <v>750</v>
      </c>
      <c r="AQ188" s="4">
        <v>750</v>
      </c>
      <c r="AR188" s="4">
        <v>750</v>
      </c>
      <c r="AS188" s="4">
        <v>720</v>
      </c>
      <c r="AT188" s="4">
        <v>720</v>
      </c>
      <c r="AU188" s="4">
        <v>720</v>
      </c>
      <c r="AV188" s="4">
        <f t="shared" si="1272"/>
        <v>700</v>
      </c>
      <c r="AW188" s="4">
        <v>700</v>
      </c>
      <c r="AX188" s="4"/>
      <c r="AY188" s="4"/>
      <c r="AZ188" s="4"/>
      <c r="BB188" s="95">
        <f t="shared" si="2130"/>
        <v>-105.5303587051618</v>
      </c>
      <c r="BC188" s="95" t="str">
        <f t="shared" si="2131"/>
        <v>-</v>
      </c>
      <c r="BD188" s="95" t="str">
        <f t="shared" si="2132"/>
        <v>-</v>
      </c>
      <c r="BE188" s="95">
        <f t="shared" si="2133"/>
        <v>-114.97480314960626</v>
      </c>
      <c r="BF188" s="95" t="str">
        <f t="shared" si="2134"/>
        <v>-</v>
      </c>
      <c r="BG188" s="95" t="str">
        <f t="shared" si="2135"/>
        <v>-</v>
      </c>
      <c r="BH188" s="95" t="str">
        <f t="shared" si="2136"/>
        <v>-</v>
      </c>
      <c r="BI188" s="95" t="str">
        <f t="shared" si="2137"/>
        <v>-</v>
      </c>
      <c r="BJ188" s="95" t="str">
        <f t="shared" si="2138"/>
        <v>-</v>
      </c>
      <c r="BK188" s="95" t="str">
        <f t="shared" si="2139"/>
        <v>-</v>
      </c>
      <c r="BL188" s="95" t="str">
        <f t="shared" si="2140"/>
        <v>-</v>
      </c>
      <c r="BM188" s="95" t="str">
        <f t="shared" si="2141"/>
        <v>-</v>
      </c>
      <c r="BN188" s="95" t="str">
        <f t="shared" si="2142"/>
        <v>-</v>
      </c>
      <c r="BP188" s="143">
        <f t="shared" si="2143"/>
        <v>-0.14250160965438202</v>
      </c>
      <c r="BQ188" s="143" t="str">
        <f t="shared" si="2144"/>
        <v>-</v>
      </c>
      <c r="BR188" s="143" t="str">
        <f t="shared" si="2145"/>
        <v>-</v>
      </c>
      <c r="BS188" s="143">
        <f t="shared" si="2146"/>
        <v>-0.15329973753280834</v>
      </c>
      <c r="BT188" s="143" t="str">
        <f t="shared" si="2147"/>
        <v>-</v>
      </c>
      <c r="BU188" s="143" t="str">
        <f t="shared" si="2148"/>
        <v>-</v>
      </c>
      <c r="BV188" s="143" t="str">
        <f t="shared" si="2149"/>
        <v>-</v>
      </c>
      <c r="BW188" s="143" t="str">
        <f t="shared" si="2150"/>
        <v>-</v>
      </c>
      <c r="BX188" s="143" t="str">
        <f t="shared" si="2151"/>
        <v>-</v>
      </c>
      <c r="BY188" s="143" t="str">
        <f t="shared" si="2152"/>
        <v>-</v>
      </c>
      <c r="BZ188" s="143" t="str">
        <f t="shared" si="2153"/>
        <v>-</v>
      </c>
      <c r="CA188" s="143" t="str">
        <f t="shared" si="2154"/>
        <v>-</v>
      </c>
      <c r="CB188" s="143" t="str">
        <f t="shared" si="2155"/>
        <v>-</v>
      </c>
      <c r="CD188" s="112">
        <f t="shared" si="2156"/>
        <v>942.94330708661414</v>
      </c>
      <c r="CE188" s="95" t="str">
        <f>IFERROR(SUMIFS('01. KE30'!$R:$R,'01. KE30'!$C:$C,'06. BC BH THEO CUSTOMER-USD'!$D188,'01. KE30'!$F:$F,'06. BC BH THEO CUSTOMER-USD'!$H188,'01. KE30'!$A:$A,'06. BC BH THEO CUSTOMER-USD'!CE$4)/CS188/'02. Tỷ giá'!B$5," -")</f>
        <v xml:space="preserve"> -</v>
      </c>
      <c r="CF188" s="95" t="str">
        <f>IFERROR(SUMIFS('01. KE30'!$R:$R,'01. KE30'!$C:$C,'06. BC BH THEO CUSTOMER-USD'!$D188,'01. KE30'!$F:$F,'06. BC BH THEO CUSTOMER-USD'!$H188,'01. KE30'!$A:$A,'06. BC BH THEO CUSTOMER-USD'!CF$4)/CT188/'02. Tỷ giá'!C$5," -")</f>
        <v xml:space="preserve"> -</v>
      </c>
      <c r="CG188" s="95">
        <f>IFERROR(SUMIFS('01. KE30'!$R:$R,'01. KE30'!$C:$C,'06. BC BH THEO CUSTOMER-USD'!$D188,'01. KE30'!$F:$F,'06. BC BH THEO CUSTOMER-USD'!$H188,'01. KE30'!$A:$A,'06. BC BH THEO CUSTOMER-USD'!CG$4)/CU188/'02. Tỷ giá'!D$5," -")</f>
        <v>942.94330708661414</v>
      </c>
      <c r="CH188" s="95" t="str">
        <f>IFERROR(SUMIFS('01. KE30'!$R:$R,'01. KE30'!$C:$C,'06. BC BH THEO CUSTOMER-USD'!$D188,'01. KE30'!$F:$F,'06. BC BH THEO CUSTOMER-USD'!$H188,'01. KE30'!$A:$A,'06. BC BH THEO CUSTOMER-USD'!CH$4)/CV188/'02. Tỷ giá'!E$5," -")</f>
        <v xml:space="preserve"> -</v>
      </c>
      <c r="CI188" s="95" t="str">
        <f>IFERROR(SUMIFS('01. KE30'!$R:$R,'01. KE30'!$C:$C,'06. BC BH THEO CUSTOMER-USD'!$D188,'01. KE30'!$F:$F,'06. BC BH THEO CUSTOMER-USD'!$H188,'01. KE30'!$A:$A,'06. BC BH THEO CUSTOMER-USD'!CI$4)/CW188/'02. Tỷ giá'!F$5," -")</f>
        <v xml:space="preserve"> -</v>
      </c>
      <c r="CJ188" s="95" t="str">
        <f>IFERROR(SUMIFS('01. KE30'!$R:$R,'01. KE30'!$C:$C,'06. BC BH THEO CUSTOMER-USD'!$D188,'01. KE30'!$F:$F,'06. BC BH THEO CUSTOMER-USD'!$H188,'01. KE30'!$A:$A,'06. BC BH THEO CUSTOMER-USD'!CJ$4)/CX188/'02. Tỷ giá'!G$5," -")</f>
        <v xml:space="preserve"> -</v>
      </c>
      <c r="CK188" s="95" t="str">
        <f>IFERROR(SUMIFS('01. KE30'!$R:$R,'01. KE30'!$C:$C,'06. BC BH THEO CUSTOMER-USD'!$D188,'01. KE30'!$F:$F,'06. BC BH THEO CUSTOMER-USD'!$H188,'01. KE30'!$A:$A,'06. BC BH THEO CUSTOMER-USD'!CK$4)/CY188/'02. Tỷ giá'!H$5," -")</f>
        <v xml:space="preserve"> -</v>
      </c>
      <c r="CL188" s="95" t="str">
        <f>IFERROR(SUMIFS('01. KE30'!$R:$R,'01. KE30'!$C:$C,'06. BC BH THEO CUSTOMER-USD'!$D188,'01. KE30'!$F:$F,'06. BC BH THEO CUSTOMER-USD'!$H188,'01. KE30'!$A:$A,'06. BC BH THEO CUSTOMER-USD'!CL$4)/CZ188/'02. Tỷ giá'!I$5," -")</f>
        <v xml:space="preserve"> -</v>
      </c>
      <c r="CM188" s="95" t="str">
        <f>IFERROR(SUMIFS('01. KE30'!$R:$R,'01. KE30'!$C:$C,'06. BC BH THEO CUSTOMER-USD'!$D188,'01. KE30'!$F:$F,'06. BC BH THEO CUSTOMER-USD'!$H188,'01. KE30'!$A:$A,'06. BC BH THEO CUSTOMER-USD'!CM$4)/DA188/'02. Tỷ giá'!J$5," -")</f>
        <v xml:space="preserve"> -</v>
      </c>
      <c r="CN188" s="95" t="str">
        <f>IFERROR(SUMIFS('01. KE30'!$R:$R,'01. KE30'!$C:$C,'06. BC BH THEO CUSTOMER-USD'!$D188,'01. KE30'!$F:$F,'06. BC BH THEO CUSTOMER-USD'!$H188,'01. KE30'!$A:$A,'06. BC BH THEO CUSTOMER-USD'!CN$4)/DB188/'02. Tỷ giá'!K$5," -")</f>
        <v xml:space="preserve"> -</v>
      </c>
      <c r="CO188" s="95" t="str">
        <f>IFERROR(SUMIFS('01. KE30'!$R:$R,'01. KE30'!$C:$C,'06. BC BH THEO CUSTOMER-USD'!$D188,'01. KE30'!$F:$F,'06. BC BH THEO CUSTOMER-USD'!$H188,'01. KE30'!$A:$A,'06. BC BH THEO CUSTOMER-USD'!CO$4)/DC188/'02. Tỷ giá'!L$5," -")</f>
        <v xml:space="preserve"> -</v>
      </c>
      <c r="CP188" s="95" t="str">
        <f>IFERROR(SUMIFS('01. KE30'!$R:$R,'01. KE30'!$C:$C,'06. BC BH THEO CUSTOMER-USD'!$D188,'01. KE30'!$F:$F,'06. BC BH THEO CUSTOMER-USD'!$H188,'01. KE30'!$A:$A,'06. BC BH THEO CUSTOMER-USD'!CP$4)/DD188/'02. Tỷ giá'!M$5," -")</f>
        <v xml:space="preserve"> -</v>
      </c>
      <c r="CR188" s="112">
        <f t="shared" si="2157"/>
        <v>0.05</v>
      </c>
      <c r="CS188" s="114">
        <f>SUMIFS('01. KE30'!$I:$I,'01. KE30'!$C:$C,'06. BC BH THEO CUSTOMER-USD'!$D188,'01. KE30'!$F:$F,'06. BC BH THEO CUSTOMER-USD'!$H188,'01. KE30'!$A:$A,'06. BC BH THEO CUSTOMER-USD'!CS$4)/1000</f>
        <v>0</v>
      </c>
      <c r="CT188" s="114">
        <f>SUMIFS('01. KE30'!$I:$I,'01. KE30'!$C:$C,'06. BC BH THEO CUSTOMER-USD'!$D188,'01. KE30'!$F:$F,'06. BC BH THEO CUSTOMER-USD'!$H188,'01. KE30'!$A:$A,'06. BC BH THEO CUSTOMER-USD'!CT$4)/1000</f>
        <v>0</v>
      </c>
      <c r="CU188" s="114">
        <f>SUMIFS('01. KE30'!$I:$I,'01. KE30'!$C:$C,'06. BC BH THEO CUSTOMER-USD'!$D188,'01. KE30'!$F:$F,'06. BC BH THEO CUSTOMER-USD'!$H188,'01. KE30'!$A:$A,'06. BC BH THEO CUSTOMER-USD'!CU$4)/1000</f>
        <v>0.05</v>
      </c>
      <c r="CV188" s="114">
        <f>SUMIFS('01. KE30'!$I:$I,'01. KE30'!$C:$C,'06. BC BH THEO CUSTOMER-USD'!$D188,'01. KE30'!$F:$F,'06. BC BH THEO CUSTOMER-USD'!$H188,'01. KE30'!$A:$A,'06. BC BH THEO CUSTOMER-USD'!CV$4)/1000</f>
        <v>0</v>
      </c>
      <c r="CW188" s="114">
        <f>SUMIFS('01. KE30'!$I:$I,'01. KE30'!$C:$C,'06. BC BH THEO CUSTOMER-USD'!$D188,'01. KE30'!$F:$F,'06. BC BH THEO CUSTOMER-USD'!$H188,'01. KE30'!$A:$A,'06. BC BH THEO CUSTOMER-USD'!CW$4)/1000</f>
        <v>0</v>
      </c>
      <c r="CX188" s="114">
        <f>SUMIFS('01. KE30'!$I:$I,'01. KE30'!$C:$C,'06. BC BH THEO CUSTOMER-USD'!$D188,'01. KE30'!$F:$F,'06. BC BH THEO CUSTOMER-USD'!$H188,'01. KE30'!$A:$A,'06. BC BH THEO CUSTOMER-USD'!CX$4)/1000</f>
        <v>0</v>
      </c>
      <c r="CY188" s="114">
        <f>SUMIFS('01. KE30'!$I:$I,'01. KE30'!$C:$C,'06. BC BH THEO CUSTOMER-USD'!$D188,'01. KE30'!$F:$F,'06. BC BH THEO CUSTOMER-USD'!$H188,'01. KE30'!$A:$A,'06. BC BH THEO CUSTOMER-USD'!CY$4)/1000</f>
        <v>0</v>
      </c>
      <c r="CZ188" s="114">
        <f>SUMIFS('01. KE30'!$I:$I,'01. KE30'!$C:$C,'06. BC BH THEO CUSTOMER-USD'!$D188,'01. KE30'!$F:$F,'06. BC BH THEO CUSTOMER-USD'!$H188,'01. KE30'!$A:$A,'06. BC BH THEO CUSTOMER-USD'!CZ$4)/1000</f>
        <v>0</v>
      </c>
      <c r="DA188" s="114">
        <f>SUMIFS('01. KE30'!$I:$I,'01. KE30'!$C:$C,'06. BC BH THEO CUSTOMER-USD'!$D188,'01. KE30'!$F:$F,'06. BC BH THEO CUSTOMER-USD'!$H188,'01. KE30'!$A:$A,'06. BC BH THEO CUSTOMER-USD'!DA$4)/1000</f>
        <v>0</v>
      </c>
      <c r="DB188" s="114">
        <f>SUMIFS('01. KE30'!$I:$I,'01. KE30'!$C:$C,'06. BC BH THEO CUSTOMER-USD'!$D188,'01. KE30'!$F:$F,'06. BC BH THEO CUSTOMER-USD'!$H188,'01. KE30'!$A:$A,'06. BC BH THEO CUSTOMER-USD'!DB$4)/1000</f>
        <v>0</v>
      </c>
      <c r="DC188" s="114">
        <f>SUMIFS('01. KE30'!$I:$I,'01. KE30'!$C:$C,'06. BC BH THEO CUSTOMER-USD'!$D188,'01. KE30'!$F:$F,'06. BC BH THEO CUSTOMER-USD'!$H188,'01. KE30'!$A:$A,'06. BC BH THEO CUSTOMER-USD'!DC$4)/1000</f>
        <v>0</v>
      </c>
      <c r="DD188" s="114">
        <f>SUMIFS('01. KE30'!$I:$I,'01. KE30'!$C:$C,'06. BC BH THEO CUSTOMER-USD'!$D188,'01. KE30'!$F:$F,'06. BC BH THEO CUSTOMER-USD'!$H188,'01. KE30'!$A:$A,'06. BC BH THEO CUSTOMER-USD'!DD$4)/1000</f>
        <v>0</v>
      </c>
      <c r="DF188" s="112">
        <f t="shared" si="2158"/>
        <v>33.719763779527561</v>
      </c>
      <c r="DG188" s="54" t="str">
        <f t="shared" si="2159"/>
        <v>-</v>
      </c>
      <c r="DH188" s="54" t="str">
        <f t="shared" si="2160"/>
        <v>-</v>
      </c>
      <c r="DI188" s="54">
        <f t="shared" si="2161"/>
        <v>33.719763779527561</v>
      </c>
      <c r="DJ188" s="54" t="str">
        <f t="shared" si="2162"/>
        <v>-</v>
      </c>
      <c r="DK188" s="54" t="str">
        <f t="shared" si="2163"/>
        <v>-</v>
      </c>
      <c r="DL188" s="54" t="str">
        <f t="shared" si="2164"/>
        <v>-</v>
      </c>
      <c r="DM188" s="54" t="str">
        <f t="shared" si="2165"/>
        <v>-</v>
      </c>
      <c r="DN188" s="54" t="str">
        <f t="shared" si="2166"/>
        <v>-</v>
      </c>
      <c r="DO188" s="54" t="str">
        <f t="shared" si="2167"/>
        <v>-</v>
      </c>
      <c r="DP188" s="54" t="str">
        <f t="shared" si="2168"/>
        <v>-</v>
      </c>
      <c r="DQ188" s="54" t="str">
        <f t="shared" si="2169"/>
        <v>-</v>
      </c>
      <c r="DR188" s="54" t="str">
        <f t="shared" si="2170"/>
        <v>-</v>
      </c>
      <c r="DT188" s="112">
        <f t="shared" si="2171"/>
        <v>-15.395905511811026</v>
      </c>
      <c r="DU188" s="114">
        <f>IFERROR(SUMIFS('01. KE30'!$X:$X,'01. KE30'!$C:$C,'06. BC BH THEO CUSTOMER-USD'!$D188,'01. KE30'!$F:$F,'06. BC BH THEO CUSTOMER-USD'!$H188,'01. KE30'!$A:$A,'06. BC BH THEO CUSTOMER-USD'!DU$4)-SUMIFS('01. KE30'!$AA:$AA,'01. KE30'!$C:$C,'06. BC BH THEO CUSTOMER-USD'!$D188,'01. KE30'!$F:$F,'06. BC BH THEO CUSTOMER-USD'!$H188,'01. KE30'!$A:$A,'06. BC BH THEO CUSTOMER-USD'!DU$4),"-")</f>
        <v>0</v>
      </c>
      <c r="DV188" s="114">
        <f>IFERROR(SUMIFS('01. KE30'!$X:$X,'01. KE30'!$C:$C,'06. BC BH THEO CUSTOMER-USD'!$D188,'01. KE30'!$F:$F,'06. BC BH THEO CUSTOMER-USD'!$H188,'01. KE30'!$A:$A,'06. BC BH THEO CUSTOMER-USD'!DV$4)-SUMIFS('01. KE30'!$AA:$AA,'01. KE30'!$C:$C,'06. BC BH THEO CUSTOMER-USD'!$D188,'01. KE30'!$F:$F,'06. BC BH THEO CUSTOMER-USD'!$H188,'01. KE30'!$A:$A,'06. BC BH THEO CUSTOMER-USD'!DV$4),"-")</f>
        <v>0</v>
      </c>
      <c r="DW188" s="114">
        <f>IFERROR(SUMIFS('01. KE30'!$X:$X,'01. KE30'!$C:$C,'06. BC BH THEO CUSTOMER-USD'!$D188,'01. KE30'!$F:$F,'06. BC BH THEO CUSTOMER-USD'!$H188,'01. KE30'!$A:$A,'06. BC BH THEO CUSTOMER-USD'!DW$4)-SUMIFS('01. KE30'!$AA:$AA,'01. KE30'!$C:$C,'06. BC BH THEO CUSTOMER-USD'!$D188,'01. KE30'!$F:$F,'06. BC BH THEO CUSTOMER-USD'!$H188,'01. KE30'!$A:$A,'06. BC BH THEO CUSTOMER-USD'!DW$4),"-")</f>
        <v>-15.395905511811026</v>
      </c>
      <c r="DX188" s="114">
        <f>IFERROR(SUMIFS('01. KE30'!$X:$X,'01. KE30'!$C:$C,'06. BC BH THEO CUSTOMER-USD'!$D188,'01. KE30'!$F:$F,'06. BC BH THEO CUSTOMER-USD'!$H188,'01. KE30'!$A:$A,'06. BC BH THEO CUSTOMER-USD'!DX$4)-SUMIFS('01. KE30'!$AA:$AA,'01. KE30'!$C:$C,'06. BC BH THEO CUSTOMER-USD'!$D188,'01. KE30'!$F:$F,'06. BC BH THEO CUSTOMER-USD'!$H188,'01. KE30'!$A:$A,'06. BC BH THEO CUSTOMER-USD'!DX$4),"-")</f>
        <v>0</v>
      </c>
      <c r="DY188" s="114">
        <f>IFERROR(SUMIFS('01. KE30'!$X:$X,'01. KE30'!$C:$C,'06. BC BH THEO CUSTOMER-USD'!$D188,'01. KE30'!$F:$F,'06. BC BH THEO CUSTOMER-USD'!$H188,'01. KE30'!$A:$A,'06. BC BH THEO CUSTOMER-USD'!DY$4)-SUMIFS('01. KE30'!$AA:$AA,'01. KE30'!$C:$C,'06. BC BH THEO CUSTOMER-USD'!$D188,'01. KE30'!$F:$F,'06. BC BH THEO CUSTOMER-USD'!$H188,'01. KE30'!$A:$A,'06. BC BH THEO CUSTOMER-USD'!DY$4),"-")</f>
        <v>0</v>
      </c>
      <c r="DZ188" s="114">
        <f>IFERROR(SUMIFS('01. KE30'!$X:$X,'01. KE30'!$C:$C,'06. BC BH THEO CUSTOMER-USD'!$D188,'01. KE30'!$F:$F,'06. BC BH THEO CUSTOMER-USD'!$H188,'01. KE30'!$A:$A,'06. BC BH THEO CUSTOMER-USD'!DZ$4)-SUMIFS('01. KE30'!$AA:$AA,'01. KE30'!$C:$C,'06. BC BH THEO CUSTOMER-USD'!$D188,'01. KE30'!$F:$F,'06. BC BH THEO CUSTOMER-USD'!$H188,'01. KE30'!$A:$A,'06. BC BH THEO CUSTOMER-USD'!DZ$4),"-")</f>
        <v>0</v>
      </c>
      <c r="EA188" s="114">
        <f>IFERROR(SUMIFS('01. KE30'!$X:$X,'01. KE30'!$C:$C,'06. BC BH THEO CUSTOMER-USD'!$D188,'01. KE30'!$F:$F,'06. BC BH THEO CUSTOMER-USD'!$H188,'01. KE30'!$A:$A,'06. BC BH THEO CUSTOMER-USD'!EA$4)-SUMIFS('01. KE30'!$AA:$AA,'01. KE30'!$C:$C,'06. BC BH THEO CUSTOMER-USD'!$D188,'01. KE30'!$F:$F,'06. BC BH THEO CUSTOMER-USD'!$H188,'01. KE30'!$A:$A,'06. BC BH THEO CUSTOMER-USD'!EA$4),"-")</f>
        <v>0</v>
      </c>
      <c r="EB188" s="114">
        <f>IFERROR(SUMIFS('01. KE30'!$X:$X,'01. KE30'!$C:$C,'06. BC BH THEO CUSTOMER-USD'!$D188,'01. KE30'!$F:$F,'06. BC BH THEO CUSTOMER-USD'!$H188,'01. KE30'!$A:$A,'06. BC BH THEO CUSTOMER-USD'!EB$4)-SUMIFS('01. KE30'!$AA:$AA,'01. KE30'!$C:$C,'06. BC BH THEO CUSTOMER-USD'!$D188,'01. KE30'!$F:$F,'06. BC BH THEO CUSTOMER-USD'!$H188,'01. KE30'!$A:$A,'06. BC BH THEO CUSTOMER-USD'!EB$4),"-")</f>
        <v>0</v>
      </c>
      <c r="EC188" s="114">
        <f>IFERROR(SUMIFS('01. KE30'!$X:$X,'01. KE30'!$C:$C,'06. BC BH THEO CUSTOMER-USD'!$D188,'01. KE30'!$F:$F,'06. BC BH THEO CUSTOMER-USD'!$H188,'01. KE30'!$A:$A,'06. BC BH THEO CUSTOMER-USD'!EC$4)-SUMIFS('01. KE30'!$AA:$AA,'01. KE30'!$C:$C,'06. BC BH THEO CUSTOMER-USD'!$D188,'01. KE30'!$F:$F,'06. BC BH THEO CUSTOMER-USD'!$H188,'01. KE30'!$A:$A,'06. BC BH THEO CUSTOMER-USD'!EC$4),"-")</f>
        <v>0</v>
      </c>
      <c r="ED188" s="114">
        <f>IFERROR(SUMIFS('01. KE30'!$X:$X,'01. KE30'!$C:$C,'06. BC BH THEO CUSTOMER-USD'!$D188,'01. KE30'!$F:$F,'06. BC BH THEO CUSTOMER-USD'!$H188,'01. KE30'!$A:$A,'06. BC BH THEO CUSTOMER-USD'!ED$4)-SUMIFS('01. KE30'!$AA:$AA,'01. KE30'!$C:$C,'06. BC BH THEO CUSTOMER-USD'!$D188,'01. KE30'!$F:$F,'06. BC BH THEO CUSTOMER-USD'!$H188,'01. KE30'!$A:$A,'06. BC BH THEO CUSTOMER-USD'!ED$4),"-")</f>
        <v>0</v>
      </c>
      <c r="EE188" s="114">
        <f>IFERROR(SUMIFS('01. KE30'!$X:$X,'01. KE30'!$C:$C,'06. BC BH THEO CUSTOMER-USD'!$D188,'01. KE30'!$F:$F,'06. BC BH THEO CUSTOMER-USD'!$H188,'01. KE30'!$A:$A,'06. BC BH THEO CUSTOMER-USD'!EE$4)-SUMIFS('01. KE30'!$AA:$AA,'01. KE30'!$C:$C,'06. BC BH THEO CUSTOMER-USD'!$D188,'01. KE30'!$F:$F,'06. BC BH THEO CUSTOMER-USD'!$H188,'01. KE30'!$A:$A,'06. BC BH THEO CUSTOMER-USD'!EE$4),"-")</f>
        <v>0</v>
      </c>
      <c r="EF188" s="114">
        <f>IFERROR(SUMIFS('01. KE30'!$X:$X,'01. KE30'!$C:$C,'06. BC BH THEO CUSTOMER-USD'!$D188,'01. KE30'!$F:$F,'06. BC BH THEO CUSTOMER-USD'!$H188,'01. KE30'!$A:$A,'06. BC BH THEO CUSTOMER-USD'!EF$4)-SUMIFS('01. KE30'!$AA:$AA,'01. KE30'!$C:$C,'06. BC BH THEO CUSTOMER-USD'!$D188,'01. KE30'!$F:$F,'06. BC BH THEO CUSTOMER-USD'!$H188,'01. KE30'!$A:$A,'06. BC BH THEO CUSTOMER-USD'!EF$4),"-")</f>
        <v>0</v>
      </c>
      <c r="EH188" s="571">
        <f t="shared" si="2172"/>
        <v>-0.4565840262842652</v>
      </c>
      <c r="EI188" s="572" t="str">
        <f t="shared" si="2173"/>
        <v>-</v>
      </c>
      <c r="EJ188" s="572" t="str">
        <f t="shared" si="2174"/>
        <v>-</v>
      </c>
      <c r="EK188" s="572">
        <f t="shared" si="2175"/>
        <v>-0.4565840262842652</v>
      </c>
      <c r="EL188" s="572" t="str">
        <f t="shared" si="2176"/>
        <v>-</v>
      </c>
      <c r="EM188" s="572" t="str">
        <f t="shared" si="2177"/>
        <v>-</v>
      </c>
      <c r="EN188" s="572" t="str">
        <f t="shared" si="2178"/>
        <v>-</v>
      </c>
      <c r="EO188" s="572" t="str">
        <f t="shared" si="2179"/>
        <v>-</v>
      </c>
      <c r="EP188" s="572" t="str">
        <f t="shared" si="2180"/>
        <v>-</v>
      </c>
      <c r="EQ188" s="572" t="str">
        <f t="shared" si="2181"/>
        <v>-</v>
      </c>
      <c r="ER188" s="572" t="str">
        <f t="shared" si="2182"/>
        <v>-</v>
      </c>
      <c r="ES188" s="572" t="str">
        <f t="shared" si="2183"/>
        <v>-</v>
      </c>
      <c r="ET188" s="572" t="str">
        <f t="shared" si="2184"/>
        <v>-</v>
      </c>
    </row>
    <row r="189" spans="1:150" ht="15.5" hidden="1" outlineLevel="1" x14ac:dyDescent="0.35">
      <c r="A189" s="10">
        <f t="shared" si="1266"/>
        <v>15</v>
      </c>
      <c r="B189" s="10" t="s">
        <v>295</v>
      </c>
      <c r="C189" s="442" t="s">
        <v>489</v>
      </c>
      <c r="D189" s="9" t="s">
        <v>637</v>
      </c>
      <c r="E189" s="8" t="s">
        <v>638</v>
      </c>
      <c r="F189" s="12" t="s">
        <v>245</v>
      </c>
      <c r="G189" s="12" t="str">
        <f>_xlfn.XLOOKUP(F189,'Quy đổi'!$G$5:$G$32,'Quy đổi'!$H$5:$H$32,0)</f>
        <v>Nội địa</v>
      </c>
      <c r="H189" s="80" t="s">
        <v>39</v>
      </c>
      <c r="I189" s="7" t="s">
        <v>38</v>
      </c>
      <c r="J189" s="69" t="s">
        <v>22</v>
      </c>
      <c r="K189" s="5"/>
      <c r="L189" s="92">
        <f t="shared" si="2127"/>
        <v>664.62260888518415</v>
      </c>
      <c r="M189" s="106" t="str">
        <f>IFERROR(SUMIFS('01. KE30'!$K:$K,'01. KE30'!$C:$C,'06. BC BH THEO CUSTOMER-USD'!$D189,'01. KE30'!$F:$F,'06. BC BH THEO CUSTOMER-USD'!$H189,'01. KE30'!$A:$A,'06. BC BH THEO CUSTOMER-USD'!M$4)/'06. BC BH THEO CUSTOMER-USD'!CS189/'02. Tỷ giá'!B$5,"-")</f>
        <v>-</v>
      </c>
      <c r="N189" s="106" t="str">
        <f>IFERROR(SUMIFS('01. KE30'!$K:$K,'01. KE30'!$C:$C,'06. BC BH THEO CUSTOMER-USD'!$D189,'01. KE30'!$F:$F,'06. BC BH THEO CUSTOMER-USD'!$H189,'01. KE30'!$A:$A,'06. BC BH THEO CUSTOMER-USD'!N$4)/'06. BC BH THEO CUSTOMER-USD'!CT189/'02. Tỷ giá'!C$5,"-")</f>
        <v>-</v>
      </c>
      <c r="O189" s="106">
        <f>IFERROR(SUMIFS('01. KE30'!$K:$K,'01. KE30'!$C:$C,'06. BC BH THEO CUSTOMER-USD'!$D189,'01. KE30'!$F:$F,'06. BC BH THEO CUSTOMER-USD'!$H189,'01. KE30'!$A:$A,'06. BC BH THEO CUSTOMER-USD'!O$4)/'06. BC BH THEO CUSTOMER-USD'!CU189/'02. Tỷ giá'!D$5,"-")</f>
        <v>674.39527559055114</v>
      </c>
      <c r="P189" s="106" t="str">
        <f>IFERROR(SUMIFS('01. KE30'!$K:$K,'01. KE30'!$C:$C,'06. BC BH THEO CUSTOMER-USD'!$D189,'01. KE30'!$F:$F,'06. BC BH THEO CUSTOMER-USD'!$H189,'01. KE30'!$A:$A,'06. BC BH THEO CUSTOMER-USD'!P$4)/'06. BC BH THEO CUSTOMER-USD'!CV189/'02. Tỷ giá'!E$5,"-")</f>
        <v>-</v>
      </c>
      <c r="Q189" s="106">
        <f>IFERROR(SUMIFS('01. KE30'!$K:$K,'01. KE30'!$C:$C,'06. BC BH THEO CUSTOMER-USD'!$D189,'01. KE30'!$F:$F,'06. BC BH THEO CUSTOMER-USD'!$H189,'01. KE30'!$A:$A,'06. BC BH THEO CUSTOMER-USD'!Q$4)/'06. BC BH THEO CUSTOMER-USD'!CW189/'02. Tỷ giá'!F$5,"-")</f>
        <v>665.17042294102475</v>
      </c>
      <c r="R189" s="106" t="str">
        <f>IFERROR(SUMIFS('01. KE30'!$K:$K,'01. KE30'!$C:$C,'06. BC BH THEO CUSTOMER-USD'!$D189,'01. KE30'!$F:$F,'06. BC BH THEO CUSTOMER-USD'!$H189,'01. KE30'!$A:$A,'06. BC BH THEO CUSTOMER-USD'!R$4)/'06. BC BH THEO CUSTOMER-USD'!CX189/'02. Tỷ giá'!G$5,"-")</f>
        <v>-</v>
      </c>
      <c r="S189" s="106" t="str">
        <f>IFERROR(SUMIFS('01. KE30'!$K:$K,'01. KE30'!$C:$C,'06. BC BH THEO CUSTOMER-USD'!$D189,'01. KE30'!$F:$F,'06. BC BH THEO CUSTOMER-USD'!$H189,'01. KE30'!$A:$A,'06. BC BH THEO CUSTOMER-USD'!S$4)/'06. BC BH THEO CUSTOMER-USD'!CY189/'02. Tỷ giá'!H$5,"-")</f>
        <v>-</v>
      </c>
      <c r="T189" s="106">
        <f>IFERROR(SUMIFS('01. KE30'!$K:$K,'01. KE30'!$C:$C,'06. BC BH THEO CUSTOMER-USD'!$D189,'01. KE30'!$F:$F,'06. BC BH THEO CUSTOMER-USD'!$H189,'01. KE30'!$A:$A,'06. BC BH THEO CUSTOMER-USD'!T$4)/'06. BC BH THEO CUSTOMER-USD'!CZ189/'02. Tỷ giá'!I$5,"-")</f>
        <v>654.30212812397679</v>
      </c>
      <c r="U189" s="106" t="str">
        <f>IFERROR(SUMIFS('01. KE30'!$K:$K,'01. KE30'!$C:$C,'06. BC BH THEO CUSTOMER-USD'!$D189,'01. KE30'!$F:$F,'06. BC BH THEO CUSTOMER-USD'!$H189,'01. KE30'!$A:$A,'06. BC BH THEO CUSTOMER-USD'!U$4)/'06. BC BH THEO CUSTOMER-USD'!DA189/'02. Tỷ giá'!J$5,"-")</f>
        <v>-</v>
      </c>
      <c r="V189" s="106" t="str">
        <f>IFERROR(SUMIFS('01. KE30'!$K:$K,'01. KE30'!$C:$C,'06. BC BH THEO CUSTOMER-USD'!$D189,'01. KE30'!$F:$F,'06. BC BH THEO CUSTOMER-USD'!$H189,'01. KE30'!$A:$A,'06. BC BH THEO CUSTOMER-USD'!V$4)/'06. BC BH THEO CUSTOMER-USD'!DB189/'02. Tỷ giá'!K$5,"-")</f>
        <v>-</v>
      </c>
      <c r="W189" s="106" t="str">
        <f>IFERROR(SUMIFS('01. KE30'!$K:$K,'01. KE30'!$C:$C,'06. BC BH THEO CUSTOMER-USD'!$D189,'01. KE30'!$F:$F,'06. BC BH THEO CUSTOMER-USD'!$H189,'01. KE30'!$A:$A,'06. BC BH THEO CUSTOMER-USD'!W$4)/'06. BC BH THEO CUSTOMER-USD'!DC189/'02. Tỷ giá'!L$5,"-")</f>
        <v>-</v>
      </c>
      <c r="X189" s="106" t="str">
        <f>IFERROR(SUMIFS('01. KE30'!$K:$K,'01. KE30'!$C:$C,'06. BC BH THEO CUSTOMER-USD'!$D189,'01. KE30'!$F:$F,'06. BC BH THEO CUSTOMER-USD'!$H189,'01. KE30'!$A:$A,'06. BC BH THEO CUSTOMER-USD'!X$4)/'06. BC BH THEO CUSTOMER-USD'!DD189/'02. Tỷ giá'!M$5,"-")</f>
        <v>-</v>
      </c>
      <c r="Z189" s="92">
        <f t="shared" si="2128"/>
        <v>625.34620213393259</v>
      </c>
      <c r="AA189" s="147" t="str">
        <f>IFERROR(SUMIFS('01. KE30'!$O:$O,'01. KE30'!$C:$C,'06. BC BH THEO CUSTOMER-USD'!$D189,'01. KE30'!$F:$F,'06. BC BH THEO CUSTOMER-USD'!$H189,'01. KE30'!$A:$A,'06. BC BH THEO CUSTOMER-USD'!M$4)/'06. BC BH THEO CUSTOMER-USD'!CS189/'02. Tỷ giá'!B$5,"-")</f>
        <v>-</v>
      </c>
      <c r="AB189" s="147" t="str">
        <f>IFERROR(SUMIFS('01. KE30'!$O:$O,'01. KE30'!$C:$C,'06. BC BH THEO CUSTOMER-USD'!$D189,'01. KE30'!$F:$F,'06. BC BH THEO CUSTOMER-USD'!$H189,'01. KE30'!$A:$A,'06. BC BH THEO CUSTOMER-USD'!N$4)/'06. BC BH THEO CUSTOMER-USD'!CT189/'02. Tỷ giá'!C$5,"-")</f>
        <v>-</v>
      </c>
      <c r="AC189" s="147">
        <f>IFERROR(SUMIFS('01. KE30'!$O:$O,'01. KE30'!$C:$C,'06. BC BH THEO CUSTOMER-USD'!$D189,'01. KE30'!$F:$F,'06. BC BH THEO CUSTOMER-USD'!$H189,'01. KE30'!$A:$A,'06. BC BH THEO CUSTOMER-USD'!O$4)/'06. BC BH THEO CUSTOMER-USD'!CU189/'02. Tỷ giá'!D$5,"-")</f>
        <v>635.02519685039374</v>
      </c>
      <c r="AD189" s="147" t="str">
        <f>IFERROR(SUMIFS('01. KE30'!$O:$O,'01. KE30'!$C:$C,'06. BC BH THEO CUSTOMER-USD'!$D189,'01. KE30'!$F:$F,'06. BC BH THEO CUSTOMER-USD'!$H189,'01. KE30'!$A:$A,'06. BC BH THEO CUSTOMER-USD'!P$4)/'06. BC BH THEO CUSTOMER-USD'!CV189/'02. Tỷ giá'!E$5,"-")</f>
        <v>-</v>
      </c>
      <c r="AE189" s="147">
        <f>IFERROR(SUMIFS('01. KE30'!$O:$O,'01. KE30'!$C:$C,'06. BC BH THEO CUSTOMER-USD'!$D189,'01. KE30'!$F:$F,'06. BC BH THEO CUSTOMER-USD'!$H189,'01. KE30'!$A:$A,'06. BC BH THEO CUSTOMER-USD'!Q$4)/'06. BC BH THEO CUSTOMER-USD'!CW189/'02. Tỷ giá'!F$5,"-")</f>
        <v>624.90837844805355</v>
      </c>
      <c r="AF189" s="147" t="str">
        <f>IFERROR(SUMIFS('01. KE30'!$O:$O,'01. KE30'!$C:$C,'06. BC BH THEO CUSTOMER-USD'!$D189,'01. KE30'!$F:$F,'06. BC BH THEO CUSTOMER-USD'!$H189,'01. KE30'!$A:$A,'06. BC BH THEO CUSTOMER-USD'!R$4)/'06. BC BH THEO CUSTOMER-USD'!CX189/'02. Tỷ giá'!G$5,"-")</f>
        <v>-</v>
      </c>
      <c r="AG189" s="147" t="str">
        <f>IFERROR(SUMIFS('01. KE30'!$O:$O,'01. KE30'!$C:$C,'06. BC BH THEO CUSTOMER-USD'!$D189,'01. KE30'!$F:$F,'06. BC BH THEO CUSTOMER-USD'!$H189,'01. KE30'!$A:$A,'06. BC BH THEO CUSTOMER-USD'!S$4)/'06. BC BH THEO CUSTOMER-USD'!CY189/'02. Tỷ giá'!H$5,"-")</f>
        <v>-</v>
      </c>
      <c r="AH189" s="147">
        <f>IFERROR(SUMIFS('01. KE30'!$O:$O,'01. KE30'!$C:$C,'06. BC BH THEO CUSTOMER-USD'!$D189,'01. KE30'!$F:$F,'06. BC BH THEO CUSTOMER-USD'!$H189,'01. KE30'!$A:$A,'06. BC BH THEO CUSTOMER-USD'!T$4)/'06. BC BH THEO CUSTOMER-USD'!CZ189/'02. Tỷ giá'!I$5,"-")</f>
        <v>616.10503110335048</v>
      </c>
      <c r="AI189" s="147" t="str">
        <f>IFERROR(SUMIFS('01. KE30'!$O:$O,'01. KE30'!$C:$C,'06. BC BH THEO CUSTOMER-USD'!$D189,'01. KE30'!$F:$F,'06. BC BH THEO CUSTOMER-USD'!$H189,'01. KE30'!$A:$A,'06. BC BH THEO CUSTOMER-USD'!U$4)/'06. BC BH THEO CUSTOMER-USD'!DA189/'02. Tỷ giá'!J$5,"-")</f>
        <v>-</v>
      </c>
      <c r="AJ189" s="147" t="str">
        <f>IFERROR(SUMIFS('01. KE30'!$O:$O,'01. KE30'!$C:$C,'06. BC BH THEO CUSTOMER-USD'!$D189,'01. KE30'!$F:$F,'06. BC BH THEO CUSTOMER-USD'!$H189,'01. KE30'!$A:$A,'06. BC BH THEO CUSTOMER-USD'!V$4)/'06. BC BH THEO CUSTOMER-USD'!DB189/'02. Tỷ giá'!K$5,"-")</f>
        <v>-</v>
      </c>
      <c r="AK189" s="147" t="str">
        <f>IFERROR(SUMIFS('01. KE30'!$O:$O,'01. KE30'!$C:$C,'06. BC BH THEO CUSTOMER-USD'!$D189,'01. KE30'!$F:$F,'06. BC BH THEO CUSTOMER-USD'!$H189,'01. KE30'!$A:$A,'06. BC BH THEO CUSTOMER-USD'!W$4)/'06. BC BH THEO CUSTOMER-USD'!DC189/'02. Tỷ giá'!L$5,"-")</f>
        <v>-</v>
      </c>
      <c r="AL189" s="147" t="str">
        <f>IFERROR(SUMIFS('01. KE30'!$O:$O,'01. KE30'!$C:$C,'06. BC BH THEO CUSTOMER-USD'!$D189,'01. KE30'!$F:$F,'06. BC BH THEO CUSTOMER-USD'!$H189,'01. KE30'!$A:$A,'06. BC BH THEO CUSTOMER-USD'!X$4)/'06. BC BH THEO CUSTOMER-USD'!DD189/'02. Tỷ giá'!M$5,"-")</f>
        <v>-</v>
      </c>
      <c r="AN189" s="92">
        <f t="shared" si="2129"/>
        <v>740.55555555555554</v>
      </c>
      <c r="AO189" s="4">
        <v>855</v>
      </c>
      <c r="AP189" s="4">
        <v>750</v>
      </c>
      <c r="AQ189" s="4">
        <v>750</v>
      </c>
      <c r="AR189" s="4">
        <v>750</v>
      </c>
      <c r="AS189" s="4">
        <v>720</v>
      </c>
      <c r="AT189" s="4">
        <v>720</v>
      </c>
      <c r="AU189" s="4">
        <v>720</v>
      </c>
      <c r="AV189" s="4">
        <f t="shared" si="1272"/>
        <v>700</v>
      </c>
      <c r="AW189" s="4">
        <v>700</v>
      </c>
      <c r="AX189" s="4"/>
      <c r="AY189" s="4"/>
      <c r="AZ189" s="4"/>
      <c r="BB189" s="95">
        <f t="shared" si="2130"/>
        <v>-115.20935342162295</v>
      </c>
      <c r="BC189" s="95" t="str">
        <f t="shared" si="2131"/>
        <v>-</v>
      </c>
      <c r="BD189" s="95" t="str">
        <f t="shared" si="2132"/>
        <v>-</v>
      </c>
      <c r="BE189" s="95">
        <f t="shared" si="2133"/>
        <v>-114.97480314960626</v>
      </c>
      <c r="BF189" s="95" t="str">
        <f t="shared" si="2134"/>
        <v>-</v>
      </c>
      <c r="BG189" s="95">
        <f t="shared" si="2135"/>
        <v>-95.091621551946446</v>
      </c>
      <c r="BH189" s="95" t="str">
        <f t="shared" si="2136"/>
        <v>-</v>
      </c>
      <c r="BI189" s="95" t="str">
        <f t="shared" si="2137"/>
        <v>-</v>
      </c>
      <c r="BJ189" s="95">
        <f t="shared" si="2138"/>
        <v>-83.894968896649516</v>
      </c>
      <c r="BK189" s="95" t="str">
        <f t="shared" si="2139"/>
        <v>-</v>
      </c>
      <c r="BL189" s="95" t="str">
        <f t="shared" si="2140"/>
        <v>-</v>
      </c>
      <c r="BM189" s="95" t="str">
        <f t="shared" si="2141"/>
        <v>-</v>
      </c>
      <c r="BN189" s="95" t="str">
        <f t="shared" si="2142"/>
        <v>-</v>
      </c>
      <c r="BP189" s="143">
        <f t="shared" si="2143"/>
        <v>-0.15557151999919078</v>
      </c>
      <c r="BQ189" s="143" t="str">
        <f t="shared" si="2144"/>
        <v>-</v>
      </c>
      <c r="BR189" s="143" t="str">
        <f t="shared" si="2145"/>
        <v>-</v>
      </c>
      <c r="BS189" s="143">
        <f t="shared" si="2146"/>
        <v>-0.15329973753280834</v>
      </c>
      <c r="BT189" s="143" t="str">
        <f t="shared" si="2147"/>
        <v>-</v>
      </c>
      <c r="BU189" s="143">
        <f t="shared" si="2148"/>
        <v>-0.13207169659992563</v>
      </c>
      <c r="BV189" s="143" t="str">
        <f t="shared" si="2149"/>
        <v>-</v>
      </c>
      <c r="BW189" s="143" t="str">
        <f t="shared" si="2150"/>
        <v>-</v>
      </c>
      <c r="BX189" s="143">
        <f t="shared" si="2151"/>
        <v>-0.11984995556664217</v>
      </c>
      <c r="BY189" s="143" t="str">
        <f t="shared" si="2152"/>
        <v>-</v>
      </c>
      <c r="BZ189" s="143" t="str">
        <f t="shared" si="2153"/>
        <v>-</v>
      </c>
      <c r="CA189" s="143" t="str">
        <f t="shared" si="2154"/>
        <v>-</v>
      </c>
      <c r="CB189" s="143" t="str">
        <f t="shared" si="2155"/>
        <v>-</v>
      </c>
      <c r="CD189" s="112">
        <f t="shared" si="2156"/>
        <v>988.17733966204742</v>
      </c>
      <c r="CE189" s="95" t="str">
        <f>IFERROR(SUMIFS('01. KE30'!$R:$R,'01. KE30'!$C:$C,'06. BC BH THEO CUSTOMER-USD'!$D189,'01. KE30'!$F:$F,'06. BC BH THEO CUSTOMER-USD'!$H189,'01. KE30'!$A:$A,'06. BC BH THEO CUSTOMER-USD'!CE$4)/CS189/'02. Tỷ giá'!B$5," -")</f>
        <v xml:space="preserve"> -</v>
      </c>
      <c r="CF189" s="95" t="str">
        <f>IFERROR(SUMIFS('01. KE30'!$R:$R,'01. KE30'!$C:$C,'06. BC BH THEO CUSTOMER-USD'!$D189,'01. KE30'!$F:$F,'06. BC BH THEO CUSTOMER-USD'!$H189,'01. KE30'!$A:$A,'06. BC BH THEO CUSTOMER-USD'!CF$4)/CT189/'02. Tỷ giá'!C$5," -")</f>
        <v xml:space="preserve"> -</v>
      </c>
      <c r="CG189" s="95">
        <f>IFERROR(SUMIFS('01. KE30'!$R:$R,'01. KE30'!$C:$C,'06. BC BH THEO CUSTOMER-USD'!$D189,'01. KE30'!$F:$F,'06. BC BH THEO CUSTOMER-USD'!$H189,'01. KE30'!$A:$A,'06. BC BH THEO CUSTOMER-USD'!CG$4)/CU189/'02. Tỷ giá'!D$5," -")</f>
        <v>981.00472440944884</v>
      </c>
      <c r="CH189" s="95" t="str">
        <f>IFERROR(SUMIFS('01. KE30'!$R:$R,'01. KE30'!$C:$C,'06. BC BH THEO CUSTOMER-USD'!$D189,'01. KE30'!$F:$F,'06. BC BH THEO CUSTOMER-USD'!$H189,'01. KE30'!$A:$A,'06. BC BH THEO CUSTOMER-USD'!CH$4)/CV189/'02. Tỷ giá'!E$5," -")</f>
        <v xml:space="preserve"> -</v>
      </c>
      <c r="CI189" s="95">
        <f>IFERROR(SUMIFS('01. KE30'!$R:$R,'01. KE30'!$C:$C,'06. BC BH THEO CUSTOMER-USD'!$D189,'01. KE30'!$F:$F,'06. BC BH THEO CUSTOMER-USD'!$H189,'01. KE30'!$A:$A,'06. BC BH THEO CUSTOMER-USD'!CI$4)/CW189/'02. Tỷ giá'!F$5," -")</f>
        <v>970.81442761172536</v>
      </c>
      <c r="CJ189" s="95" t="str">
        <f>IFERROR(SUMIFS('01. KE30'!$R:$R,'01. KE30'!$C:$C,'06. BC BH THEO CUSTOMER-USD'!$D189,'01. KE30'!$F:$F,'06. BC BH THEO CUSTOMER-USD'!$H189,'01. KE30'!$A:$A,'06. BC BH THEO CUSTOMER-USD'!CJ$4)/CX189/'02. Tỷ giá'!G$5," -")</f>
        <v xml:space="preserve"> -</v>
      </c>
      <c r="CK189" s="95" t="str">
        <f>IFERROR(SUMIFS('01. KE30'!$R:$R,'01. KE30'!$C:$C,'06. BC BH THEO CUSTOMER-USD'!$D189,'01. KE30'!$F:$F,'06. BC BH THEO CUSTOMER-USD'!$H189,'01. KE30'!$A:$A,'06. BC BH THEO CUSTOMER-USD'!CK$4)/CY189/'02. Tỷ giá'!H$5," -")</f>
        <v xml:space="preserve"> -</v>
      </c>
      <c r="CL189" s="95">
        <f>IFERROR(SUMIFS('01. KE30'!$R:$R,'01. KE30'!$C:$C,'06. BC BH THEO CUSTOMER-USD'!$D189,'01. KE30'!$F:$F,'06. BC BH THEO CUSTOMER-USD'!$H189,'01. KE30'!$A:$A,'06. BC BH THEO CUSTOMER-USD'!CL$4)/CZ189/'02. Tỷ giá'!I$5," -")</f>
        <v>1012.7128669649678</v>
      </c>
      <c r="CM189" s="95" t="str">
        <f>IFERROR(SUMIFS('01. KE30'!$R:$R,'01. KE30'!$C:$C,'06. BC BH THEO CUSTOMER-USD'!$D189,'01. KE30'!$F:$F,'06. BC BH THEO CUSTOMER-USD'!$H189,'01. KE30'!$A:$A,'06. BC BH THEO CUSTOMER-USD'!CM$4)/DA189/'02. Tỷ giá'!J$5," -")</f>
        <v xml:space="preserve"> -</v>
      </c>
      <c r="CN189" s="95" t="str">
        <f>IFERROR(SUMIFS('01. KE30'!$R:$R,'01. KE30'!$C:$C,'06. BC BH THEO CUSTOMER-USD'!$D189,'01. KE30'!$F:$F,'06. BC BH THEO CUSTOMER-USD'!$H189,'01. KE30'!$A:$A,'06. BC BH THEO CUSTOMER-USD'!CN$4)/DB189/'02. Tỷ giá'!K$5," -")</f>
        <v xml:space="preserve"> -</v>
      </c>
      <c r="CO189" s="95" t="str">
        <f>IFERROR(SUMIFS('01. KE30'!$R:$R,'01. KE30'!$C:$C,'06. BC BH THEO CUSTOMER-USD'!$D189,'01. KE30'!$F:$F,'06. BC BH THEO CUSTOMER-USD'!$H189,'01. KE30'!$A:$A,'06. BC BH THEO CUSTOMER-USD'!CO$4)/DC189/'02. Tỷ giá'!L$5," -")</f>
        <v xml:space="preserve"> -</v>
      </c>
      <c r="CP189" s="95" t="str">
        <f>IFERROR(SUMIFS('01. KE30'!$R:$R,'01. KE30'!$C:$C,'06. BC BH THEO CUSTOMER-USD'!$D189,'01. KE30'!$F:$F,'06. BC BH THEO CUSTOMER-USD'!$H189,'01. KE30'!$A:$A,'06. BC BH THEO CUSTOMER-USD'!CP$4)/DD189/'02. Tỷ giá'!M$5," -")</f>
        <v xml:space="preserve"> -</v>
      </c>
      <c r="CR189" s="112">
        <f t="shared" si="2157"/>
        <v>30.8</v>
      </c>
      <c r="CS189" s="114">
        <f>SUMIFS('01. KE30'!$I:$I,'01. KE30'!$C:$C,'06. BC BH THEO CUSTOMER-USD'!$D189,'01. KE30'!$F:$F,'06. BC BH THEO CUSTOMER-USD'!$H189,'01. KE30'!$A:$A,'06. BC BH THEO CUSTOMER-USD'!CS$4)/1000</f>
        <v>0</v>
      </c>
      <c r="CT189" s="114">
        <f>SUMIFS('01. KE30'!$I:$I,'01. KE30'!$C:$C,'06. BC BH THEO CUSTOMER-USD'!$D189,'01. KE30'!$F:$F,'06. BC BH THEO CUSTOMER-USD'!$H189,'01. KE30'!$A:$A,'06. BC BH THEO CUSTOMER-USD'!CT$4)/1000</f>
        <v>0</v>
      </c>
      <c r="CU189" s="114">
        <f>SUMIFS('01. KE30'!$I:$I,'01. KE30'!$C:$C,'06. BC BH THEO CUSTOMER-USD'!$D189,'01. KE30'!$F:$F,'06. BC BH THEO CUSTOMER-USD'!$H189,'01. KE30'!$A:$A,'06. BC BH THEO CUSTOMER-USD'!CU$4)/1000</f>
        <v>0.05</v>
      </c>
      <c r="CV189" s="114">
        <f>SUMIFS('01. KE30'!$I:$I,'01. KE30'!$C:$C,'06. BC BH THEO CUSTOMER-USD'!$D189,'01. KE30'!$F:$F,'06. BC BH THEO CUSTOMER-USD'!$H189,'01. KE30'!$A:$A,'06. BC BH THEO CUSTOMER-USD'!CV$4)/1000</f>
        <v>0</v>
      </c>
      <c r="CW189" s="114">
        <f>SUMIFS('01. KE30'!$I:$I,'01. KE30'!$C:$C,'06. BC BH THEO CUSTOMER-USD'!$D189,'01. KE30'!$F:$F,'06. BC BH THEO CUSTOMER-USD'!$H189,'01. KE30'!$A:$A,'06. BC BH THEO CUSTOMER-USD'!CW$4)/1000</f>
        <v>25.5</v>
      </c>
      <c r="CX189" s="114">
        <f>SUMIFS('01. KE30'!$I:$I,'01. KE30'!$C:$C,'06. BC BH THEO CUSTOMER-USD'!$D189,'01. KE30'!$F:$F,'06. BC BH THEO CUSTOMER-USD'!$H189,'01. KE30'!$A:$A,'06. BC BH THEO CUSTOMER-USD'!CX$4)/1000</f>
        <v>0</v>
      </c>
      <c r="CY189" s="114">
        <f>SUMIFS('01. KE30'!$I:$I,'01. KE30'!$C:$C,'06. BC BH THEO CUSTOMER-USD'!$D189,'01. KE30'!$F:$F,'06. BC BH THEO CUSTOMER-USD'!$H189,'01. KE30'!$A:$A,'06. BC BH THEO CUSTOMER-USD'!CY$4)/1000</f>
        <v>0</v>
      </c>
      <c r="CZ189" s="114">
        <f>SUMIFS('01. KE30'!$I:$I,'01. KE30'!$C:$C,'06. BC BH THEO CUSTOMER-USD'!$D189,'01. KE30'!$F:$F,'06. BC BH THEO CUSTOMER-USD'!$H189,'01. KE30'!$A:$A,'06. BC BH THEO CUSTOMER-USD'!CZ$4)/1000</f>
        <v>5.25</v>
      </c>
      <c r="DA189" s="114">
        <f>SUMIFS('01. KE30'!$I:$I,'01. KE30'!$C:$C,'06. BC BH THEO CUSTOMER-USD'!$D189,'01. KE30'!$F:$F,'06. BC BH THEO CUSTOMER-USD'!$H189,'01. KE30'!$A:$A,'06. BC BH THEO CUSTOMER-USD'!DA$4)/1000</f>
        <v>0</v>
      </c>
      <c r="DB189" s="114">
        <f>SUMIFS('01. KE30'!$I:$I,'01. KE30'!$C:$C,'06. BC BH THEO CUSTOMER-USD'!$D189,'01. KE30'!$F:$F,'06. BC BH THEO CUSTOMER-USD'!$H189,'01. KE30'!$A:$A,'06. BC BH THEO CUSTOMER-USD'!DB$4)/1000</f>
        <v>0</v>
      </c>
      <c r="DC189" s="114">
        <f>SUMIFS('01. KE30'!$I:$I,'01. KE30'!$C:$C,'06. BC BH THEO CUSTOMER-USD'!$D189,'01. KE30'!$F:$F,'06. BC BH THEO CUSTOMER-USD'!$H189,'01. KE30'!$A:$A,'06. BC BH THEO CUSTOMER-USD'!DC$4)/1000</f>
        <v>0</v>
      </c>
      <c r="DD189" s="114">
        <f>SUMIFS('01. KE30'!$I:$I,'01. KE30'!$C:$C,'06. BC BH THEO CUSTOMER-USD'!$D189,'01. KE30'!$F:$F,'06. BC BH THEO CUSTOMER-USD'!$H189,'01. KE30'!$A:$A,'06. BC BH THEO CUSTOMER-USD'!DD$4)/1000</f>
        <v>0</v>
      </c>
      <c r="DF189" s="112">
        <f t="shared" si="2158"/>
        <v>20430.651721426537</v>
      </c>
      <c r="DG189" s="54" t="str">
        <f t="shared" si="2159"/>
        <v>-</v>
      </c>
      <c r="DH189" s="54" t="str">
        <f t="shared" si="2160"/>
        <v>-</v>
      </c>
      <c r="DI189" s="54">
        <f t="shared" si="2161"/>
        <v>33.719763779527561</v>
      </c>
      <c r="DJ189" s="54" t="str">
        <f t="shared" si="2162"/>
        <v>-</v>
      </c>
      <c r="DK189" s="54">
        <f t="shared" si="2163"/>
        <v>16961.845784996131</v>
      </c>
      <c r="DL189" s="54" t="str">
        <f t="shared" si="2164"/>
        <v>-</v>
      </c>
      <c r="DM189" s="54" t="str">
        <f t="shared" si="2165"/>
        <v>-</v>
      </c>
      <c r="DN189" s="54">
        <f t="shared" si="2166"/>
        <v>3435.0861726508783</v>
      </c>
      <c r="DO189" s="54" t="str">
        <f t="shared" si="2167"/>
        <v>-</v>
      </c>
      <c r="DP189" s="54" t="str">
        <f t="shared" si="2168"/>
        <v>-</v>
      </c>
      <c r="DQ189" s="54" t="str">
        <f t="shared" si="2169"/>
        <v>-</v>
      </c>
      <c r="DR189" s="54" t="str">
        <f t="shared" si="2170"/>
        <v>-</v>
      </c>
      <c r="DT189" s="112">
        <f t="shared" si="2171"/>
        <v>-10920.09436832507</v>
      </c>
      <c r="DU189" s="114">
        <f>IFERROR(SUMIFS('01. KE30'!$X:$X,'01. KE30'!$C:$C,'06. BC BH THEO CUSTOMER-USD'!$D189,'01. KE30'!$F:$F,'06. BC BH THEO CUSTOMER-USD'!$H189,'01. KE30'!$A:$A,'06. BC BH THEO CUSTOMER-USD'!DU$4)-SUMIFS('01. KE30'!$AA:$AA,'01. KE30'!$C:$C,'06. BC BH THEO CUSTOMER-USD'!$D189,'01. KE30'!$F:$F,'06. BC BH THEO CUSTOMER-USD'!$H189,'01. KE30'!$A:$A,'06. BC BH THEO CUSTOMER-USD'!DU$4),"-")</f>
        <v>0</v>
      </c>
      <c r="DV189" s="114">
        <f>IFERROR(SUMIFS('01. KE30'!$X:$X,'01. KE30'!$C:$C,'06. BC BH THEO CUSTOMER-USD'!$D189,'01. KE30'!$F:$F,'06. BC BH THEO CUSTOMER-USD'!$H189,'01. KE30'!$A:$A,'06. BC BH THEO CUSTOMER-USD'!DV$4)-SUMIFS('01. KE30'!$AA:$AA,'01. KE30'!$C:$C,'06. BC BH THEO CUSTOMER-USD'!$D189,'01. KE30'!$F:$F,'06. BC BH THEO CUSTOMER-USD'!$H189,'01. KE30'!$A:$A,'06. BC BH THEO CUSTOMER-USD'!DV$4),"-")</f>
        <v>0</v>
      </c>
      <c r="DW189" s="114">
        <f>IFERROR(SUMIFS('01. KE30'!$X:$X,'01. KE30'!$C:$C,'06. BC BH THEO CUSTOMER-USD'!$D189,'01. KE30'!$F:$F,'06. BC BH THEO CUSTOMER-USD'!$H189,'01. KE30'!$A:$A,'06. BC BH THEO CUSTOMER-USD'!DW$4)-SUMIFS('01. KE30'!$AA:$AA,'01. KE30'!$C:$C,'06. BC BH THEO CUSTOMER-USD'!$D189,'01. KE30'!$F:$F,'06. BC BH THEO CUSTOMER-USD'!$H189,'01. KE30'!$A:$A,'06. BC BH THEO CUSTOMER-USD'!DW$4),"-")</f>
        <v>-17.298976377952759</v>
      </c>
      <c r="DX189" s="114">
        <f>IFERROR(SUMIFS('01. KE30'!$X:$X,'01. KE30'!$C:$C,'06. BC BH THEO CUSTOMER-USD'!$D189,'01. KE30'!$F:$F,'06. BC BH THEO CUSTOMER-USD'!$H189,'01. KE30'!$A:$A,'06. BC BH THEO CUSTOMER-USD'!DX$4)-SUMIFS('01. KE30'!$AA:$AA,'01. KE30'!$C:$C,'06. BC BH THEO CUSTOMER-USD'!$D189,'01. KE30'!$F:$F,'06. BC BH THEO CUSTOMER-USD'!$H189,'01. KE30'!$A:$A,'06. BC BH THEO CUSTOMER-USD'!DX$4),"-")</f>
        <v>0</v>
      </c>
      <c r="DY189" s="114">
        <f>IFERROR(SUMIFS('01. KE30'!$X:$X,'01. KE30'!$C:$C,'06. BC BH THEO CUSTOMER-USD'!$D189,'01. KE30'!$F:$F,'06. BC BH THEO CUSTOMER-USD'!$H189,'01. KE30'!$A:$A,'06. BC BH THEO CUSTOMER-USD'!DY$4)-SUMIFS('01. KE30'!$AA:$AA,'01. KE30'!$C:$C,'06. BC BH THEO CUSTOMER-USD'!$D189,'01. KE30'!$F:$F,'06. BC BH THEO CUSTOMER-USD'!$H189,'01. KE30'!$A:$A,'06. BC BH THEO CUSTOMER-USD'!DY$4),"-")</f>
        <v>-8820.6042536736259</v>
      </c>
      <c r="DZ189" s="114">
        <f>IFERROR(SUMIFS('01. KE30'!$X:$X,'01. KE30'!$C:$C,'06. BC BH THEO CUSTOMER-USD'!$D189,'01. KE30'!$F:$F,'06. BC BH THEO CUSTOMER-USD'!$H189,'01. KE30'!$A:$A,'06. BC BH THEO CUSTOMER-USD'!DZ$4)-SUMIFS('01. KE30'!$AA:$AA,'01. KE30'!$C:$C,'06. BC BH THEO CUSTOMER-USD'!$D189,'01. KE30'!$F:$F,'06. BC BH THEO CUSTOMER-USD'!$H189,'01. KE30'!$A:$A,'06. BC BH THEO CUSTOMER-USD'!DZ$4),"-")</f>
        <v>0</v>
      </c>
      <c r="EA189" s="114">
        <f>IFERROR(SUMIFS('01. KE30'!$X:$X,'01. KE30'!$C:$C,'06. BC BH THEO CUSTOMER-USD'!$D189,'01. KE30'!$F:$F,'06. BC BH THEO CUSTOMER-USD'!$H189,'01. KE30'!$A:$A,'06. BC BH THEO CUSTOMER-USD'!EA$4)-SUMIFS('01. KE30'!$AA:$AA,'01. KE30'!$C:$C,'06. BC BH THEO CUSTOMER-USD'!$D189,'01. KE30'!$F:$F,'06. BC BH THEO CUSTOMER-USD'!$H189,'01. KE30'!$A:$A,'06. BC BH THEO CUSTOMER-USD'!EA$4),"-")</f>
        <v>0</v>
      </c>
      <c r="EB189" s="114">
        <f>IFERROR(SUMIFS('01. KE30'!$X:$X,'01. KE30'!$C:$C,'06. BC BH THEO CUSTOMER-USD'!$D189,'01. KE30'!$F:$F,'06. BC BH THEO CUSTOMER-USD'!$H189,'01. KE30'!$A:$A,'06. BC BH THEO CUSTOMER-USD'!EB$4)-SUMIFS('01. KE30'!$AA:$AA,'01. KE30'!$C:$C,'06. BC BH THEO CUSTOMER-USD'!$D189,'01. KE30'!$F:$F,'06. BC BH THEO CUSTOMER-USD'!$H189,'01. KE30'!$A:$A,'06. BC BH THEO CUSTOMER-USD'!EB$4),"-")</f>
        <v>-2082.1911382734911</v>
      </c>
      <c r="EC189" s="114">
        <f>IFERROR(SUMIFS('01. KE30'!$X:$X,'01. KE30'!$C:$C,'06. BC BH THEO CUSTOMER-USD'!$D189,'01. KE30'!$F:$F,'06. BC BH THEO CUSTOMER-USD'!$H189,'01. KE30'!$A:$A,'06. BC BH THEO CUSTOMER-USD'!EC$4)-SUMIFS('01. KE30'!$AA:$AA,'01. KE30'!$C:$C,'06. BC BH THEO CUSTOMER-USD'!$D189,'01. KE30'!$F:$F,'06. BC BH THEO CUSTOMER-USD'!$H189,'01. KE30'!$A:$A,'06. BC BH THEO CUSTOMER-USD'!EC$4),"-")</f>
        <v>0</v>
      </c>
      <c r="ED189" s="114">
        <f>IFERROR(SUMIFS('01. KE30'!$X:$X,'01. KE30'!$C:$C,'06. BC BH THEO CUSTOMER-USD'!$D189,'01. KE30'!$F:$F,'06. BC BH THEO CUSTOMER-USD'!$H189,'01. KE30'!$A:$A,'06. BC BH THEO CUSTOMER-USD'!ED$4)-SUMIFS('01. KE30'!$AA:$AA,'01. KE30'!$C:$C,'06. BC BH THEO CUSTOMER-USD'!$D189,'01. KE30'!$F:$F,'06. BC BH THEO CUSTOMER-USD'!$H189,'01. KE30'!$A:$A,'06. BC BH THEO CUSTOMER-USD'!ED$4),"-")</f>
        <v>0</v>
      </c>
      <c r="EE189" s="114">
        <f>IFERROR(SUMIFS('01. KE30'!$X:$X,'01. KE30'!$C:$C,'06. BC BH THEO CUSTOMER-USD'!$D189,'01. KE30'!$F:$F,'06. BC BH THEO CUSTOMER-USD'!$H189,'01. KE30'!$A:$A,'06. BC BH THEO CUSTOMER-USD'!EE$4)-SUMIFS('01. KE30'!$AA:$AA,'01. KE30'!$C:$C,'06. BC BH THEO CUSTOMER-USD'!$D189,'01. KE30'!$F:$F,'06. BC BH THEO CUSTOMER-USD'!$H189,'01. KE30'!$A:$A,'06. BC BH THEO CUSTOMER-USD'!EE$4),"-")</f>
        <v>0</v>
      </c>
      <c r="EF189" s="114">
        <f>IFERROR(SUMIFS('01. KE30'!$X:$X,'01. KE30'!$C:$C,'06. BC BH THEO CUSTOMER-USD'!$D189,'01. KE30'!$F:$F,'06. BC BH THEO CUSTOMER-USD'!$H189,'01. KE30'!$A:$A,'06. BC BH THEO CUSTOMER-USD'!EF$4)-SUMIFS('01. KE30'!$AA:$AA,'01. KE30'!$C:$C,'06. BC BH THEO CUSTOMER-USD'!$D189,'01. KE30'!$F:$F,'06. BC BH THEO CUSTOMER-USD'!$H189,'01. KE30'!$A:$A,'06. BC BH THEO CUSTOMER-USD'!EF$4),"-")</f>
        <v>0</v>
      </c>
      <c r="EH189" s="571">
        <f t="shared" si="2172"/>
        <v>-0.53449564493690038</v>
      </c>
      <c r="EI189" s="572" t="str">
        <f t="shared" si="2173"/>
        <v>-</v>
      </c>
      <c r="EJ189" s="572" t="str">
        <f t="shared" si="2174"/>
        <v>-</v>
      </c>
      <c r="EK189" s="572">
        <f t="shared" si="2175"/>
        <v>-0.51302187319756876</v>
      </c>
      <c r="EL189" s="572" t="str">
        <f t="shared" si="2176"/>
        <v>-</v>
      </c>
      <c r="EM189" s="572">
        <f t="shared" si="2177"/>
        <v>-0.52002620265985622</v>
      </c>
      <c r="EN189" s="572" t="str">
        <f t="shared" si="2178"/>
        <v>-</v>
      </c>
      <c r="EO189" s="572" t="str">
        <f t="shared" si="2179"/>
        <v>-</v>
      </c>
      <c r="EP189" s="572">
        <f t="shared" si="2180"/>
        <v>-0.60615397507383362</v>
      </c>
      <c r="EQ189" s="572" t="str">
        <f t="shared" si="2181"/>
        <v>-</v>
      </c>
      <c r="ER189" s="572" t="str">
        <f t="shared" si="2182"/>
        <v>-</v>
      </c>
      <c r="ES189" s="572" t="str">
        <f t="shared" si="2183"/>
        <v>-</v>
      </c>
      <c r="ET189" s="572" t="str">
        <f t="shared" si="2184"/>
        <v>-</v>
      </c>
    </row>
    <row r="190" spans="1:150" ht="15.5" hidden="1" outlineLevel="1" x14ac:dyDescent="0.35">
      <c r="A190" s="10">
        <f t="shared" si="1266"/>
        <v>16</v>
      </c>
      <c r="B190" s="10" t="s">
        <v>295</v>
      </c>
      <c r="C190" s="442" t="s">
        <v>489</v>
      </c>
      <c r="D190" s="9" t="s">
        <v>637</v>
      </c>
      <c r="E190" s="8" t="s">
        <v>638</v>
      </c>
      <c r="F190" s="12" t="s">
        <v>245</v>
      </c>
      <c r="G190" s="12" t="str">
        <f>_xlfn.XLOOKUP(F190,'Quy đổi'!$G$5:$G$32,'Quy đổi'!$H$5:$H$32,0)</f>
        <v>Nội địa</v>
      </c>
      <c r="H190" s="80" t="s">
        <v>41</v>
      </c>
      <c r="I190" s="7" t="s">
        <v>40</v>
      </c>
      <c r="J190" s="69" t="s">
        <v>22</v>
      </c>
      <c r="K190" s="5"/>
      <c r="L190" s="92">
        <f t="shared" si="2127"/>
        <v>674.39527559055114</v>
      </c>
      <c r="M190" s="106" t="str">
        <f>IFERROR(SUMIFS('01. KE30'!$K:$K,'01. KE30'!$C:$C,'06. BC BH THEO CUSTOMER-USD'!$D190,'01. KE30'!$F:$F,'06. BC BH THEO CUSTOMER-USD'!$H190,'01. KE30'!$A:$A,'06. BC BH THEO CUSTOMER-USD'!M$4)/'06. BC BH THEO CUSTOMER-USD'!CS190/'02. Tỷ giá'!B$5,"-")</f>
        <v>-</v>
      </c>
      <c r="N190" s="106" t="str">
        <f>IFERROR(SUMIFS('01. KE30'!$K:$K,'01. KE30'!$C:$C,'06. BC BH THEO CUSTOMER-USD'!$D190,'01. KE30'!$F:$F,'06. BC BH THEO CUSTOMER-USD'!$H190,'01. KE30'!$A:$A,'06. BC BH THEO CUSTOMER-USD'!N$4)/'06. BC BH THEO CUSTOMER-USD'!CT190/'02. Tỷ giá'!C$5,"-")</f>
        <v>-</v>
      </c>
      <c r="O190" s="106">
        <f>IFERROR(SUMIFS('01. KE30'!$K:$K,'01. KE30'!$C:$C,'06. BC BH THEO CUSTOMER-USD'!$D190,'01. KE30'!$F:$F,'06. BC BH THEO CUSTOMER-USD'!$H190,'01. KE30'!$A:$A,'06. BC BH THEO CUSTOMER-USD'!O$4)/'06. BC BH THEO CUSTOMER-USD'!CU190/'02. Tỷ giá'!D$5,"-")</f>
        <v>674.39527559055114</v>
      </c>
      <c r="P190" s="106" t="str">
        <f>IFERROR(SUMIFS('01. KE30'!$K:$K,'01. KE30'!$C:$C,'06. BC BH THEO CUSTOMER-USD'!$D190,'01. KE30'!$F:$F,'06. BC BH THEO CUSTOMER-USD'!$H190,'01. KE30'!$A:$A,'06. BC BH THEO CUSTOMER-USD'!P$4)/'06. BC BH THEO CUSTOMER-USD'!CV190/'02. Tỷ giá'!E$5,"-")</f>
        <v>-</v>
      </c>
      <c r="Q190" s="106" t="str">
        <f>IFERROR(SUMIFS('01. KE30'!$K:$K,'01. KE30'!$C:$C,'06. BC BH THEO CUSTOMER-USD'!$D190,'01. KE30'!$F:$F,'06. BC BH THEO CUSTOMER-USD'!$H190,'01. KE30'!$A:$A,'06. BC BH THEO CUSTOMER-USD'!Q$4)/'06. BC BH THEO CUSTOMER-USD'!CW190/'02. Tỷ giá'!F$5,"-")</f>
        <v>-</v>
      </c>
      <c r="R190" s="106" t="str">
        <f>IFERROR(SUMIFS('01. KE30'!$K:$K,'01. KE30'!$C:$C,'06. BC BH THEO CUSTOMER-USD'!$D190,'01. KE30'!$F:$F,'06. BC BH THEO CUSTOMER-USD'!$H190,'01. KE30'!$A:$A,'06. BC BH THEO CUSTOMER-USD'!R$4)/'06. BC BH THEO CUSTOMER-USD'!CX190/'02. Tỷ giá'!G$5,"-")</f>
        <v>-</v>
      </c>
      <c r="S190" s="106" t="str">
        <f>IFERROR(SUMIFS('01. KE30'!$K:$K,'01. KE30'!$C:$C,'06. BC BH THEO CUSTOMER-USD'!$D190,'01. KE30'!$F:$F,'06. BC BH THEO CUSTOMER-USD'!$H190,'01. KE30'!$A:$A,'06. BC BH THEO CUSTOMER-USD'!S$4)/'06. BC BH THEO CUSTOMER-USD'!CY190/'02. Tỷ giá'!H$5,"-")</f>
        <v>-</v>
      </c>
      <c r="T190" s="106" t="str">
        <f>IFERROR(SUMIFS('01. KE30'!$K:$K,'01. KE30'!$C:$C,'06. BC BH THEO CUSTOMER-USD'!$D190,'01. KE30'!$F:$F,'06. BC BH THEO CUSTOMER-USD'!$H190,'01. KE30'!$A:$A,'06. BC BH THEO CUSTOMER-USD'!T$4)/'06. BC BH THEO CUSTOMER-USD'!CZ190/'02. Tỷ giá'!I$5,"-")</f>
        <v>-</v>
      </c>
      <c r="U190" s="106" t="str">
        <f>IFERROR(SUMIFS('01. KE30'!$K:$K,'01. KE30'!$C:$C,'06. BC BH THEO CUSTOMER-USD'!$D190,'01. KE30'!$F:$F,'06. BC BH THEO CUSTOMER-USD'!$H190,'01. KE30'!$A:$A,'06. BC BH THEO CUSTOMER-USD'!U$4)/'06. BC BH THEO CUSTOMER-USD'!DA190/'02. Tỷ giá'!J$5,"-")</f>
        <v>-</v>
      </c>
      <c r="V190" s="106" t="str">
        <f>IFERROR(SUMIFS('01. KE30'!$K:$K,'01. KE30'!$C:$C,'06. BC BH THEO CUSTOMER-USD'!$D190,'01. KE30'!$F:$F,'06. BC BH THEO CUSTOMER-USD'!$H190,'01. KE30'!$A:$A,'06. BC BH THEO CUSTOMER-USD'!V$4)/'06. BC BH THEO CUSTOMER-USD'!DB190/'02. Tỷ giá'!K$5,"-")</f>
        <v>-</v>
      </c>
      <c r="W190" s="106" t="str">
        <f>IFERROR(SUMIFS('01. KE30'!$K:$K,'01. KE30'!$C:$C,'06. BC BH THEO CUSTOMER-USD'!$D190,'01. KE30'!$F:$F,'06. BC BH THEO CUSTOMER-USD'!$H190,'01. KE30'!$A:$A,'06. BC BH THEO CUSTOMER-USD'!W$4)/'06. BC BH THEO CUSTOMER-USD'!DC190/'02. Tỷ giá'!L$5,"-")</f>
        <v>-</v>
      </c>
      <c r="X190" s="106" t="str">
        <f>IFERROR(SUMIFS('01. KE30'!$K:$K,'01. KE30'!$C:$C,'06. BC BH THEO CUSTOMER-USD'!$D190,'01. KE30'!$F:$F,'06. BC BH THEO CUSTOMER-USD'!$H190,'01. KE30'!$A:$A,'06. BC BH THEO CUSTOMER-USD'!X$4)/'06. BC BH THEO CUSTOMER-USD'!DD190/'02. Tỷ giá'!M$5,"-")</f>
        <v>-</v>
      </c>
      <c r="Z190" s="92">
        <f t="shared" si="2128"/>
        <v>635.02519685039374</v>
      </c>
      <c r="AA190" s="147" t="str">
        <f>IFERROR(SUMIFS('01. KE30'!$O:$O,'01. KE30'!$C:$C,'06. BC BH THEO CUSTOMER-USD'!$D190,'01. KE30'!$F:$F,'06. BC BH THEO CUSTOMER-USD'!$H190,'01. KE30'!$A:$A,'06. BC BH THEO CUSTOMER-USD'!M$4)/'06. BC BH THEO CUSTOMER-USD'!CS190/'02. Tỷ giá'!B$5,"-")</f>
        <v>-</v>
      </c>
      <c r="AB190" s="147" t="str">
        <f>IFERROR(SUMIFS('01. KE30'!$O:$O,'01. KE30'!$C:$C,'06. BC BH THEO CUSTOMER-USD'!$D190,'01. KE30'!$F:$F,'06. BC BH THEO CUSTOMER-USD'!$H190,'01. KE30'!$A:$A,'06. BC BH THEO CUSTOMER-USD'!N$4)/'06. BC BH THEO CUSTOMER-USD'!CT190/'02. Tỷ giá'!C$5,"-")</f>
        <v>-</v>
      </c>
      <c r="AC190" s="147">
        <f>IFERROR(SUMIFS('01. KE30'!$O:$O,'01. KE30'!$C:$C,'06. BC BH THEO CUSTOMER-USD'!$D190,'01. KE30'!$F:$F,'06. BC BH THEO CUSTOMER-USD'!$H190,'01. KE30'!$A:$A,'06. BC BH THEO CUSTOMER-USD'!O$4)/'06. BC BH THEO CUSTOMER-USD'!CU190/'02. Tỷ giá'!D$5,"-")</f>
        <v>635.02519685039374</v>
      </c>
      <c r="AD190" s="147" t="str">
        <f>IFERROR(SUMIFS('01. KE30'!$O:$O,'01. KE30'!$C:$C,'06. BC BH THEO CUSTOMER-USD'!$D190,'01. KE30'!$F:$F,'06. BC BH THEO CUSTOMER-USD'!$H190,'01. KE30'!$A:$A,'06. BC BH THEO CUSTOMER-USD'!P$4)/'06. BC BH THEO CUSTOMER-USD'!CV190/'02. Tỷ giá'!E$5,"-")</f>
        <v>-</v>
      </c>
      <c r="AE190" s="147" t="str">
        <f>IFERROR(SUMIFS('01. KE30'!$O:$O,'01. KE30'!$C:$C,'06. BC BH THEO CUSTOMER-USD'!$D190,'01. KE30'!$F:$F,'06. BC BH THEO CUSTOMER-USD'!$H190,'01. KE30'!$A:$A,'06. BC BH THEO CUSTOMER-USD'!Q$4)/'06. BC BH THEO CUSTOMER-USD'!CW190/'02. Tỷ giá'!F$5,"-")</f>
        <v>-</v>
      </c>
      <c r="AF190" s="147" t="str">
        <f>IFERROR(SUMIFS('01. KE30'!$O:$O,'01. KE30'!$C:$C,'06. BC BH THEO CUSTOMER-USD'!$D190,'01. KE30'!$F:$F,'06. BC BH THEO CUSTOMER-USD'!$H190,'01. KE30'!$A:$A,'06. BC BH THEO CUSTOMER-USD'!R$4)/'06. BC BH THEO CUSTOMER-USD'!CX190/'02. Tỷ giá'!G$5,"-")</f>
        <v>-</v>
      </c>
      <c r="AG190" s="147" t="str">
        <f>IFERROR(SUMIFS('01. KE30'!$O:$O,'01. KE30'!$C:$C,'06. BC BH THEO CUSTOMER-USD'!$D190,'01. KE30'!$F:$F,'06. BC BH THEO CUSTOMER-USD'!$H190,'01. KE30'!$A:$A,'06. BC BH THEO CUSTOMER-USD'!S$4)/'06. BC BH THEO CUSTOMER-USD'!CY190/'02. Tỷ giá'!H$5,"-")</f>
        <v>-</v>
      </c>
      <c r="AH190" s="147" t="str">
        <f>IFERROR(SUMIFS('01. KE30'!$O:$O,'01. KE30'!$C:$C,'06. BC BH THEO CUSTOMER-USD'!$D190,'01. KE30'!$F:$F,'06. BC BH THEO CUSTOMER-USD'!$H190,'01. KE30'!$A:$A,'06. BC BH THEO CUSTOMER-USD'!T$4)/'06. BC BH THEO CUSTOMER-USD'!CZ190/'02. Tỷ giá'!I$5,"-")</f>
        <v>-</v>
      </c>
      <c r="AI190" s="147" t="str">
        <f>IFERROR(SUMIFS('01. KE30'!$O:$O,'01. KE30'!$C:$C,'06. BC BH THEO CUSTOMER-USD'!$D190,'01. KE30'!$F:$F,'06. BC BH THEO CUSTOMER-USD'!$H190,'01. KE30'!$A:$A,'06. BC BH THEO CUSTOMER-USD'!U$4)/'06. BC BH THEO CUSTOMER-USD'!DA190/'02. Tỷ giá'!J$5,"-")</f>
        <v>-</v>
      </c>
      <c r="AJ190" s="147" t="str">
        <f>IFERROR(SUMIFS('01. KE30'!$O:$O,'01. KE30'!$C:$C,'06. BC BH THEO CUSTOMER-USD'!$D190,'01. KE30'!$F:$F,'06. BC BH THEO CUSTOMER-USD'!$H190,'01. KE30'!$A:$A,'06. BC BH THEO CUSTOMER-USD'!V$4)/'06. BC BH THEO CUSTOMER-USD'!DB190/'02. Tỷ giá'!K$5,"-")</f>
        <v>-</v>
      </c>
      <c r="AK190" s="147" t="str">
        <f>IFERROR(SUMIFS('01. KE30'!$O:$O,'01. KE30'!$C:$C,'06. BC BH THEO CUSTOMER-USD'!$D190,'01. KE30'!$F:$F,'06. BC BH THEO CUSTOMER-USD'!$H190,'01. KE30'!$A:$A,'06. BC BH THEO CUSTOMER-USD'!W$4)/'06. BC BH THEO CUSTOMER-USD'!DC190/'02. Tỷ giá'!L$5,"-")</f>
        <v>-</v>
      </c>
      <c r="AL190" s="147" t="str">
        <f>IFERROR(SUMIFS('01. KE30'!$O:$O,'01. KE30'!$C:$C,'06. BC BH THEO CUSTOMER-USD'!$D190,'01. KE30'!$F:$F,'06. BC BH THEO CUSTOMER-USD'!$H190,'01. KE30'!$A:$A,'06. BC BH THEO CUSTOMER-USD'!X$4)/'06. BC BH THEO CUSTOMER-USD'!DD190/'02. Tỷ giá'!M$5,"-")</f>
        <v>-</v>
      </c>
      <c r="AN190" s="92">
        <f t="shared" si="2129"/>
        <v>740.55555555555554</v>
      </c>
      <c r="AO190" s="4">
        <v>855</v>
      </c>
      <c r="AP190" s="4">
        <v>750</v>
      </c>
      <c r="AQ190" s="4">
        <v>750</v>
      </c>
      <c r="AR190" s="4">
        <v>750</v>
      </c>
      <c r="AS190" s="4">
        <v>720</v>
      </c>
      <c r="AT190" s="4">
        <v>720</v>
      </c>
      <c r="AU190" s="4">
        <v>720</v>
      </c>
      <c r="AV190" s="4">
        <f t="shared" si="1272"/>
        <v>700</v>
      </c>
      <c r="AW190" s="4">
        <v>700</v>
      </c>
      <c r="AX190" s="4"/>
      <c r="AY190" s="4"/>
      <c r="AZ190" s="4"/>
      <c r="BB190" s="95">
        <f t="shared" si="2130"/>
        <v>-105.5303587051618</v>
      </c>
      <c r="BC190" s="95" t="str">
        <f t="shared" si="2131"/>
        <v>-</v>
      </c>
      <c r="BD190" s="95" t="str">
        <f t="shared" si="2132"/>
        <v>-</v>
      </c>
      <c r="BE190" s="95">
        <f t="shared" si="2133"/>
        <v>-114.97480314960626</v>
      </c>
      <c r="BF190" s="95" t="str">
        <f t="shared" si="2134"/>
        <v>-</v>
      </c>
      <c r="BG190" s="95" t="str">
        <f t="shared" si="2135"/>
        <v>-</v>
      </c>
      <c r="BH190" s="95" t="str">
        <f t="shared" si="2136"/>
        <v>-</v>
      </c>
      <c r="BI190" s="95" t="str">
        <f t="shared" si="2137"/>
        <v>-</v>
      </c>
      <c r="BJ190" s="95" t="str">
        <f t="shared" si="2138"/>
        <v>-</v>
      </c>
      <c r="BK190" s="95" t="str">
        <f t="shared" si="2139"/>
        <v>-</v>
      </c>
      <c r="BL190" s="95" t="str">
        <f t="shared" si="2140"/>
        <v>-</v>
      </c>
      <c r="BM190" s="95" t="str">
        <f t="shared" si="2141"/>
        <v>-</v>
      </c>
      <c r="BN190" s="95" t="str">
        <f t="shared" si="2142"/>
        <v>-</v>
      </c>
      <c r="BP190" s="143">
        <f t="shared" si="2143"/>
        <v>-0.14250160965438202</v>
      </c>
      <c r="BQ190" s="143" t="str">
        <f t="shared" si="2144"/>
        <v>-</v>
      </c>
      <c r="BR190" s="143" t="str">
        <f t="shared" si="2145"/>
        <v>-</v>
      </c>
      <c r="BS190" s="143">
        <f t="shared" si="2146"/>
        <v>-0.15329973753280834</v>
      </c>
      <c r="BT190" s="143" t="str">
        <f t="shared" si="2147"/>
        <v>-</v>
      </c>
      <c r="BU190" s="143" t="str">
        <f t="shared" si="2148"/>
        <v>-</v>
      </c>
      <c r="BV190" s="143" t="str">
        <f t="shared" si="2149"/>
        <v>-</v>
      </c>
      <c r="BW190" s="143" t="str">
        <f t="shared" si="2150"/>
        <v>-</v>
      </c>
      <c r="BX190" s="143" t="str">
        <f t="shared" si="2151"/>
        <v>-</v>
      </c>
      <c r="BY190" s="143" t="str">
        <f t="shared" si="2152"/>
        <v>-</v>
      </c>
      <c r="BZ190" s="143" t="str">
        <f t="shared" si="2153"/>
        <v>-</v>
      </c>
      <c r="CA190" s="143" t="str">
        <f t="shared" si="2154"/>
        <v>-</v>
      </c>
      <c r="CB190" s="143" t="str">
        <f t="shared" si="2155"/>
        <v>-</v>
      </c>
      <c r="CD190" s="112">
        <f t="shared" si="2156"/>
        <v>969.09212598425199</v>
      </c>
      <c r="CE190" s="95" t="str">
        <f>IFERROR(SUMIFS('01. KE30'!$R:$R,'01. KE30'!$C:$C,'06. BC BH THEO CUSTOMER-USD'!$D190,'01. KE30'!$F:$F,'06. BC BH THEO CUSTOMER-USD'!$H190,'01. KE30'!$A:$A,'06. BC BH THEO CUSTOMER-USD'!CE$4)/CS190/'02. Tỷ giá'!B$5," -")</f>
        <v xml:space="preserve"> -</v>
      </c>
      <c r="CF190" s="95" t="str">
        <f>IFERROR(SUMIFS('01. KE30'!$R:$R,'01. KE30'!$C:$C,'06. BC BH THEO CUSTOMER-USD'!$D190,'01. KE30'!$F:$F,'06. BC BH THEO CUSTOMER-USD'!$H190,'01. KE30'!$A:$A,'06. BC BH THEO CUSTOMER-USD'!CF$4)/CT190/'02. Tỷ giá'!C$5," -")</f>
        <v xml:space="preserve"> -</v>
      </c>
      <c r="CG190" s="95">
        <f>IFERROR(SUMIFS('01. KE30'!$R:$R,'01. KE30'!$C:$C,'06. BC BH THEO CUSTOMER-USD'!$D190,'01. KE30'!$F:$F,'06. BC BH THEO CUSTOMER-USD'!$H190,'01. KE30'!$A:$A,'06. BC BH THEO CUSTOMER-USD'!CG$4)/CU190/'02. Tỷ giá'!D$5," -")</f>
        <v>969.09212598425199</v>
      </c>
      <c r="CH190" s="95" t="str">
        <f>IFERROR(SUMIFS('01. KE30'!$R:$R,'01. KE30'!$C:$C,'06. BC BH THEO CUSTOMER-USD'!$D190,'01. KE30'!$F:$F,'06. BC BH THEO CUSTOMER-USD'!$H190,'01. KE30'!$A:$A,'06. BC BH THEO CUSTOMER-USD'!CH$4)/CV190/'02. Tỷ giá'!E$5," -")</f>
        <v xml:space="preserve"> -</v>
      </c>
      <c r="CI190" s="95" t="str">
        <f>IFERROR(SUMIFS('01. KE30'!$R:$R,'01. KE30'!$C:$C,'06. BC BH THEO CUSTOMER-USD'!$D190,'01. KE30'!$F:$F,'06. BC BH THEO CUSTOMER-USD'!$H190,'01. KE30'!$A:$A,'06. BC BH THEO CUSTOMER-USD'!CI$4)/CW190/'02. Tỷ giá'!F$5," -")</f>
        <v xml:space="preserve"> -</v>
      </c>
      <c r="CJ190" s="95" t="str">
        <f>IFERROR(SUMIFS('01. KE30'!$R:$R,'01. KE30'!$C:$C,'06. BC BH THEO CUSTOMER-USD'!$D190,'01. KE30'!$F:$F,'06. BC BH THEO CUSTOMER-USD'!$H190,'01. KE30'!$A:$A,'06. BC BH THEO CUSTOMER-USD'!CJ$4)/CX190/'02. Tỷ giá'!G$5," -")</f>
        <v xml:space="preserve"> -</v>
      </c>
      <c r="CK190" s="95" t="str">
        <f>IFERROR(SUMIFS('01. KE30'!$R:$R,'01. KE30'!$C:$C,'06. BC BH THEO CUSTOMER-USD'!$D190,'01. KE30'!$F:$F,'06. BC BH THEO CUSTOMER-USD'!$H190,'01. KE30'!$A:$A,'06. BC BH THEO CUSTOMER-USD'!CK$4)/CY190/'02. Tỷ giá'!H$5," -")</f>
        <v xml:space="preserve"> -</v>
      </c>
      <c r="CL190" s="95" t="str">
        <f>IFERROR(SUMIFS('01. KE30'!$R:$R,'01. KE30'!$C:$C,'06. BC BH THEO CUSTOMER-USD'!$D190,'01. KE30'!$F:$F,'06. BC BH THEO CUSTOMER-USD'!$H190,'01. KE30'!$A:$A,'06. BC BH THEO CUSTOMER-USD'!CL$4)/CZ190/'02. Tỷ giá'!I$5," -")</f>
        <v xml:space="preserve"> -</v>
      </c>
      <c r="CM190" s="95" t="str">
        <f>IFERROR(SUMIFS('01. KE30'!$R:$R,'01. KE30'!$C:$C,'06. BC BH THEO CUSTOMER-USD'!$D190,'01. KE30'!$F:$F,'06. BC BH THEO CUSTOMER-USD'!$H190,'01. KE30'!$A:$A,'06. BC BH THEO CUSTOMER-USD'!CM$4)/DA190/'02. Tỷ giá'!J$5," -")</f>
        <v xml:space="preserve"> -</v>
      </c>
      <c r="CN190" s="95" t="str">
        <f>IFERROR(SUMIFS('01. KE30'!$R:$R,'01. KE30'!$C:$C,'06. BC BH THEO CUSTOMER-USD'!$D190,'01. KE30'!$F:$F,'06. BC BH THEO CUSTOMER-USD'!$H190,'01. KE30'!$A:$A,'06. BC BH THEO CUSTOMER-USD'!CN$4)/DB190/'02. Tỷ giá'!K$5," -")</f>
        <v xml:space="preserve"> -</v>
      </c>
      <c r="CO190" s="95" t="str">
        <f>IFERROR(SUMIFS('01. KE30'!$R:$R,'01. KE30'!$C:$C,'06. BC BH THEO CUSTOMER-USD'!$D190,'01. KE30'!$F:$F,'06. BC BH THEO CUSTOMER-USD'!$H190,'01. KE30'!$A:$A,'06. BC BH THEO CUSTOMER-USD'!CO$4)/DC190/'02. Tỷ giá'!L$5," -")</f>
        <v xml:space="preserve"> -</v>
      </c>
      <c r="CP190" s="95" t="str">
        <f>IFERROR(SUMIFS('01. KE30'!$R:$R,'01. KE30'!$C:$C,'06. BC BH THEO CUSTOMER-USD'!$D190,'01. KE30'!$F:$F,'06. BC BH THEO CUSTOMER-USD'!$H190,'01. KE30'!$A:$A,'06. BC BH THEO CUSTOMER-USD'!CP$4)/DD190/'02. Tỷ giá'!M$5," -")</f>
        <v xml:space="preserve"> -</v>
      </c>
      <c r="CR190" s="112">
        <f t="shared" si="2157"/>
        <v>0.05</v>
      </c>
      <c r="CS190" s="114">
        <f>SUMIFS('01. KE30'!$I:$I,'01. KE30'!$C:$C,'06. BC BH THEO CUSTOMER-USD'!$D190,'01. KE30'!$F:$F,'06. BC BH THEO CUSTOMER-USD'!$H190,'01. KE30'!$A:$A,'06. BC BH THEO CUSTOMER-USD'!CS$4)/1000</f>
        <v>0</v>
      </c>
      <c r="CT190" s="114">
        <f>SUMIFS('01. KE30'!$I:$I,'01. KE30'!$C:$C,'06. BC BH THEO CUSTOMER-USD'!$D190,'01. KE30'!$F:$F,'06. BC BH THEO CUSTOMER-USD'!$H190,'01. KE30'!$A:$A,'06. BC BH THEO CUSTOMER-USD'!CT$4)/1000</f>
        <v>0</v>
      </c>
      <c r="CU190" s="114">
        <f>SUMIFS('01. KE30'!$I:$I,'01. KE30'!$C:$C,'06. BC BH THEO CUSTOMER-USD'!$D190,'01. KE30'!$F:$F,'06. BC BH THEO CUSTOMER-USD'!$H190,'01. KE30'!$A:$A,'06. BC BH THEO CUSTOMER-USD'!CU$4)/1000</f>
        <v>0.05</v>
      </c>
      <c r="CV190" s="114">
        <f>SUMIFS('01. KE30'!$I:$I,'01. KE30'!$C:$C,'06. BC BH THEO CUSTOMER-USD'!$D190,'01. KE30'!$F:$F,'06. BC BH THEO CUSTOMER-USD'!$H190,'01. KE30'!$A:$A,'06. BC BH THEO CUSTOMER-USD'!CV$4)/1000</f>
        <v>0</v>
      </c>
      <c r="CW190" s="114">
        <f>SUMIFS('01. KE30'!$I:$I,'01. KE30'!$C:$C,'06. BC BH THEO CUSTOMER-USD'!$D190,'01. KE30'!$F:$F,'06. BC BH THEO CUSTOMER-USD'!$H190,'01. KE30'!$A:$A,'06. BC BH THEO CUSTOMER-USD'!CW$4)/1000</f>
        <v>0</v>
      </c>
      <c r="CX190" s="114">
        <f>SUMIFS('01. KE30'!$I:$I,'01. KE30'!$C:$C,'06. BC BH THEO CUSTOMER-USD'!$D190,'01. KE30'!$F:$F,'06. BC BH THEO CUSTOMER-USD'!$H190,'01. KE30'!$A:$A,'06. BC BH THEO CUSTOMER-USD'!CX$4)/1000</f>
        <v>0</v>
      </c>
      <c r="CY190" s="114">
        <f>SUMIFS('01. KE30'!$I:$I,'01. KE30'!$C:$C,'06. BC BH THEO CUSTOMER-USD'!$D190,'01. KE30'!$F:$F,'06. BC BH THEO CUSTOMER-USD'!$H190,'01. KE30'!$A:$A,'06. BC BH THEO CUSTOMER-USD'!CY$4)/1000</f>
        <v>0</v>
      </c>
      <c r="CZ190" s="114">
        <f>SUMIFS('01. KE30'!$I:$I,'01. KE30'!$C:$C,'06. BC BH THEO CUSTOMER-USD'!$D190,'01. KE30'!$F:$F,'06. BC BH THEO CUSTOMER-USD'!$H190,'01. KE30'!$A:$A,'06. BC BH THEO CUSTOMER-USD'!CZ$4)/1000</f>
        <v>0</v>
      </c>
      <c r="DA190" s="114">
        <f>SUMIFS('01. KE30'!$I:$I,'01. KE30'!$C:$C,'06. BC BH THEO CUSTOMER-USD'!$D190,'01. KE30'!$F:$F,'06. BC BH THEO CUSTOMER-USD'!$H190,'01. KE30'!$A:$A,'06. BC BH THEO CUSTOMER-USD'!DA$4)/1000</f>
        <v>0</v>
      </c>
      <c r="DB190" s="114">
        <f>SUMIFS('01. KE30'!$I:$I,'01. KE30'!$C:$C,'06. BC BH THEO CUSTOMER-USD'!$D190,'01. KE30'!$F:$F,'06. BC BH THEO CUSTOMER-USD'!$H190,'01. KE30'!$A:$A,'06. BC BH THEO CUSTOMER-USD'!DB$4)/1000</f>
        <v>0</v>
      </c>
      <c r="DC190" s="114">
        <f>SUMIFS('01. KE30'!$I:$I,'01. KE30'!$C:$C,'06. BC BH THEO CUSTOMER-USD'!$D190,'01. KE30'!$F:$F,'06. BC BH THEO CUSTOMER-USD'!$H190,'01. KE30'!$A:$A,'06. BC BH THEO CUSTOMER-USD'!DC$4)/1000</f>
        <v>0</v>
      </c>
      <c r="DD190" s="114">
        <f>SUMIFS('01. KE30'!$I:$I,'01. KE30'!$C:$C,'06. BC BH THEO CUSTOMER-USD'!$D190,'01. KE30'!$F:$F,'06. BC BH THEO CUSTOMER-USD'!$H190,'01. KE30'!$A:$A,'06. BC BH THEO CUSTOMER-USD'!DD$4)/1000</f>
        <v>0</v>
      </c>
      <c r="DF190" s="112">
        <f t="shared" si="2158"/>
        <v>33.719763779527561</v>
      </c>
      <c r="DG190" s="54" t="str">
        <f t="shared" si="2159"/>
        <v>-</v>
      </c>
      <c r="DH190" s="54" t="str">
        <f t="shared" si="2160"/>
        <v>-</v>
      </c>
      <c r="DI190" s="54">
        <f t="shared" si="2161"/>
        <v>33.719763779527561</v>
      </c>
      <c r="DJ190" s="54" t="str">
        <f t="shared" si="2162"/>
        <v>-</v>
      </c>
      <c r="DK190" s="54" t="str">
        <f t="shared" si="2163"/>
        <v>-</v>
      </c>
      <c r="DL190" s="54" t="str">
        <f t="shared" si="2164"/>
        <v>-</v>
      </c>
      <c r="DM190" s="54" t="str">
        <f t="shared" si="2165"/>
        <v>-</v>
      </c>
      <c r="DN190" s="54" t="str">
        <f t="shared" si="2166"/>
        <v>-</v>
      </c>
      <c r="DO190" s="54" t="str">
        <f t="shared" si="2167"/>
        <v>-</v>
      </c>
      <c r="DP190" s="54" t="str">
        <f t="shared" si="2168"/>
        <v>-</v>
      </c>
      <c r="DQ190" s="54" t="str">
        <f t="shared" si="2169"/>
        <v>-</v>
      </c>
      <c r="DR190" s="54" t="str">
        <f t="shared" si="2170"/>
        <v>-</v>
      </c>
      <c r="DT190" s="112">
        <f t="shared" si="2171"/>
        <v>-16.703346456692916</v>
      </c>
      <c r="DU190" s="114">
        <f>IFERROR(SUMIFS('01. KE30'!$X:$X,'01. KE30'!$C:$C,'06. BC BH THEO CUSTOMER-USD'!$D190,'01. KE30'!$F:$F,'06. BC BH THEO CUSTOMER-USD'!$H190,'01. KE30'!$A:$A,'06. BC BH THEO CUSTOMER-USD'!DU$4)-SUMIFS('01. KE30'!$AA:$AA,'01. KE30'!$C:$C,'06. BC BH THEO CUSTOMER-USD'!$D190,'01. KE30'!$F:$F,'06. BC BH THEO CUSTOMER-USD'!$H190,'01. KE30'!$A:$A,'06. BC BH THEO CUSTOMER-USD'!DU$4),"-")</f>
        <v>0</v>
      </c>
      <c r="DV190" s="114">
        <f>IFERROR(SUMIFS('01. KE30'!$X:$X,'01. KE30'!$C:$C,'06. BC BH THEO CUSTOMER-USD'!$D190,'01. KE30'!$F:$F,'06. BC BH THEO CUSTOMER-USD'!$H190,'01. KE30'!$A:$A,'06. BC BH THEO CUSTOMER-USD'!DV$4)-SUMIFS('01. KE30'!$AA:$AA,'01. KE30'!$C:$C,'06. BC BH THEO CUSTOMER-USD'!$D190,'01. KE30'!$F:$F,'06. BC BH THEO CUSTOMER-USD'!$H190,'01. KE30'!$A:$A,'06. BC BH THEO CUSTOMER-USD'!DV$4),"-")</f>
        <v>0</v>
      </c>
      <c r="DW190" s="114">
        <f>IFERROR(SUMIFS('01. KE30'!$X:$X,'01. KE30'!$C:$C,'06. BC BH THEO CUSTOMER-USD'!$D190,'01. KE30'!$F:$F,'06. BC BH THEO CUSTOMER-USD'!$H190,'01. KE30'!$A:$A,'06. BC BH THEO CUSTOMER-USD'!DW$4)-SUMIFS('01. KE30'!$AA:$AA,'01. KE30'!$C:$C,'06. BC BH THEO CUSTOMER-USD'!$D190,'01. KE30'!$F:$F,'06. BC BH THEO CUSTOMER-USD'!$H190,'01. KE30'!$A:$A,'06. BC BH THEO CUSTOMER-USD'!DW$4),"-")</f>
        <v>-16.703346456692916</v>
      </c>
      <c r="DX190" s="114">
        <f>IFERROR(SUMIFS('01. KE30'!$X:$X,'01. KE30'!$C:$C,'06. BC BH THEO CUSTOMER-USD'!$D190,'01. KE30'!$F:$F,'06. BC BH THEO CUSTOMER-USD'!$H190,'01. KE30'!$A:$A,'06. BC BH THEO CUSTOMER-USD'!DX$4)-SUMIFS('01. KE30'!$AA:$AA,'01. KE30'!$C:$C,'06. BC BH THEO CUSTOMER-USD'!$D190,'01. KE30'!$F:$F,'06. BC BH THEO CUSTOMER-USD'!$H190,'01. KE30'!$A:$A,'06. BC BH THEO CUSTOMER-USD'!DX$4),"-")</f>
        <v>0</v>
      </c>
      <c r="DY190" s="114">
        <f>IFERROR(SUMIFS('01. KE30'!$X:$X,'01. KE30'!$C:$C,'06. BC BH THEO CUSTOMER-USD'!$D190,'01. KE30'!$F:$F,'06. BC BH THEO CUSTOMER-USD'!$H190,'01. KE30'!$A:$A,'06. BC BH THEO CUSTOMER-USD'!DY$4)-SUMIFS('01. KE30'!$AA:$AA,'01. KE30'!$C:$C,'06. BC BH THEO CUSTOMER-USD'!$D190,'01. KE30'!$F:$F,'06. BC BH THEO CUSTOMER-USD'!$H190,'01. KE30'!$A:$A,'06. BC BH THEO CUSTOMER-USD'!DY$4),"-")</f>
        <v>0</v>
      </c>
      <c r="DZ190" s="114">
        <f>IFERROR(SUMIFS('01. KE30'!$X:$X,'01. KE30'!$C:$C,'06. BC BH THEO CUSTOMER-USD'!$D190,'01. KE30'!$F:$F,'06. BC BH THEO CUSTOMER-USD'!$H190,'01. KE30'!$A:$A,'06. BC BH THEO CUSTOMER-USD'!DZ$4)-SUMIFS('01. KE30'!$AA:$AA,'01. KE30'!$C:$C,'06. BC BH THEO CUSTOMER-USD'!$D190,'01. KE30'!$F:$F,'06. BC BH THEO CUSTOMER-USD'!$H190,'01. KE30'!$A:$A,'06. BC BH THEO CUSTOMER-USD'!DZ$4),"-")</f>
        <v>0</v>
      </c>
      <c r="EA190" s="114">
        <f>IFERROR(SUMIFS('01. KE30'!$X:$X,'01. KE30'!$C:$C,'06. BC BH THEO CUSTOMER-USD'!$D190,'01. KE30'!$F:$F,'06. BC BH THEO CUSTOMER-USD'!$H190,'01. KE30'!$A:$A,'06. BC BH THEO CUSTOMER-USD'!EA$4)-SUMIFS('01. KE30'!$AA:$AA,'01. KE30'!$C:$C,'06. BC BH THEO CUSTOMER-USD'!$D190,'01. KE30'!$F:$F,'06. BC BH THEO CUSTOMER-USD'!$H190,'01. KE30'!$A:$A,'06. BC BH THEO CUSTOMER-USD'!EA$4),"-")</f>
        <v>0</v>
      </c>
      <c r="EB190" s="114">
        <f>IFERROR(SUMIFS('01. KE30'!$X:$X,'01. KE30'!$C:$C,'06. BC BH THEO CUSTOMER-USD'!$D190,'01. KE30'!$F:$F,'06. BC BH THEO CUSTOMER-USD'!$H190,'01. KE30'!$A:$A,'06. BC BH THEO CUSTOMER-USD'!EB$4)-SUMIFS('01. KE30'!$AA:$AA,'01. KE30'!$C:$C,'06. BC BH THEO CUSTOMER-USD'!$D190,'01. KE30'!$F:$F,'06. BC BH THEO CUSTOMER-USD'!$H190,'01. KE30'!$A:$A,'06. BC BH THEO CUSTOMER-USD'!EB$4),"-")</f>
        <v>0</v>
      </c>
      <c r="EC190" s="114">
        <f>IFERROR(SUMIFS('01. KE30'!$X:$X,'01. KE30'!$C:$C,'06. BC BH THEO CUSTOMER-USD'!$D190,'01. KE30'!$F:$F,'06. BC BH THEO CUSTOMER-USD'!$H190,'01. KE30'!$A:$A,'06. BC BH THEO CUSTOMER-USD'!EC$4)-SUMIFS('01. KE30'!$AA:$AA,'01. KE30'!$C:$C,'06. BC BH THEO CUSTOMER-USD'!$D190,'01. KE30'!$F:$F,'06. BC BH THEO CUSTOMER-USD'!$H190,'01. KE30'!$A:$A,'06. BC BH THEO CUSTOMER-USD'!EC$4),"-")</f>
        <v>0</v>
      </c>
      <c r="ED190" s="114">
        <f>IFERROR(SUMIFS('01. KE30'!$X:$X,'01. KE30'!$C:$C,'06. BC BH THEO CUSTOMER-USD'!$D190,'01. KE30'!$F:$F,'06. BC BH THEO CUSTOMER-USD'!$H190,'01. KE30'!$A:$A,'06. BC BH THEO CUSTOMER-USD'!ED$4)-SUMIFS('01. KE30'!$AA:$AA,'01. KE30'!$C:$C,'06. BC BH THEO CUSTOMER-USD'!$D190,'01. KE30'!$F:$F,'06. BC BH THEO CUSTOMER-USD'!$H190,'01. KE30'!$A:$A,'06. BC BH THEO CUSTOMER-USD'!ED$4),"-")</f>
        <v>0</v>
      </c>
      <c r="EE190" s="114">
        <f>IFERROR(SUMIFS('01. KE30'!$X:$X,'01. KE30'!$C:$C,'06. BC BH THEO CUSTOMER-USD'!$D190,'01. KE30'!$F:$F,'06. BC BH THEO CUSTOMER-USD'!$H190,'01. KE30'!$A:$A,'06. BC BH THEO CUSTOMER-USD'!EE$4)-SUMIFS('01. KE30'!$AA:$AA,'01. KE30'!$C:$C,'06. BC BH THEO CUSTOMER-USD'!$D190,'01. KE30'!$F:$F,'06. BC BH THEO CUSTOMER-USD'!$H190,'01. KE30'!$A:$A,'06. BC BH THEO CUSTOMER-USD'!EE$4),"-")</f>
        <v>0</v>
      </c>
      <c r="EF190" s="114">
        <f>IFERROR(SUMIFS('01. KE30'!$X:$X,'01. KE30'!$C:$C,'06. BC BH THEO CUSTOMER-USD'!$D190,'01. KE30'!$F:$F,'06. BC BH THEO CUSTOMER-USD'!$H190,'01. KE30'!$A:$A,'06. BC BH THEO CUSTOMER-USD'!EF$4)-SUMIFS('01. KE30'!$AA:$AA,'01. KE30'!$C:$C,'06. BC BH THEO CUSTOMER-USD'!$D190,'01. KE30'!$F:$F,'06. BC BH THEO CUSTOMER-USD'!$H190,'01. KE30'!$A:$A,'06. BC BH THEO CUSTOMER-USD'!EF$4),"-")</f>
        <v>0</v>
      </c>
      <c r="EH190" s="571">
        <f t="shared" si="2172"/>
        <v>-0.49535775416179212</v>
      </c>
      <c r="EI190" s="572" t="str">
        <f t="shared" si="2173"/>
        <v>-</v>
      </c>
      <c r="EJ190" s="572" t="str">
        <f t="shared" si="2174"/>
        <v>-</v>
      </c>
      <c r="EK190" s="572">
        <f t="shared" si="2175"/>
        <v>-0.49535775416179212</v>
      </c>
      <c r="EL190" s="572" t="str">
        <f t="shared" si="2176"/>
        <v>-</v>
      </c>
      <c r="EM190" s="572" t="str">
        <f t="shared" si="2177"/>
        <v>-</v>
      </c>
      <c r="EN190" s="572" t="str">
        <f t="shared" si="2178"/>
        <v>-</v>
      </c>
      <c r="EO190" s="572" t="str">
        <f t="shared" si="2179"/>
        <v>-</v>
      </c>
      <c r="EP190" s="572" t="str">
        <f t="shared" si="2180"/>
        <v>-</v>
      </c>
      <c r="EQ190" s="572" t="str">
        <f t="shared" si="2181"/>
        <v>-</v>
      </c>
      <c r="ER190" s="572" t="str">
        <f t="shared" si="2182"/>
        <v>-</v>
      </c>
      <c r="ES190" s="572" t="str">
        <f t="shared" si="2183"/>
        <v>-</v>
      </c>
      <c r="ET190" s="572" t="str">
        <f t="shared" si="2184"/>
        <v>-</v>
      </c>
    </row>
    <row r="191" spans="1:150" ht="15.5" hidden="1" outlineLevel="1" x14ac:dyDescent="0.35">
      <c r="A191" s="10">
        <f t="shared" si="1266"/>
        <v>17</v>
      </c>
      <c r="B191" s="10" t="s">
        <v>295</v>
      </c>
      <c r="C191" s="442" t="s">
        <v>489</v>
      </c>
      <c r="D191" s="9" t="s">
        <v>637</v>
      </c>
      <c r="E191" s="8" t="s">
        <v>638</v>
      </c>
      <c r="F191" s="12" t="s">
        <v>245</v>
      </c>
      <c r="G191" s="12" t="str">
        <f>_xlfn.XLOOKUP(F191,'Quy đổi'!$G$5:$G$32,'Quy đổi'!$H$5:$H$32,0)</f>
        <v>Nội địa</v>
      </c>
      <c r="H191" s="80" t="s">
        <v>43</v>
      </c>
      <c r="I191" s="7" t="s">
        <v>42</v>
      </c>
      <c r="J191" s="69" t="s">
        <v>22</v>
      </c>
      <c r="K191" s="5"/>
      <c r="L191" s="92">
        <f t="shared" si="2127"/>
        <v>668.39677150412444</v>
      </c>
      <c r="M191" s="106" t="str">
        <f>IFERROR(SUMIFS('01. KE30'!$K:$K,'01. KE30'!$C:$C,'06. BC BH THEO CUSTOMER-USD'!$D191,'01. KE30'!$F:$F,'06. BC BH THEO CUSTOMER-USD'!$H191,'01. KE30'!$A:$A,'06. BC BH THEO CUSTOMER-USD'!M$4)/'06. BC BH THEO CUSTOMER-USD'!CS191/'02. Tỷ giá'!B$5,"-")</f>
        <v>-</v>
      </c>
      <c r="N191" s="106" t="str">
        <f>IFERROR(SUMIFS('01. KE30'!$K:$K,'01. KE30'!$C:$C,'06. BC BH THEO CUSTOMER-USD'!$D191,'01. KE30'!$F:$F,'06. BC BH THEO CUSTOMER-USD'!$H191,'01. KE30'!$A:$A,'06. BC BH THEO CUSTOMER-USD'!N$4)/'06. BC BH THEO CUSTOMER-USD'!CT191/'02. Tỷ giá'!C$5,"-")</f>
        <v>-</v>
      </c>
      <c r="O191" s="106">
        <f>IFERROR(SUMIFS('01. KE30'!$K:$K,'01. KE30'!$C:$C,'06. BC BH THEO CUSTOMER-USD'!$D191,'01. KE30'!$F:$F,'06. BC BH THEO CUSTOMER-USD'!$H191,'01. KE30'!$A:$A,'06. BC BH THEO CUSTOMER-USD'!O$4)/'06. BC BH THEO CUSTOMER-USD'!CU191/'02. Tỷ giá'!D$5,"-")</f>
        <v>674.39486882860012</v>
      </c>
      <c r="P191" s="106" t="str">
        <f>IFERROR(SUMIFS('01. KE30'!$K:$K,'01. KE30'!$C:$C,'06. BC BH THEO CUSTOMER-USD'!$D191,'01. KE30'!$F:$F,'06. BC BH THEO CUSTOMER-USD'!$H191,'01. KE30'!$A:$A,'06. BC BH THEO CUSTOMER-USD'!P$4)/'06. BC BH THEO CUSTOMER-USD'!CV191/'02. Tỷ giá'!E$5,"-")</f>
        <v>-</v>
      </c>
      <c r="Q191" s="106">
        <f>IFERROR(SUMIFS('01. KE30'!$K:$K,'01. KE30'!$C:$C,'06. BC BH THEO CUSTOMER-USD'!$D191,'01. KE30'!$F:$F,'06. BC BH THEO CUSTOMER-USD'!$H191,'01. KE30'!$A:$A,'06. BC BH THEO CUSTOMER-USD'!Q$4)/'06. BC BH THEO CUSTOMER-USD'!CW191/'02. Tỷ giá'!F$5,"-")</f>
        <v>662.39867417964865</v>
      </c>
      <c r="R191" s="106" t="str">
        <f>IFERROR(SUMIFS('01. KE30'!$K:$K,'01. KE30'!$C:$C,'06. BC BH THEO CUSTOMER-USD'!$D191,'01. KE30'!$F:$F,'06. BC BH THEO CUSTOMER-USD'!$H191,'01. KE30'!$A:$A,'06. BC BH THEO CUSTOMER-USD'!R$4)/'06. BC BH THEO CUSTOMER-USD'!CX191/'02. Tỷ giá'!G$5,"-")</f>
        <v>-</v>
      </c>
      <c r="S191" s="106" t="str">
        <f>IFERROR(SUMIFS('01. KE30'!$K:$K,'01. KE30'!$C:$C,'06. BC BH THEO CUSTOMER-USD'!$D191,'01. KE30'!$F:$F,'06. BC BH THEO CUSTOMER-USD'!$H191,'01. KE30'!$A:$A,'06. BC BH THEO CUSTOMER-USD'!S$4)/'06. BC BH THEO CUSTOMER-USD'!CY191/'02. Tỷ giá'!H$5,"-")</f>
        <v>-</v>
      </c>
      <c r="T191" s="106" t="str">
        <f>IFERROR(SUMIFS('01. KE30'!$K:$K,'01. KE30'!$C:$C,'06. BC BH THEO CUSTOMER-USD'!$D191,'01. KE30'!$F:$F,'06. BC BH THEO CUSTOMER-USD'!$H191,'01. KE30'!$A:$A,'06. BC BH THEO CUSTOMER-USD'!T$4)/'06. BC BH THEO CUSTOMER-USD'!CZ191/'02. Tỷ giá'!I$5,"-")</f>
        <v>-</v>
      </c>
      <c r="U191" s="106" t="str">
        <f>IFERROR(SUMIFS('01. KE30'!$K:$K,'01. KE30'!$C:$C,'06. BC BH THEO CUSTOMER-USD'!$D191,'01. KE30'!$F:$F,'06. BC BH THEO CUSTOMER-USD'!$H191,'01. KE30'!$A:$A,'06. BC BH THEO CUSTOMER-USD'!U$4)/'06. BC BH THEO CUSTOMER-USD'!DA191/'02. Tỷ giá'!J$5,"-")</f>
        <v>-</v>
      </c>
      <c r="V191" s="106" t="str">
        <f>IFERROR(SUMIFS('01. KE30'!$K:$K,'01. KE30'!$C:$C,'06. BC BH THEO CUSTOMER-USD'!$D191,'01. KE30'!$F:$F,'06. BC BH THEO CUSTOMER-USD'!$H191,'01. KE30'!$A:$A,'06. BC BH THEO CUSTOMER-USD'!V$4)/'06. BC BH THEO CUSTOMER-USD'!DB191/'02. Tỷ giá'!K$5,"-")</f>
        <v>-</v>
      </c>
      <c r="W191" s="106" t="str">
        <f>IFERROR(SUMIFS('01. KE30'!$K:$K,'01. KE30'!$C:$C,'06. BC BH THEO CUSTOMER-USD'!$D191,'01. KE30'!$F:$F,'06. BC BH THEO CUSTOMER-USD'!$H191,'01. KE30'!$A:$A,'06. BC BH THEO CUSTOMER-USD'!W$4)/'06. BC BH THEO CUSTOMER-USD'!DC191/'02. Tỷ giá'!L$5,"-")</f>
        <v>-</v>
      </c>
      <c r="X191" s="106" t="str">
        <f>IFERROR(SUMIFS('01. KE30'!$K:$K,'01. KE30'!$C:$C,'06. BC BH THEO CUSTOMER-USD'!$D191,'01. KE30'!$F:$F,'06. BC BH THEO CUSTOMER-USD'!$H191,'01. KE30'!$A:$A,'06. BC BH THEO CUSTOMER-USD'!X$4)/'06. BC BH THEO CUSTOMER-USD'!DD191/'02. Tỷ giá'!M$5,"-")</f>
        <v>-</v>
      </c>
      <c r="Z191" s="92">
        <f t="shared" si="2128"/>
        <v>630.82809240620088</v>
      </c>
      <c r="AA191" s="147" t="str">
        <f>IFERROR(SUMIFS('01. KE30'!$O:$O,'01. KE30'!$C:$C,'06. BC BH THEO CUSTOMER-USD'!$D191,'01. KE30'!$F:$F,'06. BC BH THEO CUSTOMER-USD'!$H191,'01. KE30'!$A:$A,'06. BC BH THEO CUSTOMER-USD'!M$4)/'06. BC BH THEO CUSTOMER-USD'!CS191/'02. Tỷ giá'!B$5,"-")</f>
        <v>-</v>
      </c>
      <c r="AB191" s="147" t="str">
        <f>IFERROR(SUMIFS('01. KE30'!$O:$O,'01. KE30'!$C:$C,'06. BC BH THEO CUSTOMER-USD'!$D191,'01. KE30'!$F:$F,'06. BC BH THEO CUSTOMER-USD'!$H191,'01. KE30'!$A:$A,'06. BC BH THEO CUSTOMER-USD'!N$4)/'06. BC BH THEO CUSTOMER-USD'!CT191/'02. Tỷ giá'!C$5,"-")</f>
        <v>-</v>
      </c>
      <c r="AC191" s="147">
        <f>IFERROR(SUMIFS('01. KE30'!$O:$O,'01. KE30'!$C:$C,'06. BC BH THEO CUSTOMER-USD'!$D191,'01. KE30'!$F:$F,'06. BC BH THEO CUSTOMER-USD'!$H191,'01. KE30'!$A:$A,'06. BC BH THEO CUSTOMER-USD'!O$4)/'06. BC BH THEO CUSTOMER-USD'!CU191/'02. Tỷ giá'!D$5,"-")</f>
        <v>637.92727088023958</v>
      </c>
      <c r="AD191" s="147" t="str">
        <f>IFERROR(SUMIFS('01. KE30'!$O:$O,'01. KE30'!$C:$C,'06. BC BH THEO CUSTOMER-USD'!$D191,'01. KE30'!$F:$F,'06. BC BH THEO CUSTOMER-USD'!$H191,'01. KE30'!$A:$A,'06. BC BH THEO CUSTOMER-USD'!P$4)/'06. BC BH THEO CUSTOMER-USD'!CV191/'02. Tỷ giá'!E$5,"-")</f>
        <v>-</v>
      </c>
      <c r="AE191" s="147">
        <f>IFERROR(SUMIFS('01. KE30'!$O:$O,'01. KE30'!$C:$C,'06. BC BH THEO CUSTOMER-USD'!$D191,'01. KE30'!$F:$F,'06. BC BH THEO CUSTOMER-USD'!$H191,'01. KE30'!$A:$A,'06. BC BH THEO CUSTOMER-USD'!Q$4)/'06. BC BH THEO CUSTOMER-USD'!CW191/'02. Tỷ giá'!F$5,"-")</f>
        <v>623.72891393216219</v>
      </c>
      <c r="AF191" s="147" t="str">
        <f>IFERROR(SUMIFS('01. KE30'!$O:$O,'01. KE30'!$C:$C,'06. BC BH THEO CUSTOMER-USD'!$D191,'01. KE30'!$F:$F,'06. BC BH THEO CUSTOMER-USD'!$H191,'01. KE30'!$A:$A,'06. BC BH THEO CUSTOMER-USD'!R$4)/'06. BC BH THEO CUSTOMER-USD'!CX191/'02. Tỷ giá'!G$5,"-")</f>
        <v>-</v>
      </c>
      <c r="AG191" s="147" t="str">
        <f>IFERROR(SUMIFS('01. KE30'!$O:$O,'01. KE30'!$C:$C,'06. BC BH THEO CUSTOMER-USD'!$D191,'01. KE30'!$F:$F,'06. BC BH THEO CUSTOMER-USD'!$H191,'01. KE30'!$A:$A,'06. BC BH THEO CUSTOMER-USD'!S$4)/'06. BC BH THEO CUSTOMER-USD'!CY191/'02. Tỷ giá'!H$5,"-")</f>
        <v>-</v>
      </c>
      <c r="AH191" s="147" t="str">
        <f>IFERROR(SUMIFS('01. KE30'!$O:$O,'01. KE30'!$C:$C,'06. BC BH THEO CUSTOMER-USD'!$D191,'01. KE30'!$F:$F,'06. BC BH THEO CUSTOMER-USD'!$H191,'01. KE30'!$A:$A,'06. BC BH THEO CUSTOMER-USD'!T$4)/'06. BC BH THEO CUSTOMER-USD'!CZ191/'02. Tỷ giá'!I$5,"-")</f>
        <v>-</v>
      </c>
      <c r="AI191" s="147" t="str">
        <f>IFERROR(SUMIFS('01. KE30'!$O:$O,'01. KE30'!$C:$C,'06. BC BH THEO CUSTOMER-USD'!$D191,'01. KE30'!$F:$F,'06. BC BH THEO CUSTOMER-USD'!$H191,'01. KE30'!$A:$A,'06. BC BH THEO CUSTOMER-USD'!U$4)/'06. BC BH THEO CUSTOMER-USD'!DA191/'02. Tỷ giá'!J$5,"-")</f>
        <v>-</v>
      </c>
      <c r="AJ191" s="147" t="str">
        <f>IFERROR(SUMIFS('01. KE30'!$O:$O,'01. KE30'!$C:$C,'06. BC BH THEO CUSTOMER-USD'!$D191,'01. KE30'!$F:$F,'06. BC BH THEO CUSTOMER-USD'!$H191,'01. KE30'!$A:$A,'06. BC BH THEO CUSTOMER-USD'!V$4)/'06. BC BH THEO CUSTOMER-USD'!DB191/'02. Tỷ giá'!K$5,"-")</f>
        <v>-</v>
      </c>
      <c r="AK191" s="147" t="str">
        <f>IFERROR(SUMIFS('01. KE30'!$O:$O,'01. KE30'!$C:$C,'06. BC BH THEO CUSTOMER-USD'!$D191,'01. KE30'!$F:$F,'06. BC BH THEO CUSTOMER-USD'!$H191,'01. KE30'!$A:$A,'06. BC BH THEO CUSTOMER-USD'!W$4)/'06. BC BH THEO CUSTOMER-USD'!DC191/'02. Tỷ giá'!L$5,"-")</f>
        <v>-</v>
      </c>
      <c r="AL191" s="147" t="str">
        <f>IFERROR(SUMIFS('01. KE30'!$O:$O,'01. KE30'!$C:$C,'06. BC BH THEO CUSTOMER-USD'!$D191,'01. KE30'!$F:$F,'06. BC BH THEO CUSTOMER-USD'!$H191,'01. KE30'!$A:$A,'06. BC BH THEO CUSTOMER-USD'!X$4)/'06. BC BH THEO CUSTOMER-USD'!DD191/'02. Tỷ giá'!M$5,"-")</f>
        <v>-</v>
      </c>
      <c r="AN191" s="92">
        <f t="shared" si="2129"/>
        <v>740.55555555555554</v>
      </c>
      <c r="AO191" s="4">
        <v>855</v>
      </c>
      <c r="AP191" s="4">
        <v>750</v>
      </c>
      <c r="AQ191" s="4">
        <v>750</v>
      </c>
      <c r="AR191" s="4">
        <v>750</v>
      </c>
      <c r="AS191" s="4">
        <v>720</v>
      </c>
      <c r="AT191" s="4">
        <v>720</v>
      </c>
      <c r="AU191" s="4">
        <v>720</v>
      </c>
      <c r="AV191" s="4">
        <f t="shared" si="1272"/>
        <v>700</v>
      </c>
      <c r="AW191" s="4">
        <v>700</v>
      </c>
      <c r="AX191" s="4"/>
      <c r="AY191" s="4"/>
      <c r="AZ191" s="4"/>
      <c r="BB191" s="95">
        <f t="shared" si="2130"/>
        <v>-109.72746314935466</v>
      </c>
      <c r="BC191" s="95" t="str">
        <f t="shared" si="2131"/>
        <v>-</v>
      </c>
      <c r="BD191" s="95" t="str">
        <f t="shared" si="2132"/>
        <v>-</v>
      </c>
      <c r="BE191" s="95">
        <f t="shared" si="2133"/>
        <v>-112.07272911976042</v>
      </c>
      <c r="BF191" s="95" t="str">
        <f t="shared" si="2134"/>
        <v>-</v>
      </c>
      <c r="BG191" s="95">
        <f t="shared" si="2135"/>
        <v>-96.271086067837814</v>
      </c>
      <c r="BH191" s="95" t="str">
        <f t="shared" si="2136"/>
        <v>-</v>
      </c>
      <c r="BI191" s="95" t="str">
        <f t="shared" si="2137"/>
        <v>-</v>
      </c>
      <c r="BJ191" s="95" t="str">
        <f t="shared" si="2138"/>
        <v>-</v>
      </c>
      <c r="BK191" s="95" t="str">
        <f t="shared" si="2139"/>
        <v>-</v>
      </c>
      <c r="BL191" s="95" t="str">
        <f t="shared" si="2140"/>
        <v>-</v>
      </c>
      <c r="BM191" s="95" t="str">
        <f t="shared" si="2141"/>
        <v>-</v>
      </c>
      <c r="BN191" s="95" t="str">
        <f t="shared" si="2142"/>
        <v>-</v>
      </c>
      <c r="BP191" s="143">
        <f t="shared" si="2143"/>
        <v>-0.14816911753101156</v>
      </c>
      <c r="BQ191" s="143" t="str">
        <f t="shared" si="2144"/>
        <v>-</v>
      </c>
      <c r="BR191" s="143" t="str">
        <f t="shared" si="2145"/>
        <v>-</v>
      </c>
      <c r="BS191" s="143">
        <f t="shared" si="2146"/>
        <v>-0.14943030549301389</v>
      </c>
      <c r="BT191" s="143" t="str">
        <f t="shared" si="2147"/>
        <v>-</v>
      </c>
      <c r="BU191" s="143">
        <f t="shared" si="2148"/>
        <v>-0.13370984176088585</v>
      </c>
      <c r="BV191" s="143" t="str">
        <f t="shared" si="2149"/>
        <v>-</v>
      </c>
      <c r="BW191" s="143" t="str">
        <f t="shared" si="2150"/>
        <v>-</v>
      </c>
      <c r="BX191" s="143" t="str">
        <f t="shared" si="2151"/>
        <v>-</v>
      </c>
      <c r="BY191" s="143" t="str">
        <f t="shared" si="2152"/>
        <v>-</v>
      </c>
      <c r="BZ191" s="143" t="str">
        <f t="shared" si="2153"/>
        <v>-</v>
      </c>
      <c r="CA191" s="143" t="str">
        <f t="shared" si="2154"/>
        <v>-</v>
      </c>
      <c r="CB191" s="143" t="str">
        <f t="shared" si="2155"/>
        <v>-</v>
      </c>
      <c r="CD191" s="112">
        <f t="shared" si="2156"/>
        <v>976.48042563902959</v>
      </c>
      <c r="CE191" s="95" t="str">
        <f>IFERROR(SUMIFS('01. KE30'!$R:$R,'01. KE30'!$C:$C,'06. BC BH THEO CUSTOMER-USD'!$D191,'01. KE30'!$F:$F,'06. BC BH THEO CUSTOMER-USD'!$H191,'01. KE30'!$A:$A,'06. BC BH THEO CUSTOMER-USD'!CE$4)/CS191/'02. Tỷ giá'!B$5," -")</f>
        <v xml:space="preserve"> -</v>
      </c>
      <c r="CF191" s="95" t="str">
        <f>IFERROR(SUMIFS('01. KE30'!$R:$R,'01. KE30'!$C:$C,'06. BC BH THEO CUSTOMER-USD'!$D191,'01. KE30'!$F:$F,'06. BC BH THEO CUSTOMER-USD'!$H191,'01. KE30'!$A:$A,'06. BC BH THEO CUSTOMER-USD'!CF$4)/CT191/'02. Tỷ giá'!C$5," -")</f>
        <v xml:space="preserve"> -</v>
      </c>
      <c r="CG191" s="95">
        <f>IFERROR(SUMIFS('01. KE30'!$R:$R,'01. KE30'!$C:$C,'06. BC BH THEO CUSTOMER-USD'!$D191,'01. KE30'!$F:$F,'06. BC BH THEO CUSTOMER-USD'!$H191,'01. KE30'!$A:$A,'06. BC BH THEO CUSTOMER-USD'!CG$4)/CU191/'02. Tỷ giá'!D$5," -")</f>
        <v>983.85560323916843</v>
      </c>
      <c r="CH191" s="95" t="str">
        <f>IFERROR(SUMIFS('01. KE30'!$R:$R,'01. KE30'!$C:$C,'06. BC BH THEO CUSTOMER-USD'!$D191,'01. KE30'!$F:$F,'06. BC BH THEO CUSTOMER-USD'!$H191,'01. KE30'!$A:$A,'06. BC BH THEO CUSTOMER-USD'!CH$4)/CV191/'02. Tỷ giá'!E$5," -")</f>
        <v xml:space="preserve"> -</v>
      </c>
      <c r="CI191" s="95">
        <f>IFERROR(SUMIFS('01. KE30'!$R:$R,'01. KE30'!$C:$C,'06. BC BH THEO CUSTOMER-USD'!$D191,'01. KE30'!$F:$F,'06. BC BH THEO CUSTOMER-USD'!$H191,'01. KE30'!$A:$A,'06. BC BH THEO CUSTOMER-USD'!CI$4)/CW191/'02. Tỷ giá'!F$5," -")</f>
        <v>969.10524803889064</v>
      </c>
      <c r="CJ191" s="95" t="str">
        <f>IFERROR(SUMIFS('01. KE30'!$R:$R,'01. KE30'!$C:$C,'06. BC BH THEO CUSTOMER-USD'!$D191,'01. KE30'!$F:$F,'06. BC BH THEO CUSTOMER-USD'!$H191,'01. KE30'!$A:$A,'06. BC BH THEO CUSTOMER-USD'!CJ$4)/CX191/'02. Tỷ giá'!G$5," -")</f>
        <v xml:space="preserve"> -</v>
      </c>
      <c r="CK191" s="95" t="str">
        <f>IFERROR(SUMIFS('01. KE30'!$R:$R,'01. KE30'!$C:$C,'06. BC BH THEO CUSTOMER-USD'!$D191,'01. KE30'!$F:$F,'06. BC BH THEO CUSTOMER-USD'!$H191,'01. KE30'!$A:$A,'06. BC BH THEO CUSTOMER-USD'!CK$4)/CY191/'02. Tỷ giá'!H$5," -")</f>
        <v xml:space="preserve"> -</v>
      </c>
      <c r="CL191" s="95" t="str">
        <f>IFERROR(SUMIFS('01. KE30'!$R:$R,'01. KE30'!$C:$C,'06. BC BH THEO CUSTOMER-USD'!$D191,'01. KE30'!$F:$F,'06. BC BH THEO CUSTOMER-USD'!$H191,'01. KE30'!$A:$A,'06. BC BH THEO CUSTOMER-USD'!CL$4)/CZ191/'02. Tỷ giá'!I$5," -")</f>
        <v xml:space="preserve"> -</v>
      </c>
      <c r="CM191" s="95" t="str">
        <f>IFERROR(SUMIFS('01. KE30'!$R:$R,'01. KE30'!$C:$C,'06. BC BH THEO CUSTOMER-USD'!$D191,'01. KE30'!$F:$F,'06. BC BH THEO CUSTOMER-USD'!$H191,'01. KE30'!$A:$A,'06. BC BH THEO CUSTOMER-USD'!CM$4)/DA191/'02. Tỷ giá'!J$5," -")</f>
        <v xml:space="preserve"> -</v>
      </c>
      <c r="CN191" s="95" t="str">
        <f>IFERROR(SUMIFS('01. KE30'!$R:$R,'01. KE30'!$C:$C,'06. BC BH THEO CUSTOMER-USD'!$D191,'01. KE30'!$F:$F,'06. BC BH THEO CUSTOMER-USD'!$H191,'01. KE30'!$A:$A,'06. BC BH THEO CUSTOMER-USD'!CN$4)/DB191/'02. Tỷ giá'!K$5," -")</f>
        <v xml:space="preserve"> -</v>
      </c>
      <c r="CO191" s="95" t="str">
        <f>IFERROR(SUMIFS('01. KE30'!$R:$R,'01. KE30'!$C:$C,'06. BC BH THEO CUSTOMER-USD'!$D191,'01. KE30'!$F:$F,'06. BC BH THEO CUSTOMER-USD'!$H191,'01. KE30'!$A:$A,'06. BC BH THEO CUSTOMER-USD'!CO$4)/DC191/'02. Tỷ giá'!L$5," -")</f>
        <v xml:space="preserve"> -</v>
      </c>
      <c r="CP191" s="95" t="str">
        <f>IFERROR(SUMIFS('01. KE30'!$R:$R,'01. KE30'!$C:$C,'06. BC BH THEO CUSTOMER-USD'!$D191,'01. KE30'!$F:$F,'06. BC BH THEO CUSTOMER-USD'!$H191,'01. KE30'!$A:$A,'06. BC BH THEO CUSTOMER-USD'!CP$4)/DD191/'02. Tỷ giá'!M$5," -")</f>
        <v xml:space="preserve"> -</v>
      </c>
      <c r="CR191" s="112">
        <f t="shared" si="2157"/>
        <v>15.8</v>
      </c>
      <c r="CS191" s="114">
        <f>SUMIFS('01. KE30'!$I:$I,'01. KE30'!$C:$C,'06. BC BH THEO CUSTOMER-USD'!$D191,'01. KE30'!$F:$F,'06. BC BH THEO CUSTOMER-USD'!$H191,'01. KE30'!$A:$A,'06. BC BH THEO CUSTOMER-USD'!CS$4)/1000</f>
        <v>0</v>
      </c>
      <c r="CT191" s="114">
        <f>SUMIFS('01. KE30'!$I:$I,'01. KE30'!$C:$C,'06. BC BH THEO CUSTOMER-USD'!$D191,'01. KE30'!$F:$F,'06. BC BH THEO CUSTOMER-USD'!$H191,'01. KE30'!$A:$A,'06. BC BH THEO CUSTOMER-USD'!CT$4)/1000</f>
        <v>0</v>
      </c>
      <c r="CU191" s="114">
        <f>SUMIFS('01. KE30'!$I:$I,'01. KE30'!$C:$C,'06. BC BH THEO CUSTOMER-USD'!$D191,'01. KE30'!$F:$F,'06. BC BH THEO CUSTOMER-USD'!$H191,'01. KE30'!$A:$A,'06. BC BH THEO CUSTOMER-USD'!CU$4)/1000</f>
        <v>10.55</v>
      </c>
      <c r="CV191" s="114">
        <f>SUMIFS('01. KE30'!$I:$I,'01. KE30'!$C:$C,'06. BC BH THEO CUSTOMER-USD'!$D191,'01. KE30'!$F:$F,'06. BC BH THEO CUSTOMER-USD'!$H191,'01. KE30'!$A:$A,'06. BC BH THEO CUSTOMER-USD'!CV$4)/1000</f>
        <v>0</v>
      </c>
      <c r="CW191" s="114">
        <f>SUMIFS('01. KE30'!$I:$I,'01. KE30'!$C:$C,'06. BC BH THEO CUSTOMER-USD'!$D191,'01. KE30'!$F:$F,'06. BC BH THEO CUSTOMER-USD'!$H191,'01. KE30'!$A:$A,'06. BC BH THEO CUSTOMER-USD'!CW$4)/1000</f>
        <v>5.25</v>
      </c>
      <c r="CX191" s="114">
        <f>SUMIFS('01. KE30'!$I:$I,'01. KE30'!$C:$C,'06. BC BH THEO CUSTOMER-USD'!$D191,'01. KE30'!$F:$F,'06. BC BH THEO CUSTOMER-USD'!$H191,'01. KE30'!$A:$A,'06. BC BH THEO CUSTOMER-USD'!CX$4)/1000</f>
        <v>0</v>
      </c>
      <c r="CY191" s="114">
        <f>SUMIFS('01. KE30'!$I:$I,'01. KE30'!$C:$C,'06. BC BH THEO CUSTOMER-USD'!$D191,'01. KE30'!$F:$F,'06. BC BH THEO CUSTOMER-USD'!$H191,'01. KE30'!$A:$A,'06. BC BH THEO CUSTOMER-USD'!CY$4)/1000</f>
        <v>0</v>
      </c>
      <c r="CZ191" s="114">
        <f>SUMIFS('01. KE30'!$I:$I,'01. KE30'!$C:$C,'06. BC BH THEO CUSTOMER-USD'!$D191,'01. KE30'!$F:$F,'06. BC BH THEO CUSTOMER-USD'!$H191,'01. KE30'!$A:$A,'06. BC BH THEO CUSTOMER-USD'!CZ$4)/1000</f>
        <v>0</v>
      </c>
      <c r="DA191" s="114">
        <f>SUMIFS('01. KE30'!$I:$I,'01. KE30'!$C:$C,'06. BC BH THEO CUSTOMER-USD'!$D191,'01. KE30'!$F:$F,'06. BC BH THEO CUSTOMER-USD'!$H191,'01. KE30'!$A:$A,'06. BC BH THEO CUSTOMER-USD'!DA$4)/1000</f>
        <v>0</v>
      </c>
      <c r="DB191" s="114">
        <f>SUMIFS('01. KE30'!$I:$I,'01. KE30'!$C:$C,'06. BC BH THEO CUSTOMER-USD'!$D191,'01. KE30'!$F:$F,'06. BC BH THEO CUSTOMER-USD'!$H191,'01. KE30'!$A:$A,'06. BC BH THEO CUSTOMER-USD'!DB$4)/1000</f>
        <v>0</v>
      </c>
      <c r="DC191" s="114">
        <f>SUMIFS('01. KE30'!$I:$I,'01. KE30'!$C:$C,'06. BC BH THEO CUSTOMER-USD'!$D191,'01. KE30'!$F:$F,'06. BC BH THEO CUSTOMER-USD'!$H191,'01. KE30'!$A:$A,'06. BC BH THEO CUSTOMER-USD'!DC$4)/1000</f>
        <v>0</v>
      </c>
      <c r="DD191" s="114">
        <f>SUMIFS('01. KE30'!$I:$I,'01. KE30'!$C:$C,'06. BC BH THEO CUSTOMER-USD'!$D191,'01. KE30'!$F:$F,'06. BC BH THEO CUSTOMER-USD'!$H191,'01. KE30'!$A:$A,'06. BC BH THEO CUSTOMER-USD'!DD$4)/1000</f>
        <v>0</v>
      </c>
      <c r="DF191" s="112">
        <f t="shared" si="2158"/>
        <v>10592.458905584888</v>
      </c>
      <c r="DG191" s="54" t="str">
        <f t="shared" si="2159"/>
        <v>-</v>
      </c>
      <c r="DH191" s="54" t="str">
        <f t="shared" si="2160"/>
        <v>-</v>
      </c>
      <c r="DI191" s="54">
        <f t="shared" si="2161"/>
        <v>7114.8658661417321</v>
      </c>
      <c r="DJ191" s="54" t="str">
        <f t="shared" si="2162"/>
        <v>-</v>
      </c>
      <c r="DK191" s="54">
        <f t="shared" si="2163"/>
        <v>3477.5930394431552</v>
      </c>
      <c r="DL191" s="54" t="str">
        <f t="shared" si="2164"/>
        <v>-</v>
      </c>
      <c r="DM191" s="54" t="str">
        <f t="shared" si="2165"/>
        <v>-</v>
      </c>
      <c r="DN191" s="54" t="str">
        <f t="shared" si="2166"/>
        <v>-</v>
      </c>
      <c r="DO191" s="54" t="str">
        <f t="shared" si="2167"/>
        <v>-</v>
      </c>
      <c r="DP191" s="54" t="str">
        <f t="shared" si="2168"/>
        <v>-</v>
      </c>
      <c r="DQ191" s="54" t="str">
        <f t="shared" si="2169"/>
        <v>-</v>
      </c>
      <c r="DR191" s="54" t="str">
        <f t="shared" si="2170"/>
        <v>-</v>
      </c>
      <c r="DT191" s="112">
        <f t="shared" si="2171"/>
        <v>-5462.7696604470239</v>
      </c>
      <c r="DU191" s="114">
        <f>IFERROR(SUMIFS('01. KE30'!$X:$X,'01. KE30'!$C:$C,'06. BC BH THEO CUSTOMER-USD'!$D191,'01. KE30'!$F:$F,'06. BC BH THEO CUSTOMER-USD'!$H191,'01. KE30'!$A:$A,'06. BC BH THEO CUSTOMER-USD'!DU$4)-SUMIFS('01. KE30'!$AA:$AA,'01. KE30'!$C:$C,'06. BC BH THEO CUSTOMER-USD'!$D191,'01. KE30'!$F:$F,'06. BC BH THEO CUSTOMER-USD'!$H191,'01. KE30'!$A:$A,'06. BC BH THEO CUSTOMER-USD'!DU$4),"-")</f>
        <v>0</v>
      </c>
      <c r="DV191" s="114">
        <f>IFERROR(SUMIFS('01. KE30'!$X:$X,'01. KE30'!$C:$C,'06. BC BH THEO CUSTOMER-USD'!$D191,'01. KE30'!$F:$F,'06. BC BH THEO CUSTOMER-USD'!$H191,'01. KE30'!$A:$A,'06. BC BH THEO CUSTOMER-USD'!DV$4)-SUMIFS('01. KE30'!$AA:$AA,'01. KE30'!$C:$C,'06. BC BH THEO CUSTOMER-USD'!$D191,'01. KE30'!$F:$F,'06. BC BH THEO CUSTOMER-USD'!$H191,'01. KE30'!$A:$A,'06. BC BH THEO CUSTOMER-USD'!DV$4),"-")</f>
        <v>0</v>
      </c>
      <c r="DW191" s="114">
        <f>IFERROR(SUMIFS('01. KE30'!$X:$X,'01. KE30'!$C:$C,'06. BC BH THEO CUSTOMER-USD'!$D191,'01. KE30'!$F:$F,'06. BC BH THEO CUSTOMER-USD'!$H191,'01. KE30'!$A:$A,'06. BC BH THEO CUSTOMER-USD'!DW$4)-SUMIFS('01. KE30'!$AA:$AA,'01. KE30'!$C:$C,'06. BC BH THEO CUSTOMER-USD'!$D191,'01. KE30'!$F:$F,'06. BC BH THEO CUSTOMER-USD'!$H191,'01. KE30'!$A:$A,'06. BC BH THEO CUSTOMER-USD'!DW$4),"-")</f>
        <v>-3649.5439063866997</v>
      </c>
      <c r="DX191" s="114">
        <f>IFERROR(SUMIFS('01. KE30'!$X:$X,'01. KE30'!$C:$C,'06. BC BH THEO CUSTOMER-USD'!$D191,'01. KE30'!$F:$F,'06. BC BH THEO CUSTOMER-USD'!$H191,'01. KE30'!$A:$A,'06. BC BH THEO CUSTOMER-USD'!DX$4)-SUMIFS('01. KE30'!$AA:$AA,'01. KE30'!$C:$C,'06. BC BH THEO CUSTOMER-USD'!$D191,'01. KE30'!$F:$F,'06. BC BH THEO CUSTOMER-USD'!$H191,'01. KE30'!$A:$A,'06. BC BH THEO CUSTOMER-USD'!DX$4),"-")</f>
        <v>0</v>
      </c>
      <c r="DY191" s="114">
        <f>IFERROR(SUMIFS('01. KE30'!$X:$X,'01. KE30'!$C:$C,'06. BC BH THEO CUSTOMER-USD'!$D191,'01. KE30'!$F:$F,'06. BC BH THEO CUSTOMER-USD'!$H191,'01. KE30'!$A:$A,'06. BC BH THEO CUSTOMER-USD'!DY$4)-SUMIFS('01. KE30'!$AA:$AA,'01. KE30'!$C:$C,'06. BC BH THEO CUSTOMER-USD'!$D191,'01. KE30'!$F:$F,'06. BC BH THEO CUSTOMER-USD'!$H191,'01. KE30'!$A:$A,'06. BC BH THEO CUSTOMER-USD'!DY$4),"-")</f>
        <v>-1813.2257540603246</v>
      </c>
      <c r="DZ191" s="114">
        <f>IFERROR(SUMIFS('01. KE30'!$X:$X,'01. KE30'!$C:$C,'06. BC BH THEO CUSTOMER-USD'!$D191,'01. KE30'!$F:$F,'06. BC BH THEO CUSTOMER-USD'!$H191,'01. KE30'!$A:$A,'06. BC BH THEO CUSTOMER-USD'!DZ$4)-SUMIFS('01. KE30'!$AA:$AA,'01. KE30'!$C:$C,'06. BC BH THEO CUSTOMER-USD'!$D191,'01. KE30'!$F:$F,'06. BC BH THEO CUSTOMER-USD'!$H191,'01. KE30'!$A:$A,'06. BC BH THEO CUSTOMER-USD'!DZ$4),"-")</f>
        <v>0</v>
      </c>
      <c r="EA191" s="114">
        <f>IFERROR(SUMIFS('01. KE30'!$X:$X,'01. KE30'!$C:$C,'06. BC BH THEO CUSTOMER-USD'!$D191,'01. KE30'!$F:$F,'06. BC BH THEO CUSTOMER-USD'!$H191,'01. KE30'!$A:$A,'06. BC BH THEO CUSTOMER-USD'!EA$4)-SUMIFS('01. KE30'!$AA:$AA,'01. KE30'!$C:$C,'06. BC BH THEO CUSTOMER-USD'!$D191,'01. KE30'!$F:$F,'06. BC BH THEO CUSTOMER-USD'!$H191,'01. KE30'!$A:$A,'06. BC BH THEO CUSTOMER-USD'!EA$4),"-")</f>
        <v>0</v>
      </c>
      <c r="EB191" s="114">
        <f>IFERROR(SUMIFS('01. KE30'!$X:$X,'01. KE30'!$C:$C,'06. BC BH THEO CUSTOMER-USD'!$D191,'01. KE30'!$F:$F,'06. BC BH THEO CUSTOMER-USD'!$H191,'01. KE30'!$A:$A,'06. BC BH THEO CUSTOMER-USD'!EB$4)-SUMIFS('01. KE30'!$AA:$AA,'01. KE30'!$C:$C,'06. BC BH THEO CUSTOMER-USD'!$D191,'01. KE30'!$F:$F,'06. BC BH THEO CUSTOMER-USD'!$H191,'01. KE30'!$A:$A,'06. BC BH THEO CUSTOMER-USD'!EB$4),"-")</f>
        <v>0</v>
      </c>
      <c r="EC191" s="114">
        <f>IFERROR(SUMIFS('01. KE30'!$X:$X,'01. KE30'!$C:$C,'06. BC BH THEO CUSTOMER-USD'!$D191,'01. KE30'!$F:$F,'06. BC BH THEO CUSTOMER-USD'!$H191,'01. KE30'!$A:$A,'06. BC BH THEO CUSTOMER-USD'!EC$4)-SUMIFS('01. KE30'!$AA:$AA,'01. KE30'!$C:$C,'06. BC BH THEO CUSTOMER-USD'!$D191,'01. KE30'!$F:$F,'06. BC BH THEO CUSTOMER-USD'!$H191,'01. KE30'!$A:$A,'06. BC BH THEO CUSTOMER-USD'!EC$4),"-")</f>
        <v>0</v>
      </c>
      <c r="ED191" s="114">
        <f>IFERROR(SUMIFS('01. KE30'!$X:$X,'01. KE30'!$C:$C,'06. BC BH THEO CUSTOMER-USD'!$D191,'01. KE30'!$F:$F,'06. BC BH THEO CUSTOMER-USD'!$H191,'01. KE30'!$A:$A,'06. BC BH THEO CUSTOMER-USD'!ED$4)-SUMIFS('01. KE30'!$AA:$AA,'01. KE30'!$C:$C,'06. BC BH THEO CUSTOMER-USD'!$D191,'01. KE30'!$F:$F,'06. BC BH THEO CUSTOMER-USD'!$H191,'01. KE30'!$A:$A,'06. BC BH THEO CUSTOMER-USD'!ED$4),"-")</f>
        <v>0</v>
      </c>
      <c r="EE191" s="114">
        <f>IFERROR(SUMIFS('01. KE30'!$X:$X,'01. KE30'!$C:$C,'06. BC BH THEO CUSTOMER-USD'!$D191,'01. KE30'!$F:$F,'06. BC BH THEO CUSTOMER-USD'!$H191,'01. KE30'!$A:$A,'06. BC BH THEO CUSTOMER-USD'!EE$4)-SUMIFS('01. KE30'!$AA:$AA,'01. KE30'!$C:$C,'06. BC BH THEO CUSTOMER-USD'!$D191,'01. KE30'!$F:$F,'06. BC BH THEO CUSTOMER-USD'!$H191,'01. KE30'!$A:$A,'06. BC BH THEO CUSTOMER-USD'!EE$4),"-")</f>
        <v>0</v>
      </c>
      <c r="EF191" s="114">
        <f>IFERROR(SUMIFS('01. KE30'!$X:$X,'01. KE30'!$C:$C,'06. BC BH THEO CUSTOMER-USD'!$D191,'01. KE30'!$F:$F,'06. BC BH THEO CUSTOMER-USD'!$H191,'01. KE30'!$A:$A,'06. BC BH THEO CUSTOMER-USD'!EF$4)-SUMIFS('01. KE30'!$AA:$AA,'01. KE30'!$C:$C,'06. BC BH THEO CUSTOMER-USD'!$D191,'01. KE30'!$F:$F,'06. BC BH THEO CUSTOMER-USD'!$H191,'01. KE30'!$A:$A,'06. BC BH THEO CUSTOMER-USD'!EF$4),"-")</f>
        <v>0</v>
      </c>
      <c r="EH191" s="571">
        <f t="shared" si="2172"/>
        <v>-0.51572252572693689</v>
      </c>
      <c r="EI191" s="572" t="str">
        <f t="shared" si="2173"/>
        <v>-</v>
      </c>
      <c r="EJ191" s="572" t="str">
        <f t="shared" si="2174"/>
        <v>-</v>
      </c>
      <c r="EK191" s="572">
        <f t="shared" si="2175"/>
        <v>-0.51294626983119551</v>
      </c>
      <c r="EL191" s="572" t="str">
        <f t="shared" si="2176"/>
        <v>-</v>
      </c>
      <c r="EM191" s="572">
        <f t="shared" si="2177"/>
        <v>-0.52140251417994121</v>
      </c>
      <c r="EN191" s="572" t="str">
        <f t="shared" si="2178"/>
        <v>-</v>
      </c>
      <c r="EO191" s="572" t="str">
        <f t="shared" si="2179"/>
        <v>-</v>
      </c>
      <c r="EP191" s="572" t="str">
        <f t="shared" si="2180"/>
        <v>-</v>
      </c>
      <c r="EQ191" s="572" t="str">
        <f t="shared" si="2181"/>
        <v>-</v>
      </c>
      <c r="ER191" s="572" t="str">
        <f t="shared" si="2182"/>
        <v>-</v>
      </c>
      <c r="ES191" s="572" t="str">
        <f t="shared" si="2183"/>
        <v>-</v>
      </c>
      <c r="ET191" s="572" t="str">
        <f t="shared" si="2184"/>
        <v>-</v>
      </c>
    </row>
    <row r="192" spans="1:150" ht="15.5" hidden="1" outlineLevel="1" x14ac:dyDescent="0.35">
      <c r="A192" s="10">
        <f t="shared" si="1266"/>
        <v>18</v>
      </c>
      <c r="B192" s="10" t="s">
        <v>295</v>
      </c>
      <c r="C192" s="442" t="s">
        <v>489</v>
      </c>
      <c r="D192" s="9" t="s">
        <v>637</v>
      </c>
      <c r="E192" s="8" t="s">
        <v>638</v>
      </c>
      <c r="F192" s="12" t="s">
        <v>245</v>
      </c>
      <c r="G192" s="12" t="str">
        <f>_xlfn.XLOOKUP(F192,'Quy đổi'!$G$5:$G$32,'Quy đổi'!$H$5:$H$32,0)</f>
        <v>Nội địa</v>
      </c>
      <c r="H192" s="80" t="s">
        <v>653</v>
      </c>
      <c r="I192" s="7" t="s">
        <v>654</v>
      </c>
      <c r="J192" s="69" t="s">
        <v>22</v>
      </c>
      <c r="K192" s="5"/>
      <c r="L192" s="92">
        <f t="shared" si="2127"/>
        <v>656.16614173228345</v>
      </c>
      <c r="M192" s="106" t="str">
        <f>IFERROR(SUMIFS('01. KE30'!$K:$K,'01. KE30'!$C:$C,'06. BC BH THEO CUSTOMER-USD'!$D192,'01. KE30'!$F:$F,'06. BC BH THEO CUSTOMER-USD'!$H192,'01. KE30'!$A:$A,'06. BC BH THEO CUSTOMER-USD'!M$4)/'06. BC BH THEO CUSTOMER-USD'!CS192/'02. Tỷ giá'!B$5,"-")</f>
        <v>-</v>
      </c>
      <c r="N192" s="106" t="str">
        <f>IFERROR(SUMIFS('01. KE30'!$K:$K,'01. KE30'!$C:$C,'06. BC BH THEO CUSTOMER-USD'!$D192,'01. KE30'!$F:$F,'06. BC BH THEO CUSTOMER-USD'!$H192,'01. KE30'!$A:$A,'06. BC BH THEO CUSTOMER-USD'!N$4)/'06. BC BH THEO CUSTOMER-USD'!CT192/'02. Tỷ giá'!C$5,"-")</f>
        <v>-</v>
      </c>
      <c r="O192" s="106">
        <f>IFERROR(SUMIFS('01. KE30'!$K:$K,'01. KE30'!$C:$C,'06. BC BH THEO CUSTOMER-USD'!$D192,'01. KE30'!$F:$F,'06. BC BH THEO CUSTOMER-USD'!$H192,'01. KE30'!$A:$A,'06. BC BH THEO CUSTOMER-USD'!O$4)/'06. BC BH THEO CUSTOMER-USD'!CU192/'02. Tỷ giá'!D$5,"-")</f>
        <v>656.16614173228345</v>
      </c>
      <c r="P192" s="106" t="str">
        <f>IFERROR(SUMIFS('01. KE30'!$K:$K,'01. KE30'!$C:$C,'06. BC BH THEO CUSTOMER-USD'!$D192,'01. KE30'!$F:$F,'06. BC BH THEO CUSTOMER-USD'!$H192,'01. KE30'!$A:$A,'06. BC BH THEO CUSTOMER-USD'!P$4)/'06. BC BH THEO CUSTOMER-USD'!CV192/'02. Tỷ giá'!E$5,"-")</f>
        <v>-</v>
      </c>
      <c r="Q192" s="106" t="str">
        <f>IFERROR(SUMIFS('01. KE30'!$K:$K,'01. KE30'!$C:$C,'06. BC BH THEO CUSTOMER-USD'!$D192,'01. KE30'!$F:$F,'06. BC BH THEO CUSTOMER-USD'!$H192,'01. KE30'!$A:$A,'06. BC BH THEO CUSTOMER-USD'!Q$4)/'06. BC BH THEO CUSTOMER-USD'!CW192/'02. Tỷ giá'!F$5,"-")</f>
        <v>-</v>
      </c>
      <c r="R192" s="106" t="str">
        <f>IFERROR(SUMIFS('01. KE30'!$K:$K,'01. KE30'!$C:$C,'06. BC BH THEO CUSTOMER-USD'!$D192,'01. KE30'!$F:$F,'06. BC BH THEO CUSTOMER-USD'!$H192,'01. KE30'!$A:$A,'06. BC BH THEO CUSTOMER-USD'!R$4)/'06. BC BH THEO CUSTOMER-USD'!CX192/'02. Tỷ giá'!G$5,"-")</f>
        <v>-</v>
      </c>
      <c r="S192" s="106" t="str">
        <f>IFERROR(SUMIFS('01. KE30'!$K:$K,'01. KE30'!$C:$C,'06. BC BH THEO CUSTOMER-USD'!$D192,'01. KE30'!$F:$F,'06. BC BH THEO CUSTOMER-USD'!$H192,'01. KE30'!$A:$A,'06. BC BH THEO CUSTOMER-USD'!S$4)/'06. BC BH THEO CUSTOMER-USD'!CY192/'02. Tỷ giá'!H$5,"-")</f>
        <v>-</v>
      </c>
      <c r="T192" s="106" t="str">
        <f>IFERROR(SUMIFS('01. KE30'!$K:$K,'01. KE30'!$C:$C,'06. BC BH THEO CUSTOMER-USD'!$D192,'01. KE30'!$F:$F,'06. BC BH THEO CUSTOMER-USD'!$H192,'01. KE30'!$A:$A,'06. BC BH THEO CUSTOMER-USD'!T$4)/'06. BC BH THEO CUSTOMER-USD'!CZ192/'02. Tỷ giá'!I$5,"-")</f>
        <v>-</v>
      </c>
      <c r="U192" s="106" t="str">
        <f>IFERROR(SUMIFS('01. KE30'!$K:$K,'01. KE30'!$C:$C,'06. BC BH THEO CUSTOMER-USD'!$D192,'01. KE30'!$F:$F,'06. BC BH THEO CUSTOMER-USD'!$H192,'01. KE30'!$A:$A,'06. BC BH THEO CUSTOMER-USD'!U$4)/'06. BC BH THEO CUSTOMER-USD'!DA192/'02. Tỷ giá'!J$5,"-")</f>
        <v>-</v>
      </c>
      <c r="V192" s="106" t="str">
        <f>IFERROR(SUMIFS('01. KE30'!$K:$K,'01. KE30'!$C:$C,'06. BC BH THEO CUSTOMER-USD'!$D192,'01. KE30'!$F:$F,'06. BC BH THEO CUSTOMER-USD'!$H192,'01. KE30'!$A:$A,'06. BC BH THEO CUSTOMER-USD'!V$4)/'06. BC BH THEO CUSTOMER-USD'!DB192/'02. Tỷ giá'!K$5,"-")</f>
        <v>-</v>
      </c>
      <c r="W192" s="106" t="str">
        <f>IFERROR(SUMIFS('01. KE30'!$K:$K,'01. KE30'!$C:$C,'06. BC BH THEO CUSTOMER-USD'!$D192,'01. KE30'!$F:$F,'06. BC BH THEO CUSTOMER-USD'!$H192,'01. KE30'!$A:$A,'06. BC BH THEO CUSTOMER-USD'!W$4)/'06. BC BH THEO CUSTOMER-USD'!DC192/'02. Tỷ giá'!L$5,"-")</f>
        <v>-</v>
      </c>
      <c r="X192" s="106" t="str">
        <f>IFERROR(SUMIFS('01. KE30'!$K:$K,'01. KE30'!$C:$C,'06. BC BH THEO CUSTOMER-USD'!$D192,'01. KE30'!$F:$F,'06. BC BH THEO CUSTOMER-USD'!$H192,'01. KE30'!$A:$A,'06. BC BH THEO CUSTOMER-USD'!X$4)/'06. BC BH THEO CUSTOMER-USD'!DD192/'02. Tỷ giá'!M$5,"-")</f>
        <v>-</v>
      </c>
      <c r="Z192" s="92">
        <f t="shared" si="2128"/>
        <v>616.79606299212594</v>
      </c>
      <c r="AA192" s="147" t="str">
        <f>IFERROR(SUMIFS('01. KE30'!$O:$O,'01. KE30'!$C:$C,'06. BC BH THEO CUSTOMER-USD'!$D192,'01. KE30'!$F:$F,'06. BC BH THEO CUSTOMER-USD'!$H192,'01. KE30'!$A:$A,'06. BC BH THEO CUSTOMER-USD'!M$4)/'06. BC BH THEO CUSTOMER-USD'!CS192/'02. Tỷ giá'!B$5,"-")</f>
        <v>-</v>
      </c>
      <c r="AB192" s="147" t="str">
        <f>IFERROR(SUMIFS('01. KE30'!$O:$O,'01. KE30'!$C:$C,'06. BC BH THEO CUSTOMER-USD'!$D192,'01. KE30'!$F:$F,'06. BC BH THEO CUSTOMER-USD'!$H192,'01. KE30'!$A:$A,'06. BC BH THEO CUSTOMER-USD'!N$4)/'06. BC BH THEO CUSTOMER-USD'!CT192/'02. Tỷ giá'!C$5,"-")</f>
        <v>-</v>
      </c>
      <c r="AC192" s="147">
        <f>IFERROR(SUMIFS('01. KE30'!$O:$O,'01. KE30'!$C:$C,'06. BC BH THEO CUSTOMER-USD'!$D192,'01. KE30'!$F:$F,'06. BC BH THEO CUSTOMER-USD'!$H192,'01. KE30'!$A:$A,'06. BC BH THEO CUSTOMER-USD'!O$4)/'06. BC BH THEO CUSTOMER-USD'!CU192/'02. Tỷ giá'!D$5,"-")</f>
        <v>616.79606299212594</v>
      </c>
      <c r="AD192" s="147" t="str">
        <f>IFERROR(SUMIFS('01. KE30'!$O:$O,'01. KE30'!$C:$C,'06. BC BH THEO CUSTOMER-USD'!$D192,'01. KE30'!$F:$F,'06. BC BH THEO CUSTOMER-USD'!$H192,'01. KE30'!$A:$A,'06. BC BH THEO CUSTOMER-USD'!P$4)/'06. BC BH THEO CUSTOMER-USD'!CV192/'02. Tỷ giá'!E$5,"-")</f>
        <v>-</v>
      </c>
      <c r="AE192" s="147" t="str">
        <f>IFERROR(SUMIFS('01. KE30'!$O:$O,'01. KE30'!$C:$C,'06. BC BH THEO CUSTOMER-USD'!$D192,'01. KE30'!$F:$F,'06. BC BH THEO CUSTOMER-USD'!$H192,'01. KE30'!$A:$A,'06. BC BH THEO CUSTOMER-USD'!Q$4)/'06. BC BH THEO CUSTOMER-USD'!CW192/'02. Tỷ giá'!F$5,"-")</f>
        <v>-</v>
      </c>
      <c r="AF192" s="147" t="str">
        <f>IFERROR(SUMIFS('01. KE30'!$O:$O,'01. KE30'!$C:$C,'06. BC BH THEO CUSTOMER-USD'!$D192,'01. KE30'!$F:$F,'06. BC BH THEO CUSTOMER-USD'!$H192,'01. KE30'!$A:$A,'06. BC BH THEO CUSTOMER-USD'!R$4)/'06. BC BH THEO CUSTOMER-USD'!CX192/'02. Tỷ giá'!G$5,"-")</f>
        <v>-</v>
      </c>
      <c r="AG192" s="147" t="str">
        <f>IFERROR(SUMIFS('01. KE30'!$O:$O,'01. KE30'!$C:$C,'06. BC BH THEO CUSTOMER-USD'!$D192,'01. KE30'!$F:$F,'06. BC BH THEO CUSTOMER-USD'!$H192,'01. KE30'!$A:$A,'06. BC BH THEO CUSTOMER-USD'!S$4)/'06. BC BH THEO CUSTOMER-USD'!CY192/'02. Tỷ giá'!H$5,"-")</f>
        <v>-</v>
      </c>
      <c r="AH192" s="147" t="str">
        <f>IFERROR(SUMIFS('01. KE30'!$O:$O,'01. KE30'!$C:$C,'06. BC BH THEO CUSTOMER-USD'!$D192,'01. KE30'!$F:$F,'06. BC BH THEO CUSTOMER-USD'!$H192,'01. KE30'!$A:$A,'06. BC BH THEO CUSTOMER-USD'!T$4)/'06. BC BH THEO CUSTOMER-USD'!CZ192/'02. Tỷ giá'!I$5,"-")</f>
        <v>-</v>
      </c>
      <c r="AI192" s="147" t="str">
        <f>IFERROR(SUMIFS('01. KE30'!$O:$O,'01. KE30'!$C:$C,'06. BC BH THEO CUSTOMER-USD'!$D192,'01. KE30'!$F:$F,'06. BC BH THEO CUSTOMER-USD'!$H192,'01. KE30'!$A:$A,'06. BC BH THEO CUSTOMER-USD'!U$4)/'06. BC BH THEO CUSTOMER-USD'!DA192/'02. Tỷ giá'!J$5,"-")</f>
        <v>-</v>
      </c>
      <c r="AJ192" s="147" t="str">
        <f>IFERROR(SUMIFS('01. KE30'!$O:$O,'01. KE30'!$C:$C,'06. BC BH THEO CUSTOMER-USD'!$D192,'01. KE30'!$F:$F,'06. BC BH THEO CUSTOMER-USD'!$H192,'01. KE30'!$A:$A,'06. BC BH THEO CUSTOMER-USD'!V$4)/'06. BC BH THEO CUSTOMER-USD'!DB192/'02. Tỷ giá'!K$5,"-")</f>
        <v>-</v>
      </c>
      <c r="AK192" s="147" t="str">
        <f>IFERROR(SUMIFS('01. KE30'!$O:$O,'01. KE30'!$C:$C,'06. BC BH THEO CUSTOMER-USD'!$D192,'01. KE30'!$F:$F,'06. BC BH THEO CUSTOMER-USD'!$H192,'01. KE30'!$A:$A,'06. BC BH THEO CUSTOMER-USD'!W$4)/'06. BC BH THEO CUSTOMER-USD'!DC192/'02. Tỷ giá'!L$5,"-")</f>
        <v>-</v>
      </c>
      <c r="AL192" s="147" t="str">
        <f>IFERROR(SUMIFS('01. KE30'!$O:$O,'01. KE30'!$C:$C,'06. BC BH THEO CUSTOMER-USD'!$D192,'01. KE30'!$F:$F,'06. BC BH THEO CUSTOMER-USD'!$H192,'01. KE30'!$A:$A,'06. BC BH THEO CUSTOMER-USD'!X$4)/'06. BC BH THEO CUSTOMER-USD'!DD192/'02. Tỷ giá'!M$5,"-")</f>
        <v>-</v>
      </c>
      <c r="AN192" s="92">
        <f t="shared" si="2129"/>
        <v>740.55555555555554</v>
      </c>
      <c r="AO192" s="4">
        <v>855</v>
      </c>
      <c r="AP192" s="4">
        <v>750</v>
      </c>
      <c r="AQ192" s="4">
        <v>750</v>
      </c>
      <c r="AR192" s="4">
        <v>750</v>
      </c>
      <c r="AS192" s="4">
        <v>720</v>
      </c>
      <c r="AT192" s="4">
        <v>720</v>
      </c>
      <c r="AU192" s="4">
        <v>720</v>
      </c>
      <c r="AV192" s="4">
        <f t="shared" si="1272"/>
        <v>700</v>
      </c>
      <c r="AW192" s="4">
        <v>700</v>
      </c>
      <c r="AX192" s="4"/>
      <c r="AY192" s="4"/>
      <c r="AZ192" s="4"/>
      <c r="BB192" s="95">
        <f t="shared" si="2130"/>
        <v>-123.7594925634296</v>
      </c>
      <c r="BC192" s="95" t="str">
        <f t="shared" si="2131"/>
        <v>-</v>
      </c>
      <c r="BD192" s="95" t="str">
        <f t="shared" si="2132"/>
        <v>-</v>
      </c>
      <c r="BE192" s="95">
        <f t="shared" si="2133"/>
        <v>-133.20393700787406</v>
      </c>
      <c r="BF192" s="95" t="str">
        <f t="shared" si="2134"/>
        <v>-</v>
      </c>
      <c r="BG192" s="95" t="str">
        <f t="shared" si="2135"/>
        <v>-</v>
      </c>
      <c r="BH192" s="95" t="str">
        <f t="shared" si="2136"/>
        <v>-</v>
      </c>
      <c r="BI192" s="95" t="str">
        <f t="shared" si="2137"/>
        <v>-</v>
      </c>
      <c r="BJ192" s="95" t="str">
        <f t="shared" si="2138"/>
        <v>-</v>
      </c>
      <c r="BK192" s="95" t="str">
        <f t="shared" si="2139"/>
        <v>-</v>
      </c>
      <c r="BL192" s="95" t="str">
        <f t="shared" si="2140"/>
        <v>-</v>
      </c>
      <c r="BM192" s="95" t="str">
        <f t="shared" si="2141"/>
        <v>-</v>
      </c>
      <c r="BN192" s="95" t="str">
        <f t="shared" si="2142"/>
        <v>-</v>
      </c>
      <c r="BP192" s="143">
        <f t="shared" si="2143"/>
        <v>-0.16711709423418852</v>
      </c>
      <c r="BQ192" s="143" t="str">
        <f t="shared" si="2144"/>
        <v>-</v>
      </c>
      <c r="BR192" s="143" t="str">
        <f t="shared" si="2145"/>
        <v>-</v>
      </c>
      <c r="BS192" s="143">
        <f t="shared" si="2146"/>
        <v>-0.17760524934383207</v>
      </c>
      <c r="BT192" s="143" t="str">
        <f t="shared" si="2147"/>
        <v>-</v>
      </c>
      <c r="BU192" s="143" t="str">
        <f t="shared" si="2148"/>
        <v>-</v>
      </c>
      <c r="BV192" s="143" t="str">
        <f t="shared" si="2149"/>
        <v>-</v>
      </c>
      <c r="BW192" s="143" t="str">
        <f t="shared" si="2150"/>
        <v>-</v>
      </c>
      <c r="BX192" s="143" t="str">
        <f t="shared" si="2151"/>
        <v>-</v>
      </c>
      <c r="BY192" s="143" t="str">
        <f t="shared" si="2152"/>
        <v>-</v>
      </c>
      <c r="BZ192" s="143" t="str">
        <f t="shared" si="2153"/>
        <v>-</v>
      </c>
      <c r="CA192" s="143" t="str">
        <f t="shared" si="2154"/>
        <v>-</v>
      </c>
      <c r="CB192" s="143" t="str">
        <f t="shared" si="2155"/>
        <v>-</v>
      </c>
      <c r="CD192" s="112">
        <f t="shared" si="2156"/>
        <v>678.43700787401576</v>
      </c>
      <c r="CE192" s="95" t="str">
        <f>IFERROR(SUMIFS('01. KE30'!$R:$R,'01. KE30'!$C:$C,'06. BC BH THEO CUSTOMER-USD'!$D192,'01. KE30'!$F:$F,'06. BC BH THEO CUSTOMER-USD'!$H192,'01. KE30'!$A:$A,'06. BC BH THEO CUSTOMER-USD'!CE$4)/CS192/'02. Tỷ giá'!B$5," -")</f>
        <v xml:space="preserve"> -</v>
      </c>
      <c r="CF192" s="95" t="str">
        <f>IFERROR(SUMIFS('01. KE30'!$R:$R,'01. KE30'!$C:$C,'06. BC BH THEO CUSTOMER-USD'!$D192,'01. KE30'!$F:$F,'06. BC BH THEO CUSTOMER-USD'!$H192,'01. KE30'!$A:$A,'06. BC BH THEO CUSTOMER-USD'!CF$4)/CT192/'02. Tỷ giá'!C$5," -")</f>
        <v xml:space="preserve"> -</v>
      </c>
      <c r="CG192" s="95">
        <f>IFERROR(SUMIFS('01. KE30'!$R:$R,'01. KE30'!$C:$C,'06. BC BH THEO CUSTOMER-USD'!$D192,'01. KE30'!$F:$F,'06. BC BH THEO CUSTOMER-USD'!$H192,'01. KE30'!$A:$A,'06. BC BH THEO CUSTOMER-USD'!CG$4)/CU192/'02. Tỷ giá'!D$5," -")</f>
        <v>678.43700787401576</v>
      </c>
      <c r="CH192" s="95" t="str">
        <f>IFERROR(SUMIFS('01. KE30'!$R:$R,'01. KE30'!$C:$C,'06. BC BH THEO CUSTOMER-USD'!$D192,'01. KE30'!$F:$F,'06. BC BH THEO CUSTOMER-USD'!$H192,'01. KE30'!$A:$A,'06. BC BH THEO CUSTOMER-USD'!CH$4)/CV192/'02. Tỷ giá'!E$5," -")</f>
        <v xml:space="preserve"> -</v>
      </c>
      <c r="CI192" s="95" t="str">
        <f>IFERROR(SUMIFS('01. KE30'!$R:$R,'01. KE30'!$C:$C,'06. BC BH THEO CUSTOMER-USD'!$D192,'01. KE30'!$F:$F,'06. BC BH THEO CUSTOMER-USD'!$H192,'01. KE30'!$A:$A,'06. BC BH THEO CUSTOMER-USD'!CI$4)/CW192/'02. Tỷ giá'!F$5," -")</f>
        <v xml:space="preserve"> -</v>
      </c>
      <c r="CJ192" s="95" t="str">
        <f>IFERROR(SUMIFS('01. KE30'!$R:$R,'01. KE30'!$C:$C,'06. BC BH THEO CUSTOMER-USD'!$D192,'01. KE30'!$F:$F,'06. BC BH THEO CUSTOMER-USD'!$H192,'01. KE30'!$A:$A,'06. BC BH THEO CUSTOMER-USD'!CJ$4)/CX192/'02. Tỷ giá'!G$5," -")</f>
        <v xml:space="preserve"> -</v>
      </c>
      <c r="CK192" s="95" t="str">
        <f>IFERROR(SUMIFS('01. KE30'!$R:$R,'01. KE30'!$C:$C,'06. BC BH THEO CUSTOMER-USD'!$D192,'01. KE30'!$F:$F,'06. BC BH THEO CUSTOMER-USD'!$H192,'01. KE30'!$A:$A,'06. BC BH THEO CUSTOMER-USD'!CK$4)/CY192/'02. Tỷ giá'!H$5," -")</f>
        <v xml:space="preserve"> -</v>
      </c>
      <c r="CL192" s="95" t="str">
        <f>IFERROR(SUMIFS('01. KE30'!$R:$R,'01. KE30'!$C:$C,'06. BC BH THEO CUSTOMER-USD'!$D192,'01. KE30'!$F:$F,'06. BC BH THEO CUSTOMER-USD'!$H192,'01. KE30'!$A:$A,'06. BC BH THEO CUSTOMER-USD'!CL$4)/CZ192/'02. Tỷ giá'!I$5," -")</f>
        <v xml:space="preserve"> -</v>
      </c>
      <c r="CM192" s="95" t="str">
        <f>IFERROR(SUMIFS('01. KE30'!$R:$R,'01. KE30'!$C:$C,'06. BC BH THEO CUSTOMER-USD'!$D192,'01. KE30'!$F:$F,'06. BC BH THEO CUSTOMER-USD'!$H192,'01. KE30'!$A:$A,'06. BC BH THEO CUSTOMER-USD'!CM$4)/DA192/'02. Tỷ giá'!J$5," -")</f>
        <v xml:space="preserve"> -</v>
      </c>
      <c r="CN192" s="95" t="str">
        <f>IFERROR(SUMIFS('01. KE30'!$R:$R,'01. KE30'!$C:$C,'06. BC BH THEO CUSTOMER-USD'!$D192,'01. KE30'!$F:$F,'06. BC BH THEO CUSTOMER-USD'!$H192,'01. KE30'!$A:$A,'06. BC BH THEO CUSTOMER-USD'!CN$4)/DB192/'02. Tỷ giá'!K$5," -")</f>
        <v xml:space="preserve"> -</v>
      </c>
      <c r="CO192" s="95" t="str">
        <f>IFERROR(SUMIFS('01. KE30'!$R:$R,'01. KE30'!$C:$C,'06. BC BH THEO CUSTOMER-USD'!$D192,'01. KE30'!$F:$F,'06. BC BH THEO CUSTOMER-USD'!$H192,'01. KE30'!$A:$A,'06. BC BH THEO CUSTOMER-USD'!CO$4)/DC192/'02. Tỷ giá'!L$5," -")</f>
        <v xml:space="preserve"> -</v>
      </c>
      <c r="CP192" s="95" t="str">
        <f>IFERROR(SUMIFS('01. KE30'!$R:$R,'01. KE30'!$C:$C,'06. BC BH THEO CUSTOMER-USD'!$D192,'01. KE30'!$F:$F,'06. BC BH THEO CUSTOMER-USD'!$H192,'01. KE30'!$A:$A,'06. BC BH THEO CUSTOMER-USD'!CP$4)/DD192/'02. Tỷ giá'!M$5," -")</f>
        <v xml:space="preserve"> -</v>
      </c>
      <c r="CR192" s="112">
        <f t="shared" si="2157"/>
        <v>0.05</v>
      </c>
      <c r="CS192" s="114">
        <f>SUMIFS('01. KE30'!$I:$I,'01. KE30'!$C:$C,'06. BC BH THEO CUSTOMER-USD'!$D192,'01. KE30'!$F:$F,'06. BC BH THEO CUSTOMER-USD'!$H192,'01. KE30'!$A:$A,'06. BC BH THEO CUSTOMER-USD'!CS$4)/1000</f>
        <v>0</v>
      </c>
      <c r="CT192" s="114">
        <f>SUMIFS('01. KE30'!$I:$I,'01. KE30'!$C:$C,'06. BC BH THEO CUSTOMER-USD'!$D192,'01. KE30'!$F:$F,'06. BC BH THEO CUSTOMER-USD'!$H192,'01. KE30'!$A:$A,'06. BC BH THEO CUSTOMER-USD'!CT$4)/1000</f>
        <v>0</v>
      </c>
      <c r="CU192" s="114">
        <f>SUMIFS('01. KE30'!$I:$I,'01. KE30'!$C:$C,'06. BC BH THEO CUSTOMER-USD'!$D192,'01. KE30'!$F:$F,'06. BC BH THEO CUSTOMER-USD'!$H192,'01. KE30'!$A:$A,'06. BC BH THEO CUSTOMER-USD'!CU$4)/1000</f>
        <v>0.05</v>
      </c>
      <c r="CV192" s="114">
        <f>SUMIFS('01. KE30'!$I:$I,'01. KE30'!$C:$C,'06. BC BH THEO CUSTOMER-USD'!$D192,'01. KE30'!$F:$F,'06. BC BH THEO CUSTOMER-USD'!$H192,'01. KE30'!$A:$A,'06. BC BH THEO CUSTOMER-USD'!CV$4)/1000</f>
        <v>0</v>
      </c>
      <c r="CW192" s="114">
        <f>SUMIFS('01. KE30'!$I:$I,'01. KE30'!$C:$C,'06. BC BH THEO CUSTOMER-USD'!$D192,'01. KE30'!$F:$F,'06. BC BH THEO CUSTOMER-USD'!$H192,'01. KE30'!$A:$A,'06. BC BH THEO CUSTOMER-USD'!CW$4)/1000</f>
        <v>0</v>
      </c>
      <c r="CX192" s="114">
        <f>SUMIFS('01. KE30'!$I:$I,'01. KE30'!$C:$C,'06. BC BH THEO CUSTOMER-USD'!$D192,'01. KE30'!$F:$F,'06. BC BH THEO CUSTOMER-USD'!$H192,'01. KE30'!$A:$A,'06. BC BH THEO CUSTOMER-USD'!CX$4)/1000</f>
        <v>0</v>
      </c>
      <c r="CY192" s="114">
        <f>SUMIFS('01. KE30'!$I:$I,'01. KE30'!$C:$C,'06. BC BH THEO CUSTOMER-USD'!$D192,'01. KE30'!$F:$F,'06. BC BH THEO CUSTOMER-USD'!$H192,'01. KE30'!$A:$A,'06. BC BH THEO CUSTOMER-USD'!CY$4)/1000</f>
        <v>0</v>
      </c>
      <c r="CZ192" s="114">
        <f>SUMIFS('01. KE30'!$I:$I,'01. KE30'!$C:$C,'06. BC BH THEO CUSTOMER-USD'!$D192,'01. KE30'!$F:$F,'06. BC BH THEO CUSTOMER-USD'!$H192,'01. KE30'!$A:$A,'06. BC BH THEO CUSTOMER-USD'!CZ$4)/1000</f>
        <v>0</v>
      </c>
      <c r="DA192" s="114">
        <f>SUMIFS('01. KE30'!$I:$I,'01. KE30'!$C:$C,'06. BC BH THEO CUSTOMER-USD'!$D192,'01. KE30'!$F:$F,'06. BC BH THEO CUSTOMER-USD'!$H192,'01. KE30'!$A:$A,'06. BC BH THEO CUSTOMER-USD'!DA$4)/1000</f>
        <v>0</v>
      </c>
      <c r="DB192" s="114">
        <f>SUMIFS('01. KE30'!$I:$I,'01. KE30'!$C:$C,'06. BC BH THEO CUSTOMER-USD'!$D192,'01. KE30'!$F:$F,'06. BC BH THEO CUSTOMER-USD'!$H192,'01. KE30'!$A:$A,'06. BC BH THEO CUSTOMER-USD'!DB$4)/1000</f>
        <v>0</v>
      </c>
      <c r="DC192" s="114">
        <f>SUMIFS('01. KE30'!$I:$I,'01. KE30'!$C:$C,'06. BC BH THEO CUSTOMER-USD'!$D192,'01. KE30'!$F:$F,'06. BC BH THEO CUSTOMER-USD'!$H192,'01. KE30'!$A:$A,'06. BC BH THEO CUSTOMER-USD'!DC$4)/1000</f>
        <v>0</v>
      </c>
      <c r="DD192" s="114">
        <f>SUMIFS('01. KE30'!$I:$I,'01. KE30'!$C:$C,'06. BC BH THEO CUSTOMER-USD'!$D192,'01. KE30'!$F:$F,'06. BC BH THEO CUSTOMER-USD'!$H192,'01. KE30'!$A:$A,'06. BC BH THEO CUSTOMER-USD'!DD$4)/1000</f>
        <v>0</v>
      </c>
      <c r="DF192" s="112">
        <f t="shared" si="2158"/>
        <v>32.808307086614171</v>
      </c>
      <c r="DG192" s="54" t="str">
        <f t="shared" si="2159"/>
        <v>-</v>
      </c>
      <c r="DH192" s="54" t="str">
        <f t="shared" si="2160"/>
        <v>-</v>
      </c>
      <c r="DI192" s="54">
        <f t="shared" si="2161"/>
        <v>32.808307086614171</v>
      </c>
      <c r="DJ192" s="54" t="str">
        <f t="shared" si="2162"/>
        <v>-</v>
      </c>
      <c r="DK192" s="54" t="str">
        <f t="shared" si="2163"/>
        <v>-</v>
      </c>
      <c r="DL192" s="54" t="str">
        <f t="shared" si="2164"/>
        <v>-</v>
      </c>
      <c r="DM192" s="54" t="str">
        <f t="shared" si="2165"/>
        <v>-</v>
      </c>
      <c r="DN192" s="54" t="str">
        <f t="shared" si="2166"/>
        <v>-</v>
      </c>
      <c r="DO192" s="54" t="str">
        <f t="shared" si="2167"/>
        <v>-</v>
      </c>
      <c r="DP192" s="54" t="str">
        <f t="shared" si="2168"/>
        <v>-</v>
      </c>
      <c r="DQ192" s="54" t="str">
        <f t="shared" si="2169"/>
        <v>-</v>
      </c>
      <c r="DR192" s="54" t="str">
        <f t="shared" si="2170"/>
        <v>-</v>
      </c>
      <c r="DT192" s="112">
        <f t="shared" si="2171"/>
        <v>-3.0820472440944862</v>
      </c>
      <c r="DU192" s="114">
        <f>IFERROR(SUMIFS('01. KE30'!$X:$X,'01. KE30'!$C:$C,'06. BC BH THEO CUSTOMER-USD'!$D192,'01. KE30'!$F:$F,'06. BC BH THEO CUSTOMER-USD'!$H192,'01. KE30'!$A:$A,'06. BC BH THEO CUSTOMER-USD'!DU$4)-SUMIFS('01. KE30'!$AA:$AA,'01. KE30'!$C:$C,'06. BC BH THEO CUSTOMER-USD'!$D192,'01. KE30'!$F:$F,'06. BC BH THEO CUSTOMER-USD'!$H192,'01. KE30'!$A:$A,'06. BC BH THEO CUSTOMER-USD'!DU$4),"-")</f>
        <v>0</v>
      </c>
      <c r="DV192" s="114">
        <f>IFERROR(SUMIFS('01. KE30'!$X:$X,'01. KE30'!$C:$C,'06. BC BH THEO CUSTOMER-USD'!$D192,'01. KE30'!$F:$F,'06. BC BH THEO CUSTOMER-USD'!$H192,'01. KE30'!$A:$A,'06. BC BH THEO CUSTOMER-USD'!DV$4)-SUMIFS('01. KE30'!$AA:$AA,'01. KE30'!$C:$C,'06. BC BH THEO CUSTOMER-USD'!$D192,'01. KE30'!$F:$F,'06. BC BH THEO CUSTOMER-USD'!$H192,'01. KE30'!$A:$A,'06. BC BH THEO CUSTOMER-USD'!DV$4),"-")</f>
        <v>0</v>
      </c>
      <c r="DW192" s="114">
        <f>IFERROR(SUMIFS('01. KE30'!$X:$X,'01. KE30'!$C:$C,'06. BC BH THEO CUSTOMER-USD'!$D192,'01. KE30'!$F:$F,'06. BC BH THEO CUSTOMER-USD'!$H192,'01. KE30'!$A:$A,'06. BC BH THEO CUSTOMER-USD'!DW$4)-SUMIFS('01. KE30'!$AA:$AA,'01. KE30'!$C:$C,'06. BC BH THEO CUSTOMER-USD'!$D192,'01. KE30'!$F:$F,'06. BC BH THEO CUSTOMER-USD'!$H192,'01. KE30'!$A:$A,'06. BC BH THEO CUSTOMER-USD'!DW$4),"-")</f>
        <v>-3.0820472440944862</v>
      </c>
      <c r="DX192" s="114">
        <f>IFERROR(SUMIFS('01. KE30'!$X:$X,'01. KE30'!$C:$C,'06. BC BH THEO CUSTOMER-USD'!$D192,'01. KE30'!$F:$F,'06. BC BH THEO CUSTOMER-USD'!$H192,'01. KE30'!$A:$A,'06. BC BH THEO CUSTOMER-USD'!DX$4)-SUMIFS('01. KE30'!$AA:$AA,'01. KE30'!$C:$C,'06. BC BH THEO CUSTOMER-USD'!$D192,'01. KE30'!$F:$F,'06. BC BH THEO CUSTOMER-USD'!$H192,'01. KE30'!$A:$A,'06. BC BH THEO CUSTOMER-USD'!DX$4),"-")</f>
        <v>0</v>
      </c>
      <c r="DY192" s="114">
        <f>IFERROR(SUMIFS('01. KE30'!$X:$X,'01. KE30'!$C:$C,'06. BC BH THEO CUSTOMER-USD'!$D192,'01. KE30'!$F:$F,'06. BC BH THEO CUSTOMER-USD'!$H192,'01. KE30'!$A:$A,'06. BC BH THEO CUSTOMER-USD'!DY$4)-SUMIFS('01. KE30'!$AA:$AA,'01. KE30'!$C:$C,'06. BC BH THEO CUSTOMER-USD'!$D192,'01. KE30'!$F:$F,'06. BC BH THEO CUSTOMER-USD'!$H192,'01. KE30'!$A:$A,'06. BC BH THEO CUSTOMER-USD'!DY$4),"-")</f>
        <v>0</v>
      </c>
      <c r="DZ192" s="114">
        <f>IFERROR(SUMIFS('01. KE30'!$X:$X,'01. KE30'!$C:$C,'06. BC BH THEO CUSTOMER-USD'!$D192,'01. KE30'!$F:$F,'06. BC BH THEO CUSTOMER-USD'!$H192,'01. KE30'!$A:$A,'06. BC BH THEO CUSTOMER-USD'!DZ$4)-SUMIFS('01. KE30'!$AA:$AA,'01. KE30'!$C:$C,'06. BC BH THEO CUSTOMER-USD'!$D192,'01. KE30'!$F:$F,'06. BC BH THEO CUSTOMER-USD'!$H192,'01. KE30'!$A:$A,'06. BC BH THEO CUSTOMER-USD'!DZ$4),"-")</f>
        <v>0</v>
      </c>
      <c r="EA192" s="114">
        <f>IFERROR(SUMIFS('01. KE30'!$X:$X,'01. KE30'!$C:$C,'06. BC BH THEO CUSTOMER-USD'!$D192,'01. KE30'!$F:$F,'06. BC BH THEO CUSTOMER-USD'!$H192,'01. KE30'!$A:$A,'06. BC BH THEO CUSTOMER-USD'!EA$4)-SUMIFS('01. KE30'!$AA:$AA,'01. KE30'!$C:$C,'06. BC BH THEO CUSTOMER-USD'!$D192,'01. KE30'!$F:$F,'06. BC BH THEO CUSTOMER-USD'!$H192,'01. KE30'!$A:$A,'06. BC BH THEO CUSTOMER-USD'!EA$4),"-")</f>
        <v>0</v>
      </c>
      <c r="EB192" s="114">
        <f>IFERROR(SUMIFS('01. KE30'!$X:$X,'01. KE30'!$C:$C,'06. BC BH THEO CUSTOMER-USD'!$D192,'01. KE30'!$F:$F,'06. BC BH THEO CUSTOMER-USD'!$H192,'01. KE30'!$A:$A,'06. BC BH THEO CUSTOMER-USD'!EB$4)-SUMIFS('01. KE30'!$AA:$AA,'01. KE30'!$C:$C,'06. BC BH THEO CUSTOMER-USD'!$D192,'01. KE30'!$F:$F,'06. BC BH THEO CUSTOMER-USD'!$H192,'01. KE30'!$A:$A,'06. BC BH THEO CUSTOMER-USD'!EB$4),"-")</f>
        <v>0</v>
      </c>
      <c r="EC192" s="114">
        <f>IFERROR(SUMIFS('01. KE30'!$X:$X,'01. KE30'!$C:$C,'06. BC BH THEO CUSTOMER-USD'!$D192,'01. KE30'!$F:$F,'06. BC BH THEO CUSTOMER-USD'!$H192,'01. KE30'!$A:$A,'06. BC BH THEO CUSTOMER-USD'!EC$4)-SUMIFS('01. KE30'!$AA:$AA,'01. KE30'!$C:$C,'06. BC BH THEO CUSTOMER-USD'!$D192,'01. KE30'!$F:$F,'06. BC BH THEO CUSTOMER-USD'!$H192,'01. KE30'!$A:$A,'06. BC BH THEO CUSTOMER-USD'!EC$4),"-")</f>
        <v>0</v>
      </c>
      <c r="ED192" s="114">
        <f>IFERROR(SUMIFS('01. KE30'!$X:$X,'01. KE30'!$C:$C,'06. BC BH THEO CUSTOMER-USD'!$D192,'01. KE30'!$F:$F,'06. BC BH THEO CUSTOMER-USD'!$H192,'01. KE30'!$A:$A,'06. BC BH THEO CUSTOMER-USD'!ED$4)-SUMIFS('01. KE30'!$AA:$AA,'01. KE30'!$C:$C,'06. BC BH THEO CUSTOMER-USD'!$D192,'01. KE30'!$F:$F,'06. BC BH THEO CUSTOMER-USD'!$H192,'01. KE30'!$A:$A,'06. BC BH THEO CUSTOMER-USD'!ED$4),"-")</f>
        <v>0</v>
      </c>
      <c r="EE192" s="114">
        <f>IFERROR(SUMIFS('01. KE30'!$X:$X,'01. KE30'!$C:$C,'06. BC BH THEO CUSTOMER-USD'!$D192,'01. KE30'!$F:$F,'06. BC BH THEO CUSTOMER-USD'!$H192,'01. KE30'!$A:$A,'06. BC BH THEO CUSTOMER-USD'!EE$4)-SUMIFS('01. KE30'!$AA:$AA,'01. KE30'!$C:$C,'06. BC BH THEO CUSTOMER-USD'!$D192,'01. KE30'!$F:$F,'06. BC BH THEO CUSTOMER-USD'!$H192,'01. KE30'!$A:$A,'06. BC BH THEO CUSTOMER-USD'!EE$4),"-")</f>
        <v>0</v>
      </c>
      <c r="EF192" s="114">
        <f>IFERROR(SUMIFS('01. KE30'!$X:$X,'01. KE30'!$C:$C,'06. BC BH THEO CUSTOMER-USD'!$D192,'01. KE30'!$F:$F,'06. BC BH THEO CUSTOMER-USD'!$H192,'01. KE30'!$A:$A,'06. BC BH THEO CUSTOMER-USD'!EF$4)-SUMIFS('01. KE30'!$AA:$AA,'01. KE30'!$C:$C,'06. BC BH THEO CUSTOMER-USD'!$D192,'01. KE30'!$F:$F,'06. BC BH THEO CUSTOMER-USD'!$H192,'01. KE30'!$A:$A,'06. BC BH THEO CUSTOMER-USD'!EF$4),"-")</f>
        <v>0</v>
      </c>
      <c r="EH192" s="571">
        <f t="shared" si="2172"/>
        <v>-9.3941063034976444E-2</v>
      </c>
      <c r="EI192" s="572" t="str">
        <f t="shared" si="2173"/>
        <v>-</v>
      </c>
      <c r="EJ192" s="572" t="str">
        <f t="shared" si="2174"/>
        <v>-</v>
      </c>
      <c r="EK192" s="572">
        <f t="shared" si="2175"/>
        <v>-9.3941063034976444E-2</v>
      </c>
      <c r="EL192" s="572" t="str">
        <f t="shared" si="2176"/>
        <v>-</v>
      </c>
      <c r="EM192" s="572" t="str">
        <f t="shared" si="2177"/>
        <v>-</v>
      </c>
      <c r="EN192" s="572" t="str">
        <f t="shared" si="2178"/>
        <v>-</v>
      </c>
      <c r="EO192" s="572" t="str">
        <f t="shared" si="2179"/>
        <v>-</v>
      </c>
      <c r="EP192" s="572" t="str">
        <f t="shared" si="2180"/>
        <v>-</v>
      </c>
      <c r="EQ192" s="572" t="str">
        <f t="shared" si="2181"/>
        <v>-</v>
      </c>
      <c r="ER192" s="572" t="str">
        <f t="shared" si="2182"/>
        <v>-</v>
      </c>
      <c r="ES192" s="572" t="str">
        <f t="shared" si="2183"/>
        <v>-</v>
      </c>
      <c r="ET192" s="572" t="str">
        <f t="shared" si="2184"/>
        <v>-</v>
      </c>
    </row>
    <row r="193" spans="1:150" ht="15.5" hidden="1" outlineLevel="1" x14ac:dyDescent="0.35">
      <c r="A193" s="10">
        <f t="shared" si="1266"/>
        <v>19</v>
      </c>
      <c r="B193" s="10" t="s">
        <v>295</v>
      </c>
      <c r="C193" s="442" t="s">
        <v>489</v>
      </c>
      <c r="D193" s="9" t="s">
        <v>637</v>
      </c>
      <c r="E193" s="8" t="s">
        <v>638</v>
      </c>
      <c r="F193" s="12" t="s">
        <v>245</v>
      </c>
      <c r="G193" s="12" t="str">
        <f>_xlfn.XLOOKUP(F193,'Quy đổi'!$G$5:$G$32,'Quy đổi'!$H$5:$H$32,0)</f>
        <v>Nội địa</v>
      </c>
      <c r="H193" s="80" t="s">
        <v>657</v>
      </c>
      <c r="I193" s="7" t="s">
        <v>658</v>
      </c>
      <c r="J193" s="69" t="s">
        <v>22</v>
      </c>
      <c r="K193" s="5"/>
      <c r="L193" s="92">
        <f t="shared" ref="L193" si="2185">IFERROR(AVERAGE(M193:X193),"-")</f>
        <v>497.63092953353475</v>
      </c>
      <c r="M193" s="106" t="str">
        <f>IFERROR(SUMIFS('01. KE30'!$K:$K,'01. KE30'!$C:$C,'06. BC BH THEO CUSTOMER-USD'!$D193,'01. KE30'!$F:$F,'06. BC BH THEO CUSTOMER-USD'!$H193,'01. KE30'!$A:$A,'06. BC BH THEO CUSTOMER-USD'!M$4)/'06. BC BH THEO CUSTOMER-USD'!CS193/'02. Tỷ giá'!B$5,"-")</f>
        <v>-</v>
      </c>
      <c r="N193" s="106" t="str">
        <f>IFERROR(SUMIFS('01. KE30'!$K:$K,'01. KE30'!$C:$C,'06. BC BH THEO CUSTOMER-USD'!$D193,'01. KE30'!$F:$F,'06. BC BH THEO CUSTOMER-USD'!$H193,'01. KE30'!$A:$A,'06. BC BH THEO CUSTOMER-USD'!N$4)/'06. BC BH THEO CUSTOMER-USD'!CT193/'02. Tỷ giá'!C$5,"-")</f>
        <v>-</v>
      </c>
      <c r="O193" s="106" t="str">
        <f>IFERROR(SUMIFS('01. KE30'!$K:$K,'01. KE30'!$C:$C,'06. BC BH THEO CUSTOMER-USD'!$D193,'01. KE30'!$F:$F,'06. BC BH THEO CUSTOMER-USD'!$H193,'01. KE30'!$A:$A,'06. BC BH THEO CUSTOMER-USD'!O$4)/'06. BC BH THEO CUSTOMER-USD'!CU193/'02. Tỷ giá'!D$5,"-")</f>
        <v>-</v>
      </c>
      <c r="P193" s="106" t="str">
        <f>IFERROR(SUMIFS('01. KE30'!$K:$K,'01. KE30'!$C:$C,'06. BC BH THEO CUSTOMER-USD'!$D193,'01. KE30'!$F:$F,'06. BC BH THEO CUSTOMER-USD'!$H193,'01. KE30'!$A:$A,'06. BC BH THEO CUSTOMER-USD'!P$4)/'06. BC BH THEO CUSTOMER-USD'!CV193/'02. Tỷ giá'!E$5,"-")</f>
        <v>-</v>
      </c>
      <c r="Q193" s="106" t="str">
        <f>IFERROR(SUMIFS('01. KE30'!$K:$K,'01. KE30'!$C:$C,'06. BC BH THEO CUSTOMER-USD'!$D193,'01. KE30'!$F:$F,'06. BC BH THEO CUSTOMER-USD'!$H193,'01. KE30'!$A:$A,'06. BC BH THEO CUSTOMER-USD'!Q$4)/'06. BC BH THEO CUSTOMER-USD'!CW193/'02. Tỷ giá'!F$5,"-")</f>
        <v>-</v>
      </c>
      <c r="R193" s="106">
        <f>IFERROR(SUMIFS('01. KE30'!$K:$K,'01. KE30'!$C:$C,'06. BC BH THEO CUSTOMER-USD'!$D193,'01. KE30'!$F:$F,'06. BC BH THEO CUSTOMER-USD'!$H193,'01. KE30'!$A:$A,'06. BC BH THEO CUSTOMER-USD'!R$4)/'06. BC BH THEO CUSTOMER-USD'!CX193/'02. Tỷ giá'!G$5,"-")</f>
        <v>500.11430913800706</v>
      </c>
      <c r="S193" s="106" t="str">
        <f>IFERROR(SUMIFS('01. KE30'!$K:$K,'01. KE30'!$C:$C,'06. BC BH THEO CUSTOMER-USD'!$D193,'01. KE30'!$F:$F,'06. BC BH THEO CUSTOMER-USD'!$H193,'01. KE30'!$A:$A,'06. BC BH THEO CUSTOMER-USD'!S$4)/'06. BC BH THEO CUSTOMER-USD'!CY193/'02. Tỷ giá'!H$5,"-")</f>
        <v>-</v>
      </c>
      <c r="T193" s="106">
        <f>IFERROR(SUMIFS('01. KE30'!$K:$K,'01. KE30'!$C:$C,'06. BC BH THEO CUSTOMER-USD'!$D193,'01. KE30'!$F:$F,'06. BC BH THEO CUSTOMER-USD'!$H193,'01. KE30'!$A:$A,'06. BC BH THEO CUSTOMER-USD'!T$4)/'06. BC BH THEO CUSTOMER-USD'!CZ193/'02. Tỷ giá'!I$5,"-")</f>
        <v>495.14754992906251</v>
      </c>
      <c r="U193" s="106" t="str">
        <f>IFERROR(SUMIFS('01. KE30'!$K:$K,'01. KE30'!$C:$C,'06. BC BH THEO CUSTOMER-USD'!$D193,'01. KE30'!$F:$F,'06. BC BH THEO CUSTOMER-USD'!$H193,'01. KE30'!$A:$A,'06. BC BH THEO CUSTOMER-USD'!U$4)/'06. BC BH THEO CUSTOMER-USD'!DA193/'02. Tỷ giá'!J$5,"-")</f>
        <v>-</v>
      </c>
      <c r="V193" s="106" t="str">
        <f>IFERROR(SUMIFS('01. KE30'!$K:$K,'01. KE30'!$C:$C,'06. BC BH THEO CUSTOMER-USD'!$D193,'01. KE30'!$F:$F,'06. BC BH THEO CUSTOMER-USD'!$H193,'01. KE30'!$A:$A,'06. BC BH THEO CUSTOMER-USD'!V$4)/'06. BC BH THEO CUSTOMER-USD'!DB193/'02. Tỷ giá'!K$5,"-")</f>
        <v>-</v>
      </c>
      <c r="W193" s="106" t="str">
        <f>IFERROR(SUMIFS('01. KE30'!$K:$K,'01. KE30'!$C:$C,'06. BC BH THEO CUSTOMER-USD'!$D193,'01. KE30'!$F:$F,'06. BC BH THEO CUSTOMER-USD'!$H193,'01. KE30'!$A:$A,'06. BC BH THEO CUSTOMER-USD'!W$4)/'06. BC BH THEO CUSTOMER-USD'!DC193/'02. Tỷ giá'!L$5,"-")</f>
        <v>-</v>
      </c>
      <c r="X193" s="106" t="str">
        <f>IFERROR(SUMIFS('01. KE30'!$K:$K,'01. KE30'!$C:$C,'06. BC BH THEO CUSTOMER-USD'!$D193,'01. KE30'!$F:$F,'06. BC BH THEO CUSTOMER-USD'!$H193,'01. KE30'!$A:$A,'06. BC BH THEO CUSTOMER-USD'!X$4)/'06. BC BH THEO CUSTOMER-USD'!DD193/'02. Tỷ giá'!M$5,"-")</f>
        <v>-</v>
      </c>
      <c r="Z193" s="92">
        <f t="shared" ref="Z193" si="2186">IFERROR(AVERAGE(AA193:AL193),"-")</f>
        <v>497.63092953353475</v>
      </c>
      <c r="AA193" s="147" t="str">
        <f>IFERROR(SUMIFS('01. KE30'!$O:$O,'01. KE30'!$C:$C,'06. BC BH THEO CUSTOMER-USD'!$D193,'01. KE30'!$F:$F,'06. BC BH THEO CUSTOMER-USD'!$H193,'01. KE30'!$A:$A,'06. BC BH THEO CUSTOMER-USD'!M$4)/'06. BC BH THEO CUSTOMER-USD'!CS193/'02. Tỷ giá'!B$5,"-")</f>
        <v>-</v>
      </c>
      <c r="AB193" s="147" t="str">
        <f>IFERROR(SUMIFS('01. KE30'!$O:$O,'01. KE30'!$C:$C,'06. BC BH THEO CUSTOMER-USD'!$D193,'01. KE30'!$F:$F,'06. BC BH THEO CUSTOMER-USD'!$H193,'01. KE30'!$A:$A,'06. BC BH THEO CUSTOMER-USD'!N$4)/'06. BC BH THEO CUSTOMER-USD'!CT193/'02. Tỷ giá'!C$5,"-")</f>
        <v>-</v>
      </c>
      <c r="AC193" s="147" t="str">
        <f>IFERROR(SUMIFS('01. KE30'!$O:$O,'01. KE30'!$C:$C,'06. BC BH THEO CUSTOMER-USD'!$D193,'01. KE30'!$F:$F,'06. BC BH THEO CUSTOMER-USD'!$H193,'01. KE30'!$A:$A,'06. BC BH THEO CUSTOMER-USD'!O$4)/'06. BC BH THEO CUSTOMER-USD'!CU193/'02. Tỷ giá'!D$5,"-")</f>
        <v>-</v>
      </c>
      <c r="AD193" s="147" t="str">
        <f>IFERROR(SUMIFS('01. KE30'!$O:$O,'01. KE30'!$C:$C,'06. BC BH THEO CUSTOMER-USD'!$D193,'01. KE30'!$F:$F,'06. BC BH THEO CUSTOMER-USD'!$H193,'01. KE30'!$A:$A,'06. BC BH THEO CUSTOMER-USD'!P$4)/'06. BC BH THEO CUSTOMER-USD'!CV193/'02. Tỷ giá'!E$5,"-")</f>
        <v>-</v>
      </c>
      <c r="AE193" s="147" t="str">
        <f>IFERROR(SUMIFS('01. KE30'!$O:$O,'01. KE30'!$C:$C,'06. BC BH THEO CUSTOMER-USD'!$D193,'01. KE30'!$F:$F,'06. BC BH THEO CUSTOMER-USD'!$H193,'01. KE30'!$A:$A,'06. BC BH THEO CUSTOMER-USD'!Q$4)/'06. BC BH THEO CUSTOMER-USD'!CW193/'02. Tỷ giá'!F$5,"-")</f>
        <v>-</v>
      </c>
      <c r="AF193" s="147">
        <f>IFERROR(SUMIFS('01. KE30'!$O:$O,'01. KE30'!$C:$C,'06. BC BH THEO CUSTOMER-USD'!$D193,'01. KE30'!$F:$F,'06. BC BH THEO CUSTOMER-USD'!$H193,'01. KE30'!$A:$A,'06. BC BH THEO CUSTOMER-USD'!R$4)/'06. BC BH THEO CUSTOMER-USD'!CX193/'02. Tỷ giá'!G$5,"-")</f>
        <v>500.11430913800706</v>
      </c>
      <c r="AG193" s="147" t="str">
        <f>IFERROR(SUMIFS('01. KE30'!$O:$O,'01. KE30'!$C:$C,'06. BC BH THEO CUSTOMER-USD'!$D193,'01. KE30'!$F:$F,'06. BC BH THEO CUSTOMER-USD'!$H193,'01. KE30'!$A:$A,'06. BC BH THEO CUSTOMER-USD'!S$4)/'06. BC BH THEO CUSTOMER-USD'!CY193/'02. Tỷ giá'!H$5,"-")</f>
        <v>-</v>
      </c>
      <c r="AH193" s="147">
        <f>IFERROR(SUMIFS('01. KE30'!$O:$O,'01. KE30'!$C:$C,'06. BC BH THEO CUSTOMER-USD'!$D193,'01. KE30'!$F:$F,'06. BC BH THEO CUSTOMER-USD'!$H193,'01. KE30'!$A:$A,'06. BC BH THEO CUSTOMER-USD'!T$4)/'06. BC BH THEO CUSTOMER-USD'!CZ193/'02. Tỷ giá'!I$5,"-")</f>
        <v>495.14754992906251</v>
      </c>
      <c r="AI193" s="147" t="str">
        <f>IFERROR(SUMIFS('01. KE30'!$O:$O,'01. KE30'!$C:$C,'06. BC BH THEO CUSTOMER-USD'!$D193,'01. KE30'!$F:$F,'06. BC BH THEO CUSTOMER-USD'!$H193,'01. KE30'!$A:$A,'06. BC BH THEO CUSTOMER-USD'!U$4)/'06. BC BH THEO CUSTOMER-USD'!DA193/'02. Tỷ giá'!J$5,"-")</f>
        <v>-</v>
      </c>
      <c r="AJ193" s="147" t="str">
        <f>IFERROR(SUMIFS('01. KE30'!$O:$O,'01. KE30'!$C:$C,'06. BC BH THEO CUSTOMER-USD'!$D193,'01. KE30'!$F:$F,'06. BC BH THEO CUSTOMER-USD'!$H193,'01. KE30'!$A:$A,'06. BC BH THEO CUSTOMER-USD'!V$4)/'06. BC BH THEO CUSTOMER-USD'!DB193/'02. Tỷ giá'!K$5,"-")</f>
        <v>-</v>
      </c>
      <c r="AK193" s="147" t="str">
        <f>IFERROR(SUMIFS('01. KE30'!$O:$O,'01. KE30'!$C:$C,'06. BC BH THEO CUSTOMER-USD'!$D193,'01. KE30'!$F:$F,'06. BC BH THEO CUSTOMER-USD'!$H193,'01. KE30'!$A:$A,'06. BC BH THEO CUSTOMER-USD'!W$4)/'06. BC BH THEO CUSTOMER-USD'!DC193/'02. Tỷ giá'!L$5,"-")</f>
        <v>-</v>
      </c>
      <c r="AL193" s="147" t="str">
        <f>IFERROR(SUMIFS('01. KE30'!$O:$O,'01. KE30'!$C:$C,'06. BC BH THEO CUSTOMER-USD'!$D193,'01. KE30'!$F:$F,'06. BC BH THEO CUSTOMER-USD'!$H193,'01. KE30'!$A:$A,'06. BC BH THEO CUSTOMER-USD'!X$4)/'06. BC BH THEO CUSTOMER-USD'!DD193/'02. Tỷ giá'!M$5,"-")</f>
        <v>-</v>
      </c>
      <c r="AN193" s="92">
        <f t="shared" ref="AN193" si="2187">IFERROR(AVERAGE(AO193:AZ193),"-")</f>
        <v>740.55555555555554</v>
      </c>
      <c r="AO193" s="4">
        <v>855</v>
      </c>
      <c r="AP193" s="4">
        <v>750</v>
      </c>
      <c r="AQ193" s="4">
        <v>750</v>
      </c>
      <c r="AR193" s="4">
        <v>750</v>
      </c>
      <c r="AS193" s="4">
        <v>720</v>
      </c>
      <c r="AT193" s="4">
        <v>720</v>
      </c>
      <c r="AU193" s="4">
        <v>720</v>
      </c>
      <c r="AV193" s="4">
        <f t="shared" si="1272"/>
        <v>700</v>
      </c>
      <c r="AW193" s="4">
        <v>700</v>
      </c>
      <c r="AX193" s="4"/>
      <c r="AY193" s="4"/>
      <c r="AZ193" s="4"/>
      <c r="BB193" s="95">
        <f t="shared" ref="BB193" si="2188">IF(L193&lt;&gt;"-",Z193-AN193,"-")</f>
        <v>-242.92462602202079</v>
      </c>
      <c r="BC193" s="95" t="str">
        <f t="shared" ref="BC193" si="2189">IF(M193&lt;&gt;"-",AA193-AO193,"-")</f>
        <v>-</v>
      </c>
      <c r="BD193" s="95" t="str">
        <f t="shared" ref="BD193" si="2190">IF(N193&lt;&gt;"-",AB193-AP193,"-")</f>
        <v>-</v>
      </c>
      <c r="BE193" s="95" t="str">
        <f t="shared" ref="BE193" si="2191">IF(O193&lt;&gt;"-",AC193-AQ193,"-")</f>
        <v>-</v>
      </c>
      <c r="BF193" s="95" t="str">
        <f t="shared" ref="BF193" si="2192">IF(P193&lt;&gt;"-",AD193-AR193,"-")</f>
        <v>-</v>
      </c>
      <c r="BG193" s="95" t="str">
        <f t="shared" ref="BG193" si="2193">IF(Q193&lt;&gt;"-",AE193-AS193,"-")</f>
        <v>-</v>
      </c>
      <c r="BH193" s="95">
        <f t="shared" ref="BH193" si="2194">IF(R193&lt;&gt;"-",AF193-AT193,"-")</f>
        <v>-219.88569086199294</v>
      </c>
      <c r="BI193" s="95" t="str">
        <f t="shared" ref="BI193" si="2195">IF(S193&lt;&gt;"-",AG193-AU193,"-")</f>
        <v>-</v>
      </c>
      <c r="BJ193" s="95">
        <f t="shared" ref="BJ193" si="2196">IF(T193&lt;&gt;"-",AH193-AV193,"-")</f>
        <v>-204.85245007093749</v>
      </c>
      <c r="BK193" s="95" t="str">
        <f t="shared" ref="BK193" si="2197">IF(U193&lt;&gt;"-",AI193-AW193,"-")</f>
        <v>-</v>
      </c>
      <c r="BL193" s="95" t="str">
        <f t="shared" ref="BL193" si="2198">IF(V193&lt;&gt;"-",AJ193-AX193,"-")</f>
        <v>-</v>
      </c>
      <c r="BM193" s="95" t="str">
        <f t="shared" ref="BM193" si="2199">IF(W193&lt;&gt;"-",AK193-AY193,"-")</f>
        <v>-</v>
      </c>
      <c r="BN193" s="95" t="str">
        <f t="shared" ref="BN193" si="2200">IF(X193&lt;&gt;"-",AL193-AZ193,"-")</f>
        <v>-</v>
      </c>
      <c r="BP193" s="143">
        <f t="shared" ref="BP193" si="2201">IFERROR(IF(BB193&lt;&gt;"-",BB193/AN193,"-"),"-")</f>
        <v>-0.32803025269290131</v>
      </c>
      <c r="BQ193" s="143" t="str">
        <f t="shared" ref="BQ193" si="2202">IFERROR(IF(BC193&lt;&gt;"-",BC193/AO193,"-"),"-")</f>
        <v>-</v>
      </c>
      <c r="BR193" s="143" t="str">
        <f t="shared" ref="BR193" si="2203">IFERROR(IF(BD193&lt;&gt;"-",BD193/AP193,"-"),"-")</f>
        <v>-</v>
      </c>
      <c r="BS193" s="143" t="str">
        <f t="shared" ref="BS193" si="2204">IFERROR(IF(BE193&lt;&gt;"-",BE193/AQ193,"-"),"-")</f>
        <v>-</v>
      </c>
      <c r="BT193" s="143" t="str">
        <f t="shared" ref="BT193" si="2205">IFERROR(IF(BF193&lt;&gt;"-",BF193/AR193,"-"),"-")</f>
        <v>-</v>
      </c>
      <c r="BU193" s="143" t="str">
        <f t="shared" ref="BU193" si="2206">IFERROR(IF(BG193&lt;&gt;"-",BG193/AS193,"-"),"-")</f>
        <v>-</v>
      </c>
      <c r="BV193" s="143">
        <f t="shared" ref="BV193" si="2207">IFERROR(IF(BH193&lt;&gt;"-",BH193/AT193,"-"),"-")</f>
        <v>-0.30539679286387911</v>
      </c>
      <c r="BW193" s="143" t="str">
        <f t="shared" ref="BW193" si="2208">IFERROR(IF(BI193&lt;&gt;"-",BI193/AU193,"-"),"-")</f>
        <v>-</v>
      </c>
      <c r="BX193" s="143">
        <f t="shared" ref="BX193" si="2209">IFERROR(IF(BJ193&lt;&gt;"-",BJ193/AV193,"-"),"-")</f>
        <v>-0.29264635724419641</v>
      </c>
      <c r="BY193" s="143" t="str">
        <f t="shared" ref="BY193" si="2210">IFERROR(IF(BK193&lt;&gt;"-",BK193/AW193,"-"),"-")</f>
        <v>-</v>
      </c>
      <c r="BZ193" s="143" t="str">
        <f t="shared" ref="BZ193" si="2211">IFERROR(IF(BL193&lt;&gt;"-",BL193/AX193,"-"),"-")</f>
        <v>-</v>
      </c>
      <c r="CA193" s="143" t="str">
        <f t="shared" ref="CA193" si="2212">IFERROR(IF(BM193&lt;&gt;"-",BM193/AY193,"-"),"-")</f>
        <v>-</v>
      </c>
      <c r="CB193" s="143" t="str">
        <f t="shared" ref="CB193" si="2213">IFERROR(IF(BN193&lt;&gt;"-",BN193/AZ193,"-"),"-")</f>
        <v>-</v>
      </c>
      <c r="CD193" s="112">
        <f t="shared" ref="CD193" si="2214">IFERROR(AVERAGE(CE193:CP193),"-")</f>
        <v>806.14812794278066</v>
      </c>
      <c r="CE193" s="95" t="str">
        <f>IFERROR(SUMIFS('01. KE30'!$R:$R,'01. KE30'!$C:$C,'06. BC BH THEO CUSTOMER-USD'!$D193,'01. KE30'!$F:$F,'06. BC BH THEO CUSTOMER-USD'!$H193,'01. KE30'!$A:$A,'06. BC BH THEO CUSTOMER-USD'!CE$4)/CS193/'02. Tỷ giá'!B$5," -")</f>
        <v xml:space="preserve"> -</v>
      </c>
      <c r="CF193" s="95" t="str">
        <f>IFERROR(SUMIFS('01. KE30'!$R:$R,'01. KE30'!$C:$C,'06. BC BH THEO CUSTOMER-USD'!$D193,'01. KE30'!$F:$F,'06. BC BH THEO CUSTOMER-USD'!$H193,'01. KE30'!$A:$A,'06. BC BH THEO CUSTOMER-USD'!CF$4)/CT193/'02. Tỷ giá'!C$5," -")</f>
        <v xml:space="preserve"> -</v>
      </c>
      <c r="CG193" s="95" t="str">
        <f>IFERROR(SUMIFS('01. KE30'!$R:$R,'01. KE30'!$C:$C,'06. BC BH THEO CUSTOMER-USD'!$D193,'01. KE30'!$F:$F,'06. BC BH THEO CUSTOMER-USD'!$H193,'01. KE30'!$A:$A,'06. BC BH THEO CUSTOMER-USD'!CG$4)/CU193/'02. Tỷ giá'!D$5," -")</f>
        <v xml:space="preserve"> -</v>
      </c>
      <c r="CH193" s="95" t="str">
        <f>IFERROR(SUMIFS('01. KE30'!$R:$R,'01. KE30'!$C:$C,'06. BC BH THEO CUSTOMER-USD'!$D193,'01. KE30'!$F:$F,'06. BC BH THEO CUSTOMER-USD'!$H193,'01. KE30'!$A:$A,'06. BC BH THEO CUSTOMER-USD'!CH$4)/CV193/'02. Tỷ giá'!E$5," -")</f>
        <v xml:space="preserve"> -</v>
      </c>
      <c r="CI193" s="95" t="str">
        <f>IFERROR(SUMIFS('01. KE30'!$R:$R,'01. KE30'!$C:$C,'06. BC BH THEO CUSTOMER-USD'!$D193,'01. KE30'!$F:$F,'06. BC BH THEO CUSTOMER-USD'!$H193,'01. KE30'!$A:$A,'06. BC BH THEO CUSTOMER-USD'!CI$4)/CW193/'02. Tỷ giá'!F$5," -")</f>
        <v xml:space="preserve"> -</v>
      </c>
      <c r="CJ193" s="95">
        <f>IFERROR(SUMIFS('01. KE30'!$R:$R,'01. KE30'!$C:$C,'06. BC BH THEO CUSTOMER-USD'!$D193,'01. KE30'!$F:$F,'06. BC BH THEO CUSTOMER-USD'!$H193,'01. KE30'!$A:$A,'06. BC BH THEO CUSTOMER-USD'!CJ$4)/CX193/'02. Tỷ giá'!G$5," -")</f>
        <v>810.16626570767198</v>
      </c>
      <c r="CK193" s="95" t="str">
        <f>IFERROR(SUMIFS('01. KE30'!$R:$R,'01. KE30'!$C:$C,'06. BC BH THEO CUSTOMER-USD'!$D193,'01. KE30'!$F:$F,'06. BC BH THEO CUSTOMER-USD'!$H193,'01. KE30'!$A:$A,'06. BC BH THEO CUSTOMER-USD'!CK$4)/CY193/'02. Tỷ giá'!H$5," -")</f>
        <v xml:space="preserve"> -</v>
      </c>
      <c r="CL193" s="95">
        <f>IFERROR(SUMIFS('01. KE30'!$R:$R,'01. KE30'!$C:$C,'06. BC BH THEO CUSTOMER-USD'!$D193,'01. KE30'!$F:$F,'06. BC BH THEO CUSTOMER-USD'!$H193,'01. KE30'!$A:$A,'06. BC BH THEO CUSTOMER-USD'!CL$4)/CZ193/'02. Tỷ giá'!I$5," -")</f>
        <v>802.12999017788934</v>
      </c>
      <c r="CM193" s="95" t="str">
        <f>IFERROR(SUMIFS('01. KE30'!$R:$R,'01. KE30'!$C:$C,'06. BC BH THEO CUSTOMER-USD'!$D193,'01. KE30'!$F:$F,'06. BC BH THEO CUSTOMER-USD'!$H193,'01. KE30'!$A:$A,'06. BC BH THEO CUSTOMER-USD'!CM$4)/DA193/'02. Tỷ giá'!J$5," -")</f>
        <v xml:space="preserve"> -</v>
      </c>
      <c r="CN193" s="95" t="str">
        <f>IFERROR(SUMIFS('01. KE30'!$R:$R,'01. KE30'!$C:$C,'06. BC BH THEO CUSTOMER-USD'!$D193,'01. KE30'!$F:$F,'06. BC BH THEO CUSTOMER-USD'!$H193,'01. KE30'!$A:$A,'06. BC BH THEO CUSTOMER-USD'!CN$4)/DB193/'02. Tỷ giá'!K$5," -")</f>
        <v xml:space="preserve"> -</v>
      </c>
      <c r="CO193" s="95" t="str">
        <f>IFERROR(SUMIFS('01. KE30'!$R:$R,'01. KE30'!$C:$C,'06. BC BH THEO CUSTOMER-USD'!$D193,'01. KE30'!$F:$F,'06. BC BH THEO CUSTOMER-USD'!$H193,'01. KE30'!$A:$A,'06. BC BH THEO CUSTOMER-USD'!CO$4)/DC193/'02. Tỷ giá'!L$5," -")</f>
        <v xml:space="preserve"> -</v>
      </c>
      <c r="CP193" s="95" t="str">
        <f>IFERROR(SUMIFS('01. KE30'!$R:$R,'01. KE30'!$C:$C,'06. BC BH THEO CUSTOMER-USD'!$D193,'01. KE30'!$F:$F,'06. BC BH THEO CUSTOMER-USD'!$H193,'01. KE30'!$A:$A,'06. BC BH THEO CUSTOMER-USD'!CP$4)/DD193/'02. Tỷ giá'!M$5," -")</f>
        <v xml:space="preserve"> -</v>
      </c>
      <c r="CR193" s="112">
        <f t="shared" ref="CR193" si="2215">SUM(CS193:DD193)</f>
        <v>24.5</v>
      </c>
      <c r="CS193" s="114">
        <f>SUMIFS('01. KE30'!$I:$I,'01. KE30'!$C:$C,'06. BC BH THEO CUSTOMER-USD'!$D193,'01. KE30'!$F:$F,'06. BC BH THEO CUSTOMER-USD'!$H193,'01. KE30'!$A:$A,'06. BC BH THEO CUSTOMER-USD'!CS$4)/1000</f>
        <v>0</v>
      </c>
      <c r="CT193" s="114">
        <f>SUMIFS('01. KE30'!$I:$I,'01. KE30'!$C:$C,'06. BC BH THEO CUSTOMER-USD'!$D193,'01. KE30'!$F:$F,'06. BC BH THEO CUSTOMER-USD'!$H193,'01. KE30'!$A:$A,'06. BC BH THEO CUSTOMER-USD'!CT$4)/1000</f>
        <v>0</v>
      </c>
      <c r="CU193" s="114">
        <f>SUMIFS('01. KE30'!$I:$I,'01. KE30'!$C:$C,'06. BC BH THEO CUSTOMER-USD'!$D193,'01. KE30'!$F:$F,'06. BC BH THEO CUSTOMER-USD'!$H193,'01. KE30'!$A:$A,'06. BC BH THEO CUSTOMER-USD'!CU$4)/1000</f>
        <v>0</v>
      </c>
      <c r="CV193" s="114">
        <f>SUMIFS('01. KE30'!$I:$I,'01. KE30'!$C:$C,'06. BC BH THEO CUSTOMER-USD'!$D193,'01. KE30'!$F:$F,'06. BC BH THEO CUSTOMER-USD'!$H193,'01. KE30'!$A:$A,'06. BC BH THEO CUSTOMER-USD'!CV$4)/1000</f>
        <v>0</v>
      </c>
      <c r="CW193" s="114">
        <f>SUMIFS('01. KE30'!$I:$I,'01. KE30'!$C:$C,'06. BC BH THEO CUSTOMER-USD'!$D193,'01. KE30'!$F:$F,'06. BC BH THEO CUSTOMER-USD'!$H193,'01. KE30'!$A:$A,'06. BC BH THEO CUSTOMER-USD'!CW$4)/1000</f>
        <v>0</v>
      </c>
      <c r="CX193" s="114">
        <f>SUMIFS('01. KE30'!$I:$I,'01. KE30'!$C:$C,'06. BC BH THEO CUSTOMER-USD'!$D193,'01. KE30'!$F:$F,'06. BC BH THEO CUSTOMER-USD'!$H193,'01. KE30'!$A:$A,'06. BC BH THEO CUSTOMER-USD'!CX$4)/1000</f>
        <v>28</v>
      </c>
      <c r="CY193" s="114">
        <f>SUMIFS('01. KE30'!$I:$I,'01. KE30'!$C:$C,'06. BC BH THEO CUSTOMER-USD'!$D193,'01. KE30'!$F:$F,'06. BC BH THEO CUSTOMER-USD'!$H193,'01. KE30'!$A:$A,'06. BC BH THEO CUSTOMER-USD'!CY$4)/1000</f>
        <v>0</v>
      </c>
      <c r="CZ193" s="114">
        <f>SUMIFS('01. KE30'!$I:$I,'01. KE30'!$C:$C,'06. BC BH THEO CUSTOMER-USD'!$D193,'01. KE30'!$F:$F,'06. BC BH THEO CUSTOMER-USD'!$H193,'01. KE30'!$A:$A,'06. BC BH THEO CUSTOMER-USD'!CZ$4)/1000</f>
        <v>-3.5</v>
      </c>
      <c r="DA193" s="114">
        <f>SUMIFS('01. KE30'!$I:$I,'01. KE30'!$C:$C,'06. BC BH THEO CUSTOMER-USD'!$D193,'01. KE30'!$F:$F,'06. BC BH THEO CUSTOMER-USD'!$H193,'01. KE30'!$A:$A,'06. BC BH THEO CUSTOMER-USD'!DA$4)/1000</f>
        <v>0</v>
      </c>
      <c r="DB193" s="114">
        <f>SUMIFS('01. KE30'!$I:$I,'01. KE30'!$C:$C,'06. BC BH THEO CUSTOMER-USD'!$D193,'01. KE30'!$F:$F,'06. BC BH THEO CUSTOMER-USD'!$H193,'01. KE30'!$A:$A,'06. BC BH THEO CUSTOMER-USD'!DB$4)/1000</f>
        <v>0</v>
      </c>
      <c r="DC193" s="114">
        <f>SUMIFS('01. KE30'!$I:$I,'01. KE30'!$C:$C,'06. BC BH THEO CUSTOMER-USD'!$D193,'01. KE30'!$F:$F,'06. BC BH THEO CUSTOMER-USD'!$H193,'01. KE30'!$A:$A,'06. BC BH THEO CUSTOMER-USD'!DC$4)/1000</f>
        <v>0</v>
      </c>
      <c r="DD193" s="114">
        <f>SUMIFS('01. KE30'!$I:$I,'01. KE30'!$C:$C,'06. BC BH THEO CUSTOMER-USD'!$D193,'01. KE30'!$F:$F,'06. BC BH THEO CUSTOMER-USD'!$H193,'01. KE30'!$A:$A,'06. BC BH THEO CUSTOMER-USD'!DD$4)/1000</f>
        <v>0</v>
      </c>
      <c r="DF193" s="112">
        <f t="shared" ref="DF193" si="2216">SUM(DG193:DR193)</f>
        <v>12270.184231112478</v>
      </c>
      <c r="DG193" s="54" t="str">
        <f t="shared" ref="DG193" si="2217">IFERROR(M193*CS193,"-")</f>
        <v>-</v>
      </c>
      <c r="DH193" s="54" t="str">
        <f t="shared" ref="DH193" si="2218">IFERROR(N193*CT193,"-")</f>
        <v>-</v>
      </c>
      <c r="DI193" s="54" t="str">
        <f t="shared" ref="DI193" si="2219">IFERROR(O193*CU193,"-")</f>
        <v>-</v>
      </c>
      <c r="DJ193" s="54" t="str">
        <f t="shared" ref="DJ193" si="2220">IFERROR(P193*CV193,"-")</f>
        <v>-</v>
      </c>
      <c r="DK193" s="54" t="str">
        <f t="shared" ref="DK193" si="2221">IFERROR(Q193*CW193,"-")</f>
        <v>-</v>
      </c>
      <c r="DL193" s="54">
        <f t="shared" ref="DL193" si="2222">IFERROR(R193*CX193,"-")</f>
        <v>14003.200655864197</v>
      </c>
      <c r="DM193" s="54" t="str">
        <f t="shared" ref="DM193" si="2223">IFERROR(S193*CY193,"-")</f>
        <v>-</v>
      </c>
      <c r="DN193" s="54">
        <f t="shared" ref="DN193" si="2224">IFERROR(T193*CZ193,"-")</f>
        <v>-1733.0164247517187</v>
      </c>
      <c r="DO193" s="54" t="str">
        <f t="shared" ref="DO193" si="2225">IFERROR(U193*DA193,"-")</f>
        <v>-</v>
      </c>
      <c r="DP193" s="54" t="str">
        <f t="shared" ref="DP193" si="2226">IFERROR(V193*DB193,"-")</f>
        <v>-</v>
      </c>
      <c r="DQ193" s="54" t="str">
        <f t="shared" ref="DQ193" si="2227">IFERROR(W193*DC193,"-")</f>
        <v>-</v>
      </c>
      <c r="DR193" s="54" t="str">
        <f t="shared" ref="DR193" si="2228">IFERROR(X193*DD193,"-")</f>
        <v>-</v>
      </c>
      <c r="DT193" s="112">
        <f t="shared" ref="DT193" si="2229">SUM(DU193:EF193)</f>
        <v>-7607.0162430797236</v>
      </c>
      <c r="DU193" s="114">
        <f>IFERROR(SUMIFS('01. KE30'!$X:$X,'01. KE30'!$C:$C,'06. BC BH THEO CUSTOMER-USD'!$D193,'01. KE30'!$F:$F,'06. BC BH THEO CUSTOMER-USD'!$H193,'01. KE30'!$A:$A,'06. BC BH THEO CUSTOMER-USD'!DU$4)-SUMIFS('01. KE30'!$AA:$AA,'01. KE30'!$C:$C,'06. BC BH THEO CUSTOMER-USD'!$D193,'01. KE30'!$F:$F,'06. BC BH THEO CUSTOMER-USD'!$H193,'01. KE30'!$A:$A,'06. BC BH THEO CUSTOMER-USD'!DU$4),"-")</f>
        <v>0</v>
      </c>
      <c r="DV193" s="114">
        <f>IFERROR(SUMIFS('01. KE30'!$X:$X,'01. KE30'!$C:$C,'06. BC BH THEO CUSTOMER-USD'!$D193,'01. KE30'!$F:$F,'06. BC BH THEO CUSTOMER-USD'!$H193,'01. KE30'!$A:$A,'06. BC BH THEO CUSTOMER-USD'!DV$4)-SUMIFS('01. KE30'!$AA:$AA,'01. KE30'!$C:$C,'06. BC BH THEO CUSTOMER-USD'!$D193,'01. KE30'!$F:$F,'06. BC BH THEO CUSTOMER-USD'!$H193,'01. KE30'!$A:$A,'06. BC BH THEO CUSTOMER-USD'!DV$4),"-")</f>
        <v>0</v>
      </c>
      <c r="DW193" s="114">
        <f>IFERROR(SUMIFS('01. KE30'!$X:$X,'01. KE30'!$C:$C,'06. BC BH THEO CUSTOMER-USD'!$D193,'01. KE30'!$F:$F,'06. BC BH THEO CUSTOMER-USD'!$H193,'01. KE30'!$A:$A,'06. BC BH THEO CUSTOMER-USD'!DW$4)-SUMIFS('01. KE30'!$AA:$AA,'01. KE30'!$C:$C,'06. BC BH THEO CUSTOMER-USD'!$D193,'01. KE30'!$F:$F,'06. BC BH THEO CUSTOMER-USD'!$H193,'01. KE30'!$A:$A,'06. BC BH THEO CUSTOMER-USD'!DW$4),"-")</f>
        <v>0</v>
      </c>
      <c r="DX193" s="114">
        <f>IFERROR(SUMIFS('01. KE30'!$X:$X,'01. KE30'!$C:$C,'06. BC BH THEO CUSTOMER-USD'!$D193,'01. KE30'!$F:$F,'06. BC BH THEO CUSTOMER-USD'!$H193,'01. KE30'!$A:$A,'06. BC BH THEO CUSTOMER-USD'!DX$4)-SUMIFS('01. KE30'!$AA:$AA,'01. KE30'!$C:$C,'06. BC BH THEO CUSTOMER-USD'!$D193,'01. KE30'!$F:$F,'06. BC BH THEO CUSTOMER-USD'!$H193,'01. KE30'!$A:$A,'06. BC BH THEO CUSTOMER-USD'!DX$4),"-")</f>
        <v>0</v>
      </c>
      <c r="DY193" s="114">
        <f>IFERROR(SUMIFS('01. KE30'!$X:$X,'01. KE30'!$C:$C,'06. BC BH THEO CUSTOMER-USD'!$D193,'01. KE30'!$F:$F,'06. BC BH THEO CUSTOMER-USD'!$H193,'01. KE30'!$A:$A,'06. BC BH THEO CUSTOMER-USD'!DY$4)-SUMIFS('01. KE30'!$AA:$AA,'01. KE30'!$C:$C,'06. BC BH THEO CUSTOMER-USD'!$D193,'01. KE30'!$F:$F,'06. BC BH THEO CUSTOMER-USD'!$H193,'01. KE30'!$A:$A,'06. BC BH THEO CUSTOMER-USD'!DY$4),"-")</f>
        <v>0</v>
      </c>
      <c r="DZ193" s="114">
        <f>IFERROR(SUMIFS('01. KE30'!$X:$X,'01. KE30'!$C:$C,'06. BC BH THEO CUSTOMER-USD'!$D193,'01. KE30'!$F:$F,'06. BC BH THEO CUSTOMER-USD'!$H193,'01. KE30'!$A:$A,'06. BC BH THEO CUSTOMER-USD'!DZ$4)-SUMIFS('01. KE30'!$AA:$AA,'01. KE30'!$C:$C,'06. BC BH THEO CUSTOMER-USD'!$D193,'01. KE30'!$F:$F,'06. BC BH THEO CUSTOMER-USD'!$H193,'01. KE30'!$A:$A,'06. BC BH THEO CUSTOMER-USD'!DZ$4),"-")</f>
        <v>-8681.4547839506176</v>
      </c>
      <c r="EA193" s="114">
        <f>IFERROR(SUMIFS('01. KE30'!$X:$X,'01. KE30'!$C:$C,'06. BC BH THEO CUSTOMER-USD'!$D193,'01. KE30'!$F:$F,'06. BC BH THEO CUSTOMER-USD'!$H193,'01. KE30'!$A:$A,'06. BC BH THEO CUSTOMER-USD'!EA$4)-SUMIFS('01. KE30'!$AA:$AA,'01. KE30'!$C:$C,'06. BC BH THEO CUSTOMER-USD'!$D193,'01. KE30'!$F:$F,'06. BC BH THEO CUSTOMER-USD'!$H193,'01. KE30'!$A:$A,'06. BC BH THEO CUSTOMER-USD'!EA$4),"-")</f>
        <v>0</v>
      </c>
      <c r="EB193" s="114">
        <f>IFERROR(SUMIFS('01. KE30'!$X:$X,'01. KE30'!$C:$C,'06. BC BH THEO CUSTOMER-USD'!$D193,'01. KE30'!$F:$F,'06. BC BH THEO CUSTOMER-USD'!$H193,'01. KE30'!$A:$A,'06. BC BH THEO CUSTOMER-USD'!EB$4)-SUMIFS('01. KE30'!$AA:$AA,'01. KE30'!$C:$C,'06. BC BH THEO CUSTOMER-USD'!$D193,'01. KE30'!$F:$F,'06. BC BH THEO CUSTOMER-USD'!$H193,'01. KE30'!$A:$A,'06. BC BH THEO CUSTOMER-USD'!EB$4),"-")</f>
        <v>1074.4385408708938</v>
      </c>
      <c r="EC193" s="114">
        <f>IFERROR(SUMIFS('01. KE30'!$X:$X,'01. KE30'!$C:$C,'06. BC BH THEO CUSTOMER-USD'!$D193,'01. KE30'!$F:$F,'06. BC BH THEO CUSTOMER-USD'!$H193,'01. KE30'!$A:$A,'06. BC BH THEO CUSTOMER-USD'!EC$4)-SUMIFS('01. KE30'!$AA:$AA,'01. KE30'!$C:$C,'06. BC BH THEO CUSTOMER-USD'!$D193,'01. KE30'!$F:$F,'06. BC BH THEO CUSTOMER-USD'!$H193,'01. KE30'!$A:$A,'06. BC BH THEO CUSTOMER-USD'!EC$4),"-")</f>
        <v>0</v>
      </c>
      <c r="ED193" s="114">
        <f>IFERROR(SUMIFS('01. KE30'!$X:$X,'01. KE30'!$C:$C,'06. BC BH THEO CUSTOMER-USD'!$D193,'01. KE30'!$F:$F,'06. BC BH THEO CUSTOMER-USD'!$H193,'01. KE30'!$A:$A,'06. BC BH THEO CUSTOMER-USD'!ED$4)-SUMIFS('01. KE30'!$AA:$AA,'01. KE30'!$C:$C,'06. BC BH THEO CUSTOMER-USD'!$D193,'01. KE30'!$F:$F,'06. BC BH THEO CUSTOMER-USD'!$H193,'01. KE30'!$A:$A,'06. BC BH THEO CUSTOMER-USD'!ED$4),"-")</f>
        <v>0</v>
      </c>
      <c r="EE193" s="114">
        <f>IFERROR(SUMIFS('01. KE30'!$X:$X,'01. KE30'!$C:$C,'06. BC BH THEO CUSTOMER-USD'!$D193,'01. KE30'!$F:$F,'06. BC BH THEO CUSTOMER-USD'!$H193,'01. KE30'!$A:$A,'06. BC BH THEO CUSTOMER-USD'!EE$4)-SUMIFS('01. KE30'!$AA:$AA,'01. KE30'!$C:$C,'06. BC BH THEO CUSTOMER-USD'!$D193,'01. KE30'!$F:$F,'06. BC BH THEO CUSTOMER-USD'!$H193,'01. KE30'!$A:$A,'06. BC BH THEO CUSTOMER-USD'!EE$4),"-")</f>
        <v>0</v>
      </c>
      <c r="EF193" s="114">
        <f>IFERROR(SUMIFS('01. KE30'!$X:$X,'01. KE30'!$C:$C,'06. BC BH THEO CUSTOMER-USD'!$D193,'01. KE30'!$F:$F,'06. BC BH THEO CUSTOMER-USD'!$H193,'01. KE30'!$A:$A,'06. BC BH THEO CUSTOMER-USD'!EF$4)-SUMIFS('01. KE30'!$AA:$AA,'01. KE30'!$C:$C,'06. BC BH THEO CUSTOMER-USD'!$D193,'01. KE30'!$F:$F,'06. BC BH THEO CUSTOMER-USD'!$H193,'01. KE30'!$A:$A,'06. BC BH THEO CUSTOMER-USD'!EF$4),"-")</f>
        <v>0</v>
      </c>
      <c r="EH193" s="571">
        <f t="shared" ref="EH193" si="2230">IFERROR(DT193/DF193,"-")</f>
        <v>-0.61995941542517752</v>
      </c>
      <c r="EI193" s="572" t="str">
        <f t="shared" ref="EI193" si="2231">IFERROR(DU193/DG193,"-")</f>
        <v>-</v>
      </c>
      <c r="EJ193" s="572" t="str">
        <f t="shared" ref="EJ193" si="2232">IFERROR(DV193/DH193,"-")</f>
        <v>-</v>
      </c>
      <c r="EK193" s="572" t="str">
        <f t="shared" ref="EK193" si="2233">IFERROR(DW193/DI193,"-")</f>
        <v>-</v>
      </c>
      <c r="EL193" s="572" t="str">
        <f t="shared" ref="EL193" si="2234">IFERROR(DX193/DJ193,"-")</f>
        <v>-</v>
      </c>
      <c r="EM193" s="572" t="str">
        <f t="shared" ref="EM193" si="2235">IFERROR(DY193/DK193,"-")</f>
        <v>-</v>
      </c>
      <c r="EN193" s="572">
        <f t="shared" ref="EN193" si="2236">IFERROR(DZ193/DL193,"-")</f>
        <v>-0.61996217845489754</v>
      </c>
      <c r="EO193" s="572" t="str">
        <f t="shared" ref="EO193" si="2237">IFERROR(EA193/DM193,"-")</f>
        <v>-</v>
      </c>
      <c r="EP193" s="572">
        <f t="shared" ref="EP193" si="2238">IFERROR(EB193/DN193,"-")</f>
        <v>-0.61998174138760609</v>
      </c>
      <c r="EQ193" s="572" t="str">
        <f t="shared" ref="EQ193" si="2239">IFERROR(EC193/DO193,"-")</f>
        <v>-</v>
      </c>
      <c r="ER193" s="572" t="str">
        <f t="shared" ref="ER193" si="2240">IFERROR(ED193/DP193,"-")</f>
        <v>-</v>
      </c>
      <c r="ES193" s="572" t="str">
        <f t="shared" ref="ES193" si="2241">IFERROR(EE193/DQ193,"-")</f>
        <v>-</v>
      </c>
      <c r="ET193" s="572" t="str">
        <f t="shared" ref="ET193" si="2242">IFERROR(EF193/DR193,"-")</f>
        <v>-</v>
      </c>
    </row>
    <row r="194" spans="1:150" ht="15.5" hidden="1" outlineLevel="1" x14ac:dyDescent="0.35">
      <c r="A194" s="10">
        <f>A192+1</f>
        <v>19</v>
      </c>
      <c r="B194" s="10" t="s">
        <v>295</v>
      </c>
      <c r="C194" s="442" t="s">
        <v>489</v>
      </c>
      <c r="D194" s="9" t="s">
        <v>718</v>
      </c>
      <c r="E194" s="8" t="s">
        <v>719</v>
      </c>
      <c r="F194" s="12" t="s">
        <v>245</v>
      </c>
      <c r="G194" s="12" t="str">
        <f>_xlfn.XLOOKUP(F194,'Quy đổi'!$G$5:$G$32,'Quy đổi'!$H$5:$H$32,0)</f>
        <v>Nội địa</v>
      </c>
      <c r="H194" s="80" t="s">
        <v>41</v>
      </c>
      <c r="I194" s="7" t="s">
        <v>40</v>
      </c>
      <c r="J194" s="69" t="s">
        <v>22</v>
      </c>
      <c r="K194" s="5"/>
      <c r="L194" s="92">
        <f t="shared" ref="L194" si="2243">IFERROR(AVERAGE(M194:X194),"-")</f>
        <v>580.72009291521488</v>
      </c>
      <c r="M194" s="106" t="str">
        <f>IFERROR(SUMIFS('01. KE30'!$K:$K,'01. KE30'!$C:$C,'06. BC BH THEO CUSTOMER-USD'!$D194,'01. KE30'!$F:$F,'06. BC BH THEO CUSTOMER-USD'!$H194,'01. KE30'!$A:$A,'06. BC BH THEO CUSTOMER-USD'!M$4)/'06. BC BH THEO CUSTOMER-USD'!CS194/'02. Tỷ giá'!B$5,"-")</f>
        <v>-</v>
      </c>
      <c r="N194" s="106" t="str">
        <f>IFERROR(SUMIFS('01. KE30'!$K:$K,'01. KE30'!$C:$C,'06. BC BH THEO CUSTOMER-USD'!$D194,'01. KE30'!$F:$F,'06. BC BH THEO CUSTOMER-USD'!$H194,'01. KE30'!$A:$A,'06. BC BH THEO CUSTOMER-USD'!N$4)/'06. BC BH THEO CUSTOMER-USD'!CT194/'02. Tỷ giá'!C$5,"-")</f>
        <v>-</v>
      </c>
      <c r="O194" s="106" t="str">
        <f>IFERROR(SUMIFS('01. KE30'!$K:$K,'01. KE30'!$C:$C,'06. BC BH THEO CUSTOMER-USD'!$D194,'01. KE30'!$F:$F,'06. BC BH THEO CUSTOMER-USD'!$H194,'01. KE30'!$A:$A,'06. BC BH THEO CUSTOMER-USD'!O$4)/'06. BC BH THEO CUSTOMER-USD'!CU194/'02. Tỷ giá'!D$5,"-")</f>
        <v>-</v>
      </c>
      <c r="P194" s="106">
        <f>IFERROR(SUMIFS('01. KE30'!$K:$K,'01. KE30'!$C:$C,'06. BC BH THEO CUSTOMER-USD'!$D194,'01. KE30'!$F:$F,'06. BC BH THEO CUSTOMER-USD'!$H194,'01. KE30'!$A:$A,'06. BC BH THEO CUSTOMER-USD'!P$4)/'06. BC BH THEO CUSTOMER-USD'!CV194/'02. Tỷ giá'!E$5,"-")</f>
        <v>580.72009291521488</v>
      </c>
      <c r="Q194" s="106" t="str">
        <f>IFERROR(SUMIFS('01. KE30'!$K:$K,'01. KE30'!$C:$C,'06. BC BH THEO CUSTOMER-USD'!$D194,'01. KE30'!$F:$F,'06. BC BH THEO CUSTOMER-USD'!$H194,'01. KE30'!$A:$A,'06. BC BH THEO CUSTOMER-USD'!Q$4)/'06. BC BH THEO CUSTOMER-USD'!CW194/'02. Tỷ giá'!F$5,"-")</f>
        <v>-</v>
      </c>
      <c r="R194" s="106" t="str">
        <f>IFERROR(SUMIFS('01. KE30'!$K:$K,'01. KE30'!$C:$C,'06. BC BH THEO CUSTOMER-USD'!$D194,'01. KE30'!$F:$F,'06. BC BH THEO CUSTOMER-USD'!$H194,'01. KE30'!$A:$A,'06. BC BH THEO CUSTOMER-USD'!R$4)/'06. BC BH THEO CUSTOMER-USD'!CX194/'02. Tỷ giá'!G$5,"-")</f>
        <v>-</v>
      </c>
      <c r="S194" s="106" t="str">
        <f>IFERROR(SUMIFS('01. KE30'!$K:$K,'01. KE30'!$C:$C,'06. BC BH THEO CUSTOMER-USD'!$D194,'01. KE30'!$F:$F,'06. BC BH THEO CUSTOMER-USD'!$H194,'01. KE30'!$A:$A,'06. BC BH THEO CUSTOMER-USD'!S$4)/'06. BC BH THEO CUSTOMER-USD'!CY194/'02. Tỷ giá'!H$5,"-")</f>
        <v>-</v>
      </c>
      <c r="T194" s="106" t="str">
        <f>IFERROR(SUMIFS('01. KE30'!$K:$K,'01. KE30'!$C:$C,'06. BC BH THEO CUSTOMER-USD'!$D194,'01. KE30'!$F:$F,'06. BC BH THEO CUSTOMER-USD'!$H194,'01. KE30'!$A:$A,'06. BC BH THEO CUSTOMER-USD'!T$4)/'06. BC BH THEO CUSTOMER-USD'!CZ194/'02. Tỷ giá'!I$5,"-")</f>
        <v>-</v>
      </c>
      <c r="U194" s="106" t="str">
        <f>IFERROR(SUMIFS('01. KE30'!$K:$K,'01. KE30'!$C:$C,'06. BC BH THEO CUSTOMER-USD'!$D194,'01. KE30'!$F:$F,'06. BC BH THEO CUSTOMER-USD'!$H194,'01. KE30'!$A:$A,'06. BC BH THEO CUSTOMER-USD'!U$4)/'06. BC BH THEO CUSTOMER-USD'!DA194/'02. Tỷ giá'!J$5,"-")</f>
        <v>-</v>
      </c>
      <c r="V194" s="106" t="str">
        <f>IFERROR(SUMIFS('01. KE30'!$K:$K,'01. KE30'!$C:$C,'06. BC BH THEO CUSTOMER-USD'!$D194,'01. KE30'!$F:$F,'06. BC BH THEO CUSTOMER-USD'!$H194,'01. KE30'!$A:$A,'06. BC BH THEO CUSTOMER-USD'!V$4)/'06. BC BH THEO CUSTOMER-USD'!DB194/'02. Tỷ giá'!K$5,"-")</f>
        <v>-</v>
      </c>
      <c r="W194" s="106" t="str">
        <f>IFERROR(SUMIFS('01. KE30'!$K:$K,'01. KE30'!$C:$C,'06. BC BH THEO CUSTOMER-USD'!$D194,'01. KE30'!$F:$F,'06. BC BH THEO CUSTOMER-USD'!$H194,'01. KE30'!$A:$A,'06. BC BH THEO CUSTOMER-USD'!W$4)/'06. BC BH THEO CUSTOMER-USD'!DC194/'02. Tỷ giá'!L$5,"-")</f>
        <v>-</v>
      </c>
      <c r="X194" s="106" t="str">
        <f>IFERROR(SUMIFS('01. KE30'!$K:$K,'01. KE30'!$C:$C,'06. BC BH THEO CUSTOMER-USD'!$D194,'01. KE30'!$F:$F,'06. BC BH THEO CUSTOMER-USD'!$H194,'01. KE30'!$A:$A,'06. BC BH THEO CUSTOMER-USD'!X$4)/'06. BC BH THEO CUSTOMER-USD'!DD194/'02. Tỷ giá'!M$5,"-")</f>
        <v>-</v>
      </c>
      <c r="Z194" s="92">
        <f t="shared" ref="Z194" si="2244">IFERROR(AVERAGE(AA194:AL194),"-")</f>
        <v>580.72009291521488</v>
      </c>
      <c r="AA194" s="147" t="str">
        <f>IFERROR(SUMIFS('01. KE30'!$O:$O,'01. KE30'!$C:$C,'06. BC BH THEO CUSTOMER-USD'!$D194,'01. KE30'!$F:$F,'06. BC BH THEO CUSTOMER-USD'!$H194,'01. KE30'!$A:$A,'06. BC BH THEO CUSTOMER-USD'!M$4)/'06. BC BH THEO CUSTOMER-USD'!CS194/'02. Tỷ giá'!B$5,"-")</f>
        <v>-</v>
      </c>
      <c r="AB194" s="147" t="str">
        <f>IFERROR(SUMIFS('01. KE30'!$O:$O,'01. KE30'!$C:$C,'06. BC BH THEO CUSTOMER-USD'!$D194,'01. KE30'!$F:$F,'06. BC BH THEO CUSTOMER-USD'!$H194,'01. KE30'!$A:$A,'06. BC BH THEO CUSTOMER-USD'!N$4)/'06. BC BH THEO CUSTOMER-USD'!CT194/'02. Tỷ giá'!C$5,"-")</f>
        <v>-</v>
      </c>
      <c r="AC194" s="147" t="str">
        <f>IFERROR(SUMIFS('01. KE30'!$O:$O,'01. KE30'!$C:$C,'06. BC BH THEO CUSTOMER-USD'!$D194,'01. KE30'!$F:$F,'06. BC BH THEO CUSTOMER-USD'!$H194,'01. KE30'!$A:$A,'06. BC BH THEO CUSTOMER-USD'!O$4)/'06. BC BH THEO CUSTOMER-USD'!CU194/'02. Tỷ giá'!D$5,"-")</f>
        <v>-</v>
      </c>
      <c r="AD194" s="147">
        <f>IFERROR(SUMIFS('01. KE30'!$O:$O,'01. KE30'!$C:$C,'06. BC BH THEO CUSTOMER-USD'!$D194,'01. KE30'!$F:$F,'06. BC BH THEO CUSTOMER-USD'!$H194,'01. KE30'!$A:$A,'06. BC BH THEO CUSTOMER-USD'!P$4)/'06. BC BH THEO CUSTOMER-USD'!CV194/'02. Tỷ giá'!E$5,"-")</f>
        <v>580.72009291521488</v>
      </c>
      <c r="AE194" s="147" t="str">
        <f>IFERROR(SUMIFS('01. KE30'!$O:$O,'01. KE30'!$C:$C,'06. BC BH THEO CUSTOMER-USD'!$D194,'01. KE30'!$F:$F,'06. BC BH THEO CUSTOMER-USD'!$H194,'01. KE30'!$A:$A,'06. BC BH THEO CUSTOMER-USD'!Q$4)/'06. BC BH THEO CUSTOMER-USD'!CW194/'02. Tỷ giá'!F$5,"-")</f>
        <v>-</v>
      </c>
      <c r="AF194" s="147" t="str">
        <f>IFERROR(SUMIFS('01. KE30'!$O:$O,'01. KE30'!$C:$C,'06. BC BH THEO CUSTOMER-USD'!$D194,'01. KE30'!$F:$F,'06. BC BH THEO CUSTOMER-USD'!$H194,'01. KE30'!$A:$A,'06. BC BH THEO CUSTOMER-USD'!R$4)/'06. BC BH THEO CUSTOMER-USD'!CX194/'02. Tỷ giá'!G$5,"-")</f>
        <v>-</v>
      </c>
      <c r="AG194" s="147" t="str">
        <f>IFERROR(SUMIFS('01. KE30'!$O:$O,'01. KE30'!$C:$C,'06. BC BH THEO CUSTOMER-USD'!$D194,'01. KE30'!$F:$F,'06. BC BH THEO CUSTOMER-USD'!$H194,'01. KE30'!$A:$A,'06. BC BH THEO CUSTOMER-USD'!S$4)/'06. BC BH THEO CUSTOMER-USD'!CY194/'02. Tỷ giá'!H$5,"-")</f>
        <v>-</v>
      </c>
      <c r="AH194" s="147" t="str">
        <f>IFERROR(SUMIFS('01. KE30'!$O:$O,'01. KE30'!$C:$C,'06. BC BH THEO CUSTOMER-USD'!$D194,'01. KE30'!$F:$F,'06. BC BH THEO CUSTOMER-USD'!$H194,'01. KE30'!$A:$A,'06. BC BH THEO CUSTOMER-USD'!T$4)/'06. BC BH THEO CUSTOMER-USD'!CZ194/'02. Tỷ giá'!I$5,"-")</f>
        <v>-</v>
      </c>
      <c r="AI194" s="147" t="str">
        <f>IFERROR(SUMIFS('01. KE30'!$O:$O,'01. KE30'!$C:$C,'06. BC BH THEO CUSTOMER-USD'!$D194,'01. KE30'!$F:$F,'06. BC BH THEO CUSTOMER-USD'!$H194,'01. KE30'!$A:$A,'06. BC BH THEO CUSTOMER-USD'!U$4)/'06. BC BH THEO CUSTOMER-USD'!DA194/'02. Tỷ giá'!J$5,"-")</f>
        <v>-</v>
      </c>
      <c r="AJ194" s="147" t="str">
        <f>IFERROR(SUMIFS('01. KE30'!$O:$O,'01. KE30'!$C:$C,'06. BC BH THEO CUSTOMER-USD'!$D194,'01. KE30'!$F:$F,'06. BC BH THEO CUSTOMER-USD'!$H194,'01. KE30'!$A:$A,'06. BC BH THEO CUSTOMER-USD'!V$4)/'06. BC BH THEO CUSTOMER-USD'!DB194/'02. Tỷ giá'!K$5,"-")</f>
        <v>-</v>
      </c>
      <c r="AK194" s="147" t="str">
        <f>IFERROR(SUMIFS('01. KE30'!$O:$O,'01. KE30'!$C:$C,'06. BC BH THEO CUSTOMER-USD'!$D194,'01. KE30'!$F:$F,'06. BC BH THEO CUSTOMER-USD'!$H194,'01. KE30'!$A:$A,'06. BC BH THEO CUSTOMER-USD'!W$4)/'06. BC BH THEO CUSTOMER-USD'!DC194/'02. Tỷ giá'!L$5,"-")</f>
        <v>-</v>
      </c>
      <c r="AL194" s="147" t="str">
        <f>IFERROR(SUMIFS('01. KE30'!$O:$O,'01. KE30'!$C:$C,'06. BC BH THEO CUSTOMER-USD'!$D194,'01. KE30'!$F:$F,'06. BC BH THEO CUSTOMER-USD'!$H194,'01. KE30'!$A:$A,'06. BC BH THEO CUSTOMER-USD'!X$4)/'06. BC BH THEO CUSTOMER-USD'!DD194/'02. Tỷ giá'!M$5,"-")</f>
        <v>-</v>
      </c>
      <c r="AN194" s="92">
        <f t="shared" ref="AN194" si="2245">IFERROR(AVERAGE(AO194:AZ194),"-")</f>
        <v>740.55555555555554</v>
      </c>
      <c r="AO194" s="4">
        <v>855</v>
      </c>
      <c r="AP194" s="4">
        <v>750</v>
      </c>
      <c r="AQ194" s="4">
        <v>750</v>
      </c>
      <c r="AR194" s="4">
        <v>750</v>
      </c>
      <c r="AS194" s="4">
        <v>720</v>
      </c>
      <c r="AT194" s="4">
        <v>720</v>
      </c>
      <c r="AU194" s="4">
        <v>720</v>
      </c>
      <c r="AV194" s="4">
        <f t="shared" si="1272"/>
        <v>700</v>
      </c>
      <c r="AW194" s="4">
        <v>700</v>
      </c>
      <c r="AX194" s="4"/>
      <c r="AY194" s="4"/>
      <c r="AZ194" s="4"/>
      <c r="BB194" s="95">
        <f t="shared" ref="BB194" si="2246">IF(L194&lt;&gt;"-",Z194-AN194,"-")</f>
        <v>-159.83546264034067</v>
      </c>
      <c r="BC194" s="95" t="str">
        <f t="shared" ref="BC194" si="2247">IF(M194&lt;&gt;"-",AA194-AO194,"-")</f>
        <v>-</v>
      </c>
      <c r="BD194" s="95" t="str">
        <f t="shared" ref="BD194" si="2248">IF(N194&lt;&gt;"-",AB194-AP194,"-")</f>
        <v>-</v>
      </c>
      <c r="BE194" s="95" t="str">
        <f t="shared" ref="BE194" si="2249">IF(O194&lt;&gt;"-",AC194-AQ194,"-")</f>
        <v>-</v>
      </c>
      <c r="BF194" s="95">
        <f t="shared" ref="BF194" si="2250">IF(P194&lt;&gt;"-",AD194-AR194,"-")</f>
        <v>-169.27990708478512</v>
      </c>
      <c r="BG194" s="95" t="str">
        <f t="shared" ref="BG194" si="2251">IF(Q194&lt;&gt;"-",AE194-AS194,"-")</f>
        <v>-</v>
      </c>
      <c r="BH194" s="95" t="str">
        <f t="shared" ref="BH194" si="2252">IF(R194&lt;&gt;"-",AF194-AT194,"-")</f>
        <v>-</v>
      </c>
      <c r="BI194" s="95" t="str">
        <f t="shared" ref="BI194" si="2253">IF(S194&lt;&gt;"-",AG194-AU194,"-")</f>
        <v>-</v>
      </c>
      <c r="BJ194" s="95" t="str">
        <f t="shared" ref="BJ194" si="2254">IF(T194&lt;&gt;"-",AH194-AV194,"-")</f>
        <v>-</v>
      </c>
      <c r="BK194" s="95" t="str">
        <f t="shared" ref="BK194" si="2255">IF(U194&lt;&gt;"-",AI194-AW194,"-")</f>
        <v>-</v>
      </c>
      <c r="BL194" s="95" t="str">
        <f t="shared" ref="BL194" si="2256">IF(V194&lt;&gt;"-",AJ194-AX194,"-")</f>
        <v>-</v>
      </c>
      <c r="BM194" s="95" t="str">
        <f t="shared" ref="BM194" si="2257">IF(W194&lt;&gt;"-",AK194-AY194,"-")</f>
        <v>-</v>
      </c>
      <c r="BN194" s="95" t="str">
        <f t="shared" ref="BN194" si="2258">IF(X194&lt;&gt;"-",AL194-AZ194,"-")</f>
        <v>-</v>
      </c>
      <c r="BP194" s="143">
        <f t="shared" ref="BP194" si="2259">IFERROR(IF(BB194&lt;&gt;"-",BB194/AN194,"-"),"-")</f>
        <v>-0.21583183252259056</v>
      </c>
      <c r="BQ194" s="143" t="str">
        <f t="shared" ref="BQ194" si="2260">IFERROR(IF(BC194&lt;&gt;"-",BC194/AO194,"-"),"-")</f>
        <v>-</v>
      </c>
      <c r="BR194" s="143" t="str">
        <f t="shared" ref="BR194" si="2261">IFERROR(IF(BD194&lt;&gt;"-",BD194/AP194,"-"),"-")</f>
        <v>-</v>
      </c>
      <c r="BS194" s="143" t="str">
        <f t="shared" ref="BS194" si="2262">IFERROR(IF(BE194&lt;&gt;"-",BE194/AQ194,"-"),"-")</f>
        <v>-</v>
      </c>
      <c r="BT194" s="143">
        <f t="shared" ref="BT194" si="2263">IFERROR(IF(BF194&lt;&gt;"-",BF194/AR194,"-"),"-")</f>
        <v>-0.2257065427797135</v>
      </c>
      <c r="BU194" s="143" t="str">
        <f t="shared" ref="BU194" si="2264">IFERROR(IF(BG194&lt;&gt;"-",BG194/AS194,"-"),"-")</f>
        <v>-</v>
      </c>
      <c r="BV194" s="143" t="str">
        <f t="shared" ref="BV194" si="2265">IFERROR(IF(BH194&lt;&gt;"-",BH194/AT194,"-"),"-")</f>
        <v>-</v>
      </c>
      <c r="BW194" s="143" t="str">
        <f t="shared" ref="BW194" si="2266">IFERROR(IF(BI194&lt;&gt;"-",BI194/AU194,"-"),"-")</f>
        <v>-</v>
      </c>
      <c r="BX194" s="143" t="str">
        <f t="shared" ref="BX194" si="2267">IFERROR(IF(BJ194&lt;&gt;"-",BJ194/AV194,"-"),"-")</f>
        <v>-</v>
      </c>
      <c r="BY194" s="143" t="str">
        <f t="shared" ref="BY194" si="2268">IFERROR(IF(BK194&lt;&gt;"-",BK194/AW194,"-"),"-")</f>
        <v>-</v>
      </c>
      <c r="BZ194" s="143" t="str">
        <f t="shared" ref="BZ194" si="2269">IFERROR(IF(BL194&lt;&gt;"-",BL194/AX194,"-"),"-")</f>
        <v>-</v>
      </c>
      <c r="CA194" s="143" t="str">
        <f t="shared" ref="CA194" si="2270">IFERROR(IF(BM194&lt;&gt;"-",BM194/AY194,"-"),"-")</f>
        <v>-</v>
      </c>
      <c r="CB194" s="143" t="str">
        <f t="shared" ref="CB194" si="2271">IFERROR(IF(BN194&lt;&gt;"-",BN194/AZ194,"-"),"-")</f>
        <v>-</v>
      </c>
      <c r="CD194" s="112">
        <f t="shared" ref="CD194" si="2272">IFERROR(AVERAGE(CE194:CP194),"-")</f>
        <v>963.76538908246221</v>
      </c>
      <c r="CE194" s="95" t="str">
        <f>IFERROR(SUMIFS('01. KE30'!$R:$R,'01. KE30'!$C:$C,'06. BC BH THEO CUSTOMER-USD'!$D194,'01. KE30'!$F:$F,'06. BC BH THEO CUSTOMER-USD'!$H194,'01. KE30'!$A:$A,'06. BC BH THEO CUSTOMER-USD'!CE$4)/CS194/'02. Tỷ giá'!B$5," -")</f>
        <v xml:space="preserve"> -</v>
      </c>
      <c r="CF194" s="95" t="str">
        <f>IFERROR(SUMIFS('01. KE30'!$R:$R,'01. KE30'!$C:$C,'06. BC BH THEO CUSTOMER-USD'!$D194,'01. KE30'!$F:$F,'06. BC BH THEO CUSTOMER-USD'!$H194,'01. KE30'!$A:$A,'06. BC BH THEO CUSTOMER-USD'!CF$4)/CT194/'02. Tỷ giá'!C$5," -")</f>
        <v xml:space="preserve"> -</v>
      </c>
      <c r="CG194" s="95" t="str">
        <f>IFERROR(SUMIFS('01. KE30'!$R:$R,'01. KE30'!$C:$C,'06. BC BH THEO CUSTOMER-USD'!$D194,'01. KE30'!$F:$F,'06. BC BH THEO CUSTOMER-USD'!$H194,'01. KE30'!$A:$A,'06. BC BH THEO CUSTOMER-USD'!CG$4)/CU194/'02. Tỷ giá'!D$5," -")</f>
        <v xml:space="preserve"> -</v>
      </c>
      <c r="CH194" s="95">
        <f>IFERROR(SUMIFS('01. KE30'!$R:$R,'01. KE30'!$C:$C,'06. BC BH THEO CUSTOMER-USD'!$D194,'01. KE30'!$F:$F,'06. BC BH THEO CUSTOMER-USD'!$H194,'01. KE30'!$A:$A,'06. BC BH THEO CUSTOMER-USD'!CH$4)/CV194/'02. Tỷ giá'!E$5," -")</f>
        <v>963.76538908246221</v>
      </c>
      <c r="CI194" s="95" t="str">
        <f>IFERROR(SUMIFS('01. KE30'!$R:$R,'01. KE30'!$C:$C,'06. BC BH THEO CUSTOMER-USD'!$D194,'01. KE30'!$F:$F,'06. BC BH THEO CUSTOMER-USD'!$H194,'01. KE30'!$A:$A,'06. BC BH THEO CUSTOMER-USD'!CI$4)/CW194/'02. Tỷ giá'!F$5," -")</f>
        <v xml:space="preserve"> -</v>
      </c>
      <c r="CJ194" s="95" t="str">
        <f>IFERROR(SUMIFS('01. KE30'!$R:$R,'01. KE30'!$C:$C,'06. BC BH THEO CUSTOMER-USD'!$D194,'01. KE30'!$F:$F,'06. BC BH THEO CUSTOMER-USD'!$H194,'01. KE30'!$A:$A,'06. BC BH THEO CUSTOMER-USD'!CJ$4)/CX194/'02. Tỷ giá'!G$5," -")</f>
        <v xml:space="preserve"> -</v>
      </c>
      <c r="CK194" s="95" t="str">
        <f>IFERROR(SUMIFS('01. KE30'!$R:$R,'01. KE30'!$C:$C,'06. BC BH THEO CUSTOMER-USD'!$D194,'01. KE30'!$F:$F,'06. BC BH THEO CUSTOMER-USD'!$H194,'01. KE30'!$A:$A,'06. BC BH THEO CUSTOMER-USD'!CK$4)/CY194/'02. Tỷ giá'!H$5," -")</f>
        <v xml:space="preserve"> -</v>
      </c>
      <c r="CL194" s="95" t="str">
        <f>IFERROR(SUMIFS('01. KE30'!$R:$R,'01. KE30'!$C:$C,'06. BC BH THEO CUSTOMER-USD'!$D194,'01. KE30'!$F:$F,'06. BC BH THEO CUSTOMER-USD'!$H194,'01. KE30'!$A:$A,'06. BC BH THEO CUSTOMER-USD'!CL$4)/CZ194/'02. Tỷ giá'!I$5," -")</f>
        <v xml:space="preserve"> -</v>
      </c>
      <c r="CM194" s="95" t="str">
        <f>IFERROR(SUMIFS('01. KE30'!$R:$R,'01. KE30'!$C:$C,'06. BC BH THEO CUSTOMER-USD'!$D194,'01. KE30'!$F:$F,'06. BC BH THEO CUSTOMER-USD'!$H194,'01. KE30'!$A:$A,'06. BC BH THEO CUSTOMER-USD'!CM$4)/DA194/'02. Tỷ giá'!J$5," -")</f>
        <v xml:space="preserve"> -</v>
      </c>
      <c r="CN194" s="95" t="str">
        <f>IFERROR(SUMIFS('01. KE30'!$R:$R,'01. KE30'!$C:$C,'06. BC BH THEO CUSTOMER-USD'!$D194,'01. KE30'!$F:$F,'06. BC BH THEO CUSTOMER-USD'!$H194,'01. KE30'!$A:$A,'06. BC BH THEO CUSTOMER-USD'!CN$4)/DB194/'02. Tỷ giá'!K$5," -")</f>
        <v xml:space="preserve"> -</v>
      </c>
      <c r="CO194" s="95" t="str">
        <f>IFERROR(SUMIFS('01. KE30'!$R:$R,'01. KE30'!$C:$C,'06. BC BH THEO CUSTOMER-USD'!$D194,'01. KE30'!$F:$F,'06. BC BH THEO CUSTOMER-USD'!$H194,'01. KE30'!$A:$A,'06. BC BH THEO CUSTOMER-USD'!CO$4)/DC194/'02. Tỷ giá'!L$5," -")</f>
        <v xml:space="preserve"> -</v>
      </c>
      <c r="CP194" s="95" t="str">
        <f>IFERROR(SUMIFS('01. KE30'!$R:$R,'01. KE30'!$C:$C,'06. BC BH THEO CUSTOMER-USD'!$D194,'01. KE30'!$F:$F,'06. BC BH THEO CUSTOMER-USD'!$H194,'01. KE30'!$A:$A,'06. BC BH THEO CUSTOMER-USD'!CP$4)/DD194/'02. Tỷ giá'!M$5," -")</f>
        <v xml:space="preserve"> -</v>
      </c>
      <c r="CR194" s="112">
        <f t="shared" ref="CR194" si="2273">SUM(CS194:DD194)</f>
        <v>0.05</v>
      </c>
      <c r="CS194" s="114">
        <f>SUMIFS('01. KE30'!$I:$I,'01. KE30'!$C:$C,'06. BC BH THEO CUSTOMER-USD'!$D194,'01. KE30'!$F:$F,'06. BC BH THEO CUSTOMER-USD'!$H194,'01. KE30'!$A:$A,'06. BC BH THEO CUSTOMER-USD'!CS$4)/1000</f>
        <v>0</v>
      </c>
      <c r="CT194" s="114">
        <f>SUMIFS('01. KE30'!$I:$I,'01. KE30'!$C:$C,'06. BC BH THEO CUSTOMER-USD'!$D194,'01. KE30'!$F:$F,'06. BC BH THEO CUSTOMER-USD'!$H194,'01. KE30'!$A:$A,'06. BC BH THEO CUSTOMER-USD'!CT$4)/1000</f>
        <v>0</v>
      </c>
      <c r="CU194" s="114">
        <f>SUMIFS('01. KE30'!$I:$I,'01. KE30'!$C:$C,'06. BC BH THEO CUSTOMER-USD'!$D194,'01. KE30'!$F:$F,'06. BC BH THEO CUSTOMER-USD'!$H194,'01. KE30'!$A:$A,'06. BC BH THEO CUSTOMER-USD'!CU$4)/1000</f>
        <v>0</v>
      </c>
      <c r="CV194" s="114">
        <f>SUMIFS('01. KE30'!$I:$I,'01. KE30'!$C:$C,'06. BC BH THEO CUSTOMER-USD'!$D194,'01. KE30'!$F:$F,'06. BC BH THEO CUSTOMER-USD'!$H194,'01. KE30'!$A:$A,'06. BC BH THEO CUSTOMER-USD'!CV$4)/1000</f>
        <v>0.05</v>
      </c>
      <c r="CW194" s="114">
        <f>SUMIFS('01. KE30'!$I:$I,'01. KE30'!$C:$C,'06. BC BH THEO CUSTOMER-USD'!$D194,'01. KE30'!$F:$F,'06. BC BH THEO CUSTOMER-USD'!$H194,'01. KE30'!$A:$A,'06. BC BH THEO CUSTOMER-USD'!CW$4)/1000</f>
        <v>0</v>
      </c>
      <c r="CX194" s="114">
        <f>SUMIFS('01. KE30'!$I:$I,'01. KE30'!$C:$C,'06. BC BH THEO CUSTOMER-USD'!$D194,'01. KE30'!$F:$F,'06. BC BH THEO CUSTOMER-USD'!$H194,'01. KE30'!$A:$A,'06. BC BH THEO CUSTOMER-USD'!CX$4)/1000</f>
        <v>0</v>
      </c>
      <c r="CY194" s="114">
        <f>SUMIFS('01. KE30'!$I:$I,'01. KE30'!$C:$C,'06. BC BH THEO CUSTOMER-USD'!$D194,'01. KE30'!$F:$F,'06. BC BH THEO CUSTOMER-USD'!$H194,'01. KE30'!$A:$A,'06. BC BH THEO CUSTOMER-USD'!CY$4)/1000</f>
        <v>0</v>
      </c>
      <c r="CZ194" s="114">
        <f>SUMIFS('01. KE30'!$I:$I,'01. KE30'!$C:$C,'06. BC BH THEO CUSTOMER-USD'!$D194,'01. KE30'!$F:$F,'06. BC BH THEO CUSTOMER-USD'!$H194,'01. KE30'!$A:$A,'06. BC BH THEO CUSTOMER-USD'!CZ$4)/1000</f>
        <v>0</v>
      </c>
      <c r="DA194" s="114">
        <f>SUMIFS('01. KE30'!$I:$I,'01. KE30'!$C:$C,'06. BC BH THEO CUSTOMER-USD'!$D194,'01. KE30'!$F:$F,'06. BC BH THEO CUSTOMER-USD'!$H194,'01. KE30'!$A:$A,'06. BC BH THEO CUSTOMER-USD'!DA$4)/1000</f>
        <v>0</v>
      </c>
      <c r="DB194" s="114">
        <f>SUMIFS('01. KE30'!$I:$I,'01. KE30'!$C:$C,'06. BC BH THEO CUSTOMER-USD'!$D194,'01. KE30'!$F:$F,'06. BC BH THEO CUSTOMER-USD'!$H194,'01. KE30'!$A:$A,'06. BC BH THEO CUSTOMER-USD'!DB$4)/1000</f>
        <v>0</v>
      </c>
      <c r="DC194" s="114">
        <f>SUMIFS('01. KE30'!$I:$I,'01. KE30'!$C:$C,'06. BC BH THEO CUSTOMER-USD'!$D194,'01. KE30'!$F:$F,'06. BC BH THEO CUSTOMER-USD'!$H194,'01. KE30'!$A:$A,'06. BC BH THEO CUSTOMER-USD'!DC$4)/1000</f>
        <v>0</v>
      </c>
      <c r="DD194" s="114">
        <f>SUMIFS('01. KE30'!$I:$I,'01. KE30'!$C:$C,'06. BC BH THEO CUSTOMER-USD'!$D194,'01. KE30'!$F:$F,'06. BC BH THEO CUSTOMER-USD'!$H194,'01. KE30'!$A:$A,'06. BC BH THEO CUSTOMER-USD'!DD$4)/1000</f>
        <v>0</v>
      </c>
      <c r="DF194" s="112">
        <f t="shared" ref="DF194" si="2274">SUM(DG194:DR194)</f>
        <v>29.036004645760745</v>
      </c>
      <c r="DG194" s="54" t="str">
        <f t="shared" ref="DG194" si="2275">IFERROR(M194*CS194,"-")</f>
        <v>-</v>
      </c>
      <c r="DH194" s="54" t="str">
        <f t="shared" ref="DH194" si="2276">IFERROR(N194*CT194,"-")</f>
        <v>-</v>
      </c>
      <c r="DI194" s="54" t="str">
        <f t="shared" ref="DI194" si="2277">IFERROR(O194*CU194,"-")</f>
        <v>-</v>
      </c>
      <c r="DJ194" s="54">
        <f t="shared" ref="DJ194" si="2278">IFERROR(P194*CV194,"-")</f>
        <v>29.036004645760745</v>
      </c>
      <c r="DK194" s="54" t="str">
        <f t="shared" ref="DK194" si="2279">IFERROR(Q194*CW194,"-")</f>
        <v>-</v>
      </c>
      <c r="DL194" s="54" t="str">
        <f t="shared" ref="DL194" si="2280">IFERROR(R194*CX194,"-")</f>
        <v>-</v>
      </c>
      <c r="DM194" s="54" t="str">
        <f t="shared" ref="DM194" si="2281">IFERROR(S194*CY194,"-")</f>
        <v>-</v>
      </c>
      <c r="DN194" s="54" t="str">
        <f t="shared" ref="DN194" si="2282">IFERROR(T194*CZ194,"-")</f>
        <v>-</v>
      </c>
      <c r="DO194" s="54" t="str">
        <f t="shared" ref="DO194" si="2283">IFERROR(U194*DA194,"-")</f>
        <v>-</v>
      </c>
      <c r="DP194" s="54" t="str">
        <f t="shared" ref="DP194" si="2284">IFERROR(V194*DB194,"-")</f>
        <v>-</v>
      </c>
      <c r="DQ194" s="54" t="str">
        <f t="shared" ref="DQ194" si="2285">IFERROR(W194*DC194,"-")</f>
        <v>-</v>
      </c>
      <c r="DR194" s="54" t="str">
        <f t="shared" ref="DR194" si="2286">IFERROR(X194*DD194,"-")</f>
        <v>-</v>
      </c>
      <c r="DT194" s="112">
        <f t="shared" ref="DT194" si="2287">SUM(DU194:EF194)</f>
        <v>-19.152264808362371</v>
      </c>
      <c r="DU194" s="114">
        <f>IFERROR(SUMIFS('01. KE30'!$X:$X,'01. KE30'!$C:$C,'06. BC BH THEO CUSTOMER-USD'!$D194,'01. KE30'!$F:$F,'06. BC BH THEO CUSTOMER-USD'!$H194,'01. KE30'!$A:$A,'06. BC BH THEO CUSTOMER-USD'!DU$4)-SUMIFS('01. KE30'!$AA:$AA,'01. KE30'!$C:$C,'06. BC BH THEO CUSTOMER-USD'!$D194,'01. KE30'!$F:$F,'06. BC BH THEO CUSTOMER-USD'!$H194,'01. KE30'!$A:$A,'06. BC BH THEO CUSTOMER-USD'!DU$4),"-")</f>
        <v>0</v>
      </c>
      <c r="DV194" s="114">
        <f>IFERROR(SUMIFS('01. KE30'!$X:$X,'01. KE30'!$C:$C,'06. BC BH THEO CUSTOMER-USD'!$D194,'01. KE30'!$F:$F,'06. BC BH THEO CUSTOMER-USD'!$H194,'01. KE30'!$A:$A,'06. BC BH THEO CUSTOMER-USD'!DV$4)-SUMIFS('01. KE30'!$AA:$AA,'01. KE30'!$C:$C,'06. BC BH THEO CUSTOMER-USD'!$D194,'01. KE30'!$F:$F,'06. BC BH THEO CUSTOMER-USD'!$H194,'01. KE30'!$A:$A,'06. BC BH THEO CUSTOMER-USD'!DV$4),"-")</f>
        <v>0</v>
      </c>
      <c r="DW194" s="114">
        <f>IFERROR(SUMIFS('01. KE30'!$X:$X,'01. KE30'!$C:$C,'06. BC BH THEO CUSTOMER-USD'!$D194,'01. KE30'!$F:$F,'06. BC BH THEO CUSTOMER-USD'!$H194,'01. KE30'!$A:$A,'06. BC BH THEO CUSTOMER-USD'!DW$4)-SUMIFS('01. KE30'!$AA:$AA,'01. KE30'!$C:$C,'06. BC BH THEO CUSTOMER-USD'!$D194,'01. KE30'!$F:$F,'06. BC BH THEO CUSTOMER-USD'!$H194,'01. KE30'!$A:$A,'06. BC BH THEO CUSTOMER-USD'!DW$4),"-")</f>
        <v>0</v>
      </c>
      <c r="DX194" s="114">
        <f>IFERROR(SUMIFS('01. KE30'!$X:$X,'01. KE30'!$C:$C,'06. BC BH THEO CUSTOMER-USD'!$D194,'01. KE30'!$F:$F,'06. BC BH THEO CUSTOMER-USD'!$H194,'01. KE30'!$A:$A,'06. BC BH THEO CUSTOMER-USD'!DX$4)-SUMIFS('01. KE30'!$AA:$AA,'01. KE30'!$C:$C,'06. BC BH THEO CUSTOMER-USD'!$D194,'01. KE30'!$F:$F,'06. BC BH THEO CUSTOMER-USD'!$H194,'01. KE30'!$A:$A,'06. BC BH THEO CUSTOMER-USD'!DX$4),"-")</f>
        <v>-19.152264808362371</v>
      </c>
      <c r="DY194" s="114">
        <f>IFERROR(SUMIFS('01. KE30'!$X:$X,'01. KE30'!$C:$C,'06. BC BH THEO CUSTOMER-USD'!$D194,'01. KE30'!$F:$F,'06. BC BH THEO CUSTOMER-USD'!$H194,'01. KE30'!$A:$A,'06. BC BH THEO CUSTOMER-USD'!DY$4)-SUMIFS('01. KE30'!$AA:$AA,'01. KE30'!$C:$C,'06. BC BH THEO CUSTOMER-USD'!$D194,'01. KE30'!$F:$F,'06. BC BH THEO CUSTOMER-USD'!$H194,'01. KE30'!$A:$A,'06. BC BH THEO CUSTOMER-USD'!DY$4),"-")</f>
        <v>0</v>
      </c>
      <c r="DZ194" s="114">
        <f>IFERROR(SUMIFS('01. KE30'!$X:$X,'01. KE30'!$C:$C,'06. BC BH THEO CUSTOMER-USD'!$D194,'01. KE30'!$F:$F,'06. BC BH THEO CUSTOMER-USD'!$H194,'01. KE30'!$A:$A,'06. BC BH THEO CUSTOMER-USD'!DZ$4)-SUMIFS('01. KE30'!$AA:$AA,'01. KE30'!$C:$C,'06. BC BH THEO CUSTOMER-USD'!$D194,'01. KE30'!$F:$F,'06. BC BH THEO CUSTOMER-USD'!$H194,'01. KE30'!$A:$A,'06. BC BH THEO CUSTOMER-USD'!DZ$4),"-")</f>
        <v>0</v>
      </c>
      <c r="EA194" s="114">
        <f>IFERROR(SUMIFS('01. KE30'!$X:$X,'01. KE30'!$C:$C,'06. BC BH THEO CUSTOMER-USD'!$D194,'01. KE30'!$F:$F,'06. BC BH THEO CUSTOMER-USD'!$H194,'01. KE30'!$A:$A,'06. BC BH THEO CUSTOMER-USD'!EA$4)-SUMIFS('01. KE30'!$AA:$AA,'01. KE30'!$C:$C,'06. BC BH THEO CUSTOMER-USD'!$D194,'01. KE30'!$F:$F,'06. BC BH THEO CUSTOMER-USD'!$H194,'01. KE30'!$A:$A,'06. BC BH THEO CUSTOMER-USD'!EA$4),"-")</f>
        <v>0</v>
      </c>
      <c r="EB194" s="114">
        <f>IFERROR(SUMIFS('01. KE30'!$X:$X,'01. KE30'!$C:$C,'06. BC BH THEO CUSTOMER-USD'!$D194,'01. KE30'!$F:$F,'06. BC BH THEO CUSTOMER-USD'!$H194,'01. KE30'!$A:$A,'06. BC BH THEO CUSTOMER-USD'!EB$4)-SUMIFS('01. KE30'!$AA:$AA,'01. KE30'!$C:$C,'06. BC BH THEO CUSTOMER-USD'!$D194,'01. KE30'!$F:$F,'06. BC BH THEO CUSTOMER-USD'!$H194,'01. KE30'!$A:$A,'06. BC BH THEO CUSTOMER-USD'!EB$4),"-")</f>
        <v>0</v>
      </c>
      <c r="EC194" s="114">
        <f>IFERROR(SUMIFS('01. KE30'!$X:$X,'01. KE30'!$C:$C,'06. BC BH THEO CUSTOMER-USD'!$D194,'01. KE30'!$F:$F,'06. BC BH THEO CUSTOMER-USD'!$H194,'01. KE30'!$A:$A,'06. BC BH THEO CUSTOMER-USD'!EC$4)-SUMIFS('01. KE30'!$AA:$AA,'01. KE30'!$C:$C,'06. BC BH THEO CUSTOMER-USD'!$D194,'01. KE30'!$F:$F,'06. BC BH THEO CUSTOMER-USD'!$H194,'01. KE30'!$A:$A,'06. BC BH THEO CUSTOMER-USD'!EC$4),"-")</f>
        <v>0</v>
      </c>
      <c r="ED194" s="114">
        <f>IFERROR(SUMIFS('01. KE30'!$X:$X,'01. KE30'!$C:$C,'06. BC BH THEO CUSTOMER-USD'!$D194,'01. KE30'!$F:$F,'06. BC BH THEO CUSTOMER-USD'!$H194,'01. KE30'!$A:$A,'06. BC BH THEO CUSTOMER-USD'!ED$4)-SUMIFS('01. KE30'!$AA:$AA,'01. KE30'!$C:$C,'06. BC BH THEO CUSTOMER-USD'!$D194,'01. KE30'!$F:$F,'06. BC BH THEO CUSTOMER-USD'!$H194,'01. KE30'!$A:$A,'06. BC BH THEO CUSTOMER-USD'!ED$4),"-")</f>
        <v>0</v>
      </c>
      <c r="EE194" s="114">
        <f>IFERROR(SUMIFS('01. KE30'!$X:$X,'01. KE30'!$C:$C,'06. BC BH THEO CUSTOMER-USD'!$D194,'01. KE30'!$F:$F,'06. BC BH THEO CUSTOMER-USD'!$H194,'01. KE30'!$A:$A,'06. BC BH THEO CUSTOMER-USD'!EE$4)-SUMIFS('01. KE30'!$AA:$AA,'01. KE30'!$C:$C,'06. BC BH THEO CUSTOMER-USD'!$D194,'01. KE30'!$F:$F,'06. BC BH THEO CUSTOMER-USD'!$H194,'01. KE30'!$A:$A,'06. BC BH THEO CUSTOMER-USD'!EE$4),"-")</f>
        <v>0</v>
      </c>
      <c r="EF194" s="114">
        <f>IFERROR(SUMIFS('01. KE30'!$X:$X,'01. KE30'!$C:$C,'06. BC BH THEO CUSTOMER-USD'!$D194,'01. KE30'!$F:$F,'06. BC BH THEO CUSTOMER-USD'!$H194,'01. KE30'!$A:$A,'06. BC BH THEO CUSTOMER-USD'!EF$4)-SUMIFS('01. KE30'!$AA:$AA,'01. KE30'!$C:$C,'06. BC BH THEO CUSTOMER-USD'!$D194,'01. KE30'!$F:$F,'06. BC BH THEO CUSTOMER-USD'!$H194,'01. KE30'!$A:$A,'06. BC BH THEO CUSTOMER-USD'!EF$4),"-")</f>
        <v>0</v>
      </c>
      <c r="EH194" s="571">
        <f t="shared" ref="EH194" si="2288">IFERROR(DT194/DF194,"-")</f>
        <v>-0.65960400000000008</v>
      </c>
      <c r="EI194" s="572" t="str">
        <f t="shared" ref="EI194" si="2289">IFERROR(DU194/DG194,"-")</f>
        <v>-</v>
      </c>
      <c r="EJ194" s="572" t="str">
        <f t="shared" ref="EJ194" si="2290">IFERROR(DV194/DH194,"-")</f>
        <v>-</v>
      </c>
      <c r="EK194" s="572" t="str">
        <f t="shared" ref="EK194" si="2291">IFERROR(DW194/DI194,"-")</f>
        <v>-</v>
      </c>
      <c r="EL194" s="572">
        <f t="shared" ref="EL194" si="2292">IFERROR(DX194/DJ194,"-")</f>
        <v>-0.65960400000000008</v>
      </c>
      <c r="EM194" s="572" t="str">
        <f t="shared" ref="EM194" si="2293">IFERROR(DY194/DK194,"-")</f>
        <v>-</v>
      </c>
      <c r="EN194" s="572" t="str">
        <f t="shared" ref="EN194" si="2294">IFERROR(DZ194/DL194,"-")</f>
        <v>-</v>
      </c>
      <c r="EO194" s="572" t="str">
        <f t="shared" ref="EO194" si="2295">IFERROR(EA194/DM194,"-")</f>
        <v>-</v>
      </c>
      <c r="EP194" s="572" t="str">
        <f t="shared" ref="EP194" si="2296">IFERROR(EB194/DN194,"-")</f>
        <v>-</v>
      </c>
      <c r="EQ194" s="572" t="str">
        <f t="shared" ref="EQ194" si="2297">IFERROR(EC194/DO194,"-")</f>
        <v>-</v>
      </c>
      <c r="ER194" s="572" t="str">
        <f t="shared" ref="ER194" si="2298">IFERROR(ED194/DP194,"-")</f>
        <v>-</v>
      </c>
      <c r="ES194" s="572" t="str">
        <f t="shared" ref="ES194" si="2299">IFERROR(EE194/DQ194,"-")</f>
        <v>-</v>
      </c>
      <c r="ET194" s="572" t="str">
        <f t="shared" ref="ET194" si="2300">IFERROR(EF194/DR194,"-")</f>
        <v>-</v>
      </c>
    </row>
    <row r="195" spans="1:150" ht="15.5" hidden="1" outlineLevel="1" x14ac:dyDescent="0.35">
      <c r="A195" s="10">
        <f t="shared" si="1266"/>
        <v>20</v>
      </c>
      <c r="B195" s="10" t="s">
        <v>295</v>
      </c>
      <c r="C195" s="442" t="s">
        <v>489</v>
      </c>
      <c r="D195" s="9" t="s">
        <v>714</v>
      </c>
      <c r="E195" s="8" t="s">
        <v>715</v>
      </c>
      <c r="F195" s="12" t="s">
        <v>245</v>
      </c>
      <c r="G195" s="12" t="str">
        <f>_xlfn.XLOOKUP(F195,'Quy đổi'!$G$5:$G$32,'Quy đổi'!$H$5:$H$32,0)</f>
        <v>Nội địa</v>
      </c>
      <c r="H195" s="80" t="s">
        <v>41</v>
      </c>
      <c r="I195" s="7" t="s">
        <v>40</v>
      </c>
      <c r="J195" s="69" t="s">
        <v>22</v>
      </c>
      <c r="K195" s="5"/>
      <c r="L195" s="92">
        <f t="shared" ref="L195:L205" si="2301">IFERROR(AVERAGE(M195:X195),"-")</f>
        <v>609.39765130984642</v>
      </c>
      <c r="M195" s="106" t="str">
        <f>IFERROR(SUMIFS('01. KE30'!$K:$K,'01. KE30'!$C:$C,'06. BC BH THEO CUSTOMER-USD'!$D195,'01. KE30'!$F:$F,'06. BC BH THEO CUSTOMER-USD'!$H195,'01. KE30'!$A:$A,'06. BC BH THEO CUSTOMER-USD'!M$4)/'06. BC BH THEO CUSTOMER-USD'!CS195/'02. Tỷ giá'!B$5,"-")</f>
        <v>-</v>
      </c>
      <c r="N195" s="106" t="str">
        <f>IFERROR(SUMIFS('01. KE30'!$K:$K,'01. KE30'!$C:$C,'06. BC BH THEO CUSTOMER-USD'!$D195,'01. KE30'!$F:$F,'06. BC BH THEO CUSTOMER-USD'!$H195,'01. KE30'!$A:$A,'06. BC BH THEO CUSTOMER-USD'!N$4)/'06. BC BH THEO CUSTOMER-USD'!CT195/'02. Tỷ giá'!C$5,"-")</f>
        <v>-</v>
      </c>
      <c r="O195" s="106" t="str">
        <f>IFERROR(SUMIFS('01. KE30'!$K:$K,'01. KE30'!$C:$C,'06. BC BH THEO CUSTOMER-USD'!$D195,'01. KE30'!$F:$F,'06. BC BH THEO CUSTOMER-USD'!$H195,'01. KE30'!$A:$A,'06. BC BH THEO CUSTOMER-USD'!O$4)/'06. BC BH THEO CUSTOMER-USD'!CU195/'02. Tỷ giá'!D$5,"-")</f>
        <v>-</v>
      </c>
      <c r="P195" s="106">
        <f>IFERROR(SUMIFS('01. KE30'!$K:$K,'01. KE30'!$C:$C,'06. BC BH THEO CUSTOMER-USD'!$D195,'01. KE30'!$F:$F,'06. BC BH THEO CUSTOMER-USD'!$H195,'01. KE30'!$A:$A,'06. BC BH THEO CUSTOMER-USD'!P$4)/'06. BC BH THEO CUSTOMER-USD'!CV195/'02. Tỷ giá'!E$5,"-")</f>
        <v>609.39765130984642</v>
      </c>
      <c r="Q195" s="106" t="str">
        <f>IFERROR(SUMIFS('01. KE30'!$K:$K,'01. KE30'!$C:$C,'06. BC BH THEO CUSTOMER-USD'!$D195,'01. KE30'!$F:$F,'06. BC BH THEO CUSTOMER-USD'!$H195,'01. KE30'!$A:$A,'06. BC BH THEO CUSTOMER-USD'!Q$4)/'06. BC BH THEO CUSTOMER-USD'!CW195/'02. Tỷ giá'!F$5,"-")</f>
        <v>-</v>
      </c>
      <c r="R195" s="106" t="str">
        <f>IFERROR(SUMIFS('01. KE30'!$K:$K,'01. KE30'!$C:$C,'06. BC BH THEO CUSTOMER-USD'!$D195,'01. KE30'!$F:$F,'06. BC BH THEO CUSTOMER-USD'!$H195,'01. KE30'!$A:$A,'06. BC BH THEO CUSTOMER-USD'!R$4)/'06. BC BH THEO CUSTOMER-USD'!CX195/'02. Tỷ giá'!G$5,"-")</f>
        <v>-</v>
      </c>
      <c r="S195" s="106" t="str">
        <f>IFERROR(SUMIFS('01. KE30'!$K:$K,'01. KE30'!$C:$C,'06. BC BH THEO CUSTOMER-USD'!$D195,'01. KE30'!$F:$F,'06. BC BH THEO CUSTOMER-USD'!$H195,'01. KE30'!$A:$A,'06. BC BH THEO CUSTOMER-USD'!S$4)/'06. BC BH THEO CUSTOMER-USD'!CY195/'02. Tỷ giá'!H$5,"-")</f>
        <v>-</v>
      </c>
      <c r="T195" s="106" t="str">
        <f>IFERROR(SUMIFS('01. KE30'!$K:$K,'01. KE30'!$C:$C,'06. BC BH THEO CUSTOMER-USD'!$D195,'01. KE30'!$F:$F,'06. BC BH THEO CUSTOMER-USD'!$H195,'01. KE30'!$A:$A,'06. BC BH THEO CUSTOMER-USD'!T$4)/'06. BC BH THEO CUSTOMER-USD'!CZ195/'02. Tỷ giá'!I$5,"-")</f>
        <v>-</v>
      </c>
      <c r="U195" s="106" t="str">
        <f>IFERROR(SUMIFS('01. KE30'!$K:$K,'01. KE30'!$C:$C,'06. BC BH THEO CUSTOMER-USD'!$D195,'01. KE30'!$F:$F,'06. BC BH THEO CUSTOMER-USD'!$H195,'01. KE30'!$A:$A,'06. BC BH THEO CUSTOMER-USD'!U$4)/'06. BC BH THEO CUSTOMER-USD'!DA195/'02. Tỷ giá'!J$5,"-")</f>
        <v>-</v>
      </c>
      <c r="V195" s="106" t="str">
        <f>IFERROR(SUMIFS('01. KE30'!$K:$K,'01. KE30'!$C:$C,'06. BC BH THEO CUSTOMER-USD'!$D195,'01. KE30'!$F:$F,'06. BC BH THEO CUSTOMER-USD'!$H195,'01. KE30'!$A:$A,'06. BC BH THEO CUSTOMER-USD'!V$4)/'06. BC BH THEO CUSTOMER-USD'!DB195/'02. Tỷ giá'!K$5,"-")</f>
        <v>-</v>
      </c>
      <c r="W195" s="106" t="str">
        <f>IFERROR(SUMIFS('01. KE30'!$K:$K,'01. KE30'!$C:$C,'06. BC BH THEO CUSTOMER-USD'!$D195,'01. KE30'!$F:$F,'06. BC BH THEO CUSTOMER-USD'!$H195,'01. KE30'!$A:$A,'06. BC BH THEO CUSTOMER-USD'!W$4)/'06. BC BH THEO CUSTOMER-USD'!DC195/'02. Tỷ giá'!L$5,"-")</f>
        <v>-</v>
      </c>
      <c r="X195" s="106" t="str">
        <f>IFERROR(SUMIFS('01. KE30'!$K:$K,'01. KE30'!$C:$C,'06. BC BH THEO CUSTOMER-USD'!$D195,'01. KE30'!$F:$F,'06. BC BH THEO CUSTOMER-USD'!$H195,'01. KE30'!$A:$A,'06. BC BH THEO CUSTOMER-USD'!X$4)/'06. BC BH THEO CUSTOMER-USD'!DD195/'02. Tỷ giá'!M$5,"-")</f>
        <v>-</v>
      </c>
      <c r="Z195" s="92">
        <f t="shared" ref="Z195:Z205" si="2302">IFERROR(AVERAGE(AA195:AL195),"-")</f>
        <v>609.39765130984642</v>
      </c>
      <c r="AA195" s="147" t="str">
        <f>IFERROR(SUMIFS('01. KE30'!$O:$O,'01. KE30'!$C:$C,'06. BC BH THEO CUSTOMER-USD'!$D195,'01. KE30'!$F:$F,'06. BC BH THEO CUSTOMER-USD'!$H195,'01. KE30'!$A:$A,'06. BC BH THEO CUSTOMER-USD'!M$4)/'06. BC BH THEO CUSTOMER-USD'!CS195/'02. Tỷ giá'!B$5,"-")</f>
        <v>-</v>
      </c>
      <c r="AB195" s="147" t="str">
        <f>IFERROR(SUMIFS('01. KE30'!$O:$O,'01. KE30'!$C:$C,'06. BC BH THEO CUSTOMER-USD'!$D195,'01. KE30'!$F:$F,'06. BC BH THEO CUSTOMER-USD'!$H195,'01. KE30'!$A:$A,'06. BC BH THEO CUSTOMER-USD'!N$4)/'06. BC BH THEO CUSTOMER-USD'!CT195/'02. Tỷ giá'!C$5,"-")</f>
        <v>-</v>
      </c>
      <c r="AC195" s="147" t="str">
        <f>IFERROR(SUMIFS('01. KE30'!$O:$O,'01. KE30'!$C:$C,'06. BC BH THEO CUSTOMER-USD'!$D195,'01. KE30'!$F:$F,'06. BC BH THEO CUSTOMER-USD'!$H195,'01. KE30'!$A:$A,'06. BC BH THEO CUSTOMER-USD'!O$4)/'06. BC BH THEO CUSTOMER-USD'!CU195/'02. Tỷ giá'!D$5,"-")</f>
        <v>-</v>
      </c>
      <c r="AD195" s="147">
        <f>IFERROR(SUMIFS('01. KE30'!$O:$O,'01. KE30'!$C:$C,'06. BC BH THEO CUSTOMER-USD'!$D195,'01. KE30'!$F:$F,'06. BC BH THEO CUSTOMER-USD'!$H195,'01. KE30'!$A:$A,'06. BC BH THEO CUSTOMER-USD'!P$4)/'06. BC BH THEO CUSTOMER-USD'!CV195/'02. Tỷ giá'!E$5,"-")</f>
        <v>609.39765130984642</v>
      </c>
      <c r="AE195" s="147" t="str">
        <f>IFERROR(SUMIFS('01. KE30'!$O:$O,'01. KE30'!$C:$C,'06. BC BH THEO CUSTOMER-USD'!$D195,'01. KE30'!$F:$F,'06. BC BH THEO CUSTOMER-USD'!$H195,'01. KE30'!$A:$A,'06. BC BH THEO CUSTOMER-USD'!Q$4)/'06. BC BH THEO CUSTOMER-USD'!CW195/'02. Tỷ giá'!F$5,"-")</f>
        <v>-</v>
      </c>
      <c r="AF195" s="147" t="str">
        <f>IFERROR(SUMIFS('01. KE30'!$O:$O,'01. KE30'!$C:$C,'06. BC BH THEO CUSTOMER-USD'!$D195,'01. KE30'!$F:$F,'06. BC BH THEO CUSTOMER-USD'!$H195,'01. KE30'!$A:$A,'06. BC BH THEO CUSTOMER-USD'!R$4)/'06. BC BH THEO CUSTOMER-USD'!CX195/'02. Tỷ giá'!G$5,"-")</f>
        <v>-</v>
      </c>
      <c r="AG195" s="147" t="str">
        <f>IFERROR(SUMIFS('01. KE30'!$O:$O,'01. KE30'!$C:$C,'06. BC BH THEO CUSTOMER-USD'!$D195,'01. KE30'!$F:$F,'06. BC BH THEO CUSTOMER-USD'!$H195,'01. KE30'!$A:$A,'06. BC BH THEO CUSTOMER-USD'!S$4)/'06. BC BH THEO CUSTOMER-USD'!CY195/'02. Tỷ giá'!H$5,"-")</f>
        <v>-</v>
      </c>
      <c r="AH195" s="147" t="str">
        <f>IFERROR(SUMIFS('01. KE30'!$O:$O,'01. KE30'!$C:$C,'06. BC BH THEO CUSTOMER-USD'!$D195,'01. KE30'!$F:$F,'06. BC BH THEO CUSTOMER-USD'!$H195,'01. KE30'!$A:$A,'06. BC BH THEO CUSTOMER-USD'!T$4)/'06. BC BH THEO CUSTOMER-USD'!CZ195/'02. Tỷ giá'!I$5,"-")</f>
        <v>-</v>
      </c>
      <c r="AI195" s="147" t="str">
        <f>IFERROR(SUMIFS('01. KE30'!$O:$O,'01. KE30'!$C:$C,'06. BC BH THEO CUSTOMER-USD'!$D195,'01. KE30'!$F:$F,'06. BC BH THEO CUSTOMER-USD'!$H195,'01. KE30'!$A:$A,'06. BC BH THEO CUSTOMER-USD'!U$4)/'06. BC BH THEO CUSTOMER-USD'!DA195/'02. Tỷ giá'!J$5,"-")</f>
        <v>-</v>
      </c>
      <c r="AJ195" s="147" t="str">
        <f>IFERROR(SUMIFS('01. KE30'!$O:$O,'01. KE30'!$C:$C,'06. BC BH THEO CUSTOMER-USD'!$D195,'01. KE30'!$F:$F,'06. BC BH THEO CUSTOMER-USD'!$H195,'01. KE30'!$A:$A,'06. BC BH THEO CUSTOMER-USD'!V$4)/'06. BC BH THEO CUSTOMER-USD'!DB195/'02. Tỷ giá'!K$5,"-")</f>
        <v>-</v>
      </c>
      <c r="AK195" s="147" t="str">
        <f>IFERROR(SUMIFS('01. KE30'!$O:$O,'01. KE30'!$C:$C,'06. BC BH THEO CUSTOMER-USD'!$D195,'01. KE30'!$F:$F,'06. BC BH THEO CUSTOMER-USD'!$H195,'01. KE30'!$A:$A,'06. BC BH THEO CUSTOMER-USD'!W$4)/'06. BC BH THEO CUSTOMER-USD'!DC195/'02. Tỷ giá'!L$5,"-")</f>
        <v>-</v>
      </c>
      <c r="AL195" s="147" t="str">
        <f>IFERROR(SUMIFS('01. KE30'!$O:$O,'01. KE30'!$C:$C,'06. BC BH THEO CUSTOMER-USD'!$D195,'01. KE30'!$F:$F,'06. BC BH THEO CUSTOMER-USD'!$H195,'01. KE30'!$A:$A,'06. BC BH THEO CUSTOMER-USD'!X$4)/'06. BC BH THEO CUSTOMER-USD'!DD195/'02. Tỷ giá'!M$5,"-")</f>
        <v>-</v>
      </c>
      <c r="AN195" s="92">
        <f t="shared" ref="AN195:AN205" si="2303">IFERROR(AVERAGE(AO195:AZ195),"-")</f>
        <v>740.55555555555554</v>
      </c>
      <c r="AO195" s="4">
        <v>855</v>
      </c>
      <c r="AP195" s="4">
        <v>750</v>
      </c>
      <c r="AQ195" s="4">
        <v>750</v>
      </c>
      <c r="AR195" s="4">
        <v>750</v>
      </c>
      <c r="AS195" s="4">
        <v>720</v>
      </c>
      <c r="AT195" s="4">
        <v>720</v>
      </c>
      <c r="AU195" s="4">
        <v>720</v>
      </c>
      <c r="AV195" s="4">
        <f t="shared" si="1272"/>
        <v>700</v>
      </c>
      <c r="AW195" s="4">
        <v>700</v>
      </c>
      <c r="AX195" s="4"/>
      <c r="AY195" s="4"/>
      <c r="AZ195" s="4"/>
      <c r="BB195" s="95">
        <f t="shared" ref="BB195:BB205" si="2304">IF(L195&lt;&gt;"-",Z195-AN195,"-")</f>
        <v>-131.15790424570912</v>
      </c>
      <c r="BC195" s="95" t="str">
        <f t="shared" ref="BC195:BC205" si="2305">IF(M195&lt;&gt;"-",AA195-AO195,"-")</f>
        <v>-</v>
      </c>
      <c r="BD195" s="95" t="str">
        <f t="shared" ref="BD195:BD205" si="2306">IF(N195&lt;&gt;"-",AB195-AP195,"-")</f>
        <v>-</v>
      </c>
      <c r="BE195" s="95" t="str">
        <f t="shared" ref="BE195:BE205" si="2307">IF(O195&lt;&gt;"-",AC195-AQ195,"-")</f>
        <v>-</v>
      </c>
      <c r="BF195" s="95">
        <f t="shared" ref="BF195:BF205" si="2308">IF(P195&lt;&gt;"-",AD195-AR195,"-")</f>
        <v>-140.60234869015358</v>
      </c>
      <c r="BG195" s="95" t="str">
        <f t="shared" ref="BG195:BG205" si="2309">IF(Q195&lt;&gt;"-",AE195-AS195,"-")</f>
        <v>-</v>
      </c>
      <c r="BH195" s="95" t="str">
        <f t="shared" ref="BH195:BH205" si="2310">IF(R195&lt;&gt;"-",AF195-AT195,"-")</f>
        <v>-</v>
      </c>
      <c r="BI195" s="95" t="str">
        <f t="shared" ref="BI195:BI205" si="2311">IF(S195&lt;&gt;"-",AG195-AU195,"-")</f>
        <v>-</v>
      </c>
      <c r="BJ195" s="95" t="str">
        <f t="shared" ref="BJ195:BJ205" si="2312">IF(T195&lt;&gt;"-",AH195-AV195,"-")</f>
        <v>-</v>
      </c>
      <c r="BK195" s="95" t="str">
        <f t="shared" ref="BK195:BK205" si="2313">IF(U195&lt;&gt;"-",AI195-AW195,"-")</f>
        <v>-</v>
      </c>
      <c r="BL195" s="95" t="str">
        <f t="shared" ref="BL195:BL205" si="2314">IF(V195&lt;&gt;"-",AJ195-AX195,"-")</f>
        <v>-</v>
      </c>
      <c r="BM195" s="95" t="str">
        <f t="shared" ref="BM195:BM205" si="2315">IF(W195&lt;&gt;"-",AK195-AY195,"-")</f>
        <v>-</v>
      </c>
      <c r="BN195" s="95" t="str">
        <f t="shared" ref="BN195:BN205" si="2316">IF(X195&lt;&gt;"-",AL195-AZ195,"-")</f>
        <v>-</v>
      </c>
      <c r="BP195" s="143">
        <f t="shared" ref="BP195:BP205" si="2317">IFERROR(IF(BB195&lt;&gt;"-",BB195/AN195,"-"),"-")</f>
        <v>-0.17710744759360572</v>
      </c>
      <c r="BQ195" s="143" t="str">
        <f t="shared" ref="BQ195:BQ205" si="2318">IFERROR(IF(BC195&lt;&gt;"-",BC195/AO195,"-"),"-")</f>
        <v>-</v>
      </c>
      <c r="BR195" s="143" t="str">
        <f t="shared" ref="BR195:BR205" si="2319">IFERROR(IF(BD195&lt;&gt;"-",BD195/AP195,"-"),"-")</f>
        <v>-</v>
      </c>
      <c r="BS195" s="143" t="str">
        <f t="shared" ref="BS195:BS205" si="2320">IFERROR(IF(BE195&lt;&gt;"-",BE195/AQ195,"-"),"-")</f>
        <v>-</v>
      </c>
      <c r="BT195" s="143">
        <f t="shared" ref="BT195:BT205" si="2321">IFERROR(IF(BF195&lt;&gt;"-",BF195/AR195,"-"),"-")</f>
        <v>-0.1874697982535381</v>
      </c>
      <c r="BU195" s="143" t="str">
        <f t="shared" ref="BU195:BU205" si="2322">IFERROR(IF(BG195&lt;&gt;"-",BG195/AS195,"-"),"-")</f>
        <v>-</v>
      </c>
      <c r="BV195" s="143" t="str">
        <f t="shared" ref="BV195:BV205" si="2323">IFERROR(IF(BH195&lt;&gt;"-",BH195/AT195,"-"),"-")</f>
        <v>-</v>
      </c>
      <c r="BW195" s="143" t="str">
        <f t="shared" ref="BW195:BW205" si="2324">IFERROR(IF(BI195&lt;&gt;"-",BI195/AU195,"-"),"-")</f>
        <v>-</v>
      </c>
      <c r="BX195" s="143" t="str">
        <f t="shared" ref="BX195:BX205" si="2325">IFERROR(IF(BJ195&lt;&gt;"-",BJ195/AV195,"-"),"-")</f>
        <v>-</v>
      </c>
      <c r="BY195" s="143" t="str">
        <f t="shared" ref="BY195:BY205" si="2326">IFERROR(IF(BK195&lt;&gt;"-",BK195/AW195,"-"),"-")</f>
        <v>-</v>
      </c>
      <c r="BZ195" s="143" t="str">
        <f t="shared" ref="BZ195:BZ205" si="2327">IFERROR(IF(BL195&lt;&gt;"-",BL195/AX195,"-"),"-")</f>
        <v>-</v>
      </c>
      <c r="CA195" s="143" t="str">
        <f t="shared" ref="CA195:CA205" si="2328">IFERROR(IF(BM195&lt;&gt;"-",BM195/AY195,"-"),"-")</f>
        <v>-</v>
      </c>
      <c r="CB195" s="143" t="str">
        <f t="shared" ref="CB195:CB205" si="2329">IFERROR(IF(BN195&lt;&gt;"-",BN195/AZ195,"-"),"-")</f>
        <v>-</v>
      </c>
      <c r="CD195" s="112">
        <f t="shared" ref="CD195:CD205" si="2330">IFERROR(AVERAGE(CE195:CP195),"-")</f>
        <v>963.76569879984515</v>
      </c>
      <c r="CE195" s="95" t="str">
        <f>IFERROR(SUMIFS('01. KE30'!$R:$R,'01. KE30'!$C:$C,'06. BC BH THEO CUSTOMER-USD'!$D195,'01. KE30'!$F:$F,'06. BC BH THEO CUSTOMER-USD'!$H195,'01. KE30'!$A:$A,'06. BC BH THEO CUSTOMER-USD'!CE$4)/CS195/'02. Tỷ giá'!B$5," -")</f>
        <v xml:space="preserve"> -</v>
      </c>
      <c r="CF195" s="95" t="str">
        <f>IFERROR(SUMIFS('01. KE30'!$R:$R,'01. KE30'!$C:$C,'06. BC BH THEO CUSTOMER-USD'!$D195,'01. KE30'!$F:$F,'06. BC BH THEO CUSTOMER-USD'!$H195,'01. KE30'!$A:$A,'06. BC BH THEO CUSTOMER-USD'!CF$4)/CT195/'02. Tỷ giá'!C$5," -")</f>
        <v xml:space="preserve"> -</v>
      </c>
      <c r="CG195" s="95" t="str">
        <f>IFERROR(SUMIFS('01. KE30'!$R:$R,'01. KE30'!$C:$C,'06. BC BH THEO CUSTOMER-USD'!$D195,'01. KE30'!$F:$F,'06. BC BH THEO CUSTOMER-USD'!$H195,'01. KE30'!$A:$A,'06. BC BH THEO CUSTOMER-USD'!CG$4)/CU195/'02. Tỷ giá'!D$5," -")</f>
        <v xml:space="preserve"> -</v>
      </c>
      <c r="CH195" s="95">
        <f>IFERROR(SUMIFS('01. KE30'!$R:$R,'01. KE30'!$C:$C,'06. BC BH THEO CUSTOMER-USD'!$D195,'01. KE30'!$F:$F,'06. BC BH THEO CUSTOMER-USD'!$H195,'01. KE30'!$A:$A,'06. BC BH THEO CUSTOMER-USD'!CH$4)/CV195/'02. Tỷ giá'!E$5," -")</f>
        <v>963.76569879984515</v>
      </c>
      <c r="CI195" s="95" t="str">
        <f>IFERROR(SUMIFS('01. KE30'!$R:$R,'01. KE30'!$C:$C,'06. BC BH THEO CUSTOMER-USD'!$D195,'01. KE30'!$F:$F,'06. BC BH THEO CUSTOMER-USD'!$H195,'01. KE30'!$A:$A,'06. BC BH THEO CUSTOMER-USD'!CI$4)/CW195/'02. Tỷ giá'!F$5," -")</f>
        <v xml:space="preserve"> -</v>
      </c>
      <c r="CJ195" s="95" t="str">
        <f>IFERROR(SUMIFS('01. KE30'!$R:$R,'01. KE30'!$C:$C,'06. BC BH THEO CUSTOMER-USD'!$D195,'01. KE30'!$F:$F,'06. BC BH THEO CUSTOMER-USD'!$H195,'01. KE30'!$A:$A,'06. BC BH THEO CUSTOMER-USD'!CJ$4)/CX195/'02. Tỷ giá'!G$5," -")</f>
        <v xml:space="preserve"> -</v>
      </c>
      <c r="CK195" s="95" t="str">
        <f>IFERROR(SUMIFS('01. KE30'!$R:$R,'01. KE30'!$C:$C,'06. BC BH THEO CUSTOMER-USD'!$D195,'01. KE30'!$F:$F,'06. BC BH THEO CUSTOMER-USD'!$H195,'01. KE30'!$A:$A,'06. BC BH THEO CUSTOMER-USD'!CK$4)/CY195/'02. Tỷ giá'!H$5," -")</f>
        <v xml:space="preserve"> -</v>
      </c>
      <c r="CL195" s="95" t="str">
        <f>IFERROR(SUMIFS('01. KE30'!$R:$R,'01. KE30'!$C:$C,'06. BC BH THEO CUSTOMER-USD'!$D195,'01. KE30'!$F:$F,'06. BC BH THEO CUSTOMER-USD'!$H195,'01. KE30'!$A:$A,'06. BC BH THEO CUSTOMER-USD'!CL$4)/CZ195/'02. Tỷ giá'!I$5," -")</f>
        <v xml:space="preserve"> -</v>
      </c>
      <c r="CM195" s="95" t="str">
        <f>IFERROR(SUMIFS('01. KE30'!$R:$R,'01. KE30'!$C:$C,'06. BC BH THEO CUSTOMER-USD'!$D195,'01. KE30'!$F:$F,'06. BC BH THEO CUSTOMER-USD'!$H195,'01. KE30'!$A:$A,'06. BC BH THEO CUSTOMER-USD'!CM$4)/DA195/'02. Tỷ giá'!J$5," -")</f>
        <v xml:space="preserve"> -</v>
      </c>
      <c r="CN195" s="95" t="str">
        <f>IFERROR(SUMIFS('01. KE30'!$R:$R,'01. KE30'!$C:$C,'06. BC BH THEO CUSTOMER-USD'!$D195,'01. KE30'!$F:$F,'06. BC BH THEO CUSTOMER-USD'!$H195,'01. KE30'!$A:$A,'06. BC BH THEO CUSTOMER-USD'!CN$4)/DB195/'02. Tỷ giá'!K$5," -")</f>
        <v xml:space="preserve"> -</v>
      </c>
      <c r="CO195" s="95" t="str">
        <f>IFERROR(SUMIFS('01. KE30'!$R:$R,'01. KE30'!$C:$C,'06. BC BH THEO CUSTOMER-USD'!$D195,'01. KE30'!$F:$F,'06. BC BH THEO CUSTOMER-USD'!$H195,'01. KE30'!$A:$A,'06. BC BH THEO CUSTOMER-USD'!CO$4)/DC195/'02. Tỷ giá'!L$5," -")</f>
        <v xml:space="preserve"> -</v>
      </c>
      <c r="CP195" s="95" t="str">
        <f>IFERROR(SUMIFS('01. KE30'!$R:$R,'01. KE30'!$C:$C,'06. BC BH THEO CUSTOMER-USD'!$D195,'01. KE30'!$F:$F,'06. BC BH THEO CUSTOMER-USD'!$H195,'01. KE30'!$A:$A,'06. BC BH THEO CUSTOMER-USD'!CP$4)/DD195/'02. Tỷ giá'!M$5," -")</f>
        <v xml:space="preserve"> -</v>
      </c>
      <c r="CR195" s="112">
        <f t="shared" ref="CR195:CR205" si="2331">SUM(CS195:DD195)</f>
        <v>0.75</v>
      </c>
      <c r="CS195" s="114">
        <f>SUMIFS('01. KE30'!$I:$I,'01. KE30'!$C:$C,'06. BC BH THEO CUSTOMER-USD'!$D195,'01. KE30'!$F:$F,'06. BC BH THEO CUSTOMER-USD'!$H195,'01. KE30'!$A:$A,'06. BC BH THEO CUSTOMER-USD'!CS$4)/1000</f>
        <v>0</v>
      </c>
      <c r="CT195" s="114">
        <f>SUMIFS('01. KE30'!$I:$I,'01. KE30'!$C:$C,'06. BC BH THEO CUSTOMER-USD'!$D195,'01. KE30'!$F:$F,'06. BC BH THEO CUSTOMER-USD'!$H195,'01. KE30'!$A:$A,'06. BC BH THEO CUSTOMER-USD'!CT$4)/1000</f>
        <v>0</v>
      </c>
      <c r="CU195" s="114">
        <f>SUMIFS('01. KE30'!$I:$I,'01. KE30'!$C:$C,'06. BC BH THEO CUSTOMER-USD'!$D195,'01. KE30'!$F:$F,'06. BC BH THEO CUSTOMER-USD'!$H195,'01. KE30'!$A:$A,'06. BC BH THEO CUSTOMER-USD'!CU$4)/1000</f>
        <v>0</v>
      </c>
      <c r="CV195" s="114">
        <f>SUMIFS('01. KE30'!$I:$I,'01. KE30'!$C:$C,'06. BC BH THEO CUSTOMER-USD'!$D195,'01. KE30'!$F:$F,'06. BC BH THEO CUSTOMER-USD'!$H195,'01. KE30'!$A:$A,'06. BC BH THEO CUSTOMER-USD'!CV$4)/1000</f>
        <v>0.75</v>
      </c>
      <c r="CW195" s="114">
        <f>SUMIFS('01. KE30'!$I:$I,'01. KE30'!$C:$C,'06. BC BH THEO CUSTOMER-USD'!$D195,'01. KE30'!$F:$F,'06. BC BH THEO CUSTOMER-USD'!$H195,'01. KE30'!$A:$A,'06. BC BH THEO CUSTOMER-USD'!CW$4)/1000</f>
        <v>0</v>
      </c>
      <c r="CX195" s="114">
        <f>SUMIFS('01. KE30'!$I:$I,'01. KE30'!$C:$C,'06. BC BH THEO CUSTOMER-USD'!$D195,'01. KE30'!$F:$F,'06. BC BH THEO CUSTOMER-USD'!$H195,'01. KE30'!$A:$A,'06. BC BH THEO CUSTOMER-USD'!CX$4)/1000</f>
        <v>0</v>
      </c>
      <c r="CY195" s="114">
        <f>SUMIFS('01. KE30'!$I:$I,'01. KE30'!$C:$C,'06. BC BH THEO CUSTOMER-USD'!$D195,'01. KE30'!$F:$F,'06. BC BH THEO CUSTOMER-USD'!$H195,'01. KE30'!$A:$A,'06. BC BH THEO CUSTOMER-USD'!CY$4)/1000</f>
        <v>0</v>
      </c>
      <c r="CZ195" s="114">
        <f>SUMIFS('01. KE30'!$I:$I,'01. KE30'!$C:$C,'06. BC BH THEO CUSTOMER-USD'!$D195,'01. KE30'!$F:$F,'06. BC BH THEO CUSTOMER-USD'!$H195,'01. KE30'!$A:$A,'06. BC BH THEO CUSTOMER-USD'!CZ$4)/1000</f>
        <v>0</v>
      </c>
      <c r="DA195" s="114">
        <f>SUMIFS('01. KE30'!$I:$I,'01. KE30'!$C:$C,'06. BC BH THEO CUSTOMER-USD'!$D195,'01. KE30'!$F:$F,'06. BC BH THEO CUSTOMER-USD'!$H195,'01. KE30'!$A:$A,'06. BC BH THEO CUSTOMER-USD'!DA$4)/1000</f>
        <v>0</v>
      </c>
      <c r="DB195" s="114">
        <f>SUMIFS('01. KE30'!$I:$I,'01. KE30'!$C:$C,'06. BC BH THEO CUSTOMER-USD'!$D195,'01. KE30'!$F:$F,'06. BC BH THEO CUSTOMER-USD'!$H195,'01. KE30'!$A:$A,'06. BC BH THEO CUSTOMER-USD'!DB$4)/1000</f>
        <v>0</v>
      </c>
      <c r="DC195" s="114">
        <f>SUMIFS('01. KE30'!$I:$I,'01. KE30'!$C:$C,'06. BC BH THEO CUSTOMER-USD'!$D195,'01. KE30'!$F:$F,'06. BC BH THEO CUSTOMER-USD'!$H195,'01. KE30'!$A:$A,'06. BC BH THEO CUSTOMER-USD'!DC$4)/1000</f>
        <v>0</v>
      </c>
      <c r="DD195" s="114">
        <f>SUMIFS('01. KE30'!$I:$I,'01. KE30'!$C:$C,'06. BC BH THEO CUSTOMER-USD'!$D195,'01. KE30'!$F:$F,'06. BC BH THEO CUSTOMER-USD'!$H195,'01. KE30'!$A:$A,'06. BC BH THEO CUSTOMER-USD'!DD$4)/1000</f>
        <v>0</v>
      </c>
      <c r="DF195" s="112">
        <f t="shared" ref="DF195:DF205" si="2332">SUM(DG195:DR195)</f>
        <v>457.04823848238482</v>
      </c>
      <c r="DG195" s="54" t="str">
        <f t="shared" ref="DG195:DG205" si="2333">IFERROR(M195*CS195,"-")</f>
        <v>-</v>
      </c>
      <c r="DH195" s="54" t="str">
        <f t="shared" ref="DH195:DH205" si="2334">IFERROR(N195*CT195,"-")</f>
        <v>-</v>
      </c>
      <c r="DI195" s="54" t="str">
        <f t="shared" ref="DI195:DI205" si="2335">IFERROR(O195*CU195,"-")</f>
        <v>-</v>
      </c>
      <c r="DJ195" s="54">
        <f t="shared" ref="DJ195:DJ205" si="2336">IFERROR(P195*CV195,"-")</f>
        <v>457.04823848238482</v>
      </c>
      <c r="DK195" s="54" t="str">
        <f t="shared" ref="DK195:DK205" si="2337">IFERROR(Q195*CW195,"-")</f>
        <v>-</v>
      </c>
      <c r="DL195" s="54" t="str">
        <f t="shared" ref="DL195:DL205" si="2338">IFERROR(R195*CX195,"-")</f>
        <v>-</v>
      </c>
      <c r="DM195" s="54" t="str">
        <f t="shared" ref="DM195:DM205" si="2339">IFERROR(S195*CY195,"-")</f>
        <v>-</v>
      </c>
      <c r="DN195" s="54" t="str">
        <f t="shared" ref="DN195:DN205" si="2340">IFERROR(T195*CZ195,"-")</f>
        <v>-</v>
      </c>
      <c r="DO195" s="54" t="str">
        <f t="shared" ref="DO195:DO205" si="2341">IFERROR(U195*DA195,"-")</f>
        <v>-</v>
      </c>
      <c r="DP195" s="54" t="str">
        <f t="shared" ref="DP195:DP205" si="2342">IFERROR(V195*DB195,"-")</f>
        <v>-</v>
      </c>
      <c r="DQ195" s="54" t="str">
        <f t="shared" ref="DQ195:DQ205" si="2343">IFERROR(W195*DC195,"-")</f>
        <v>-</v>
      </c>
      <c r="DR195" s="54" t="str">
        <f t="shared" ref="DR195:DR205" si="2344">IFERROR(X195*DD195,"-")</f>
        <v>-</v>
      </c>
      <c r="DT195" s="112">
        <f t="shared" ref="DT195:DT205" si="2345">SUM(DU195:EF195)</f>
        <v>-265.77603561749902</v>
      </c>
      <c r="DU195" s="114">
        <f>IFERROR(SUMIFS('01. KE30'!$X:$X,'01. KE30'!$C:$C,'06. BC BH THEO CUSTOMER-USD'!$D195,'01. KE30'!$F:$F,'06. BC BH THEO CUSTOMER-USD'!$H195,'01. KE30'!$A:$A,'06. BC BH THEO CUSTOMER-USD'!DU$4)-SUMIFS('01. KE30'!$AA:$AA,'01. KE30'!$C:$C,'06. BC BH THEO CUSTOMER-USD'!$D195,'01. KE30'!$F:$F,'06. BC BH THEO CUSTOMER-USD'!$H195,'01. KE30'!$A:$A,'06. BC BH THEO CUSTOMER-USD'!DU$4),"-")</f>
        <v>0</v>
      </c>
      <c r="DV195" s="114">
        <f>IFERROR(SUMIFS('01. KE30'!$X:$X,'01. KE30'!$C:$C,'06. BC BH THEO CUSTOMER-USD'!$D195,'01. KE30'!$F:$F,'06. BC BH THEO CUSTOMER-USD'!$H195,'01. KE30'!$A:$A,'06. BC BH THEO CUSTOMER-USD'!DV$4)-SUMIFS('01. KE30'!$AA:$AA,'01. KE30'!$C:$C,'06. BC BH THEO CUSTOMER-USD'!$D195,'01. KE30'!$F:$F,'06. BC BH THEO CUSTOMER-USD'!$H195,'01. KE30'!$A:$A,'06. BC BH THEO CUSTOMER-USD'!DV$4),"-")</f>
        <v>0</v>
      </c>
      <c r="DW195" s="114">
        <f>IFERROR(SUMIFS('01. KE30'!$X:$X,'01. KE30'!$C:$C,'06. BC BH THEO CUSTOMER-USD'!$D195,'01. KE30'!$F:$F,'06. BC BH THEO CUSTOMER-USD'!$H195,'01. KE30'!$A:$A,'06. BC BH THEO CUSTOMER-USD'!DW$4)-SUMIFS('01. KE30'!$AA:$AA,'01. KE30'!$C:$C,'06. BC BH THEO CUSTOMER-USD'!$D195,'01. KE30'!$F:$F,'06. BC BH THEO CUSTOMER-USD'!$H195,'01. KE30'!$A:$A,'06. BC BH THEO CUSTOMER-USD'!DW$4),"-")</f>
        <v>0</v>
      </c>
      <c r="DX195" s="114">
        <f>IFERROR(SUMIFS('01. KE30'!$X:$X,'01. KE30'!$C:$C,'06. BC BH THEO CUSTOMER-USD'!$D195,'01. KE30'!$F:$F,'06. BC BH THEO CUSTOMER-USD'!$H195,'01. KE30'!$A:$A,'06. BC BH THEO CUSTOMER-USD'!DX$4)-SUMIFS('01. KE30'!$AA:$AA,'01. KE30'!$C:$C,'06. BC BH THEO CUSTOMER-USD'!$D195,'01. KE30'!$F:$F,'06. BC BH THEO CUSTOMER-USD'!$H195,'01. KE30'!$A:$A,'06. BC BH THEO CUSTOMER-USD'!DX$4),"-")</f>
        <v>-265.77603561749902</v>
      </c>
      <c r="DY195" s="114">
        <f>IFERROR(SUMIFS('01. KE30'!$X:$X,'01. KE30'!$C:$C,'06. BC BH THEO CUSTOMER-USD'!$D195,'01. KE30'!$F:$F,'06. BC BH THEO CUSTOMER-USD'!$H195,'01. KE30'!$A:$A,'06. BC BH THEO CUSTOMER-USD'!DY$4)-SUMIFS('01. KE30'!$AA:$AA,'01. KE30'!$C:$C,'06. BC BH THEO CUSTOMER-USD'!$D195,'01. KE30'!$F:$F,'06. BC BH THEO CUSTOMER-USD'!$H195,'01. KE30'!$A:$A,'06. BC BH THEO CUSTOMER-USD'!DY$4),"-")</f>
        <v>0</v>
      </c>
      <c r="DZ195" s="114">
        <f>IFERROR(SUMIFS('01. KE30'!$X:$X,'01. KE30'!$C:$C,'06. BC BH THEO CUSTOMER-USD'!$D195,'01. KE30'!$F:$F,'06. BC BH THEO CUSTOMER-USD'!$H195,'01. KE30'!$A:$A,'06. BC BH THEO CUSTOMER-USD'!DZ$4)-SUMIFS('01. KE30'!$AA:$AA,'01. KE30'!$C:$C,'06. BC BH THEO CUSTOMER-USD'!$D195,'01. KE30'!$F:$F,'06. BC BH THEO CUSTOMER-USD'!$H195,'01. KE30'!$A:$A,'06. BC BH THEO CUSTOMER-USD'!DZ$4),"-")</f>
        <v>0</v>
      </c>
      <c r="EA195" s="114">
        <f>IFERROR(SUMIFS('01. KE30'!$X:$X,'01. KE30'!$C:$C,'06. BC BH THEO CUSTOMER-USD'!$D195,'01. KE30'!$F:$F,'06. BC BH THEO CUSTOMER-USD'!$H195,'01. KE30'!$A:$A,'06. BC BH THEO CUSTOMER-USD'!EA$4)-SUMIFS('01. KE30'!$AA:$AA,'01. KE30'!$C:$C,'06. BC BH THEO CUSTOMER-USD'!$D195,'01. KE30'!$F:$F,'06. BC BH THEO CUSTOMER-USD'!$H195,'01. KE30'!$A:$A,'06. BC BH THEO CUSTOMER-USD'!EA$4),"-")</f>
        <v>0</v>
      </c>
      <c r="EB195" s="114">
        <f>IFERROR(SUMIFS('01. KE30'!$X:$X,'01. KE30'!$C:$C,'06. BC BH THEO CUSTOMER-USD'!$D195,'01. KE30'!$F:$F,'06. BC BH THEO CUSTOMER-USD'!$H195,'01. KE30'!$A:$A,'06. BC BH THEO CUSTOMER-USD'!EB$4)-SUMIFS('01. KE30'!$AA:$AA,'01. KE30'!$C:$C,'06. BC BH THEO CUSTOMER-USD'!$D195,'01. KE30'!$F:$F,'06. BC BH THEO CUSTOMER-USD'!$H195,'01. KE30'!$A:$A,'06. BC BH THEO CUSTOMER-USD'!EB$4),"-")</f>
        <v>0</v>
      </c>
      <c r="EC195" s="114">
        <f>IFERROR(SUMIFS('01. KE30'!$X:$X,'01. KE30'!$C:$C,'06. BC BH THEO CUSTOMER-USD'!$D195,'01. KE30'!$F:$F,'06. BC BH THEO CUSTOMER-USD'!$H195,'01. KE30'!$A:$A,'06. BC BH THEO CUSTOMER-USD'!EC$4)-SUMIFS('01. KE30'!$AA:$AA,'01. KE30'!$C:$C,'06. BC BH THEO CUSTOMER-USD'!$D195,'01. KE30'!$F:$F,'06. BC BH THEO CUSTOMER-USD'!$H195,'01. KE30'!$A:$A,'06. BC BH THEO CUSTOMER-USD'!EC$4),"-")</f>
        <v>0</v>
      </c>
      <c r="ED195" s="114">
        <f>IFERROR(SUMIFS('01. KE30'!$X:$X,'01. KE30'!$C:$C,'06. BC BH THEO CUSTOMER-USD'!$D195,'01. KE30'!$F:$F,'06. BC BH THEO CUSTOMER-USD'!$H195,'01. KE30'!$A:$A,'06. BC BH THEO CUSTOMER-USD'!ED$4)-SUMIFS('01. KE30'!$AA:$AA,'01. KE30'!$C:$C,'06. BC BH THEO CUSTOMER-USD'!$D195,'01. KE30'!$F:$F,'06. BC BH THEO CUSTOMER-USD'!$H195,'01. KE30'!$A:$A,'06. BC BH THEO CUSTOMER-USD'!ED$4),"-")</f>
        <v>0</v>
      </c>
      <c r="EE195" s="114">
        <f>IFERROR(SUMIFS('01. KE30'!$X:$X,'01. KE30'!$C:$C,'06. BC BH THEO CUSTOMER-USD'!$D195,'01. KE30'!$F:$F,'06. BC BH THEO CUSTOMER-USD'!$H195,'01. KE30'!$A:$A,'06. BC BH THEO CUSTOMER-USD'!EE$4)-SUMIFS('01. KE30'!$AA:$AA,'01. KE30'!$C:$C,'06. BC BH THEO CUSTOMER-USD'!$D195,'01. KE30'!$F:$F,'06. BC BH THEO CUSTOMER-USD'!$H195,'01. KE30'!$A:$A,'06. BC BH THEO CUSTOMER-USD'!EE$4),"-")</f>
        <v>0</v>
      </c>
      <c r="EF195" s="114">
        <f>IFERROR(SUMIFS('01. KE30'!$X:$X,'01. KE30'!$C:$C,'06. BC BH THEO CUSTOMER-USD'!$D195,'01. KE30'!$F:$F,'06. BC BH THEO CUSTOMER-USD'!$H195,'01. KE30'!$A:$A,'06. BC BH THEO CUSTOMER-USD'!EF$4)-SUMIFS('01. KE30'!$AA:$AA,'01. KE30'!$C:$C,'06. BC BH THEO CUSTOMER-USD'!$D195,'01. KE30'!$F:$F,'06. BC BH THEO CUSTOMER-USD'!$H195,'01. KE30'!$A:$A,'06. BC BH THEO CUSTOMER-USD'!EF$4),"-")</f>
        <v>0</v>
      </c>
      <c r="EH195" s="571">
        <f t="shared" ref="EH195:EH205" si="2346">IFERROR(DT195/DF195,"-")</f>
        <v>-0.58150543693155998</v>
      </c>
      <c r="EI195" s="572" t="str">
        <f t="shared" ref="EI195:EI205" si="2347">IFERROR(DU195/DG195,"-")</f>
        <v>-</v>
      </c>
      <c r="EJ195" s="572" t="str">
        <f t="shared" ref="EJ195:EJ205" si="2348">IFERROR(DV195/DH195,"-")</f>
        <v>-</v>
      </c>
      <c r="EK195" s="572" t="str">
        <f t="shared" ref="EK195:EK205" si="2349">IFERROR(DW195/DI195,"-")</f>
        <v>-</v>
      </c>
      <c r="EL195" s="572">
        <f t="shared" ref="EL195:EL205" si="2350">IFERROR(DX195/DJ195,"-")</f>
        <v>-0.58150543693155998</v>
      </c>
      <c r="EM195" s="572" t="str">
        <f t="shared" ref="EM195:EM205" si="2351">IFERROR(DY195/DK195,"-")</f>
        <v>-</v>
      </c>
      <c r="EN195" s="572" t="str">
        <f t="shared" ref="EN195:EN205" si="2352">IFERROR(DZ195/DL195,"-")</f>
        <v>-</v>
      </c>
      <c r="EO195" s="572" t="str">
        <f t="shared" ref="EO195:EO205" si="2353">IFERROR(EA195/DM195,"-")</f>
        <v>-</v>
      </c>
      <c r="EP195" s="572" t="str">
        <f t="shared" ref="EP195:EP205" si="2354">IFERROR(EB195/DN195,"-")</f>
        <v>-</v>
      </c>
      <c r="EQ195" s="572" t="str">
        <f t="shared" ref="EQ195:EQ205" si="2355">IFERROR(EC195/DO195,"-")</f>
        <v>-</v>
      </c>
      <c r="ER195" s="572" t="str">
        <f t="shared" ref="ER195:ER205" si="2356">IFERROR(ED195/DP195,"-")</f>
        <v>-</v>
      </c>
      <c r="ES195" s="572" t="str">
        <f t="shared" ref="ES195:ES205" si="2357">IFERROR(EE195/DQ195,"-")</f>
        <v>-</v>
      </c>
      <c r="ET195" s="572" t="str">
        <f t="shared" ref="ET195:ET205" si="2358">IFERROR(EF195/DR195,"-")</f>
        <v>-</v>
      </c>
    </row>
    <row r="196" spans="1:150" ht="15.5" hidden="1" outlineLevel="1" x14ac:dyDescent="0.35">
      <c r="A196" s="10">
        <f t="shared" si="1266"/>
        <v>21</v>
      </c>
      <c r="B196" s="10" t="s">
        <v>295</v>
      </c>
      <c r="C196" s="442" t="s">
        <v>489</v>
      </c>
      <c r="D196" s="9" t="s">
        <v>714</v>
      </c>
      <c r="E196" s="8" t="s">
        <v>715</v>
      </c>
      <c r="F196" s="12" t="s">
        <v>245</v>
      </c>
      <c r="G196" s="12" t="str">
        <f>_xlfn.XLOOKUP(F196,'Quy đổi'!$G$5:$G$32,'Quy đổi'!$H$5:$H$32,0)</f>
        <v>Nội địa</v>
      </c>
      <c r="H196" s="80" t="s">
        <v>39</v>
      </c>
      <c r="I196" s="7" t="s">
        <v>38</v>
      </c>
      <c r="J196" s="69" t="s">
        <v>22</v>
      </c>
      <c r="K196" s="5"/>
      <c r="L196" s="92">
        <f t="shared" si="2301"/>
        <v>609.39765130984642</v>
      </c>
      <c r="M196" s="106" t="str">
        <f>IFERROR(SUMIFS('01. KE30'!$K:$K,'01. KE30'!$C:$C,'06. BC BH THEO CUSTOMER-USD'!$D196,'01. KE30'!$F:$F,'06. BC BH THEO CUSTOMER-USD'!$H196,'01. KE30'!$A:$A,'06. BC BH THEO CUSTOMER-USD'!M$4)/'06. BC BH THEO CUSTOMER-USD'!CS196/'02. Tỷ giá'!B$5,"-")</f>
        <v>-</v>
      </c>
      <c r="N196" s="106" t="str">
        <f>IFERROR(SUMIFS('01. KE30'!$K:$K,'01. KE30'!$C:$C,'06. BC BH THEO CUSTOMER-USD'!$D196,'01. KE30'!$F:$F,'06. BC BH THEO CUSTOMER-USD'!$H196,'01. KE30'!$A:$A,'06. BC BH THEO CUSTOMER-USD'!N$4)/'06. BC BH THEO CUSTOMER-USD'!CT196/'02. Tỷ giá'!C$5,"-")</f>
        <v>-</v>
      </c>
      <c r="O196" s="106" t="str">
        <f>IFERROR(SUMIFS('01. KE30'!$K:$K,'01. KE30'!$C:$C,'06. BC BH THEO CUSTOMER-USD'!$D196,'01. KE30'!$F:$F,'06. BC BH THEO CUSTOMER-USD'!$H196,'01. KE30'!$A:$A,'06. BC BH THEO CUSTOMER-USD'!O$4)/'06. BC BH THEO CUSTOMER-USD'!CU196/'02. Tỷ giá'!D$5,"-")</f>
        <v>-</v>
      </c>
      <c r="P196" s="106">
        <f>IFERROR(SUMIFS('01. KE30'!$K:$K,'01. KE30'!$C:$C,'06. BC BH THEO CUSTOMER-USD'!$D196,'01. KE30'!$F:$F,'06. BC BH THEO CUSTOMER-USD'!$H196,'01. KE30'!$A:$A,'06. BC BH THEO CUSTOMER-USD'!P$4)/'06. BC BH THEO CUSTOMER-USD'!CV196/'02. Tỷ giá'!E$5,"-")</f>
        <v>609.39765130984642</v>
      </c>
      <c r="Q196" s="106" t="str">
        <f>IFERROR(SUMIFS('01. KE30'!$K:$K,'01. KE30'!$C:$C,'06. BC BH THEO CUSTOMER-USD'!$D196,'01. KE30'!$F:$F,'06. BC BH THEO CUSTOMER-USD'!$H196,'01. KE30'!$A:$A,'06. BC BH THEO CUSTOMER-USD'!Q$4)/'06. BC BH THEO CUSTOMER-USD'!CW196/'02. Tỷ giá'!F$5,"-")</f>
        <v>-</v>
      </c>
      <c r="R196" s="106" t="str">
        <f>IFERROR(SUMIFS('01. KE30'!$K:$K,'01. KE30'!$C:$C,'06. BC BH THEO CUSTOMER-USD'!$D196,'01. KE30'!$F:$F,'06. BC BH THEO CUSTOMER-USD'!$H196,'01. KE30'!$A:$A,'06. BC BH THEO CUSTOMER-USD'!R$4)/'06. BC BH THEO CUSTOMER-USD'!CX196/'02. Tỷ giá'!G$5,"-")</f>
        <v>-</v>
      </c>
      <c r="S196" s="106" t="str">
        <f>IFERROR(SUMIFS('01. KE30'!$K:$K,'01. KE30'!$C:$C,'06. BC BH THEO CUSTOMER-USD'!$D196,'01. KE30'!$F:$F,'06. BC BH THEO CUSTOMER-USD'!$H196,'01. KE30'!$A:$A,'06. BC BH THEO CUSTOMER-USD'!S$4)/'06. BC BH THEO CUSTOMER-USD'!CY196/'02. Tỷ giá'!H$5,"-")</f>
        <v>-</v>
      </c>
      <c r="T196" s="106" t="str">
        <f>IFERROR(SUMIFS('01. KE30'!$K:$K,'01. KE30'!$C:$C,'06. BC BH THEO CUSTOMER-USD'!$D196,'01. KE30'!$F:$F,'06. BC BH THEO CUSTOMER-USD'!$H196,'01. KE30'!$A:$A,'06. BC BH THEO CUSTOMER-USD'!T$4)/'06. BC BH THEO CUSTOMER-USD'!CZ196/'02. Tỷ giá'!I$5,"-")</f>
        <v>-</v>
      </c>
      <c r="U196" s="106" t="str">
        <f>IFERROR(SUMIFS('01. KE30'!$K:$K,'01. KE30'!$C:$C,'06. BC BH THEO CUSTOMER-USD'!$D196,'01. KE30'!$F:$F,'06. BC BH THEO CUSTOMER-USD'!$H196,'01. KE30'!$A:$A,'06. BC BH THEO CUSTOMER-USD'!U$4)/'06. BC BH THEO CUSTOMER-USD'!DA196/'02. Tỷ giá'!J$5,"-")</f>
        <v>-</v>
      </c>
      <c r="V196" s="106" t="str">
        <f>IFERROR(SUMIFS('01. KE30'!$K:$K,'01. KE30'!$C:$C,'06. BC BH THEO CUSTOMER-USD'!$D196,'01. KE30'!$F:$F,'06. BC BH THEO CUSTOMER-USD'!$H196,'01. KE30'!$A:$A,'06. BC BH THEO CUSTOMER-USD'!V$4)/'06. BC BH THEO CUSTOMER-USD'!DB196/'02. Tỷ giá'!K$5,"-")</f>
        <v>-</v>
      </c>
      <c r="W196" s="106" t="str">
        <f>IFERROR(SUMIFS('01. KE30'!$K:$K,'01. KE30'!$C:$C,'06. BC BH THEO CUSTOMER-USD'!$D196,'01. KE30'!$F:$F,'06. BC BH THEO CUSTOMER-USD'!$H196,'01. KE30'!$A:$A,'06. BC BH THEO CUSTOMER-USD'!W$4)/'06. BC BH THEO CUSTOMER-USD'!DC196/'02. Tỷ giá'!L$5,"-")</f>
        <v>-</v>
      </c>
      <c r="X196" s="106" t="str">
        <f>IFERROR(SUMIFS('01. KE30'!$K:$K,'01. KE30'!$C:$C,'06. BC BH THEO CUSTOMER-USD'!$D196,'01. KE30'!$F:$F,'06. BC BH THEO CUSTOMER-USD'!$H196,'01. KE30'!$A:$A,'06. BC BH THEO CUSTOMER-USD'!X$4)/'06. BC BH THEO CUSTOMER-USD'!DD196/'02. Tỷ giá'!M$5,"-")</f>
        <v>-</v>
      </c>
      <c r="Z196" s="92">
        <f t="shared" si="2302"/>
        <v>609.39765130984642</v>
      </c>
      <c r="AA196" s="147" t="str">
        <f>IFERROR(SUMIFS('01. KE30'!$O:$O,'01. KE30'!$C:$C,'06. BC BH THEO CUSTOMER-USD'!$D196,'01. KE30'!$F:$F,'06. BC BH THEO CUSTOMER-USD'!$H196,'01. KE30'!$A:$A,'06. BC BH THEO CUSTOMER-USD'!M$4)/'06. BC BH THEO CUSTOMER-USD'!CS196/'02. Tỷ giá'!B$5,"-")</f>
        <v>-</v>
      </c>
      <c r="AB196" s="147" t="str">
        <f>IFERROR(SUMIFS('01. KE30'!$O:$O,'01. KE30'!$C:$C,'06. BC BH THEO CUSTOMER-USD'!$D196,'01. KE30'!$F:$F,'06. BC BH THEO CUSTOMER-USD'!$H196,'01. KE30'!$A:$A,'06. BC BH THEO CUSTOMER-USD'!N$4)/'06. BC BH THEO CUSTOMER-USD'!CT196/'02. Tỷ giá'!C$5,"-")</f>
        <v>-</v>
      </c>
      <c r="AC196" s="147" t="str">
        <f>IFERROR(SUMIFS('01. KE30'!$O:$O,'01. KE30'!$C:$C,'06. BC BH THEO CUSTOMER-USD'!$D196,'01. KE30'!$F:$F,'06. BC BH THEO CUSTOMER-USD'!$H196,'01. KE30'!$A:$A,'06. BC BH THEO CUSTOMER-USD'!O$4)/'06. BC BH THEO CUSTOMER-USD'!CU196/'02. Tỷ giá'!D$5,"-")</f>
        <v>-</v>
      </c>
      <c r="AD196" s="147">
        <f>IFERROR(SUMIFS('01. KE30'!$O:$O,'01. KE30'!$C:$C,'06. BC BH THEO CUSTOMER-USD'!$D196,'01. KE30'!$F:$F,'06. BC BH THEO CUSTOMER-USD'!$H196,'01. KE30'!$A:$A,'06. BC BH THEO CUSTOMER-USD'!P$4)/'06. BC BH THEO CUSTOMER-USD'!CV196/'02. Tỷ giá'!E$5,"-")</f>
        <v>609.39765130984642</v>
      </c>
      <c r="AE196" s="147" t="str">
        <f>IFERROR(SUMIFS('01. KE30'!$O:$O,'01. KE30'!$C:$C,'06. BC BH THEO CUSTOMER-USD'!$D196,'01. KE30'!$F:$F,'06. BC BH THEO CUSTOMER-USD'!$H196,'01. KE30'!$A:$A,'06. BC BH THEO CUSTOMER-USD'!Q$4)/'06. BC BH THEO CUSTOMER-USD'!CW196/'02. Tỷ giá'!F$5,"-")</f>
        <v>-</v>
      </c>
      <c r="AF196" s="147" t="str">
        <f>IFERROR(SUMIFS('01. KE30'!$O:$O,'01. KE30'!$C:$C,'06. BC BH THEO CUSTOMER-USD'!$D196,'01. KE30'!$F:$F,'06. BC BH THEO CUSTOMER-USD'!$H196,'01. KE30'!$A:$A,'06. BC BH THEO CUSTOMER-USD'!R$4)/'06. BC BH THEO CUSTOMER-USD'!CX196/'02. Tỷ giá'!G$5,"-")</f>
        <v>-</v>
      </c>
      <c r="AG196" s="147" t="str">
        <f>IFERROR(SUMIFS('01. KE30'!$O:$O,'01. KE30'!$C:$C,'06. BC BH THEO CUSTOMER-USD'!$D196,'01. KE30'!$F:$F,'06. BC BH THEO CUSTOMER-USD'!$H196,'01. KE30'!$A:$A,'06. BC BH THEO CUSTOMER-USD'!S$4)/'06. BC BH THEO CUSTOMER-USD'!CY196/'02. Tỷ giá'!H$5,"-")</f>
        <v>-</v>
      </c>
      <c r="AH196" s="147" t="str">
        <f>IFERROR(SUMIFS('01. KE30'!$O:$O,'01. KE30'!$C:$C,'06. BC BH THEO CUSTOMER-USD'!$D196,'01. KE30'!$F:$F,'06. BC BH THEO CUSTOMER-USD'!$H196,'01. KE30'!$A:$A,'06. BC BH THEO CUSTOMER-USD'!T$4)/'06. BC BH THEO CUSTOMER-USD'!CZ196/'02. Tỷ giá'!I$5,"-")</f>
        <v>-</v>
      </c>
      <c r="AI196" s="147" t="str">
        <f>IFERROR(SUMIFS('01. KE30'!$O:$O,'01. KE30'!$C:$C,'06. BC BH THEO CUSTOMER-USD'!$D196,'01. KE30'!$F:$F,'06. BC BH THEO CUSTOMER-USD'!$H196,'01. KE30'!$A:$A,'06. BC BH THEO CUSTOMER-USD'!U$4)/'06. BC BH THEO CUSTOMER-USD'!DA196/'02. Tỷ giá'!J$5,"-")</f>
        <v>-</v>
      </c>
      <c r="AJ196" s="147" t="str">
        <f>IFERROR(SUMIFS('01. KE30'!$O:$O,'01. KE30'!$C:$C,'06. BC BH THEO CUSTOMER-USD'!$D196,'01. KE30'!$F:$F,'06. BC BH THEO CUSTOMER-USD'!$H196,'01. KE30'!$A:$A,'06. BC BH THEO CUSTOMER-USD'!V$4)/'06. BC BH THEO CUSTOMER-USD'!DB196/'02. Tỷ giá'!K$5,"-")</f>
        <v>-</v>
      </c>
      <c r="AK196" s="147" t="str">
        <f>IFERROR(SUMIFS('01. KE30'!$O:$O,'01. KE30'!$C:$C,'06. BC BH THEO CUSTOMER-USD'!$D196,'01. KE30'!$F:$F,'06. BC BH THEO CUSTOMER-USD'!$H196,'01. KE30'!$A:$A,'06. BC BH THEO CUSTOMER-USD'!W$4)/'06. BC BH THEO CUSTOMER-USD'!DC196/'02. Tỷ giá'!L$5,"-")</f>
        <v>-</v>
      </c>
      <c r="AL196" s="147" t="str">
        <f>IFERROR(SUMIFS('01. KE30'!$O:$O,'01. KE30'!$C:$C,'06. BC BH THEO CUSTOMER-USD'!$D196,'01. KE30'!$F:$F,'06. BC BH THEO CUSTOMER-USD'!$H196,'01. KE30'!$A:$A,'06. BC BH THEO CUSTOMER-USD'!X$4)/'06. BC BH THEO CUSTOMER-USD'!DD196/'02. Tỷ giá'!M$5,"-")</f>
        <v>-</v>
      </c>
      <c r="AN196" s="92">
        <f t="shared" si="2303"/>
        <v>740.55555555555554</v>
      </c>
      <c r="AO196" s="4">
        <v>855</v>
      </c>
      <c r="AP196" s="4">
        <v>750</v>
      </c>
      <c r="AQ196" s="4">
        <v>750</v>
      </c>
      <c r="AR196" s="4">
        <v>750</v>
      </c>
      <c r="AS196" s="4">
        <v>720</v>
      </c>
      <c r="AT196" s="4">
        <v>720</v>
      </c>
      <c r="AU196" s="4">
        <v>720</v>
      </c>
      <c r="AV196" s="4">
        <f t="shared" si="1272"/>
        <v>700</v>
      </c>
      <c r="AW196" s="4">
        <v>700</v>
      </c>
      <c r="AX196" s="4"/>
      <c r="AY196" s="4"/>
      <c r="AZ196" s="4"/>
      <c r="BB196" s="95">
        <f t="shared" si="2304"/>
        <v>-131.15790424570912</v>
      </c>
      <c r="BC196" s="95" t="str">
        <f t="shared" si="2305"/>
        <v>-</v>
      </c>
      <c r="BD196" s="95" t="str">
        <f t="shared" si="2306"/>
        <v>-</v>
      </c>
      <c r="BE196" s="95" t="str">
        <f t="shared" si="2307"/>
        <v>-</v>
      </c>
      <c r="BF196" s="95">
        <f t="shared" si="2308"/>
        <v>-140.60234869015358</v>
      </c>
      <c r="BG196" s="95" t="str">
        <f t="shared" si="2309"/>
        <v>-</v>
      </c>
      <c r="BH196" s="95" t="str">
        <f t="shared" si="2310"/>
        <v>-</v>
      </c>
      <c r="BI196" s="95" t="str">
        <f t="shared" si="2311"/>
        <v>-</v>
      </c>
      <c r="BJ196" s="95" t="str">
        <f t="shared" si="2312"/>
        <v>-</v>
      </c>
      <c r="BK196" s="95" t="str">
        <f t="shared" si="2313"/>
        <v>-</v>
      </c>
      <c r="BL196" s="95" t="str">
        <f t="shared" si="2314"/>
        <v>-</v>
      </c>
      <c r="BM196" s="95" t="str">
        <f t="shared" si="2315"/>
        <v>-</v>
      </c>
      <c r="BN196" s="95" t="str">
        <f t="shared" si="2316"/>
        <v>-</v>
      </c>
      <c r="BP196" s="143">
        <f t="shared" si="2317"/>
        <v>-0.17710744759360572</v>
      </c>
      <c r="BQ196" s="143" t="str">
        <f t="shared" si="2318"/>
        <v>-</v>
      </c>
      <c r="BR196" s="143" t="str">
        <f t="shared" si="2319"/>
        <v>-</v>
      </c>
      <c r="BS196" s="143" t="str">
        <f t="shared" si="2320"/>
        <v>-</v>
      </c>
      <c r="BT196" s="143">
        <f t="shared" si="2321"/>
        <v>-0.1874697982535381</v>
      </c>
      <c r="BU196" s="143" t="str">
        <f t="shared" si="2322"/>
        <v>-</v>
      </c>
      <c r="BV196" s="143" t="str">
        <f t="shared" si="2323"/>
        <v>-</v>
      </c>
      <c r="BW196" s="143" t="str">
        <f t="shared" si="2324"/>
        <v>-</v>
      </c>
      <c r="BX196" s="143" t="str">
        <f t="shared" si="2325"/>
        <v>-</v>
      </c>
      <c r="BY196" s="143" t="str">
        <f t="shared" si="2326"/>
        <v>-</v>
      </c>
      <c r="BZ196" s="143" t="str">
        <f t="shared" si="2327"/>
        <v>-</v>
      </c>
      <c r="CA196" s="143" t="str">
        <f t="shared" si="2328"/>
        <v>-</v>
      </c>
      <c r="CB196" s="143" t="str">
        <f t="shared" si="2329"/>
        <v>-</v>
      </c>
      <c r="CD196" s="112">
        <f t="shared" si="2330"/>
        <v>971.39538004903864</v>
      </c>
      <c r="CE196" s="95" t="str">
        <f>IFERROR(SUMIFS('01. KE30'!$R:$R,'01. KE30'!$C:$C,'06. BC BH THEO CUSTOMER-USD'!$D196,'01. KE30'!$F:$F,'06. BC BH THEO CUSTOMER-USD'!$H196,'01. KE30'!$A:$A,'06. BC BH THEO CUSTOMER-USD'!CE$4)/CS196/'02. Tỷ giá'!B$5," -")</f>
        <v xml:space="preserve"> -</v>
      </c>
      <c r="CF196" s="95" t="str">
        <f>IFERROR(SUMIFS('01. KE30'!$R:$R,'01. KE30'!$C:$C,'06. BC BH THEO CUSTOMER-USD'!$D196,'01. KE30'!$F:$F,'06. BC BH THEO CUSTOMER-USD'!$H196,'01. KE30'!$A:$A,'06. BC BH THEO CUSTOMER-USD'!CF$4)/CT196/'02. Tỷ giá'!C$5," -")</f>
        <v xml:space="preserve"> -</v>
      </c>
      <c r="CG196" s="95" t="str">
        <f>IFERROR(SUMIFS('01. KE30'!$R:$R,'01. KE30'!$C:$C,'06. BC BH THEO CUSTOMER-USD'!$D196,'01. KE30'!$F:$F,'06. BC BH THEO CUSTOMER-USD'!$H196,'01. KE30'!$A:$A,'06. BC BH THEO CUSTOMER-USD'!CG$4)/CU196/'02. Tỷ giá'!D$5," -")</f>
        <v xml:space="preserve"> -</v>
      </c>
      <c r="CH196" s="95">
        <f>IFERROR(SUMIFS('01. KE30'!$R:$R,'01. KE30'!$C:$C,'06. BC BH THEO CUSTOMER-USD'!$D196,'01. KE30'!$F:$F,'06. BC BH THEO CUSTOMER-USD'!$H196,'01. KE30'!$A:$A,'06. BC BH THEO CUSTOMER-USD'!CH$4)/CV196/'02. Tỷ giá'!E$5," -")</f>
        <v>971.39538004903864</v>
      </c>
      <c r="CI196" s="95" t="str">
        <f>IFERROR(SUMIFS('01. KE30'!$R:$R,'01. KE30'!$C:$C,'06. BC BH THEO CUSTOMER-USD'!$D196,'01. KE30'!$F:$F,'06. BC BH THEO CUSTOMER-USD'!$H196,'01. KE30'!$A:$A,'06. BC BH THEO CUSTOMER-USD'!CI$4)/CW196/'02. Tỷ giá'!F$5," -")</f>
        <v xml:space="preserve"> -</v>
      </c>
      <c r="CJ196" s="95" t="str">
        <f>IFERROR(SUMIFS('01. KE30'!$R:$R,'01. KE30'!$C:$C,'06. BC BH THEO CUSTOMER-USD'!$D196,'01. KE30'!$F:$F,'06. BC BH THEO CUSTOMER-USD'!$H196,'01. KE30'!$A:$A,'06. BC BH THEO CUSTOMER-USD'!CJ$4)/CX196/'02. Tỷ giá'!G$5," -")</f>
        <v xml:space="preserve"> -</v>
      </c>
      <c r="CK196" s="95" t="str">
        <f>IFERROR(SUMIFS('01. KE30'!$R:$R,'01. KE30'!$C:$C,'06. BC BH THEO CUSTOMER-USD'!$D196,'01. KE30'!$F:$F,'06. BC BH THEO CUSTOMER-USD'!$H196,'01. KE30'!$A:$A,'06. BC BH THEO CUSTOMER-USD'!CK$4)/CY196/'02. Tỷ giá'!H$5," -")</f>
        <v xml:space="preserve"> -</v>
      </c>
      <c r="CL196" s="95" t="str">
        <f>IFERROR(SUMIFS('01. KE30'!$R:$R,'01. KE30'!$C:$C,'06. BC BH THEO CUSTOMER-USD'!$D196,'01. KE30'!$F:$F,'06. BC BH THEO CUSTOMER-USD'!$H196,'01. KE30'!$A:$A,'06. BC BH THEO CUSTOMER-USD'!CL$4)/CZ196/'02. Tỷ giá'!I$5," -")</f>
        <v xml:space="preserve"> -</v>
      </c>
      <c r="CM196" s="95" t="str">
        <f>IFERROR(SUMIFS('01. KE30'!$R:$R,'01. KE30'!$C:$C,'06. BC BH THEO CUSTOMER-USD'!$D196,'01. KE30'!$F:$F,'06. BC BH THEO CUSTOMER-USD'!$H196,'01. KE30'!$A:$A,'06. BC BH THEO CUSTOMER-USD'!CM$4)/DA196/'02. Tỷ giá'!J$5," -")</f>
        <v xml:space="preserve"> -</v>
      </c>
      <c r="CN196" s="95" t="str">
        <f>IFERROR(SUMIFS('01. KE30'!$R:$R,'01. KE30'!$C:$C,'06. BC BH THEO CUSTOMER-USD'!$D196,'01. KE30'!$F:$F,'06. BC BH THEO CUSTOMER-USD'!$H196,'01. KE30'!$A:$A,'06. BC BH THEO CUSTOMER-USD'!CN$4)/DB196/'02. Tỷ giá'!K$5," -")</f>
        <v xml:space="preserve"> -</v>
      </c>
      <c r="CO196" s="95" t="str">
        <f>IFERROR(SUMIFS('01. KE30'!$R:$R,'01. KE30'!$C:$C,'06. BC BH THEO CUSTOMER-USD'!$D196,'01. KE30'!$F:$F,'06. BC BH THEO CUSTOMER-USD'!$H196,'01. KE30'!$A:$A,'06. BC BH THEO CUSTOMER-USD'!CO$4)/DC196/'02. Tỷ giá'!L$5," -")</f>
        <v xml:space="preserve"> -</v>
      </c>
      <c r="CP196" s="95" t="str">
        <f>IFERROR(SUMIFS('01. KE30'!$R:$R,'01. KE30'!$C:$C,'06. BC BH THEO CUSTOMER-USD'!$D196,'01. KE30'!$F:$F,'06. BC BH THEO CUSTOMER-USD'!$H196,'01. KE30'!$A:$A,'06. BC BH THEO CUSTOMER-USD'!CP$4)/DD196/'02. Tỷ giá'!M$5," -")</f>
        <v xml:space="preserve"> -</v>
      </c>
      <c r="CR196" s="112">
        <f t="shared" si="2331"/>
        <v>0.75</v>
      </c>
      <c r="CS196" s="114">
        <f>SUMIFS('01. KE30'!$I:$I,'01. KE30'!$C:$C,'06. BC BH THEO CUSTOMER-USD'!$D196,'01. KE30'!$F:$F,'06. BC BH THEO CUSTOMER-USD'!$H196,'01. KE30'!$A:$A,'06. BC BH THEO CUSTOMER-USD'!CS$4)/1000</f>
        <v>0</v>
      </c>
      <c r="CT196" s="114">
        <f>SUMIFS('01. KE30'!$I:$I,'01. KE30'!$C:$C,'06. BC BH THEO CUSTOMER-USD'!$D196,'01. KE30'!$F:$F,'06. BC BH THEO CUSTOMER-USD'!$H196,'01. KE30'!$A:$A,'06. BC BH THEO CUSTOMER-USD'!CT$4)/1000</f>
        <v>0</v>
      </c>
      <c r="CU196" s="114">
        <f>SUMIFS('01. KE30'!$I:$I,'01. KE30'!$C:$C,'06. BC BH THEO CUSTOMER-USD'!$D196,'01. KE30'!$F:$F,'06. BC BH THEO CUSTOMER-USD'!$H196,'01. KE30'!$A:$A,'06. BC BH THEO CUSTOMER-USD'!CU$4)/1000</f>
        <v>0</v>
      </c>
      <c r="CV196" s="114">
        <f>SUMIFS('01. KE30'!$I:$I,'01. KE30'!$C:$C,'06. BC BH THEO CUSTOMER-USD'!$D196,'01. KE30'!$F:$F,'06. BC BH THEO CUSTOMER-USD'!$H196,'01. KE30'!$A:$A,'06. BC BH THEO CUSTOMER-USD'!CV$4)/1000</f>
        <v>0.75</v>
      </c>
      <c r="CW196" s="114">
        <f>SUMIFS('01. KE30'!$I:$I,'01. KE30'!$C:$C,'06. BC BH THEO CUSTOMER-USD'!$D196,'01. KE30'!$F:$F,'06. BC BH THEO CUSTOMER-USD'!$H196,'01. KE30'!$A:$A,'06. BC BH THEO CUSTOMER-USD'!CW$4)/1000</f>
        <v>0</v>
      </c>
      <c r="CX196" s="114">
        <f>SUMIFS('01. KE30'!$I:$I,'01. KE30'!$C:$C,'06. BC BH THEO CUSTOMER-USD'!$D196,'01. KE30'!$F:$F,'06. BC BH THEO CUSTOMER-USD'!$H196,'01. KE30'!$A:$A,'06. BC BH THEO CUSTOMER-USD'!CX$4)/1000</f>
        <v>0</v>
      </c>
      <c r="CY196" s="114">
        <f>SUMIFS('01. KE30'!$I:$I,'01. KE30'!$C:$C,'06. BC BH THEO CUSTOMER-USD'!$D196,'01. KE30'!$F:$F,'06. BC BH THEO CUSTOMER-USD'!$H196,'01. KE30'!$A:$A,'06. BC BH THEO CUSTOMER-USD'!CY$4)/1000</f>
        <v>0</v>
      </c>
      <c r="CZ196" s="114">
        <f>SUMIFS('01. KE30'!$I:$I,'01. KE30'!$C:$C,'06. BC BH THEO CUSTOMER-USD'!$D196,'01. KE30'!$F:$F,'06. BC BH THEO CUSTOMER-USD'!$H196,'01. KE30'!$A:$A,'06. BC BH THEO CUSTOMER-USD'!CZ$4)/1000</f>
        <v>0</v>
      </c>
      <c r="DA196" s="114">
        <f>SUMIFS('01. KE30'!$I:$I,'01. KE30'!$C:$C,'06. BC BH THEO CUSTOMER-USD'!$D196,'01. KE30'!$F:$F,'06. BC BH THEO CUSTOMER-USD'!$H196,'01. KE30'!$A:$A,'06. BC BH THEO CUSTOMER-USD'!DA$4)/1000</f>
        <v>0</v>
      </c>
      <c r="DB196" s="114">
        <f>SUMIFS('01. KE30'!$I:$I,'01. KE30'!$C:$C,'06. BC BH THEO CUSTOMER-USD'!$D196,'01. KE30'!$F:$F,'06. BC BH THEO CUSTOMER-USD'!$H196,'01. KE30'!$A:$A,'06. BC BH THEO CUSTOMER-USD'!DB$4)/1000</f>
        <v>0</v>
      </c>
      <c r="DC196" s="114">
        <f>SUMIFS('01. KE30'!$I:$I,'01. KE30'!$C:$C,'06. BC BH THEO CUSTOMER-USD'!$D196,'01. KE30'!$F:$F,'06. BC BH THEO CUSTOMER-USD'!$H196,'01. KE30'!$A:$A,'06. BC BH THEO CUSTOMER-USD'!DC$4)/1000</f>
        <v>0</v>
      </c>
      <c r="DD196" s="114">
        <f>SUMIFS('01. KE30'!$I:$I,'01. KE30'!$C:$C,'06. BC BH THEO CUSTOMER-USD'!$D196,'01. KE30'!$F:$F,'06. BC BH THEO CUSTOMER-USD'!$H196,'01. KE30'!$A:$A,'06. BC BH THEO CUSTOMER-USD'!DD$4)/1000</f>
        <v>0</v>
      </c>
      <c r="DF196" s="112">
        <f t="shared" si="2332"/>
        <v>457.04823848238482</v>
      </c>
      <c r="DG196" s="54" t="str">
        <f t="shared" si="2333"/>
        <v>-</v>
      </c>
      <c r="DH196" s="54" t="str">
        <f t="shared" si="2334"/>
        <v>-</v>
      </c>
      <c r="DI196" s="54" t="str">
        <f t="shared" si="2335"/>
        <v>-</v>
      </c>
      <c r="DJ196" s="54">
        <f t="shared" si="2336"/>
        <v>457.04823848238482</v>
      </c>
      <c r="DK196" s="54" t="str">
        <f t="shared" si="2337"/>
        <v>-</v>
      </c>
      <c r="DL196" s="54" t="str">
        <f t="shared" si="2338"/>
        <v>-</v>
      </c>
      <c r="DM196" s="54" t="str">
        <f t="shared" si="2339"/>
        <v>-</v>
      </c>
      <c r="DN196" s="54" t="str">
        <f t="shared" si="2340"/>
        <v>-</v>
      </c>
      <c r="DO196" s="54" t="str">
        <f t="shared" si="2341"/>
        <v>-</v>
      </c>
      <c r="DP196" s="54" t="str">
        <f t="shared" si="2342"/>
        <v>-</v>
      </c>
      <c r="DQ196" s="54" t="str">
        <f t="shared" si="2343"/>
        <v>-</v>
      </c>
      <c r="DR196" s="54" t="str">
        <f t="shared" si="2344"/>
        <v>-</v>
      </c>
      <c r="DT196" s="112">
        <f t="shared" si="2345"/>
        <v>-271.49829655439407</v>
      </c>
      <c r="DU196" s="114">
        <f>IFERROR(SUMIFS('01. KE30'!$X:$X,'01. KE30'!$C:$C,'06. BC BH THEO CUSTOMER-USD'!$D196,'01. KE30'!$F:$F,'06. BC BH THEO CUSTOMER-USD'!$H196,'01. KE30'!$A:$A,'06. BC BH THEO CUSTOMER-USD'!DU$4)-SUMIFS('01. KE30'!$AA:$AA,'01. KE30'!$C:$C,'06. BC BH THEO CUSTOMER-USD'!$D196,'01. KE30'!$F:$F,'06. BC BH THEO CUSTOMER-USD'!$H196,'01. KE30'!$A:$A,'06. BC BH THEO CUSTOMER-USD'!DU$4),"-")</f>
        <v>0</v>
      </c>
      <c r="DV196" s="114">
        <f>IFERROR(SUMIFS('01. KE30'!$X:$X,'01. KE30'!$C:$C,'06. BC BH THEO CUSTOMER-USD'!$D196,'01. KE30'!$F:$F,'06. BC BH THEO CUSTOMER-USD'!$H196,'01. KE30'!$A:$A,'06. BC BH THEO CUSTOMER-USD'!DV$4)-SUMIFS('01. KE30'!$AA:$AA,'01. KE30'!$C:$C,'06. BC BH THEO CUSTOMER-USD'!$D196,'01. KE30'!$F:$F,'06. BC BH THEO CUSTOMER-USD'!$H196,'01. KE30'!$A:$A,'06. BC BH THEO CUSTOMER-USD'!DV$4),"-")</f>
        <v>0</v>
      </c>
      <c r="DW196" s="114">
        <f>IFERROR(SUMIFS('01. KE30'!$X:$X,'01. KE30'!$C:$C,'06. BC BH THEO CUSTOMER-USD'!$D196,'01. KE30'!$F:$F,'06. BC BH THEO CUSTOMER-USD'!$H196,'01. KE30'!$A:$A,'06. BC BH THEO CUSTOMER-USD'!DW$4)-SUMIFS('01. KE30'!$AA:$AA,'01. KE30'!$C:$C,'06. BC BH THEO CUSTOMER-USD'!$D196,'01. KE30'!$F:$F,'06. BC BH THEO CUSTOMER-USD'!$H196,'01. KE30'!$A:$A,'06. BC BH THEO CUSTOMER-USD'!DW$4),"-")</f>
        <v>0</v>
      </c>
      <c r="DX196" s="114">
        <f>IFERROR(SUMIFS('01. KE30'!$X:$X,'01. KE30'!$C:$C,'06. BC BH THEO CUSTOMER-USD'!$D196,'01. KE30'!$F:$F,'06. BC BH THEO CUSTOMER-USD'!$H196,'01. KE30'!$A:$A,'06. BC BH THEO CUSTOMER-USD'!DX$4)-SUMIFS('01. KE30'!$AA:$AA,'01. KE30'!$C:$C,'06. BC BH THEO CUSTOMER-USD'!$D196,'01. KE30'!$F:$F,'06. BC BH THEO CUSTOMER-USD'!$H196,'01. KE30'!$A:$A,'06. BC BH THEO CUSTOMER-USD'!DX$4),"-")</f>
        <v>-271.49829655439407</v>
      </c>
      <c r="DY196" s="114">
        <f>IFERROR(SUMIFS('01. KE30'!$X:$X,'01. KE30'!$C:$C,'06. BC BH THEO CUSTOMER-USD'!$D196,'01. KE30'!$F:$F,'06. BC BH THEO CUSTOMER-USD'!$H196,'01. KE30'!$A:$A,'06. BC BH THEO CUSTOMER-USD'!DY$4)-SUMIFS('01. KE30'!$AA:$AA,'01. KE30'!$C:$C,'06. BC BH THEO CUSTOMER-USD'!$D196,'01. KE30'!$F:$F,'06. BC BH THEO CUSTOMER-USD'!$H196,'01. KE30'!$A:$A,'06. BC BH THEO CUSTOMER-USD'!DY$4),"-")</f>
        <v>0</v>
      </c>
      <c r="DZ196" s="114">
        <f>IFERROR(SUMIFS('01. KE30'!$X:$X,'01. KE30'!$C:$C,'06. BC BH THEO CUSTOMER-USD'!$D196,'01. KE30'!$F:$F,'06. BC BH THEO CUSTOMER-USD'!$H196,'01. KE30'!$A:$A,'06. BC BH THEO CUSTOMER-USD'!DZ$4)-SUMIFS('01. KE30'!$AA:$AA,'01. KE30'!$C:$C,'06. BC BH THEO CUSTOMER-USD'!$D196,'01. KE30'!$F:$F,'06. BC BH THEO CUSTOMER-USD'!$H196,'01. KE30'!$A:$A,'06. BC BH THEO CUSTOMER-USD'!DZ$4),"-")</f>
        <v>0</v>
      </c>
      <c r="EA196" s="114">
        <f>IFERROR(SUMIFS('01. KE30'!$X:$X,'01. KE30'!$C:$C,'06. BC BH THEO CUSTOMER-USD'!$D196,'01. KE30'!$F:$F,'06. BC BH THEO CUSTOMER-USD'!$H196,'01. KE30'!$A:$A,'06. BC BH THEO CUSTOMER-USD'!EA$4)-SUMIFS('01. KE30'!$AA:$AA,'01. KE30'!$C:$C,'06. BC BH THEO CUSTOMER-USD'!$D196,'01. KE30'!$F:$F,'06. BC BH THEO CUSTOMER-USD'!$H196,'01. KE30'!$A:$A,'06. BC BH THEO CUSTOMER-USD'!EA$4),"-")</f>
        <v>0</v>
      </c>
      <c r="EB196" s="114">
        <f>IFERROR(SUMIFS('01. KE30'!$X:$X,'01. KE30'!$C:$C,'06. BC BH THEO CUSTOMER-USD'!$D196,'01. KE30'!$F:$F,'06. BC BH THEO CUSTOMER-USD'!$H196,'01. KE30'!$A:$A,'06. BC BH THEO CUSTOMER-USD'!EB$4)-SUMIFS('01. KE30'!$AA:$AA,'01. KE30'!$C:$C,'06. BC BH THEO CUSTOMER-USD'!$D196,'01. KE30'!$F:$F,'06. BC BH THEO CUSTOMER-USD'!$H196,'01. KE30'!$A:$A,'06. BC BH THEO CUSTOMER-USD'!EB$4),"-")</f>
        <v>0</v>
      </c>
      <c r="EC196" s="114">
        <f>IFERROR(SUMIFS('01. KE30'!$X:$X,'01. KE30'!$C:$C,'06. BC BH THEO CUSTOMER-USD'!$D196,'01. KE30'!$F:$F,'06. BC BH THEO CUSTOMER-USD'!$H196,'01. KE30'!$A:$A,'06. BC BH THEO CUSTOMER-USD'!EC$4)-SUMIFS('01. KE30'!$AA:$AA,'01. KE30'!$C:$C,'06. BC BH THEO CUSTOMER-USD'!$D196,'01. KE30'!$F:$F,'06. BC BH THEO CUSTOMER-USD'!$H196,'01. KE30'!$A:$A,'06. BC BH THEO CUSTOMER-USD'!EC$4),"-")</f>
        <v>0</v>
      </c>
      <c r="ED196" s="114">
        <f>IFERROR(SUMIFS('01. KE30'!$X:$X,'01. KE30'!$C:$C,'06. BC BH THEO CUSTOMER-USD'!$D196,'01. KE30'!$F:$F,'06. BC BH THEO CUSTOMER-USD'!$H196,'01. KE30'!$A:$A,'06. BC BH THEO CUSTOMER-USD'!ED$4)-SUMIFS('01. KE30'!$AA:$AA,'01. KE30'!$C:$C,'06. BC BH THEO CUSTOMER-USD'!$D196,'01. KE30'!$F:$F,'06. BC BH THEO CUSTOMER-USD'!$H196,'01. KE30'!$A:$A,'06. BC BH THEO CUSTOMER-USD'!ED$4),"-")</f>
        <v>0</v>
      </c>
      <c r="EE196" s="114">
        <f>IFERROR(SUMIFS('01. KE30'!$X:$X,'01. KE30'!$C:$C,'06. BC BH THEO CUSTOMER-USD'!$D196,'01. KE30'!$F:$F,'06. BC BH THEO CUSTOMER-USD'!$H196,'01. KE30'!$A:$A,'06. BC BH THEO CUSTOMER-USD'!EE$4)-SUMIFS('01. KE30'!$AA:$AA,'01. KE30'!$C:$C,'06. BC BH THEO CUSTOMER-USD'!$D196,'01. KE30'!$F:$F,'06. BC BH THEO CUSTOMER-USD'!$H196,'01. KE30'!$A:$A,'06. BC BH THEO CUSTOMER-USD'!EE$4),"-")</f>
        <v>0</v>
      </c>
      <c r="EF196" s="114">
        <f>IFERROR(SUMIFS('01. KE30'!$X:$X,'01. KE30'!$C:$C,'06. BC BH THEO CUSTOMER-USD'!$D196,'01. KE30'!$F:$F,'06. BC BH THEO CUSTOMER-USD'!$H196,'01. KE30'!$A:$A,'06. BC BH THEO CUSTOMER-USD'!EF$4)-SUMIFS('01. KE30'!$AA:$AA,'01. KE30'!$C:$C,'06. BC BH THEO CUSTOMER-USD'!$D196,'01. KE30'!$F:$F,'06. BC BH THEO CUSTOMER-USD'!$H196,'01. KE30'!$A:$A,'06. BC BH THEO CUSTOMER-USD'!EF$4),"-")</f>
        <v>0</v>
      </c>
      <c r="EH196" s="571">
        <f t="shared" si="2346"/>
        <v>-0.59402547410727613</v>
      </c>
      <c r="EI196" s="572" t="str">
        <f t="shared" si="2347"/>
        <v>-</v>
      </c>
      <c r="EJ196" s="572" t="str">
        <f t="shared" si="2348"/>
        <v>-</v>
      </c>
      <c r="EK196" s="572" t="str">
        <f t="shared" si="2349"/>
        <v>-</v>
      </c>
      <c r="EL196" s="572">
        <f t="shared" si="2350"/>
        <v>-0.59402547410727613</v>
      </c>
      <c r="EM196" s="572" t="str">
        <f t="shared" si="2351"/>
        <v>-</v>
      </c>
      <c r="EN196" s="572" t="str">
        <f t="shared" si="2352"/>
        <v>-</v>
      </c>
      <c r="EO196" s="572" t="str">
        <f t="shared" si="2353"/>
        <v>-</v>
      </c>
      <c r="EP196" s="572" t="str">
        <f t="shared" si="2354"/>
        <v>-</v>
      </c>
      <c r="EQ196" s="572" t="str">
        <f t="shared" si="2355"/>
        <v>-</v>
      </c>
      <c r="ER196" s="572" t="str">
        <f t="shared" si="2356"/>
        <v>-</v>
      </c>
      <c r="ES196" s="572" t="str">
        <f t="shared" si="2357"/>
        <v>-</v>
      </c>
      <c r="ET196" s="572" t="str">
        <f t="shared" si="2358"/>
        <v>-</v>
      </c>
    </row>
    <row r="197" spans="1:150" ht="15.5" hidden="1" outlineLevel="1" x14ac:dyDescent="0.35">
      <c r="A197" s="10"/>
      <c r="B197" s="10" t="s">
        <v>295</v>
      </c>
      <c r="C197" s="442"/>
      <c r="D197" s="9" t="s">
        <v>21</v>
      </c>
      <c r="E197" s="8" t="s">
        <v>20</v>
      </c>
      <c r="F197" s="12" t="s">
        <v>245</v>
      </c>
      <c r="G197" s="12" t="str">
        <f>_xlfn.XLOOKUP(F197,'Quy đổi'!$G$5:$G$32,'Quy đổi'!$H$5:$H$32,0)</f>
        <v>Nội địa</v>
      </c>
      <c r="H197" s="80" t="s">
        <v>37</v>
      </c>
      <c r="I197" s="7" t="s">
        <v>36</v>
      </c>
      <c r="J197" s="69" t="s">
        <v>22</v>
      </c>
      <c r="K197" s="5"/>
      <c r="L197" s="92">
        <f t="shared" ref="L197:L199" si="2359">IFERROR(AVERAGE(M197:X197),"-")</f>
        <v>634.92802466654598</v>
      </c>
      <c r="M197" s="106" t="str">
        <f>IFERROR(SUMIFS('01. KE30'!$K:$K,'01. KE30'!$C:$C,'06. BC BH THEO CUSTOMER-USD'!$D197,'01. KE30'!$F:$F,'06. BC BH THEO CUSTOMER-USD'!$H197,'01. KE30'!$A:$A,'06. BC BH THEO CUSTOMER-USD'!M$4)/'06. BC BH THEO CUSTOMER-USD'!CS197/'02. Tỷ giá'!B$5,"-")</f>
        <v>-</v>
      </c>
      <c r="N197" s="106" t="str">
        <f>IFERROR(SUMIFS('01. KE30'!$K:$K,'01. KE30'!$C:$C,'06. BC BH THEO CUSTOMER-USD'!$D197,'01. KE30'!$F:$F,'06. BC BH THEO CUSTOMER-USD'!$H197,'01. KE30'!$A:$A,'06. BC BH THEO CUSTOMER-USD'!N$4)/'06. BC BH THEO CUSTOMER-USD'!CT197/'02. Tỷ giá'!C$5,"-")</f>
        <v>-</v>
      </c>
      <c r="O197" s="106" t="str">
        <f>IFERROR(SUMIFS('01. KE30'!$K:$K,'01. KE30'!$C:$C,'06. BC BH THEO CUSTOMER-USD'!$D197,'01. KE30'!$F:$F,'06. BC BH THEO CUSTOMER-USD'!$H197,'01. KE30'!$A:$A,'06. BC BH THEO CUSTOMER-USD'!O$4)/'06. BC BH THEO CUSTOMER-USD'!CU197/'02. Tỷ giá'!D$5,"-")</f>
        <v>-</v>
      </c>
      <c r="P197" s="106" t="str">
        <f>IFERROR(SUMIFS('01. KE30'!$K:$K,'01. KE30'!$C:$C,'06. BC BH THEO CUSTOMER-USD'!$D197,'01. KE30'!$F:$F,'06. BC BH THEO CUSTOMER-USD'!$H197,'01. KE30'!$A:$A,'06. BC BH THEO CUSTOMER-USD'!P$4)/'06. BC BH THEO CUSTOMER-USD'!CV197/'02. Tỷ giá'!E$5,"-")</f>
        <v>-</v>
      </c>
      <c r="Q197" s="106">
        <f>IFERROR(SUMIFS('01. KE30'!$K:$K,'01. KE30'!$C:$C,'06. BC BH THEO CUSTOMER-USD'!$D197,'01. KE30'!$F:$F,'06. BC BH THEO CUSTOMER-USD'!$H197,'01. KE30'!$A:$A,'06. BC BH THEO CUSTOMER-USD'!Q$4)/'06. BC BH THEO CUSTOMER-USD'!CW197/'02. Tỷ giá'!F$5,"-")</f>
        <v>644.49600412477446</v>
      </c>
      <c r="R197" s="106">
        <f>IFERROR(SUMIFS('01. KE30'!$K:$K,'01. KE30'!$C:$C,'06. BC BH THEO CUSTOMER-USD'!$D197,'01. KE30'!$F:$F,'06. BC BH THEO CUSTOMER-USD'!$H197,'01. KE30'!$A:$A,'06. BC BH THEO CUSTOMER-USD'!R$4)/'06. BC BH THEO CUSTOMER-USD'!CX197/'02. Tỷ giá'!G$5,"-")</f>
        <v>643.00411522633738</v>
      </c>
      <c r="S197" s="106" t="str">
        <f>IFERROR(SUMIFS('01. KE30'!$K:$K,'01. KE30'!$C:$C,'06. BC BH THEO CUSTOMER-USD'!$D197,'01. KE30'!$F:$F,'06. BC BH THEO CUSTOMER-USD'!$H197,'01. KE30'!$A:$A,'06. BC BH THEO CUSTOMER-USD'!S$4)/'06. BC BH THEO CUSTOMER-USD'!CY197/'02. Tỷ giá'!H$5,"-")</f>
        <v>-</v>
      </c>
      <c r="T197" s="106" t="str">
        <f>IFERROR(SUMIFS('01. KE30'!$K:$K,'01. KE30'!$C:$C,'06. BC BH THEO CUSTOMER-USD'!$D197,'01. KE30'!$F:$F,'06. BC BH THEO CUSTOMER-USD'!$H197,'01. KE30'!$A:$A,'06. BC BH THEO CUSTOMER-USD'!T$4)/'06. BC BH THEO CUSTOMER-USD'!CZ197/'02. Tỷ giá'!I$5,"-")</f>
        <v>-</v>
      </c>
      <c r="U197" s="106">
        <f>IFERROR(SUMIFS('01. KE30'!$K:$K,'01. KE30'!$C:$C,'06. BC BH THEO CUSTOMER-USD'!$D197,'01. KE30'!$F:$F,'06. BC BH THEO CUSTOMER-USD'!$H197,'01. KE30'!$A:$A,'06. BC BH THEO CUSTOMER-USD'!U$4)/'06. BC BH THEO CUSTOMER-USD'!DA197/'02. Tỷ giá'!J$5,"-")</f>
        <v>617.28395464852611</v>
      </c>
      <c r="V197" s="106" t="str">
        <f>IFERROR(SUMIFS('01. KE30'!$K:$K,'01. KE30'!$C:$C,'06. BC BH THEO CUSTOMER-USD'!$D197,'01. KE30'!$F:$F,'06. BC BH THEO CUSTOMER-USD'!$H197,'01. KE30'!$A:$A,'06. BC BH THEO CUSTOMER-USD'!V$4)/'06. BC BH THEO CUSTOMER-USD'!DB197/'02. Tỷ giá'!K$5,"-")</f>
        <v>-</v>
      </c>
      <c r="W197" s="106" t="str">
        <f>IFERROR(SUMIFS('01. KE30'!$K:$K,'01. KE30'!$C:$C,'06. BC BH THEO CUSTOMER-USD'!$D197,'01. KE30'!$F:$F,'06. BC BH THEO CUSTOMER-USD'!$H197,'01. KE30'!$A:$A,'06. BC BH THEO CUSTOMER-USD'!W$4)/'06. BC BH THEO CUSTOMER-USD'!DC197/'02. Tỷ giá'!L$5,"-")</f>
        <v>-</v>
      </c>
      <c r="X197" s="106" t="str">
        <f>IFERROR(SUMIFS('01. KE30'!$K:$K,'01. KE30'!$C:$C,'06. BC BH THEO CUSTOMER-USD'!$D197,'01. KE30'!$F:$F,'06. BC BH THEO CUSTOMER-USD'!$H197,'01. KE30'!$A:$A,'06. BC BH THEO CUSTOMER-USD'!X$4)/'06. BC BH THEO CUSTOMER-USD'!DD197/'02. Tỷ giá'!M$5,"-")</f>
        <v>-</v>
      </c>
      <c r="Z197" s="92">
        <f t="shared" ref="Z197:Z199" si="2360">IFERROR(AVERAGE(AA197:AL197),"-")</f>
        <v>634.92802466654598</v>
      </c>
      <c r="AA197" s="147" t="str">
        <f>IFERROR(SUMIFS('01. KE30'!$O:$O,'01. KE30'!$C:$C,'06. BC BH THEO CUSTOMER-USD'!$D197,'01. KE30'!$F:$F,'06. BC BH THEO CUSTOMER-USD'!$H197,'01. KE30'!$A:$A,'06. BC BH THEO CUSTOMER-USD'!M$4)/'06. BC BH THEO CUSTOMER-USD'!CS197/'02. Tỷ giá'!B$5,"-")</f>
        <v>-</v>
      </c>
      <c r="AB197" s="147" t="str">
        <f>IFERROR(SUMIFS('01. KE30'!$O:$O,'01. KE30'!$C:$C,'06. BC BH THEO CUSTOMER-USD'!$D197,'01. KE30'!$F:$F,'06. BC BH THEO CUSTOMER-USD'!$H197,'01. KE30'!$A:$A,'06. BC BH THEO CUSTOMER-USD'!N$4)/'06. BC BH THEO CUSTOMER-USD'!CT197/'02. Tỷ giá'!C$5,"-")</f>
        <v>-</v>
      </c>
      <c r="AC197" s="147" t="str">
        <f>IFERROR(SUMIFS('01. KE30'!$O:$O,'01. KE30'!$C:$C,'06. BC BH THEO CUSTOMER-USD'!$D197,'01. KE30'!$F:$F,'06. BC BH THEO CUSTOMER-USD'!$H197,'01. KE30'!$A:$A,'06. BC BH THEO CUSTOMER-USD'!O$4)/'06. BC BH THEO CUSTOMER-USD'!CU197/'02. Tỷ giá'!D$5,"-")</f>
        <v>-</v>
      </c>
      <c r="AD197" s="147" t="str">
        <f>IFERROR(SUMIFS('01. KE30'!$O:$O,'01. KE30'!$C:$C,'06. BC BH THEO CUSTOMER-USD'!$D197,'01. KE30'!$F:$F,'06. BC BH THEO CUSTOMER-USD'!$H197,'01. KE30'!$A:$A,'06. BC BH THEO CUSTOMER-USD'!P$4)/'06. BC BH THEO CUSTOMER-USD'!CV197/'02. Tỷ giá'!E$5,"-")</f>
        <v>-</v>
      </c>
      <c r="AE197" s="147">
        <f>IFERROR(SUMIFS('01. KE30'!$O:$O,'01. KE30'!$C:$C,'06. BC BH THEO CUSTOMER-USD'!$D197,'01. KE30'!$F:$F,'06. BC BH THEO CUSTOMER-USD'!$H197,'01. KE30'!$A:$A,'06. BC BH THEO CUSTOMER-USD'!Q$4)/'06. BC BH THEO CUSTOMER-USD'!CW197/'02. Tỷ giá'!F$5,"-")</f>
        <v>644.49600412477446</v>
      </c>
      <c r="AF197" s="147">
        <f>IFERROR(SUMIFS('01. KE30'!$O:$O,'01. KE30'!$C:$C,'06. BC BH THEO CUSTOMER-USD'!$D197,'01. KE30'!$F:$F,'06. BC BH THEO CUSTOMER-USD'!$H197,'01. KE30'!$A:$A,'06. BC BH THEO CUSTOMER-USD'!R$4)/'06. BC BH THEO CUSTOMER-USD'!CX197/'02. Tỷ giá'!G$5,"-")</f>
        <v>643.00411522633738</v>
      </c>
      <c r="AG197" s="147" t="str">
        <f>IFERROR(SUMIFS('01. KE30'!$O:$O,'01. KE30'!$C:$C,'06. BC BH THEO CUSTOMER-USD'!$D197,'01. KE30'!$F:$F,'06. BC BH THEO CUSTOMER-USD'!$H197,'01. KE30'!$A:$A,'06. BC BH THEO CUSTOMER-USD'!S$4)/'06. BC BH THEO CUSTOMER-USD'!CY197/'02. Tỷ giá'!H$5,"-")</f>
        <v>-</v>
      </c>
      <c r="AH197" s="147" t="str">
        <f>IFERROR(SUMIFS('01. KE30'!$O:$O,'01. KE30'!$C:$C,'06. BC BH THEO CUSTOMER-USD'!$D197,'01. KE30'!$F:$F,'06. BC BH THEO CUSTOMER-USD'!$H197,'01. KE30'!$A:$A,'06. BC BH THEO CUSTOMER-USD'!T$4)/'06. BC BH THEO CUSTOMER-USD'!CZ197/'02. Tỷ giá'!I$5,"-")</f>
        <v>-</v>
      </c>
      <c r="AI197" s="147">
        <f>IFERROR(SUMIFS('01. KE30'!$O:$O,'01. KE30'!$C:$C,'06. BC BH THEO CUSTOMER-USD'!$D197,'01. KE30'!$F:$F,'06. BC BH THEO CUSTOMER-USD'!$H197,'01. KE30'!$A:$A,'06. BC BH THEO CUSTOMER-USD'!U$4)/'06. BC BH THEO CUSTOMER-USD'!DA197/'02. Tỷ giá'!J$5,"-")</f>
        <v>617.28395464852611</v>
      </c>
      <c r="AJ197" s="147" t="str">
        <f>IFERROR(SUMIFS('01. KE30'!$O:$O,'01. KE30'!$C:$C,'06. BC BH THEO CUSTOMER-USD'!$D197,'01. KE30'!$F:$F,'06. BC BH THEO CUSTOMER-USD'!$H197,'01. KE30'!$A:$A,'06. BC BH THEO CUSTOMER-USD'!V$4)/'06. BC BH THEO CUSTOMER-USD'!DB197/'02. Tỷ giá'!K$5,"-")</f>
        <v>-</v>
      </c>
      <c r="AK197" s="147" t="str">
        <f>IFERROR(SUMIFS('01. KE30'!$O:$O,'01. KE30'!$C:$C,'06. BC BH THEO CUSTOMER-USD'!$D197,'01. KE30'!$F:$F,'06. BC BH THEO CUSTOMER-USD'!$H197,'01. KE30'!$A:$A,'06. BC BH THEO CUSTOMER-USD'!W$4)/'06. BC BH THEO CUSTOMER-USD'!DC197/'02. Tỷ giá'!L$5,"-")</f>
        <v>-</v>
      </c>
      <c r="AL197" s="147" t="str">
        <f>IFERROR(SUMIFS('01. KE30'!$O:$O,'01. KE30'!$C:$C,'06. BC BH THEO CUSTOMER-USD'!$D197,'01. KE30'!$F:$F,'06. BC BH THEO CUSTOMER-USD'!$H197,'01. KE30'!$A:$A,'06. BC BH THEO CUSTOMER-USD'!X$4)/'06. BC BH THEO CUSTOMER-USD'!DD197/'02. Tỷ giá'!M$5,"-")</f>
        <v>-</v>
      </c>
      <c r="AN197" s="92">
        <f t="shared" ref="AN197:AN199" si="2361">IFERROR(AVERAGE(AO197:AZ197),"-")</f>
        <v>740.55555555555554</v>
      </c>
      <c r="AO197" s="4">
        <v>855</v>
      </c>
      <c r="AP197" s="4">
        <v>750</v>
      </c>
      <c r="AQ197" s="4">
        <v>750</v>
      </c>
      <c r="AR197" s="4">
        <v>750</v>
      </c>
      <c r="AS197" s="4">
        <v>720</v>
      </c>
      <c r="AT197" s="4">
        <v>720</v>
      </c>
      <c r="AU197" s="4">
        <v>720</v>
      </c>
      <c r="AV197" s="4">
        <f t="shared" ref="AV197:AV206" si="2362">AU197-20</f>
        <v>700</v>
      </c>
      <c r="AW197" s="4">
        <v>700</v>
      </c>
      <c r="AX197" s="4"/>
      <c r="AY197" s="4"/>
      <c r="AZ197" s="4"/>
      <c r="BB197" s="95">
        <f t="shared" ref="BB197:BB199" si="2363">IF(L197&lt;&gt;"-",Z197-AN197,"-")</f>
        <v>-105.62753088900956</v>
      </c>
      <c r="BC197" s="95" t="str">
        <f t="shared" ref="BC197:BC199" si="2364">IF(M197&lt;&gt;"-",AA197-AO197,"-")</f>
        <v>-</v>
      </c>
      <c r="BD197" s="95" t="str">
        <f t="shared" ref="BD197:BD199" si="2365">IF(N197&lt;&gt;"-",AB197-AP197,"-")</f>
        <v>-</v>
      </c>
      <c r="BE197" s="95" t="str">
        <f t="shared" ref="BE197:BE199" si="2366">IF(O197&lt;&gt;"-",AC197-AQ197,"-")</f>
        <v>-</v>
      </c>
      <c r="BF197" s="95" t="str">
        <f t="shared" ref="BF197:BF199" si="2367">IF(P197&lt;&gt;"-",AD197-AR197,"-")</f>
        <v>-</v>
      </c>
      <c r="BG197" s="95">
        <f t="shared" ref="BG197:BG199" si="2368">IF(Q197&lt;&gt;"-",AE197-AS197,"-")</f>
        <v>-75.503995875225542</v>
      </c>
      <c r="BH197" s="95">
        <f t="shared" ref="BH197:BH199" si="2369">IF(R197&lt;&gt;"-",AF197-AT197,"-")</f>
        <v>-76.995884773662624</v>
      </c>
      <c r="BI197" s="95" t="str">
        <f t="shared" ref="BI197:BI199" si="2370">IF(S197&lt;&gt;"-",AG197-AU197,"-")</f>
        <v>-</v>
      </c>
      <c r="BJ197" s="95" t="str">
        <f t="shared" ref="BJ197:BJ199" si="2371">IF(T197&lt;&gt;"-",AH197-AV197,"-")</f>
        <v>-</v>
      </c>
      <c r="BK197" s="95">
        <f t="shared" ref="BK197:BK199" si="2372">IF(U197&lt;&gt;"-",AI197-AW197,"-")</f>
        <v>-82.716045351473895</v>
      </c>
      <c r="BL197" s="95" t="str">
        <f t="shared" ref="BL197:BL199" si="2373">IF(V197&lt;&gt;"-",AJ197-AX197,"-")</f>
        <v>-</v>
      </c>
      <c r="BM197" s="95" t="str">
        <f t="shared" ref="BM197:BM199" si="2374">IF(W197&lt;&gt;"-",AK197-AY197,"-")</f>
        <v>-</v>
      </c>
      <c r="BN197" s="95" t="str">
        <f t="shared" ref="BN197:BN199" si="2375">IF(X197&lt;&gt;"-",AL197-AZ197,"-")</f>
        <v>-</v>
      </c>
      <c r="BP197" s="143">
        <f t="shared" ref="BP197:BP199" si="2376">IFERROR(IF(BB197&lt;&gt;"-",BB197/AN197,"-"),"-")</f>
        <v>-0.14263282490638951</v>
      </c>
      <c r="BQ197" s="143" t="str">
        <f t="shared" ref="BQ197:BQ199" si="2377">IFERROR(IF(BC197&lt;&gt;"-",BC197/AO197,"-"),"-")</f>
        <v>-</v>
      </c>
      <c r="BR197" s="143" t="str">
        <f t="shared" ref="BR197:BR199" si="2378">IFERROR(IF(BD197&lt;&gt;"-",BD197/AP197,"-"),"-")</f>
        <v>-</v>
      </c>
      <c r="BS197" s="143" t="str">
        <f t="shared" ref="BS197:BS199" si="2379">IFERROR(IF(BE197&lt;&gt;"-",BE197/AQ197,"-"),"-")</f>
        <v>-</v>
      </c>
      <c r="BT197" s="143" t="str">
        <f t="shared" ref="BT197:BT199" si="2380">IFERROR(IF(BF197&lt;&gt;"-",BF197/AR197,"-"),"-")</f>
        <v>-</v>
      </c>
      <c r="BU197" s="143">
        <f t="shared" ref="BU197:BU199" si="2381">IFERROR(IF(BG197&lt;&gt;"-",BG197/AS197,"-"),"-")</f>
        <v>-0.10486666093781326</v>
      </c>
      <c r="BV197" s="143">
        <f t="shared" ref="BV197:BV199" si="2382">IFERROR(IF(BH197&lt;&gt;"-",BH197/AT197,"-"),"-")</f>
        <v>-0.10693872885230921</v>
      </c>
      <c r="BW197" s="143" t="str">
        <f t="shared" ref="BW197:BW199" si="2383">IFERROR(IF(BI197&lt;&gt;"-",BI197/AU197,"-"),"-")</f>
        <v>-</v>
      </c>
      <c r="BX197" s="143" t="str">
        <f t="shared" ref="BX197:BX199" si="2384">IFERROR(IF(BJ197&lt;&gt;"-",BJ197/AV197,"-"),"-")</f>
        <v>-</v>
      </c>
      <c r="BY197" s="143">
        <f t="shared" ref="BY197:BY199" si="2385">IFERROR(IF(BK197&lt;&gt;"-",BK197/AW197,"-"),"-")</f>
        <v>-0.11816577907353414</v>
      </c>
      <c r="BZ197" s="143" t="str">
        <f t="shared" ref="BZ197:BZ199" si="2386">IFERROR(IF(BL197&lt;&gt;"-",BL197/AX197,"-"),"-")</f>
        <v>-</v>
      </c>
      <c r="CA197" s="143" t="str">
        <f t="shared" ref="CA197:CA199" si="2387">IFERROR(IF(BM197&lt;&gt;"-",BM197/AY197,"-"),"-")</f>
        <v>-</v>
      </c>
      <c r="CB197" s="143" t="str">
        <f t="shared" ref="CB197:CB199" si="2388">IFERROR(IF(BN197&lt;&gt;"-",BN197/AZ197,"-"),"-")</f>
        <v>-</v>
      </c>
      <c r="CD197" s="112">
        <f t="shared" ref="CD197:CD199" si="2389">IFERROR(AVERAGE(CE197:CP197),"-")</f>
        <v>877.87968444164881</v>
      </c>
      <c r="CE197" s="95" t="str">
        <f>IFERROR(SUMIFS('01. KE30'!$R:$R,'01. KE30'!$C:$C,'06. BC BH THEO CUSTOMER-USD'!$D197,'01. KE30'!$F:$F,'06. BC BH THEO CUSTOMER-USD'!$H197,'01. KE30'!$A:$A,'06. BC BH THEO CUSTOMER-USD'!CE$4)/CS197/'02. Tỷ giá'!B$5," -")</f>
        <v xml:space="preserve"> -</v>
      </c>
      <c r="CF197" s="95" t="str">
        <f>IFERROR(SUMIFS('01. KE30'!$R:$R,'01. KE30'!$C:$C,'06. BC BH THEO CUSTOMER-USD'!$D197,'01. KE30'!$F:$F,'06. BC BH THEO CUSTOMER-USD'!$H197,'01. KE30'!$A:$A,'06. BC BH THEO CUSTOMER-USD'!CF$4)/CT197/'02. Tỷ giá'!C$5," -")</f>
        <v xml:space="preserve"> -</v>
      </c>
      <c r="CG197" s="95" t="str">
        <f>IFERROR(SUMIFS('01. KE30'!$R:$R,'01. KE30'!$C:$C,'06. BC BH THEO CUSTOMER-USD'!$D197,'01. KE30'!$F:$F,'06. BC BH THEO CUSTOMER-USD'!$H197,'01. KE30'!$A:$A,'06. BC BH THEO CUSTOMER-USD'!CG$4)/CU197/'02. Tỷ giá'!D$5," -")</f>
        <v xml:space="preserve"> -</v>
      </c>
      <c r="CH197" s="95" t="str">
        <f>IFERROR(SUMIFS('01. KE30'!$R:$R,'01. KE30'!$C:$C,'06. BC BH THEO CUSTOMER-USD'!$D197,'01. KE30'!$F:$F,'06. BC BH THEO CUSTOMER-USD'!$H197,'01. KE30'!$A:$A,'06. BC BH THEO CUSTOMER-USD'!CH$4)/CV197/'02. Tỷ giá'!E$5," -")</f>
        <v xml:space="preserve"> -</v>
      </c>
      <c r="CI197" s="95">
        <f>IFERROR(SUMIFS('01. KE30'!$R:$R,'01. KE30'!$C:$C,'06. BC BH THEO CUSTOMER-USD'!$D197,'01. KE30'!$F:$F,'06. BC BH THEO CUSTOMER-USD'!$H197,'01. KE30'!$A:$A,'06. BC BH THEO CUSTOMER-USD'!CI$4)/CW197/'02. Tỷ giá'!F$5," -")</f>
        <v>974.34564136559504</v>
      </c>
      <c r="CJ197" s="95">
        <f>IFERROR(SUMIFS('01. KE30'!$R:$R,'01. KE30'!$C:$C,'06. BC BH THEO CUSTOMER-USD'!$D197,'01. KE30'!$F:$F,'06. BC BH THEO CUSTOMER-USD'!$H197,'01. KE30'!$A:$A,'06. BC BH THEO CUSTOMER-USD'!CJ$4)/CX197/'02. Tỷ giá'!G$5," -")</f>
        <v>942.66224279835387</v>
      </c>
      <c r="CK197" s="95" t="str">
        <f>IFERROR(SUMIFS('01. KE30'!$R:$R,'01. KE30'!$C:$C,'06. BC BH THEO CUSTOMER-USD'!$D197,'01. KE30'!$F:$F,'06. BC BH THEO CUSTOMER-USD'!$H197,'01. KE30'!$A:$A,'06. BC BH THEO CUSTOMER-USD'!CK$4)/CY197/'02. Tỷ giá'!H$5," -")</f>
        <v xml:space="preserve"> -</v>
      </c>
      <c r="CL197" s="95" t="str">
        <f>IFERROR(SUMIFS('01. KE30'!$R:$R,'01. KE30'!$C:$C,'06. BC BH THEO CUSTOMER-USD'!$D197,'01. KE30'!$F:$F,'06. BC BH THEO CUSTOMER-USD'!$H197,'01. KE30'!$A:$A,'06. BC BH THEO CUSTOMER-USD'!CL$4)/CZ197/'02. Tỷ giá'!I$5," -")</f>
        <v xml:space="preserve"> -</v>
      </c>
      <c r="CM197" s="95">
        <f>IFERROR(SUMIFS('01. KE30'!$R:$R,'01. KE30'!$C:$C,'06. BC BH THEO CUSTOMER-USD'!$D197,'01. KE30'!$F:$F,'06. BC BH THEO CUSTOMER-USD'!$H197,'01. KE30'!$A:$A,'06. BC BH THEO CUSTOMER-USD'!CM$4)/DA197/'02. Tỷ giá'!J$5," -")</f>
        <v>716.63116916099773</v>
      </c>
      <c r="CN197" s="95" t="str">
        <f>IFERROR(SUMIFS('01. KE30'!$R:$R,'01. KE30'!$C:$C,'06. BC BH THEO CUSTOMER-USD'!$D197,'01. KE30'!$F:$F,'06. BC BH THEO CUSTOMER-USD'!$H197,'01. KE30'!$A:$A,'06. BC BH THEO CUSTOMER-USD'!CN$4)/DB197/'02. Tỷ giá'!K$5," -")</f>
        <v xml:space="preserve"> -</v>
      </c>
      <c r="CO197" s="95" t="str">
        <f>IFERROR(SUMIFS('01. KE30'!$R:$R,'01. KE30'!$C:$C,'06. BC BH THEO CUSTOMER-USD'!$D197,'01. KE30'!$F:$F,'06. BC BH THEO CUSTOMER-USD'!$H197,'01. KE30'!$A:$A,'06. BC BH THEO CUSTOMER-USD'!CO$4)/DC197/'02. Tỷ giá'!L$5," -")</f>
        <v xml:space="preserve"> -</v>
      </c>
      <c r="CP197" s="95" t="str">
        <f>IFERROR(SUMIFS('01. KE30'!$R:$R,'01. KE30'!$C:$C,'06. BC BH THEO CUSTOMER-USD'!$D197,'01. KE30'!$F:$F,'06. BC BH THEO CUSTOMER-USD'!$H197,'01. KE30'!$A:$A,'06. BC BH THEO CUSTOMER-USD'!CP$4)/DD197/'02. Tỷ giá'!M$5," -")</f>
        <v xml:space="preserve"> -</v>
      </c>
      <c r="CR197" s="112">
        <f t="shared" ref="CR197:CR199" si="2390">SUM(CS197:DD197)</f>
        <v>20.25</v>
      </c>
      <c r="CS197" s="114">
        <f>SUMIFS('01. KE30'!$I:$I,'01. KE30'!$C:$C,'06. BC BH THEO CUSTOMER-USD'!$D197,'01. KE30'!$F:$F,'06. BC BH THEO CUSTOMER-USD'!$H197,'01. KE30'!$A:$A,'06. BC BH THEO CUSTOMER-USD'!CS$4)/1000</f>
        <v>0</v>
      </c>
      <c r="CT197" s="114">
        <f>SUMIFS('01. KE30'!$I:$I,'01. KE30'!$C:$C,'06. BC BH THEO CUSTOMER-USD'!$D197,'01. KE30'!$F:$F,'06. BC BH THEO CUSTOMER-USD'!$H197,'01. KE30'!$A:$A,'06. BC BH THEO CUSTOMER-USD'!CT$4)/1000</f>
        <v>0</v>
      </c>
      <c r="CU197" s="114">
        <f>SUMIFS('01. KE30'!$I:$I,'01. KE30'!$C:$C,'06. BC BH THEO CUSTOMER-USD'!$D197,'01. KE30'!$F:$F,'06. BC BH THEO CUSTOMER-USD'!$H197,'01. KE30'!$A:$A,'06. BC BH THEO CUSTOMER-USD'!CU$4)/1000</f>
        <v>0</v>
      </c>
      <c r="CV197" s="114">
        <f>SUMIFS('01. KE30'!$I:$I,'01. KE30'!$C:$C,'06. BC BH THEO CUSTOMER-USD'!$D197,'01. KE30'!$F:$F,'06. BC BH THEO CUSTOMER-USD'!$H197,'01. KE30'!$A:$A,'06. BC BH THEO CUSTOMER-USD'!CV$4)/1000</f>
        <v>0</v>
      </c>
      <c r="CW197" s="114">
        <f>SUMIFS('01. KE30'!$I:$I,'01. KE30'!$C:$C,'06. BC BH THEO CUSTOMER-USD'!$D197,'01. KE30'!$F:$F,'06. BC BH THEO CUSTOMER-USD'!$H197,'01. KE30'!$A:$A,'06. BC BH THEO CUSTOMER-USD'!CW$4)/1000</f>
        <v>5.25</v>
      </c>
      <c r="CX197" s="114">
        <f>SUMIFS('01. KE30'!$I:$I,'01. KE30'!$C:$C,'06. BC BH THEO CUSTOMER-USD'!$D197,'01. KE30'!$F:$F,'06. BC BH THEO CUSTOMER-USD'!$H197,'01. KE30'!$A:$A,'06. BC BH THEO CUSTOMER-USD'!CX$4)/1000</f>
        <v>4.5</v>
      </c>
      <c r="CY197" s="114">
        <f>SUMIFS('01. KE30'!$I:$I,'01. KE30'!$C:$C,'06. BC BH THEO CUSTOMER-USD'!$D197,'01. KE30'!$F:$F,'06. BC BH THEO CUSTOMER-USD'!$H197,'01. KE30'!$A:$A,'06. BC BH THEO CUSTOMER-USD'!CY$4)/1000</f>
        <v>0</v>
      </c>
      <c r="CZ197" s="114">
        <f>SUMIFS('01. KE30'!$I:$I,'01. KE30'!$C:$C,'06. BC BH THEO CUSTOMER-USD'!$D197,'01. KE30'!$F:$F,'06. BC BH THEO CUSTOMER-USD'!$H197,'01. KE30'!$A:$A,'06. BC BH THEO CUSTOMER-USD'!CZ$4)/1000</f>
        <v>0</v>
      </c>
      <c r="DA197" s="114">
        <f>SUMIFS('01. KE30'!$I:$I,'01. KE30'!$C:$C,'06. BC BH THEO CUSTOMER-USD'!$D197,'01. KE30'!$F:$F,'06. BC BH THEO CUSTOMER-USD'!$H197,'01. KE30'!$A:$A,'06. BC BH THEO CUSTOMER-USD'!DA$4)/1000</f>
        <v>10.5</v>
      </c>
      <c r="DB197" s="114">
        <f>SUMIFS('01. KE30'!$I:$I,'01. KE30'!$C:$C,'06. BC BH THEO CUSTOMER-USD'!$D197,'01. KE30'!$F:$F,'06. BC BH THEO CUSTOMER-USD'!$H197,'01. KE30'!$A:$A,'06. BC BH THEO CUSTOMER-USD'!DB$4)/1000</f>
        <v>0</v>
      </c>
      <c r="DC197" s="114">
        <f>SUMIFS('01. KE30'!$I:$I,'01. KE30'!$C:$C,'06. BC BH THEO CUSTOMER-USD'!$D197,'01. KE30'!$F:$F,'06. BC BH THEO CUSTOMER-USD'!$H197,'01. KE30'!$A:$A,'06. BC BH THEO CUSTOMER-USD'!DC$4)/1000</f>
        <v>0</v>
      </c>
      <c r="DD197" s="114">
        <f>SUMIFS('01. KE30'!$I:$I,'01. KE30'!$C:$C,'06. BC BH THEO CUSTOMER-USD'!$D197,'01. KE30'!$F:$F,'06. BC BH THEO CUSTOMER-USD'!$H197,'01. KE30'!$A:$A,'06. BC BH THEO CUSTOMER-USD'!DD$4)/1000</f>
        <v>0</v>
      </c>
      <c r="DF197" s="112">
        <f t="shared" ref="DF197:DF199" si="2391">SUM(DG197:DR197)</f>
        <v>12758.604063983108</v>
      </c>
      <c r="DG197" s="54" t="str">
        <f t="shared" ref="DG197:DG199" si="2392">IFERROR(M197*CS197,"-")</f>
        <v>-</v>
      </c>
      <c r="DH197" s="54" t="str">
        <f t="shared" ref="DH197:DH199" si="2393">IFERROR(N197*CT197,"-")</f>
        <v>-</v>
      </c>
      <c r="DI197" s="54" t="str">
        <f t="shared" ref="DI197:DI199" si="2394">IFERROR(O197*CU197,"-")</f>
        <v>-</v>
      </c>
      <c r="DJ197" s="54" t="str">
        <f t="shared" ref="DJ197:DJ199" si="2395">IFERROR(P197*CV197,"-")</f>
        <v>-</v>
      </c>
      <c r="DK197" s="54">
        <f t="shared" ref="DK197:DK199" si="2396">IFERROR(Q197*CW197,"-")</f>
        <v>3383.6040216550659</v>
      </c>
      <c r="DL197" s="54">
        <f t="shared" ref="DL197:DL199" si="2397">IFERROR(R197*CX197,"-")</f>
        <v>2893.5185185185182</v>
      </c>
      <c r="DM197" s="54" t="str">
        <f t="shared" ref="DM197:DM199" si="2398">IFERROR(S197*CY197,"-")</f>
        <v>-</v>
      </c>
      <c r="DN197" s="54" t="str">
        <f t="shared" ref="DN197:DN199" si="2399">IFERROR(T197*CZ197,"-")</f>
        <v>-</v>
      </c>
      <c r="DO197" s="54">
        <f t="shared" ref="DO197:DO199" si="2400">IFERROR(U197*DA197,"-")</f>
        <v>6481.4815238095243</v>
      </c>
      <c r="DP197" s="54" t="str">
        <f t="shared" ref="DP197:DP199" si="2401">IFERROR(V197*DB197,"-")</f>
        <v>-</v>
      </c>
      <c r="DQ197" s="54" t="str">
        <f t="shared" ref="DQ197:DQ199" si="2402">IFERROR(W197*DC197,"-")</f>
        <v>-</v>
      </c>
      <c r="DR197" s="54" t="str">
        <f t="shared" ref="DR197:DR199" si="2403">IFERROR(X197*DD197,"-")</f>
        <v>-</v>
      </c>
      <c r="DT197" s="112">
        <f t="shared" ref="DT197:DT199" si="2404">SUM(DU197:EF197)</f>
        <v>-4123.3179219693347</v>
      </c>
      <c r="DU197" s="114">
        <f>IFERROR(SUMIFS('01. KE30'!$X:$X,'01. KE30'!$C:$C,'06. BC BH THEO CUSTOMER-USD'!$D197,'01. KE30'!$F:$F,'06. BC BH THEO CUSTOMER-USD'!$H197,'01. KE30'!$A:$A,'06. BC BH THEO CUSTOMER-USD'!DU$4)-SUMIFS('01. KE30'!$AA:$AA,'01. KE30'!$C:$C,'06. BC BH THEO CUSTOMER-USD'!$D197,'01. KE30'!$F:$F,'06. BC BH THEO CUSTOMER-USD'!$H197,'01. KE30'!$A:$A,'06. BC BH THEO CUSTOMER-USD'!DU$4),"-")</f>
        <v>0</v>
      </c>
      <c r="DV197" s="114">
        <f>IFERROR(SUMIFS('01. KE30'!$X:$X,'01. KE30'!$C:$C,'06. BC BH THEO CUSTOMER-USD'!$D197,'01. KE30'!$F:$F,'06. BC BH THEO CUSTOMER-USD'!$H197,'01. KE30'!$A:$A,'06. BC BH THEO CUSTOMER-USD'!DV$4)-SUMIFS('01. KE30'!$AA:$AA,'01. KE30'!$C:$C,'06. BC BH THEO CUSTOMER-USD'!$D197,'01. KE30'!$F:$F,'06. BC BH THEO CUSTOMER-USD'!$H197,'01. KE30'!$A:$A,'06. BC BH THEO CUSTOMER-USD'!DV$4),"-")</f>
        <v>0</v>
      </c>
      <c r="DW197" s="114">
        <f>IFERROR(SUMIFS('01. KE30'!$X:$X,'01. KE30'!$C:$C,'06. BC BH THEO CUSTOMER-USD'!$D197,'01. KE30'!$F:$F,'06. BC BH THEO CUSTOMER-USD'!$H197,'01. KE30'!$A:$A,'06. BC BH THEO CUSTOMER-USD'!DW$4)-SUMIFS('01. KE30'!$AA:$AA,'01. KE30'!$C:$C,'06. BC BH THEO CUSTOMER-USD'!$D197,'01. KE30'!$F:$F,'06. BC BH THEO CUSTOMER-USD'!$H197,'01. KE30'!$A:$A,'06. BC BH THEO CUSTOMER-USD'!DW$4),"-")</f>
        <v>0</v>
      </c>
      <c r="DX197" s="114">
        <f>IFERROR(SUMIFS('01. KE30'!$X:$X,'01. KE30'!$C:$C,'06. BC BH THEO CUSTOMER-USD'!$D197,'01. KE30'!$F:$F,'06. BC BH THEO CUSTOMER-USD'!$H197,'01. KE30'!$A:$A,'06. BC BH THEO CUSTOMER-USD'!DX$4)-SUMIFS('01. KE30'!$AA:$AA,'01. KE30'!$C:$C,'06. BC BH THEO CUSTOMER-USD'!$D197,'01. KE30'!$F:$F,'06. BC BH THEO CUSTOMER-USD'!$H197,'01. KE30'!$A:$A,'06. BC BH THEO CUSTOMER-USD'!DX$4),"-")</f>
        <v>0</v>
      </c>
      <c r="DY197" s="114">
        <f>IFERROR(SUMIFS('01. KE30'!$X:$X,'01. KE30'!$C:$C,'06. BC BH THEO CUSTOMER-USD'!$D197,'01. KE30'!$F:$F,'06. BC BH THEO CUSTOMER-USD'!$H197,'01. KE30'!$A:$A,'06. BC BH THEO CUSTOMER-USD'!DY$4)-SUMIFS('01. KE30'!$AA:$AA,'01. KE30'!$C:$C,'06. BC BH THEO CUSTOMER-USD'!$D197,'01. KE30'!$F:$F,'06. BC BH THEO CUSTOMER-USD'!$H197,'01. KE30'!$A:$A,'06. BC BH THEO CUSTOMER-USD'!DY$4),"-")</f>
        <v>-1731.7105955143074</v>
      </c>
      <c r="DZ197" s="114">
        <f>IFERROR(SUMIFS('01. KE30'!$X:$X,'01. KE30'!$C:$C,'06. BC BH THEO CUSTOMER-USD'!$D197,'01. KE30'!$F:$F,'06. BC BH THEO CUSTOMER-USD'!$H197,'01. KE30'!$A:$A,'06. BC BH THEO CUSTOMER-USD'!DZ$4)-SUMIFS('01. KE30'!$AA:$AA,'01. KE30'!$C:$C,'06. BC BH THEO CUSTOMER-USD'!$D197,'01. KE30'!$F:$F,'06. BC BH THEO CUSTOMER-USD'!$H197,'01. KE30'!$A:$A,'06. BC BH THEO CUSTOMER-USD'!DZ$4),"-")</f>
        <v>-1348.4615740740742</v>
      </c>
      <c r="EA197" s="114">
        <f>IFERROR(SUMIFS('01. KE30'!$X:$X,'01. KE30'!$C:$C,'06. BC BH THEO CUSTOMER-USD'!$D197,'01. KE30'!$F:$F,'06. BC BH THEO CUSTOMER-USD'!$H197,'01. KE30'!$A:$A,'06. BC BH THEO CUSTOMER-USD'!EA$4)-SUMIFS('01. KE30'!$AA:$AA,'01. KE30'!$C:$C,'06. BC BH THEO CUSTOMER-USD'!$D197,'01. KE30'!$F:$F,'06. BC BH THEO CUSTOMER-USD'!$H197,'01. KE30'!$A:$A,'06. BC BH THEO CUSTOMER-USD'!EA$4),"-")</f>
        <v>0</v>
      </c>
      <c r="EB197" s="114">
        <f>IFERROR(SUMIFS('01. KE30'!$X:$X,'01. KE30'!$C:$C,'06. BC BH THEO CUSTOMER-USD'!$D197,'01. KE30'!$F:$F,'06. BC BH THEO CUSTOMER-USD'!$H197,'01. KE30'!$A:$A,'06. BC BH THEO CUSTOMER-USD'!EB$4)-SUMIFS('01. KE30'!$AA:$AA,'01. KE30'!$C:$C,'06. BC BH THEO CUSTOMER-USD'!$D197,'01. KE30'!$F:$F,'06. BC BH THEO CUSTOMER-USD'!$H197,'01. KE30'!$A:$A,'06. BC BH THEO CUSTOMER-USD'!EB$4),"-")</f>
        <v>0</v>
      </c>
      <c r="EC197" s="114">
        <f>IFERROR(SUMIFS('01. KE30'!$X:$X,'01. KE30'!$C:$C,'06. BC BH THEO CUSTOMER-USD'!$D197,'01. KE30'!$F:$F,'06. BC BH THEO CUSTOMER-USD'!$H197,'01. KE30'!$A:$A,'06. BC BH THEO CUSTOMER-USD'!EC$4)-SUMIFS('01. KE30'!$AA:$AA,'01. KE30'!$C:$C,'06. BC BH THEO CUSTOMER-USD'!$D197,'01. KE30'!$F:$F,'06. BC BH THEO CUSTOMER-USD'!$H197,'01. KE30'!$A:$A,'06. BC BH THEO CUSTOMER-USD'!EC$4),"-")</f>
        <v>-1043.1457523809531</v>
      </c>
      <c r="ED197" s="114">
        <f>IFERROR(SUMIFS('01. KE30'!$X:$X,'01. KE30'!$C:$C,'06. BC BH THEO CUSTOMER-USD'!$D197,'01. KE30'!$F:$F,'06. BC BH THEO CUSTOMER-USD'!$H197,'01. KE30'!$A:$A,'06. BC BH THEO CUSTOMER-USD'!ED$4)-SUMIFS('01. KE30'!$AA:$AA,'01. KE30'!$C:$C,'06. BC BH THEO CUSTOMER-USD'!$D197,'01. KE30'!$F:$F,'06. BC BH THEO CUSTOMER-USD'!$H197,'01. KE30'!$A:$A,'06. BC BH THEO CUSTOMER-USD'!ED$4),"-")</f>
        <v>0</v>
      </c>
      <c r="EE197" s="114">
        <f>IFERROR(SUMIFS('01. KE30'!$X:$X,'01. KE30'!$C:$C,'06. BC BH THEO CUSTOMER-USD'!$D197,'01. KE30'!$F:$F,'06. BC BH THEO CUSTOMER-USD'!$H197,'01. KE30'!$A:$A,'06. BC BH THEO CUSTOMER-USD'!EE$4)-SUMIFS('01. KE30'!$AA:$AA,'01. KE30'!$C:$C,'06. BC BH THEO CUSTOMER-USD'!$D197,'01. KE30'!$F:$F,'06. BC BH THEO CUSTOMER-USD'!$H197,'01. KE30'!$A:$A,'06. BC BH THEO CUSTOMER-USD'!EE$4),"-")</f>
        <v>0</v>
      </c>
      <c r="EF197" s="114">
        <f>IFERROR(SUMIFS('01. KE30'!$X:$X,'01. KE30'!$C:$C,'06. BC BH THEO CUSTOMER-USD'!$D197,'01. KE30'!$F:$F,'06. BC BH THEO CUSTOMER-USD'!$H197,'01. KE30'!$A:$A,'06. BC BH THEO CUSTOMER-USD'!EF$4)-SUMIFS('01. KE30'!$AA:$AA,'01. KE30'!$C:$C,'06. BC BH THEO CUSTOMER-USD'!$D197,'01. KE30'!$F:$F,'06. BC BH THEO CUSTOMER-USD'!$H197,'01. KE30'!$A:$A,'06. BC BH THEO CUSTOMER-USD'!EF$4),"-")</f>
        <v>0</v>
      </c>
      <c r="EH197" s="571">
        <f t="shared" ref="EH197:EH199" si="2405">IFERROR(DT197/DF197,"-")</f>
        <v>-0.32317939339533641</v>
      </c>
      <c r="EI197" s="572" t="str">
        <f t="shared" ref="EI197:EI199" si="2406">IFERROR(DU197/DG197,"-")</f>
        <v>-</v>
      </c>
      <c r="EJ197" s="572" t="str">
        <f t="shared" ref="EJ197:EJ199" si="2407">IFERROR(DV197/DH197,"-")</f>
        <v>-</v>
      </c>
      <c r="EK197" s="572" t="str">
        <f t="shared" ref="EK197:EK199" si="2408">IFERROR(DW197/DI197,"-")</f>
        <v>-</v>
      </c>
      <c r="EL197" s="572" t="str">
        <f t="shared" ref="EL197:EL199" si="2409">IFERROR(DX197/DJ197,"-")</f>
        <v>-</v>
      </c>
      <c r="EM197" s="572">
        <f t="shared" ref="EM197:EM199" si="2410">IFERROR(DY197/DK197,"-")</f>
        <v>-0.51179469714285697</v>
      </c>
      <c r="EN197" s="572">
        <f t="shared" ref="EN197:EN199" si="2411">IFERROR(DZ197/DL197,"-")</f>
        <v>-0.46602832000000011</v>
      </c>
      <c r="EO197" s="572" t="str">
        <f t="shared" ref="EO197:EO199" si="2412">IFERROR(EA197/DM197,"-")</f>
        <v>-</v>
      </c>
      <c r="EP197" s="572" t="str">
        <f t="shared" ref="EP197:EP199" si="2413">IFERROR(EB197/DN197,"-")</f>
        <v>-</v>
      </c>
      <c r="EQ197" s="572">
        <f t="shared" ref="EQ197:EQ199" si="2414">IFERROR(EC197/DO197,"-")</f>
        <v>-0.16094248645915121</v>
      </c>
      <c r="ER197" s="572" t="str">
        <f t="shared" ref="ER197:ER199" si="2415">IFERROR(ED197/DP197,"-")</f>
        <v>-</v>
      </c>
      <c r="ES197" s="572" t="str">
        <f t="shared" ref="ES197:ES199" si="2416">IFERROR(EE197/DQ197,"-")</f>
        <v>-</v>
      </c>
      <c r="ET197" s="572" t="str">
        <f t="shared" ref="ET197:ET199" si="2417">IFERROR(EF197/DR197,"-")</f>
        <v>-</v>
      </c>
    </row>
    <row r="198" spans="1:150" ht="15.5" hidden="1" outlineLevel="1" x14ac:dyDescent="0.35">
      <c r="A198" s="10"/>
      <c r="B198" s="10" t="s">
        <v>295</v>
      </c>
      <c r="C198" s="442"/>
      <c r="D198" s="9" t="s">
        <v>21</v>
      </c>
      <c r="E198" s="8" t="s">
        <v>20</v>
      </c>
      <c r="F198" s="12" t="s">
        <v>245</v>
      </c>
      <c r="G198" s="12" t="str">
        <f>_xlfn.XLOOKUP(F198,'Quy đổi'!$G$5:$G$32,'Quy đổi'!$H$5:$H$32,0)</f>
        <v>Nội địa</v>
      </c>
      <c r="H198" s="80" t="s">
        <v>41</v>
      </c>
      <c r="I198" s="7" t="s">
        <v>40</v>
      </c>
      <c r="J198" s="69" t="s">
        <v>22</v>
      </c>
      <c r="K198" s="5"/>
      <c r="L198" s="92">
        <f t="shared" ref="L198" si="2418">IFERROR(AVERAGE(M198:X198),"-")</f>
        <v>617.28394739229032</v>
      </c>
      <c r="M198" s="106" t="str">
        <f>IFERROR(SUMIFS('01. KE30'!$K:$K,'01. KE30'!$C:$C,'06. BC BH THEO CUSTOMER-USD'!$D198,'01. KE30'!$F:$F,'06. BC BH THEO CUSTOMER-USD'!$H198,'01. KE30'!$A:$A,'06. BC BH THEO CUSTOMER-USD'!M$4)/'06. BC BH THEO CUSTOMER-USD'!CS198/'02. Tỷ giá'!B$5,"-")</f>
        <v>-</v>
      </c>
      <c r="N198" s="106" t="str">
        <f>IFERROR(SUMIFS('01. KE30'!$K:$K,'01. KE30'!$C:$C,'06. BC BH THEO CUSTOMER-USD'!$D198,'01. KE30'!$F:$F,'06. BC BH THEO CUSTOMER-USD'!$H198,'01. KE30'!$A:$A,'06. BC BH THEO CUSTOMER-USD'!N$4)/'06. BC BH THEO CUSTOMER-USD'!CT198/'02. Tỷ giá'!C$5,"-")</f>
        <v>-</v>
      </c>
      <c r="O198" s="106" t="str">
        <f>IFERROR(SUMIFS('01. KE30'!$K:$K,'01. KE30'!$C:$C,'06. BC BH THEO CUSTOMER-USD'!$D198,'01. KE30'!$F:$F,'06. BC BH THEO CUSTOMER-USD'!$H198,'01. KE30'!$A:$A,'06. BC BH THEO CUSTOMER-USD'!O$4)/'06. BC BH THEO CUSTOMER-USD'!CU198/'02. Tỷ giá'!D$5,"-")</f>
        <v>-</v>
      </c>
      <c r="P198" s="106" t="str">
        <f>IFERROR(SUMIFS('01. KE30'!$K:$K,'01. KE30'!$C:$C,'06. BC BH THEO CUSTOMER-USD'!$D198,'01. KE30'!$F:$F,'06. BC BH THEO CUSTOMER-USD'!$H198,'01. KE30'!$A:$A,'06. BC BH THEO CUSTOMER-USD'!P$4)/'06. BC BH THEO CUSTOMER-USD'!CV198/'02. Tỷ giá'!E$5,"-")</f>
        <v>-</v>
      </c>
      <c r="Q198" s="106" t="str">
        <f>IFERROR(SUMIFS('01. KE30'!$K:$K,'01. KE30'!$C:$C,'06. BC BH THEO CUSTOMER-USD'!$D198,'01. KE30'!$F:$F,'06. BC BH THEO CUSTOMER-USD'!$H198,'01. KE30'!$A:$A,'06. BC BH THEO CUSTOMER-USD'!Q$4)/'06. BC BH THEO CUSTOMER-USD'!CW198/'02. Tỷ giá'!F$5,"-")</f>
        <v>-</v>
      </c>
      <c r="R198" s="106" t="str">
        <f>IFERROR(SUMIFS('01. KE30'!$K:$K,'01. KE30'!$C:$C,'06. BC BH THEO CUSTOMER-USD'!$D198,'01. KE30'!$F:$F,'06. BC BH THEO CUSTOMER-USD'!$H198,'01. KE30'!$A:$A,'06. BC BH THEO CUSTOMER-USD'!R$4)/'06. BC BH THEO CUSTOMER-USD'!CX198/'02. Tỷ giá'!G$5,"-")</f>
        <v>-</v>
      </c>
      <c r="S198" s="106" t="str">
        <f>IFERROR(SUMIFS('01. KE30'!$K:$K,'01. KE30'!$C:$C,'06. BC BH THEO CUSTOMER-USD'!$D198,'01. KE30'!$F:$F,'06. BC BH THEO CUSTOMER-USD'!$H198,'01. KE30'!$A:$A,'06. BC BH THEO CUSTOMER-USD'!S$4)/'06. BC BH THEO CUSTOMER-USD'!CY198/'02. Tỷ giá'!H$5,"-")</f>
        <v>-</v>
      </c>
      <c r="T198" s="106" t="str">
        <f>IFERROR(SUMIFS('01. KE30'!$K:$K,'01. KE30'!$C:$C,'06. BC BH THEO CUSTOMER-USD'!$D198,'01. KE30'!$F:$F,'06. BC BH THEO CUSTOMER-USD'!$H198,'01. KE30'!$A:$A,'06. BC BH THEO CUSTOMER-USD'!T$4)/'06. BC BH THEO CUSTOMER-USD'!CZ198/'02. Tỷ giá'!I$5,"-")</f>
        <v>-</v>
      </c>
      <c r="U198" s="106">
        <f>IFERROR(SUMIFS('01. KE30'!$K:$K,'01. KE30'!$C:$C,'06. BC BH THEO CUSTOMER-USD'!$D198,'01. KE30'!$F:$F,'06. BC BH THEO CUSTOMER-USD'!$H198,'01. KE30'!$A:$A,'06. BC BH THEO CUSTOMER-USD'!U$4)/'06. BC BH THEO CUSTOMER-USD'!DA198/'02. Tỷ giá'!J$5,"-")</f>
        <v>617.28394739229032</v>
      </c>
      <c r="V198" s="106" t="str">
        <f>IFERROR(SUMIFS('01. KE30'!$K:$K,'01. KE30'!$C:$C,'06. BC BH THEO CUSTOMER-USD'!$D198,'01. KE30'!$F:$F,'06. BC BH THEO CUSTOMER-USD'!$H198,'01. KE30'!$A:$A,'06. BC BH THEO CUSTOMER-USD'!V$4)/'06. BC BH THEO CUSTOMER-USD'!DB198/'02. Tỷ giá'!K$5,"-")</f>
        <v>-</v>
      </c>
      <c r="W198" s="106" t="str">
        <f>IFERROR(SUMIFS('01. KE30'!$K:$K,'01. KE30'!$C:$C,'06. BC BH THEO CUSTOMER-USD'!$D198,'01. KE30'!$F:$F,'06. BC BH THEO CUSTOMER-USD'!$H198,'01. KE30'!$A:$A,'06. BC BH THEO CUSTOMER-USD'!W$4)/'06. BC BH THEO CUSTOMER-USD'!DC198/'02. Tỷ giá'!L$5,"-")</f>
        <v>-</v>
      </c>
      <c r="X198" s="106" t="str">
        <f>IFERROR(SUMIFS('01. KE30'!$K:$K,'01. KE30'!$C:$C,'06. BC BH THEO CUSTOMER-USD'!$D198,'01. KE30'!$F:$F,'06. BC BH THEO CUSTOMER-USD'!$H198,'01. KE30'!$A:$A,'06. BC BH THEO CUSTOMER-USD'!X$4)/'06. BC BH THEO CUSTOMER-USD'!DD198/'02. Tỷ giá'!M$5,"-")</f>
        <v>-</v>
      </c>
      <c r="Z198" s="92">
        <f t="shared" ref="Z198" si="2419">IFERROR(AVERAGE(AA198:AL198),"-")</f>
        <v>617.28394739229032</v>
      </c>
      <c r="AA198" s="147" t="str">
        <f>IFERROR(SUMIFS('01. KE30'!$O:$O,'01. KE30'!$C:$C,'06. BC BH THEO CUSTOMER-USD'!$D198,'01. KE30'!$F:$F,'06. BC BH THEO CUSTOMER-USD'!$H198,'01. KE30'!$A:$A,'06. BC BH THEO CUSTOMER-USD'!M$4)/'06. BC BH THEO CUSTOMER-USD'!CS198/'02. Tỷ giá'!B$5,"-")</f>
        <v>-</v>
      </c>
      <c r="AB198" s="147" t="str">
        <f>IFERROR(SUMIFS('01. KE30'!$O:$O,'01. KE30'!$C:$C,'06. BC BH THEO CUSTOMER-USD'!$D198,'01. KE30'!$F:$F,'06. BC BH THEO CUSTOMER-USD'!$H198,'01. KE30'!$A:$A,'06. BC BH THEO CUSTOMER-USD'!N$4)/'06. BC BH THEO CUSTOMER-USD'!CT198/'02. Tỷ giá'!C$5,"-")</f>
        <v>-</v>
      </c>
      <c r="AC198" s="147" t="str">
        <f>IFERROR(SUMIFS('01. KE30'!$O:$O,'01. KE30'!$C:$C,'06. BC BH THEO CUSTOMER-USD'!$D198,'01. KE30'!$F:$F,'06. BC BH THEO CUSTOMER-USD'!$H198,'01. KE30'!$A:$A,'06. BC BH THEO CUSTOMER-USD'!O$4)/'06. BC BH THEO CUSTOMER-USD'!CU198/'02. Tỷ giá'!D$5,"-")</f>
        <v>-</v>
      </c>
      <c r="AD198" s="147" t="str">
        <f>IFERROR(SUMIFS('01. KE30'!$O:$O,'01. KE30'!$C:$C,'06. BC BH THEO CUSTOMER-USD'!$D198,'01. KE30'!$F:$F,'06. BC BH THEO CUSTOMER-USD'!$H198,'01. KE30'!$A:$A,'06. BC BH THEO CUSTOMER-USD'!P$4)/'06. BC BH THEO CUSTOMER-USD'!CV198/'02. Tỷ giá'!E$5,"-")</f>
        <v>-</v>
      </c>
      <c r="AE198" s="147" t="str">
        <f>IFERROR(SUMIFS('01. KE30'!$O:$O,'01. KE30'!$C:$C,'06. BC BH THEO CUSTOMER-USD'!$D198,'01. KE30'!$F:$F,'06. BC BH THEO CUSTOMER-USD'!$H198,'01. KE30'!$A:$A,'06. BC BH THEO CUSTOMER-USD'!Q$4)/'06. BC BH THEO CUSTOMER-USD'!CW198/'02. Tỷ giá'!F$5,"-")</f>
        <v>-</v>
      </c>
      <c r="AF198" s="147" t="str">
        <f>IFERROR(SUMIFS('01. KE30'!$O:$O,'01. KE30'!$C:$C,'06. BC BH THEO CUSTOMER-USD'!$D198,'01. KE30'!$F:$F,'06. BC BH THEO CUSTOMER-USD'!$H198,'01. KE30'!$A:$A,'06. BC BH THEO CUSTOMER-USD'!R$4)/'06. BC BH THEO CUSTOMER-USD'!CX198/'02. Tỷ giá'!G$5,"-")</f>
        <v>-</v>
      </c>
      <c r="AG198" s="147" t="str">
        <f>IFERROR(SUMIFS('01. KE30'!$O:$O,'01. KE30'!$C:$C,'06. BC BH THEO CUSTOMER-USD'!$D198,'01. KE30'!$F:$F,'06. BC BH THEO CUSTOMER-USD'!$H198,'01. KE30'!$A:$A,'06. BC BH THEO CUSTOMER-USD'!S$4)/'06. BC BH THEO CUSTOMER-USD'!CY198/'02. Tỷ giá'!H$5,"-")</f>
        <v>-</v>
      </c>
      <c r="AH198" s="147" t="str">
        <f>IFERROR(SUMIFS('01. KE30'!$O:$O,'01. KE30'!$C:$C,'06. BC BH THEO CUSTOMER-USD'!$D198,'01. KE30'!$F:$F,'06. BC BH THEO CUSTOMER-USD'!$H198,'01. KE30'!$A:$A,'06. BC BH THEO CUSTOMER-USD'!T$4)/'06. BC BH THEO CUSTOMER-USD'!CZ198/'02. Tỷ giá'!I$5,"-")</f>
        <v>-</v>
      </c>
      <c r="AI198" s="147">
        <f>IFERROR(SUMIFS('01. KE30'!$O:$O,'01. KE30'!$C:$C,'06. BC BH THEO CUSTOMER-USD'!$D198,'01. KE30'!$F:$F,'06. BC BH THEO CUSTOMER-USD'!$H198,'01. KE30'!$A:$A,'06. BC BH THEO CUSTOMER-USD'!U$4)/'06. BC BH THEO CUSTOMER-USD'!DA198/'02. Tỷ giá'!J$5,"-")</f>
        <v>617.28394739229032</v>
      </c>
      <c r="AJ198" s="147" t="str">
        <f>IFERROR(SUMIFS('01. KE30'!$O:$O,'01. KE30'!$C:$C,'06. BC BH THEO CUSTOMER-USD'!$D198,'01. KE30'!$F:$F,'06. BC BH THEO CUSTOMER-USD'!$H198,'01. KE30'!$A:$A,'06. BC BH THEO CUSTOMER-USD'!V$4)/'06. BC BH THEO CUSTOMER-USD'!DB198/'02. Tỷ giá'!K$5,"-")</f>
        <v>-</v>
      </c>
      <c r="AK198" s="147" t="str">
        <f>IFERROR(SUMIFS('01. KE30'!$O:$O,'01. KE30'!$C:$C,'06. BC BH THEO CUSTOMER-USD'!$D198,'01. KE30'!$F:$F,'06. BC BH THEO CUSTOMER-USD'!$H198,'01. KE30'!$A:$A,'06. BC BH THEO CUSTOMER-USD'!W$4)/'06. BC BH THEO CUSTOMER-USD'!DC198/'02. Tỷ giá'!L$5,"-")</f>
        <v>-</v>
      </c>
      <c r="AL198" s="147" t="str">
        <f>IFERROR(SUMIFS('01. KE30'!$O:$O,'01. KE30'!$C:$C,'06. BC BH THEO CUSTOMER-USD'!$D198,'01. KE30'!$F:$F,'06. BC BH THEO CUSTOMER-USD'!$H198,'01. KE30'!$A:$A,'06. BC BH THEO CUSTOMER-USD'!X$4)/'06. BC BH THEO CUSTOMER-USD'!DD198/'02. Tỷ giá'!M$5,"-")</f>
        <v>-</v>
      </c>
      <c r="AN198" s="92">
        <f t="shared" ref="AN198" si="2420">IFERROR(AVERAGE(AO198:AZ198),"-")</f>
        <v>740.55555555555554</v>
      </c>
      <c r="AO198" s="4">
        <v>855</v>
      </c>
      <c r="AP198" s="4">
        <v>750</v>
      </c>
      <c r="AQ198" s="4">
        <v>750</v>
      </c>
      <c r="AR198" s="4">
        <v>750</v>
      </c>
      <c r="AS198" s="4">
        <v>720</v>
      </c>
      <c r="AT198" s="4">
        <v>720</v>
      </c>
      <c r="AU198" s="4">
        <v>720</v>
      </c>
      <c r="AV198" s="4">
        <f t="shared" ref="AV198" si="2421">AU198-20</f>
        <v>700</v>
      </c>
      <c r="AW198" s="4">
        <v>700</v>
      </c>
      <c r="AX198" s="4"/>
      <c r="AY198" s="4"/>
      <c r="AZ198" s="4"/>
      <c r="BB198" s="95">
        <f t="shared" ref="BB198" si="2422">IF(L198&lt;&gt;"-",Z198-AN198,"-")</f>
        <v>-123.27160816326523</v>
      </c>
      <c r="BC198" s="95" t="str">
        <f t="shared" ref="BC198" si="2423">IF(M198&lt;&gt;"-",AA198-AO198,"-")</f>
        <v>-</v>
      </c>
      <c r="BD198" s="95" t="str">
        <f t="shared" ref="BD198" si="2424">IF(N198&lt;&gt;"-",AB198-AP198,"-")</f>
        <v>-</v>
      </c>
      <c r="BE198" s="95" t="str">
        <f t="shared" ref="BE198" si="2425">IF(O198&lt;&gt;"-",AC198-AQ198,"-")</f>
        <v>-</v>
      </c>
      <c r="BF198" s="95" t="str">
        <f t="shared" ref="BF198" si="2426">IF(P198&lt;&gt;"-",AD198-AR198,"-")</f>
        <v>-</v>
      </c>
      <c r="BG198" s="95" t="str">
        <f t="shared" ref="BG198" si="2427">IF(Q198&lt;&gt;"-",AE198-AS198,"-")</f>
        <v>-</v>
      </c>
      <c r="BH198" s="95" t="str">
        <f t="shared" ref="BH198" si="2428">IF(R198&lt;&gt;"-",AF198-AT198,"-")</f>
        <v>-</v>
      </c>
      <c r="BI198" s="95" t="str">
        <f t="shared" ref="BI198" si="2429">IF(S198&lt;&gt;"-",AG198-AU198,"-")</f>
        <v>-</v>
      </c>
      <c r="BJ198" s="95" t="str">
        <f t="shared" ref="BJ198" si="2430">IF(T198&lt;&gt;"-",AH198-AV198,"-")</f>
        <v>-</v>
      </c>
      <c r="BK198" s="95">
        <f t="shared" ref="BK198" si="2431">IF(U198&lt;&gt;"-",AI198-AW198,"-")</f>
        <v>-82.716052607709685</v>
      </c>
      <c r="BL198" s="95" t="str">
        <f t="shared" ref="BL198" si="2432">IF(V198&lt;&gt;"-",AJ198-AX198,"-")</f>
        <v>-</v>
      </c>
      <c r="BM198" s="95" t="str">
        <f t="shared" ref="BM198" si="2433">IF(W198&lt;&gt;"-",AK198-AY198,"-")</f>
        <v>-</v>
      </c>
      <c r="BN198" s="95" t="str">
        <f t="shared" ref="BN198" si="2434">IF(X198&lt;&gt;"-",AL198-AZ198,"-")</f>
        <v>-</v>
      </c>
      <c r="BP198" s="143">
        <f t="shared" ref="BP198" si="2435">IFERROR(IF(BB198&lt;&gt;"-",BB198/AN198,"-"),"-")</f>
        <v>-0.166458285591806</v>
      </c>
      <c r="BQ198" s="143" t="str">
        <f t="shared" ref="BQ198" si="2436">IFERROR(IF(BC198&lt;&gt;"-",BC198/AO198,"-"),"-")</f>
        <v>-</v>
      </c>
      <c r="BR198" s="143" t="str">
        <f t="shared" ref="BR198" si="2437">IFERROR(IF(BD198&lt;&gt;"-",BD198/AP198,"-"),"-")</f>
        <v>-</v>
      </c>
      <c r="BS198" s="143" t="str">
        <f t="shared" ref="BS198" si="2438">IFERROR(IF(BE198&lt;&gt;"-",BE198/AQ198,"-"),"-")</f>
        <v>-</v>
      </c>
      <c r="BT198" s="143" t="str">
        <f t="shared" ref="BT198" si="2439">IFERROR(IF(BF198&lt;&gt;"-",BF198/AR198,"-"),"-")</f>
        <v>-</v>
      </c>
      <c r="BU198" s="143" t="str">
        <f t="shared" ref="BU198" si="2440">IFERROR(IF(BG198&lt;&gt;"-",BG198/AS198,"-"),"-")</f>
        <v>-</v>
      </c>
      <c r="BV198" s="143" t="str">
        <f t="shared" ref="BV198" si="2441">IFERROR(IF(BH198&lt;&gt;"-",BH198/AT198,"-"),"-")</f>
        <v>-</v>
      </c>
      <c r="BW198" s="143" t="str">
        <f t="shared" ref="BW198" si="2442">IFERROR(IF(BI198&lt;&gt;"-",BI198/AU198,"-"),"-")</f>
        <v>-</v>
      </c>
      <c r="BX198" s="143" t="str">
        <f t="shared" ref="BX198" si="2443">IFERROR(IF(BJ198&lt;&gt;"-",BJ198/AV198,"-"),"-")</f>
        <v>-</v>
      </c>
      <c r="BY198" s="143">
        <f t="shared" ref="BY198" si="2444">IFERROR(IF(BK198&lt;&gt;"-",BK198/AW198,"-"),"-")</f>
        <v>-0.11816578943958526</v>
      </c>
      <c r="BZ198" s="143" t="str">
        <f t="shared" ref="BZ198" si="2445">IFERROR(IF(BL198&lt;&gt;"-",BL198/AX198,"-"),"-")</f>
        <v>-</v>
      </c>
      <c r="CA198" s="143" t="str">
        <f t="shared" ref="CA198" si="2446">IFERROR(IF(BM198&lt;&gt;"-",BM198/AY198,"-"),"-")</f>
        <v>-</v>
      </c>
      <c r="CB198" s="143" t="str">
        <f t="shared" ref="CB198" si="2447">IFERROR(IF(BN198&lt;&gt;"-",BN198/AZ198,"-"),"-")</f>
        <v>-</v>
      </c>
      <c r="CD198" s="112">
        <f t="shared" ref="CD198" si="2448">IFERROR(AVERAGE(CE198:CP198),"-")</f>
        <v>995.71441632653068</v>
      </c>
      <c r="CE198" s="95" t="str">
        <f>IFERROR(SUMIFS('01. KE30'!$R:$R,'01. KE30'!$C:$C,'06. BC BH THEO CUSTOMER-USD'!$D198,'01. KE30'!$F:$F,'06. BC BH THEO CUSTOMER-USD'!$H198,'01. KE30'!$A:$A,'06. BC BH THEO CUSTOMER-USD'!CE$4)/CS198/'02. Tỷ giá'!B$5," -")</f>
        <v xml:space="preserve"> -</v>
      </c>
      <c r="CF198" s="95" t="str">
        <f>IFERROR(SUMIFS('01. KE30'!$R:$R,'01. KE30'!$C:$C,'06. BC BH THEO CUSTOMER-USD'!$D198,'01. KE30'!$F:$F,'06. BC BH THEO CUSTOMER-USD'!$H198,'01. KE30'!$A:$A,'06. BC BH THEO CUSTOMER-USD'!CF$4)/CT198/'02. Tỷ giá'!C$5," -")</f>
        <v xml:space="preserve"> -</v>
      </c>
      <c r="CG198" s="95" t="str">
        <f>IFERROR(SUMIFS('01. KE30'!$R:$R,'01. KE30'!$C:$C,'06. BC BH THEO CUSTOMER-USD'!$D198,'01. KE30'!$F:$F,'06. BC BH THEO CUSTOMER-USD'!$H198,'01. KE30'!$A:$A,'06. BC BH THEO CUSTOMER-USD'!CG$4)/CU198/'02. Tỷ giá'!D$5," -")</f>
        <v xml:space="preserve"> -</v>
      </c>
      <c r="CH198" s="95" t="str">
        <f>IFERROR(SUMIFS('01. KE30'!$R:$R,'01. KE30'!$C:$C,'06. BC BH THEO CUSTOMER-USD'!$D198,'01. KE30'!$F:$F,'06. BC BH THEO CUSTOMER-USD'!$H198,'01. KE30'!$A:$A,'06. BC BH THEO CUSTOMER-USD'!CH$4)/CV198/'02. Tỷ giá'!E$5," -")</f>
        <v xml:space="preserve"> -</v>
      </c>
      <c r="CI198" s="95" t="str">
        <f>IFERROR(SUMIFS('01. KE30'!$R:$R,'01. KE30'!$C:$C,'06. BC BH THEO CUSTOMER-USD'!$D198,'01. KE30'!$F:$F,'06. BC BH THEO CUSTOMER-USD'!$H198,'01. KE30'!$A:$A,'06. BC BH THEO CUSTOMER-USD'!CI$4)/CW198/'02. Tỷ giá'!F$5," -")</f>
        <v xml:space="preserve"> -</v>
      </c>
      <c r="CJ198" s="95" t="str">
        <f>IFERROR(SUMIFS('01. KE30'!$R:$R,'01. KE30'!$C:$C,'06. BC BH THEO CUSTOMER-USD'!$D198,'01. KE30'!$F:$F,'06. BC BH THEO CUSTOMER-USD'!$H198,'01. KE30'!$A:$A,'06. BC BH THEO CUSTOMER-USD'!CJ$4)/CX198/'02. Tỷ giá'!G$5," -")</f>
        <v xml:space="preserve"> -</v>
      </c>
      <c r="CK198" s="95" t="str">
        <f>IFERROR(SUMIFS('01. KE30'!$R:$R,'01. KE30'!$C:$C,'06. BC BH THEO CUSTOMER-USD'!$D198,'01. KE30'!$F:$F,'06. BC BH THEO CUSTOMER-USD'!$H198,'01. KE30'!$A:$A,'06. BC BH THEO CUSTOMER-USD'!CK$4)/CY198/'02. Tỷ giá'!H$5," -")</f>
        <v xml:space="preserve"> -</v>
      </c>
      <c r="CL198" s="95" t="str">
        <f>IFERROR(SUMIFS('01. KE30'!$R:$R,'01. KE30'!$C:$C,'06. BC BH THEO CUSTOMER-USD'!$D198,'01. KE30'!$F:$F,'06. BC BH THEO CUSTOMER-USD'!$H198,'01. KE30'!$A:$A,'06. BC BH THEO CUSTOMER-USD'!CL$4)/CZ198/'02. Tỷ giá'!I$5," -")</f>
        <v xml:space="preserve"> -</v>
      </c>
      <c r="CM198" s="95">
        <f>IFERROR(SUMIFS('01. KE30'!$R:$R,'01. KE30'!$C:$C,'06. BC BH THEO CUSTOMER-USD'!$D198,'01. KE30'!$F:$F,'06. BC BH THEO CUSTOMER-USD'!$H198,'01. KE30'!$A:$A,'06. BC BH THEO CUSTOMER-USD'!CM$4)/DA198/'02. Tỷ giá'!J$5," -")</f>
        <v>995.71441632653068</v>
      </c>
      <c r="CN198" s="95" t="str">
        <f>IFERROR(SUMIFS('01. KE30'!$R:$R,'01. KE30'!$C:$C,'06. BC BH THEO CUSTOMER-USD'!$D198,'01. KE30'!$F:$F,'06. BC BH THEO CUSTOMER-USD'!$H198,'01. KE30'!$A:$A,'06. BC BH THEO CUSTOMER-USD'!CN$4)/DB198/'02. Tỷ giá'!K$5," -")</f>
        <v xml:space="preserve"> -</v>
      </c>
      <c r="CO198" s="95" t="str">
        <f>IFERROR(SUMIFS('01. KE30'!$R:$R,'01. KE30'!$C:$C,'06. BC BH THEO CUSTOMER-USD'!$D198,'01. KE30'!$F:$F,'06. BC BH THEO CUSTOMER-USD'!$H198,'01. KE30'!$A:$A,'06. BC BH THEO CUSTOMER-USD'!CO$4)/DC198/'02. Tỷ giá'!L$5," -")</f>
        <v xml:space="preserve"> -</v>
      </c>
      <c r="CP198" s="95" t="str">
        <f>IFERROR(SUMIFS('01. KE30'!$R:$R,'01. KE30'!$C:$C,'06. BC BH THEO CUSTOMER-USD'!$D198,'01. KE30'!$F:$F,'06. BC BH THEO CUSTOMER-USD'!$H198,'01. KE30'!$A:$A,'06. BC BH THEO CUSTOMER-USD'!CP$4)/DD198/'02. Tỷ giá'!M$5," -")</f>
        <v xml:space="preserve"> -</v>
      </c>
      <c r="CR198" s="112">
        <f t="shared" ref="CR198" si="2449">SUM(CS198:DD198)</f>
        <v>5.25</v>
      </c>
      <c r="CS198" s="114">
        <f>SUMIFS('01. KE30'!$I:$I,'01. KE30'!$C:$C,'06. BC BH THEO CUSTOMER-USD'!$D198,'01. KE30'!$F:$F,'06. BC BH THEO CUSTOMER-USD'!$H198,'01. KE30'!$A:$A,'06. BC BH THEO CUSTOMER-USD'!CS$4)/1000</f>
        <v>0</v>
      </c>
      <c r="CT198" s="114">
        <f>SUMIFS('01. KE30'!$I:$I,'01. KE30'!$C:$C,'06. BC BH THEO CUSTOMER-USD'!$D198,'01. KE30'!$F:$F,'06. BC BH THEO CUSTOMER-USD'!$H198,'01. KE30'!$A:$A,'06. BC BH THEO CUSTOMER-USD'!CT$4)/1000</f>
        <v>0</v>
      </c>
      <c r="CU198" s="114">
        <f>SUMIFS('01. KE30'!$I:$I,'01. KE30'!$C:$C,'06. BC BH THEO CUSTOMER-USD'!$D198,'01. KE30'!$F:$F,'06. BC BH THEO CUSTOMER-USD'!$H198,'01. KE30'!$A:$A,'06. BC BH THEO CUSTOMER-USD'!CU$4)/1000</f>
        <v>0</v>
      </c>
      <c r="CV198" s="114">
        <f>SUMIFS('01. KE30'!$I:$I,'01. KE30'!$C:$C,'06. BC BH THEO CUSTOMER-USD'!$D198,'01. KE30'!$F:$F,'06. BC BH THEO CUSTOMER-USD'!$H198,'01. KE30'!$A:$A,'06. BC BH THEO CUSTOMER-USD'!CV$4)/1000</f>
        <v>0</v>
      </c>
      <c r="CW198" s="114">
        <f>SUMIFS('01. KE30'!$I:$I,'01. KE30'!$C:$C,'06. BC BH THEO CUSTOMER-USD'!$D198,'01. KE30'!$F:$F,'06. BC BH THEO CUSTOMER-USD'!$H198,'01. KE30'!$A:$A,'06. BC BH THEO CUSTOMER-USD'!CW$4)/1000</f>
        <v>0</v>
      </c>
      <c r="CX198" s="114">
        <f>SUMIFS('01. KE30'!$I:$I,'01. KE30'!$C:$C,'06. BC BH THEO CUSTOMER-USD'!$D198,'01. KE30'!$F:$F,'06. BC BH THEO CUSTOMER-USD'!$H198,'01. KE30'!$A:$A,'06. BC BH THEO CUSTOMER-USD'!CX$4)/1000</f>
        <v>0</v>
      </c>
      <c r="CY198" s="114">
        <f>SUMIFS('01. KE30'!$I:$I,'01. KE30'!$C:$C,'06. BC BH THEO CUSTOMER-USD'!$D198,'01. KE30'!$F:$F,'06. BC BH THEO CUSTOMER-USD'!$H198,'01. KE30'!$A:$A,'06. BC BH THEO CUSTOMER-USD'!CY$4)/1000</f>
        <v>0</v>
      </c>
      <c r="CZ198" s="114">
        <f>SUMIFS('01. KE30'!$I:$I,'01. KE30'!$C:$C,'06. BC BH THEO CUSTOMER-USD'!$D198,'01. KE30'!$F:$F,'06. BC BH THEO CUSTOMER-USD'!$H198,'01. KE30'!$A:$A,'06. BC BH THEO CUSTOMER-USD'!CZ$4)/1000</f>
        <v>0</v>
      </c>
      <c r="DA198" s="114">
        <f>SUMIFS('01. KE30'!$I:$I,'01. KE30'!$C:$C,'06. BC BH THEO CUSTOMER-USD'!$D198,'01. KE30'!$F:$F,'06. BC BH THEO CUSTOMER-USD'!$H198,'01. KE30'!$A:$A,'06. BC BH THEO CUSTOMER-USD'!DA$4)/1000</f>
        <v>5.25</v>
      </c>
      <c r="DB198" s="114">
        <f>SUMIFS('01. KE30'!$I:$I,'01. KE30'!$C:$C,'06. BC BH THEO CUSTOMER-USD'!$D198,'01. KE30'!$F:$F,'06. BC BH THEO CUSTOMER-USD'!$H198,'01. KE30'!$A:$A,'06. BC BH THEO CUSTOMER-USD'!DB$4)/1000</f>
        <v>0</v>
      </c>
      <c r="DC198" s="114">
        <f>SUMIFS('01. KE30'!$I:$I,'01. KE30'!$C:$C,'06. BC BH THEO CUSTOMER-USD'!$D198,'01. KE30'!$F:$F,'06. BC BH THEO CUSTOMER-USD'!$H198,'01. KE30'!$A:$A,'06. BC BH THEO CUSTOMER-USD'!DC$4)/1000</f>
        <v>0</v>
      </c>
      <c r="DD198" s="114">
        <f>SUMIFS('01. KE30'!$I:$I,'01. KE30'!$C:$C,'06. BC BH THEO CUSTOMER-USD'!$D198,'01. KE30'!$F:$F,'06. BC BH THEO CUSTOMER-USD'!$H198,'01. KE30'!$A:$A,'06. BC BH THEO CUSTOMER-USD'!DD$4)/1000</f>
        <v>0</v>
      </c>
      <c r="DF198" s="112">
        <f t="shared" ref="DF198" si="2450">SUM(DG198:DR198)</f>
        <v>3240.7407238095243</v>
      </c>
      <c r="DG198" s="54" t="str">
        <f t="shared" ref="DG198" si="2451">IFERROR(M198*CS198,"-")</f>
        <v>-</v>
      </c>
      <c r="DH198" s="54" t="str">
        <f t="shared" ref="DH198" si="2452">IFERROR(N198*CT198,"-")</f>
        <v>-</v>
      </c>
      <c r="DI198" s="54" t="str">
        <f t="shared" ref="DI198" si="2453">IFERROR(O198*CU198,"-")</f>
        <v>-</v>
      </c>
      <c r="DJ198" s="54" t="str">
        <f t="shared" ref="DJ198" si="2454">IFERROR(P198*CV198,"-")</f>
        <v>-</v>
      </c>
      <c r="DK198" s="54" t="str">
        <f t="shared" ref="DK198" si="2455">IFERROR(Q198*CW198,"-")</f>
        <v>-</v>
      </c>
      <c r="DL198" s="54" t="str">
        <f t="shared" ref="DL198" si="2456">IFERROR(R198*CX198,"-")</f>
        <v>-</v>
      </c>
      <c r="DM198" s="54" t="str">
        <f t="shared" ref="DM198" si="2457">IFERROR(S198*CY198,"-")</f>
        <v>-</v>
      </c>
      <c r="DN198" s="54" t="str">
        <f t="shared" ref="DN198" si="2458">IFERROR(T198*CZ198,"-")</f>
        <v>-</v>
      </c>
      <c r="DO198" s="54">
        <f t="shared" ref="DO198" si="2459">IFERROR(U198*DA198,"-")</f>
        <v>3240.7407238095243</v>
      </c>
      <c r="DP198" s="54" t="str">
        <f t="shared" ref="DP198" si="2460">IFERROR(V198*DB198,"-")</f>
        <v>-</v>
      </c>
      <c r="DQ198" s="54" t="str">
        <f t="shared" ref="DQ198" si="2461">IFERROR(W198*DC198,"-")</f>
        <v>-</v>
      </c>
      <c r="DR198" s="54" t="str">
        <f t="shared" ref="DR198" si="2462">IFERROR(X198*DD198,"-")</f>
        <v>-</v>
      </c>
      <c r="DT198" s="112">
        <f t="shared" ref="DT198" si="2463">SUM(DU198:EF198)</f>
        <v>-1986.7599619047614</v>
      </c>
      <c r="DU198" s="114">
        <f>IFERROR(SUMIFS('01. KE30'!$X:$X,'01. KE30'!$C:$C,'06. BC BH THEO CUSTOMER-USD'!$D198,'01. KE30'!$F:$F,'06. BC BH THEO CUSTOMER-USD'!$H198,'01. KE30'!$A:$A,'06. BC BH THEO CUSTOMER-USD'!DU$4)-SUMIFS('01. KE30'!$AA:$AA,'01. KE30'!$C:$C,'06. BC BH THEO CUSTOMER-USD'!$D198,'01. KE30'!$F:$F,'06. BC BH THEO CUSTOMER-USD'!$H198,'01. KE30'!$A:$A,'06. BC BH THEO CUSTOMER-USD'!DU$4),"-")</f>
        <v>0</v>
      </c>
      <c r="DV198" s="114">
        <f>IFERROR(SUMIFS('01. KE30'!$X:$X,'01. KE30'!$C:$C,'06. BC BH THEO CUSTOMER-USD'!$D198,'01. KE30'!$F:$F,'06. BC BH THEO CUSTOMER-USD'!$H198,'01. KE30'!$A:$A,'06. BC BH THEO CUSTOMER-USD'!DV$4)-SUMIFS('01. KE30'!$AA:$AA,'01. KE30'!$C:$C,'06. BC BH THEO CUSTOMER-USD'!$D198,'01. KE30'!$F:$F,'06. BC BH THEO CUSTOMER-USD'!$H198,'01. KE30'!$A:$A,'06. BC BH THEO CUSTOMER-USD'!DV$4),"-")</f>
        <v>0</v>
      </c>
      <c r="DW198" s="114">
        <f>IFERROR(SUMIFS('01. KE30'!$X:$X,'01. KE30'!$C:$C,'06. BC BH THEO CUSTOMER-USD'!$D198,'01. KE30'!$F:$F,'06. BC BH THEO CUSTOMER-USD'!$H198,'01. KE30'!$A:$A,'06. BC BH THEO CUSTOMER-USD'!DW$4)-SUMIFS('01. KE30'!$AA:$AA,'01. KE30'!$C:$C,'06. BC BH THEO CUSTOMER-USD'!$D198,'01. KE30'!$F:$F,'06. BC BH THEO CUSTOMER-USD'!$H198,'01. KE30'!$A:$A,'06. BC BH THEO CUSTOMER-USD'!DW$4),"-")</f>
        <v>0</v>
      </c>
      <c r="DX198" s="114">
        <f>IFERROR(SUMIFS('01. KE30'!$X:$X,'01. KE30'!$C:$C,'06. BC BH THEO CUSTOMER-USD'!$D198,'01. KE30'!$F:$F,'06. BC BH THEO CUSTOMER-USD'!$H198,'01. KE30'!$A:$A,'06. BC BH THEO CUSTOMER-USD'!DX$4)-SUMIFS('01. KE30'!$AA:$AA,'01. KE30'!$C:$C,'06. BC BH THEO CUSTOMER-USD'!$D198,'01. KE30'!$F:$F,'06. BC BH THEO CUSTOMER-USD'!$H198,'01. KE30'!$A:$A,'06. BC BH THEO CUSTOMER-USD'!DX$4),"-")</f>
        <v>0</v>
      </c>
      <c r="DY198" s="114">
        <f>IFERROR(SUMIFS('01. KE30'!$X:$X,'01. KE30'!$C:$C,'06. BC BH THEO CUSTOMER-USD'!$D198,'01. KE30'!$F:$F,'06. BC BH THEO CUSTOMER-USD'!$H198,'01. KE30'!$A:$A,'06. BC BH THEO CUSTOMER-USD'!DY$4)-SUMIFS('01. KE30'!$AA:$AA,'01. KE30'!$C:$C,'06. BC BH THEO CUSTOMER-USD'!$D198,'01. KE30'!$F:$F,'06. BC BH THEO CUSTOMER-USD'!$H198,'01. KE30'!$A:$A,'06. BC BH THEO CUSTOMER-USD'!DY$4),"-")</f>
        <v>0</v>
      </c>
      <c r="DZ198" s="114">
        <f>IFERROR(SUMIFS('01. KE30'!$X:$X,'01. KE30'!$C:$C,'06. BC BH THEO CUSTOMER-USD'!$D198,'01. KE30'!$F:$F,'06. BC BH THEO CUSTOMER-USD'!$H198,'01. KE30'!$A:$A,'06. BC BH THEO CUSTOMER-USD'!DZ$4)-SUMIFS('01. KE30'!$AA:$AA,'01. KE30'!$C:$C,'06. BC BH THEO CUSTOMER-USD'!$D198,'01. KE30'!$F:$F,'06. BC BH THEO CUSTOMER-USD'!$H198,'01. KE30'!$A:$A,'06. BC BH THEO CUSTOMER-USD'!DZ$4),"-")</f>
        <v>0</v>
      </c>
      <c r="EA198" s="114">
        <f>IFERROR(SUMIFS('01. KE30'!$X:$X,'01. KE30'!$C:$C,'06. BC BH THEO CUSTOMER-USD'!$D198,'01. KE30'!$F:$F,'06. BC BH THEO CUSTOMER-USD'!$H198,'01. KE30'!$A:$A,'06. BC BH THEO CUSTOMER-USD'!EA$4)-SUMIFS('01. KE30'!$AA:$AA,'01. KE30'!$C:$C,'06. BC BH THEO CUSTOMER-USD'!$D198,'01. KE30'!$F:$F,'06. BC BH THEO CUSTOMER-USD'!$H198,'01. KE30'!$A:$A,'06. BC BH THEO CUSTOMER-USD'!EA$4),"-")</f>
        <v>0</v>
      </c>
      <c r="EB198" s="114">
        <f>IFERROR(SUMIFS('01. KE30'!$X:$X,'01. KE30'!$C:$C,'06. BC BH THEO CUSTOMER-USD'!$D198,'01. KE30'!$F:$F,'06. BC BH THEO CUSTOMER-USD'!$H198,'01. KE30'!$A:$A,'06. BC BH THEO CUSTOMER-USD'!EB$4)-SUMIFS('01. KE30'!$AA:$AA,'01. KE30'!$C:$C,'06. BC BH THEO CUSTOMER-USD'!$D198,'01. KE30'!$F:$F,'06. BC BH THEO CUSTOMER-USD'!$H198,'01. KE30'!$A:$A,'06. BC BH THEO CUSTOMER-USD'!EB$4),"-")</f>
        <v>0</v>
      </c>
      <c r="EC198" s="114">
        <f>IFERROR(SUMIFS('01. KE30'!$X:$X,'01. KE30'!$C:$C,'06. BC BH THEO CUSTOMER-USD'!$D198,'01. KE30'!$F:$F,'06. BC BH THEO CUSTOMER-USD'!$H198,'01. KE30'!$A:$A,'06. BC BH THEO CUSTOMER-USD'!EC$4)-SUMIFS('01. KE30'!$AA:$AA,'01. KE30'!$C:$C,'06. BC BH THEO CUSTOMER-USD'!$D198,'01. KE30'!$F:$F,'06. BC BH THEO CUSTOMER-USD'!$H198,'01. KE30'!$A:$A,'06. BC BH THEO CUSTOMER-USD'!EC$4),"-")</f>
        <v>-1986.7599619047614</v>
      </c>
      <c r="ED198" s="114">
        <f>IFERROR(SUMIFS('01. KE30'!$X:$X,'01. KE30'!$C:$C,'06. BC BH THEO CUSTOMER-USD'!$D198,'01. KE30'!$F:$F,'06. BC BH THEO CUSTOMER-USD'!$H198,'01. KE30'!$A:$A,'06. BC BH THEO CUSTOMER-USD'!ED$4)-SUMIFS('01. KE30'!$AA:$AA,'01. KE30'!$C:$C,'06. BC BH THEO CUSTOMER-USD'!$D198,'01. KE30'!$F:$F,'06. BC BH THEO CUSTOMER-USD'!$H198,'01. KE30'!$A:$A,'06. BC BH THEO CUSTOMER-USD'!ED$4),"-")</f>
        <v>0</v>
      </c>
      <c r="EE198" s="114">
        <f>IFERROR(SUMIFS('01. KE30'!$X:$X,'01. KE30'!$C:$C,'06. BC BH THEO CUSTOMER-USD'!$D198,'01. KE30'!$F:$F,'06. BC BH THEO CUSTOMER-USD'!$H198,'01. KE30'!$A:$A,'06. BC BH THEO CUSTOMER-USD'!EE$4)-SUMIFS('01. KE30'!$AA:$AA,'01. KE30'!$C:$C,'06. BC BH THEO CUSTOMER-USD'!$D198,'01. KE30'!$F:$F,'06. BC BH THEO CUSTOMER-USD'!$H198,'01. KE30'!$A:$A,'06. BC BH THEO CUSTOMER-USD'!EE$4),"-")</f>
        <v>0</v>
      </c>
      <c r="EF198" s="114">
        <f>IFERROR(SUMIFS('01. KE30'!$X:$X,'01. KE30'!$C:$C,'06. BC BH THEO CUSTOMER-USD'!$D198,'01. KE30'!$F:$F,'06. BC BH THEO CUSTOMER-USD'!$H198,'01. KE30'!$A:$A,'06. BC BH THEO CUSTOMER-USD'!EF$4)-SUMIFS('01. KE30'!$AA:$AA,'01. KE30'!$C:$C,'06. BC BH THEO CUSTOMER-USD'!$D198,'01. KE30'!$F:$F,'06. BC BH THEO CUSTOMER-USD'!$H198,'01. KE30'!$A:$A,'06. BC BH THEO CUSTOMER-USD'!EF$4),"-")</f>
        <v>0</v>
      </c>
      <c r="EH198" s="571">
        <f t="shared" ref="EH198" si="2464">IFERROR(DT198/DF198,"-")</f>
        <v>-0.61305736287638113</v>
      </c>
      <c r="EI198" s="572" t="str">
        <f t="shared" ref="EI198" si="2465">IFERROR(DU198/DG198,"-")</f>
        <v>-</v>
      </c>
      <c r="EJ198" s="572" t="str">
        <f t="shared" ref="EJ198" si="2466">IFERROR(DV198/DH198,"-")</f>
        <v>-</v>
      </c>
      <c r="EK198" s="572" t="str">
        <f t="shared" ref="EK198" si="2467">IFERROR(DW198/DI198,"-")</f>
        <v>-</v>
      </c>
      <c r="EL198" s="572" t="str">
        <f t="shared" ref="EL198" si="2468">IFERROR(DX198/DJ198,"-")</f>
        <v>-</v>
      </c>
      <c r="EM198" s="572" t="str">
        <f t="shared" ref="EM198" si="2469">IFERROR(DY198/DK198,"-")</f>
        <v>-</v>
      </c>
      <c r="EN198" s="572" t="str">
        <f t="shared" ref="EN198" si="2470">IFERROR(DZ198/DL198,"-")</f>
        <v>-</v>
      </c>
      <c r="EO198" s="572" t="str">
        <f t="shared" ref="EO198" si="2471">IFERROR(EA198/DM198,"-")</f>
        <v>-</v>
      </c>
      <c r="EP198" s="572" t="str">
        <f t="shared" ref="EP198" si="2472">IFERROR(EB198/DN198,"-")</f>
        <v>-</v>
      </c>
      <c r="EQ198" s="572">
        <f t="shared" ref="EQ198" si="2473">IFERROR(EC198/DO198,"-")</f>
        <v>-0.61305736287638113</v>
      </c>
      <c r="ER198" s="572" t="str">
        <f t="shared" ref="ER198" si="2474">IFERROR(ED198/DP198,"-")</f>
        <v>-</v>
      </c>
      <c r="ES198" s="572" t="str">
        <f t="shared" ref="ES198" si="2475">IFERROR(EE198/DQ198,"-")</f>
        <v>-</v>
      </c>
      <c r="ET198" s="572" t="str">
        <f t="shared" ref="ET198" si="2476">IFERROR(EF198/DR198,"-")</f>
        <v>-</v>
      </c>
    </row>
    <row r="199" spans="1:150" ht="15.5" hidden="1" outlineLevel="1" x14ac:dyDescent="0.35">
      <c r="A199" s="10">
        <f>A197+1</f>
        <v>1</v>
      </c>
      <c r="B199" s="10" t="s">
        <v>295</v>
      </c>
      <c r="C199" s="442" t="s">
        <v>489</v>
      </c>
      <c r="D199" s="9" t="s">
        <v>965</v>
      </c>
      <c r="E199" s="8" t="s">
        <v>966</v>
      </c>
      <c r="F199" s="12" t="s">
        <v>245</v>
      </c>
      <c r="G199" s="12" t="str">
        <f>_xlfn.XLOOKUP(F199,'Quy đổi'!$G$5:$G$32,'Quy đổi'!$H$5:$H$32,0)</f>
        <v>Nội địa</v>
      </c>
      <c r="H199" s="80" t="s">
        <v>536</v>
      </c>
      <c r="I199" s="7" t="s">
        <v>537</v>
      </c>
      <c r="J199" s="69" t="s">
        <v>22</v>
      </c>
      <c r="K199" s="5"/>
      <c r="L199" s="92">
        <f t="shared" si="2359"/>
        <v>572.19251336898401</v>
      </c>
      <c r="M199" s="106" t="str">
        <f>IFERROR(SUMIFS('01. KE30'!$K:$K,'01. KE30'!$C:$C,'06. BC BH THEO CUSTOMER-USD'!$D199,'01. KE30'!$F:$F,'06. BC BH THEO CUSTOMER-USD'!$H199,'01. KE30'!$A:$A,'06. BC BH THEO CUSTOMER-USD'!M$4)/'06. BC BH THEO CUSTOMER-USD'!CS199/'02. Tỷ giá'!B$5,"-")</f>
        <v>-</v>
      </c>
      <c r="N199" s="106" t="str">
        <f>IFERROR(SUMIFS('01. KE30'!$K:$K,'01. KE30'!$C:$C,'06. BC BH THEO CUSTOMER-USD'!$D199,'01. KE30'!$F:$F,'06. BC BH THEO CUSTOMER-USD'!$H199,'01. KE30'!$A:$A,'06. BC BH THEO CUSTOMER-USD'!N$4)/'06. BC BH THEO CUSTOMER-USD'!CT199/'02. Tỷ giá'!C$5,"-")</f>
        <v>-</v>
      </c>
      <c r="O199" s="106" t="str">
        <f>IFERROR(SUMIFS('01. KE30'!$K:$K,'01. KE30'!$C:$C,'06. BC BH THEO CUSTOMER-USD'!$D199,'01. KE30'!$F:$F,'06. BC BH THEO CUSTOMER-USD'!$H199,'01. KE30'!$A:$A,'06. BC BH THEO CUSTOMER-USD'!O$4)/'06. BC BH THEO CUSTOMER-USD'!CU199/'02. Tỷ giá'!D$5,"-")</f>
        <v>-</v>
      </c>
      <c r="P199" s="106" t="str">
        <f>IFERROR(SUMIFS('01. KE30'!$K:$K,'01. KE30'!$C:$C,'06. BC BH THEO CUSTOMER-USD'!$D199,'01. KE30'!$F:$F,'06. BC BH THEO CUSTOMER-USD'!$H199,'01. KE30'!$A:$A,'06. BC BH THEO CUSTOMER-USD'!P$4)/'06. BC BH THEO CUSTOMER-USD'!CV199/'02. Tỷ giá'!E$5,"-")</f>
        <v>-</v>
      </c>
      <c r="Q199" s="106" t="str">
        <f>IFERROR(SUMIFS('01. KE30'!$K:$K,'01. KE30'!$C:$C,'06. BC BH THEO CUSTOMER-USD'!$D199,'01. KE30'!$F:$F,'06. BC BH THEO CUSTOMER-USD'!$H199,'01. KE30'!$A:$A,'06. BC BH THEO CUSTOMER-USD'!Q$4)/'06. BC BH THEO CUSTOMER-USD'!CW199/'02. Tỷ giá'!F$5,"-")</f>
        <v>-</v>
      </c>
      <c r="R199" s="106" t="str">
        <f>IFERROR(SUMIFS('01. KE30'!$K:$K,'01. KE30'!$C:$C,'06. BC BH THEO CUSTOMER-USD'!$D199,'01. KE30'!$F:$F,'06. BC BH THEO CUSTOMER-USD'!$H199,'01. KE30'!$A:$A,'06. BC BH THEO CUSTOMER-USD'!R$4)/'06. BC BH THEO CUSTOMER-USD'!CX199/'02. Tỷ giá'!G$5,"-")</f>
        <v>-</v>
      </c>
      <c r="S199" s="106" t="str">
        <f>IFERROR(SUMIFS('01. KE30'!$K:$K,'01. KE30'!$C:$C,'06. BC BH THEO CUSTOMER-USD'!$D199,'01. KE30'!$F:$F,'06. BC BH THEO CUSTOMER-USD'!$H199,'01. KE30'!$A:$A,'06. BC BH THEO CUSTOMER-USD'!S$4)/'06. BC BH THEO CUSTOMER-USD'!CY199/'02. Tỷ giá'!H$5,"-")</f>
        <v>-</v>
      </c>
      <c r="T199" s="106">
        <f>IFERROR(SUMIFS('01. KE30'!$K:$K,'01. KE30'!$C:$C,'06. BC BH THEO CUSTOMER-USD'!$D199,'01. KE30'!$F:$F,'06. BC BH THEO CUSTOMER-USD'!$H199,'01. KE30'!$A:$A,'06. BC BH THEO CUSTOMER-USD'!T$4)/'06. BC BH THEO CUSTOMER-USD'!CZ199/'02. Tỷ giá'!I$5,"-")</f>
        <v>572.95645530939646</v>
      </c>
      <c r="U199" s="106">
        <f>IFERROR(SUMIFS('01. KE30'!$K:$K,'01. KE30'!$C:$C,'06. BC BH THEO CUSTOMER-USD'!$D199,'01. KE30'!$F:$F,'06. BC BH THEO CUSTOMER-USD'!$H199,'01. KE30'!$A:$A,'06. BC BH THEO CUSTOMER-USD'!U$4)/'06. BC BH THEO CUSTOMER-USD'!DA199/'02. Tỷ giá'!J$5,"-")</f>
        <v>571.42857142857144</v>
      </c>
      <c r="V199" s="106" t="str">
        <f>IFERROR(SUMIFS('01. KE30'!$K:$K,'01. KE30'!$C:$C,'06. BC BH THEO CUSTOMER-USD'!$D199,'01. KE30'!$F:$F,'06. BC BH THEO CUSTOMER-USD'!$H199,'01. KE30'!$A:$A,'06. BC BH THEO CUSTOMER-USD'!V$4)/'06. BC BH THEO CUSTOMER-USD'!DB199/'02. Tỷ giá'!K$5,"-")</f>
        <v>-</v>
      </c>
      <c r="W199" s="106" t="str">
        <f>IFERROR(SUMIFS('01. KE30'!$K:$K,'01. KE30'!$C:$C,'06. BC BH THEO CUSTOMER-USD'!$D199,'01. KE30'!$F:$F,'06. BC BH THEO CUSTOMER-USD'!$H199,'01. KE30'!$A:$A,'06. BC BH THEO CUSTOMER-USD'!W$4)/'06. BC BH THEO CUSTOMER-USD'!DC199/'02. Tỷ giá'!L$5,"-")</f>
        <v>-</v>
      </c>
      <c r="X199" s="106" t="str">
        <f>IFERROR(SUMIFS('01. KE30'!$K:$K,'01. KE30'!$C:$C,'06. BC BH THEO CUSTOMER-USD'!$D199,'01. KE30'!$F:$F,'06. BC BH THEO CUSTOMER-USD'!$H199,'01. KE30'!$A:$A,'06. BC BH THEO CUSTOMER-USD'!X$4)/'06. BC BH THEO CUSTOMER-USD'!DD199/'02. Tỷ giá'!M$5,"-")</f>
        <v>-</v>
      </c>
      <c r="Z199" s="92">
        <f t="shared" si="2360"/>
        <v>572.19251336898401</v>
      </c>
      <c r="AA199" s="147" t="str">
        <f>IFERROR(SUMIFS('01. KE30'!$O:$O,'01. KE30'!$C:$C,'06. BC BH THEO CUSTOMER-USD'!$D199,'01. KE30'!$F:$F,'06. BC BH THEO CUSTOMER-USD'!$H199,'01. KE30'!$A:$A,'06. BC BH THEO CUSTOMER-USD'!M$4)/'06. BC BH THEO CUSTOMER-USD'!CS199/'02. Tỷ giá'!B$5,"-")</f>
        <v>-</v>
      </c>
      <c r="AB199" s="147" t="str">
        <f>IFERROR(SUMIFS('01. KE30'!$O:$O,'01. KE30'!$C:$C,'06. BC BH THEO CUSTOMER-USD'!$D199,'01. KE30'!$F:$F,'06. BC BH THEO CUSTOMER-USD'!$H199,'01. KE30'!$A:$A,'06. BC BH THEO CUSTOMER-USD'!N$4)/'06. BC BH THEO CUSTOMER-USD'!CT199/'02. Tỷ giá'!C$5,"-")</f>
        <v>-</v>
      </c>
      <c r="AC199" s="147" t="str">
        <f>IFERROR(SUMIFS('01. KE30'!$O:$O,'01. KE30'!$C:$C,'06. BC BH THEO CUSTOMER-USD'!$D199,'01. KE30'!$F:$F,'06. BC BH THEO CUSTOMER-USD'!$H199,'01. KE30'!$A:$A,'06. BC BH THEO CUSTOMER-USD'!O$4)/'06. BC BH THEO CUSTOMER-USD'!CU199/'02. Tỷ giá'!D$5,"-")</f>
        <v>-</v>
      </c>
      <c r="AD199" s="147" t="str">
        <f>IFERROR(SUMIFS('01. KE30'!$O:$O,'01. KE30'!$C:$C,'06. BC BH THEO CUSTOMER-USD'!$D199,'01. KE30'!$F:$F,'06. BC BH THEO CUSTOMER-USD'!$H199,'01. KE30'!$A:$A,'06. BC BH THEO CUSTOMER-USD'!P$4)/'06. BC BH THEO CUSTOMER-USD'!CV199/'02. Tỷ giá'!E$5,"-")</f>
        <v>-</v>
      </c>
      <c r="AE199" s="147" t="str">
        <f>IFERROR(SUMIFS('01. KE30'!$O:$O,'01. KE30'!$C:$C,'06. BC BH THEO CUSTOMER-USD'!$D199,'01. KE30'!$F:$F,'06. BC BH THEO CUSTOMER-USD'!$H199,'01. KE30'!$A:$A,'06. BC BH THEO CUSTOMER-USD'!Q$4)/'06. BC BH THEO CUSTOMER-USD'!CW199/'02. Tỷ giá'!F$5,"-")</f>
        <v>-</v>
      </c>
      <c r="AF199" s="147" t="str">
        <f>IFERROR(SUMIFS('01. KE30'!$O:$O,'01. KE30'!$C:$C,'06. BC BH THEO CUSTOMER-USD'!$D199,'01. KE30'!$F:$F,'06. BC BH THEO CUSTOMER-USD'!$H199,'01. KE30'!$A:$A,'06. BC BH THEO CUSTOMER-USD'!R$4)/'06. BC BH THEO CUSTOMER-USD'!CX199/'02. Tỷ giá'!G$5,"-")</f>
        <v>-</v>
      </c>
      <c r="AG199" s="147" t="str">
        <f>IFERROR(SUMIFS('01. KE30'!$O:$O,'01. KE30'!$C:$C,'06. BC BH THEO CUSTOMER-USD'!$D199,'01. KE30'!$F:$F,'06. BC BH THEO CUSTOMER-USD'!$H199,'01. KE30'!$A:$A,'06. BC BH THEO CUSTOMER-USD'!S$4)/'06. BC BH THEO CUSTOMER-USD'!CY199/'02. Tỷ giá'!H$5,"-")</f>
        <v>-</v>
      </c>
      <c r="AH199" s="147">
        <f>IFERROR(SUMIFS('01. KE30'!$O:$O,'01. KE30'!$C:$C,'06. BC BH THEO CUSTOMER-USD'!$D199,'01. KE30'!$F:$F,'06. BC BH THEO CUSTOMER-USD'!$H199,'01. KE30'!$A:$A,'06. BC BH THEO CUSTOMER-USD'!T$4)/'06. BC BH THEO CUSTOMER-USD'!CZ199/'02. Tỷ giá'!I$5,"-")</f>
        <v>572.95645530939646</v>
      </c>
      <c r="AI199" s="147">
        <f>IFERROR(SUMIFS('01. KE30'!$O:$O,'01. KE30'!$C:$C,'06. BC BH THEO CUSTOMER-USD'!$D199,'01. KE30'!$F:$F,'06. BC BH THEO CUSTOMER-USD'!$H199,'01. KE30'!$A:$A,'06. BC BH THEO CUSTOMER-USD'!U$4)/'06. BC BH THEO CUSTOMER-USD'!DA199/'02. Tỷ giá'!J$5,"-")</f>
        <v>571.42857142857144</v>
      </c>
      <c r="AJ199" s="147" t="str">
        <f>IFERROR(SUMIFS('01. KE30'!$O:$O,'01. KE30'!$C:$C,'06. BC BH THEO CUSTOMER-USD'!$D199,'01. KE30'!$F:$F,'06. BC BH THEO CUSTOMER-USD'!$H199,'01. KE30'!$A:$A,'06. BC BH THEO CUSTOMER-USD'!V$4)/'06. BC BH THEO CUSTOMER-USD'!DB199/'02. Tỷ giá'!K$5,"-")</f>
        <v>-</v>
      </c>
      <c r="AK199" s="147" t="str">
        <f>IFERROR(SUMIFS('01. KE30'!$O:$O,'01. KE30'!$C:$C,'06. BC BH THEO CUSTOMER-USD'!$D199,'01. KE30'!$F:$F,'06. BC BH THEO CUSTOMER-USD'!$H199,'01. KE30'!$A:$A,'06. BC BH THEO CUSTOMER-USD'!W$4)/'06. BC BH THEO CUSTOMER-USD'!DC199/'02. Tỷ giá'!L$5,"-")</f>
        <v>-</v>
      </c>
      <c r="AL199" s="147" t="str">
        <f>IFERROR(SUMIFS('01. KE30'!$O:$O,'01. KE30'!$C:$C,'06. BC BH THEO CUSTOMER-USD'!$D199,'01. KE30'!$F:$F,'06. BC BH THEO CUSTOMER-USD'!$H199,'01. KE30'!$A:$A,'06. BC BH THEO CUSTOMER-USD'!X$4)/'06. BC BH THEO CUSTOMER-USD'!DD199/'02. Tỷ giá'!M$5,"-")</f>
        <v>-</v>
      </c>
      <c r="AN199" s="92">
        <f t="shared" si="2361"/>
        <v>740.55555555555554</v>
      </c>
      <c r="AO199" s="4">
        <v>855</v>
      </c>
      <c r="AP199" s="4">
        <v>750</v>
      </c>
      <c r="AQ199" s="4">
        <v>750</v>
      </c>
      <c r="AR199" s="4">
        <v>750</v>
      </c>
      <c r="AS199" s="4">
        <v>720</v>
      </c>
      <c r="AT199" s="4">
        <v>720</v>
      </c>
      <c r="AU199" s="4">
        <v>720</v>
      </c>
      <c r="AV199" s="4">
        <f t="shared" si="2362"/>
        <v>700</v>
      </c>
      <c r="AW199" s="4">
        <v>700</v>
      </c>
      <c r="AX199" s="4"/>
      <c r="AY199" s="4"/>
      <c r="AZ199" s="4"/>
      <c r="BB199" s="95">
        <f t="shared" si="2363"/>
        <v>-168.36304218657153</v>
      </c>
      <c r="BC199" s="95" t="str">
        <f t="shared" si="2364"/>
        <v>-</v>
      </c>
      <c r="BD199" s="95" t="str">
        <f t="shared" si="2365"/>
        <v>-</v>
      </c>
      <c r="BE199" s="95" t="str">
        <f t="shared" si="2366"/>
        <v>-</v>
      </c>
      <c r="BF199" s="95" t="str">
        <f t="shared" si="2367"/>
        <v>-</v>
      </c>
      <c r="BG199" s="95" t="str">
        <f t="shared" si="2368"/>
        <v>-</v>
      </c>
      <c r="BH199" s="95" t="str">
        <f t="shared" si="2369"/>
        <v>-</v>
      </c>
      <c r="BI199" s="95" t="str">
        <f t="shared" si="2370"/>
        <v>-</v>
      </c>
      <c r="BJ199" s="95">
        <f t="shared" si="2371"/>
        <v>-127.04354469060354</v>
      </c>
      <c r="BK199" s="95">
        <f t="shared" si="2372"/>
        <v>-128.57142857142856</v>
      </c>
      <c r="BL199" s="95" t="str">
        <f t="shared" si="2373"/>
        <v>-</v>
      </c>
      <c r="BM199" s="95" t="str">
        <f t="shared" si="2374"/>
        <v>-</v>
      </c>
      <c r="BN199" s="95" t="str">
        <f t="shared" si="2375"/>
        <v>-</v>
      </c>
      <c r="BP199" s="143">
        <f t="shared" si="2376"/>
        <v>-0.22734694368779351</v>
      </c>
      <c r="BQ199" s="143" t="str">
        <f t="shared" si="2377"/>
        <v>-</v>
      </c>
      <c r="BR199" s="143" t="str">
        <f t="shared" si="2378"/>
        <v>-</v>
      </c>
      <c r="BS199" s="143" t="str">
        <f t="shared" si="2379"/>
        <v>-</v>
      </c>
      <c r="BT199" s="143" t="str">
        <f t="shared" si="2380"/>
        <v>-</v>
      </c>
      <c r="BU199" s="143" t="str">
        <f t="shared" si="2381"/>
        <v>-</v>
      </c>
      <c r="BV199" s="143" t="str">
        <f t="shared" si="2382"/>
        <v>-</v>
      </c>
      <c r="BW199" s="143" t="str">
        <f t="shared" si="2383"/>
        <v>-</v>
      </c>
      <c r="BX199" s="143">
        <f t="shared" si="2384"/>
        <v>-0.18149077812943362</v>
      </c>
      <c r="BY199" s="143">
        <f t="shared" si="2385"/>
        <v>-0.18367346938775508</v>
      </c>
      <c r="BZ199" s="143" t="str">
        <f t="shared" si="2386"/>
        <v>-</v>
      </c>
      <c r="CA199" s="143" t="str">
        <f t="shared" si="2387"/>
        <v>-</v>
      </c>
      <c r="CB199" s="143" t="str">
        <f t="shared" si="2388"/>
        <v>-</v>
      </c>
      <c r="CD199" s="112">
        <f t="shared" si="2389"/>
        <v>1040.4689505474917</v>
      </c>
      <c r="CE199" s="95" t="str">
        <f>IFERROR(SUMIFS('01. KE30'!$R:$R,'01. KE30'!$C:$C,'06. BC BH THEO CUSTOMER-USD'!$D199,'01. KE30'!$F:$F,'06. BC BH THEO CUSTOMER-USD'!$H199,'01. KE30'!$A:$A,'06. BC BH THEO CUSTOMER-USD'!CE$4)/CS199/'02. Tỷ giá'!B$5," -")</f>
        <v xml:space="preserve"> -</v>
      </c>
      <c r="CF199" s="95" t="str">
        <f>IFERROR(SUMIFS('01. KE30'!$R:$R,'01. KE30'!$C:$C,'06. BC BH THEO CUSTOMER-USD'!$D199,'01. KE30'!$F:$F,'06. BC BH THEO CUSTOMER-USD'!$H199,'01. KE30'!$A:$A,'06. BC BH THEO CUSTOMER-USD'!CF$4)/CT199/'02. Tỷ giá'!C$5," -")</f>
        <v xml:space="preserve"> -</v>
      </c>
      <c r="CG199" s="95" t="str">
        <f>IFERROR(SUMIFS('01. KE30'!$R:$R,'01. KE30'!$C:$C,'06. BC BH THEO CUSTOMER-USD'!$D199,'01. KE30'!$F:$F,'06. BC BH THEO CUSTOMER-USD'!$H199,'01. KE30'!$A:$A,'06. BC BH THEO CUSTOMER-USD'!CG$4)/CU199/'02. Tỷ giá'!D$5," -")</f>
        <v xml:space="preserve"> -</v>
      </c>
      <c r="CH199" s="95" t="str">
        <f>IFERROR(SUMIFS('01. KE30'!$R:$R,'01. KE30'!$C:$C,'06. BC BH THEO CUSTOMER-USD'!$D199,'01. KE30'!$F:$F,'06. BC BH THEO CUSTOMER-USD'!$H199,'01. KE30'!$A:$A,'06. BC BH THEO CUSTOMER-USD'!CH$4)/CV199/'02. Tỷ giá'!E$5," -")</f>
        <v xml:space="preserve"> -</v>
      </c>
      <c r="CI199" s="95" t="str">
        <f>IFERROR(SUMIFS('01. KE30'!$R:$R,'01. KE30'!$C:$C,'06. BC BH THEO CUSTOMER-USD'!$D199,'01. KE30'!$F:$F,'06. BC BH THEO CUSTOMER-USD'!$H199,'01. KE30'!$A:$A,'06. BC BH THEO CUSTOMER-USD'!CI$4)/CW199/'02. Tỷ giá'!F$5," -")</f>
        <v xml:space="preserve"> -</v>
      </c>
      <c r="CJ199" s="95" t="str">
        <f>IFERROR(SUMIFS('01. KE30'!$R:$R,'01. KE30'!$C:$C,'06. BC BH THEO CUSTOMER-USD'!$D199,'01. KE30'!$F:$F,'06. BC BH THEO CUSTOMER-USD'!$H199,'01. KE30'!$A:$A,'06. BC BH THEO CUSTOMER-USD'!CJ$4)/CX199/'02. Tỷ giá'!G$5," -")</f>
        <v xml:space="preserve"> -</v>
      </c>
      <c r="CK199" s="95" t="str">
        <f>IFERROR(SUMIFS('01. KE30'!$R:$R,'01. KE30'!$C:$C,'06. BC BH THEO CUSTOMER-USD'!$D199,'01. KE30'!$F:$F,'06. BC BH THEO CUSTOMER-USD'!$H199,'01. KE30'!$A:$A,'06. BC BH THEO CUSTOMER-USD'!CK$4)/CY199/'02. Tỷ giá'!H$5," -")</f>
        <v xml:space="preserve"> -</v>
      </c>
      <c r="CL199" s="95">
        <f>IFERROR(SUMIFS('01. KE30'!$R:$R,'01. KE30'!$C:$C,'06. BC BH THEO CUSTOMER-USD'!$D199,'01. KE30'!$F:$F,'06. BC BH THEO CUSTOMER-USD'!$H199,'01. KE30'!$A:$A,'06. BC BH THEO CUSTOMER-USD'!CL$4)/CZ199/'02. Tỷ giá'!I$5," -")</f>
        <v>1033.5271963330788</v>
      </c>
      <c r="CM199" s="95">
        <f>IFERROR(SUMIFS('01. KE30'!$R:$R,'01. KE30'!$C:$C,'06. BC BH THEO CUSTOMER-USD'!$D199,'01. KE30'!$F:$F,'06. BC BH THEO CUSTOMER-USD'!$H199,'01. KE30'!$A:$A,'06. BC BH THEO CUSTOMER-USD'!CM$4)/DA199/'02. Tỷ giá'!J$5," -")</f>
        <v>1047.4107047619048</v>
      </c>
      <c r="CN199" s="95" t="str">
        <f>IFERROR(SUMIFS('01. KE30'!$R:$R,'01. KE30'!$C:$C,'06. BC BH THEO CUSTOMER-USD'!$D199,'01. KE30'!$F:$F,'06. BC BH THEO CUSTOMER-USD'!$H199,'01. KE30'!$A:$A,'06. BC BH THEO CUSTOMER-USD'!CN$4)/DB199/'02. Tỷ giá'!K$5," -")</f>
        <v xml:space="preserve"> -</v>
      </c>
      <c r="CO199" s="95" t="str">
        <f>IFERROR(SUMIFS('01. KE30'!$R:$R,'01. KE30'!$C:$C,'06. BC BH THEO CUSTOMER-USD'!$D199,'01. KE30'!$F:$F,'06. BC BH THEO CUSTOMER-USD'!$H199,'01. KE30'!$A:$A,'06. BC BH THEO CUSTOMER-USD'!CO$4)/DC199/'02. Tỷ giá'!L$5," -")</f>
        <v xml:space="preserve"> -</v>
      </c>
      <c r="CP199" s="95" t="str">
        <f>IFERROR(SUMIFS('01. KE30'!$R:$R,'01. KE30'!$C:$C,'06. BC BH THEO CUSTOMER-USD'!$D199,'01. KE30'!$F:$F,'06. BC BH THEO CUSTOMER-USD'!$H199,'01. KE30'!$A:$A,'06. BC BH THEO CUSTOMER-USD'!CP$4)/DD199/'02. Tỷ giá'!M$5," -")</f>
        <v xml:space="preserve"> -</v>
      </c>
      <c r="CR199" s="112">
        <f t="shared" si="2390"/>
        <v>9</v>
      </c>
      <c r="CS199" s="114">
        <f>SUMIFS('01. KE30'!$I:$I,'01. KE30'!$C:$C,'06. BC BH THEO CUSTOMER-USD'!$D199,'01. KE30'!$F:$F,'06. BC BH THEO CUSTOMER-USD'!$H199,'01. KE30'!$A:$A,'06. BC BH THEO CUSTOMER-USD'!CS$4)/1000</f>
        <v>0</v>
      </c>
      <c r="CT199" s="114">
        <f>SUMIFS('01. KE30'!$I:$I,'01. KE30'!$C:$C,'06. BC BH THEO CUSTOMER-USD'!$D199,'01. KE30'!$F:$F,'06. BC BH THEO CUSTOMER-USD'!$H199,'01. KE30'!$A:$A,'06. BC BH THEO CUSTOMER-USD'!CT$4)/1000</f>
        <v>0</v>
      </c>
      <c r="CU199" s="114">
        <f>SUMIFS('01. KE30'!$I:$I,'01. KE30'!$C:$C,'06. BC BH THEO CUSTOMER-USD'!$D199,'01. KE30'!$F:$F,'06. BC BH THEO CUSTOMER-USD'!$H199,'01. KE30'!$A:$A,'06. BC BH THEO CUSTOMER-USD'!CU$4)/1000</f>
        <v>0</v>
      </c>
      <c r="CV199" s="114">
        <f>SUMIFS('01. KE30'!$I:$I,'01. KE30'!$C:$C,'06. BC BH THEO CUSTOMER-USD'!$D199,'01. KE30'!$F:$F,'06. BC BH THEO CUSTOMER-USD'!$H199,'01. KE30'!$A:$A,'06. BC BH THEO CUSTOMER-USD'!CV$4)/1000</f>
        <v>0</v>
      </c>
      <c r="CW199" s="114">
        <f>SUMIFS('01. KE30'!$I:$I,'01. KE30'!$C:$C,'06. BC BH THEO CUSTOMER-USD'!$D199,'01. KE30'!$F:$F,'06. BC BH THEO CUSTOMER-USD'!$H199,'01. KE30'!$A:$A,'06. BC BH THEO CUSTOMER-USD'!CW$4)/1000</f>
        <v>0</v>
      </c>
      <c r="CX199" s="114">
        <f>SUMIFS('01. KE30'!$I:$I,'01. KE30'!$C:$C,'06. BC BH THEO CUSTOMER-USD'!$D199,'01. KE30'!$F:$F,'06. BC BH THEO CUSTOMER-USD'!$H199,'01. KE30'!$A:$A,'06. BC BH THEO CUSTOMER-USD'!CX$4)/1000</f>
        <v>0</v>
      </c>
      <c r="CY199" s="114">
        <f>SUMIFS('01. KE30'!$I:$I,'01. KE30'!$C:$C,'06. BC BH THEO CUSTOMER-USD'!$D199,'01. KE30'!$F:$F,'06. BC BH THEO CUSTOMER-USD'!$H199,'01. KE30'!$A:$A,'06. BC BH THEO CUSTOMER-USD'!CY$4)/1000</f>
        <v>0</v>
      </c>
      <c r="CZ199" s="114">
        <f>SUMIFS('01. KE30'!$I:$I,'01. KE30'!$C:$C,'06. BC BH THEO CUSTOMER-USD'!$D199,'01. KE30'!$F:$F,'06. BC BH THEO CUSTOMER-USD'!$H199,'01. KE30'!$A:$A,'06. BC BH THEO CUSTOMER-USD'!CZ$4)/1000</f>
        <v>3</v>
      </c>
      <c r="DA199" s="114">
        <f>SUMIFS('01. KE30'!$I:$I,'01. KE30'!$C:$C,'06. BC BH THEO CUSTOMER-USD'!$D199,'01. KE30'!$F:$F,'06. BC BH THEO CUSTOMER-USD'!$H199,'01. KE30'!$A:$A,'06. BC BH THEO CUSTOMER-USD'!DA$4)/1000</f>
        <v>6</v>
      </c>
      <c r="DB199" s="114">
        <f>SUMIFS('01. KE30'!$I:$I,'01. KE30'!$C:$C,'06. BC BH THEO CUSTOMER-USD'!$D199,'01. KE30'!$F:$F,'06. BC BH THEO CUSTOMER-USD'!$H199,'01. KE30'!$A:$A,'06. BC BH THEO CUSTOMER-USD'!DB$4)/1000</f>
        <v>0</v>
      </c>
      <c r="DC199" s="114">
        <f>SUMIFS('01. KE30'!$I:$I,'01. KE30'!$C:$C,'06. BC BH THEO CUSTOMER-USD'!$D199,'01. KE30'!$F:$F,'06. BC BH THEO CUSTOMER-USD'!$H199,'01. KE30'!$A:$A,'06. BC BH THEO CUSTOMER-USD'!DC$4)/1000</f>
        <v>0</v>
      </c>
      <c r="DD199" s="114">
        <f>SUMIFS('01. KE30'!$I:$I,'01. KE30'!$C:$C,'06. BC BH THEO CUSTOMER-USD'!$D199,'01. KE30'!$F:$F,'06. BC BH THEO CUSTOMER-USD'!$H199,'01. KE30'!$A:$A,'06. BC BH THEO CUSTOMER-USD'!DD$4)/1000</f>
        <v>0</v>
      </c>
      <c r="DF199" s="112">
        <f t="shared" si="2391"/>
        <v>5147.4407944996183</v>
      </c>
      <c r="DG199" s="54" t="str">
        <f t="shared" si="2392"/>
        <v>-</v>
      </c>
      <c r="DH199" s="54" t="str">
        <f t="shared" si="2393"/>
        <v>-</v>
      </c>
      <c r="DI199" s="54" t="str">
        <f t="shared" si="2394"/>
        <v>-</v>
      </c>
      <c r="DJ199" s="54" t="str">
        <f t="shared" si="2395"/>
        <v>-</v>
      </c>
      <c r="DK199" s="54" t="str">
        <f t="shared" si="2396"/>
        <v>-</v>
      </c>
      <c r="DL199" s="54" t="str">
        <f t="shared" si="2397"/>
        <v>-</v>
      </c>
      <c r="DM199" s="54" t="str">
        <f t="shared" si="2398"/>
        <v>-</v>
      </c>
      <c r="DN199" s="54">
        <f t="shared" si="2399"/>
        <v>1718.8693659281894</v>
      </c>
      <c r="DO199" s="54">
        <f t="shared" si="2400"/>
        <v>3428.5714285714284</v>
      </c>
      <c r="DP199" s="54" t="str">
        <f t="shared" si="2401"/>
        <v>-</v>
      </c>
      <c r="DQ199" s="54" t="str">
        <f t="shared" si="2402"/>
        <v>-</v>
      </c>
      <c r="DR199" s="54" t="str">
        <f t="shared" si="2403"/>
        <v>-</v>
      </c>
      <c r="DT199" s="112">
        <f t="shared" si="2404"/>
        <v>-4237.6050230710471</v>
      </c>
      <c r="DU199" s="114">
        <f>IFERROR(SUMIFS('01. KE30'!$X:$X,'01. KE30'!$C:$C,'06. BC BH THEO CUSTOMER-USD'!$D199,'01. KE30'!$F:$F,'06. BC BH THEO CUSTOMER-USD'!$H199,'01. KE30'!$A:$A,'06. BC BH THEO CUSTOMER-USD'!DU$4)-SUMIFS('01. KE30'!$AA:$AA,'01. KE30'!$C:$C,'06. BC BH THEO CUSTOMER-USD'!$D199,'01. KE30'!$F:$F,'06. BC BH THEO CUSTOMER-USD'!$H199,'01. KE30'!$A:$A,'06. BC BH THEO CUSTOMER-USD'!DU$4),"-")</f>
        <v>0</v>
      </c>
      <c r="DV199" s="114">
        <f>IFERROR(SUMIFS('01. KE30'!$X:$X,'01. KE30'!$C:$C,'06. BC BH THEO CUSTOMER-USD'!$D199,'01. KE30'!$F:$F,'06. BC BH THEO CUSTOMER-USD'!$H199,'01. KE30'!$A:$A,'06. BC BH THEO CUSTOMER-USD'!DV$4)-SUMIFS('01. KE30'!$AA:$AA,'01. KE30'!$C:$C,'06. BC BH THEO CUSTOMER-USD'!$D199,'01. KE30'!$F:$F,'06. BC BH THEO CUSTOMER-USD'!$H199,'01. KE30'!$A:$A,'06. BC BH THEO CUSTOMER-USD'!DV$4),"-")</f>
        <v>0</v>
      </c>
      <c r="DW199" s="114">
        <f>IFERROR(SUMIFS('01. KE30'!$X:$X,'01. KE30'!$C:$C,'06. BC BH THEO CUSTOMER-USD'!$D199,'01. KE30'!$F:$F,'06. BC BH THEO CUSTOMER-USD'!$H199,'01. KE30'!$A:$A,'06. BC BH THEO CUSTOMER-USD'!DW$4)-SUMIFS('01. KE30'!$AA:$AA,'01. KE30'!$C:$C,'06. BC BH THEO CUSTOMER-USD'!$D199,'01. KE30'!$F:$F,'06. BC BH THEO CUSTOMER-USD'!$H199,'01. KE30'!$A:$A,'06. BC BH THEO CUSTOMER-USD'!DW$4),"-")</f>
        <v>0</v>
      </c>
      <c r="DX199" s="114">
        <f>IFERROR(SUMIFS('01. KE30'!$X:$X,'01. KE30'!$C:$C,'06. BC BH THEO CUSTOMER-USD'!$D199,'01. KE30'!$F:$F,'06. BC BH THEO CUSTOMER-USD'!$H199,'01. KE30'!$A:$A,'06. BC BH THEO CUSTOMER-USD'!DX$4)-SUMIFS('01. KE30'!$AA:$AA,'01. KE30'!$C:$C,'06. BC BH THEO CUSTOMER-USD'!$D199,'01. KE30'!$F:$F,'06. BC BH THEO CUSTOMER-USD'!$H199,'01. KE30'!$A:$A,'06. BC BH THEO CUSTOMER-USD'!DX$4),"-")</f>
        <v>0</v>
      </c>
      <c r="DY199" s="114">
        <f>IFERROR(SUMIFS('01. KE30'!$X:$X,'01. KE30'!$C:$C,'06. BC BH THEO CUSTOMER-USD'!$D199,'01. KE30'!$F:$F,'06. BC BH THEO CUSTOMER-USD'!$H199,'01. KE30'!$A:$A,'06. BC BH THEO CUSTOMER-USD'!DY$4)-SUMIFS('01. KE30'!$AA:$AA,'01. KE30'!$C:$C,'06. BC BH THEO CUSTOMER-USD'!$D199,'01. KE30'!$F:$F,'06. BC BH THEO CUSTOMER-USD'!$H199,'01. KE30'!$A:$A,'06. BC BH THEO CUSTOMER-USD'!DY$4),"-")</f>
        <v>0</v>
      </c>
      <c r="DZ199" s="114">
        <f>IFERROR(SUMIFS('01. KE30'!$X:$X,'01. KE30'!$C:$C,'06. BC BH THEO CUSTOMER-USD'!$D199,'01. KE30'!$F:$F,'06. BC BH THEO CUSTOMER-USD'!$H199,'01. KE30'!$A:$A,'06. BC BH THEO CUSTOMER-USD'!DZ$4)-SUMIFS('01. KE30'!$AA:$AA,'01. KE30'!$C:$C,'06. BC BH THEO CUSTOMER-USD'!$D199,'01. KE30'!$F:$F,'06. BC BH THEO CUSTOMER-USD'!$H199,'01. KE30'!$A:$A,'06. BC BH THEO CUSTOMER-USD'!DZ$4),"-")</f>
        <v>0</v>
      </c>
      <c r="EA199" s="114">
        <f>IFERROR(SUMIFS('01. KE30'!$X:$X,'01. KE30'!$C:$C,'06. BC BH THEO CUSTOMER-USD'!$D199,'01. KE30'!$F:$F,'06. BC BH THEO CUSTOMER-USD'!$H199,'01. KE30'!$A:$A,'06. BC BH THEO CUSTOMER-USD'!EA$4)-SUMIFS('01. KE30'!$AA:$AA,'01. KE30'!$C:$C,'06. BC BH THEO CUSTOMER-USD'!$D199,'01. KE30'!$F:$F,'06. BC BH THEO CUSTOMER-USD'!$H199,'01. KE30'!$A:$A,'06. BC BH THEO CUSTOMER-USD'!EA$4),"-")</f>
        <v>0</v>
      </c>
      <c r="EB199" s="114">
        <f>IFERROR(SUMIFS('01. KE30'!$X:$X,'01. KE30'!$C:$C,'06. BC BH THEO CUSTOMER-USD'!$D199,'01. KE30'!$F:$F,'06. BC BH THEO CUSTOMER-USD'!$H199,'01. KE30'!$A:$A,'06. BC BH THEO CUSTOMER-USD'!EB$4)-SUMIFS('01. KE30'!$AA:$AA,'01. KE30'!$C:$C,'06. BC BH THEO CUSTOMER-USD'!$D199,'01. KE30'!$F:$F,'06. BC BH THEO CUSTOMER-USD'!$H199,'01. KE30'!$A:$A,'06. BC BH THEO CUSTOMER-USD'!EB$4),"-")</f>
        <v>-1381.7122230710465</v>
      </c>
      <c r="EC199" s="114">
        <f>IFERROR(SUMIFS('01. KE30'!$X:$X,'01. KE30'!$C:$C,'06. BC BH THEO CUSTOMER-USD'!$D199,'01. KE30'!$F:$F,'06. BC BH THEO CUSTOMER-USD'!$H199,'01. KE30'!$A:$A,'06. BC BH THEO CUSTOMER-USD'!EC$4)-SUMIFS('01. KE30'!$AA:$AA,'01. KE30'!$C:$C,'06. BC BH THEO CUSTOMER-USD'!$D199,'01. KE30'!$F:$F,'06. BC BH THEO CUSTOMER-USD'!$H199,'01. KE30'!$A:$A,'06. BC BH THEO CUSTOMER-USD'!EC$4),"-")</f>
        <v>-2855.8928000000005</v>
      </c>
      <c r="ED199" s="114">
        <f>IFERROR(SUMIFS('01. KE30'!$X:$X,'01. KE30'!$C:$C,'06. BC BH THEO CUSTOMER-USD'!$D199,'01. KE30'!$F:$F,'06. BC BH THEO CUSTOMER-USD'!$H199,'01. KE30'!$A:$A,'06. BC BH THEO CUSTOMER-USD'!ED$4)-SUMIFS('01. KE30'!$AA:$AA,'01. KE30'!$C:$C,'06. BC BH THEO CUSTOMER-USD'!$D199,'01. KE30'!$F:$F,'06. BC BH THEO CUSTOMER-USD'!$H199,'01. KE30'!$A:$A,'06. BC BH THEO CUSTOMER-USD'!ED$4),"-")</f>
        <v>0</v>
      </c>
      <c r="EE199" s="114">
        <f>IFERROR(SUMIFS('01. KE30'!$X:$X,'01. KE30'!$C:$C,'06. BC BH THEO CUSTOMER-USD'!$D199,'01. KE30'!$F:$F,'06. BC BH THEO CUSTOMER-USD'!$H199,'01. KE30'!$A:$A,'06. BC BH THEO CUSTOMER-USD'!EE$4)-SUMIFS('01. KE30'!$AA:$AA,'01. KE30'!$C:$C,'06. BC BH THEO CUSTOMER-USD'!$D199,'01. KE30'!$F:$F,'06. BC BH THEO CUSTOMER-USD'!$H199,'01. KE30'!$A:$A,'06. BC BH THEO CUSTOMER-USD'!EE$4),"-")</f>
        <v>0</v>
      </c>
      <c r="EF199" s="114">
        <f>IFERROR(SUMIFS('01. KE30'!$X:$X,'01. KE30'!$C:$C,'06. BC BH THEO CUSTOMER-USD'!$D199,'01. KE30'!$F:$F,'06. BC BH THEO CUSTOMER-USD'!$H199,'01. KE30'!$A:$A,'06. BC BH THEO CUSTOMER-USD'!EF$4)-SUMIFS('01. KE30'!$AA:$AA,'01. KE30'!$C:$C,'06. BC BH THEO CUSTOMER-USD'!$D199,'01. KE30'!$F:$F,'06. BC BH THEO CUSTOMER-USD'!$H199,'01. KE30'!$A:$A,'06. BC BH THEO CUSTOMER-USD'!EF$4),"-")</f>
        <v>0</v>
      </c>
      <c r="EH199" s="571">
        <f t="shared" si="2405"/>
        <v>-0.82324502451766113</v>
      </c>
      <c r="EI199" s="572" t="str">
        <f t="shared" si="2406"/>
        <v>-</v>
      </c>
      <c r="EJ199" s="572" t="str">
        <f t="shared" si="2407"/>
        <v>-</v>
      </c>
      <c r="EK199" s="572" t="str">
        <f t="shared" si="2408"/>
        <v>-</v>
      </c>
      <c r="EL199" s="572" t="str">
        <f t="shared" si="2409"/>
        <v>-</v>
      </c>
      <c r="EM199" s="572" t="str">
        <f t="shared" si="2410"/>
        <v>-</v>
      </c>
      <c r="EN199" s="572" t="str">
        <f t="shared" si="2411"/>
        <v>-</v>
      </c>
      <c r="EO199" s="572" t="str">
        <f t="shared" si="2412"/>
        <v>-</v>
      </c>
      <c r="EP199" s="572">
        <f t="shared" si="2413"/>
        <v>-0.80384946666666668</v>
      </c>
      <c r="EQ199" s="572">
        <f t="shared" si="2414"/>
        <v>-0.83296873333333354</v>
      </c>
      <c r="ER199" s="572" t="str">
        <f t="shared" si="2415"/>
        <v>-</v>
      </c>
      <c r="ES199" s="572" t="str">
        <f t="shared" si="2416"/>
        <v>-</v>
      </c>
      <c r="ET199" s="572" t="str">
        <f t="shared" si="2417"/>
        <v>-</v>
      </c>
    </row>
    <row r="200" spans="1:150" ht="15.5" hidden="1" outlineLevel="1" x14ac:dyDescent="0.35">
      <c r="A200" s="10">
        <f t="shared" ref="A200:A206" si="2477">A180+1</f>
        <v>7</v>
      </c>
      <c r="B200" s="10" t="s">
        <v>295</v>
      </c>
      <c r="C200" s="442" t="s">
        <v>489</v>
      </c>
      <c r="D200" s="9" t="s">
        <v>710</v>
      </c>
      <c r="E200" s="8" t="s">
        <v>732</v>
      </c>
      <c r="F200" s="12" t="s">
        <v>245</v>
      </c>
      <c r="G200" s="12" t="str">
        <f>_xlfn.XLOOKUP(F200,'Quy đổi'!$G$5:$G$32,'Quy đổi'!$H$5:$H$32,0)</f>
        <v>Nội địa</v>
      </c>
      <c r="H200" s="80" t="s">
        <v>37</v>
      </c>
      <c r="I200" s="20" t="s">
        <v>36</v>
      </c>
      <c r="J200" s="69" t="s">
        <v>22</v>
      </c>
      <c r="K200" s="5"/>
      <c r="L200" s="92">
        <f t="shared" si="2301"/>
        <v>580.72009291521488</v>
      </c>
      <c r="M200" s="106" t="str">
        <f>IFERROR(SUMIFS('01. KE30'!$K:$K,'01. KE30'!$C:$C,'06. BC BH THEO CUSTOMER-USD'!$D200,'01. KE30'!$F:$F,'06. BC BH THEO CUSTOMER-USD'!$H200,'01. KE30'!$A:$A,'06. BC BH THEO CUSTOMER-USD'!M$4)/'06. BC BH THEO CUSTOMER-USD'!CS200/'02. Tỷ giá'!B$5,"-")</f>
        <v>-</v>
      </c>
      <c r="N200" s="106" t="str">
        <f>IFERROR(SUMIFS('01. KE30'!$K:$K,'01. KE30'!$C:$C,'06. BC BH THEO CUSTOMER-USD'!$D200,'01. KE30'!$F:$F,'06. BC BH THEO CUSTOMER-USD'!$H200,'01. KE30'!$A:$A,'06. BC BH THEO CUSTOMER-USD'!N$4)/'06. BC BH THEO CUSTOMER-USD'!CT200/'02. Tỷ giá'!C$5,"-")</f>
        <v>-</v>
      </c>
      <c r="O200" s="106" t="str">
        <f>IFERROR(SUMIFS('01. KE30'!$K:$K,'01. KE30'!$C:$C,'06. BC BH THEO CUSTOMER-USD'!$D200,'01. KE30'!$F:$F,'06. BC BH THEO CUSTOMER-USD'!$H200,'01. KE30'!$A:$A,'06. BC BH THEO CUSTOMER-USD'!O$4)/'06. BC BH THEO CUSTOMER-USD'!CU200/'02. Tỷ giá'!D$5,"-")</f>
        <v>-</v>
      </c>
      <c r="P200" s="106">
        <f>IFERROR(SUMIFS('01. KE30'!$K:$K,'01. KE30'!$C:$C,'06. BC BH THEO CUSTOMER-USD'!$D200,'01. KE30'!$F:$F,'06. BC BH THEO CUSTOMER-USD'!$H200,'01. KE30'!$A:$A,'06. BC BH THEO CUSTOMER-USD'!P$4)/'06. BC BH THEO CUSTOMER-USD'!CV200/'02. Tỷ giá'!E$5,"-")</f>
        <v>580.72009291521488</v>
      </c>
      <c r="Q200" s="106" t="str">
        <f>IFERROR(SUMIFS('01. KE30'!$K:$K,'01. KE30'!$C:$C,'06. BC BH THEO CUSTOMER-USD'!$D200,'01. KE30'!$F:$F,'06. BC BH THEO CUSTOMER-USD'!$H200,'01. KE30'!$A:$A,'06. BC BH THEO CUSTOMER-USD'!Q$4)/'06. BC BH THEO CUSTOMER-USD'!CW200/'02. Tỷ giá'!F$5,"-")</f>
        <v>-</v>
      </c>
      <c r="R200" s="106" t="str">
        <f>IFERROR(SUMIFS('01. KE30'!$K:$K,'01. KE30'!$C:$C,'06. BC BH THEO CUSTOMER-USD'!$D200,'01. KE30'!$F:$F,'06. BC BH THEO CUSTOMER-USD'!$H200,'01. KE30'!$A:$A,'06. BC BH THEO CUSTOMER-USD'!R$4)/'06. BC BH THEO CUSTOMER-USD'!CX200/'02. Tỷ giá'!G$5,"-")</f>
        <v>-</v>
      </c>
      <c r="S200" s="106" t="str">
        <f>IFERROR(SUMIFS('01. KE30'!$K:$K,'01. KE30'!$C:$C,'06. BC BH THEO CUSTOMER-USD'!$D200,'01. KE30'!$F:$F,'06. BC BH THEO CUSTOMER-USD'!$H200,'01. KE30'!$A:$A,'06. BC BH THEO CUSTOMER-USD'!S$4)/'06. BC BH THEO CUSTOMER-USD'!CY200/'02. Tỷ giá'!H$5,"-")</f>
        <v>-</v>
      </c>
      <c r="T200" s="106" t="str">
        <f>IFERROR(SUMIFS('01. KE30'!$K:$K,'01. KE30'!$C:$C,'06. BC BH THEO CUSTOMER-USD'!$D200,'01. KE30'!$F:$F,'06. BC BH THEO CUSTOMER-USD'!$H200,'01. KE30'!$A:$A,'06. BC BH THEO CUSTOMER-USD'!T$4)/'06. BC BH THEO CUSTOMER-USD'!CZ200/'02. Tỷ giá'!I$5,"-")</f>
        <v>-</v>
      </c>
      <c r="U200" s="106" t="str">
        <f>IFERROR(SUMIFS('01. KE30'!$K:$K,'01. KE30'!$C:$C,'06. BC BH THEO CUSTOMER-USD'!$D200,'01. KE30'!$F:$F,'06. BC BH THEO CUSTOMER-USD'!$H200,'01. KE30'!$A:$A,'06. BC BH THEO CUSTOMER-USD'!U$4)/'06. BC BH THEO CUSTOMER-USD'!DA200/'02. Tỷ giá'!J$5,"-")</f>
        <v>-</v>
      </c>
      <c r="V200" s="106" t="str">
        <f>IFERROR(SUMIFS('01. KE30'!$K:$K,'01. KE30'!$C:$C,'06. BC BH THEO CUSTOMER-USD'!$D200,'01. KE30'!$F:$F,'06. BC BH THEO CUSTOMER-USD'!$H200,'01. KE30'!$A:$A,'06. BC BH THEO CUSTOMER-USD'!V$4)/'06. BC BH THEO CUSTOMER-USD'!DB200/'02. Tỷ giá'!K$5,"-")</f>
        <v>-</v>
      </c>
      <c r="W200" s="106" t="str">
        <f>IFERROR(SUMIFS('01. KE30'!$K:$K,'01. KE30'!$C:$C,'06. BC BH THEO CUSTOMER-USD'!$D200,'01. KE30'!$F:$F,'06. BC BH THEO CUSTOMER-USD'!$H200,'01. KE30'!$A:$A,'06. BC BH THEO CUSTOMER-USD'!W$4)/'06. BC BH THEO CUSTOMER-USD'!DC200/'02. Tỷ giá'!L$5,"-")</f>
        <v>-</v>
      </c>
      <c r="X200" s="106" t="str">
        <f>IFERROR(SUMIFS('01. KE30'!$K:$K,'01. KE30'!$C:$C,'06. BC BH THEO CUSTOMER-USD'!$D200,'01. KE30'!$F:$F,'06. BC BH THEO CUSTOMER-USD'!$H200,'01. KE30'!$A:$A,'06. BC BH THEO CUSTOMER-USD'!X$4)/'06. BC BH THEO CUSTOMER-USD'!DD200/'02. Tỷ giá'!M$5,"-")</f>
        <v>-</v>
      </c>
      <c r="Z200" s="92">
        <f t="shared" si="2302"/>
        <v>580.72009291521488</v>
      </c>
      <c r="AA200" s="147" t="str">
        <f>IFERROR(SUMIFS('01. KE30'!$O:$O,'01. KE30'!$C:$C,'06. BC BH THEO CUSTOMER-USD'!$D200,'01. KE30'!$F:$F,'06. BC BH THEO CUSTOMER-USD'!$H200,'01. KE30'!$A:$A,'06. BC BH THEO CUSTOMER-USD'!M$4)/'06. BC BH THEO CUSTOMER-USD'!CS200/'02. Tỷ giá'!B$5,"-")</f>
        <v>-</v>
      </c>
      <c r="AB200" s="147" t="str">
        <f>IFERROR(SUMIFS('01. KE30'!$O:$O,'01. KE30'!$C:$C,'06. BC BH THEO CUSTOMER-USD'!$D200,'01. KE30'!$F:$F,'06. BC BH THEO CUSTOMER-USD'!$H200,'01. KE30'!$A:$A,'06. BC BH THEO CUSTOMER-USD'!N$4)/'06. BC BH THEO CUSTOMER-USD'!CT200/'02. Tỷ giá'!C$5,"-")</f>
        <v>-</v>
      </c>
      <c r="AC200" s="147" t="str">
        <f>IFERROR(SUMIFS('01. KE30'!$O:$O,'01. KE30'!$C:$C,'06. BC BH THEO CUSTOMER-USD'!$D200,'01. KE30'!$F:$F,'06. BC BH THEO CUSTOMER-USD'!$H200,'01. KE30'!$A:$A,'06. BC BH THEO CUSTOMER-USD'!O$4)/'06. BC BH THEO CUSTOMER-USD'!CU200/'02. Tỷ giá'!D$5,"-")</f>
        <v>-</v>
      </c>
      <c r="AD200" s="147">
        <f>IFERROR(SUMIFS('01. KE30'!$O:$O,'01. KE30'!$C:$C,'06. BC BH THEO CUSTOMER-USD'!$D200,'01. KE30'!$F:$F,'06. BC BH THEO CUSTOMER-USD'!$H200,'01. KE30'!$A:$A,'06. BC BH THEO CUSTOMER-USD'!P$4)/'06. BC BH THEO CUSTOMER-USD'!CV200/'02. Tỷ giá'!E$5,"-")</f>
        <v>580.72009291521488</v>
      </c>
      <c r="AE200" s="147" t="str">
        <f>IFERROR(SUMIFS('01. KE30'!$O:$O,'01. KE30'!$C:$C,'06. BC BH THEO CUSTOMER-USD'!$D200,'01. KE30'!$F:$F,'06. BC BH THEO CUSTOMER-USD'!$H200,'01. KE30'!$A:$A,'06. BC BH THEO CUSTOMER-USD'!Q$4)/'06. BC BH THEO CUSTOMER-USD'!CW200/'02. Tỷ giá'!F$5,"-")</f>
        <v>-</v>
      </c>
      <c r="AF200" s="147" t="str">
        <f>IFERROR(SUMIFS('01. KE30'!$O:$O,'01. KE30'!$C:$C,'06. BC BH THEO CUSTOMER-USD'!$D200,'01. KE30'!$F:$F,'06. BC BH THEO CUSTOMER-USD'!$H200,'01. KE30'!$A:$A,'06. BC BH THEO CUSTOMER-USD'!R$4)/'06. BC BH THEO CUSTOMER-USD'!CX200/'02. Tỷ giá'!G$5,"-")</f>
        <v>-</v>
      </c>
      <c r="AG200" s="147" t="str">
        <f>IFERROR(SUMIFS('01. KE30'!$O:$O,'01. KE30'!$C:$C,'06. BC BH THEO CUSTOMER-USD'!$D200,'01. KE30'!$F:$F,'06. BC BH THEO CUSTOMER-USD'!$H200,'01. KE30'!$A:$A,'06. BC BH THEO CUSTOMER-USD'!S$4)/'06. BC BH THEO CUSTOMER-USD'!CY200/'02. Tỷ giá'!H$5,"-")</f>
        <v>-</v>
      </c>
      <c r="AH200" s="147" t="str">
        <f>IFERROR(SUMIFS('01. KE30'!$O:$O,'01. KE30'!$C:$C,'06. BC BH THEO CUSTOMER-USD'!$D200,'01. KE30'!$F:$F,'06. BC BH THEO CUSTOMER-USD'!$H200,'01. KE30'!$A:$A,'06. BC BH THEO CUSTOMER-USD'!T$4)/'06. BC BH THEO CUSTOMER-USD'!CZ200/'02. Tỷ giá'!I$5,"-")</f>
        <v>-</v>
      </c>
      <c r="AI200" s="147" t="str">
        <f>IFERROR(SUMIFS('01. KE30'!$O:$O,'01. KE30'!$C:$C,'06. BC BH THEO CUSTOMER-USD'!$D200,'01. KE30'!$F:$F,'06. BC BH THEO CUSTOMER-USD'!$H200,'01. KE30'!$A:$A,'06. BC BH THEO CUSTOMER-USD'!U$4)/'06. BC BH THEO CUSTOMER-USD'!DA200/'02. Tỷ giá'!J$5,"-")</f>
        <v>-</v>
      </c>
      <c r="AJ200" s="147" t="str">
        <f>IFERROR(SUMIFS('01. KE30'!$O:$O,'01. KE30'!$C:$C,'06. BC BH THEO CUSTOMER-USD'!$D200,'01. KE30'!$F:$F,'06. BC BH THEO CUSTOMER-USD'!$H200,'01. KE30'!$A:$A,'06. BC BH THEO CUSTOMER-USD'!V$4)/'06. BC BH THEO CUSTOMER-USD'!DB200/'02. Tỷ giá'!K$5,"-")</f>
        <v>-</v>
      </c>
      <c r="AK200" s="147" t="str">
        <f>IFERROR(SUMIFS('01. KE30'!$O:$O,'01. KE30'!$C:$C,'06. BC BH THEO CUSTOMER-USD'!$D200,'01. KE30'!$F:$F,'06. BC BH THEO CUSTOMER-USD'!$H200,'01. KE30'!$A:$A,'06. BC BH THEO CUSTOMER-USD'!W$4)/'06. BC BH THEO CUSTOMER-USD'!DC200/'02. Tỷ giá'!L$5,"-")</f>
        <v>-</v>
      </c>
      <c r="AL200" s="147" t="str">
        <f>IFERROR(SUMIFS('01. KE30'!$O:$O,'01. KE30'!$C:$C,'06. BC BH THEO CUSTOMER-USD'!$D200,'01. KE30'!$F:$F,'06. BC BH THEO CUSTOMER-USD'!$H200,'01. KE30'!$A:$A,'06. BC BH THEO CUSTOMER-USD'!X$4)/'06. BC BH THEO CUSTOMER-USD'!DD200/'02. Tỷ giá'!M$5,"-")</f>
        <v>-</v>
      </c>
      <c r="AN200" s="55">
        <f t="shared" si="2303"/>
        <v>740.55555555555554</v>
      </c>
      <c r="AO200" s="4">
        <v>855</v>
      </c>
      <c r="AP200" s="4">
        <v>750</v>
      </c>
      <c r="AQ200" s="4">
        <v>750</v>
      </c>
      <c r="AR200" s="4">
        <v>750</v>
      </c>
      <c r="AS200" s="4">
        <v>720</v>
      </c>
      <c r="AT200" s="4">
        <v>720</v>
      </c>
      <c r="AU200" s="4">
        <v>720</v>
      </c>
      <c r="AV200" s="4">
        <f t="shared" si="2362"/>
        <v>700</v>
      </c>
      <c r="AW200" s="4">
        <v>700</v>
      </c>
      <c r="AX200" s="4"/>
      <c r="AY200" s="4"/>
      <c r="AZ200" s="4"/>
      <c r="BB200" s="95">
        <f t="shared" si="2304"/>
        <v>-159.83546264034067</v>
      </c>
      <c r="BC200" s="95" t="str">
        <f t="shared" si="2305"/>
        <v>-</v>
      </c>
      <c r="BD200" s="95" t="str">
        <f t="shared" si="2306"/>
        <v>-</v>
      </c>
      <c r="BE200" s="95" t="str">
        <f t="shared" si="2307"/>
        <v>-</v>
      </c>
      <c r="BF200" s="95">
        <f t="shared" si="2308"/>
        <v>-169.27990708478512</v>
      </c>
      <c r="BG200" s="95" t="str">
        <f t="shared" si="2309"/>
        <v>-</v>
      </c>
      <c r="BH200" s="95" t="str">
        <f t="shared" si="2310"/>
        <v>-</v>
      </c>
      <c r="BI200" s="95" t="str">
        <f t="shared" si="2311"/>
        <v>-</v>
      </c>
      <c r="BJ200" s="95" t="str">
        <f t="shared" si="2312"/>
        <v>-</v>
      </c>
      <c r="BK200" s="95" t="str">
        <f t="shared" si="2313"/>
        <v>-</v>
      </c>
      <c r="BL200" s="95" t="str">
        <f t="shared" si="2314"/>
        <v>-</v>
      </c>
      <c r="BM200" s="95" t="str">
        <f t="shared" si="2315"/>
        <v>-</v>
      </c>
      <c r="BN200" s="95" t="str">
        <f t="shared" si="2316"/>
        <v>-</v>
      </c>
      <c r="BP200" s="143">
        <f t="shared" si="2317"/>
        <v>-0.21583183252259056</v>
      </c>
      <c r="BQ200" s="143" t="str">
        <f t="shared" si="2318"/>
        <v>-</v>
      </c>
      <c r="BR200" s="143" t="str">
        <f t="shared" si="2319"/>
        <v>-</v>
      </c>
      <c r="BS200" s="143" t="str">
        <f t="shared" si="2320"/>
        <v>-</v>
      </c>
      <c r="BT200" s="143">
        <f t="shared" si="2321"/>
        <v>-0.2257065427797135</v>
      </c>
      <c r="BU200" s="143" t="str">
        <f t="shared" si="2322"/>
        <v>-</v>
      </c>
      <c r="BV200" s="143" t="str">
        <f t="shared" si="2323"/>
        <v>-</v>
      </c>
      <c r="BW200" s="143" t="str">
        <f t="shared" si="2324"/>
        <v>-</v>
      </c>
      <c r="BX200" s="143" t="str">
        <f t="shared" si="2325"/>
        <v>-</v>
      </c>
      <c r="BY200" s="143" t="str">
        <f t="shared" si="2326"/>
        <v>-</v>
      </c>
      <c r="BZ200" s="143" t="str">
        <f t="shared" si="2327"/>
        <v>-</v>
      </c>
      <c r="CA200" s="143" t="str">
        <f t="shared" si="2328"/>
        <v>-</v>
      </c>
      <c r="CB200" s="143" t="str">
        <f t="shared" si="2329"/>
        <v>-</v>
      </c>
      <c r="CD200" s="112">
        <f t="shared" si="2330"/>
        <v>1080.6674409601239</v>
      </c>
      <c r="CE200" s="95" t="str">
        <f>IFERROR(SUMIFS('01. KE30'!$R:$R,'01. KE30'!$C:$C,'06. BC BH THEO CUSTOMER-USD'!$D200,'01. KE30'!$F:$F,'06. BC BH THEO CUSTOMER-USD'!$H200,'01. KE30'!$A:$A,'06. BC BH THEO CUSTOMER-USD'!CE$4)/CS200/'02. Tỷ giá'!B$5," -")</f>
        <v xml:space="preserve"> -</v>
      </c>
      <c r="CF200" s="95" t="str">
        <f>IFERROR(SUMIFS('01. KE30'!$R:$R,'01. KE30'!$C:$C,'06. BC BH THEO CUSTOMER-USD'!$D200,'01. KE30'!$F:$F,'06. BC BH THEO CUSTOMER-USD'!$H200,'01. KE30'!$A:$A,'06. BC BH THEO CUSTOMER-USD'!CF$4)/CT200/'02. Tỷ giá'!C$5," -")</f>
        <v xml:space="preserve"> -</v>
      </c>
      <c r="CG200" s="95" t="str">
        <f>IFERROR(SUMIFS('01. KE30'!$R:$R,'01. KE30'!$C:$C,'06. BC BH THEO CUSTOMER-USD'!$D200,'01. KE30'!$F:$F,'06. BC BH THEO CUSTOMER-USD'!$H200,'01. KE30'!$A:$A,'06. BC BH THEO CUSTOMER-USD'!CG$4)/CU200/'02. Tỷ giá'!D$5," -")</f>
        <v xml:space="preserve"> -</v>
      </c>
      <c r="CH200" s="95">
        <f>IFERROR(SUMIFS('01. KE30'!$R:$R,'01. KE30'!$C:$C,'06. BC BH THEO CUSTOMER-USD'!$D200,'01. KE30'!$F:$F,'06. BC BH THEO CUSTOMER-USD'!$H200,'01. KE30'!$A:$A,'06. BC BH THEO CUSTOMER-USD'!CH$4)/CV200/'02. Tỷ giá'!E$5," -")</f>
        <v>1080.6674409601239</v>
      </c>
      <c r="CI200" s="95" t="str">
        <f>IFERROR(SUMIFS('01. KE30'!$R:$R,'01. KE30'!$C:$C,'06. BC BH THEO CUSTOMER-USD'!$D200,'01. KE30'!$F:$F,'06. BC BH THEO CUSTOMER-USD'!$H200,'01. KE30'!$A:$A,'06. BC BH THEO CUSTOMER-USD'!CI$4)/CW200/'02. Tỷ giá'!F$5," -")</f>
        <v xml:space="preserve"> -</v>
      </c>
      <c r="CJ200" s="95" t="str">
        <f>IFERROR(SUMIFS('01. KE30'!$R:$R,'01. KE30'!$C:$C,'06. BC BH THEO CUSTOMER-USD'!$D200,'01. KE30'!$F:$F,'06. BC BH THEO CUSTOMER-USD'!$H200,'01. KE30'!$A:$A,'06. BC BH THEO CUSTOMER-USD'!CJ$4)/CX200/'02. Tỷ giá'!G$5," -")</f>
        <v xml:space="preserve"> -</v>
      </c>
      <c r="CK200" s="95" t="str">
        <f>IFERROR(SUMIFS('01. KE30'!$R:$R,'01. KE30'!$C:$C,'06. BC BH THEO CUSTOMER-USD'!$D200,'01. KE30'!$F:$F,'06. BC BH THEO CUSTOMER-USD'!$H200,'01. KE30'!$A:$A,'06. BC BH THEO CUSTOMER-USD'!CK$4)/CY200/'02. Tỷ giá'!H$5," -")</f>
        <v xml:space="preserve"> -</v>
      </c>
      <c r="CL200" s="95" t="str">
        <f>IFERROR(SUMIFS('01. KE30'!$R:$R,'01. KE30'!$C:$C,'06. BC BH THEO CUSTOMER-USD'!$D200,'01. KE30'!$F:$F,'06. BC BH THEO CUSTOMER-USD'!$H200,'01. KE30'!$A:$A,'06. BC BH THEO CUSTOMER-USD'!CL$4)/CZ200/'02. Tỷ giá'!I$5," -")</f>
        <v xml:space="preserve"> -</v>
      </c>
      <c r="CM200" s="95" t="str">
        <f>IFERROR(SUMIFS('01. KE30'!$R:$R,'01. KE30'!$C:$C,'06. BC BH THEO CUSTOMER-USD'!$D200,'01. KE30'!$F:$F,'06. BC BH THEO CUSTOMER-USD'!$H200,'01. KE30'!$A:$A,'06. BC BH THEO CUSTOMER-USD'!CM$4)/DA200/'02. Tỷ giá'!J$5," -")</f>
        <v xml:space="preserve"> -</v>
      </c>
      <c r="CN200" s="95" t="str">
        <f>IFERROR(SUMIFS('01. KE30'!$R:$R,'01. KE30'!$C:$C,'06. BC BH THEO CUSTOMER-USD'!$D200,'01. KE30'!$F:$F,'06. BC BH THEO CUSTOMER-USD'!$H200,'01. KE30'!$A:$A,'06. BC BH THEO CUSTOMER-USD'!CN$4)/DB200/'02. Tỷ giá'!K$5," -")</f>
        <v xml:space="preserve"> -</v>
      </c>
      <c r="CO200" s="95" t="str">
        <f>IFERROR(SUMIFS('01. KE30'!$R:$R,'01. KE30'!$C:$C,'06. BC BH THEO CUSTOMER-USD'!$D200,'01. KE30'!$F:$F,'06. BC BH THEO CUSTOMER-USD'!$H200,'01. KE30'!$A:$A,'06. BC BH THEO CUSTOMER-USD'!CO$4)/DC200/'02. Tỷ giá'!L$5," -")</f>
        <v xml:space="preserve"> -</v>
      </c>
      <c r="CP200" s="95" t="str">
        <f>IFERROR(SUMIFS('01. KE30'!$R:$R,'01. KE30'!$C:$C,'06. BC BH THEO CUSTOMER-USD'!$D200,'01. KE30'!$F:$F,'06. BC BH THEO CUSTOMER-USD'!$H200,'01. KE30'!$A:$A,'06. BC BH THEO CUSTOMER-USD'!CP$4)/DD200/'02. Tỷ giá'!M$5," -")</f>
        <v xml:space="preserve"> -</v>
      </c>
      <c r="CR200" s="112">
        <f t="shared" si="2331"/>
        <v>2.5000000000000001E-2</v>
      </c>
      <c r="CS200" s="114">
        <f>SUMIFS('01. KE30'!$I:$I,'01. KE30'!$C:$C,'06. BC BH THEO CUSTOMER-USD'!$D200,'01. KE30'!$F:$F,'06. BC BH THEO CUSTOMER-USD'!$H200,'01. KE30'!$A:$A,'06. BC BH THEO CUSTOMER-USD'!CS$4)/1000</f>
        <v>0</v>
      </c>
      <c r="CT200" s="114">
        <f>SUMIFS('01. KE30'!$I:$I,'01. KE30'!$C:$C,'06. BC BH THEO CUSTOMER-USD'!$D200,'01. KE30'!$F:$F,'06. BC BH THEO CUSTOMER-USD'!$H200,'01. KE30'!$A:$A,'06. BC BH THEO CUSTOMER-USD'!CT$4)/1000</f>
        <v>0</v>
      </c>
      <c r="CU200" s="114">
        <f>SUMIFS('01. KE30'!$I:$I,'01. KE30'!$C:$C,'06. BC BH THEO CUSTOMER-USD'!$D200,'01. KE30'!$F:$F,'06. BC BH THEO CUSTOMER-USD'!$H200,'01. KE30'!$A:$A,'06. BC BH THEO CUSTOMER-USD'!CU$4)/1000</f>
        <v>0</v>
      </c>
      <c r="CV200" s="114">
        <f>SUMIFS('01. KE30'!$I:$I,'01. KE30'!$C:$C,'06. BC BH THEO CUSTOMER-USD'!$D200,'01. KE30'!$F:$F,'06. BC BH THEO CUSTOMER-USD'!$H200,'01. KE30'!$A:$A,'06. BC BH THEO CUSTOMER-USD'!CV$4)/1000</f>
        <v>2.5000000000000001E-2</v>
      </c>
      <c r="CW200" s="114">
        <f>SUMIFS('01. KE30'!$I:$I,'01. KE30'!$C:$C,'06. BC BH THEO CUSTOMER-USD'!$D200,'01. KE30'!$F:$F,'06. BC BH THEO CUSTOMER-USD'!$H200,'01. KE30'!$A:$A,'06. BC BH THEO CUSTOMER-USD'!CW$4)/1000</f>
        <v>0</v>
      </c>
      <c r="CX200" s="114">
        <f>SUMIFS('01. KE30'!$I:$I,'01. KE30'!$C:$C,'06. BC BH THEO CUSTOMER-USD'!$D200,'01. KE30'!$F:$F,'06. BC BH THEO CUSTOMER-USD'!$H200,'01. KE30'!$A:$A,'06. BC BH THEO CUSTOMER-USD'!CX$4)/1000</f>
        <v>0</v>
      </c>
      <c r="CY200" s="114">
        <f>SUMIFS('01. KE30'!$I:$I,'01. KE30'!$C:$C,'06. BC BH THEO CUSTOMER-USD'!$D200,'01. KE30'!$F:$F,'06. BC BH THEO CUSTOMER-USD'!$H200,'01. KE30'!$A:$A,'06. BC BH THEO CUSTOMER-USD'!CY$4)/1000</f>
        <v>0</v>
      </c>
      <c r="CZ200" s="114">
        <f>SUMIFS('01. KE30'!$I:$I,'01. KE30'!$C:$C,'06. BC BH THEO CUSTOMER-USD'!$D200,'01. KE30'!$F:$F,'06. BC BH THEO CUSTOMER-USD'!$H200,'01. KE30'!$A:$A,'06. BC BH THEO CUSTOMER-USD'!CZ$4)/1000</f>
        <v>0</v>
      </c>
      <c r="DA200" s="114">
        <f>SUMIFS('01. KE30'!$I:$I,'01. KE30'!$C:$C,'06. BC BH THEO CUSTOMER-USD'!$D200,'01. KE30'!$F:$F,'06. BC BH THEO CUSTOMER-USD'!$H200,'01. KE30'!$A:$A,'06. BC BH THEO CUSTOMER-USD'!DA$4)/1000</f>
        <v>0</v>
      </c>
      <c r="DB200" s="114">
        <f>SUMIFS('01. KE30'!$I:$I,'01. KE30'!$C:$C,'06. BC BH THEO CUSTOMER-USD'!$D200,'01. KE30'!$F:$F,'06. BC BH THEO CUSTOMER-USD'!$H200,'01. KE30'!$A:$A,'06. BC BH THEO CUSTOMER-USD'!DB$4)/1000</f>
        <v>0</v>
      </c>
      <c r="DC200" s="114">
        <f>SUMIFS('01. KE30'!$I:$I,'01. KE30'!$C:$C,'06. BC BH THEO CUSTOMER-USD'!$D200,'01. KE30'!$F:$F,'06. BC BH THEO CUSTOMER-USD'!$H200,'01. KE30'!$A:$A,'06. BC BH THEO CUSTOMER-USD'!DC$4)/1000</f>
        <v>0</v>
      </c>
      <c r="DD200" s="114">
        <f>SUMIFS('01. KE30'!$I:$I,'01. KE30'!$C:$C,'06. BC BH THEO CUSTOMER-USD'!$D200,'01. KE30'!$F:$F,'06. BC BH THEO CUSTOMER-USD'!$H200,'01. KE30'!$A:$A,'06. BC BH THEO CUSTOMER-USD'!DD$4)/1000</f>
        <v>0</v>
      </c>
      <c r="DF200" s="112">
        <f t="shared" si="2332"/>
        <v>14.518002322880372</v>
      </c>
      <c r="DG200" s="54" t="str">
        <f t="shared" si="2333"/>
        <v>-</v>
      </c>
      <c r="DH200" s="54" t="str">
        <f t="shared" si="2334"/>
        <v>-</v>
      </c>
      <c r="DI200" s="54" t="str">
        <f t="shared" si="2335"/>
        <v>-</v>
      </c>
      <c r="DJ200" s="54">
        <f t="shared" si="2336"/>
        <v>14.518002322880372</v>
      </c>
      <c r="DK200" s="54" t="str">
        <f t="shared" si="2337"/>
        <v>-</v>
      </c>
      <c r="DL200" s="54" t="str">
        <f t="shared" si="2338"/>
        <v>-</v>
      </c>
      <c r="DM200" s="54" t="str">
        <f t="shared" si="2339"/>
        <v>-</v>
      </c>
      <c r="DN200" s="54" t="str">
        <f t="shared" si="2340"/>
        <v>-</v>
      </c>
      <c r="DO200" s="54" t="str">
        <f t="shared" si="2341"/>
        <v>-</v>
      </c>
      <c r="DP200" s="54" t="str">
        <f t="shared" si="2342"/>
        <v>-</v>
      </c>
      <c r="DQ200" s="54" t="str">
        <f t="shared" si="2343"/>
        <v>-</v>
      </c>
      <c r="DR200" s="54" t="str">
        <f t="shared" si="2344"/>
        <v>-</v>
      </c>
      <c r="DT200" s="112">
        <f t="shared" si="2345"/>
        <v>-12.498683701122724</v>
      </c>
      <c r="DU200" s="114">
        <f>IFERROR(SUMIFS('01. KE30'!$X:$X,'01. KE30'!$C:$C,'06. BC BH THEO CUSTOMER-USD'!$D200,'01. KE30'!$F:$F,'06. BC BH THEO CUSTOMER-USD'!$H200,'01. KE30'!$A:$A,'06. BC BH THEO CUSTOMER-USD'!DU$4)-SUMIFS('01. KE30'!$AA:$AA,'01. KE30'!$C:$C,'06. BC BH THEO CUSTOMER-USD'!$D200,'01. KE30'!$F:$F,'06. BC BH THEO CUSTOMER-USD'!$H200,'01. KE30'!$A:$A,'06. BC BH THEO CUSTOMER-USD'!DU$4),"-")</f>
        <v>0</v>
      </c>
      <c r="DV200" s="114">
        <f>IFERROR(SUMIFS('01. KE30'!$X:$X,'01. KE30'!$C:$C,'06. BC BH THEO CUSTOMER-USD'!$D200,'01. KE30'!$F:$F,'06. BC BH THEO CUSTOMER-USD'!$H200,'01. KE30'!$A:$A,'06. BC BH THEO CUSTOMER-USD'!DV$4)-SUMIFS('01. KE30'!$AA:$AA,'01. KE30'!$C:$C,'06. BC BH THEO CUSTOMER-USD'!$D200,'01. KE30'!$F:$F,'06. BC BH THEO CUSTOMER-USD'!$H200,'01. KE30'!$A:$A,'06. BC BH THEO CUSTOMER-USD'!DV$4),"-")</f>
        <v>0</v>
      </c>
      <c r="DW200" s="114">
        <f>IFERROR(SUMIFS('01. KE30'!$X:$X,'01. KE30'!$C:$C,'06. BC BH THEO CUSTOMER-USD'!$D200,'01. KE30'!$F:$F,'06. BC BH THEO CUSTOMER-USD'!$H200,'01. KE30'!$A:$A,'06. BC BH THEO CUSTOMER-USD'!DW$4)-SUMIFS('01. KE30'!$AA:$AA,'01. KE30'!$C:$C,'06. BC BH THEO CUSTOMER-USD'!$D200,'01. KE30'!$F:$F,'06. BC BH THEO CUSTOMER-USD'!$H200,'01. KE30'!$A:$A,'06. BC BH THEO CUSTOMER-USD'!DW$4),"-")</f>
        <v>0</v>
      </c>
      <c r="DX200" s="114">
        <f>IFERROR(SUMIFS('01. KE30'!$X:$X,'01. KE30'!$C:$C,'06. BC BH THEO CUSTOMER-USD'!$D200,'01. KE30'!$F:$F,'06. BC BH THEO CUSTOMER-USD'!$H200,'01. KE30'!$A:$A,'06. BC BH THEO CUSTOMER-USD'!DX$4)-SUMIFS('01. KE30'!$AA:$AA,'01. KE30'!$C:$C,'06. BC BH THEO CUSTOMER-USD'!$D200,'01. KE30'!$F:$F,'06. BC BH THEO CUSTOMER-USD'!$H200,'01. KE30'!$A:$A,'06. BC BH THEO CUSTOMER-USD'!DX$4),"-")</f>
        <v>-12.498683701122724</v>
      </c>
      <c r="DY200" s="114">
        <f>IFERROR(SUMIFS('01. KE30'!$X:$X,'01. KE30'!$C:$C,'06. BC BH THEO CUSTOMER-USD'!$D200,'01. KE30'!$F:$F,'06. BC BH THEO CUSTOMER-USD'!$H200,'01. KE30'!$A:$A,'06. BC BH THEO CUSTOMER-USD'!DY$4)-SUMIFS('01. KE30'!$AA:$AA,'01. KE30'!$C:$C,'06. BC BH THEO CUSTOMER-USD'!$D200,'01. KE30'!$F:$F,'06. BC BH THEO CUSTOMER-USD'!$H200,'01. KE30'!$A:$A,'06. BC BH THEO CUSTOMER-USD'!DY$4),"-")</f>
        <v>0</v>
      </c>
      <c r="DZ200" s="114">
        <f>IFERROR(SUMIFS('01. KE30'!$X:$X,'01. KE30'!$C:$C,'06. BC BH THEO CUSTOMER-USD'!$D200,'01. KE30'!$F:$F,'06. BC BH THEO CUSTOMER-USD'!$H200,'01. KE30'!$A:$A,'06. BC BH THEO CUSTOMER-USD'!DZ$4)-SUMIFS('01. KE30'!$AA:$AA,'01. KE30'!$C:$C,'06. BC BH THEO CUSTOMER-USD'!$D200,'01. KE30'!$F:$F,'06. BC BH THEO CUSTOMER-USD'!$H200,'01. KE30'!$A:$A,'06. BC BH THEO CUSTOMER-USD'!DZ$4),"-")</f>
        <v>0</v>
      </c>
      <c r="EA200" s="114">
        <f>IFERROR(SUMIFS('01. KE30'!$X:$X,'01. KE30'!$C:$C,'06. BC BH THEO CUSTOMER-USD'!$D200,'01. KE30'!$F:$F,'06. BC BH THEO CUSTOMER-USD'!$H200,'01. KE30'!$A:$A,'06. BC BH THEO CUSTOMER-USD'!EA$4)-SUMIFS('01. KE30'!$AA:$AA,'01. KE30'!$C:$C,'06. BC BH THEO CUSTOMER-USD'!$D200,'01. KE30'!$F:$F,'06. BC BH THEO CUSTOMER-USD'!$H200,'01. KE30'!$A:$A,'06. BC BH THEO CUSTOMER-USD'!EA$4),"-")</f>
        <v>0</v>
      </c>
      <c r="EB200" s="114">
        <f>IFERROR(SUMIFS('01. KE30'!$X:$X,'01. KE30'!$C:$C,'06. BC BH THEO CUSTOMER-USD'!$D200,'01. KE30'!$F:$F,'06. BC BH THEO CUSTOMER-USD'!$H200,'01. KE30'!$A:$A,'06. BC BH THEO CUSTOMER-USD'!EB$4)-SUMIFS('01. KE30'!$AA:$AA,'01. KE30'!$C:$C,'06. BC BH THEO CUSTOMER-USD'!$D200,'01. KE30'!$F:$F,'06. BC BH THEO CUSTOMER-USD'!$H200,'01. KE30'!$A:$A,'06. BC BH THEO CUSTOMER-USD'!EB$4),"-")</f>
        <v>0</v>
      </c>
      <c r="EC200" s="114">
        <f>IFERROR(SUMIFS('01. KE30'!$X:$X,'01. KE30'!$C:$C,'06. BC BH THEO CUSTOMER-USD'!$D200,'01. KE30'!$F:$F,'06. BC BH THEO CUSTOMER-USD'!$H200,'01. KE30'!$A:$A,'06. BC BH THEO CUSTOMER-USD'!EC$4)-SUMIFS('01. KE30'!$AA:$AA,'01. KE30'!$C:$C,'06. BC BH THEO CUSTOMER-USD'!$D200,'01. KE30'!$F:$F,'06. BC BH THEO CUSTOMER-USD'!$H200,'01. KE30'!$A:$A,'06. BC BH THEO CUSTOMER-USD'!EC$4),"-")</f>
        <v>0</v>
      </c>
      <c r="ED200" s="114">
        <f>IFERROR(SUMIFS('01. KE30'!$X:$X,'01. KE30'!$C:$C,'06. BC BH THEO CUSTOMER-USD'!$D200,'01. KE30'!$F:$F,'06. BC BH THEO CUSTOMER-USD'!$H200,'01. KE30'!$A:$A,'06. BC BH THEO CUSTOMER-USD'!ED$4)-SUMIFS('01. KE30'!$AA:$AA,'01. KE30'!$C:$C,'06. BC BH THEO CUSTOMER-USD'!$D200,'01. KE30'!$F:$F,'06. BC BH THEO CUSTOMER-USD'!$H200,'01. KE30'!$A:$A,'06. BC BH THEO CUSTOMER-USD'!ED$4),"-")</f>
        <v>0</v>
      </c>
      <c r="EE200" s="114">
        <f>IFERROR(SUMIFS('01. KE30'!$X:$X,'01. KE30'!$C:$C,'06. BC BH THEO CUSTOMER-USD'!$D200,'01. KE30'!$F:$F,'06. BC BH THEO CUSTOMER-USD'!$H200,'01. KE30'!$A:$A,'06. BC BH THEO CUSTOMER-USD'!EE$4)-SUMIFS('01. KE30'!$AA:$AA,'01. KE30'!$C:$C,'06. BC BH THEO CUSTOMER-USD'!$D200,'01. KE30'!$F:$F,'06. BC BH THEO CUSTOMER-USD'!$H200,'01. KE30'!$A:$A,'06. BC BH THEO CUSTOMER-USD'!EE$4),"-")</f>
        <v>0</v>
      </c>
      <c r="EF200" s="114">
        <f>IFERROR(SUMIFS('01. KE30'!$X:$X,'01. KE30'!$C:$C,'06. BC BH THEO CUSTOMER-USD'!$D200,'01. KE30'!$F:$F,'06. BC BH THEO CUSTOMER-USD'!$H200,'01. KE30'!$A:$A,'06. BC BH THEO CUSTOMER-USD'!EF$4)-SUMIFS('01. KE30'!$AA:$AA,'01. KE30'!$C:$C,'06. BC BH THEO CUSTOMER-USD'!$D200,'01. KE30'!$F:$F,'06. BC BH THEO CUSTOMER-USD'!$H200,'01. KE30'!$A:$A,'06. BC BH THEO CUSTOMER-USD'!EF$4),"-")</f>
        <v>0</v>
      </c>
      <c r="EH200" s="571">
        <f t="shared" si="2346"/>
        <v>-0.86090933333333319</v>
      </c>
      <c r="EI200" s="572" t="str">
        <f t="shared" si="2347"/>
        <v>-</v>
      </c>
      <c r="EJ200" s="572" t="str">
        <f t="shared" si="2348"/>
        <v>-</v>
      </c>
      <c r="EK200" s="572" t="str">
        <f t="shared" si="2349"/>
        <v>-</v>
      </c>
      <c r="EL200" s="572">
        <f t="shared" si="2350"/>
        <v>-0.86090933333333319</v>
      </c>
      <c r="EM200" s="572" t="str">
        <f t="shared" si="2351"/>
        <v>-</v>
      </c>
      <c r="EN200" s="572" t="str">
        <f t="shared" si="2352"/>
        <v>-</v>
      </c>
      <c r="EO200" s="572" t="str">
        <f t="shared" si="2353"/>
        <v>-</v>
      </c>
      <c r="EP200" s="572" t="str">
        <f t="shared" si="2354"/>
        <v>-</v>
      </c>
      <c r="EQ200" s="572" t="str">
        <f t="shared" si="2355"/>
        <v>-</v>
      </c>
      <c r="ER200" s="572" t="str">
        <f t="shared" si="2356"/>
        <v>-</v>
      </c>
      <c r="ES200" s="572" t="str">
        <f t="shared" si="2357"/>
        <v>-</v>
      </c>
      <c r="ET200" s="572" t="str">
        <f t="shared" si="2358"/>
        <v>-</v>
      </c>
    </row>
    <row r="201" spans="1:150" ht="15.5" hidden="1" outlineLevel="1" x14ac:dyDescent="0.35">
      <c r="A201" s="10">
        <f t="shared" si="2477"/>
        <v>8</v>
      </c>
      <c r="B201" s="10" t="s">
        <v>295</v>
      </c>
      <c r="C201" s="442" t="s">
        <v>489</v>
      </c>
      <c r="D201" s="9" t="s">
        <v>710</v>
      </c>
      <c r="E201" s="8" t="s">
        <v>732</v>
      </c>
      <c r="F201" s="12" t="s">
        <v>245</v>
      </c>
      <c r="G201" s="12" t="str">
        <f>_xlfn.XLOOKUP(F201,'Quy đổi'!$G$5:$G$32,'Quy đổi'!$H$5:$H$32,0)</f>
        <v>Nội địa</v>
      </c>
      <c r="H201" s="80" t="s">
        <v>536</v>
      </c>
      <c r="I201" s="20" t="s">
        <v>537</v>
      </c>
      <c r="J201" s="69" t="s">
        <v>22</v>
      </c>
      <c r="K201" s="5"/>
      <c r="L201" s="92">
        <f t="shared" si="2301"/>
        <v>580.72009291521488</v>
      </c>
      <c r="M201" s="106" t="str">
        <f>IFERROR(SUMIFS('01. KE30'!$K:$K,'01. KE30'!$C:$C,'06. BC BH THEO CUSTOMER-USD'!$D201,'01. KE30'!$F:$F,'06. BC BH THEO CUSTOMER-USD'!$H201,'01. KE30'!$A:$A,'06. BC BH THEO CUSTOMER-USD'!M$4)/'06. BC BH THEO CUSTOMER-USD'!CS201/'02. Tỷ giá'!B$5,"-")</f>
        <v>-</v>
      </c>
      <c r="N201" s="106" t="str">
        <f>IFERROR(SUMIFS('01. KE30'!$K:$K,'01. KE30'!$C:$C,'06. BC BH THEO CUSTOMER-USD'!$D201,'01. KE30'!$F:$F,'06. BC BH THEO CUSTOMER-USD'!$H201,'01. KE30'!$A:$A,'06. BC BH THEO CUSTOMER-USD'!N$4)/'06. BC BH THEO CUSTOMER-USD'!CT201/'02. Tỷ giá'!C$5,"-")</f>
        <v>-</v>
      </c>
      <c r="O201" s="106" t="str">
        <f>IFERROR(SUMIFS('01. KE30'!$K:$K,'01. KE30'!$C:$C,'06. BC BH THEO CUSTOMER-USD'!$D201,'01. KE30'!$F:$F,'06. BC BH THEO CUSTOMER-USD'!$H201,'01. KE30'!$A:$A,'06. BC BH THEO CUSTOMER-USD'!O$4)/'06. BC BH THEO CUSTOMER-USD'!CU201/'02. Tỷ giá'!D$5,"-")</f>
        <v>-</v>
      </c>
      <c r="P201" s="106">
        <f>IFERROR(SUMIFS('01. KE30'!$K:$K,'01. KE30'!$C:$C,'06. BC BH THEO CUSTOMER-USD'!$D201,'01. KE30'!$F:$F,'06. BC BH THEO CUSTOMER-USD'!$H201,'01. KE30'!$A:$A,'06. BC BH THEO CUSTOMER-USD'!P$4)/'06. BC BH THEO CUSTOMER-USD'!CV201/'02. Tỷ giá'!E$5,"-")</f>
        <v>580.72009291521488</v>
      </c>
      <c r="Q201" s="106" t="str">
        <f>IFERROR(SUMIFS('01. KE30'!$K:$K,'01. KE30'!$C:$C,'06. BC BH THEO CUSTOMER-USD'!$D201,'01. KE30'!$F:$F,'06. BC BH THEO CUSTOMER-USD'!$H201,'01. KE30'!$A:$A,'06. BC BH THEO CUSTOMER-USD'!Q$4)/'06. BC BH THEO CUSTOMER-USD'!CW201/'02. Tỷ giá'!F$5,"-")</f>
        <v>-</v>
      </c>
      <c r="R201" s="106" t="str">
        <f>IFERROR(SUMIFS('01. KE30'!$K:$K,'01. KE30'!$C:$C,'06. BC BH THEO CUSTOMER-USD'!$D201,'01. KE30'!$F:$F,'06. BC BH THEO CUSTOMER-USD'!$H201,'01. KE30'!$A:$A,'06. BC BH THEO CUSTOMER-USD'!R$4)/'06. BC BH THEO CUSTOMER-USD'!CX201/'02. Tỷ giá'!G$5,"-")</f>
        <v>-</v>
      </c>
      <c r="S201" s="106" t="str">
        <f>IFERROR(SUMIFS('01. KE30'!$K:$K,'01. KE30'!$C:$C,'06. BC BH THEO CUSTOMER-USD'!$D201,'01. KE30'!$F:$F,'06. BC BH THEO CUSTOMER-USD'!$H201,'01. KE30'!$A:$A,'06. BC BH THEO CUSTOMER-USD'!S$4)/'06. BC BH THEO CUSTOMER-USD'!CY201/'02. Tỷ giá'!H$5,"-")</f>
        <v>-</v>
      </c>
      <c r="T201" s="106" t="str">
        <f>IFERROR(SUMIFS('01. KE30'!$K:$K,'01. KE30'!$C:$C,'06. BC BH THEO CUSTOMER-USD'!$D201,'01. KE30'!$F:$F,'06. BC BH THEO CUSTOMER-USD'!$H201,'01. KE30'!$A:$A,'06. BC BH THEO CUSTOMER-USD'!T$4)/'06. BC BH THEO CUSTOMER-USD'!CZ201/'02. Tỷ giá'!I$5,"-")</f>
        <v>-</v>
      </c>
      <c r="U201" s="106" t="str">
        <f>IFERROR(SUMIFS('01. KE30'!$K:$K,'01. KE30'!$C:$C,'06. BC BH THEO CUSTOMER-USD'!$D201,'01. KE30'!$F:$F,'06. BC BH THEO CUSTOMER-USD'!$H201,'01. KE30'!$A:$A,'06. BC BH THEO CUSTOMER-USD'!U$4)/'06. BC BH THEO CUSTOMER-USD'!DA201/'02. Tỷ giá'!J$5,"-")</f>
        <v>-</v>
      </c>
      <c r="V201" s="106" t="str">
        <f>IFERROR(SUMIFS('01. KE30'!$K:$K,'01. KE30'!$C:$C,'06. BC BH THEO CUSTOMER-USD'!$D201,'01. KE30'!$F:$F,'06. BC BH THEO CUSTOMER-USD'!$H201,'01. KE30'!$A:$A,'06. BC BH THEO CUSTOMER-USD'!V$4)/'06. BC BH THEO CUSTOMER-USD'!DB201/'02. Tỷ giá'!K$5,"-")</f>
        <v>-</v>
      </c>
      <c r="W201" s="106" t="str">
        <f>IFERROR(SUMIFS('01. KE30'!$K:$K,'01. KE30'!$C:$C,'06. BC BH THEO CUSTOMER-USD'!$D201,'01. KE30'!$F:$F,'06. BC BH THEO CUSTOMER-USD'!$H201,'01. KE30'!$A:$A,'06. BC BH THEO CUSTOMER-USD'!W$4)/'06. BC BH THEO CUSTOMER-USD'!DC201/'02. Tỷ giá'!L$5,"-")</f>
        <v>-</v>
      </c>
      <c r="X201" s="106" t="str">
        <f>IFERROR(SUMIFS('01. KE30'!$K:$K,'01. KE30'!$C:$C,'06. BC BH THEO CUSTOMER-USD'!$D201,'01. KE30'!$F:$F,'06. BC BH THEO CUSTOMER-USD'!$H201,'01. KE30'!$A:$A,'06. BC BH THEO CUSTOMER-USD'!X$4)/'06. BC BH THEO CUSTOMER-USD'!DD201/'02. Tỷ giá'!M$5,"-")</f>
        <v>-</v>
      </c>
      <c r="Z201" s="92">
        <f t="shared" si="2302"/>
        <v>580.72009291521488</v>
      </c>
      <c r="AA201" s="147" t="str">
        <f>IFERROR(SUMIFS('01. KE30'!$O:$O,'01. KE30'!$C:$C,'06. BC BH THEO CUSTOMER-USD'!$D201,'01. KE30'!$F:$F,'06. BC BH THEO CUSTOMER-USD'!$H201,'01. KE30'!$A:$A,'06. BC BH THEO CUSTOMER-USD'!M$4)/'06. BC BH THEO CUSTOMER-USD'!CS201/'02. Tỷ giá'!B$5,"-")</f>
        <v>-</v>
      </c>
      <c r="AB201" s="147" t="str">
        <f>IFERROR(SUMIFS('01. KE30'!$O:$O,'01. KE30'!$C:$C,'06. BC BH THEO CUSTOMER-USD'!$D201,'01. KE30'!$F:$F,'06. BC BH THEO CUSTOMER-USD'!$H201,'01. KE30'!$A:$A,'06. BC BH THEO CUSTOMER-USD'!N$4)/'06. BC BH THEO CUSTOMER-USD'!CT201/'02. Tỷ giá'!C$5,"-")</f>
        <v>-</v>
      </c>
      <c r="AC201" s="147" t="str">
        <f>IFERROR(SUMIFS('01. KE30'!$O:$O,'01. KE30'!$C:$C,'06. BC BH THEO CUSTOMER-USD'!$D201,'01. KE30'!$F:$F,'06. BC BH THEO CUSTOMER-USD'!$H201,'01. KE30'!$A:$A,'06. BC BH THEO CUSTOMER-USD'!O$4)/'06. BC BH THEO CUSTOMER-USD'!CU201/'02. Tỷ giá'!D$5,"-")</f>
        <v>-</v>
      </c>
      <c r="AD201" s="147">
        <f>IFERROR(SUMIFS('01. KE30'!$O:$O,'01. KE30'!$C:$C,'06. BC BH THEO CUSTOMER-USD'!$D201,'01. KE30'!$F:$F,'06. BC BH THEO CUSTOMER-USD'!$H201,'01. KE30'!$A:$A,'06. BC BH THEO CUSTOMER-USD'!P$4)/'06. BC BH THEO CUSTOMER-USD'!CV201/'02. Tỷ giá'!E$5,"-")</f>
        <v>580.72009291521488</v>
      </c>
      <c r="AE201" s="147" t="str">
        <f>IFERROR(SUMIFS('01. KE30'!$O:$O,'01. KE30'!$C:$C,'06. BC BH THEO CUSTOMER-USD'!$D201,'01. KE30'!$F:$F,'06. BC BH THEO CUSTOMER-USD'!$H201,'01. KE30'!$A:$A,'06. BC BH THEO CUSTOMER-USD'!Q$4)/'06. BC BH THEO CUSTOMER-USD'!CW201/'02. Tỷ giá'!F$5,"-")</f>
        <v>-</v>
      </c>
      <c r="AF201" s="147" t="str">
        <f>IFERROR(SUMIFS('01. KE30'!$O:$O,'01. KE30'!$C:$C,'06. BC BH THEO CUSTOMER-USD'!$D201,'01. KE30'!$F:$F,'06. BC BH THEO CUSTOMER-USD'!$H201,'01. KE30'!$A:$A,'06. BC BH THEO CUSTOMER-USD'!R$4)/'06. BC BH THEO CUSTOMER-USD'!CX201/'02. Tỷ giá'!G$5,"-")</f>
        <v>-</v>
      </c>
      <c r="AG201" s="147" t="str">
        <f>IFERROR(SUMIFS('01. KE30'!$O:$O,'01. KE30'!$C:$C,'06. BC BH THEO CUSTOMER-USD'!$D201,'01. KE30'!$F:$F,'06. BC BH THEO CUSTOMER-USD'!$H201,'01. KE30'!$A:$A,'06. BC BH THEO CUSTOMER-USD'!S$4)/'06. BC BH THEO CUSTOMER-USD'!CY201/'02. Tỷ giá'!H$5,"-")</f>
        <v>-</v>
      </c>
      <c r="AH201" s="147" t="str">
        <f>IFERROR(SUMIFS('01. KE30'!$O:$O,'01. KE30'!$C:$C,'06. BC BH THEO CUSTOMER-USD'!$D201,'01. KE30'!$F:$F,'06. BC BH THEO CUSTOMER-USD'!$H201,'01. KE30'!$A:$A,'06. BC BH THEO CUSTOMER-USD'!T$4)/'06. BC BH THEO CUSTOMER-USD'!CZ201/'02. Tỷ giá'!I$5,"-")</f>
        <v>-</v>
      </c>
      <c r="AI201" s="147" t="str">
        <f>IFERROR(SUMIFS('01. KE30'!$O:$O,'01. KE30'!$C:$C,'06. BC BH THEO CUSTOMER-USD'!$D201,'01. KE30'!$F:$F,'06. BC BH THEO CUSTOMER-USD'!$H201,'01. KE30'!$A:$A,'06. BC BH THEO CUSTOMER-USD'!U$4)/'06. BC BH THEO CUSTOMER-USD'!DA201/'02. Tỷ giá'!J$5,"-")</f>
        <v>-</v>
      </c>
      <c r="AJ201" s="147" t="str">
        <f>IFERROR(SUMIFS('01. KE30'!$O:$O,'01. KE30'!$C:$C,'06. BC BH THEO CUSTOMER-USD'!$D201,'01. KE30'!$F:$F,'06. BC BH THEO CUSTOMER-USD'!$H201,'01. KE30'!$A:$A,'06. BC BH THEO CUSTOMER-USD'!V$4)/'06. BC BH THEO CUSTOMER-USD'!DB201/'02. Tỷ giá'!K$5,"-")</f>
        <v>-</v>
      </c>
      <c r="AK201" s="147" t="str">
        <f>IFERROR(SUMIFS('01. KE30'!$O:$O,'01. KE30'!$C:$C,'06. BC BH THEO CUSTOMER-USD'!$D201,'01. KE30'!$F:$F,'06. BC BH THEO CUSTOMER-USD'!$H201,'01. KE30'!$A:$A,'06. BC BH THEO CUSTOMER-USD'!W$4)/'06. BC BH THEO CUSTOMER-USD'!DC201/'02. Tỷ giá'!L$5,"-")</f>
        <v>-</v>
      </c>
      <c r="AL201" s="147" t="str">
        <f>IFERROR(SUMIFS('01. KE30'!$O:$O,'01. KE30'!$C:$C,'06. BC BH THEO CUSTOMER-USD'!$D201,'01. KE30'!$F:$F,'06. BC BH THEO CUSTOMER-USD'!$H201,'01. KE30'!$A:$A,'06. BC BH THEO CUSTOMER-USD'!X$4)/'06. BC BH THEO CUSTOMER-USD'!DD201/'02. Tỷ giá'!M$5,"-")</f>
        <v>-</v>
      </c>
      <c r="AN201" s="55">
        <f t="shared" si="2303"/>
        <v>740.55555555555554</v>
      </c>
      <c r="AO201" s="4">
        <v>855</v>
      </c>
      <c r="AP201" s="4">
        <v>750</v>
      </c>
      <c r="AQ201" s="4">
        <v>750</v>
      </c>
      <c r="AR201" s="4">
        <v>750</v>
      </c>
      <c r="AS201" s="4">
        <v>720</v>
      </c>
      <c r="AT201" s="4">
        <v>720</v>
      </c>
      <c r="AU201" s="4">
        <v>720</v>
      </c>
      <c r="AV201" s="4">
        <f t="shared" si="2362"/>
        <v>700</v>
      </c>
      <c r="AW201" s="4">
        <v>700</v>
      </c>
      <c r="AX201" s="4"/>
      <c r="AY201" s="4"/>
      <c r="AZ201" s="4"/>
      <c r="BB201" s="95">
        <f t="shared" si="2304"/>
        <v>-159.83546264034067</v>
      </c>
      <c r="BC201" s="95" t="str">
        <f t="shared" si="2305"/>
        <v>-</v>
      </c>
      <c r="BD201" s="95" t="str">
        <f t="shared" si="2306"/>
        <v>-</v>
      </c>
      <c r="BE201" s="95" t="str">
        <f t="shared" si="2307"/>
        <v>-</v>
      </c>
      <c r="BF201" s="95">
        <f t="shared" si="2308"/>
        <v>-169.27990708478512</v>
      </c>
      <c r="BG201" s="95" t="str">
        <f t="shared" si="2309"/>
        <v>-</v>
      </c>
      <c r="BH201" s="95" t="str">
        <f t="shared" si="2310"/>
        <v>-</v>
      </c>
      <c r="BI201" s="95" t="str">
        <f t="shared" si="2311"/>
        <v>-</v>
      </c>
      <c r="BJ201" s="95" t="str">
        <f t="shared" si="2312"/>
        <v>-</v>
      </c>
      <c r="BK201" s="95" t="str">
        <f t="shared" si="2313"/>
        <v>-</v>
      </c>
      <c r="BL201" s="95" t="str">
        <f t="shared" si="2314"/>
        <v>-</v>
      </c>
      <c r="BM201" s="95" t="str">
        <f t="shared" si="2315"/>
        <v>-</v>
      </c>
      <c r="BN201" s="95" t="str">
        <f t="shared" si="2316"/>
        <v>-</v>
      </c>
      <c r="BP201" s="143">
        <f t="shared" si="2317"/>
        <v>-0.21583183252259056</v>
      </c>
      <c r="BQ201" s="143" t="str">
        <f t="shared" si="2318"/>
        <v>-</v>
      </c>
      <c r="BR201" s="143" t="str">
        <f t="shared" si="2319"/>
        <v>-</v>
      </c>
      <c r="BS201" s="143" t="str">
        <f t="shared" si="2320"/>
        <v>-</v>
      </c>
      <c r="BT201" s="143">
        <f t="shared" si="2321"/>
        <v>-0.2257065427797135</v>
      </c>
      <c r="BU201" s="143" t="str">
        <f t="shared" si="2322"/>
        <v>-</v>
      </c>
      <c r="BV201" s="143" t="str">
        <f t="shared" si="2323"/>
        <v>-</v>
      </c>
      <c r="BW201" s="143" t="str">
        <f t="shared" si="2324"/>
        <v>-</v>
      </c>
      <c r="BX201" s="143" t="str">
        <f t="shared" si="2325"/>
        <v>-</v>
      </c>
      <c r="BY201" s="143" t="str">
        <f t="shared" si="2326"/>
        <v>-</v>
      </c>
      <c r="BZ201" s="143" t="str">
        <f t="shared" si="2327"/>
        <v>-</v>
      </c>
      <c r="CA201" s="143" t="str">
        <f t="shared" si="2328"/>
        <v>-</v>
      </c>
      <c r="CB201" s="143" t="str">
        <f t="shared" si="2329"/>
        <v>-</v>
      </c>
      <c r="CD201" s="112">
        <f t="shared" si="2330"/>
        <v>931.25822686798301</v>
      </c>
      <c r="CE201" s="95" t="str">
        <f>IFERROR(SUMIFS('01. KE30'!$R:$R,'01. KE30'!$C:$C,'06. BC BH THEO CUSTOMER-USD'!$D201,'01. KE30'!$F:$F,'06. BC BH THEO CUSTOMER-USD'!$H201,'01. KE30'!$A:$A,'06. BC BH THEO CUSTOMER-USD'!CE$4)/CS201/'02. Tỷ giá'!B$5," -")</f>
        <v xml:space="preserve"> -</v>
      </c>
      <c r="CF201" s="95" t="str">
        <f>IFERROR(SUMIFS('01. KE30'!$R:$R,'01. KE30'!$C:$C,'06. BC BH THEO CUSTOMER-USD'!$D201,'01. KE30'!$F:$F,'06. BC BH THEO CUSTOMER-USD'!$H201,'01. KE30'!$A:$A,'06. BC BH THEO CUSTOMER-USD'!CF$4)/CT201/'02. Tỷ giá'!C$5," -")</f>
        <v xml:space="preserve"> -</v>
      </c>
      <c r="CG201" s="95" t="str">
        <f>IFERROR(SUMIFS('01. KE30'!$R:$R,'01. KE30'!$C:$C,'06. BC BH THEO CUSTOMER-USD'!$D201,'01. KE30'!$F:$F,'06. BC BH THEO CUSTOMER-USD'!$H201,'01. KE30'!$A:$A,'06. BC BH THEO CUSTOMER-USD'!CG$4)/CU201/'02. Tỷ giá'!D$5," -")</f>
        <v xml:space="preserve"> -</v>
      </c>
      <c r="CH201" s="95">
        <f>IFERROR(SUMIFS('01. KE30'!$R:$R,'01. KE30'!$C:$C,'06. BC BH THEO CUSTOMER-USD'!$D201,'01. KE30'!$F:$F,'06. BC BH THEO CUSTOMER-USD'!$H201,'01. KE30'!$A:$A,'06. BC BH THEO CUSTOMER-USD'!CH$4)/CV201/'02. Tỷ giá'!E$5," -")</f>
        <v>931.25822686798301</v>
      </c>
      <c r="CI201" s="95" t="str">
        <f>IFERROR(SUMIFS('01. KE30'!$R:$R,'01. KE30'!$C:$C,'06. BC BH THEO CUSTOMER-USD'!$D201,'01. KE30'!$F:$F,'06. BC BH THEO CUSTOMER-USD'!$H201,'01. KE30'!$A:$A,'06. BC BH THEO CUSTOMER-USD'!CI$4)/CW201/'02. Tỷ giá'!F$5," -")</f>
        <v xml:space="preserve"> -</v>
      </c>
      <c r="CJ201" s="95" t="str">
        <f>IFERROR(SUMIFS('01. KE30'!$R:$R,'01. KE30'!$C:$C,'06. BC BH THEO CUSTOMER-USD'!$D201,'01. KE30'!$F:$F,'06. BC BH THEO CUSTOMER-USD'!$H201,'01. KE30'!$A:$A,'06. BC BH THEO CUSTOMER-USD'!CJ$4)/CX201/'02. Tỷ giá'!G$5," -")</f>
        <v xml:space="preserve"> -</v>
      </c>
      <c r="CK201" s="95" t="str">
        <f>IFERROR(SUMIFS('01. KE30'!$R:$R,'01. KE30'!$C:$C,'06. BC BH THEO CUSTOMER-USD'!$D201,'01. KE30'!$F:$F,'06. BC BH THEO CUSTOMER-USD'!$H201,'01. KE30'!$A:$A,'06. BC BH THEO CUSTOMER-USD'!CK$4)/CY201/'02. Tỷ giá'!H$5," -")</f>
        <v xml:space="preserve"> -</v>
      </c>
      <c r="CL201" s="95" t="str">
        <f>IFERROR(SUMIFS('01. KE30'!$R:$R,'01. KE30'!$C:$C,'06. BC BH THEO CUSTOMER-USD'!$D201,'01. KE30'!$F:$F,'06. BC BH THEO CUSTOMER-USD'!$H201,'01. KE30'!$A:$A,'06. BC BH THEO CUSTOMER-USD'!CL$4)/CZ201/'02. Tỷ giá'!I$5," -")</f>
        <v xml:space="preserve"> -</v>
      </c>
      <c r="CM201" s="95" t="str">
        <f>IFERROR(SUMIFS('01. KE30'!$R:$R,'01. KE30'!$C:$C,'06. BC BH THEO CUSTOMER-USD'!$D201,'01. KE30'!$F:$F,'06. BC BH THEO CUSTOMER-USD'!$H201,'01. KE30'!$A:$A,'06. BC BH THEO CUSTOMER-USD'!CM$4)/DA201/'02. Tỷ giá'!J$5," -")</f>
        <v xml:space="preserve"> -</v>
      </c>
      <c r="CN201" s="95" t="str">
        <f>IFERROR(SUMIFS('01. KE30'!$R:$R,'01. KE30'!$C:$C,'06. BC BH THEO CUSTOMER-USD'!$D201,'01. KE30'!$F:$F,'06. BC BH THEO CUSTOMER-USD'!$H201,'01. KE30'!$A:$A,'06. BC BH THEO CUSTOMER-USD'!CN$4)/DB201/'02. Tỷ giá'!K$5," -")</f>
        <v xml:space="preserve"> -</v>
      </c>
      <c r="CO201" s="95" t="str">
        <f>IFERROR(SUMIFS('01. KE30'!$R:$R,'01. KE30'!$C:$C,'06. BC BH THEO CUSTOMER-USD'!$D201,'01. KE30'!$F:$F,'06. BC BH THEO CUSTOMER-USD'!$H201,'01. KE30'!$A:$A,'06. BC BH THEO CUSTOMER-USD'!CO$4)/DC201/'02. Tỷ giá'!L$5," -")</f>
        <v xml:space="preserve"> -</v>
      </c>
      <c r="CP201" s="95" t="str">
        <f>IFERROR(SUMIFS('01. KE30'!$R:$R,'01. KE30'!$C:$C,'06. BC BH THEO CUSTOMER-USD'!$D201,'01. KE30'!$F:$F,'06. BC BH THEO CUSTOMER-USD'!$H201,'01. KE30'!$A:$A,'06. BC BH THEO CUSTOMER-USD'!CP$4)/DD201/'02. Tỷ giá'!M$5," -")</f>
        <v xml:space="preserve"> -</v>
      </c>
      <c r="CR201" s="112">
        <f t="shared" si="2331"/>
        <v>2.5000000000000001E-2</v>
      </c>
      <c r="CS201" s="114">
        <f>SUMIFS('01. KE30'!$I:$I,'01. KE30'!$C:$C,'06. BC BH THEO CUSTOMER-USD'!$D201,'01. KE30'!$F:$F,'06. BC BH THEO CUSTOMER-USD'!$H201,'01. KE30'!$A:$A,'06. BC BH THEO CUSTOMER-USD'!CS$4)/1000</f>
        <v>0</v>
      </c>
      <c r="CT201" s="114">
        <f>SUMIFS('01. KE30'!$I:$I,'01. KE30'!$C:$C,'06. BC BH THEO CUSTOMER-USD'!$D201,'01. KE30'!$F:$F,'06. BC BH THEO CUSTOMER-USD'!$H201,'01. KE30'!$A:$A,'06. BC BH THEO CUSTOMER-USD'!CT$4)/1000</f>
        <v>0</v>
      </c>
      <c r="CU201" s="114">
        <f>SUMIFS('01. KE30'!$I:$I,'01. KE30'!$C:$C,'06. BC BH THEO CUSTOMER-USD'!$D201,'01. KE30'!$F:$F,'06. BC BH THEO CUSTOMER-USD'!$H201,'01. KE30'!$A:$A,'06. BC BH THEO CUSTOMER-USD'!CU$4)/1000</f>
        <v>0</v>
      </c>
      <c r="CV201" s="114">
        <f>SUMIFS('01. KE30'!$I:$I,'01. KE30'!$C:$C,'06. BC BH THEO CUSTOMER-USD'!$D201,'01. KE30'!$F:$F,'06. BC BH THEO CUSTOMER-USD'!$H201,'01. KE30'!$A:$A,'06. BC BH THEO CUSTOMER-USD'!CV$4)/1000</f>
        <v>2.5000000000000001E-2</v>
      </c>
      <c r="CW201" s="114">
        <f>SUMIFS('01. KE30'!$I:$I,'01. KE30'!$C:$C,'06. BC BH THEO CUSTOMER-USD'!$D201,'01. KE30'!$F:$F,'06. BC BH THEO CUSTOMER-USD'!$H201,'01. KE30'!$A:$A,'06. BC BH THEO CUSTOMER-USD'!CW$4)/1000</f>
        <v>0</v>
      </c>
      <c r="CX201" s="114">
        <f>SUMIFS('01. KE30'!$I:$I,'01. KE30'!$C:$C,'06. BC BH THEO CUSTOMER-USD'!$D201,'01. KE30'!$F:$F,'06. BC BH THEO CUSTOMER-USD'!$H201,'01. KE30'!$A:$A,'06. BC BH THEO CUSTOMER-USD'!CX$4)/1000</f>
        <v>0</v>
      </c>
      <c r="CY201" s="114">
        <f>SUMIFS('01. KE30'!$I:$I,'01. KE30'!$C:$C,'06. BC BH THEO CUSTOMER-USD'!$D201,'01. KE30'!$F:$F,'06. BC BH THEO CUSTOMER-USD'!$H201,'01. KE30'!$A:$A,'06. BC BH THEO CUSTOMER-USD'!CY$4)/1000</f>
        <v>0</v>
      </c>
      <c r="CZ201" s="114">
        <f>SUMIFS('01. KE30'!$I:$I,'01. KE30'!$C:$C,'06. BC BH THEO CUSTOMER-USD'!$D201,'01. KE30'!$F:$F,'06. BC BH THEO CUSTOMER-USD'!$H201,'01. KE30'!$A:$A,'06. BC BH THEO CUSTOMER-USD'!CZ$4)/1000</f>
        <v>0</v>
      </c>
      <c r="DA201" s="114">
        <f>SUMIFS('01. KE30'!$I:$I,'01. KE30'!$C:$C,'06. BC BH THEO CUSTOMER-USD'!$D201,'01. KE30'!$F:$F,'06. BC BH THEO CUSTOMER-USD'!$H201,'01. KE30'!$A:$A,'06. BC BH THEO CUSTOMER-USD'!DA$4)/1000</f>
        <v>0</v>
      </c>
      <c r="DB201" s="114">
        <f>SUMIFS('01. KE30'!$I:$I,'01. KE30'!$C:$C,'06. BC BH THEO CUSTOMER-USD'!$D201,'01. KE30'!$F:$F,'06. BC BH THEO CUSTOMER-USD'!$H201,'01. KE30'!$A:$A,'06. BC BH THEO CUSTOMER-USD'!DB$4)/1000</f>
        <v>0</v>
      </c>
      <c r="DC201" s="114">
        <f>SUMIFS('01. KE30'!$I:$I,'01. KE30'!$C:$C,'06. BC BH THEO CUSTOMER-USD'!$D201,'01. KE30'!$F:$F,'06. BC BH THEO CUSTOMER-USD'!$H201,'01. KE30'!$A:$A,'06. BC BH THEO CUSTOMER-USD'!DC$4)/1000</f>
        <v>0</v>
      </c>
      <c r="DD201" s="114">
        <f>SUMIFS('01. KE30'!$I:$I,'01. KE30'!$C:$C,'06. BC BH THEO CUSTOMER-USD'!$D201,'01. KE30'!$F:$F,'06. BC BH THEO CUSTOMER-USD'!$H201,'01. KE30'!$A:$A,'06. BC BH THEO CUSTOMER-USD'!DD$4)/1000</f>
        <v>0</v>
      </c>
      <c r="DF201" s="112">
        <f t="shared" si="2332"/>
        <v>14.518002322880372</v>
      </c>
      <c r="DG201" s="54" t="str">
        <f t="shared" si="2333"/>
        <v>-</v>
      </c>
      <c r="DH201" s="54" t="str">
        <f t="shared" si="2334"/>
        <v>-</v>
      </c>
      <c r="DI201" s="54" t="str">
        <f t="shared" si="2335"/>
        <v>-</v>
      </c>
      <c r="DJ201" s="54">
        <f t="shared" si="2336"/>
        <v>14.518002322880372</v>
      </c>
      <c r="DK201" s="54" t="str">
        <f t="shared" si="2337"/>
        <v>-</v>
      </c>
      <c r="DL201" s="54" t="str">
        <f t="shared" si="2338"/>
        <v>-</v>
      </c>
      <c r="DM201" s="54" t="str">
        <f t="shared" si="2339"/>
        <v>-</v>
      </c>
      <c r="DN201" s="54" t="str">
        <f t="shared" si="2340"/>
        <v>-</v>
      </c>
      <c r="DO201" s="54" t="str">
        <f t="shared" si="2341"/>
        <v>-</v>
      </c>
      <c r="DP201" s="54" t="str">
        <f t="shared" si="2342"/>
        <v>-</v>
      </c>
      <c r="DQ201" s="54" t="str">
        <f t="shared" si="2343"/>
        <v>-</v>
      </c>
      <c r="DR201" s="54" t="str">
        <f t="shared" si="2344"/>
        <v>-</v>
      </c>
      <c r="DT201" s="112">
        <f t="shared" si="2345"/>
        <v>-8.763453348819203</v>
      </c>
      <c r="DU201" s="114">
        <f>IFERROR(SUMIFS('01. KE30'!$X:$X,'01. KE30'!$C:$C,'06. BC BH THEO CUSTOMER-USD'!$D201,'01. KE30'!$F:$F,'06. BC BH THEO CUSTOMER-USD'!$H201,'01. KE30'!$A:$A,'06. BC BH THEO CUSTOMER-USD'!DU$4)-SUMIFS('01. KE30'!$AA:$AA,'01. KE30'!$C:$C,'06. BC BH THEO CUSTOMER-USD'!$D201,'01. KE30'!$F:$F,'06. BC BH THEO CUSTOMER-USD'!$H201,'01. KE30'!$A:$A,'06. BC BH THEO CUSTOMER-USD'!DU$4),"-")</f>
        <v>0</v>
      </c>
      <c r="DV201" s="114">
        <f>IFERROR(SUMIFS('01. KE30'!$X:$X,'01. KE30'!$C:$C,'06. BC BH THEO CUSTOMER-USD'!$D201,'01. KE30'!$F:$F,'06. BC BH THEO CUSTOMER-USD'!$H201,'01. KE30'!$A:$A,'06. BC BH THEO CUSTOMER-USD'!DV$4)-SUMIFS('01. KE30'!$AA:$AA,'01. KE30'!$C:$C,'06. BC BH THEO CUSTOMER-USD'!$D201,'01. KE30'!$F:$F,'06. BC BH THEO CUSTOMER-USD'!$H201,'01. KE30'!$A:$A,'06. BC BH THEO CUSTOMER-USD'!DV$4),"-")</f>
        <v>0</v>
      </c>
      <c r="DW201" s="114">
        <f>IFERROR(SUMIFS('01. KE30'!$X:$X,'01. KE30'!$C:$C,'06. BC BH THEO CUSTOMER-USD'!$D201,'01. KE30'!$F:$F,'06. BC BH THEO CUSTOMER-USD'!$H201,'01. KE30'!$A:$A,'06. BC BH THEO CUSTOMER-USD'!DW$4)-SUMIFS('01. KE30'!$AA:$AA,'01. KE30'!$C:$C,'06. BC BH THEO CUSTOMER-USD'!$D201,'01. KE30'!$F:$F,'06. BC BH THEO CUSTOMER-USD'!$H201,'01. KE30'!$A:$A,'06. BC BH THEO CUSTOMER-USD'!DW$4),"-")</f>
        <v>0</v>
      </c>
      <c r="DX201" s="114">
        <f>IFERROR(SUMIFS('01. KE30'!$X:$X,'01. KE30'!$C:$C,'06. BC BH THEO CUSTOMER-USD'!$D201,'01. KE30'!$F:$F,'06. BC BH THEO CUSTOMER-USD'!$H201,'01. KE30'!$A:$A,'06. BC BH THEO CUSTOMER-USD'!DX$4)-SUMIFS('01. KE30'!$AA:$AA,'01. KE30'!$C:$C,'06. BC BH THEO CUSTOMER-USD'!$D201,'01. KE30'!$F:$F,'06. BC BH THEO CUSTOMER-USD'!$H201,'01. KE30'!$A:$A,'06. BC BH THEO CUSTOMER-USD'!DX$4),"-")</f>
        <v>-8.763453348819203</v>
      </c>
      <c r="DY201" s="114">
        <f>IFERROR(SUMIFS('01. KE30'!$X:$X,'01. KE30'!$C:$C,'06. BC BH THEO CUSTOMER-USD'!$D201,'01. KE30'!$F:$F,'06. BC BH THEO CUSTOMER-USD'!$H201,'01. KE30'!$A:$A,'06. BC BH THEO CUSTOMER-USD'!DY$4)-SUMIFS('01. KE30'!$AA:$AA,'01. KE30'!$C:$C,'06. BC BH THEO CUSTOMER-USD'!$D201,'01. KE30'!$F:$F,'06. BC BH THEO CUSTOMER-USD'!$H201,'01. KE30'!$A:$A,'06. BC BH THEO CUSTOMER-USD'!DY$4),"-")</f>
        <v>0</v>
      </c>
      <c r="DZ201" s="114">
        <f>IFERROR(SUMIFS('01. KE30'!$X:$X,'01. KE30'!$C:$C,'06. BC BH THEO CUSTOMER-USD'!$D201,'01. KE30'!$F:$F,'06. BC BH THEO CUSTOMER-USD'!$H201,'01. KE30'!$A:$A,'06. BC BH THEO CUSTOMER-USD'!DZ$4)-SUMIFS('01. KE30'!$AA:$AA,'01. KE30'!$C:$C,'06. BC BH THEO CUSTOMER-USD'!$D201,'01. KE30'!$F:$F,'06. BC BH THEO CUSTOMER-USD'!$H201,'01. KE30'!$A:$A,'06. BC BH THEO CUSTOMER-USD'!DZ$4),"-")</f>
        <v>0</v>
      </c>
      <c r="EA201" s="114">
        <f>IFERROR(SUMIFS('01. KE30'!$X:$X,'01. KE30'!$C:$C,'06. BC BH THEO CUSTOMER-USD'!$D201,'01. KE30'!$F:$F,'06. BC BH THEO CUSTOMER-USD'!$H201,'01. KE30'!$A:$A,'06. BC BH THEO CUSTOMER-USD'!EA$4)-SUMIFS('01. KE30'!$AA:$AA,'01. KE30'!$C:$C,'06. BC BH THEO CUSTOMER-USD'!$D201,'01. KE30'!$F:$F,'06. BC BH THEO CUSTOMER-USD'!$H201,'01. KE30'!$A:$A,'06. BC BH THEO CUSTOMER-USD'!EA$4),"-")</f>
        <v>0</v>
      </c>
      <c r="EB201" s="114">
        <f>IFERROR(SUMIFS('01. KE30'!$X:$X,'01. KE30'!$C:$C,'06. BC BH THEO CUSTOMER-USD'!$D201,'01. KE30'!$F:$F,'06. BC BH THEO CUSTOMER-USD'!$H201,'01. KE30'!$A:$A,'06. BC BH THEO CUSTOMER-USD'!EB$4)-SUMIFS('01. KE30'!$AA:$AA,'01. KE30'!$C:$C,'06. BC BH THEO CUSTOMER-USD'!$D201,'01. KE30'!$F:$F,'06. BC BH THEO CUSTOMER-USD'!$H201,'01. KE30'!$A:$A,'06. BC BH THEO CUSTOMER-USD'!EB$4),"-")</f>
        <v>0</v>
      </c>
      <c r="EC201" s="114">
        <f>IFERROR(SUMIFS('01. KE30'!$X:$X,'01. KE30'!$C:$C,'06. BC BH THEO CUSTOMER-USD'!$D201,'01. KE30'!$F:$F,'06. BC BH THEO CUSTOMER-USD'!$H201,'01. KE30'!$A:$A,'06. BC BH THEO CUSTOMER-USD'!EC$4)-SUMIFS('01. KE30'!$AA:$AA,'01. KE30'!$C:$C,'06. BC BH THEO CUSTOMER-USD'!$D201,'01. KE30'!$F:$F,'06. BC BH THEO CUSTOMER-USD'!$H201,'01. KE30'!$A:$A,'06. BC BH THEO CUSTOMER-USD'!EC$4),"-")</f>
        <v>0</v>
      </c>
      <c r="ED201" s="114">
        <f>IFERROR(SUMIFS('01. KE30'!$X:$X,'01. KE30'!$C:$C,'06. BC BH THEO CUSTOMER-USD'!$D201,'01. KE30'!$F:$F,'06. BC BH THEO CUSTOMER-USD'!$H201,'01. KE30'!$A:$A,'06. BC BH THEO CUSTOMER-USD'!ED$4)-SUMIFS('01. KE30'!$AA:$AA,'01. KE30'!$C:$C,'06. BC BH THEO CUSTOMER-USD'!$D201,'01. KE30'!$F:$F,'06. BC BH THEO CUSTOMER-USD'!$H201,'01. KE30'!$A:$A,'06. BC BH THEO CUSTOMER-USD'!ED$4),"-")</f>
        <v>0</v>
      </c>
      <c r="EE201" s="114">
        <f>IFERROR(SUMIFS('01. KE30'!$X:$X,'01. KE30'!$C:$C,'06. BC BH THEO CUSTOMER-USD'!$D201,'01. KE30'!$F:$F,'06. BC BH THEO CUSTOMER-USD'!$H201,'01. KE30'!$A:$A,'06. BC BH THEO CUSTOMER-USD'!EE$4)-SUMIFS('01. KE30'!$AA:$AA,'01. KE30'!$C:$C,'06. BC BH THEO CUSTOMER-USD'!$D201,'01. KE30'!$F:$F,'06. BC BH THEO CUSTOMER-USD'!$H201,'01. KE30'!$A:$A,'06. BC BH THEO CUSTOMER-USD'!EE$4),"-")</f>
        <v>0</v>
      </c>
      <c r="EF201" s="114">
        <f>IFERROR(SUMIFS('01. KE30'!$X:$X,'01. KE30'!$C:$C,'06. BC BH THEO CUSTOMER-USD'!$D201,'01. KE30'!$F:$F,'06. BC BH THEO CUSTOMER-USD'!$H201,'01. KE30'!$A:$A,'06. BC BH THEO CUSTOMER-USD'!EF$4)-SUMIFS('01. KE30'!$AA:$AA,'01. KE30'!$C:$C,'06. BC BH THEO CUSTOMER-USD'!$D201,'01. KE30'!$F:$F,'06. BC BH THEO CUSTOMER-USD'!$H201,'01. KE30'!$A:$A,'06. BC BH THEO CUSTOMER-USD'!EF$4),"-")</f>
        <v>0</v>
      </c>
      <c r="EH201" s="571">
        <f t="shared" si="2346"/>
        <v>-0.60362666666666664</v>
      </c>
      <c r="EI201" s="572" t="str">
        <f t="shared" si="2347"/>
        <v>-</v>
      </c>
      <c r="EJ201" s="572" t="str">
        <f t="shared" si="2348"/>
        <v>-</v>
      </c>
      <c r="EK201" s="572" t="str">
        <f t="shared" si="2349"/>
        <v>-</v>
      </c>
      <c r="EL201" s="572">
        <f t="shared" si="2350"/>
        <v>-0.60362666666666664</v>
      </c>
      <c r="EM201" s="572" t="str">
        <f t="shared" si="2351"/>
        <v>-</v>
      </c>
      <c r="EN201" s="572" t="str">
        <f t="shared" si="2352"/>
        <v>-</v>
      </c>
      <c r="EO201" s="572" t="str">
        <f t="shared" si="2353"/>
        <v>-</v>
      </c>
      <c r="EP201" s="572" t="str">
        <f t="shared" si="2354"/>
        <v>-</v>
      </c>
      <c r="EQ201" s="572" t="str">
        <f t="shared" si="2355"/>
        <v>-</v>
      </c>
      <c r="ER201" s="572" t="str">
        <f t="shared" si="2356"/>
        <v>-</v>
      </c>
      <c r="ES201" s="572" t="str">
        <f t="shared" si="2357"/>
        <v>-</v>
      </c>
      <c r="ET201" s="572" t="str">
        <f t="shared" si="2358"/>
        <v>-</v>
      </c>
    </row>
    <row r="202" spans="1:150" ht="15.5" hidden="1" outlineLevel="1" x14ac:dyDescent="0.35">
      <c r="A202" s="10">
        <f t="shared" si="2477"/>
        <v>9</v>
      </c>
      <c r="B202" s="10" t="s">
        <v>295</v>
      </c>
      <c r="C202" s="442" t="s">
        <v>489</v>
      </c>
      <c r="D202" s="9" t="s">
        <v>710</v>
      </c>
      <c r="E202" s="8" t="s">
        <v>732</v>
      </c>
      <c r="F202" s="12" t="s">
        <v>245</v>
      </c>
      <c r="G202" s="12" t="str">
        <f>_xlfn.XLOOKUP(F202,'Quy đổi'!$G$5:$G$32,'Quy đổi'!$H$5:$H$32,0)</f>
        <v>Nội địa</v>
      </c>
      <c r="H202" s="80" t="s">
        <v>39</v>
      </c>
      <c r="I202" s="20" t="s">
        <v>38</v>
      </c>
      <c r="J202" s="69" t="s">
        <v>22</v>
      </c>
      <c r="K202" s="5"/>
      <c r="L202" s="92">
        <f t="shared" si="2301"/>
        <v>580.72009291521488</v>
      </c>
      <c r="M202" s="106" t="str">
        <f>IFERROR(SUMIFS('01. KE30'!$K:$K,'01. KE30'!$C:$C,'06. BC BH THEO CUSTOMER-USD'!$D202,'01. KE30'!$F:$F,'06. BC BH THEO CUSTOMER-USD'!$H202,'01. KE30'!$A:$A,'06. BC BH THEO CUSTOMER-USD'!M$4)/'06. BC BH THEO CUSTOMER-USD'!CS202/'02. Tỷ giá'!B$5,"-")</f>
        <v>-</v>
      </c>
      <c r="N202" s="106" t="str">
        <f>IFERROR(SUMIFS('01. KE30'!$K:$K,'01. KE30'!$C:$C,'06. BC BH THEO CUSTOMER-USD'!$D202,'01. KE30'!$F:$F,'06. BC BH THEO CUSTOMER-USD'!$H202,'01. KE30'!$A:$A,'06. BC BH THEO CUSTOMER-USD'!N$4)/'06. BC BH THEO CUSTOMER-USD'!CT202/'02. Tỷ giá'!C$5,"-")</f>
        <v>-</v>
      </c>
      <c r="O202" s="106" t="str">
        <f>IFERROR(SUMIFS('01. KE30'!$K:$K,'01. KE30'!$C:$C,'06. BC BH THEO CUSTOMER-USD'!$D202,'01. KE30'!$F:$F,'06. BC BH THEO CUSTOMER-USD'!$H202,'01. KE30'!$A:$A,'06. BC BH THEO CUSTOMER-USD'!O$4)/'06. BC BH THEO CUSTOMER-USD'!CU202/'02. Tỷ giá'!D$5,"-")</f>
        <v>-</v>
      </c>
      <c r="P202" s="106">
        <f>IFERROR(SUMIFS('01. KE30'!$K:$K,'01. KE30'!$C:$C,'06. BC BH THEO CUSTOMER-USD'!$D202,'01. KE30'!$F:$F,'06. BC BH THEO CUSTOMER-USD'!$H202,'01. KE30'!$A:$A,'06. BC BH THEO CUSTOMER-USD'!P$4)/'06. BC BH THEO CUSTOMER-USD'!CV202/'02. Tỷ giá'!E$5,"-")</f>
        <v>580.72009291521488</v>
      </c>
      <c r="Q202" s="106" t="str">
        <f>IFERROR(SUMIFS('01. KE30'!$K:$K,'01. KE30'!$C:$C,'06. BC BH THEO CUSTOMER-USD'!$D202,'01. KE30'!$F:$F,'06. BC BH THEO CUSTOMER-USD'!$H202,'01. KE30'!$A:$A,'06. BC BH THEO CUSTOMER-USD'!Q$4)/'06. BC BH THEO CUSTOMER-USD'!CW202/'02. Tỷ giá'!F$5,"-")</f>
        <v>-</v>
      </c>
      <c r="R202" s="106" t="str">
        <f>IFERROR(SUMIFS('01. KE30'!$K:$K,'01. KE30'!$C:$C,'06. BC BH THEO CUSTOMER-USD'!$D202,'01. KE30'!$F:$F,'06. BC BH THEO CUSTOMER-USD'!$H202,'01. KE30'!$A:$A,'06. BC BH THEO CUSTOMER-USD'!R$4)/'06. BC BH THEO CUSTOMER-USD'!CX202/'02. Tỷ giá'!G$5,"-")</f>
        <v>-</v>
      </c>
      <c r="S202" s="106" t="str">
        <f>IFERROR(SUMIFS('01. KE30'!$K:$K,'01. KE30'!$C:$C,'06. BC BH THEO CUSTOMER-USD'!$D202,'01. KE30'!$F:$F,'06. BC BH THEO CUSTOMER-USD'!$H202,'01. KE30'!$A:$A,'06. BC BH THEO CUSTOMER-USD'!S$4)/'06. BC BH THEO CUSTOMER-USD'!CY202/'02. Tỷ giá'!H$5,"-")</f>
        <v>-</v>
      </c>
      <c r="T202" s="106" t="str">
        <f>IFERROR(SUMIFS('01. KE30'!$K:$K,'01. KE30'!$C:$C,'06. BC BH THEO CUSTOMER-USD'!$D202,'01. KE30'!$F:$F,'06. BC BH THEO CUSTOMER-USD'!$H202,'01. KE30'!$A:$A,'06. BC BH THEO CUSTOMER-USD'!T$4)/'06. BC BH THEO CUSTOMER-USD'!CZ202/'02. Tỷ giá'!I$5,"-")</f>
        <v>-</v>
      </c>
      <c r="U202" s="106" t="str">
        <f>IFERROR(SUMIFS('01. KE30'!$K:$K,'01. KE30'!$C:$C,'06. BC BH THEO CUSTOMER-USD'!$D202,'01. KE30'!$F:$F,'06. BC BH THEO CUSTOMER-USD'!$H202,'01. KE30'!$A:$A,'06. BC BH THEO CUSTOMER-USD'!U$4)/'06. BC BH THEO CUSTOMER-USD'!DA202/'02. Tỷ giá'!J$5,"-")</f>
        <v>-</v>
      </c>
      <c r="V202" s="106" t="str">
        <f>IFERROR(SUMIFS('01. KE30'!$K:$K,'01. KE30'!$C:$C,'06. BC BH THEO CUSTOMER-USD'!$D202,'01. KE30'!$F:$F,'06. BC BH THEO CUSTOMER-USD'!$H202,'01. KE30'!$A:$A,'06. BC BH THEO CUSTOMER-USD'!V$4)/'06. BC BH THEO CUSTOMER-USD'!DB202/'02. Tỷ giá'!K$5,"-")</f>
        <v>-</v>
      </c>
      <c r="W202" s="106" t="str">
        <f>IFERROR(SUMIFS('01. KE30'!$K:$K,'01. KE30'!$C:$C,'06. BC BH THEO CUSTOMER-USD'!$D202,'01. KE30'!$F:$F,'06. BC BH THEO CUSTOMER-USD'!$H202,'01. KE30'!$A:$A,'06. BC BH THEO CUSTOMER-USD'!W$4)/'06. BC BH THEO CUSTOMER-USD'!DC202/'02. Tỷ giá'!L$5,"-")</f>
        <v>-</v>
      </c>
      <c r="X202" s="106" t="str">
        <f>IFERROR(SUMIFS('01. KE30'!$K:$K,'01. KE30'!$C:$C,'06. BC BH THEO CUSTOMER-USD'!$D202,'01. KE30'!$F:$F,'06. BC BH THEO CUSTOMER-USD'!$H202,'01. KE30'!$A:$A,'06. BC BH THEO CUSTOMER-USD'!X$4)/'06. BC BH THEO CUSTOMER-USD'!DD202/'02. Tỷ giá'!M$5,"-")</f>
        <v>-</v>
      </c>
      <c r="Z202" s="92">
        <f t="shared" si="2302"/>
        <v>580.72009291521488</v>
      </c>
      <c r="AA202" s="147" t="str">
        <f>IFERROR(SUMIFS('01. KE30'!$O:$O,'01. KE30'!$C:$C,'06. BC BH THEO CUSTOMER-USD'!$D202,'01. KE30'!$F:$F,'06. BC BH THEO CUSTOMER-USD'!$H202,'01. KE30'!$A:$A,'06. BC BH THEO CUSTOMER-USD'!M$4)/'06. BC BH THEO CUSTOMER-USD'!CS202/'02. Tỷ giá'!B$5,"-")</f>
        <v>-</v>
      </c>
      <c r="AB202" s="147" t="str">
        <f>IFERROR(SUMIFS('01. KE30'!$O:$O,'01. KE30'!$C:$C,'06. BC BH THEO CUSTOMER-USD'!$D202,'01. KE30'!$F:$F,'06. BC BH THEO CUSTOMER-USD'!$H202,'01. KE30'!$A:$A,'06. BC BH THEO CUSTOMER-USD'!N$4)/'06. BC BH THEO CUSTOMER-USD'!CT202/'02. Tỷ giá'!C$5,"-")</f>
        <v>-</v>
      </c>
      <c r="AC202" s="147" t="str">
        <f>IFERROR(SUMIFS('01. KE30'!$O:$O,'01. KE30'!$C:$C,'06. BC BH THEO CUSTOMER-USD'!$D202,'01. KE30'!$F:$F,'06. BC BH THEO CUSTOMER-USD'!$H202,'01. KE30'!$A:$A,'06. BC BH THEO CUSTOMER-USD'!O$4)/'06. BC BH THEO CUSTOMER-USD'!CU202/'02. Tỷ giá'!D$5,"-")</f>
        <v>-</v>
      </c>
      <c r="AD202" s="147">
        <f>IFERROR(SUMIFS('01. KE30'!$O:$O,'01. KE30'!$C:$C,'06. BC BH THEO CUSTOMER-USD'!$D202,'01. KE30'!$F:$F,'06. BC BH THEO CUSTOMER-USD'!$H202,'01. KE30'!$A:$A,'06. BC BH THEO CUSTOMER-USD'!P$4)/'06. BC BH THEO CUSTOMER-USD'!CV202/'02. Tỷ giá'!E$5,"-")</f>
        <v>580.72009291521488</v>
      </c>
      <c r="AE202" s="147" t="str">
        <f>IFERROR(SUMIFS('01. KE30'!$O:$O,'01. KE30'!$C:$C,'06. BC BH THEO CUSTOMER-USD'!$D202,'01. KE30'!$F:$F,'06. BC BH THEO CUSTOMER-USD'!$H202,'01. KE30'!$A:$A,'06. BC BH THEO CUSTOMER-USD'!Q$4)/'06. BC BH THEO CUSTOMER-USD'!CW202/'02. Tỷ giá'!F$5,"-")</f>
        <v>-</v>
      </c>
      <c r="AF202" s="147" t="str">
        <f>IFERROR(SUMIFS('01. KE30'!$O:$O,'01. KE30'!$C:$C,'06. BC BH THEO CUSTOMER-USD'!$D202,'01. KE30'!$F:$F,'06. BC BH THEO CUSTOMER-USD'!$H202,'01. KE30'!$A:$A,'06. BC BH THEO CUSTOMER-USD'!R$4)/'06. BC BH THEO CUSTOMER-USD'!CX202/'02. Tỷ giá'!G$5,"-")</f>
        <v>-</v>
      </c>
      <c r="AG202" s="147" t="str">
        <f>IFERROR(SUMIFS('01. KE30'!$O:$O,'01. KE30'!$C:$C,'06. BC BH THEO CUSTOMER-USD'!$D202,'01. KE30'!$F:$F,'06. BC BH THEO CUSTOMER-USD'!$H202,'01. KE30'!$A:$A,'06. BC BH THEO CUSTOMER-USD'!S$4)/'06. BC BH THEO CUSTOMER-USD'!CY202/'02. Tỷ giá'!H$5,"-")</f>
        <v>-</v>
      </c>
      <c r="AH202" s="147" t="str">
        <f>IFERROR(SUMIFS('01. KE30'!$O:$O,'01. KE30'!$C:$C,'06. BC BH THEO CUSTOMER-USD'!$D202,'01. KE30'!$F:$F,'06. BC BH THEO CUSTOMER-USD'!$H202,'01. KE30'!$A:$A,'06. BC BH THEO CUSTOMER-USD'!T$4)/'06. BC BH THEO CUSTOMER-USD'!CZ202/'02. Tỷ giá'!I$5,"-")</f>
        <v>-</v>
      </c>
      <c r="AI202" s="147" t="str">
        <f>IFERROR(SUMIFS('01. KE30'!$O:$O,'01. KE30'!$C:$C,'06. BC BH THEO CUSTOMER-USD'!$D202,'01. KE30'!$F:$F,'06. BC BH THEO CUSTOMER-USD'!$H202,'01. KE30'!$A:$A,'06. BC BH THEO CUSTOMER-USD'!U$4)/'06. BC BH THEO CUSTOMER-USD'!DA202/'02. Tỷ giá'!J$5,"-")</f>
        <v>-</v>
      </c>
      <c r="AJ202" s="147" t="str">
        <f>IFERROR(SUMIFS('01. KE30'!$O:$O,'01. KE30'!$C:$C,'06. BC BH THEO CUSTOMER-USD'!$D202,'01. KE30'!$F:$F,'06. BC BH THEO CUSTOMER-USD'!$H202,'01. KE30'!$A:$A,'06. BC BH THEO CUSTOMER-USD'!V$4)/'06. BC BH THEO CUSTOMER-USD'!DB202/'02. Tỷ giá'!K$5,"-")</f>
        <v>-</v>
      </c>
      <c r="AK202" s="147" t="str">
        <f>IFERROR(SUMIFS('01. KE30'!$O:$O,'01. KE30'!$C:$C,'06. BC BH THEO CUSTOMER-USD'!$D202,'01. KE30'!$F:$F,'06. BC BH THEO CUSTOMER-USD'!$H202,'01. KE30'!$A:$A,'06. BC BH THEO CUSTOMER-USD'!W$4)/'06. BC BH THEO CUSTOMER-USD'!DC202/'02. Tỷ giá'!L$5,"-")</f>
        <v>-</v>
      </c>
      <c r="AL202" s="147" t="str">
        <f>IFERROR(SUMIFS('01. KE30'!$O:$O,'01. KE30'!$C:$C,'06. BC BH THEO CUSTOMER-USD'!$D202,'01. KE30'!$F:$F,'06. BC BH THEO CUSTOMER-USD'!$H202,'01. KE30'!$A:$A,'06. BC BH THEO CUSTOMER-USD'!X$4)/'06. BC BH THEO CUSTOMER-USD'!DD202/'02. Tỷ giá'!M$5,"-")</f>
        <v>-</v>
      </c>
      <c r="AN202" s="55">
        <f t="shared" si="2303"/>
        <v>740.55555555555554</v>
      </c>
      <c r="AO202" s="4">
        <v>855</v>
      </c>
      <c r="AP202" s="4">
        <v>750</v>
      </c>
      <c r="AQ202" s="4">
        <v>750</v>
      </c>
      <c r="AR202" s="4">
        <v>750</v>
      </c>
      <c r="AS202" s="4">
        <v>720</v>
      </c>
      <c r="AT202" s="4">
        <v>720</v>
      </c>
      <c r="AU202" s="4">
        <v>720</v>
      </c>
      <c r="AV202" s="4">
        <f t="shared" si="2362"/>
        <v>700</v>
      </c>
      <c r="AW202" s="4">
        <v>700</v>
      </c>
      <c r="AX202" s="4"/>
      <c r="AY202" s="4"/>
      <c r="AZ202" s="4"/>
      <c r="BB202" s="95">
        <f t="shared" si="2304"/>
        <v>-159.83546264034067</v>
      </c>
      <c r="BC202" s="95" t="str">
        <f t="shared" si="2305"/>
        <v>-</v>
      </c>
      <c r="BD202" s="95" t="str">
        <f t="shared" si="2306"/>
        <v>-</v>
      </c>
      <c r="BE202" s="95" t="str">
        <f t="shared" si="2307"/>
        <v>-</v>
      </c>
      <c r="BF202" s="95">
        <f t="shared" si="2308"/>
        <v>-169.27990708478512</v>
      </c>
      <c r="BG202" s="95" t="str">
        <f t="shared" si="2309"/>
        <v>-</v>
      </c>
      <c r="BH202" s="95" t="str">
        <f t="shared" si="2310"/>
        <v>-</v>
      </c>
      <c r="BI202" s="95" t="str">
        <f t="shared" si="2311"/>
        <v>-</v>
      </c>
      <c r="BJ202" s="95" t="str">
        <f t="shared" si="2312"/>
        <v>-</v>
      </c>
      <c r="BK202" s="95" t="str">
        <f t="shared" si="2313"/>
        <v>-</v>
      </c>
      <c r="BL202" s="95" t="str">
        <f t="shared" si="2314"/>
        <v>-</v>
      </c>
      <c r="BM202" s="95" t="str">
        <f t="shared" si="2315"/>
        <v>-</v>
      </c>
      <c r="BN202" s="95" t="str">
        <f t="shared" si="2316"/>
        <v>-</v>
      </c>
      <c r="BP202" s="143">
        <f t="shared" si="2317"/>
        <v>-0.21583183252259056</v>
      </c>
      <c r="BQ202" s="143" t="str">
        <f t="shared" si="2318"/>
        <v>-</v>
      </c>
      <c r="BR202" s="143" t="str">
        <f t="shared" si="2319"/>
        <v>-</v>
      </c>
      <c r="BS202" s="143" t="str">
        <f t="shared" si="2320"/>
        <v>-</v>
      </c>
      <c r="BT202" s="143">
        <f t="shared" si="2321"/>
        <v>-0.2257065427797135</v>
      </c>
      <c r="BU202" s="143" t="str">
        <f t="shared" si="2322"/>
        <v>-</v>
      </c>
      <c r="BV202" s="143" t="str">
        <f t="shared" si="2323"/>
        <v>-</v>
      </c>
      <c r="BW202" s="143" t="str">
        <f t="shared" si="2324"/>
        <v>-</v>
      </c>
      <c r="BX202" s="143" t="str">
        <f t="shared" si="2325"/>
        <v>-</v>
      </c>
      <c r="BY202" s="143" t="str">
        <f t="shared" si="2326"/>
        <v>-</v>
      </c>
      <c r="BZ202" s="143" t="str">
        <f t="shared" si="2327"/>
        <v>-</v>
      </c>
      <c r="CA202" s="143" t="str">
        <f t="shared" si="2328"/>
        <v>-</v>
      </c>
      <c r="CB202" s="143" t="str">
        <f t="shared" si="2329"/>
        <v>-</v>
      </c>
      <c r="CD202" s="112">
        <f t="shared" si="2330"/>
        <v>971.39605110336822</v>
      </c>
      <c r="CE202" s="95" t="str">
        <f>IFERROR(SUMIFS('01. KE30'!$R:$R,'01. KE30'!$C:$C,'06. BC BH THEO CUSTOMER-USD'!$D202,'01. KE30'!$F:$F,'06. BC BH THEO CUSTOMER-USD'!$H202,'01. KE30'!$A:$A,'06. BC BH THEO CUSTOMER-USD'!CE$4)/CS202/'02. Tỷ giá'!B$5," -")</f>
        <v xml:space="preserve"> -</v>
      </c>
      <c r="CF202" s="95" t="str">
        <f>IFERROR(SUMIFS('01. KE30'!$R:$R,'01. KE30'!$C:$C,'06. BC BH THEO CUSTOMER-USD'!$D202,'01. KE30'!$F:$F,'06. BC BH THEO CUSTOMER-USD'!$H202,'01. KE30'!$A:$A,'06. BC BH THEO CUSTOMER-USD'!CF$4)/CT202/'02. Tỷ giá'!C$5," -")</f>
        <v xml:space="preserve"> -</v>
      </c>
      <c r="CG202" s="95" t="str">
        <f>IFERROR(SUMIFS('01. KE30'!$R:$R,'01. KE30'!$C:$C,'06. BC BH THEO CUSTOMER-USD'!$D202,'01. KE30'!$F:$F,'06. BC BH THEO CUSTOMER-USD'!$H202,'01. KE30'!$A:$A,'06. BC BH THEO CUSTOMER-USD'!CG$4)/CU202/'02. Tỷ giá'!D$5," -")</f>
        <v xml:space="preserve"> -</v>
      </c>
      <c r="CH202" s="95">
        <f>IFERROR(SUMIFS('01. KE30'!$R:$R,'01. KE30'!$C:$C,'06. BC BH THEO CUSTOMER-USD'!$D202,'01. KE30'!$F:$F,'06. BC BH THEO CUSTOMER-USD'!$H202,'01. KE30'!$A:$A,'06. BC BH THEO CUSTOMER-USD'!CH$4)/CV202/'02. Tỷ giá'!E$5," -")</f>
        <v>971.39605110336822</v>
      </c>
      <c r="CI202" s="95" t="str">
        <f>IFERROR(SUMIFS('01. KE30'!$R:$R,'01. KE30'!$C:$C,'06. BC BH THEO CUSTOMER-USD'!$D202,'01. KE30'!$F:$F,'06. BC BH THEO CUSTOMER-USD'!$H202,'01. KE30'!$A:$A,'06. BC BH THEO CUSTOMER-USD'!CI$4)/CW202/'02. Tỷ giá'!F$5," -")</f>
        <v xml:space="preserve"> -</v>
      </c>
      <c r="CJ202" s="95" t="str">
        <f>IFERROR(SUMIFS('01. KE30'!$R:$R,'01. KE30'!$C:$C,'06. BC BH THEO CUSTOMER-USD'!$D202,'01. KE30'!$F:$F,'06. BC BH THEO CUSTOMER-USD'!$H202,'01. KE30'!$A:$A,'06. BC BH THEO CUSTOMER-USD'!CJ$4)/CX202/'02. Tỷ giá'!G$5," -")</f>
        <v xml:space="preserve"> -</v>
      </c>
      <c r="CK202" s="95" t="str">
        <f>IFERROR(SUMIFS('01. KE30'!$R:$R,'01. KE30'!$C:$C,'06. BC BH THEO CUSTOMER-USD'!$D202,'01. KE30'!$F:$F,'06. BC BH THEO CUSTOMER-USD'!$H202,'01. KE30'!$A:$A,'06. BC BH THEO CUSTOMER-USD'!CK$4)/CY202/'02. Tỷ giá'!H$5," -")</f>
        <v xml:space="preserve"> -</v>
      </c>
      <c r="CL202" s="95" t="str">
        <f>IFERROR(SUMIFS('01. KE30'!$R:$R,'01. KE30'!$C:$C,'06. BC BH THEO CUSTOMER-USD'!$D202,'01. KE30'!$F:$F,'06. BC BH THEO CUSTOMER-USD'!$H202,'01. KE30'!$A:$A,'06. BC BH THEO CUSTOMER-USD'!CL$4)/CZ202/'02. Tỷ giá'!I$5," -")</f>
        <v xml:space="preserve"> -</v>
      </c>
      <c r="CM202" s="95" t="str">
        <f>IFERROR(SUMIFS('01. KE30'!$R:$R,'01. KE30'!$C:$C,'06. BC BH THEO CUSTOMER-USD'!$D202,'01. KE30'!$F:$F,'06. BC BH THEO CUSTOMER-USD'!$H202,'01. KE30'!$A:$A,'06. BC BH THEO CUSTOMER-USD'!CM$4)/DA202/'02. Tỷ giá'!J$5," -")</f>
        <v xml:space="preserve"> -</v>
      </c>
      <c r="CN202" s="95" t="str">
        <f>IFERROR(SUMIFS('01. KE30'!$R:$R,'01. KE30'!$C:$C,'06. BC BH THEO CUSTOMER-USD'!$D202,'01. KE30'!$F:$F,'06. BC BH THEO CUSTOMER-USD'!$H202,'01. KE30'!$A:$A,'06. BC BH THEO CUSTOMER-USD'!CN$4)/DB202/'02. Tỷ giá'!K$5," -")</f>
        <v xml:space="preserve"> -</v>
      </c>
      <c r="CO202" s="95" t="str">
        <f>IFERROR(SUMIFS('01. KE30'!$R:$R,'01. KE30'!$C:$C,'06. BC BH THEO CUSTOMER-USD'!$D202,'01. KE30'!$F:$F,'06. BC BH THEO CUSTOMER-USD'!$H202,'01. KE30'!$A:$A,'06. BC BH THEO CUSTOMER-USD'!CO$4)/DC202/'02. Tỷ giá'!L$5," -")</f>
        <v xml:space="preserve"> -</v>
      </c>
      <c r="CP202" s="95" t="str">
        <f>IFERROR(SUMIFS('01. KE30'!$R:$R,'01. KE30'!$C:$C,'06. BC BH THEO CUSTOMER-USD'!$D202,'01. KE30'!$F:$F,'06. BC BH THEO CUSTOMER-USD'!$H202,'01. KE30'!$A:$A,'06. BC BH THEO CUSTOMER-USD'!CP$4)/DD202/'02. Tỷ giá'!M$5," -")</f>
        <v xml:space="preserve"> -</v>
      </c>
      <c r="CR202" s="112">
        <f t="shared" si="2331"/>
        <v>2.5000000000000001E-2</v>
      </c>
      <c r="CS202" s="114">
        <f>SUMIFS('01. KE30'!$I:$I,'01. KE30'!$C:$C,'06. BC BH THEO CUSTOMER-USD'!$D202,'01. KE30'!$F:$F,'06. BC BH THEO CUSTOMER-USD'!$H202,'01. KE30'!$A:$A,'06. BC BH THEO CUSTOMER-USD'!CS$4)/1000</f>
        <v>0</v>
      </c>
      <c r="CT202" s="114">
        <f>SUMIFS('01. KE30'!$I:$I,'01. KE30'!$C:$C,'06. BC BH THEO CUSTOMER-USD'!$D202,'01. KE30'!$F:$F,'06. BC BH THEO CUSTOMER-USD'!$H202,'01. KE30'!$A:$A,'06. BC BH THEO CUSTOMER-USD'!CT$4)/1000</f>
        <v>0</v>
      </c>
      <c r="CU202" s="114">
        <f>SUMIFS('01. KE30'!$I:$I,'01. KE30'!$C:$C,'06. BC BH THEO CUSTOMER-USD'!$D202,'01. KE30'!$F:$F,'06. BC BH THEO CUSTOMER-USD'!$H202,'01. KE30'!$A:$A,'06. BC BH THEO CUSTOMER-USD'!CU$4)/1000</f>
        <v>0</v>
      </c>
      <c r="CV202" s="114">
        <f>SUMIFS('01. KE30'!$I:$I,'01. KE30'!$C:$C,'06. BC BH THEO CUSTOMER-USD'!$D202,'01. KE30'!$F:$F,'06. BC BH THEO CUSTOMER-USD'!$H202,'01. KE30'!$A:$A,'06. BC BH THEO CUSTOMER-USD'!CV$4)/1000</f>
        <v>2.5000000000000001E-2</v>
      </c>
      <c r="CW202" s="114">
        <f>SUMIFS('01. KE30'!$I:$I,'01. KE30'!$C:$C,'06. BC BH THEO CUSTOMER-USD'!$D202,'01. KE30'!$F:$F,'06. BC BH THEO CUSTOMER-USD'!$H202,'01. KE30'!$A:$A,'06. BC BH THEO CUSTOMER-USD'!CW$4)/1000</f>
        <v>0</v>
      </c>
      <c r="CX202" s="114">
        <f>SUMIFS('01. KE30'!$I:$I,'01. KE30'!$C:$C,'06. BC BH THEO CUSTOMER-USD'!$D202,'01. KE30'!$F:$F,'06. BC BH THEO CUSTOMER-USD'!$H202,'01. KE30'!$A:$A,'06. BC BH THEO CUSTOMER-USD'!CX$4)/1000</f>
        <v>0</v>
      </c>
      <c r="CY202" s="114">
        <f>SUMIFS('01. KE30'!$I:$I,'01. KE30'!$C:$C,'06. BC BH THEO CUSTOMER-USD'!$D202,'01. KE30'!$F:$F,'06. BC BH THEO CUSTOMER-USD'!$H202,'01. KE30'!$A:$A,'06. BC BH THEO CUSTOMER-USD'!CY$4)/1000</f>
        <v>0</v>
      </c>
      <c r="CZ202" s="114">
        <f>SUMIFS('01. KE30'!$I:$I,'01. KE30'!$C:$C,'06. BC BH THEO CUSTOMER-USD'!$D202,'01. KE30'!$F:$F,'06. BC BH THEO CUSTOMER-USD'!$H202,'01. KE30'!$A:$A,'06. BC BH THEO CUSTOMER-USD'!CZ$4)/1000</f>
        <v>0</v>
      </c>
      <c r="DA202" s="114">
        <f>SUMIFS('01. KE30'!$I:$I,'01. KE30'!$C:$C,'06. BC BH THEO CUSTOMER-USD'!$D202,'01. KE30'!$F:$F,'06. BC BH THEO CUSTOMER-USD'!$H202,'01. KE30'!$A:$A,'06. BC BH THEO CUSTOMER-USD'!DA$4)/1000</f>
        <v>0</v>
      </c>
      <c r="DB202" s="114">
        <f>SUMIFS('01. KE30'!$I:$I,'01. KE30'!$C:$C,'06. BC BH THEO CUSTOMER-USD'!$D202,'01. KE30'!$F:$F,'06. BC BH THEO CUSTOMER-USD'!$H202,'01. KE30'!$A:$A,'06. BC BH THEO CUSTOMER-USD'!DB$4)/1000</f>
        <v>0</v>
      </c>
      <c r="DC202" s="114">
        <f>SUMIFS('01. KE30'!$I:$I,'01. KE30'!$C:$C,'06. BC BH THEO CUSTOMER-USD'!$D202,'01. KE30'!$F:$F,'06. BC BH THEO CUSTOMER-USD'!$H202,'01. KE30'!$A:$A,'06. BC BH THEO CUSTOMER-USD'!DC$4)/1000</f>
        <v>0</v>
      </c>
      <c r="DD202" s="114">
        <f>SUMIFS('01. KE30'!$I:$I,'01. KE30'!$C:$C,'06. BC BH THEO CUSTOMER-USD'!$D202,'01. KE30'!$F:$F,'06. BC BH THEO CUSTOMER-USD'!$H202,'01. KE30'!$A:$A,'06. BC BH THEO CUSTOMER-USD'!DD$4)/1000</f>
        <v>0</v>
      </c>
      <c r="DF202" s="112">
        <f t="shared" si="2332"/>
        <v>14.518002322880372</v>
      </c>
      <c r="DG202" s="54" t="str">
        <f t="shared" si="2333"/>
        <v>-</v>
      </c>
      <c r="DH202" s="54" t="str">
        <f t="shared" si="2334"/>
        <v>-</v>
      </c>
      <c r="DI202" s="54" t="str">
        <f t="shared" si="2335"/>
        <v>-</v>
      </c>
      <c r="DJ202" s="54">
        <f t="shared" si="2336"/>
        <v>14.518002322880372</v>
      </c>
      <c r="DK202" s="54" t="str">
        <f t="shared" si="2337"/>
        <v>-</v>
      </c>
      <c r="DL202" s="54" t="str">
        <f t="shared" si="2338"/>
        <v>-</v>
      </c>
      <c r="DM202" s="54" t="str">
        <f t="shared" si="2339"/>
        <v>-</v>
      </c>
      <c r="DN202" s="54" t="str">
        <f t="shared" si="2340"/>
        <v>-</v>
      </c>
      <c r="DO202" s="54" t="str">
        <f t="shared" si="2341"/>
        <v>-</v>
      </c>
      <c r="DP202" s="54" t="str">
        <f t="shared" si="2342"/>
        <v>-</v>
      </c>
      <c r="DQ202" s="54" t="str">
        <f t="shared" si="2343"/>
        <v>-</v>
      </c>
      <c r="DR202" s="54" t="str">
        <f t="shared" si="2344"/>
        <v>-</v>
      </c>
      <c r="DT202" s="112">
        <f t="shared" si="2345"/>
        <v>-9.7668989547038318</v>
      </c>
      <c r="DU202" s="114">
        <f>IFERROR(SUMIFS('01. KE30'!$X:$X,'01. KE30'!$C:$C,'06. BC BH THEO CUSTOMER-USD'!$D202,'01. KE30'!$F:$F,'06. BC BH THEO CUSTOMER-USD'!$H202,'01. KE30'!$A:$A,'06. BC BH THEO CUSTOMER-USD'!DU$4)-SUMIFS('01. KE30'!$AA:$AA,'01. KE30'!$C:$C,'06. BC BH THEO CUSTOMER-USD'!$D202,'01. KE30'!$F:$F,'06. BC BH THEO CUSTOMER-USD'!$H202,'01. KE30'!$A:$A,'06. BC BH THEO CUSTOMER-USD'!DU$4),"-")</f>
        <v>0</v>
      </c>
      <c r="DV202" s="114">
        <f>IFERROR(SUMIFS('01. KE30'!$X:$X,'01. KE30'!$C:$C,'06. BC BH THEO CUSTOMER-USD'!$D202,'01. KE30'!$F:$F,'06. BC BH THEO CUSTOMER-USD'!$H202,'01. KE30'!$A:$A,'06. BC BH THEO CUSTOMER-USD'!DV$4)-SUMIFS('01. KE30'!$AA:$AA,'01. KE30'!$C:$C,'06. BC BH THEO CUSTOMER-USD'!$D202,'01. KE30'!$F:$F,'06. BC BH THEO CUSTOMER-USD'!$H202,'01. KE30'!$A:$A,'06. BC BH THEO CUSTOMER-USD'!DV$4),"-")</f>
        <v>0</v>
      </c>
      <c r="DW202" s="114">
        <f>IFERROR(SUMIFS('01. KE30'!$X:$X,'01. KE30'!$C:$C,'06. BC BH THEO CUSTOMER-USD'!$D202,'01. KE30'!$F:$F,'06. BC BH THEO CUSTOMER-USD'!$H202,'01. KE30'!$A:$A,'06. BC BH THEO CUSTOMER-USD'!DW$4)-SUMIFS('01. KE30'!$AA:$AA,'01. KE30'!$C:$C,'06. BC BH THEO CUSTOMER-USD'!$D202,'01. KE30'!$F:$F,'06. BC BH THEO CUSTOMER-USD'!$H202,'01. KE30'!$A:$A,'06. BC BH THEO CUSTOMER-USD'!DW$4),"-")</f>
        <v>0</v>
      </c>
      <c r="DX202" s="114">
        <f>IFERROR(SUMIFS('01. KE30'!$X:$X,'01. KE30'!$C:$C,'06. BC BH THEO CUSTOMER-USD'!$D202,'01. KE30'!$F:$F,'06. BC BH THEO CUSTOMER-USD'!$H202,'01. KE30'!$A:$A,'06. BC BH THEO CUSTOMER-USD'!DX$4)-SUMIFS('01. KE30'!$AA:$AA,'01. KE30'!$C:$C,'06. BC BH THEO CUSTOMER-USD'!$D202,'01. KE30'!$F:$F,'06. BC BH THEO CUSTOMER-USD'!$H202,'01. KE30'!$A:$A,'06. BC BH THEO CUSTOMER-USD'!DX$4),"-")</f>
        <v>-9.7668989547038318</v>
      </c>
      <c r="DY202" s="114">
        <f>IFERROR(SUMIFS('01. KE30'!$X:$X,'01. KE30'!$C:$C,'06. BC BH THEO CUSTOMER-USD'!$D202,'01. KE30'!$F:$F,'06. BC BH THEO CUSTOMER-USD'!$H202,'01. KE30'!$A:$A,'06. BC BH THEO CUSTOMER-USD'!DY$4)-SUMIFS('01. KE30'!$AA:$AA,'01. KE30'!$C:$C,'06. BC BH THEO CUSTOMER-USD'!$D202,'01. KE30'!$F:$F,'06. BC BH THEO CUSTOMER-USD'!$H202,'01. KE30'!$A:$A,'06. BC BH THEO CUSTOMER-USD'!DY$4),"-")</f>
        <v>0</v>
      </c>
      <c r="DZ202" s="114">
        <f>IFERROR(SUMIFS('01. KE30'!$X:$X,'01. KE30'!$C:$C,'06. BC BH THEO CUSTOMER-USD'!$D202,'01. KE30'!$F:$F,'06. BC BH THEO CUSTOMER-USD'!$H202,'01. KE30'!$A:$A,'06. BC BH THEO CUSTOMER-USD'!DZ$4)-SUMIFS('01. KE30'!$AA:$AA,'01. KE30'!$C:$C,'06. BC BH THEO CUSTOMER-USD'!$D202,'01. KE30'!$F:$F,'06. BC BH THEO CUSTOMER-USD'!$H202,'01. KE30'!$A:$A,'06. BC BH THEO CUSTOMER-USD'!DZ$4),"-")</f>
        <v>0</v>
      </c>
      <c r="EA202" s="114">
        <f>IFERROR(SUMIFS('01. KE30'!$X:$X,'01. KE30'!$C:$C,'06. BC BH THEO CUSTOMER-USD'!$D202,'01. KE30'!$F:$F,'06. BC BH THEO CUSTOMER-USD'!$H202,'01. KE30'!$A:$A,'06. BC BH THEO CUSTOMER-USD'!EA$4)-SUMIFS('01. KE30'!$AA:$AA,'01. KE30'!$C:$C,'06. BC BH THEO CUSTOMER-USD'!$D202,'01. KE30'!$F:$F,'06. BC BH THEO CUSTOMER-USD'!$H202,'01. KE30'!$A:$A,'06. BC BH THEO CUSTOMER-USD'!EA$4),"-")</f>
        <v>0</v>
      </c>
      <c r="EB202" s="114">
        <f>IFERROR(SUMIFS('01. KE30'!$X:$X,'01. KE30'!$C:$C,'06. BC BH THEO CUSTOMER-USD'!$D202,'01. KE30'!$F:$F,'06. BC BH THEO CUSTOMER-USD'!$H202,'01. KE30'!$A:$A,'06. BC BH THEO CUSTOMER-USD'!EB$4)-SUMIFS('01. KE30'!$AA:$AA,'01. KE30'!$C:$C,'06. BC BH THEO CUSTOMER-USD'!$D202,'01. KE30'!$F:$F,'06. BC BH THEO CUSTOMER-USD'!$H202,'01. KE30'!$A:$A,'06. BC BH THEO CUSTOMER-USD'!EB$4),"-")</f>
        <v>0</v>
      </c>
      <c r="EC202" s="114">
        <f>IFERROR(SUMIFS('01. KE30'!$X:$X,'01. KE30'!$C:$C,'06. BC BH THEO CUSTOMER-USD'!$D202,'01. KE30'!$F:$F,'06. BC BH THEO CUSTOMER-USD'!$H202,'01. KE30'!$A:$A,'06. BC BH THEO CUSTOMER-USD'!EC$4)-SUMIFS('01. KE30'!$AA:$AA,'01. KE30'!$C:$C,'06. BC BH THEO CUSTOMER-USD'!$D202,'01. KE30'!$F:$F,'06. BC BH THEO CUSTOMER-USD'!$H202,'01. KE30'!$A:$A,'06. BC BH THEO CUSTOMER-USD'!EC$4),"-")</f>
        <v>0</v>
      </c>
      <c r="ED202" s="114">
        <f>IFERROR(SUMIFS('01. KE30'!$X:$X,'01. KE30'!$C:$C,'06. BC BH THEO CUSTOMER-USD'!$D202,'01. KE30'!$F:$F,'06. BC BH THEO CUSTOMER-USD'!$H202,'01. KE30'!$A:$A,'06. BC BH THEO CUSTOMER-USD'!ED$4)-SUMIFS('01. KE30'!$AA:$AA,'01. KE30'!$C:$C,'06. BC BH THEO CUSTOMER-USD'!$D202,'01. KE30'!$F:$F,'06. BC BH THEO CUSTOMER-USD'!$H202,'01. KE30'!$A:$A,'06. BC BH THEO CUSTOMER-USD'!ED$4),"-")</f>
        <v>0</v>
      </c>
      <c r="EE202" s="114">
        <f>IFERROR(SUMIFS('01. KE30'!$X:$X,'01. KE30'!$C:$C,'06. BC BH THEO CUSTOMER-USD'!$D202,'01. KE30'!$F:$F,'06. BC BH THEO CUSTOMER-USD'!$H202,'01. KE30'!$A:$A,'06. BC BH THEO CUSTOMER-USD'!EE$4)-SUMIFS('01. KE30'!$AA:$AA,'01. KE30'!$C:$C,'06. BC BH THEO CUSTOMER-USD'!$D202,'01. KE30'!$F:$F,'06. BC BH THEO CUSTOMER-USD'!$H202,'01. KE30'!$A:$A,'06. BC BH THEO CUSTOMER-USD'!EE$4),"-")</f>
        <v>0</v>
      </c>
      <c r="EF202" s="114">
        <f>IFERROR(SUMIFS('01. KE30'!$X:$X,'01. KE30'!$C:$C,'06. BC BH THEO CUSTOMER-USD'!$D202,'01. KE30'!$F:$F,'06. BC BH THEO CUSTOMER-USD'!$H202,'01. KE30'!$A:$A,'06. BC BH THEO CUSTOMER-USD'!EF$4)-SUMIFS('01. KE30'!$AA:$AA,'01. KE30'!$C:$C,'06. BC BH THEO CUSTOMER-USD'!$D202,'01. KE30'!$F:$F,'06. BC BH THEO CUSTOMER-USD'!$H202,'01. KE30'!$A:$A,'06. BC BH THEO CUSTOMER-USD'!EF$4),"-")</f>
        <v>0</v>
      </c>
      <c r="EH202" s="571">
        <f t="shared" si="2346"/>
        <v>-0.6727439999999999</v>
      </c>
      <c r="EI202" s="572" t="str">
        <f t="shared" si="2347"/>
        <v>-</v>
      </c>
      <c r="EJ202" s="572" t="str">
        <f t="shared" si="2348"/>
        <v>-</v>
      </c>
      <c r="EK202" s="572" t="str">
        <f t="shared" si="2349"/>
        <v>-</v>
      </c>
      <c r="EL202" s="572">
        <f t="shared" si="2350"/>
        <v>-0.6727439999999999</v>
      </c>
      <c r="EM202" s="572" t="str">
        <f t="shared" si="2351"/>
        <v>-</v>
      </c>
      <c r="EN202" s="572" t="str">
        <f t="shared" si="2352"/>
        <v>-</v>
      </c>
      <c r="EO202" s="572" t="str">
        <f t="shared" si="2353"/>
        <v>-</v>
      </c>
      <c r="EP202" s="572" t="str">
        <f t="shared" si="2354"/>
        <v>-</v>
      </c>
      <c r="EQ202" s="572" t="str">
        <f t="shared" si="2355"/>
        <v>-</v>
      </c>
      <c r="ER202" s="572" t="str">
        <f t="shared" si="2356"/>
        <v>-</v>
      </c>
      <c r="ES202" s="572" t="str">
        <f t="shared" si="2357"/>
        <v>-</v>
      </c>
      <c r="ET202" s="572" t="str">
        <f t="shared" si="2358"/>
        <v>-</v>
      </c>
    </row>
    <row r="203" spans="1:150" ht="15.5" hidden="1" outlineLevel="1" x14ac:dyDescent="0.35">
      <c r="A203" s="10">
        <f t="shared" si="2477"/>
        <v>10</v>
      </c>
      <c r="B203" s="10" t="s">
        <v>295</v>
      </c>
      <c r="C203" s="442" t="s">
        <v>489</v>
      </c>
      <c r="D203" s="9" t="s">
        <v>710</v>
      </c>
      <c r="E203" s="8" t="s">
        <v>732</v>
      </c>
      <c r="F203" s="12" t="s">
        <v>245</v>
      </c>
      <c r="G203" s="12" t="str">
        <f>_xlfn.XLOOKUP(F203,'Quy đổi'!$G$5:$G$32,'Quy đổi'!$H$5:$H$32,0)</f>
        <v>Nội địa</v>
      </c>
      <c r="H203" s="80" t="s">
        <v>41</v>
      </c>
      <c r="I203" s="20" t="s">
        <v>40</v>
      </c>
      <c r="J203" s="69" t="s">
        <v>22</v>
      </c>
      <c r="K203" s="5"/>
      <c r="L203" s="92">
        <f t="shared" si="2301"/>
        <v>580.72009291521488</v>
      </c>
      <c r="M203" s="106" t="str">
        <f>IFERROR(SUMIFS('01. KE30'!$K:$K,'01. KE30'!$C:$C,'06. BC BH THEO CUSTOMER-USD'!$D203,'01. KE30'!$F:$F,'06. BC BH THEO CUSTOMER-USD'!$H203,'01. KE30'!$A:$A,'06. BC BH THEO CUSTOMER-USD'!M$4)/'06. BC BH THEO CUSTOMER-USD'!CS203/'02. Tỷ giá'!B$5,"-")</f>
        <v>-</v>
      </c>
      <c r="N203" s="106" t="str">
        <f>IFERROR(SUMIFS('01. KE30'!$K:$K,'01. KE30'!$C:$C,'06. BC BH THEO CUSTOMER-USD'!$D203,'01. KE30'!$F:$F,'06. BC BH THEO CUSTOMER-USD'!$H203,'01. KE30'!$A:$A,'06. BC BH THEO CUSTOMER-USD'!N$4)/'06. BC BH THEO CUSTOMER-USD'!CT203/'02. Tỷ giá'!C$5,"-")</f>
        <v>-</v>
      </c>
      <c r="O203" s="106" t="str">
        <f>IFERROR(SUMIFS('01. KE30'!$K:$K,'01. KE30'!$C:$C,'06. BC BH THEO CUSTOMER-USD'!$D203,'01. KE30'!$F:$F,'06. BC BH THEO CUSTOMER-USD'!$H203,'01. KE30'!$A:$A,'06. BC BH THEO CUSTOMER-USD'!O$4)/'06. BC BH THEO CUSTOMER-USD'!CU203/'02. Tỷ giá'!D$5,"-")</f>
        <v>-</v>
      </c>
      <c r="P203" s="106">
        <f>IFERROR(SUMIFS('01. KE30'!$K:$K,'01. KE30'!$C:$C,'06. BC BH THEO CUSTOMER-USD'!$D203,'01. KE30'!$F:$F,'06. BC BH THEO CUSTOMER-USD'!$H203,'01. KE30'!$A:$A,'06. BC BH THEO CUSTOMER-USD'!P$4)/'06. BC BH THEO CUSTOMER-USD'!CV203/'02. Tỷ giá'!E$5,"-")</f>
        <v>580.72009291521488</v>
      </c>
      <c r="Q203" s="106" t="str">
        <f>IFERROR(SUMIFS('01. KE30'!$K:$K,'01. KE30'!$C:$C,'06. BC BH THEO CUSTOMER-USD'!$D203,'01. KE30'!$F:$F,'06. BC BH THEO CUSTOMER-USD'!$H203,'01. KE30'!$A:$A,'06. BC BH THEO CUSTOMER-USD'!Q$4)/'06. BC BH THEO CUSTOMER-USD'!CW203/'02. Tỷ giá'!F$5,"-")</f>
        <v>-</v>
      </c>
      <c r="R203" s="106" t="str">
        <f>IFERROR(SUMIFS('01. KE30'!$K:$K,'01. KE30'!$C:$C,'06. BC BH THEO CUSTOMER-USD'!$D203,'01. KE30'!$F:$F,'06. BC BH THEO CUSTOMER-USD'!$H203,'01. KE30'!$A:$A,'06. BC BH THEO CUSTOMER-USD'!R$4)/'06. BC BH THEO CUSTOMER-USD'!CX203/'02. Tỷ giá'!G$5,"-")</f>
        <v>-</v>
      </c>
      <c r="S203" s="106" t="str">
        <f>IFERROR(SUMIFS('01. KE30'!$K:$K,'01. KE30'!$C:$C,'06. BC BH THEO CUSTOMER-USD'!$D203,'01. KE30'!$F:$F,'06. BC BH THEO CUSTOMER-USD'!$H203,'01. KE30'!$A:$A,'06. BC BH THEO CUSTOMER-USD'!S$4)/'06. BC BH THEO CUSTOMER-USD'!CY203/'02. Tỷ giá'!H$5,"-")</f>
        <v>-</v>
      </c>
      <c r="T203" s="106" t="str">
        <f>IFERROR(SUMIFS('01. KE30'!$K:$K,'01. KE30'!$C:$C,'06. BC BH THEO CUSTOMER-USD'!$D203,'01. KE30'!$F:$F,'06. BC BH THEO CUSTOMER-USD'!$H203,'01. KE30'!$A:$A,'06. BC BH THEO CUSTOMER-USD'!T$4)/'06. BC BH THEO CUSTOMER-USD'!CZ203/'02. Tỷ giá'!I$5,"-")</f>
        <v>-</v>
      </c>
      <c r="U203" s="106" t="str">
        <f>IFERROR(SUMIFS('01. KE30'!$K:$K,'01. KE30'!$C:$C,'06. BC BH THEO CUSTOMER-USD'!$D203,'01. KE30'!$F:$F,'06. BC BH THEO CUSTOMER-USD'!$H203,'01. KE30'!$A:$A,'06. BC BH THEO CUSTOMER-USD'!U$4)/'06. BC BH THEO CUSTOMER-USD'!DA203/'02. Tỷ giá'!J$5,"-")</f>
        <v>-</v>
      </c>
      <c r="V203" s="106" t="str">
        <f>IFERROR(SUMIFS('01. KE30'!$K:$K,'01. KE30'!$C:$C,'06. BC BH THEO CUSTOMER-USD'!$D203,'01. KE30'!$F:$F,'06. BC BH THEO CUSTOMER-USD'!$H203,'01. KE30'!$A:$A,'06. BC BH THEO CUSTOMER-USD'!V$4)/'06. BC BH THEO CUSTOMER-USD'!DB203/'02. Tỷ giá'!K$5,"-")</f>
        <v>-</v>
      </c>
      <c r="W203" s="106" t="str">
        <f>IFERROR(SUMIFS('01. KE30'!$K:$K,'01. KE30'!$C:$C,'06. BC BH THEO CUSTOMER-USD'!$D203,'01. KE30'!$F:$F,'06. BC BH THEO CUSTOMER-USD'!$H203,'01. KE30'!$A:$A,'06. BC BH THEO CUSTOMER-USD'!W$4)/'06. BC BH THEO CUSTOMER-USD'!DC203/'02. Tỷ giá'!L$5,"-")</f>
        <v>-</v>
      </c>
      <c r="X203" s="106" t="str">
        <f>IFERROR(SUMIFS('01. KE30'!$K:$K,'01. KE30'!$C:$C,'06. BC BH THEO CUSTOMER-USD'!$D203,'01. KE30'!$F:$F,'06. BC BH THEO CUSTOMER-USD'!$H203,'01. KE30'!$A:$A,'06. BC BH THEO CUSTOMER-USD'!X$4)/'06. BC BH THEO CUSTOMER-USD'!DD203/'02. Tỷ giá'!M$5,"-")</f>
        <v>-</v>
      </c>
      <c r="Z203" s="92">
        <f t="shared" si="2302"/>
        <v>580.72009291521488</v>
      </c>
      <c r="AA203" s="147" t="str">
        <f>IFERROR(SUMIFS('01. KE30'!$O:$O,'01. KE30'!$C:$C,'06. BC BH THEO CUSTOMER-USD'!$D203,'01. KE30'!$F:$F,'06. BC BH THEO CUSTOMER-USD'!$H203,'01. KE30'!$A:$A,'06. BC BH THEO CUSTOMER-USD'!M$4)/'06. BC BH THEO CUSTOMER-USD'!CS203/'02. Tỷ giá'!B$5,"-")</f>
        <v>-</v>
      </c>
      <c r="AB203" s="147" t="str">
        <f>IFERROR(SUMIFS('01. KE30'!$O:$O,'01. KE30'!$C:$C,'06. BC BH THEO CUSTOMER-USD'!$D203,'01. KE30'!$F:$F,'06. BC BH THEO CUSTOMER-USD'!$H203,'01. KE30'!$A:$A,'06. BC BH THEO CUSTOMER-USD'!N$4)/'06. BC BH THEO CUSTOMER-USD'!CT203/'02. Tỷ giá'!C$5,"-")</f>
        <v>-</v>
      </c>
      <c r="AC203" s="147" t="str">
        <f>IFERROR(SUMIFS('01. KE30'!$O:$O,'01. KE30'!$C:$C,'06. BC BH THEO CUSTOMER-USD'!$D203,'01. KE30'!$F:$F,'06. BC BH THEO CUSTOMER-USD'!$H203,'01. KE30'!$A:$A,'06. BC BH THEO CUSTOMER-USD'!O$4)/'06. BC BH THEO CUSTOMER-USD'!CU203/'02. Tỷ giá'!D$5,"-")</f>
        <v>-</v>
      </c>
      <c r="AD203" s="147">
        <f>IFERROR(SUMIFS('01. KE30'!$O:$O,'01. KE30'!$C:$C,'06. BC BH THEO CUSTOMER-USD'!$D203,'01. KE30'!$F:$F,'06. BC BH THEO CUSTOMER-USD'!$H203,'01. KE30'!$A:$A,'06. BC BH THEO CUSTOMER-USD'!P$4)/'06. BC BH THEO CUSTOMER-USD'!CV203/'02. Tỷ giá'!E$5,"-")</f>
        <v>580.72009291521488</v>
      </c>
      <c r="AE203" s="147" t="str">
        <f>IFERROR(SUMIFS('01. KE30'!$O:$O,'01. KE30'!$C:$C,'06. BC BH THEO CUSTOMER-USD'!$D203,'01. KE30'!$F:$F,'06. BC BH THEO CUSTOMER-USD'!$H203,'01. KE30'!$A:$A,'06. BC BH THEO CUSTOMER-USD'!Q$4)/'06. BC BH THEO CUSTOMER-USD'!CW203/'02. Tỷ giá'!F$5,"-")</f>
        <v>-</v>
      </c>
      <c r="AF203" s="147" t="str">
        <f>IFERROR(SUMIFS('01. KE30'!$O:$O,'01. KE30'!$C:$C,'06. BC BH THEO CUSTOMER-USD'!$D203,'01. KE30'!$F:$F,'06. BC BH THEO CUSTOMER-USD'!$H203,'01. KE30'!$A:$A,'06. BC BH THEO CUSTOMER-USD'!R$4)/'06. BC BH THEO CUSTOMER-USD'!CX203/'02. Tỷ giá'!G$5,"-")</f>
        <v>-</v>
      </c>
      <c r="AG203" s="147" t="str">
        <f>IFERROR(SUMIFS('01. KE30'!$O:$O,'01. KE30'!$C:$C,'06. BC BH THEO CUSTOMER-USD'!$D203,'01. KE30'!$F:$F,'06. BC BH THEO CUSTOMER-USD'!$H203,'01. KE30'!$A:$A,'06. BC BH THEO CUSTOMER-USD'!S$4)/'06. BC BH THEO CUSTOMER-USD'!CY203/'02. Tỷ giá'!H$5,"-")</f>
        <v>-</v>
      </c>
      <c r="AH203" s="147" t="str">
        <f>IFERROR(SUMIFS('01. KE30'!$O:$O,'01. KE30'!$C:$C,'06. BC BH THEO CUSTOMER-USD'!$D203,'01. KE30'!$F:$F,'06. BC BH THEO CUSTOMER-USD'!$H203,'01. KE30'!$A:$A,'06. BC BH THEO CUSTOMER-USD'!T$4)/'06. BC BH THEO CUSTOMER-USD'!CZ203/'02. Tỷ giá'!I$5,"-")</f>
        <v>-</v>
      </c>
      <c r="AI203" s="147" t="str">
        <f>IFERROR(SUMIFS('01. KE30'!$O:$O,'01. KE30'!$C:$C,'06. BC BH THEO CUSTOMER-USD'!$D203,'01. KE30'!$F:$F,'06. BC BH THEO CUSTOMER-USD'!$H203,'01. KE30'!$A:$A,'06. BC BH THEO CUSTOMER-USD'!U$4)/'06. BC BH THEO CUSTOMER-USD'!DA203/'02. Tỷ giá'!J$5,"-")</f>
        <v>-</v>
      </c>
      <c r="AJ203" s="147" t="str">
        <f>IFERROR(SUMIFS('01. KE30'!$O:$O,'01. KE30'!$C:$C,'06. BC BH THEO CUSTOMER-USD'!$D203,'01. KE30'!$F:$F,'06. BC BH THEO CUSTOMER-USD'!$H203,'01. KE30'!$A:$A,'06. BC BH THEO CUSTOMER-USD'!V$4)/'06. BC BH THEO CUSTOMER-USD'!DB203/'02. Tỷ giá'!K$5,"-")</f>
        <v>-</v>
      </c>
      <c r="AK203" s="147" t="str">
        <f>IFERROR(SUMIFS('01. KE30'!$O:$O,'01. KE30'!$C:$C,'06. BC BH THEO CUSTOMER-USD'!$D203,'01. KE30'!$F:$F,'06. BC BH THEO CUSTOMER-USD'!$H203,'01. KE30'!$A:$A,'06. BC BH THEO CUSTOMER-USD'!W$4)/'06. BC BH THEO CUSTOMER-USD'!DC203/'02. Tỷ giá'!L$5,"-")</f>
        <v>-</v>
      </c>
      <c r="AL203" s="147" t="str">
        <f>IFERROR(SUMIFS('01. KE30'!$O:$O,'01. KE30'!$C:$C,'06. BC BH THEO CUSTOMER-USD'!$D203,'01. KE30'!$F:$F,'06. BC BH THEO CUSTOMER-USD'!$H203,'01. KE30'!$A:$A,'06. BC BH THEO CUSTOMER-USD'!X$4)/'06. BC BH THEO CUSTOMER-USD'!DD203/'02. Tỷ giá'!M$5,"-")</f>
        <v>-</v>
      </c>
      <c r="AN203" s="55">
        <f t="shared" si="2303"/>
        <v>740.55555555555554</v>
      </c>
      <c r="AO203" s="4">
        <v>855</v>
      </c>
      <c r="AP203" s="4">
        <v>750</v>
      </c>
      <c r="AQ203" s="4">
        <v>750</v>
      </c>
      <c r="AR203" s="4">
        <v>750</v>
      </c>
      <c r="AS203" s="4">
        <v>720</v>
      </c>
      <c r="AT203" s="4">
        <v>720</v>
      </c>
      <c r="AU203" s="4">
        <v>720</v>
      </c>
      <c r="AV203" s="4">
        <f t="shared" si="2362"/>
        <v>700</v>
      </c>
      <c r="AW203" s="4">
        <v>700</v>
      </c>
      <c r="AX203" s="4"/>
      <c r="AY203" s="4"/>
      <c r="AZ203" s="4"/>
      <c r="BB203" s="95">
        <f t="shared" si="2304"/>
        <v>-159.83546264034067</v>
      </c>
      <c r="BC203" s="95" t="str">
        <f t="shared" si="2305"/>
        <v>-</v>
      </c>
      <c r="BD203" s="95" t="str">
        <f t="shared" si="2306"/>
        <v>-</v>
      </c>
      <c r="BE203" s="95" t="str">
        <f t="shared" si="2307"/>
        <v>-</v>
      </c>
      <c r="BF203" s="95">
        <f t="shared" si="2308"/>
        <v>-169.27990708478512</v>
      </c>
      <c r="BG203" s="95" t="str">
        <f t="shared" si="2309"/>
        <v>-</v>
      </c>
      <c r="BH203" s="95" t="str">
        <f t="shared" si="2310"/>
        <v>-</v>
      </c>
      <c r="BI203" s="95" t="str">
        <f t="shared" si="2311"/>
        <v>-</v>
      </c>
      <c r="BJ203" s="95" t="str">
        <f t="shared" si="2312"/>
        <v>-</v>
      </c>
      <c r="BK203" s="95" t="str">
        <f t="shared" si="2313"/>
        <v>-</v>
      </c>
      <c r="BL203" s="95" t="str">
        <f t="shared" si="2314"/>
        <v>-</v>
      </c>
      <c r="BM203" s="95" t="str">
        <f t="shared" si="2315"/>
        <v>-</v>
      </c>
      <c r="BN203" s="95" t="str">
        <f t="shared" si="2316"/>
        <v>-</v>
      </c>
      <c r="BP203" s="143">
        <f t="shared" si="2317"/>
        <v>-0.21583183252259056</v>
      </c>
      <c r="BQ203" s="143" t="str">
        <f t="shared" si="2318"/>
        <v>-</v>
      </c>
      <c r="BR203" s="143" t="str">
        <f t="shared" si="2319"/>
        <v>-</v>
      </c>
      <c r="BS203" s="143" t="str">
        <f t="shared" si="2320"/>
        <v>-</v>
      </c>
      <c r="BT203" s="143">
        <f t="shared" si="2321"/>
        <v>-0.2257065427797135</v>
      </c>
      <c r="BU203" s="143" t="str">
        <f t="shared" si="2322"/>
        <v>-</v>
      </c>
      <c r="BV203" s="143" t="str">
        <f t="shared" si="2323"/>
        <v>-</v>
      </c>
      <c r="BW203" s="143" t="str">
        <f t="shared" si="2324"/>
        <v>-</v>
      </c>
      <c r="BX203" s="143" t="str">
        <f t="shared" si="2325"/>
        <v>-</v>
      </c>
      <c r="BY203" s="143" t="str">
        <f t="shared" si="2326"/>
        <v>-</v>
      </c>
      <c r="BZ203" s="143" t="str">
        <f t="shared" si="2327"/>
        <v>-</v>
      </c>
      <c r="CA203" s="143" t="str">
        <f t="shared" si="2328"/>
        <v>-</v>
      </c>
      <c r="CB203" s="143" t="str">
        <f t="shared" si="2329"/>
        <v>-</v>
      </c>
      <c r="CD203" s="112">
        <f t="shared" si="2330"/>
        <v>963.76616337591952</v>
      </c>
      <c r="CE203" s="95" t="str">
        <f>IFERROR(SUMIFS('01. KE30'!$R:$R,'01. KE30'!$C:$C,'06. BC BH THEO CUSTOMER-USD'!$D203,'01. KE30'!$F:$F,'06. BC BH THEO CUSTOMER-USD'!$H203,'01. KE30'!$A:$A,'06. BC BH THEO CUSTOMER-USD'!CE$4)/CS203/'02. Tỷ giá'!B$5," -")</f>
        <v xml:space="preserve"> -</v>
      </c>
      <c r="CF203" s="95" t="str">
        <f>IFERROR(SUMIFS('01. KE30'!$R:$R,'01. KE30'!$C:$C,'06. BC BH THEO CUSTOMER-USD'!$D203,'01. KE30'!$F:$F,'06. BC BH THEO CUSTOMER-USD'!$H203,'01. KE30'!$A:$A,'06. BC BH THEO CUSTOMER-USD'!CF$4)/CT203/'02. Tỷ giá'!C$5," -")</f>
        <v xml:space="preserve"> -</v>
      </c>
      <c r="CG203" s="95" t="str">
        <f>IFERROR(SUMIFS('01. KE30'!$R:$R,'01. KE30'!$C:$C,'06. BC BH THEO CUSTOMER-USD'!$D203,'01. KE30'!$F:$F,'06. BC BH THEO CUSTOMER-USD'!$H203,'01. KE30'!$A:$A,'06. BC BH THEO CUSTOMER-USD'!CG$4)/CU203/'02. Tỷ giá'!D$5," -")</f>
        <v xml:space="preserve"> -</v>
      </c>
      <c r="CH203" s="95">
        <f>IFERROR(SUMIFS('01. KE30'!$R:$R,'01. KE30'!$C:$C,'06. BC BH THEO CUSTOMER-USD'!$D203,'01. KE30'!$F:$F,'06. BC BH THEO CUSTOMER-USD'!$H203,'01. KE30'!$A:$A,'06. BC BH THEO CUSTOMER-USD'!CH$4)/CV203/'02. Tỷ giá'!E$5," -")</f>
        <v>963.76616337591952</v>
      </c>
      <c r="CI203" s="95" t="str">
        <f>IFERROR(SUMIFS('01. KE30'!$R:$R,'01. KE30'!$C:$C,'06. BC BH THEO CUSTOMER-USD'!$D203,'01. KE30'!$F:$F,'06. BC BH THEO CUSTOMER-USD'!$H203,'01. KE30'!$A:$A,'06. BC BH THEO CUSTOMER-USD'!CI$4)/CW203/'02. Tỷ giá'!F$5," -")</f>
        <v xml:space="preserve"> -</v>
      </c>
      <c r="CJ203" s="95" t="str">
        <f>IFERROR(SUMIFS('01. KE30'!$R:$R,'01. KE30'!$C:$C,'06. BC BH THEO CUSTOMER-USD'!$D203,'01. KE30'!$F:$F,'06. BC BH THEO CUSTOMER-USD'!$H203,'01. KE30'!$A:$A,'06. BC BH THEO CUSTOMER-USD'!CJ$4)/CX203/'02. Tỷ giá'!G$5," -")</f>
        <v xml:space="preserve"> -</v>
      </c>
      <c r="CK203" s="95" t="str">
        <f>IFERROR(SUMIFS('01. KE30'!$R:$R,'01. KE30'!$C:$C,'06. BC BH THEO CUSTOMER-USD'!$D203,'01. KE30'!$F:$F,'06. BC BH THEO CUSTOMER-USD'!$H203,'01. KE30'!$A:$A,'06. BC BH THEO CUSTOMER-USD'!CK$4)/CY203/'02. Tỷ giá'!H$5," -")</f>
        <v xml:space="preserve"> -</v>
      </c>
      <c r="CL203" s="95" t="str">
        <f>IFERROR(SUMIFS('01. KE30'!$R:$R,'01. KE30'!$C:$C,'06. BC BH THEO CUSTOMER-USD'!$D203,'01. KE30'!$F:$F,'06. BC BH THEO CUSTOMER-USD'!$H203,'01. KE30'!$A:$A,'06. BC BH THEO CUSTOMER-USD'!CL$4)/CZ203/'02. Tỷ giá'!I$5," -")</f>
        <v xml:space="preserve"> -</v>
      </c>
      <c r="CM203" s="95" t="str">
        <f>IFERROR(SUMIFS('01. KE30'!$R:$R,'01. KE30'!$C:$C,'06. BC BH THEO CUSTOMER-USD'!$D203,'01. KE30'!$F:$F,'06. BC BH THEO CUSTOMER-USD'!$H203,'01. KE30'!$A:$A,'06. BC BH THEO CUSTOMER-USD'!CM$4)/DA203/'02. Tỷ giá'!J$5," -")</f>
        <v xml:space="preserve"> -</v>
      </c>
      <c r="CN203" s="95" t="str">
        <f>IFERROR(SUMIFS('01. KE30'!$R:$R,'01. KE30'!$C:$C,'06. BC BH THEO CUSTOMER-USD'!$D203,'01. KE30'!$F:$F,'06. BC BH THEO CUSTOMER-USD'!$H203,'01. KE30'!$A:$A,'06. BC BH THEO CUSTOMER-USD'!CN$4)/DB203/'02. Tỷ giá'!K$5," -")</f>
        <v xml:space="preserve"> -</v>
      </c>
      <c r="CO203" s="95" t="str">
        <f>IFERROR(SUMIFS('01. KE30'!$R:$R,'01. KE30'!$C:$C,'06. BC BH THEO CUSTOMER-USD'!$D203,'01. KE30'!$F:$F,'06. BC BH THEO CUSTOMER-USD'!$H203,'01. KE30'!$A:$A,'06. BC BH THEO CUSTOMER-USD'!CO$4)/DC203/'02. Tỷ giá'!L$5," -")</f>
        <v xml:space="preserve"> -</v>
      </c>
      <c r="CP203" s="95" t="str">
        <f>IFERROR(SUMIFS('01. KE30'!$R:$R,'01. KE30'!$C:$C,'06. BC BH THEO CUSTOMER-USD'!$D203,'01. KE30'!$F:$F,'06. BC BH THEO CUSTOMER-USD'!$H203,'01. KE30'!$A:$A,'06. BC BH THEO CUSTOMER-USD'!CP$4)/DD203/'02. Tỷ giá'!M$5," -")</f>
        <v xml:space="preserve"> -</v>
      </c>
      <c r="CR203" s="112">
        <f t="shared" si="2331"/>
        <v>2.5000000000000001E-2</v>
      </c>
      <c r="CS203" s="114">
        <f>SUMIFS('01. KE30'!$I:$I,'01. KE30'!$C:$C,'06. BC BH THEO CUSTOMER-USD'!$D203,'01. KE30'!$F:$F,'06. BC BH THEO CUSTOMER-USD'!$H203,'01. KE30'!$A:$A,'06. BC BH THEO CUSTOMER-USD'!CS$4)/1000</f>
        <v>0</v>
      </c>
      <c r="CT203" s="114">
        <f>SUMIFS('01. KE30'!$I:$I,'01. KE30'!$C:$C,'06. BC BH THEO CUSTOMER-USD'!$D203,'01. KE30'!$F:$F,'06. BC BH THEO CUSTOMER-USD'!$H203,'01. KE30'!$A:$A,'06. BC BH THEO CUSTOMER-USD'!CT$4)/1000</f>
        <v>0</v>
      </c>
      <c r="CU203" s="114">
        <f>SUMIFS('01. KE30'!$I:$I,'01. KE30'!$C:$C,'06. BC BH THEO CUSTOMER-USD'!$D203,'01. KE30'!$F:$F,'06. BC BH THEO CUSTOMER-USD'!$H203,'01. KE30'!$A:$A,'06. BC BH THEO CUSTOMER-USD'!CU$4)/1000</f>
        <v>0</v>
      </c>
      <c r="CV203" s="114">
        <f>SUMIFS('01. KE30'!$I:$I,'01. KE30'!$C:$C,'06. BC BH THEO CUSTOMER-USD'!$D203,'01. KE30'!$F:$F,'06. BC BH THEO CUSTOMER-USD'!$H203,'01. KE30'!$A:$A,'06. BC BH THEO CUSTOMER-USD'!CV$4)/1000</f>
        <v>2.5000000000000001E-2</v>
      </c>
      <c r="CW203" s="114">
        <f>SUMIFS('01. KE30'!$I:$I,'01. KE30'!$C:$C,'06. BC BH THEO CUSTOMER-USD'!$D203,'01. KE30'!$F:$F,'06. BC BH THEO CUSTOMER-USD'!$H203,'01. KE30'!$A:$A,'06. BC BH THEO CUSTOMER-USD'!CW$4)/1000</f>
        <v>0</v>
      </c>
      <c r="CX203" s="114">
        <f>SUMIFS('01. KE30'!$I:$I,'01. KE30'!$C:$C,'06. BC BH THEO CUSTOMER-USD'!$D203,'01. KE30'!$F:$F,'06. BC BH THEO CUSTOMER-USD'!$H203,'01. KE30'!$A:$A,'06. BC BH THEO CUSTOMER-USD'!CX$4)/1000</f>
        <v>0</v>
      </c>
      <c r="CY203" s="114">
        <f>SUMIFS('01. KE30'!$I:$I,'01. KE30'!$C:$C,'06. BC BH THEO CUSTOMER-USD'!$D203,'01. KE30'!$F:$F,'06. BC BH THEO CUSTOMER-USD'!$H203,'01. KE30'!$A:$A,'06. BC BH THEO CUSTOMER-USD'!CY$4)/1000</f>
        <v>0</v>
      </c>
      <c r="CZ203" s="114">
        <f>SUMIFS('01. KE30'!$I:$I,'01. KE30'!$C:$C,'06. BC BH THEO CUSTOMER-USD'!$D203,'01. KE30'!$F:$F,'06. BC BH THEO CUSTOMER-USD'!$H203,'01. KE30'!$A:$A,'06. BC BH THEO CUSTOMER-USD'!CZ$4)/1000</f>
        <v>0</v>
      </c>
      <c r="DA203" s="114">
        <f>SUMIFS('01. KE30'!$I:$I,'01. KE30'!$C:$C,'06. BC BH THEO CUSTOMER-USD'!$D203,'01. KE30'!$F:$F,'06. BC BH THEO CUSTOMER-USD'!$H203,'01. KE30'!$A:$A,'06. BC BH THEO CUSTOMER-USD'!DA$4)/1000</f>
        <v>0</v>
      </c>
      <c r="DB203" s="114">
        <f>SUMIFS('01. KE30'!$I:$I,'01. KE30'!$C:$C,'06. BC BH THEO CUSTOMER-USD'!$D203,'01. KE30'!$F:$F,'06. BC BH THEO CUSTOMER-USD'!$H203,'01. KE30'!$A:$A,'06. BC BH THEO CUSTOMER-USD'!DB$4)/1000</f>
        <v>0</v>
      </c>
      <c r="DC203" s="114">
        <f>SUMIFS('01. KE30'!$I:$I,'01. KE30'!$C:$C,'06. BC BH THEO CUSTOMER-USD'!$D203,'01. KE30'!$F:$F,'06. BC BH THEO CUSTOMER-USD'!$H203,'01. KE30'!$A:$A,'06. BC BH THEO CUSTOMER-USD'!DC$4)/1000</f>
        <v>0</v>
      </c>
      <c r="DD203" s="114">
        <f>SUMIFS('01. KE30'!$I:$I,'01. KE30'!$C:$C,'06. BC BH THEO CUSTOMER-USD'!$D203,'01. KE30'!$F:$F,'06. BC BH THEO CUSTOMER-USD'!$H203,'01. KE30'!$A:$A,'06. BC BH THEO CUSTOMER-USD'!DD$4)/1000</f>
        <v>0</v>
      </c>
      <c r="DF203" s="112">
        <f t="shared" si="2332"/>
        <v>14.518002322880372</v>
      </c>
      <c r="DG203" s="54" t="str">
        <f t="shared" si="2333"/>
        <v>-</v>
      </c>
      <c r="DH203" s="54" t="str">
        <f t="shared" si="2334"/>
        <v>-</v>
      </c>
      <c r="DI203" s="54" t="str">
        <f t="shared" si="2335"/>
        <v>-</v>
      </c>
      <c r="DJ203" s="54">
        <f t="shared" si="2336"/>
        <v>14.518002322880372</v>
      </c>
      <c r="DK203" s="54" t="str">
        <f t="shared" si="2337"/>
        <v>-</v>
      </c>
      <c r="DL203" s="54" t="str">
        <f t="shared" si="2338"/>
        <v>-</v>
      </c>
      <c r="DM203" s="54" t="str">
        <f t="shared" si="2339"/>
        <v>-</v>
      </c>
      <c r="DN203" s="54" t="str">
        <f t="shared" si="2340"/>
        <v>-</v>
      </c>
      <c r="DO203" s="54" t="str">
        <f t="shared" si="2341"/>
        <v>-</v>
      </c>
      <c r="DP203" s="54" t="str">
        <f t="shared" si="2342"/>
        <v>-</v>
      </c>
      <c r="DQ203" s="54" t="str">
        <f t="shared" si="2343"/>
        <v>-</v>
      </c>
      <c r="DR203" s="54" t="str">
        <f t="shared" si="2344"/>
        <v>-</v>
      </c>
      <c r="DT203" s="112">
        <f t="shared" si="2345"/>
        <v>-9.5761517615176128</v>
      </c>
      <c r="DU203" s="114">
        <f>IFERROR(SUMIFS('01. KE30'!$X:$X,'01. KE30'!$C:$C,'06. BC BH THEO CUSTOMER-USD'!$D203,'01. KE30'!$F:$F,'06. BC BH THEO CUSTOMER-USD'!$H203,'01. KE30'!$A:$A,'06. BC BH THEO CUSTOMER-USD'!DU$4)-SUMIFS('01. KE30'!$AA:$AA,'01. KE30'!$C:$C,'06. BC BH THEO CUSTOMER-USD'!$D203,'01. KE30'!$F:$F,'06. BC BH THEO CUSTOMER-USD'!$H203,'01. KE30'!$A:$A,'06. BC BH THEO CUSTOMER-USD'!DU$4),"-")</f>
        <v>0</v>
      </c>
      <c r="DV203" s="114">
        <f>IFERROR(SUMIFS('01. KE30'!$X:$X,'01. KE30'!$C:$C,'06. BC BH THEO CUSTOMER-USD'!$D203,'01. KE30'!$F:$F,'06. BC BH THEO CUSTOMER-USD'!$H203,'01. KE30'!$A:$A,'06. BC BH THEO CUSTOMER-USD'!DV$4)-SUMIFS('01. KE30'!$AA:$AA,'01. KE30'!$C:$C,'06. BC BH THEO CUSTOMER-USD'!$D203,'01. KE30'!$F:$F,'06. BC BH THEO CUSTOMER-USD'!$H203,'01. KE30'!$A:$A,'06. BC BH THEO CUSTOMER-USD'!DV$4),"-")</f>
        <v>0</v>
      </c>
      <c r="DW203" s="114">
        <f>IFERROR(SUMIFS('01. KE30'!$X:$X,'01. KE30'!$C:$C,'06. BC BH THEO CUSTOMER-USD'!$D203,'01. KE30'!$F:$F,'06. BC BH THEO CUSTOMER-USD'!$H203,'01. KE30'!$A:$A,'06. BC BH THEO CUSTOMER-USD'!DW$4)-SUMIFS('01. KE30'!$AA:$AA,'01. KE30'!$C:$C,'06. BC BH THEO CUSTOMER-USD'!$D203,'01. KE30'!$F:$F,'06. BC BH THEO CUSTOMER-USD'!$H203,'01. KE30'!$A:$A,'06. BC BH THEO CUSTOMER-USD'!DW$4),"-")</f>
        <v>0</v>
      </c>
      <c r="DX203" s="114">
        <f>IFERROR(SUMIFS('01. KE30'!$X:$X,'01. KE30'!$C:$C,'06. BC BH THEO CUSTOMER-USD'!$D203,'01. KE30'!$F:$F,'06. BC BH THEO CUSTOMER-USD'!$H203,'01. KE30'!$A:$A,'06. BC BH THEO CUSTOMER-USD'!DX$4)-SUMIFS('01. KE30'!$AA:$AA,'01. KE30'!$C:$C,'06. BC BH THEO CUSTOMER-USD'!$D203,'01. KE30'!$F:$F,'06. BC BH THEO CUSTOMER-USD'!$H203,'01. KE30'!$A:$A,'06. BC BH THEO CUSTOMER-USD'!DX$4),"-")</f>
        <v>-9.5761517615176128</v>
      </c>
      <c r="DY203" s="114">
        <f>IFERROR(SUMIFS('01. KE30'!$X:$X,'01. KE30'!$C:$C,'06. BC BH THEO CUSTOMER-USD'!$D203,'01. KE30'!$F:$F,'06. BC BH THEO CUSTOMER-USD'!$H203,'01. KE30'!$A:$A,'06. BC BH THEO CUSTOMER-USD'!DY$4)-SUMIFS('01. KE30'!$AA:$AA,'01. KE30'!$C:$C,'06. BC BH THEO CUSTOMER-USD'!$D203,'01. KE30'!$F:$F,'06. BC BH THEO CUSTOMER-USD'!$H203,'01. KE30'!$A:$A,'06. BC BH THEO CUSTOMER-USD'!DY$4),"-")</f>
        <v>0</v>
      </c>
      <c r="DZ203" s="114">
        <f>IFERROR(SUMIFS('01. KE30'!$X:$X,'01. KE30'!$C:$C,'06. BC BH THEO CUSTOMER-USD'!$D203,'01. KE30'!$F:$F,'06. BC BH THEO CUSTOMER-USD'!$H203,'01. KE30'!$A:$A,'06. BC BH THEO CUSTOMER-USD'!DZ$4)-SUMIFS('01. KE30'!$AA:$AA,'01. KE30'!$C:$C,'06. BC BH THEO CUSTOMER-USD'!$D203,'01. KE30'!$F:$F,'06. BC BH THEO CUSTOMER-USD'!$H203,'01. KE30'!$A:$A,'06. BC BH THEO CUSTOMER-USD'!DZ$4),"-")</f>
        <v>0</v>
      </c>
      <c r="EA203" s="114">
        <f>IFERROR(SUMIFS('01. KE30'!$X:$X,'01. KE30'!$C:$C,'06. BC BH THEO CUSTOMER-USD'!$D203,'01. KE30'!$F:$F,'06. BC BH THEO CUSTOMER-USD'!$H203,'01. KE30'!$A:$A,'06. BC BH THEO CUSTOMER-USD'!EA$4)-SUMIFS('01. KE30'!$AA:$AA,'01. KE30'!$C:$C,'06. BC BH THEO CUSTOMER-USD'!$D203,'01. KE30'!$F:$F,'06. BC BH THEO CUSTOMER-USD'!$H203,'01. KE30'!$A:$A,'06. BC BH THEO CUSTOMER-USD'!EA$4),"-")</f>
        <v>0</v>
      </c>
      <c r="EB203" s="114">
        <f>IFERROR(SUMIFS('01. KE30'!$X:$X,'01. KE30'!$C:$C,'06. BC BH THEO CUSTOMER-USD'!$D203,'01. KE30'!$F:$F,'06. BC BH THEO CUSTOMER-USD'!$H203,'01. KE30'!$A:$A,'06. BC BH THEO CUSTOMER-USD'!EB$4)-SUMIFS('01. KE30'!$AA:$AA,'01. KE30'!$C:$C,'06. BC BH THEO CUSTOMER-USD'!$D203,'01. KE30'!$F:$F,'06. BC BH THEO CUSTOMER-USD'!$H203,'01. KE30'!$A:$A,'06. BC BH THEO CUSTOMER-USD'!EB$4),"-")</f>
        <v>0</v>
      </c>
      <c r="EC203" s="114">
        <f>IFERROR(SUMIFS('01. KE30'!$X:$X,'01. KE30'!$C:$C,'06. BC BH THEO CUSTOMER-USD'!$D203,'01. KE30'!$F:$F,'06. BC BH THEO CUSTOMER-USD'!$H203,'01. KE30'!$A:$A,'06. BC BH THEO CUSTOMER-USD'!EC$4)-SUMIFS('01. KE30'!$AA:$AA,'01. KE30'!$C:$C,'06. BC BH THEO CUSTOMER-USD'!$D203,'01. KE30'!$F:$F,'06. BC BH THEO CUSTOMER-USD'!$H203,'01. KE30'!$A:$A,'06. BC BH THEO CUSTOMER-USD'!EC$4),"-")</f>
        <v>0</v>
      </c>
      <c r="ED203" s="114">
        <f>IFERROR(SUMIFS('01. KE30'!$X:$X,'01. KE30'!$C:$C,'06. BC BH THEO CUSTOMER-USD'!$D203,'01. KE30'!$F:$F,'06. BC BH THEO CUSTOMER-USD'!$H203,'01. KE30'!$A:$A,'06. BC BH THEO CUSTOMER-USD'!ED$4)-SUMIFS('01. KE30'!$AA:$AA,'01. KE30'!$C:$C,'06. BC BH THEO CUSTOMER-USD'!$D203,'01. KE30'!$F:$F,'06. BC BH THEO CUSTOMER-USD'!$H203,'01. KE30'!$A:$A,'06. BC BH THEO CUSTOMER-USD'!ED$4),"-")</f>
        <v>0</v>
      </c>
      <c r="EE203" s="114">
        <f>IFERROR(SUMIFS('01. KE30'!$X:$X,'01. KE30'!$C:$C,'06. BC BH THEO CUSTOMER-USD'!$D203,'01. KE30'!$F:$F,'06. BC BH THEO CUSTOMER-USD'!$H203,'01. KE30'!$A:$A,'06. BC BH THEO CUSTOMER-USD'!EE$4)-SUMIFS('01. KE30'!$AA:$AA,'01. KE30'!$C:$C,'06. BC BH THEO CUSTOMER-USD'!$D203,'01. KE30'!$F:$F,'06. BC BH THEO CUSTOMER-USD'!$H203,'01. KE30'!$A:$A,'06. BC BH THEO CUSTOMER-USD'!EE$4),"-")</f>
        <v>0</v>
      </c>
      <c r="EF203" s="114">
        <f>IFERROR(SUMIFS('01. KE30'!$X:$X,'01. KE30'!$C:$C,'06. BC BH THEO CUSTOMER-USD'!$D203,'01. KE30'!$F:$F,'06. BC BH THEO CUSTOMER-USD'!$H203,'01. KE30'!$A:$A,'06. BC BH THEO CUSTOMER-USD'!EF$4)-SUMIFS('01. KE30'!$AA:$AA,'01. KE30'!$C:$C,'06. BC BH THEO CUSTOMER-USD'!$D203,'01. KE30'!$F:$F,'06. BC BH THEO CUSTOMER-USD'!$H203,'01. KE30'!$A:$A,'06. BC BH THEO CUSTOMER-USD'!EF$4),"-")</f>
        <v>0</v>
      </c>
      <c r="EH203" s="571">
        <f t="shared" si="2346"/>
        <v>-0.65960533333333315</v>
      </c>
      <c r="EI203" s="572" t="str">
        <f t="shared" si="2347"/>
        <v>-</v>
      </c>
      <c r="EJ203" s="572" t="str">
        <f t="shared" si="2348"/>
        <v>-</v>
      </c>
      <c r="EK203" s="572" t="str">
        <f t="shared" si="2349"/>
        <v>-</v>
      </c>
      <c r="EL203" s="572">
        <f t="shared" si="2350"/>
        <v>-0.65960533333333315</v>
      </c>
      <c r="EM203" s="572" t="str">
        <f t="shared" si="2351"/>
        <v>-</v>
      </c>
      <c r="EN203" s="572" t="str">
        <f t="shared" si="2352"/>
        <v>-</v>
      </c>
      <c r="EO203" s="572" t="str">
        <f t="shared" si="2353"/>
        <v>-</v>
      </c>
      <c r="EP203" s="572" t="str">
        <f t="shared" si="2354"/>
        <v>-</v>
      </c>
      <c r="EQ203" s="572" t="str">
        <f t="shared" si="2355"/>
        <v>-</v>
      </c>
      <c r="ER203" s="572" t="str">
        <f t="shared" si="2356"/>
        <v>-</v>
      </c>
      <c r="ES203" s="572" t="str">
        <f t="shared" si="2357"/>
        <v>-</v>
      </c>
      <c r="ET203" s="572" t="str">
        <f t="shared" si="2358"/>
        <v>-</v>
      </c>
    </row>
    <row r="204" spans="1:150" ht="15.5" hidden="1" outlineLevel="1" x14ac:dyDescent="0.35">
      <c r="A204" s="10">
        <f t="shared" si="2477"/>
        <v>11</v>
      </c>
      <c r="B204" s="10" t="s">
        <v>295</v>
      </c>
      <c r="C204" s="442" t="s">
        <v>489</v>
      </c>
      <c r="D204" s="9" t="s">
        <v>710</v>
      </c>
      <c r="E204" s="8" t="s">
        <v>732</v>
      </c>
      <c r="F204" s="12" t="s">
        <v>245</v>
      </c>
      <c r="G204" s="12" t="str">
        <f>_xlfn.XLOOKUP(F204,'Quy đổi'!$G$5:$G$32,'Quy đổi'!$H$5:$H$32,0)</f>
        <v>Nội địa</v>
      </c>
      <c r="H204" s="80" t="s">
        <v>43</v>
      </c>
      <c r="I204" s="20" t="s">
        <v>42</v>
      </c>
      <c r="J204" s="69" t="s">
        <v>22</v>
      </c>
      <c r="K204" s="5"/>
      <c r="L204" s="92">
        <f t="shared" si="2301"/>
        <v>580.72009291521488</v>
      </c>
      <c r="M204" s="106" t="str">
        <f>IFERROR(SUMIFS('01. KE30'!$K:$K,'01. KE30'!$C:$C,'06. BC BH THEO CUSTOMER-USD'!$D204,'01. KE30'!$F:$F,'06. BC BH THEO CUSTOMER-USD'!$H204,'01. KE30'!$A:$A,'06. BC BH THEO CUSTOMER-USD'!M$4)/'06. BC BH THEO CUSTOMER-USD'!CS204/'02. Tỷ giá'!B$5,"-")</f>
        <v>-</v>
      </c>
      <c r="N204" s="106" t="str">
        <f>IFERROR(SUMIFS('01. KE30'!$K:$K,'01. KE30'!$C:$C,'06. BC BH THEO CUSTOMER-USD'!$D204,'01. KE30'!$F:$F,'06. BC BH THEO CUSTOMER-USD'!$H204,'01. KE30'!$A:$A,'06. BC BH THEO CUSTOMER-USD'!N$4)/'06. BC BH THEO CUSTOMER-USD'!CT204/'02. Tỷ giá'!C$5,"-")</f>
        <v>-</v>
      </c>
      <c r="O204" s="106" t="str">
        <f>IFERROR(SUMIFS('01. KE30'!$K:$K,'01. KE30'!$C:$C,'06. BC BH THEO CUSTOMER-USD'!$D204,'01. KE30'!$F:$F,'06. BC BH THEO CUSTOMER-USD'!$H204,'01. KE30'!$A:$A,'06. BC BH THEO CUSTOMER-USD'!O$4)/'06. BC BH THEO CUSTOMER-USD'!CU204/'02. Tỷ giá'!D$5,"-")</f>
        <v>-</v>
      </c>
      <c r="P204" s="106">
        <f>IFERROR(SUMIFS('01. KE30'!$K:$K,'01. KE30'!$C:$C,'06. BC BH THEO CUSTOMER-USD'!$D204,'01. KE30'!$F:$F,'06. BC BH THEO CUSTOMER-USD'!$H204,'01. KE30'!$A:$A,'06. BC BH THEO CUSTOMER-USD'!P$4)/'06. BC BH THEO CUSTOMER-USD'!CV204/'02. Tỷ giá'!E$5,"-")</f>
        <v>580.72009291521488</v>
      </c>
      <c r="Q204" s="106" t="str">
        <f>IFERROR(SUMIFS('01. KE30'!$K:$K,'01. KE30'!$C:$C,'06. BC BH THEO CUSTOMER-USD'!$D204,'01. KE30'!$F:$F,'06. BC BH THEO CUSTOMER-USD'!$H204,'01. KE30'!$A:$A,'06. BC BH THEO CUSTOMER-USD'!Q$4)/'06. BC BH THEO CUSTOMER-USD'!CW204/'02. Tỷ giá'!F$5,"-")</f>
        <v>-</v>
      </c>
      <c r="R204" s="106" t="str">
        <f>IFERROR(SUMIFS('01. KE30'!$K:$K,'01. KE30'!$C:$C,'06. BC BH THEO CUSTOMER-USD'!$D204,'01. KE30'!$F:$F,'06. BC BH THEO CUSTOMER-USD'!$H204,'01. KE30'!$A:$A,'06. BC BH THEO CUSTOMER-USD'!R$4)/'06. BC BH THEO CUSTOMER-USD'!CX204/'02. Tỷ giá'!G$5,"-")</f>
        <v>-</v>
      </c>
      <c r="S204" s="106" t="str">
        <f>IFERROR(SUMIFS('01. KE30'!$K:$K,'01. KE30'!$C:$C,'06. BC BH THEO CUSTOMER-USD'!$D204,'01. KE30'!$F:$F,'06. BC BH THEO CUSTOMER-USD'!$H204,'01. KE30'!$A:$A,'06. BC BH THEO CUSTOMER-USD'!S$4)/'06. BC BH THEO CUSTOMER-USD'!CY204/'02. Tỷ giá'!H$5,"-")</f>
        <v>-</v>
      </c>
      <c r="T204" s="106" t="str">
        <f>IFERROR(SUMIFS('01. KE30'!$K:$K,'01. KE30'!$C:$C,'06. BC BH THEO CUSTOMER-USD'!$D204,'01. KE30'!$F:$F,'06. BC BH THEO CUSTOMER-USD'!$H204,'01. KE30'!$A:$A,'06. BC BH THEO CUSTOMER-USD'!T$4)/'06. BC BH THEO CUSTOMER-USD'!CZ204/'02. Tỷ giá'!I$5,"-")</f>
        <v>-</v>
      </c>
      <c r="U204" s="106" t="str">
        <f>IFERROR(SUMIFS('01. KE30'!$K:$K,'01. KE30'!$C:$C,'06. BC BH THEO CUSTOMER-USD'!$D204,'01. KE30'!$F:$F,'06. BC BH THEO CUSTOMER-USD'!$H204,'01. KE30'!$A:$A,'06. BC BH THEO CUSTOMER-USD'!U$4)/'06. BC BH THEO CUSTOMER-USD'!DA204/'02. Tỷ giá'!J$5,"-")</f>
        <v>-</v>
      </c>
      <c r="V204" s="106" t="str">
        <f>IFERROR(SUMIFS('01. KE30'!$K:$K,'01. KE30'!$C:$C,'06. BC BH THEO CUSTOMER-USD'!$D204,'01. KE30'!$F:$F,'06. BC BH THEO CUSTOMER-USD'!$H204,'01. KE30'!$A:$A,'06. BC BH THEO CUSTOMER-USD'!V$4)/'06. BC BH THEO CUSTOMER-USD'!DB204/'02. Tỷ giá'!K$5,"-")</f>
        <v>-</v>
      </c>
      <c r="W204" s="106" t="str">
        <f>IFERROR(SUMIFS('01. KE30'!$K:$K,'01. KE30'!$C:$C,'06. BC BH THEO CUSTOMER-USD'!$D204,'01. KE30'!$F:$F,'06. BC BH THEO CUSTOMER-USD'!$H204,'01. KE30'!$A:$A,'06. BC BH THEO CUSTOMER-USD'!W$4)/'06. BC BH THEO CUSTOMER-USD'!DC204/'02. Tỷ giá'!L$5,"-")</f>
        <v>-</v>
      </c>
      <c r="X204" s="106" t="str">
        <f>IFERROR(SUMIFS('01. KE30'!$K:$K,'01. KE30'!$C:$C,'06. BC BH THEO CUSTOMER-USD'!$D204,'01. KE30'!$F:$F,'06. BC BH THEO CUSTOMER-USD'!$H204,'01. KE30'!$A:$A,'06. BC BH THEO CUSTOMER-USD'!X$4)/'06. BC BH THEO CUSTOMER-USD'!DD204/'02. Tỷ giá'!M$5,"-")</f>
        <v>-</v>
      </c>
      <c r="Z204" s="92">
        <f t="shared" si="2302"/>
        <v>580.72009291521488</v>
      </c>
      <c r="AA204" s="147" t="str">
        <f>IFERROR(SUMIFS('01. KE30'!$O:$O,'01. KE30'!$C:$C,'06. BC BH THEO CUSTOMER-USD'!$D204,'01. KE30'!$F:$F,'06. BC BH THEO CUSTOMER-USD'!$H204,'01. KE30'!$A:$A,'06. BC BH THEO CUSTOMER-USD'!M$4)/'06. BC BH THEO CUSTOMER-USD'!CS204/'02. Tỷ giá'!B$5,"-")</f>
        <v>-</v>
      </c>
      <c r="AB204" s="147" t="str">
        <f>IFERROR(SUMIFS('01. KE30'!$O:$O,'01. KE30'!$C:$C,'06. BC BH THEO CUSTOMER-USD'!$D204,'01. KE30'!$F:$F,'06. BC BH THEO CUSTOMER-USD'!$H204,'01. KE30'!$A:$A,'06. BC BH THEO CUSTOMER-USD'!N$4)/'06. BC BH THEO CUSTOMER-USD'!CT204/'02. Tỷ giá'!C$5,"-")</f>
        <v>-</v>
      </c>
      <c r="AC204" s="147" t="str">
        <f>IFERROR(SUMIFS('01. KE30'!$O:$O,'01. KE30'!$C:$C,'06. BC BH THEO CUSTOMER-USD'!$D204,'01. KE30'!$F:$F,'06. BC BH THEO CUSTOMER-USD'!$H204,'01. KE30'!$A:$A,'06. BC BH THEO CUSTOMER-USD'!O$4)/'06. BC BH THEO CUSTOMER-USD'!CU204/'02. Tỷ giá'!D$5,"-")</f>
        <v>-</v>
      </c>
      <c r="AD204" s="147">
        <f>IFERROR(SUMIFS('01. KE30'!$O:$O,'01. KE30'!$C:$C,'06. BC BH THEO CUSTOMER-USD'!$D204,'01. KE30'!$F:$F,'06. BC BH THEO CUSTOMER-USD'!$H204,'01. KE30'!$A:$A,'06. BC BH THEO CUSTOMER-USD'!P$4)/'06. BC BH THEO CUSTOMER-USD'!CV204/'02. Tỷ giá'!E$5,"-")</f>
        <v>580.72009291521488</v>
      </c>
      <c r="AE204" s="147" t="str">
        <f>IFERROR(SUMIFS('01. KE30'!$O:$O,'01. KE30'!$C:$C,'06. BC BH THEO CUSTOMER-USD'!$D204,'01. KE30'!$F:$F,'06. BC BH THEO CUSTOMER-USD'!$H204,'01. KE30'!$A:$A,'06. BC BH THEO CUSTOMER-USD'!Q$4)/'06. BC BH THEO CUSTOMER-USD'!CW204/'02. Tỷ giá'!F$5,"-")</f>
        <v>-</v>
      </c>
      <c r="AF204" s="147" t="str">
        <f>IFERROR(SUMIFS('01. KE30'!$O:$O,'01. KE30'!$C:$C,'06. BC BH THEO CUSTOMER-USD'!$D204,'01. KE30'!$F:$F,'06. BC BH THEO CUSTOMER-USD'!$H204,'01. KE30'!$A:$A,'06. BC BH THEO CUSTOMER-USD'!R$4)/'06. BC BH THEO CUSTOMER-USD'!CX204/'02. Tỷ giá'!G$5,"-")</f>
        <v>-</v>
      </c>
      <c r="AG204" s="147" t="str">
        <f>IFERROR(SUMIFS('01. KE30'!$O:$O,'01. KE30'!$C:$C,'06. BC BH THEO CUSTOMER-USD'!$D204,'01. KE30'!$F:$F,'06. BC BH THEO CUSTOMER-USD'!$H204,'01. KE30'!$A:$A,'06. BC BH THEO CUSTOMER-USD'!S$4)/'06. BC BH THEO CUSTOMER-USD'!CY204/'02. Tỷ giá'!H$5,"-")</f>
        <v>-</v>
      </c>
      <c r="AH204" s="147" t="str">
        <f>IFERROR(SUMIFS('01. KE30'!$O:$O,'01. KE30'!$C:$C,'06. BC BH THEO CUSTOMER-USD'!$D204,'01. KE30'!$F:$F,'06. BC BH THEO CUSTOMER-USD'!$H204,'01. KE30'!$A:$A,'06. BC BH THEO CUSTOMER-USD'!T$4)/'06. BC BH THEO CUSTOMER-USD'!CZ204/'02. Tỷ giá'!I$5,"-")</f>
        <v>-</v>
      </c>
      <c r="AI204" s="147" t="str">
        <f>IFERROR(SUMIFS('01. KE30'!$O:$O,'01. KE30'!$C:$C,'06. BC BH THEO CUSTOMER-USD'!$D204,'01. KE30'!$F:$F,'06. BC BH THEO CUSTOMER-USD'!$H204,'01. KE30'!$A:$A,'06. BC BH THEO CUSTOMER-USD'!U$4)/'06. BC BH THEO CUSTOMER-USD'!DA204/'02. Tỷ giá'!J$5,"-")</f>
        <v>-</v>
      </c>
      <c r="AJ204" s="147" t="str">
        <f>IFERROR(SUMIFS('01. KE30'!$O:$O,'01. KE30'!$C:$C,'06. BC BH THEO CUSTOMER-USD'!$D204,'01. KE30'!$F:$F,'06. BC BH THEO CUSTOMER-USD'!$H204,'01. KE30'!$A:$A,'06. BC BH THEO CUSTOMER-USD'!V$4)/'06. BC BH THEO CUSTOMER-USD'!DB204/'02. Tỷ giá'!K$5,"-")</f>
        <v>-</v>
      </c>
      <c r="AK204" s="147" t="str">
        <f>IFERROR(SUMIFS('01. KE30'!$O:$O,'01. KE30'!$C:$C,'06. BC BH THEO CUSTOMER-USD'!$D204,'01. KE30'!$F:$F,'06. BC BH THEO CUSTOMER-USD'!$H204,'01. KE30'!$A:$A,'06. BC BH THEO CUSTOMER-USD'!W$4)/'06. BC BH THEO CUSTOMER-USD'!DC204/'02. Tỷ giá'!L$5,"-")</f>
        <v>-</v>
      </c>
      <c r="AL204" s="147" t="str">
        <f>IFERROR(SUMIFS('01. KE30'!$O:$O,'01. KE30'!$C:$C,'06. BC BH THEO CUSTOMER-USD'!$D204,'01. KE30'!$F:$F,'06. BC BH THEO CUSTOMER-USD'!$H204,'01. KE30'!$A:$A,'06. BC BH THEO CUSTOMER-USD'!X$4)/'06. BC BH THEO CUSTOMER-USD'!DD204/'02. Tỷ giá'!M$5,"-")</f>
        <v>-</v>
      </c>
      <c r="AN204" s="55">
        <f t="shared" si="2303"/>
        <v>740.55555555555554</v>
      </c>
      <c r="AO204" s="4">
        <v>855</v>
      </c>
      <c r="AP204" s="4">
        <v>750</v>
      </c>
      <c r="AQ204" s="4">
        <v>750</v>
      </c>
      <c r="AR204" s="4">
        <v>750</v>
      </c>
      <c r="AS204" s="4">
        <v>720</v>
      </c>
      <c r="AT204" s="4">
        <v>720</v>
      </c>
      <c r="AU204" s="4">
        <v>720</v>
      </c>
      <c r="AV204" s="4">
        <f t="shared" si="2362"/>
        <v>700</v>
      </c>
      <c r="AW204" s="4">
        <v>700</v>
      </c>
      <c r="AX204" s="4"/>
      <c r="AY204" s="4"/>
      <c r="AZ204" s="4"/>
      <c r="BB204" s="95">
        <f t="shared" si="2304"/>
        <v>-159.83546264034067</v>
      </c>
      <c r="BC204" s="95" t="str">
        <f t="shared" si="2305"/>
        <v>-</v>
      </c>
      <c r="BD204" s="95" t="str">
        <f t="shared" si="2306"/>
        <v>-</v>
      </c>
      <c r="BE204" s="95" t="str">
        <f t="shared" si="2307"/>
        <v>-</v>
      </c>
      <c r="BF204" s="95">
        <f t="shared" si="2308"/>
        <v>-169.27990708478512</v>
      </c>
      <c r="BG204" s="95" t="str">
        <f t="shared" si="2309"/>
        <v>-</v>
      </c>
      <c r="BH204" s="95" t="str">
        <f t="shared" si="2310"/>
        <v>-</v>
      </c>
      <c r="BI204" s="95" t="str">
        <f t="shared" si="2311"/>
        <v>-</v>
      </c>
      <c r="BJ204" s="95" t="str">
        <f t="shared" si="2312"/>
        <v>-</v>
      </c>
      <c r="BK204" s="95" t="str">
        <f t="shared" si="2313"/>
        <v>-</v>
      </c>
      <c r="BL204" s="95" t="str">
        <f t="shared" si="2314"/>
        <v>-</v>
      </c>
      <c r="BM204" s="95" t="str">
        <f t="shared" si="2315"/>
        <v>-</v>
      </c>
      <c r="BN204" s="95" t="str">
        <f t="shared" si="2316"/>
        <v>-</v>
      </c>
      <c r="BP204" s="143">
        <f t="shared" si="2317"/>
        <v>-0.21583183252259056</v>
      </c>
      <c r="BQ204" s="143" t="str">
        <f t="shared" si="2318"/>
        <v>-</v>
      </c>
      <c r="BR204" s="143" t="str">
        <f t="shared" si="2319"/>
        <v>-</v>
      </c>
      <c r="BS204" s="143" t="str">
        <f t="shared" si="2320"/>
        <v>-</v>
      </c>
      <c r="BT204" s="143">
        <f t="shared" si="2321"/>
        <v>-0.2257065427797135</v>
      </c>
      <c r="BU204" s="143" t="str">
        <f t="shared" si="2322"/>
        <v>-</v>
      </c>
      <c r="BV204" s="143" t="str">
        <f t="shared" si="2323"/>
        <v>-</v>
      </c>
      <c r="BW204" s="143" t="str">
        <f t="shared" si="2324"/>
        <v>-</v>
      </c>
      <c r="BX204" s="143" t="str">
        <f t="shared" si="2325"/>
        <v>-</v>
      </c>
      <c r="BY204" s="143" t="str">
        <f t="shared" si="2326"/>
        <v>-</v>
      </c>
      <c r="BZ204" s="143" t="str">
        <f t="shared" si="2327"/>
        <v>-</v>
      </c>
      <c r="CA204" s="143" t="str">
        <f t="shared" si="2328"/>
        <v>-</v>
      </c>
      <c r="CB204" s="143" t="str">
        <f t="shared" si="2329"/>
        <v>-</v>
      </c>
      <c r="CD204" s="112">
        <f t="shared" si="2330"/>
        <v>968.66434378629503</v>
      </c>
      <c r="CE204" s="95" t="str">
        <f>IFERROR(SUMIFS('01. KE30'!$R:$R,'01. KE30'!$C:$C,'06. BC BH THEO CUSTOMER-USD'!$D204,'01. KE30'!$F:$F,'06. BC BH THEO CUSTOMER-USD'!$H204,'01. KE30'!$A:$A,'06. BC BH THEO CUSTOMER-USD'!CE$4)/CS204/'02. Tỷ giá'!B$5," -")</f>
        <v xml:space="preserve"> -</v>
      </c>
      <c r="CF204" s="95" t="str">
        <f>IFERROR(SUMIFS('01. KE30'!$R:$R,'01. KE30'!$C:$C,'06. BC BH THEO CUSTOMER-USD'!$D204,'01. KE30'!$F:$F,'06. BC BH THEO CUSTOMER-USD'!$H204,'01. KE30'!$A:$A,'06. BC BH THEO CUSTOMER-USD'!CF$4)/CT204/'02. Tỷ giá'!C$5," -")</f>
        <v xml:space="preserve"> -</v>
      </c>
      <c r="CG204" s="95" t="str">
        <f>IFERROR(SUMIFS('01. KE30'!$R:$R,'01. KE30'!$C:$C,'06. BC BH THEO CUSTOMER-USD'!$D204,'01. KE30'!$F:$F,'06. BC BH THEO CUSTOMER-USD'!$H204,'01. KE30'!$A:$A,'06. BC BH THEO CUSTOMER-USD'!CG$4)/CU204/'02. Tỷ giá'!D$5," -")</f>
        <v xml:space="preserve"> -</v>
      </c>
      <c r="CH204" s="95">
        <f>IFERROR(SUMIFS('01. KE30'!$R:$R,'01. KE30'!$C:$C,'06. BC BH THEO CUSTOMER-USD'!$D204,'01. KE30'!$F:$F,'06. BC BH THEO CUSTOMER-USD'!$H204,'01. KE30'!$A:$A,'06. BC BH THEO CUSTOMER-USD'!CH$4)/CV204/'02. Tỷ giá'!E$5," -")</f>
        <v>968.66434378629503</v>
      </c>
      <c r="CI204" s="95" t="str">
        <f>IFERROR(SUMIFS('01. KE30'!$R:$R,'01. KE30'!$C:$C,'06. BC BH THEO CUSTOMER-USD'!$D204,'01. KE30'!$F:$F,'06. BC BH THEO CUSTOMER-USD'!$H204,'01. KE30'!$A:$A,'06. BC BH THEO CUSTOMER-USD'!CI$4)/CW204/'02. Tỷ giá'!F$5," -")</f>
        <v xml:space="preserve"> -</v>
      </c>
      <c r="CJ204" s="95" t="str">
        <f>IFERROR(SUMIFS('01. KE30'!$R:$R,'01. KE30'!$C:$C,'06. BC BH THEO CUSTOMER-USD'!$D204,'01. KE30'!$F:$F,'06. BC BH THEO CUSTOMER-USD'!$H204,'01. KE30'!$A:$A,'06. BC BH THEO CUSTOMER-USD'!CJ$4)/CX204/'02. Tỷ giá'!G$5," -")</f>
        <v xml:space="preserve"> -</v>
      </c>
      <c r="CK204" s="95" t="str">
        <f>IFERROR(SUMIFS('01. KE30'!$R:$R,'01. KE30'!$C:$C,'06. BC BH THEO CUSTOMER-USD'!$D204,'01. KE30'!$F:$F,'06. BC BH THEO CUSTOMER-USD'!$H204,'01. KE30'!$A:$A,'06. BC BH THEO CUSTOMER-USD'!CK$4)/CY204/'02. Tỷ giá'!H$5," -")</f>
        <v xml:space="preserve"> -</v>
      </c>
      <c r="CL204" s="95" t="str">
        <f>IFERROR(SUMIFS('01. KE30'!$R:$R,'01. KE30'!$C:$C,'06. BC BH THEO CUSTOMER-USD'!$D204,'01. KE30'!$F:$F,'06. BC BH THEO CUSTOMER-USD'!$H204,'01. KE30'!$A:$A,'06. BC BH THEO CUSTOMER-USD'!CL$4)/CZ204/'02. Tỷ giá'!I$5," -")</f>
        <v xml:space="preserve"> -</v>
      </c>
      <c r="CM204" s="95" t="str">
        <f>IFERROR(SUMIFS('01. KE30'!$R:$R,'01. KE30'!$C:$C,'06. BC BH THEO CUSTOMER-USD'!$D204,'01. KE30'!$F:$F,'06. BC BH THEO CUSTOMER-USD'!$H204,'01. KE30'!$A:$A,'06. BC BH THEO CUSTOMER-USD'!CM$4)/DA204/'02. Tỷ giá'!J$5," -")</f>
        <v xml:space="preserve"> -</v>
      </c>
      <c r="CN204" s="95" t="str">
        <f>IFERROR(SUMIFS('01. KE30'!$R:$R,'01. KE30'!$C:$C,'06. BC BH THEO CUSTOMER-USD'!$D204,'01. KE30'!$F:$F,'06. BC BH THEO CUSTOMER-USD'!$H204,'01. KE30'!$A:$A,'06. BC BH THEO CUSTOMER-USD'!CN$4)/DB204/'02. Tỷ giá'!K$5," -")</f>
        <v xml:space="preserve"> -</v>
      </c>
      <c r="CO204" s="95" t="str">
        <f>IFERROR(SUMIFS('01. KE30'!$R:$R,'01. KE30'!$C:$C,'06. BC BH THEO CUSTOMER-USD'!$D204,'01. KE30'!$F:$F,'06. BC BH THEO CUSTOMER-USD'!$H204,'01. KE30'!$A:$A,'06. BC BH THEO CUSTOMER-USD'!CO$4)/DC204/'02. Tỷ giá'!L$5," -")</f>
        <v xml:space="preserve"> -</v>
      </c>
      <c r="CP204" s="95" t="str">
        <f>IFERROR(SUMIFS('01. KE30'!$R:$R,'01. KE30'!$C:$C,'06. BC BH THEO CUSTOMER-USD'!$D204,'01. KE30'!$F:$F,'06. BC BH THEO CUSTOMER-USD'!$H204,'01. KE30'!$A:$A,'06. BC BH THEO CUSTOMER-USD'!CP$4)/DD204/'02. Tỷ giá'!M$5," -")</f>
        <v xml:space="preserve"> -</v>
      </c>
      <c r="CR204" s="112">
        <f t="shared" si="2331"/>
        <v>2.5000000000000001E-2</v>
      </c>
      <c r="CS204" s="114">
        <f>SUMIFS('01. KE30'!$I:$I,'01. KE30'!$C:$C,'06. BC BH THEO CUSTOMER-USD'!$D204,'01. KE30'!$F:$F,'06. BC BH THEO CUSTOMER-USD'!$H204,'01. KE30'!$A:$A,'06. BC BH THEO CUSTOMER-USD'!CS$4)/1000</f>
        <v>0</v>
      </c>
      <c r="CT204" s="114">
        <f>SUMIFS('01. KE30'!$I:$I,'01. KE30'!$C:$C,'06. BC BH THEO CUSTOMER-USD'!$D204,'01. KE30'!$F:$F,'06. BC BH THEO CUSTOMER-USD'!$H204,'01. KE30'!$A:$A,'06. BC BH THEO CUSTOMER-USD'!CT$4)/1000</f>
        <v>0</v>
      </c>
      <c r="CU204" s="114">
        <f>SUMIFS('01. KE30'!$I:$I,'01. KE30'!$C:$C,'06. BC BH THEO CUSTOMER-USD'!$D204,'01. KE30'!$F:$F,'06. BC BH THEO CUSTOMER-USD'!$H204,'01. KE30'!$A:$A,'06. BC BH THEO CUSTOMER-USD'!CU$4)/1000</f>
        <v>0</v>
      </c>
      <c r="CV204" s="114">
        <f>SUMIFS('01. KE30'!$I:$I,'01. KE30'!$C:$C,'06. BC BH THEO CUSTOMER-USD'!$D204,'01. KE30'!$F:$F,'06. BC BH THEO CUSTOMER-USD'!$H204,'01. KE30'!$A:$A,'06. BC BH THEO CUSTOMER-USD'!CV$4)/1000</f>
        <v>2.5000000000000001E-2</v>
      </c>
      <c r="CW204" s="114">
        <f>SUMIFS('01. KE30'!$I:$I,'01. KE30'!$C:$C,'06. BC BH THEO CUSTOMER-USD'!$D204,'01. KE30'!$F:$F,'06. BC BH THEO CUSTOMER-USD'!$H204,'01. KE30'!$A:$A,'06. BC BH THEO CUSTOMER-USD'!CW$4)/1000</f>
        <v>0</v>
      </c>
      <c r="CX204" s="114">
        <f>SUMIFS('01. KE30'!$I:$I,'01. KE30'!$C:$C,'06. BC BH THEO CUSTOMER-USD'!$D204,'01. KE30'!$F:$F,'06. BC BH THEO CUSTOMER-USD'!$H204,'01. KE30'!$A:$A,'06. BC BH THEO CUSTOMER-USD'!CX$4)/1000</f>
        <v>0</v>
      </c>
      <c r="CY204" s="114">
        <f>SUMIFS('01. KE30'!$I:$I,'01. KE30'!$C:$C,'06. BC BH THEO CUSTOMER-USD'!$D204,'01. KE30'!$F:$F,'06. BC BH THEO CUSTOMER-USD'!$H204,'01. KE30'!$A:$A,'06. BC BH THEO CUSTOMER-USD'!CY$4)/1000</f>
        <v>0</v>
      </c>
      <c r="CZ204" s="114">
        <f>SUMIFS('01. KE30'!$I:$I,'01. KE30'!$C:$C,'06. BC BH THEO CUSTOMER-USD'!$D204,'01. KE30'!$F:$F,'06. BC BH THEO CUSTOMER-USD'!$H204,'01. KE30'!$A:$A,'06. BC BH THEO CUSTOMER-USD'!CZ$4)/1000</f>
        <v>0</v>
      </c>
      <c r="DA204" s="114">
        <f>SUMIFS('01. KE30'!$I:$I,'01. KE30'!$C:$C,'06. BC BH THEO CUSTOMER-USD'!$D204,'01. KE30'!$F:$F,'06. BC BH THEO CUSTOMER-USD'!$H204,'01. KE30'!$A:$A,'06. BC BH THEO CUSTOMER-USD'!DA$4)/1000</f>
        <v>0</v>
      </c>
      <c r="DB204" s="114">
        <f>SUMIFS('01. KE30'!$I:$I,'01. KE30'!$C:$C,'06. BC BH THEO CUSTOMER-USD'!$D204,'01. KE30'!$F:$F,'06. BC BH THEO CUSTOMER-USD'!$H204,'01. KE30'!$A:$A,'06. BC BH THEO CUSTOMER-USD'!DB$4)/1000</f>
        <v>0</v>
      </c>
      <c r="DC204" s="114">
        <f>SUMIFS('01. KE30'!$I:$I,'01. KE30'!$C:$C,'06. BC BH THEO CUSTOMER-USD'!$D204,'01. KE30'!$F:$F,'06. BC BH THEO CUSTOMER-USD'!$H204,'01. KE30'!$A:$A,'06. BC BH THEO CUSTOMER-USD'!DC$4)/1000</f>
        <v>0</v>
      </c>
      <c r="DD204" s="114">
        <f>SUMIFS('01. KE30'!$I:$I,'01. KE30'!$C:$C,'06. BC BH THEO CUSTOMER-USD'!$D204,'01. KE30'!$F:$F,'06. BC BH THEO CUSTOMER-USD'!$H204,'01. KE30'!$A:$A,'06. BC BH THEO CUSTOMER-USD'!DD$4)/1000</f>
        <v>0</v>
      </c>
      <c r="DF204" s="112">
        <f t="shared" si="2332"/>
        <v>14.518002322880372</v>
      </c>
      <c r="DG204" s="54" t="str">
        <f t="shared" si="2333"/>
        <v>-</v>
      </c>
      <c r="DH204" s="54" t="str">
        <f t="shared" si="2334"/>
        <v>-</v>
      </c>
      <c r="DI204" s="54" t="str">
        <f t="shared" si="2335"/>
        <v>-</v>
      </c>
      <c r="DJ204" s="54">
        <f t="shared" si="2336"/>
        <v>14.518002322880372</v>
      </c>
      <c r="DK204" s="54" t="str">
        <f t="shared" si="2337"/>
        <v>-</v>
      </c>
      <c r="DL204" s="54" t="str">
        <f t="shared" si="2338"/>
        <v>-</v>
      </c>
      <c r="DM204" s="54" t="str">
        <f t="shared" si="2339"/>
        <v>-</v>
      </c>
      <c r="DN204" s="54" t="str">
        <f t="shared" si="2340"/>
        <v>-</v>
      </c>
      <c r="DO204" s="54" t="str">
        <f t="shared" si="2341"/>
        <v>-</v>
      </c>
      <c r="DP204" s="54" t="str">
        <f t="shared" si="2342"/>
        <v>-</v>
      </c>
      <c r="DQ204" s="54" t="str">
        <f t="shared" si="2343"/>
        <v>-</v>
      </c>
      <c r="DR204" s="54" t="str">
        <f t="shared" si="2344"/>
        <v>-</v>
      </c>
      <c r="DT204" s="112">
        <f t="shared" si="2345"/>
        <v>-9.6986062717770043</v>
      </c>
      <c r="DU204" s="114">
        <f>IFERROR(SUMIFS('01. KE30'!$X:$X,'01. KE30'!$C:$C,'06. BC BH THEO CUSTOMER-USD'!$D204,'01. KE30'!$F:$F,'06. BC BH THEO CUSTOMER-USD'!$H204,'01. KE30'!$A:$A,'06. BC BH THEO CUSTOMER-USD'!DU$4)-SUMIFS('01. KE30'!$AA:$AA,'01. KE30'!$C:$C,'06. BC BH THEO CUSTOMER-USD'!$D204,'01. KE30'!$F:$F,'06. BC BH THEO CUSTOMER-USD'!$H204,'01. KE30'!$A:$A,'06. BC BH THEO CUSTOMER-USD'!DU$4),"-")</f>
        <v>0</v>
      </c>
      <c r="DV204" s="114">
        <f>IFERROR(SUMIFS('01. KE30'!$X:$X,'01. KE30'!$C:$C,'06. BC BH THEO CUSTOMER-USD'!$D204,'01. KE30'!$F:$F,'06. BC BH THEO CUSTOMER-USD'!$H204,'01. KE30'!$A:$A,'06. BC BH THEO CUSTOMER-USD'!DV$4)-SUMIFS('01. KE30'!$AA:$AA,'01. KE30'!$C:$C,'06. BC BH THEO CUSTOMER-USD'!$D204,'01. KE30'!$F:$F,'06. BC BH THEO CUSTOMER-USD'!$H204,'01. KE30'!$A:$A,'06. BC BH THEO CUSTOMER-USD'!DV$4),"-")</f>
        <v>0</v>
      </c>
      <c r="DW204" s="114">
        <f>IFERROR(SUMIFS('01. KE30'!$X:$X,'01. KE30'!$C:$C,'06. BC BH THEO CUSTOMER-USD'!$D204,'01. KE30'!$F:$F,'06. BC BH THEO CUSTOMER-USD'!$H204,'01. KE30'!$A:$A,'06. BC BH THEO CUSTOMER-USD'!DW$4)-SUMIFS('01. KE30'!$AA:$AA,'01. KE30'!$C:$C,'06. BC BH THEO CUSTOMER-USD'!$D204,'01. KE30'!$F:$F,'06. BC BH THEO CUSTOMER-USD'!$H204,'01. KE30'!$A:$A,'06. BC BH THEO CUSTOMER-USD'!DW$4),"-")</f>
        <v>0</v>
      </c>
      <c r="DX204" s="114">
        <f>IFERROR(SUMIFS('01. KE30'!$X:$X,'01. KE30'!$C:$C,'06. BC BH THEO CUSTOMER-USD'!$D204,'01. KE30'!$F:$F,'06. BC BH THEO CUSTOMER-USD'!$H204,'01. KE30'!$A:$A,'06. BC BH THEO CUSTOMER-USD'!DX$4)-SUMIFS('01. KE30'!$AA:$AA,'01. KE30'!$C:$C,'06. BC BH THEO CUSTOMER-USD'!$D204,'01. KE30'!$F:$F,'06. BC BH THEO CUSTOMER-USD'!$H204,'01. KE30'!$A:$A,'06. BC BH THEO CUSTOMER-USD'!DX$4),"-")</f>
        <v>-9.6986062717770043</v>
      </c>
      <c r="DY204" s="114">
        <f>IFERROR(SUMIFS('01. KE30'!$X:$X,'01. KE30'!$C:$C,'06. BC BH THEO CUSTOMER-USD'!$D204,'01. KE30'!$F:$F,'06. BC BH THEO CUSTOMER-USD'!$H204,'01. KE30'!$A:$A,'06. BC BH THEO CUSTOMER-USD'!DY$4)-SUMIFS('01. KE30'!$AA:$AA,'01. KE30'!$C:$C,'06. BC BH THEO CUSTOMER-USD'!$D204,'01. KE30'!$F:$F,'06. BC BH THEO CUSTOMER-USD'!$H204,'01. KE30'!$A:$A,'06. BC BH THEO CUSTOMER-USD'!DY$4),"-")</f>
        <v>0</v>
      </c>
      <c r="DZ204" s="114">
        <f>IFERROR(SUMIFS('01. KE30'!$X:$X,'01. KE30'!$C:$C,'06. BC BH THEO CUSTOMER-USD'!$D204,'01. KE30'!$F:$F,'06. BC BH THEO CUSTOMER-USD'!$H204,'01. KE30'!$A:$A,'06. BC BH THEO CUSTOMER-USD'!DZ$4)-SUMIFS('01. KE30'!$AA:$AA,'01. KE30'!$C:$C,'06. BC BH THEO CUSTOMER-USD'!$D204,'01. KE30'!$F:$F,'06. BC BH THEO CUSTOMER-USD'!$H204,'01. KE30'!$A:$A,'06. BC BH THEO CUSTOMER-USD'!DZ$4),"-")</f>
        <v>0</v>
      </c>
      <c r="EA204" s="114">
        <f>IFERROR(SUMIFS('01. KE30'!$X:$X,'01. KE30'!$C:$C,'06. BC BH THEO CUSTOMER-USD'!$D204,'01. KE30'!$F:$F,'06. BC BH THEO CUSTOMER-USD'!$H204,'01. KE30'!$A:$A,'06. BC BH THEO CUSTOMER-USD'!EA$4)-SUMIFS('01. KE30'!$AA:$AA,'01. KE30'!$C:$C,'06. BC BH THEO CUSTOMER-USD'!$D204,'01. KE30'!$F:$F,'06. BC BH THEO CUSTOMER-USD'!$H204,'01. KE30'!$A:$A,'06. BC BH THEO CUSTOMER-USD'!EA$4),"-")</f>
        <v>0</v>
      </c>
      <c r="EB204" s="114">
        <f>IFERROR(SUMIFS('01. KE30'!$X:$X,'01. KE30'!$C:$C,'06. BC BH THEO CUSTOMER-USD'!$D204,'01. KE30'!$F:$F,'06. BC BH THEO CUSTOMER-USD'!$H204,'01. KE30'!$A:$A,'06. BC BH THEO CUSTOMER-USD'!EB$4)-SUMIFS('01. KE30'!$AA:$AA,'01. KE30'!$C:$C,'06. BC BH THEO CUSTOMER-USD'!$D204,'01. KE30'!$F:$F,'06. BC BH THEO CUSTOMER-USD'!$H204,'01. KE30'!$A:$A,'06. BC BH THEO CUSTOMER-USD'!EB$4),"-")</f>
        <v>0</v>
      </c>
      <c r="EC204" s="114">
        <f>IFERROR(SUMIFS('01. KE30'!$X:$X,'01. KE30'!$C:$C,'06. BC BH THEO CUSTOMER-USD'!$D204,'01. KE30'!$F:$F,'06. BC BH THEO CUSTOMER-USD'!$H204,'01. KE30'!$A:$A,'06. BC BH THEO CUSTOMER-USD'!EC$4)-SUMIFS('01. KE30'!$AA:$AA,'01. KE30'!$C:$C,'06. BC BH THEO CUSTOMER-USD'!$D204,'01. KE30'!$F:$F,'06. BC BH THEO CUSTOMER-USD'!$H204,'01. KE30'!$A:$A,'06. BC BH THEO CUSTOMER-USD'!EC$4),"-")</f>
        <v>0</v>
      </c>
      <c r="ED204" s="114">
        <f>IFERROR(SUMIFS('01. KE30'!$X:$X,'01. KE30'!$C:$C,'06. BC BH THEO CUSTOMER-USD'!$D204,'01. KE30'!$F:$F,'06. BC BH THEO CUSTOMER-USD'!$H204,'01. KE30'!$A:$A,'06. BC BH THEO CUSTOMER-USD'!ED$4)-SUMIFS('01. KE30'!$AA:$AA,'01. KE30'!$C:$C,'06. BC BH THEO CUSTOMER-USD'!$D204,'01. KE30'!$F:$F,'06. BC BH THEO CUSTOMER-USD'!$H204,'01. KE30'!$A:$A,'06. BC BH THEO CUSTOMER-USD'!ED$4),"-")</f>
        <v>0</v>
      </c>
      <c r="EE204" s="114">
        <f>IFERROR(SUMIFS('01. KE30'!$X:$X,'01. KE30'!$C:$C,'06. BC BH THEO CUSTOMER-USD'!$D204,'01. KE30'!$F:$F,'06. BC BH THEO CUSTOMER-USD'!$H204,'01. KE30'!$A:$A,'06. BC BH THEO CUSTOMER-USD'!EE$4)-SUMIFS('01. KE30'!$AA:$AA,'01. KE30'!$C:$C,'06. BC BH THEO CUSTOMER-USD'!$D204,'01. KE30'!$F:$F,'06. BC BH THEO CUSTOMER-USD'!$H204,'01. KE30'!$A:$A,'06. BC BH THEO CUSTOMER-USD'!EE$4),"-")</f>
        <v>0</v>
      </c>
      <c r="EF204" s="114">
        <f>IFERROR(SUMIFS('01. KE30'!$X:$X,'01. KE30'!$C:$C,'06. BC BH THEO CUSTOMER-USD'!$D204,'01. KE30'!$F:$F,'06. BC BH THEO CUSTOMER-USD'!$H204,'01. KE30'!$A:$A,'06. BC BH THEO CUSTOMER-USD'!EF$4)-SUMIFS('01. KE30'!$AA:$AA,'01. KE30'!$C:$C,'06. BC BH THEO CUSTOMER-USD'!$D204,'01. KE30'!$F:$F,'06. BC BH THEO CUSTOMER-USD'!$H204,'01. KE30'!$A:$A,'06. BC BH THEO CUSTOMER-USD'!EF$4),"-")</f>
        <v>0</v>
      </c>
      <c r="EH204" s="571">
        <f t="shared" si="2346"/>
        <v>-0.66804000000000008</v>
      </c>
      <c r="EI204" s="572" t="str">
        <f t="shared" si="2347"/>
        <v>-</v>
      </c>
      <c r="EJ204" s="572" t="str">
        <f t="shared" si="2348"/>
        <v>-</v>
      </c>
      <c r="EK204" s="572" t="str">
        <f t="shared" si="2349"/>
        <v>-</v>
      </c>
      <c r="EL204" s="572">
        <f t="shared" si="2350"/>
        <v>-0.66804000000000008</v>
      </c>
      <c r="EM204" s="572" t="str">
        <f t="shared" si="2351"/>
        <v>-</v>
      </c>
      <c r="EN204" s="572" t="str">
        <f t="shared" si="2352"/>
        <v>-</v>
      </c>
      <c r="EO204" s="572" t="str">
        <f t="shared" si="2353"/>
        <v>-</v>
      </c>
      <c r="EP204" s="572" t="str">
        <f t="shared" si="2354"/>
        <v>-</v>
      </c>
      <c r="EQ204" s="572" t="str">
        <f t="shared" si="2355"/>
        <v>-</v>
      </c>
      <c r="ER204" s="572" t="str">
        <f t="shared" si="2356"/>
        <v>-</v>
      </c>
      <c r="ES204" s="572" t="str">
        <f t="shared" si="2357"/>
        <v>-</v>
      </c>
      <c r="ET204" s="572" t="str">
        <f t="shared" si="2358"/>
        <v>-</v>
      </c>
    </row>
    <row r="205" spans="1:150" ht="15.5" hidden="1" outlineLevel="1" x14ac:dyDescent="0.35">
      <c r="A205" s="10">
        <f t="shared" si="2477"/>
        <v>12</v>
      </c>
      <c r="B205" s="10" t="s">
        <v>295</v>
      </c>
      <c r="C205" s="442" t="s">
        <v>489</v>
      </c>
      <c r="D205" s="9" t="s">
        <v>710</v>
      </c>
      <c r="E205" s="8" t="s">
        <v>732</v>
      </c>
      <c r="F205" s="12" t="s">
        <v>245</v>
      </c>
      <c r="G205" s="12" t="str">
        <f>_xlfn.XLOOKUP(F205,'Quy đổi'!$G$5:$G$32,'Quy đổi'!$H$5:$H$32,0)</f>
        <v>Nội địa</v>
      </c>
      <c r="H205" s="80" t="s">
        <v>657</v>
      </c>
      <c r="I205" s="20" t="s">
        <v>658</v>
      </c>
      <c r="J205" s="69" t="s">
        <v>22</v>
      </c>
      <c r="K205" s="5"/>
      <c r="L205" s="92">
        <f t="shared" si="2301"/>
        <v>580.72009291521488</v>
      </c>
      <c r="M205" s="106" t="str">
        <f>IFERROR(SUMIFS('01. KE30'!$K:$K,'01. KE30'!$C:$C,'06. BC BH THEO CUSTOMER-USD'!$D205,'01. KE30'!$F:$F,'06. BC BH THEO CUSTOMER-USD'!$H205,'01. KE30'!$A:$A,'06. BC BH THEO CUSTOMER-USD'!M$4)/'06. BC BH THEO CUSTOMER-USD'!CS205/'02. Tỷ giá'!B$5,"-")</f>
        <v>-</v>
      </c>
      <c r="N205" s="106" t="str">
        <f>IFERROR(SUMIFS('01. KE30'!$K:$K,'01. KE30'!$C:$C,'06. BC BH THEO CUSTOMER-USD'!$D205,'01. KE30'!$F:$F,'06. BC BH THEO CUSTOMER-USD'!$H205,'01. KE30'!$A:$A,'06. BC BH THEO CUSTOMER-USD'!N$4)/'06. BC BH THEO CUSTOMER-USD'!CT205/'02. Tỷ giá'!C$5,"-")</f>
        <v>-</v>
      </c>
      <c r="O205" s="106" t="str">
        <f>IFERROR(SUMIFS('01. KE30'!$K:$K,'01. KE30'!$C:$C,'06. BC BH THEO CUSTOMER-USD'!$D205,'01. KE30'!$F:$F,'06. BC BH THEO CUSTOMER-USD'!$H205,'01. KE30'!$A:$A,'06. BC BH THEO CUSTOMER-USD'!O$4)/'06. BC BH THEO CUSTOMER-USD'!CU205/'02. Tỷ giá'!D$5,"-")</f>
        <v>-</v>
      </c>
      <c r="P205" s="106">
        <f>IFERROR(SUMIFS('01. KE30'!$K:$K,'01. KE30'!$C:$C,'06. BC BH THEO CUSTOMER-USD'!$D205,'01. KE30'!$F:$F,'06. BC BH THEO CUSTOMER-USD'!$H205,'01. KE30'!$A:$A,'06. BC BH THEO CUSTOMER-USD'!P$4)/'06. BC BH THEO CUSTOMER-USD'!CV205/'02. Tỷ giá'!E$5,"-")</f>
        <v>580.72009291521488</v>
      </c>
      <c r="Q205" s="106" t="str">
        <f>IFERROR(SUMIFS('01. KE30'!$K:$K,'01. KE30'!$C:$C,'06. BC BH THEO CUSTOMER-USD'!$D205,'01. KE30'!$F:$F,'06. BC BH THEO CUSTOMER-USD'!$H205,'01. KE30'!$A:$A,'06. BC BH THEO CUSTOMER-USD'!Q$4)/'06. BC BH THEO CUSTOMER-USD'!CW205/'02. Tỷ giá'!F$5,"-")</f>
        <v>-</v>
      </c>
      <c r="R205" s="106" t="str">
        <f>IFERROR(SUMIFS('01. KE30'!$K:$K,'01. KE30'!$C:$C,'06. BC BH THEO CUSTOMER-USD'!$D205,'01. KE30'!$F:$F,'06. BC BH THEO CUSTOMER-USD'!$H205,'01. KE30'!$A:$A,'06. BC BH THEO CUSTOMER-USD'!R$4)/'06. BC BH THEO CUSTOMER-USD'!CX205/'02. Tỷ giá'!G$5,"-")</f>
        <v>-</v>
      </c>
      <c r="S205" s="106" t="str">
        <f>IFERROR(SUMIFS('01. KE30'!$K:$K,'01. KE30'!$C:$C,'06. BC BH THEO CUSTOMER-USD'!$D205,'01. KE30'!$F:$F,'06. BC BH THEO CUSTOMER-USD'!$H205,'01. KE30'!$A:$A,'06. BC BH THEO CUSTOMER-USD'!S$4)/'06. BC BH THEO CUSTOMER-USD'!CY205/'02. Tỷ giá'!H$5,"-")</f>
        <v>-</v>
      </c>
      <c r="T205" s="106" t="str">
        <f>IFERROR(SUMIFS('01. KE30'!$K:$K,'01. KE30'!$C:$C,'06. BC BH THEO CUSTOMER-USD'!$D205,'01. KE30'!$F:$F,'06. BC BH THEO CUSTOMER-USD'!$H205,'01. KE30'!$A:$A,'06. BC BH THEO CUSTOMER-USD'!T$4)/'06. BC BH THEO CUSTOMER-USD'!CZ205/'02. Tỷ giá'!I$5,"-")</f>
        <v>-</v>
      </c>
      <c r="U205" s="106" t="str">
        <f>IFERROR(SUMIFS('01. KE30'!$K:$K,'01. KE30'!$C:$C,'06. BC BH THEO CUSTOMER-USD'!$D205,'01. KE30'!$F:$F,'06. BC BH THEO CUSTOMER-USD'!$H205,'01. KE30'!$A:$A,'06. BC BH THEO CUSTOMER-USD'!U$4)/'06. BC BH THEO CUSTOMER-USD'!DA205/'02. Tỷ giá'!J$5,"-")</f>
        <v>-</v>
      </c>
      <c r="V205" s="106" t="str">
        <f>IFERROR(SUMIFS('01. KE30'!$K:$K,'01. KE30'!$C:$C,'06. BC BH THEO CUSTOMER-USD'!$D205,'01. KE30'!$F:$F,'06. BC BH THEO CUSTOMER-USD'!$H205,'01. KE30'!$A:$A,'06. BC BH THEO CUSTOMER-USD'!V$4)/'06. BC BH THEO CUSTOMER-USD'!DB205/'02. Tỷ giá'!K$5,"-")</f>
        <v>-</v>
      </c>
      <c r="W205" s="106" t="str">
        <f>IFERROR(SUMIFS('01. KE30'!$K:$K,'01. KE30'!$C:$C,'06. BC BH THEO CUSTOMER-USD'!$D205,'01. KE30'!$F:$F,'06. BC BH THEO CUSTOMER-USD'!$H205,'01. KE30'!$A:$A,'06. BC BH THEO CUSTOMER-USD'!W$4)/'06. BC BH THEO CUSTOMER-USD'!DC205/'02. Tỷ giá'!L$5,"-")</f>
        <v>-</v>
      </c>
      <c r="X205" s="106" t="str">
        <f>IFERROR(SUMIFS('01. KE30'!$K:$K,'01. KE30'!$C:$C,'06. BC BH THEO CUSTOMER-USD'!$D205,'01. KE30'!$F:$F,'06. BC BH THEO CUSTOMER-USD'!$H205,'01. KE30'!$A:$A,'06. BC BH THEO CUSTOMER-USD'!X$4)/'06. BC BH THEO CUSTOMER-USD'!DD205/'02. Tỷ giá'!M$5,"-")</f>
        <v>-</v>
      </c>
      <c r="Z205" s="92">
        <f t="shared" si="2302"/>
        <v>580.72009291521488</v>
      </c>
      <c r="AA205" s="147" t="str">
        <f>IFERROR(SUMIFS('01. KE30'!$O:$O,'01. KE30'!$C:$C,'06. BC BH THEO CUSTOMER-USD'!$D205,'01. KE30'!$F:$F,'06. BC BH THEO CUSTOMER-USD'!$H205,'01. KE30'!$A:$A,'06. BC BH THEO CUSTOMER-USD'!M$4)/'06. BC BH THEO CUSTOMER-USD'!CS205/'02. Tỷ giá'!B$5,"-")</f>
        <v>-</v>
      </c>
      <c r="AB205" s="147" t="str">
        <f>IFERROR(SUMIFS('01. KE30'!$O:$O,'01. KE30'!$C:$C,'06. BC BH THEO CUSTOMER-USD'!$D205,'01. KE30'!$F:$F,'06. BC BH THEO CUSTOMER-USD'!$H205,'01. KE30'!$A:$A,'06. BC BH THEO CUSTOMER-USD'!N$4)/'06. BC BH THEO CUSTOMER-USD'!CT205/'02. Tỷ giá'!C$5,"-")</f>
        <v>-</v>
      </c>
      <c r="AC205" s="147" t="str">
        <f>IFERROR(SUMIFS('01. KE30'!$O:$O,'01. KE30'!$C:$C,'06. BC BH THEO CUSTOMER-USD'!$D205,'01. KE30'!$F:$F,'06. BC BH THEO CUSTOMER-USD'!$H205,'01. KE30'!$A:$A,'06. BC BH THEO CUSTOMER-USD'!O$4)/'06. BC BH THEO CUSTOMER-USD'!CU205/'02. Tỷ giá'!D$5,"-")</f>
        <v>-</v>
      </c>
      <c r="AD205" s="147">
        <f>IFERROR(SUMIFS('01. KE30'!$O:$O,'01. KE30'!$C:$C,'06. BC BH THEO CUSTOMER-USD'!$D205,'01. KE30'!$F:$F,'06. BC BH THEO CUSTOMER-USD'!$H205,'01. KE30'!$A:$A,'06. BC BH THEO CUSTOMER-USD'!P$4)/'06. BC BH THEO CUSTOMER-USD'!CV205/'02. Tỷ giá'!E$5,"-")</f>
        <v>580.72009291521488</v>
      </c>
      <c r="AE205" s="147" t="str">
        <f>IFERROR(SUMIFS('01. KE30'!$O:$O,'01. KE30'!$C:$C,'06. BC BH THEO CUSTOMER-USD'!$D205,'01. KE30'!$F:$F,'06. BC BH THEO CUSTOMER-USD'!$H205,'01. KE30'!$A:$A,'06. BC BH THEO CUSTOMER-USD'!Q$4)/'06. BC BH THEO CUSTOMER-USD'!CW205/'02. Tỷ giá'!F$5,"-")</f>
        <v>-</v>
      </c>
      <c r="AF205" s="147" t="str">
        <f>IFERROR(SUMIFS('01. KE30'!$O:$O,'01. KE30'!$C:$C,'06. BC BH THEO CUSTOMER-USD'!$D205,'01. KE30'!$F:$F,'06. BC BH THEO CUSTOMER-USD'!$H205,'01. KE30'!$A:$A,'06. BC BH THEO CUSTOMER-USD'!R$4)/'06. BC BH THEO CUSTOMER-USD'!CX205/'02. Tỷ giá'!G$5,"-")</f>
        <v>-</v>
      </c>
      <c r="AG205" s="147" t="str">
        <f>IFERROR(SUMIFS('01. KE30'!$O:$O,'01. KE30'!$C:$C,'06. BC BH THEO CUSTOMER-USD'!$D205,'01. KE30'!$F:$F,'06. BC BH THEO CUSTOMER-USD'!$H205,'01. KE30'!$A:$A,'06. BC BH THEO CUSTOMER-USD'!S$4)/'06. BC BH THEO CUSTOMER-USD'!CY205/'02. Tỷ giá'!H$5,"-")</f>
        <v>-</v>
      </c>
      <c r="AH205" s="147" t="str">
        <f>IFERROR(SUMIFS('01. KE30'!$O:$O,'01. KE30'!$C:$C,'06. BC BH THEO CUSTOMER-USD'!$D205,'01. KE30'!$F:$F,'06. BC BH THEO CUSTOMER-USD'!$H205,'01. KE30'!$A:$A,'06. BC BH THEO CUSTOMER-USD'!T$4)/'06. BC BH THEO CUSTOMER-USD'!CZ205/'02. Tỷ giá'!I$5,"-")</f>
        <v>-</v>
      </c>
      <c r="AI205" s="147" t="str">
        <f>IFERROR(SUMIFS('01. KE30'!$O:$O,'01. KE30'!$C:$C,'06. BC BH THEO CUSTOMER-USD'!$D205,'01. KE30'!$F:$F,'06. BC BH THEO CUSTOMER-USD'!$H205,'01. KE30'!$A:$A,'06. BC BH THEO CUSTOMER-USD'!U$4)/'06. BC BH THEO CUSTOMER-USD'!DA205/'02. Tỷ giá'!J$5,"-")</f>
        <v>-</v>
      </c>
      <c r="AJ205" s="147" t="str">
        <f>IFERROR(SUMIFS('01. KE30'!$O:$O,'01. KE30'!$C:$C,'06. BC BH THEO CUSTOMER-USD'!$D205,'01. KE30'!$F:$F,'06. BC BH THEO CUSTOMER-USD'!$H205,'01. KE30'!$A:$A,'06. BC BH THEO CUSTOMER-USD'!V$4)/'06. BC BH THEO CUSTOMER-USD'!DB205/'02. Tỷ giá'!K$5,"-")</f>
        <v>-</v>
      </c>
      <c r="AK205" s="147" t="str">
        <f>IFERROR(SUMIFS('01. KE30'!$O:$O,'01. KE30'!$C:$C,'06. BC BH THEO CUSTOMER-USD'!$D205,'01. KE30'!$F:$F,'06. BC BH THEO CUSTOMER-USD'!$H205,'01. KE30'!$A:$A,'06. BC BH THEO CUSTOMER-USD'!W$4)/'06. BC BH THEO CUSTOMER-USD'!DC205/'02. Tỷ giá'!L$5,"-")</f>
        <v>-</v>
      </c>
      <c r="AL205" s="147" t="str">
        <f>IFERROR(SUMIFS('01. KE30'!$O:$O,'01. KE30'!$C:$C,'06. BC BH THEO CUSTOMER-USD'!$D205,'01. KE30'!$F:$F,'06. BC BH THEO CUSTOMER-USD'!$H205,'01. KE30'!$A:$A,'06. BC BH THEO CUSTOMER-USD'!X$4)/'06. BC BH THEO CUSTOMER-USD'!DD205/'02. Tỷ giá'!M$5,"-")</f>
        <v>-</v>
      </c>
      <c r="AN205" s="55">
        <f t="shared" si="2303"/>
        <v>740.55555555555554</v>
      </c>
      <c r="AO205" s="4">
        <v>855</v>
      </c>
      <c r="AP205" s="4">
        <v>750</v>
      </c>
      <c r="AQ205" s="4">
        <v>750</v>
      </c>
      <c r="AR205" s="4">
        <v>750</v>
      </c>
      <c r="AS205" s="4">
        <v>720</v>
      </c>
      <c r="AT205" s="4">
        <v>720</v>
      </c>
      <c r="AU205" s="4">
        <v>720</v>
      </c>
      <c r="AV205" s="4">
        <f t="shared" si="2362"/>
        <v>700</v>
      </c>
      <c r="AW205" s="4">
        <v>700</v>
      </c>
      <c r="AX205" s="4"/>
      <c r="AY205" s="4"/>
      <c r="AZ205" s="4"/>
      <c r="BB205" s="95">
        <f t="shared" si="2304"/>
        <v>-159.83546264034067</v>
      </c>
      <c r="BC205" s="95" t="str">
        <f t="shared" si="2305"/>
        <v>-</v>
      </c>
      <c r="BD205" s="95" t="str">
        <f t="shared" si="2306"/>
        <v>-</v>
      </c>
      <c r="BE205" s="95" t="str">
        <f t="shared" si="2307"/>
        <v>-</v>
      </c>
      <c r="BF205" s="95">
        <f t="shared" si="2308"/>
        <v>-169.27990708478512</v>
      </c>
      <c r="BG205" s="95" t="str">
        <f t="shared" si="2309"/>
        <v>-</v>
      </c>
      <c r="BH205" s="95" t="str">
        <f t="shared" si="2310"/>
        <v>-</v>
      </c>
      <c r="BI205" s="95" t="str">
        <f t="shared" si="2311"/>
        <v>-</v>
      </c>
      <c r="BJ205" s="95" t="str">
        <f t="shared" si="2312"/>
        <v>-</v>
      </c>
      <c r="BK205" s="95" t="str">
        <f t="shared" si="2313"/>
        <v>-</v>
      </c>
      <c r="BL205" s="95" t="str">
        <f t="shared" si="2314"/>
        <v>-</v>
      </c>
      <c r="BM205" s="95" t="str">
        <f t="shared" si="2315"/>
        <v>-</v>
      </c>
      <c r="BN205" s="95" t="str">
        <f t="shared" si="2316"/>
        <v>-</v>
      </c>
      <c r="BP205" s="143">
        <f t="shared" si="2317"/>
        <v>-0.21583183252259056</v>
      </c>
      <c r="BQ205" s="143" t="str">
        <f t="shared" si="2318"/>
        <v>-</v>
      </c>
      <c r="BR205" s="143" t="str">
        <f t="shared" si="2319"/>
        <v>-</v>
      </c>
      <c r="BS205" s="143" t="str">
        <f t="shared" si="2320"/>
        <v>-</v>
      </c>
      <c r="BT205" s="143">
        <f t="shared" si="2321"/>
        <v>-0.2257065427797135</v>
      </c>
      <c r="BU205" s="143" t="str">
        <f t="shared" si="2322"/>
        <v>-</v>
      </c>
      <c r="BV205" s="143" t="str">
        <f t="shared" si="2323"/>
        <v>-</v>
      </c>
      <c r="BW205" s="143" t="str">
        <f t="shared" si="2324"/>
        <v>-</v>
      </c>
      <c r="BX205" s="143" t="str">
        <f t="shared" si="2325"/>
        <v>-</v>
      </c>
      <c r="BY205" s="143" t="str">
        <f t="shared" si="2326"/>
        <v>-</v>
      </c>
      <c r="BZ205" s="143" t="str">
        <f t="shared" si="2327"/>
        <v>-</v>
      </c>
      <c r="CA205" s="143" t="str">
        <f t="shared" si="2328"/>
        <v>-</v>
      </c>
      <c r="CB205" s="143" t="str">
        <f t="shared" si="2329"/>
        <v>-</v>
      </c>
      <c r="CD205" s="112">
        <f t="shared" si="2330"/>
        <v>812.98025551684088</v>
      </c>
      <c r="CE205" s="95" t="str">
        <f>IFERROR(SUMIFS('01. KE30'!$R:$R,'01. KE30'!$C:$C,'06. BC BH THEO CUSTOMER-USD'!$D205,'01. KE30'!$F:$F,'06. BC BH THEO CUSTOMER-USD'!$H205,'01. KE30'!$A:$A,'06. BC BH THEO CUSTOMER-USD'!CE$4)/CS205/'02. Tỷ giá'!B$5," -")</f>
        <v xml:space="preserve"> -</v>
      </c>
      <c r="CF205" s="95" t="str">
        <f>IFERROR(SUMIFS('01. KE30'!$R:$R,'01. KE30'!$C:$C,'06. BC BH THEO CUSTOMER-USD'!$D205,'01. KE30'!$F:$F,'06. BC BH THEO CUSTOMER-USD'!$H205,'01. KE30'!$A:$A,'06. BC BH THEO CUSTOMER-USD'!CF$4)/CT205/'02. Tỷ giá'!C$5," -")</f>
        <v xml:space="preserve"> -</v>
      </c>
      <c r="CG205" s="95" t="str">
        <f>IFERROR(SUMIFS('01. KE30'!$R:$R,'01. KE30'!$C:$C,'06. BC BH THEO CUSTOMER-USD'!$D205,'01. KE30'!$F:$F,'06. BC BH THEO CUSTOMER-USD'!$H205,'01. KE30'!$A:$A,'06. BC BH THEO CUSTOMER-USD'!CG$4)/CU205/'02. Tỷ giá'!D$5," -")</f>
        <v xml:space="preserve"> -</v>
      </c>
      <c r="CH205" s="95">
        <f>IFERROR(SUMIFS('01. KE30'!$R:$R,'01. KE30'!$C:$C,'06. BC BH THEO CUSTOMER-USD'!$D205,'01. KE30'!$F:$F,'06. BC BH THEO CUSTOMER-USD'!$H205,'01. KE30'!$A:$A,'06. BC BH THEO CUSTOMER-USD'!CH$4)/CV205/'02. Tỷ giá'!E$5," -")</f>
        <v>812.98025551684088</v>
      </c>
      <c r="CI205" s="95" t="str">
        <f>IFERROR(SUMIFS('01. KE30'!$R:$R,'01. KE30'!$C:$C,'06. BC BH THEO CUSTOMER-USD'!$D205,'01. KE30'!$F:$F,'06. BC BH THEO CUSTOMER-USD'!$H205,'01. KE30'!$A:$A,'06. BC BH THEO CUSTOMER-USD'!CI$4)/CW205/'02. Tỷ giá'!F$5," -")</f>
        <v xml:space="preserve"> -</v>
      </c>
      <c r="CJ205" s="95" t="str">
        <f>IFERROR(SUMIFS('01. KE30'!$R:$R,'01. KE30'!$C:$C,'06. BC BH THEO CUSTOMER-USD'!$D205,'01. KE30'!$F:$F,'06. BC BH THEO CUSTOMER-USD'!$H205,'01. KE30'!$A:$A,'06. BC BH THEO CUSTOMER-USD'!CJ$4)/CX205/'02. Tỷ giá'!G$5," -")</f>
        <v xml:space="preserve"> -</v>
      </c>
      <c r="CK205" s="95" t="str">
        <f>IFERROR(SUMIFS('01. KE30'!$R:$R,'01. KE30'!$C:$C,'06. BC BH THEO CUSTOMER-USD'!$D205,'01. KE30'!$F:$F,'06. BC BH THEO CUSTOMER-USD'!$H205,'01. KE30'!$A:$A,'06. BC BH THEO CUSTOMER-USD'!CK$4)/CY205/'02. Tỷ giá'!H$5," -")</f>
        <v xml:space="preserve"> -</v>
      </c>
      <c r="CL205" s="95" t="str">
        <f>IFERROR(SUMIFS('01. KE30'!$R:$R,'01. KE30'!$C:$C,'06. BC BH THEO CUSTOMER-USD'!$D205,'01. KE30'!$F:$F,'06. BC BH THEO CUSTOMER-USD'!$H205,'01. KE30'!$A:$A,'06. BC BH THEO CUSTOMER-USD'!CL$4)/CZ205/'02. Tỷ giá'!I$5," -")</f>
        <v xml:space="preserve"> -</v>
      </c>
      <c r="CM205" s="95" t="str">
        <f>IFERROR(SUMIFS('01. KE30'!$R:$R,'01. KE30'!$C:$C,'06. BC BH THEO CUSTOMER-USD'!$D205,'01. KE30'!$F:$F,'06. BC BH THEO CUSTOMER-USD'!$H205,'01. KE30'!$A:$A,'06. BC BH THEO CUSTOMER-USD'!CM$4)/DA205/'02. Tỷ giá'!J$5," -")</f>
        <v xml:space="preserve"> -</v>
      </c>
      <c r="CN205" s="95" t="str">
        <f>IFERROR(SUMIFS('01. KE30'!$R:$R,'01. KE30'!$C:$C,'06. BC BH THEO CUSTOMER-USD'!$D205,'01. KE30'!$F:$F,'06. BC BH THEO CUSTOMER-USD'!$H205,'01. KE30'!$A:$A,'06. BC BH THEO CUSTOMER-USD'!CN$4)/DB205/'02. Tỷ giá'!K$5," -")</f>
        <v xml:space="preserve"> -</v>
      </c>
      <c r="CO205" s="95" t="str">
        <f>IFERROR(SUMIFS('01. KE30'!$R:$R,'01. KE30'!$C:$C,'06. BC BH THEO CUSTOMER-USD'!$D205,'01. KE30'!$F:$F,'06. BC BH THEO CUSTOMER-USD'!$H205,'01. KE30'!$A:$A,'06. BC BH THEO CUSTOMER-USD'!CO$4)/DC205/'02. Tỷ giá'!L$5," -")</f>
        <v xml:space="preserve"> -</v>
      </c>
      <c r="CP205" s="95" t="str">
        <f>IFERROR(SUMIFS('01. KE30'!$R:$R,'01. KE30'!$C:$C,'06. BC BH THEO CUSTOMER-USD'!$D205,'01. KE30'!$F:$F,'06. BC BH THEO CUSTOMER-USD'!$H205,'01. KE30'!$A:$A,'06. BC BH THEO CUSTOMER-USD'!CP$4)/DD205/'02. Tỷ giá'!M$5," -")</f>
        <v xml:space="preserve"> -</v>
      </c>
      <c r="CR205" s="112">
        <f t="shared" si="2331"/>
        <v>2.5000000000000001E-2</v>
      </c>
      <c r="CS205" s="114">
        <f>SUMIFS('01. KE30'!$I:$I,'01. KE30'!$C:$C,'06. BC BH THEO CUSTOMER-USD'!$D205,'01. KE30'!$F:$F,'06. BC BH THEO CUSTOMER-USD'!$H205,'01. KE30'!$A:$A,'06. BC BH THEO CUSTOMER-USD'!CS$4)/1000</f>
        <v>0</v>
      </c>
      <c r="CT205" s="114">
        <f>SUMIFS('01. KE30'!$I:$I,'01. KE30'!$C:$C,'06. BC BH THEO CUSTOMER-USD'!$D205,'01. KE30'!$F:$F,'06. BC BH THEO CUSTOMER-USD'!$H205,'01. KE30'!$A:$A,'06. BC BH THEO CUSTOMER-USD'!CT$4)/1000</f>
        <v>0</v>
      </c>
      <c r="CU205" s="114">
        <f>SUMIFS('01. KE30'!$I:$I,'01. KE30'!$C:$C,'06. BC BH THEO CUSTOMER-USD'!$D205,'01. KE30'!$F:$F,'06. BC BH THEO CUSTOMER-USD'!$H205,'01. KE30'!$A:$A,'06. BC BH THEO CUSTOMER-USD'!CU$4)/1000</f>
        <v>0</v>
      </c>
      <c r="CV205" s="114">
        <f>SUMIFS('01. KE30'!$I:$I,'01. KE30'!$C:$C,'06. BC BH THEO CUSTOMER-USD'!$D205,'01. KE30'!$F:$F,'06. BC BH THEO CUSTOMER-USD'!$H205,'01. KE30'!$A:$A,'06. BC BH THEO CUSTOMER-USD'!CV$4)/1000</f>
        <v>2.5000000000000001E-2</v>
      </c>
      <c r="CW205" s="114">
        <f>SUMIFS('01. KE30'!$I:$I,'01. KE30'!$C:$C,'06. BC BH THEO CUSTOMER-USD'!$D205,'01. KE30'!$F:$F,'06. BC BH THEO CUSTOMER-USD'!$H205,'01. KE30'!$A:$A,'06. BC BH THEO CUSTOMER-USD'!CW$4)/1000</f>
        <v>0</v>
      </c>
      <c r="CX205" s="114">
        <f>SUMIFS('01. KE30'!$I:$I,'01. KE30'!$C:$C,'06. BC BH THEO CUSTOMER-USD'!$D205,'01. KE30'!$F:$F,'06. BC BH THEO CUSTOMER-USD'!$H205,'01. KE30'!$A:$A,'06. BC BH THEO CUSTOMER-USD'!CX$4)/1000</f>
        <v>0</v>
      </c>
      <c r="CY205" s="114">
        <f>SUMIFS('01. KE30'!$I:$I,'01. KE30'!$C:$C,'06. BC BH THEO CUSTOMER-USD'!$D205,'01. KE30'!$F:$F,'06. BC BH THEO CUSTOMER-USD'!$H205,'01. KE30'!$A:$A,'06. BC BH THEO CUSTOMER-USD'!CY$4)/1000</f>
        <v>0</v>
      </c>
      <c r="CZ205" s="114">
        <f>SUMIFS('01. KE30'!$I:$I,'01. KE30'!$C:$C,'06. BC BH THEO CUSTOMER-USD'!$D205,'01. KE30'!$F:$F,'06. BC BH THEO CUSTOMER-USD'!$H205,'01. KE30'!$A:$A,'06. BC BH THEO CUSTOMER-USD'!CZ$4)/1000</f>
        <v>0</v>
      </c>
      <c r="DA205" s="114">
        <f>SUMIFS('01. KE30'!$I:$I,'01. KE30'!$C:$C,'06. BC BH THEO CUSTOMER-USD'!$D205,'01. KE30'!$F:$F,'06. BC BH THEO CUSTOMER-USD'!$H205,'01. KE30'!$A:$A,'06. BC BH THEO CUSTOMER-USD'!DA$4)/1000</f>
        <v>0</v>
      </c>
      <c r="DB205" s="114">
        <f>SUMIFS('01. KE30'!$I:$I,'01. KE30'!$C:$C,'06. BC BH THEO CUSTOMER-USD'!$D205,'01. KE30'!$F:$F,'06. BC BH THEO CUSTOMER-USD'!$H205,'01. KE30'!$A:$A,'06. BC BH THEO CUSTOMER-USD'!DB$4)/1000</f>
        <v>0</v>
      </c>
      <c r="DC205" s="114">
        <f>SUMIFS('01. KE30'!$I:$I,'01. KE30'!$C:$C,'06. BC BH THEO CUSTOMER-USD'!$D205,'01. KE30'!$F:$F,'06. BC BH THEO CUSTOMER-USD'!$H205,'01. KE30'!$A:$A,'06. BC BH THEO CUSTOMER-USD'!DC$4)/1000</f>
        <v>0</v>
      </c>
      <c r="DD205" s="114">
        <f>SUMIFS('01. KE30'!$I:$I,'01. KE30'!$C:$C,'06. BC BH THEO CUSTOMER-USD'!$D205,'01. KE30'!$F:$F,'06. BC BH THEO CUSTOMER-USD'!$H205,'01. KE30'!$A:$A,'06. BC BH THEO CUSTOMER-USD'!DD$4)/1000</f>
        <v>0</v>
      </c>
      <c r="DF205" s="112">
        <f t="shared" si="2332"/>
        <v>14.518002322880372</v>
      </c>
      <c r="DG205" s="54" t="str">
        <f t="shared" si="2333"/>
        <v>-</v>
      </c>
      <c r="DH205" s="54" t="str">
        <f t="shared" si="2334"/>
        <v>-</v>
      </c>
      <c r="DI205" s="54" t="str">
        <f t="shared" si="2335"/>
        <v>-</v>
      </c>
      <c r="DJ205" s="54">
        <f t="shared" si="2336"/>
        <v>14.518002322880372</v>
      </c>
      <c r="DK205" s="54" t="str">
        <f t="shared" si="2337"/>
        <v>-</v>
      </c>
      <c r="DL205" s="54" t="str">
        <f t="shared" si="2338"/>
        <v>-</v>
      </c>
      <c r="DM205" s="54" t="str">
        <f t="shared" si="2339"/>
        <v>-</v>
      </c>
      <c r="DN205" s="54" t="str">
        <f t="shared" si="2340"/>
        <v>-</v>
      </c>
      <c r="DO205" s="54" t="str">
        <f t="shared" si="2341"/>
        <v>-</v>
      </c>
      <c r="DP205" s="54" t="str">
        <f t="shared" si="2342"/>
        <v>-</v>
      </c>
      <c r="DQ205" s="54" t="str">
        <f t="shared" si="2343"/>
        <v>-</v>
      </c>
      <c r="DR205" s="54" t="str">
        <f t="shared" si="2344"/>
        <v>-</v>
      </c>
      <c r="DT205" s="112">
        <f t="shared" si="2345"/>
        <v>-5.8065040650406505</v>
      </c>
      <c r="DU205" s="114">
        <f>IFERROR(SUMIFS('01. KE30'!$X:$X,'01. KE30'!$C:$C,'06. BC BH THEO CUSTOMER-USD'!$D205,'01. KE30'!$F:$F,'06. BC BH THEO CUSTOMER-USD'!$H205,'01. KE30'!$A:$A,'06. BC BH THEO CUSTOMER-USD'!DU$4)-SUMIFS('01. KE30'!$AA:$AA,'01. KE30'!$C:$C,'06. BC BH THEO CUSTOMER-USD'!$D205,'01. KE30'!$F:$F,'06. BC BH THEO CUSTOMER-USD'!$H205,'01. KE30'!$A:$A,'06. BC BH THEO CUSTOMER-USD'!DU$4),"-")</f>
        <v>0</v>
      </c>
      <c r="DV205" s="114">
        <f>IFERROR(SUMIFS('01. KE30'!$X:$X,'01. KE30'!$C:$C,'06. BC BH THEO CUSTOMER-USD'!$D205,'01. KE30'!$F:$F,'06. BC BH THEO CUSTOMER-USD'!$H205,'01. KE30'!$A:$A,'06. BC BH THEO CUSTOMER-USD'!DV$4)-SUMIFS('01. KE30'!$AA:$AA,'01. KE30'!$C:$C,'06. BC BH THEO CUSTOMER-USD'!$D205,'01. KE30'!$F:$F,'06. BC BH THEO CUSTOMER-USD'!$H205,'01. KE30'!$A:$A,'06. BC BH THEO CUSTOMER-USD'!DV$4),"-")</f>
        <v>0</v>
      </c>
      <c r="DW205" s="114">
        <f>IFERROR(SUMIFS('01. KE30'!$X:$X,'01. KE30'!$C:$C,'06. BC BH THEO CUSTOMER-USD'!$D205,'01. KE30'!$F:$F,'06. BC BH THEO CUSTOMER-USD'!$H205,'01. KE30'!$A:$A,'06. BC BH THEO CUSTOMER-USD'!DW$4)-SUMIFS('01. KE30'!$AA:$AA,'01. KE30'!$C:$C,'06. BC BH THEO CUSTOMER-USD'!$D205,'01. KE30'!$F:$F,'06. BC BH THEO CUSTOMER-USD'!$H205,'01. KE30'!$A:$A,'06. BC BH THEO CUSTOMER-USD'!DW$4),"-")</f>
        <v>0</v>
      </c>
      <c r="DX205" s="114">
        <f>IFERROR(SUMIFS('01. KE30'!$X:$X,'01. KE30'!$C:$C,'06. BC BH THEO CUSTOMER-USD'!$D205,'01. KE30'!$F:$F,'06. BC BH THEO CUSTOMER-USD'!$H205,'01. KE30'!$A:$A,'06. BC BH THEO CUSTOMER-USD'!DX$4)-SUMIFS('01. KE30'!$AA:$AA,'01. KE30'!$C:$C,'06. BC BH THEO CUSTOMER-USD'!$D205,'01. KE30'!$F:$F,'06. BC BH THEO CUSTOMER-USD'!$H205,'01. KE30'!$A:$A,'06. BC BH THEO CUSTOMER-USD'!DX$4),"-")</f>
        <v>-5.8065040650406505</v>
      </c>
      <c r="DY205" s="114">
        <f>IFERROR(SUMIFS('01. KE30'!$X:$X,'01. KE30'!$C:$C,'06. BC BH THEO CUSTOMER-USD'!$D205,'01. KE30'!$F:$F,'06. BC BH THEO CUSTOMER-USD'!$H205,'01. KE30'!$A:$A,'06. BC BH THEO CUSTOMER-USD'!DY$4)-SUMIFS('01. KE30'!$AA:$AA,'01. KE30'!$C:$C,'06. BC BH THEO CUSTOMER-USD'!$D205,'01. KE30'!$F:$F,'06. BC BH THEO CUSTOMER-USD'!$H205,'01. KE30'!$A:$A,'06. BC BH THEO CUSTOMER-USD'!DY$4),"-")</f>
        <v>0</v>
      </c>
      <c r="DZ205" s="114">
        <f>IFERROR(SUMIFS('01. KE30'!$X:$X,'01. KE30'!$C:$C,'06. BC BH THEO CUSTOMER-USD'!$D205,'01. KE30'!$F:$F,'06. BC BH THEO CUSTOMER-USD'!$H205,'01. KE30'!$A:$A,'06. BC BH THEO CUSTOMER-USD'!DZ$4)-SUMIFS('01. KE30'!$AA:$AA,'01. KE30'!$C:$C,'06. BC BH THEO CUSTOMER-USD'!$D205,'01. KE30'!$F:$F,'06. BC BH THEO CUSTOMER-USD'!$H205,'01. KE30'!$A:$A,'06. BC BH THEO CUSTOMER-USD'!DZ$4),"-")</f>
        <v>0</v>
      </c>
      <c r="EA205" s="114">
        <f>IFERROR(SUMIFS('01. KE30'!$X:$X,'01. KE30'!$C:$C,'06. BC BH THEO CUSTOMER-USD'!$D205,'01. KE30'!$F:$F,'06. BC BH THEO CUSTOMER-USD'!$H205,'01. KE30'!$A:$A,'06. BC BH THEO CUSTOMER-USD'!EA$4)-SUMIFS('01. KE30'!$AA:$AA,'01. KE30'!$C:$C,'06. BC BH THEO CUSTOMER-USD'!$D205,'01. KE30'!$F:$F,'06. BC BH THEO CUSTOMER-USD'!$H205,'01. KE30'!$A:$A,'06. BC BH THEO CUSTOMER-USD'!EA$4),"-")</f>
        <v>0</v>
      </c>
      <c r="EB205" s="114">
        <f>IFERROR(SUMIFS('01. KE30'!$X:$X,'01. KE30'!$C:$C,'06. BC BH THEO CUSTOMER-USD'!$D205,'01. KE30'!$F:$F,'06. BC BH THEO CUSTOMER-USD'!$H205,'01. KE30'!$A:$A,'06. BC BH THEO CUSTOMER-USD'!EB$4)-SUMIFS('01. KE30'!$AA:$AA,'01. KE30'!$C:$C,'06. BC BH THEO CUSTOMER-USD'!$D205,'01. KE30'!$F:$F,'06. BC BH THEO CUSTOMER-USD'!$H205,'01. KE30'!$A:$A,'06. BC BH THEO CUSTOMER-USD'!EB$4),"-")</f>
        <v>0</v>
      </c>
      <c r="EC205" s="114">
        <f>IFERROR(SUMIFS('01. KE30'!$X:$X,'01. KE30'!$C:$C,'06. BC BH THEO CUSTOMER-USD'!$D205,'01. KE30'!$F:$F,'06. BC BH THEO CUSTOMER-USD'!$H205,'01. KE30'!$A:$A,'06. BC BH THEO CUSTOMER-USD'!EC$4)-SUMIFS('01. KE30'!$AA:$AA,'01. KE30'!$C:$C,'06. BC BH THEO CUSTOMER-USD'!$D205,'01. KE30'!$F:$F,'06. BC BH THEO CUSTOMER-USD'!$H205,'01. KE30'!$A:$A,'06. BC BH THEO CUSTOMER-USD'!EC$4),"-")</f>
        <v>0</v>
      </c>
      <c r="ED205" s="114">
        <f>IFERROR(SUMIFS('01. KE30'!$X:$X,'01. KE30'!$C:$C,'06. BC BH THEO CUSTOMER-USD'!$D205,'01. KE30'!$F:$F,'06. BC BH THEO CUSTOMER-USD'!$H205,'01. KE30'!$A:$A,'06. BC BH THEO CUSTOMER-USD'!ED$4)-SUMIFS('01. KE30'!$AA:$AA,'01. KE30'!$C:$C,'06. BC BH THEO CUSTOMER-USD'!$D205,'01. KE30'!$F:$F,'06. BC BH THEO CUSTOMER-USD'!$H205,'01. KE30'!$A:$A,'06. BC BH THEO CUSTOMER-USD'!ED$4),"-")</f>
        <v>0</v>
      </c>
      <c r="EE205" s="114">
        <f>IFERROR(SUMIFS('01. KE30'!$X:$X,'01. KE30'!$C:$C,'06. BC BH THEO CUSTOMER-USD'!$D205,'01. KE30'!$F:$F,'06. BC BH THEO CUSTOMER-USD'!$H205,'01. KE30'!$A:$A,'06. BC BH THEO CUSTOMER-USD'!EE$4)-SUMIFS('01. KE30'!$AA:$AA,'01. KE30'!$C:$C,'06. BC BH THEO CUSTOMER-USD'!$D205,'01. KE30'!$F:$F,'06. BC BH THEO CUSTOMER-USD'!$H205,'01. KE30'!$A:$A,'06. BC BH THEO CUSTOMER-USD'!EE$4),"-")</f>
        <v>0</v>
      </c>
      <c r="EF205" s="114">
        <f>IFERROR(SUMIFS('01. KE30'!$X:$X,'01. KE30'!$C:$C,'06. BC BH THEO CUSTOMER-USD'!$D205,'01. KE30'!$F:$F,'06. BC BH THEO CUSTOMER-USD'!$H205,'01. KE30'!$A:$A,'06. BC BH THEO CUSTOMER-USD'!EF$4)-SUMIFS('01. KE30'!$AA:$AA,'01. KE30'!$C:$C,'06. BC BH THEO CUSTOMER-USD'!$D205,'01. KE30'!$F:$F,'06. BC BH THEO CUSTOMER-USD'!$H205,'01. KE30'!$A:$A,'06. BC BH THEO CUSTOMER-USD'!EF$4),"-")</f>
        <v>0</v>
      </c>
      <c r="EH205" s="571">
        <f t="shared" si="2346"/>
        <v>-0.39995199999999997</v>
      </c>
      <c r="EI205" s="572" t="str">
        <f t="shared" si="2347"/>
        <v>-</v>
      </c>
      <c r="EJ205" s="572" t="str">
        <f t="shared" si="2348"/>
        <v>-</v>
      </c>
      <c r="EK205" s="572" t="str">
        <f t="shared" si="2349"/>
        <v>-</v>
      </c>
      <c r="EL205" s="572">
        <f t="shared" si="2350"/>
        <v>-0.39995199999999997</v>
      </c>
      <c r="EM205" s="572" t="str">
        <f t="shared" si="2351"/>
        <v>-</v>
      </c>
      <c r="EN205" s="572" t="str">
        <f t="shared" si="2352"/>
        <v>-</v>
      </c>
      <c r="EO205" s="572" t="str">
        <f t="shared" si="2353"/>
        <v>-</v>
      </c>
      <c r="EP205" s="572" t="str">
        <f t="shared" si="2354"/>
        <v>-</v>
      </c>
      <c r="EQ205" s="572" t="str">
        <f t="shared" si="2355"/>
        <v>-</v>
      </c>
      <c r="ER205" s="572" t="str">
        <f t="shared" si="2356"/>
        <v>-</v>
      </c>
      <c r="ES205" s="572" t="str">
        <f t="shared" si="2357"/>
        <v>-</v>
      </c>
      <c r="ET205" s="572" t="str">
        <f t="shared" si="2358"/>
        <v>-</v>
      </c>
    </row>
    <row r="206" spans="1:150" ht="15.5" hidden="1" outlineLevel="1" x14ac:dyDescent="0.35">
      <c r="A206" s="10">
        <f t="shared" si="2477"/>
        <v>13</v>
      </c>
      <c r="B206" s="10" t="s">
        <v>295</v>
      </c>
      <c r="C206" s="442" t="s">
        <v>489</v>
      </c>
      <c r="D206" s="9" t="s">
        <v>710</v>
      </c>
      <c r="E206" s="8" t="s">
        <v>732</v>
      </c>
      <c r="F206" s="12" t="s">
        <v>245</v>
      </c>
      <c r="G206" s="12" t="str">
        <f>_xlfn.XLOOKUP(F206,'Quy đổi'!$G$5:$G$32,'Quy đổi'!$H$5:$H$32,0)</f>
        <v>Nội địa</v>
      </c>
      <c r="H206" s="80" t="s">
        <v>653</v>
      </c>
      <c r="I206" s="20" t="s">
        <v>654</v>
      </c>
      <c r="J206" s="69" t="s">
        <v>22</v>
      </c>
      <c r="K206" s="5"/>
      <c r="L206" s="92">
        <f>IFERROR(AVERAGE(M206:X206),"-")</f>
        <v>580.72009291521488</v>
      </c>
      <c r="M206" s="106" t="str">
        <f>IFERROR(SUMIFS('01. KE30'!$K:$K,'01. KE30'!$C:$C,'06. BC BH THEO CUSTOMER-USD'!$D206,'01. KE30'!$F:$F,'06. BC BH THEO CUSTOMER-USD'!$H206,'01. KE30'!$A:$A,'06. BC BH THEO CUSTOMER-USD'!M$4)/'06. BC BH THEO CUSTOMER-USD'!CS206/'02. Tỷ giá'!B$5,"-")</f>
        <v>-</v>
      </c>
      <c r="N206" s="106" t="str">
        <f>IFERROR(SUMIFS('01. KE30'!$K:$K,'01. KE30'!$C:$C,'06. BC BH THEO CUSTOMER-USD'!$D206,'01. KE30'!$F:$F,'06. BC BH THEO CUSTOMER-USD'!$H206,'01. KE30'!$A:$A,'06. BC BH THEO CUSTOMER-USD'!N$4)/'06. BC BH THEO CUSTOMER-USD'!CT206/'02. Tỷ giá'!C$5,"-")</f>
        <v>-</v>
      </c>
      <c r="O206" s="106" t="str">
        <f>IFERROR(SUMIFS('01. KE30'!$K:$K,'01. KE30'!$C:$C,'06. BC BH THEO CUSTOMER-USD'!$D206,'01. KE30'!$F:$F,'06. BC BH THEO CUSTOMER-USD'!$H206,'01. KE30'!$A:$A,'06. BC BH THEO CUSTOMER-USD'!O$4)/'06. BC BH THEO CUSTOMER-USD'!CU206/'02. Tỷ giá'!D$5,"-")</f>
        <v>-</v>
      </c>
      <c r="P206" s="106">
        <f>IFERROR(SUMIFS('01. KE30'!$K:$K,'01. KE30'!$C:$C,'06. BC BH THEO CUSTOMER-USD'!$D206,'01. KE30'!$F:$F,'06. BC BH THEO CUSTOMER-USD'!$H206,'01. KE30'!$A:$A,'06. BC BH THEO CUSTOMER-USD'!P$4)/'06. BC BH THEO CUSTOMER-USD'!CV206/'02. Tỷ giá'!E$5,"-")</f>
        <v>580.72009291521488</v>
      </c>
      <c r="Q206" s="106" t="str">
        <f>IFERROR(SUMIFS('01. KE30'!$K:$K,'01. KE30'!$C:$C,'06. BC BH THEO CUSTOMER-USD'!$D206,'01. KE30'!$F:$F,'06. BC BH THEO CUSTOMER-USD'!$H206,'01. KE30'!$A:$A,'06. BC BH THEO CUSTOMER-USD'!Q$4)/'06. BC BH THEO CUSTOMER-USD'!CW206/'02. Tỷ giá'!F$5,"-")</f>
        <v>-</v>
      </c>
      <c r="R206" s="106" t="str">
        <f>IFERROR(SUMIFS('01. KE30'!$K:$K,'01. KE30'!$C:$C,'06. BC BH THEO CUSTOMER-USD'!$D206,'01. KE30'!$F:$F,'06. BC BH THEO CUSTOMER-USD'!$H206,'01. KE30'!$A:$A,'06. BC BH THEO CUSTOMER-USD'!R$4)/'06. BC BH THEO CUSTOMER-USD'!CX206/'02. Tỷ giá'!G$5,"-")</f>
        <v>-</v>
      </c>
      <c r="S206" s="106" t="str">
        <f>IFERROR(SUMIFS('01. KE30'!$K:$K,'01. KE30'!$C:$C,'06. BC BH THEO CUSTOMER-USD'!$D206,'01. KE30'!$F:$F,'06. BC BH THEO CUSTOMER-USD'!$H206,'01. KE30'!$A:$A,'06. BC BH THEO CUSTOMER-USD'!S$4)/'06. BC BH THEO CUSTOMER-USD'!CY206/'02. Tỷ giá'!H$5,"-")</f>
        <v>-</v>
      </c>
      <c r="T206" s="106" t="str">
        <f>IFERROR(SUMIFS('01. KE30'!$K:$K,'01. KE30'!$C:$C,'06. BC BH THEO CUSTOMER-USD'!$D206,'01. KE30'!$F:$F,'06. BC BH THEO CUSTOMER-USD'!$H206,'01. KE30'!$A:$A,'06. BC BH THEO CUSTOMER-USD'!T$4)/'06. BC BH THEO CUSTOMER-USD'!CZ206/'02. Tỷ giá'!I$5,"-")</f>
        <v>-</v>
      </c>
      <c r="U206" s="106" t="str">
        <f>IFERROR(SUMIFS('01. KE30'!$K:$K,'01. KE30'!$C:$C,'06. BC BH THEO CUSTOMER-USD'!$D206,'01. KE30'!$F:$F,'06. BC BH THEO CUSTOMER-USD'!$H206,'01. KE30'!$A:$A,'06. BC BH THEO CUSTOMER-USD'!U$4)/'06. BC BH THEO CUSTOMER-USD'!DA206/'02. Tỷ giá'!J$5,"-")</f>
        <v>-</v>
      </c>
      <c r="V206" s="106" t="str">
        <f>IFERROR(SUMIFS('01. KE30'!$K:$K,'01. KE30'!$C:$C,'06. BC BH THEO CUSTOMER-USD'!$D206,'01. KE30'!$F:$F,'06. BC BH THEO CUSTOMER-USD'!$H206,'01. KE30'!$A:$A,'06. BC BH THEO CUSTOMER-USD'!V$4)/'06. BC BH THEO CUSTOMER-USD'!DB206/'02. Tỷ giá'!K$5,"-")</f>
        <v>-</v>
      </c>
      <c r="W206" s="106" t="str">
        <f>IFERROR(SUMIFS('01. KE30'!$K:$K,'01. KE30'!$C:$C,'06. BC BH THEO CUSTOMER-USD'!$D206,'01. KE30'!$F:$F,'06. BC BH THEO CUSTOMER-USD'!$H206,'01. KE30'!$A:$A,'06. BC BH THEO CUSTOMER-USD'!W$4)/'06. BC BH THEO CUSTOMER-USD'!DC206/'02. Tỷ giá'!L$5,"-")</f>
        <v>-</v>
      </c>
      <c r="X206" s="106" t="str">
        <f>IFERROR(SUMIFS('01. KE30'!$K:$K,'01. KE30'!$C:$C,'06. BC BH THEO CUSTOMER-USD'!$D206,'01. KE30'!$F:$F,'06. BC BH THEO CUSTOMER-USD'!$H206,'01. KE30'!$A:$A,'06. BC BH THEO CUSTOMER-USD'!X$4)/'06. BC BH THEO CUSTOMER-USD'!DD206/'02. Tỷ giá'!M$5,"-")</f>
        <v>-</v>
      </c>
      <c r="Z206" s="92">
        <f>IFERROR(AVERAGE(AA206:AL206),"-")</f>
        <v>580.72009291521488</v>
      </c>
      <c r="AA206" s="147" t="str">
        <f>IFERROR(SUMIFS('01. KE30'!$O:$O,'01. KE30'!$C:$C,'06. BC BH THEO CUSTOMER-USD'!$D206,'01. KE30'!$F:$F,'06. BC BH THEO CUSTOMER-USD'!$H206,'01. KE30'!$A:$A,'06. BC BH THEO CUSTOMER-USD'!M$4)/'06. BC BH THEO CUSTOMER-USD'!CS206/'02. Tỷ giá'!B$5,"-")</f>
        <v>-</v>
      </c>
      <c r="AB206" s="147" t="str">
        <f>IFERROR(SUMIFS('01. KE30'!$O:$O,'01. KE30'!$C:$C,'06. BC BH THEO CUSTOMER-USD'!$D206,'01. KE30'!$F:$F,'06. BC BH THEO CUSTOMER-USD'!$H206,'01. KE30'!$A:$A,'06. BC BH THEO CUSTOMER-USD'!N$4)/'06. BC BH THEO CUSTOMER-USD'!CT206/'02. Tỷ giá'!C$5,"-")</f>
        <v>-</v>
      </c>
      <c r="AC206" s="147" t="str">
        <f>IFERROR(SUMIFS('01. KE30'!$O:$O,'01. KE30'!$C:$C,'06. BC BH THEO CUSTOMER-USD'!$D206,'01. KE30'!$F:$F,'06. BC BH THEO CUSTOMER-USD'!$H206,'01. KE30'!$A:$A,'06. BC BH THEO CUSTOMER-USD'!O$4)/'06. BC BH THEO CUSTOMER-USD'!CU206/'02. Tỷ giá'!D$5,"-")</f>
        <v>-</v>
      </c>
      <c r="AD206" s="147">
        <f>IFERROR(SUMIFS('01. KE30'!$O:$O,'01. KE30'!$C:$C,'06. BC BH THEO CUSTOMER-USD'!$D206,'01. KE30'!$F:$F,'06. BC BH THEO CUSTOMER-USD'!$H206,'01. KE30'!$A:$A,'06. BC BH THEO CUSTOMER-USD'!P$4)/'06. BC BH THEO CUSTOMER-USD'!CV206/'02. Tỷ giá'!E$5,"-")</f>
        <v>580.72009291521488</v>
      </c>
      <c r="AE206" s="147" t="str">
        <f>IFERROR(SUMIFS('01. KE30'!$O:$O,'01. KE30'!$C:$C,'06. BC BH THEO CUSTOMER-USD'!$D206,'01. KE30'!$F:$F,'06. BC BH THEO CUSTOMER-USD'!$H206,'01. KE30'!$A:$A,'06. BC BH THEO CUSTOMER-USD'!Q$4)/'06. BC BH THEO CUSTOMER-USD'!CW206/'02. Tỷ giá'!F$5,"-")</f>
        <v>-</v>
      </c>
      <c r="AF206" s="147" t="str">
        <f>IFERROR(SUMIFS('01. KE30'!$O:$O,'01. KE30'!$C:$C,'06. BC BH THEO CUSTOMER-USD'!$D206,'01. KE30'!$F:$F,'06. BC BH THEO CUSTOMER-USD'!$H206,'01. KE30'!$A:$A,'06. BC BH THEO CUSTOMER-USD'!R$4)/'06. BC BH THEO CUSTOMER-USD'!CX206/'02. Tỷ giá'!G$5,"-")</f>
        <v>-</v>
      </c>
      <c r="AG206" s="147" t="str">
        <f>IFERROR(SUMIFS('01. KE30'!$O:$O,'01. KE30'!$C:$C,'06. BC BH THEO CUSTOMER-USD'!$D206,'01. KE30'!$F:$F,'06. BC BH THEO CUSTOMER-USD'!$H206,'01. KE30'!$A:$A,'06. BC BH THEO CUSTOMER-USD'!S$4)/'06. BC BH THEO CUSTOMER-USD'!CY206/'02. Tỷ giá'!H$5,"-")</f>
        <v>-</v>
      </c>
      <c r="AH206" s="147" t="str">
        <f>IFERROR(SUMIFS('01. KE30'!$O:$O,'01. KE30'!$C:$C,'06. BC BH THEO CUSTOMER-USD'!$D206,'01. KE30'!$F:$F,'06. BC BH THEO CUSTOMER-USD'!$H206,'01. KE30'!$A:$A,'06. BC BH THEO CUSTOMER-USD'!T$4)/'06. BC BH THEO CUSTOMER-USD'!CZ206/'02. Tỷ giá'!I$5,"-")</f>
        <v>-</v>
      </c>
      <c r="AI206" s="147" t="str">
        <f>IFERROR(SUMIFS('01. KE30'!$O:$O,'01. KE30'!$C:$C,'06. BC BH THEO CUSTOMER-USD'!$D206,'01. KE30'!$F:$F,'06. BC BH THEO CUSTOMER-USD'!$H206,'01. KE30'!$A:$A,'06. BC BH THEO CUSTOMER-USD'!U$4)/'06. BC BH THEO CUSTOMER-USD'!DA206/'02. Tỷ giá'!J$5,"-")</f>
        <v>-</v>
      </c>
      <c r="AJ206" s="147" t="str">
        <f>IFERROR(SUMIFS('01. KE30'!$O:$O,'01. KE30'!$C:$C,'06. BC BH THEO CUSTOMER-USD'!$D206,'01. KE30'!$F:$F,'06. BC BH THEO CUSTOMER-USD'!$H206,'01. KE30'!$A:$A,'06. BC BH THEO CUSTOMER-USD'!V$4)/'06. BC BH THEO CUSTOMER-USD'!DB206/'02. Tỷ giá'!K$5,"-")</f>
        <v>-</v>
      </c>
      <c r="AK206" s="147" t="str">
        <f>IFERROR(SUMIFS('01. KE30'!$O:$O,'01. KE30'!$C:$C,'06. BC BH THEO CUSTOMER-USD'!$D206,'01. KE30'!$F:$F,'06. BC BH THEO CUSTOMER-USD'!$H206,'01. KE30'!$A:$A,'06. BC BH THEO CUSTOMER-USD'!W$4)/'06. BC BH THEO CUSTOMER-USD'!DC206/'02. Tỷ giá'!L$5,"-")</f>
        <v>-</v>
      </c>
      <c r="AL206" s="147" t="str">
        <f>IFERROR(SUMIFS('01. KE30'!$O:$O,'01. KE30'!$C:$C,'06. BC BH THEO CUSTOMER-USD'!$D206,'01. KE30'!$F:$F,'06. BC BH THEO CUSTOMER-USD'!$H206,'01. KE30'!$A:$A,'06. BC BH THEO CUSTOMER-USD'!X$4)/'06. BC BH THEO CUSTOMER-USD'!DD206/'02. Tỷ giá'!M$5,"-")</f>
        <v>-</v>
      </c>
      <c r="AN206" s="55">
        <f t="shared" si="1265"/>
        <v>740.55555555555554</v>
      </c>
      <c r="AO206" s="4">
        <v>855</v>
      </c>
      <c r="AP206" s="4">
        <v>750</v>
      </c>
      <c r="AQ206" s="4">
        <v>750</v>
      </c>
      <c r="AR206" s="4">
        <v>750</v>
      </c>
      <c r="AS206" s="4">
        <v>720</v>
      </c>
      <c r="AT206" s="4">
        <v>720</v>
      </c>
      <c r="AU206" s="4">
        <v>720</v>
      </c>
      <c r="AV206" s="4">
        <f t="shared" si="2362"/>
        <v>700</v>
      </c>
      <c r="AW206" s="4">
        <v>700</v>
      </c>
      <c r="AX206" s="4"/>
      <c r="AY206" s="4"/>
      <c r="AZ206" s="4"/>
      <c r="BB206" s="95">
        <f t="shared" si="2122"/>
        <v>-159.83546264034067</v>
      </c>
      <c r="BC206" s="95" t="str">
        <f t="shared" si="2123"/>
        <v>-</v>
      </c>
      <c r="BD206" s="95" t="str">
        <f t="shared" si="2108"/>
        <v>-</v>
      </c>
      <c r="BE206" s="95" t="str">
        <f t="shared" si="2108"/>
        <v>-</v>
      </c>
      <c r="BF206" s="95">
        <f t="shared" si="2108"/>
        <v>-169.27990708478512</v>
      </c>
      <c r="BG206" s="95" t="str">
        <f t="shared" si="2108"/>
        <v>-</v>
      </c>
      <c r="BH206" s="95" t="str">
        <f t="shared" si="2108"/>
        <v>-</v>
      </c>
      <c r="BI206" s="95" t="str">
        <f t="shared" si="2108"/>
        <v>-</v>
      </c>
      <c r="BJ206" s="95" t="str">
        <f t="shared" si="2108"/>
        <v>-</v>
      </c>
      <c r="BK206" s="95" t="str">
        <f t="shared" si="2108"/>
        <v>-</v>
      </c>
      <c r="BL206" s="95" t="str">
        <f t="shared" si="2108"/>
        <v>-</v>
      </c>
      <c r="BM206" s="95" t="str">
        <f t="shared" si="2108"/>
        <v>-</v>
      </c>
      <c r="BN206" s="95" t="str">
        <f t="shared" si="2108"/>
        <v>-</v>
      </c>
      <c r="BP206" s="143">
        <f t="shared" si="2124"/>
        <v>-0.21583183252259056</v>
      </c>
      <c r="BQ206" s="143" t="str">
        <f t="shared" si="2109"/>
        <v>-</v>
      </c>
      <c r="BR206" s="143" t="str">
        <f t="shared" si="2110"/>
        <v>-</v>
      </c>
      <c r="BS206" s="143" t="str">
        <f t="shared" si="2111"/>
        <v>-</v>
      </c>
      <c r="BT206" s="143">
        <f t="shared" si="2112"/>
        <v>-0.2257065427797135</v>
      </c>
      <c r="BU206" s="143" t="str">
        <f t="shared" si="2113"/>
        <v>-</v>
      </c>
      <c r="BV206" s="143" t="str">
        <f t="shared" si="2114"/>
        <v>-</v>
      </c>
      <c r="BW206" s="143" t="str">
        <f t="shared" si="2115"/>
        <v>-</v>
      </c>
      <c r="BX206" s="143" t="str">
        <f t="shared" si="2116"/>
        <v>-</v>
      </c>
      <c r="BY206" s="143" t="str">
        <f t="shared" si="2117"/>
        <v>-</v>
      </c>
      <c r="BZ206" s="143" t="str">
        <f t="shared" si="2118"/>
        <v>-</v>
      </c>
      <c r="CA206" s="143" t="str">
        <f t="shared" si="2119"/>
        <v>-</v>
      </c>
      <c r="CB206" s="143" t="str">
        <f t="shared" si="2120"/>
        <v>-</v>
      </c>
      <c r="CD206" s="112">
        <f t="shared" si="2036"/>
        <v>677.6244676732482</v>
      </c>
      <c r="CE206" s="95" t="str">
        <f>IFERROR(SUMIFS('01. KE30'!$R:$R,'01. KE30'!$C:$C,'06. BC BH THEO CUSTOMER-USD'!$D206,'01. KE30'!$F:$F,'06. BC BH THEO CUSTOMER-USD'!$H206,'01. KE30'!$A:$A,'06. BC BH THEO CUSTOMER-USD'!CE$4)/CS206/'02. Tỷ giá'!B$5," -")</f>
        <v xml:space="preserve"> -</v>
      </c>
      <c r="CF206" s="95" t="str">
        <f>IFERROR(SUMIFS('01. KE30'!$R:$R,'01. KE30'!$C:$C,'06. BC BH THEO CUSTOMER-USD'!$D206,'01. KE30'!$F:$F,'06. BC BH THEO CUSTOMER-USD'!$H206,'01. KE30'!$A:$A,'06. BC BH THEO CUSTOMER-USD'!CF$4)/CT206/'02. Tỷ giá'!C$5," -")</f>
        <v xml:space="preserve"> -</v>
      </c>
      <c r="CG206" s="95" t="str">
        <f>IFERROR(SUMIFS('01. KE30'!$R:$R,'01. KE30'!$C:$C,'06. BC BH THEO CUSTOMER-USD'!$D206,'01. KE30'!$F:$F,'06. BC BH THEO CUSTOMER-USD'!$H206,'01. KE30'!$A:$A,'06. BC BH THEO CUSTOMER-USD'!CG$4)/CU206/'02. Tỷ giá'!D$5," -")</f>
        <v xml:space="preserve"> -</v>
      </c>
      <c r="CH206" s="95">
        <f>IFERROR(SUMIFS('01. KE30'!$R:$R,'01. KE30'!$C:$C,'06. BC BH THEO CUSTOMER-USD'!$D206,'01. KE30'!$F:$F,'06. BC BH THEO CUSTOMER-USD'!$H206,'01. KE30'!$A:$A,'06. BC BH THEO CUSTOMER-USD'!CH$4)/CV206/'02. Tỷ giá'!E$5," -")</f>
        <v>677.6244676732482</v>
      </c>
      <c r="CI206" s="95" t="str">
        <f>IFERROR(SUMIFS('01. KE30'!$R:$R,'01. KE30'!$C:$C,'06. BC BH THEO CUSTOMER-USD'!$D206,'01. KE30'!$F:$F,'06. BC BH THEO CUSTOMER-USD'!$H206,'01. KE30'!$A:$A,'06. BC BH THEO CUSTOMER-USD'!CI$4)/CW206/'02. Tỷ giá'!F$5," -")</f>
        <v xml:space="preserve"> -</v>
      </c>
      <c r="CJ206" s="95" t="str">
        <f>IFERROR(SUMIFS('01. KE30'!$R:$R,'01. KE30'!$C:$C,'06. BC BH THEO CUSTOMER-USD'!$D206,'01. KE30'!$F:$F,'06. BC BH THEO CUSTOMER-USD'!$H206,'01. KE30'!$A:$A,'06. BC BH THEO CUSTOMER-USD'!CJ$4)/CX206/'02. Tỷ giá'!G$5," -")</f>
        <v xml:space="preserve"> -</v>
      </c>
      <c r="CK206" s="95" t="str">
        <f>IFERROR(SUMIFS('01. KE30'!$R:$R,'01. KE30'!$C:$C,'06. BC BH THEO CUSTOMER-USD'!$D206,'01. KE30'!$F:$F,'06. BC BH THEO CUSTOMER-USD'!$H206,'01. KE30'!$A:$A,'06. BC BH THEO CUSTOMER-USD'!CK$4)/CY206/'02. Tỷ giá'!H$5," -")</f>
        <v xml:space="preserve"> -</v>
      </c>
      <c r="CL206" s="95" t="str">
        <f>IFERROR(SUMIFS('01. KE30'!$R:$R,'01. KE30'!$C:$C,'06. BC BH THEO CUSTOMER-USD'!$D206,'01. KE30'!$F:$F,'06. BC BH THEO CUSTOMER-USD'!$H206,'01. KE30'!$A:$A,'06. BC BH THEO CUSTOMER-USD'!CL$4)/CZ206/'02. Tỷ giá'!I$5," -")</f>
        <v xml:space="preserve"> -</v>
      </c>
      <c r="CM206" s="95" t="str">
        <f>IFERROR(SUMIFS('01. KE30'!$R:$R,'01. KE30'!$C:$C,'06. BC BH THEO CUSTOMER-USD'!$D206,'01. KE30'!$F:$F,'06. BC BH THEO CUSTOMER-USD'!$H206,'01. KE30'!$A:$A,'06. BC BH THEO CUSTOMER-USD'!CM$4)/DA206/'02. Tỷ giá'!J$5," -")</f>
        <v xml:space="preserve"> -</v>
      </c>
      <c r="CN206" s="95" t="str">
        <f>IFERROR(SUMIFS('01. KE30'!$R:$R,'01. KE30'!$C:$C,'06. BC BH THEO CUSTOMER-USD'!$D206,'01. KE30'!$F:$F,'06. BC BH THEO CUSTOMER-USD'!$H206,'01. KE30'!$A:$A,'06. BC BH THEO CUSTOMER-USD'!CN$4)/DB206/'02. Tỷ giá'!K$5," -")</f>
        <v xml:space="preserve"> -</v>
      </c>
      <c r="CO206" s="95" t="str">
        <f>IFERROR(SUMIFS('01. KE30'!$R:$R,'01. KE30'!$C:$C,'06. BC BH THEO CUSTOMER-USD'!$D206,'01. KE30'!$F:$F,'06. BC BH THEO CUSTOMER-USD'!$H206,'01. KE30'!$A:$A,'06. BC BH THEO CUSTOMER-USD'!CO$4)/DC206/'02. Tỷ giá'!L$5," -")</f>
        <v xml:space="preserve"> -</v>
      </c>
      <c r="CP206" s="95" t="str">
        <f>IFERROR(SUMIFS('01. KE30'!$R:$R,'01. KE30'!$C:$C,'06. BC BH THEO CUSTOMER-USD'!$D206,'01. KE30'!$F:$F,'06. BC BH THEO CUSTOMER-USD'!$H206,'01. KE30'!$A:$A,'06. BC BH THEO CUSTOMER-USD'!CP$4)/DD206/'02. Tỷ giá'!M$5," -")</f>
        <v xml:space="preserve"> -</v>
      </c>
      <c r="CR206" s="112">
        <f t="shared" ref="CR206" si="2478">SUM(CS206:DD206)</f>
        <v>2.5000000000000001E-2</v>
      </c>
      <c r="CS206" s="114">
        <f>SUMIFS('01. KE30'!$I:$I,'01. KE30'!$C:$C,'06. BC BH THEO CUSTOMER-USD'!$D206,'01. KE30'!$F:$F,'06. BC BH THEO CUSTOMER-USD'!$H206,'01. KE30'!$A:$A,'06. BC BH THEO CUSTOMER-USD'!CS$4)/1000</f>
        <v>0</v>
      </c>
      <c r="CT206" s="114">
        <f>SUMIFS('01. KE30'!$I:$I,'01. KE30'!$C:$C,'06. BC BH THEO CUSTOMER-USD'!$D206,'01. KE30'!$F:$F,'06. BC BH THEO CUSTOMER-USD'!$H206,'01. KE30'!$A:$A,'06. BC BH THEO CUSTOMER-USD'!CT$4)/1000</f>
        <v>0</v>
      </c>
      <c r="CU206" s="114">
        <f>SUMIFS('01. KE30'!$I:$I,'01. KE30'!$C:$C,'06. BC BH THEO CUSTOMER-USD'!$D206,'01. KE30'!$F:$F,'06. BC BH THEO CUSTOMER-USD'!$H206,'01. KE30'!$A:$A,'06. BC BH THEO CUSTOMER-USD'!CU$4)/1000</f>
        <v>0</v>
      </c>
      <c r="CV206" s="114">
        <f>SUMIFS('01. KE30'!$I:$I,'01. KE30'!$C:$C,'06. BC BH THEO CUSTOMER-USD'!$D206,'01. KE30'!$F:$F,'06. BC BH THEO CUSTOMER-USD'!$H206,'01. KE30'!$A:$A,'06. BC BH THEO CUSTOMER-USD'!CV$4)/1000</f>
        <v>2.5000000000000001E-2</v>
      </c>
      <c r="CW206" s="114">
        <f>SUMIFS('01. KE30'!$I:$I,'01. KE30'!$C:$C,'06. BC BH THEO CUSTOMER-USD'!$D206,'01. KE30'!$F:$F,'06. BC BH THEO CUSTOMER-USD'!$H206,'01. KE30'!$A:$A,'06. BC BH THEO CUSTOMER-USD'!CW$4)/1000</f>
        <v>0</v>
      </c>
      <c r="CX206" s="114">
        <f>SUMIFS('01. KE30'!$I:$I,'01. KE30'!$C:$C,'06. BC BH THEO CUSTOMER-USD'!$D206,'01. KE30'!$F:$F,'06. BC BH THEO CUSTOMER-USD'!$H206,'01. KE30'!$A:$A,'06. BC BH THEO CUSTOMER-USD'!CX$4)/1000</f>
        <v>0</v>
      </c>
      <c r="CY206" s="114">
        <f>SUMIFS('01. KE30'!$I:$I,'01. KE30'!$C:$C,'06. BC BH THEO CUSTOMER-USD'!$D206,'01. KE30'!$F:$F,'06. BC BH THEO CUSTOMER-USD'!$H206,'01. KE30'!$A:$A,'06. BC BH THEO CUSTOMER-USD'!CY$4)/1000</f>
        <v>0</v>
      </c>
      <c r="CZ206" s="114">
        <f>SUMIFS('01. KE30'!$I:$I,'01. KE30'!$C:$C,'06. BC BH THEO CUSTOMER-USD'!$D206,'01. KE30'!$F:$F,'06. BC BH THEO CUSTOMER-USD'!$H206,'01. KE30'!$A:$A,'06. BC BH THEO CUSTOMER-USD'!CZ$4)/1000</f>
        <v>0</v>
      </c>
      <c r="DA206" s="114">
        <f>SUMIFS('01. KE30'!$I:$I,'01. KE30'!$C:$C,'06. BC BH THEO CUSTOMER-USD'!$D206,'01. KE30'!$F:$F,'06. BC BH THEO CUSTOMER-USD'!$H206,'01. KE30'!$A:$A,'06. BC BH THEO CUSTOMER-USD'!DA$4)/1000</f>
        <v>0</v>
      </c>
      <c r="DB206" s="114">
        <f>SUMIFS('01. KE30'!$I:$I,'01. KE30'!$C:$C,'06. BC BH THEO CUSTOMER-USD'!$D206,'01. KE30'!$F:$F,'06. BC BH THEO CUSTOMER-USD'!$H206,'01. KE30'!$A:$A,'06. BC BH THEO CUSTOMER-USD'!DB$4)/1000</f>
        <v>0</v>
      </c>
      <c r="DC206" s="114">
        <f>SUMIFS('01. KE30'!$I:$I,'01. KE30'!$C:$C,'06. BC BH THEO CUSTOMER-USD'!$D206,'01. KE30'!$F:$F,'06. BC BH THEO CUSTOMER-USD'!$H206,'01. KE30'!$A:$A,'06. BC BH THEO CUSTOMER-USD'!DC$4)/1000</f>
        <v>0</v>
      </c>
      <c r="DD206" s="114">
        <f>SUMIFS('01. KE30'!$I:$I,'01. KE30'!$C:$C,'06. BC BH THEO CUSTOMER-USD'!$D206,'01. KE30'!$F:$F,'06. BC BH THEO CUSTOMER-USD'!$H206,'01. KE30'!$A:$A,'06. BC BH THEO CUSTOMER-USD'!DD$4)/1000</f>
        <v>0</v>
      </c>
      <c r="DF206" s="112">
        <f t="shared" ref="DF206" si="2479">SUM(DG206:DR206)</f>
        <v>14.518002322880372</v>
      </c>
      <c r="DG206" s="54" t="str">
        <f t="shared" ref="DG206" si="2480">IFERROR(M206*CS206,"-")</f>
        <v>-</v>
      </c>
      <c r="DH206" s="54" t="str">
        <f t="shared" ref="DH206" si="2481">IFERROR(N206*CT206,"-")</f>
        <v>-</v>
      </c>
      <c r="DI206" s="54" t="str">
        <f t="shared" ref="DI206" si="2482">IFERROR(O206*CU206,"-")</f>
        <v>-</v>
      </c>
      <c r="DJ206" s="54">
        <f t="shared" ref="DJ206" si="2483">IFERROR(P206*CV206,"-")</f>
        <v>14.518002322880372</v>
      </c>
      <c r="DK206" s="54" t="str">
        <f t="shared" ref="DK206" si="2484">IFERROR(Q206*CW206,"-")</f>
        <v>-</v>
      </c>
      <c r="DL206" s="54" t="str">
        <f t="shared" ref="DL206" si="2485">IFERROR(R206*CX206,"-")</f>
        <v>-</v>
      </c>
      <c r="DM206" s="54" t="str">
        <f t="shared" ref="DM206" si="2486">IFERROR(S206*CY206,"-")</f>
        <v>-</v>
      </c>
      <c r="DN206" s="54" t="str">
        <f t="shared" ref="DN206" si="2487">IFERROR(T206*CZ206,"-")</f>
        <v>-</v>
      </c>
      <c r="DO206" s="54" t="str">
        <f t="shared" ref="DO206" si="2488">IFERROR(U206*DA206,"-")</f>
        <v>-</v>
      </c>
      <c r="DP206" s="54" t="str">
        <f t="shared" ref="DP206" si="2489">IFERROR(V206*DB206,"-")</f>
        <v>-</v>
      </c>
      <c r="DQ206" s="54" t="str">
        <f t="shared" ref="DQ206" si="2490">IFERROR(W206*DC206,"-")</f>
        <v>-</v>
      </c>
      <c r="DR206" s="54" t="str">
        <f t="shared" ref="DR206" si="2491">IFERROR(X206*DD206,"-")</f>
        <v>-</v>
      </c>
      <c r="DT206" s="112">
        <f t="shared" ref="DT206" si="2492">SUM(DU206:EF206)</f>
        <v>-2.4226093689508321</v>
      </c>
      <c r="DU206" s="114">
        <f>IFERROR(SUMIFS('01. KE30'!$X:$X,'01. KE30'!$C:$C,'06. BC BH THEO CUSTOMER-USD'!$D206,'01. KE30'!$F:$F,'06. BC BH THEO CUSTOMER-USD'!$H206,'01. KE30'!$A:$A,'06. BC BH THEO CUSTOMER-USD'!DU$4)-SUMIFS('01. KE30'!$AA:$AA,'01. KE30'!$C:$C,'06. BC BH THEO CUSTOMER-USD'!$D206,'01. KE30'!$F:$F,'06. BC BH THEO CUSTOMER-USD'!$H206,'01. KE30'!$A:$A,'06. BC BH THEO CUSTOMER-USD'!DU$4),"-")</f>
        <v>0</v>
      </c>
      <c r="DV206" s="114">
        <f>IFERROR(SUMIFS('01. KE30'!$X:$X,'01. KE30'!$C:$C,'06. BC BH THEO CUSTOMER-USD'!$D206,'01. KE30'!$F:$F,'06. BC BH THEO CUSTOMER-USD'!$H206,'01. KE30'!$A:$A,'06. BC BH THEO CUSTOMER-USD'!DV$4)-SUMIFS('01. KE30'!$AA:$AA,'01. KE30'!$C:$C,'06. BC BH THEO CUSTOMER-USD'!$D206,'01. KE30'!$F:$F,'06. BC BH THEO CUSTOMER-USD'!$H206,'01. KE30'!$A:$A,'06. BC BH THEO CUSTOMER-USD'!DV$4),"-")</f>
        <v>0</v>
      </c>
      <c r="DW206" s="114">
        <f>IFERROR(SUMIFS('01. KE30'!$X:$X,'01. KE30'!$C:$C,'06. BC BH THEO CUSTOMER-USD'!$D206,'01. KE30'!$F:$F,'06. BC BH THEO CUSTOMER-USD'!$H206,'01. KE30'!$A:$A,'06. BC BH THEO CUSTOMER-USD'!DW$4)-SUMIFS('01. KE30'!$AA:$AA,'01. KE30'!$C:$C,'06. BC BH THEO CUSTOMER-USD'!$D206,'01. KE30'!$F:$F,'06. BC BH THEO CUSTOMER-USD'!$H206,'01. KE30'!$A:$A,'06. BC BH THEO CUSTOMER-USD'!DW$4),"-")</f>
        <v>0</v>
      </c>
      <c r="DX206" s="114">
        <f>IFERROR(SUMIFS('01. KE30'!$X:$X,'01. KE30'!$C:$C,'06. BC BH THEO CUSTOMER-USD'!$D206,'01. KE30'!$F:$F,'06. BC BH THEO CUSTOMER-USD'!$H206,'01. KE30'!$A:$A,'06. BC BH THEO CUSTOMER-USD'!DX$4)-SUMIFS('01. KE30'!$AA:$AA,'01. KE30'!$C:$C,'06. BC BH THEO CUSTOMER-USD'!$D206,'01. KE30'!$F:$F,'06. BC BH THEO CUSTOMER-USD'!$H206,'01. KE30'!$A:$A,'06. BC BH THEO CUSTOMER-USD'!DX$4),"-")</f>
        <v>-2.4226093689508321</v>
      </c>
      <c r="DY206" s="114">
        <f>IFERROR(SUMIFS('01. KE30'!$X:$X,'01. KE30'!$C:$C,'06. BC BH THEO CUSTOMER-USD'!$D206,'01. KE30'!$F:$F,'06. BC BH THEO CUSTOMER-USD'!$H206,'01. KE30'!$A:$A,'06. BC BH THEO CUSTOMER-USD'!DY$4)-SUMIFS('01. KE30'!$AA:$AA,'01. KE30'!$C:$C,'06. BC BH THEO CUSTOMER-USD'!$D206,'01. KE30'!$F:$F,'06. BC BH THEO CUSTOMER-USD'!$H206,'01. KE30'!$A:$A,'06. BC BH THEO CUSTOMER-USD'!DY$4),"-")</f>
        <v>0</v>
      </c>
      <c r="DZ206" s="114">
        <f>IFERROR(SUMIFS('01. KE30'!$X:$X,'01. KE30'!$C:$C,'06. BC BH THEO CUSTOMER-USD'!$D206,'01. KE30'!$F:$F,'06. BC BH THEO CUSTOMER-USD'!$H206,'01. KE30'!$A:$A,'06. BC BH THEO CUSTOMER-USD'!DZ$4)-SUMIFS('01. KE30'!$AA:$AA,'01. KE30'!$C:$C,'06. BC BH THEO CUSTOMER-USD'!$D206,'01. KE30'!$F:$F,'06. BC BH THEO CUSTOMER-USD'!$H206,'01. KE30'!$A:$A,'06. BC BH THEO CUSTOMER-USD'!DZ$4),"-")</f>
        <v>0</v>
      </c>
      <c r="EA206" s="114">
        <f>IFERROR(SUMIFS('01. KE30'!$X:$X,'01. KE30'!$C:$C,'06. BC BH THEO CUSTOMER-USD'!$D206,'01. KE30'!$F:$F,'06. BC BH THEO CUSTOMER-USD'!$H206,'01. KE30'!$A:$A,'06. BC BH THEO CUSTOMER-USD'!EA$4)-SUMIFS('01. KE30'!$AA:$AA,'01. KE30'!$C:$C,'06. BC BH THEO CUSTOMER-USD'!$D206,'01. KE30'!$F:$F,'06. BC BH THEO CUSTOMER-USD'!$H206,'01. KE30'!$A:$A,'06. BC BH THEO CUSTOMER-USD'!EA$4),"-")</f>
        <v>0</v>
      </c>
      <c r="EB206" s="114">
        <f>IFERROR(SUMIFS('01. KE30'!$X:$X,'01. KE30'!$C:$C,'06. BC BH THEO CUSTOMER-USD'!$D206,'01. KE30'!$F:$F,'06. BC BH THEO CUSTOMER-USD'!$H206,'01. KE30'!$A:$A,'06. BC BH THEO CUSTOMER-USD'!EB$4)-SUMIFS('01. KE30'!$AA:$AA,'01. KE30'!$C:$C,'06. BC BH THEO CUSTOMER-USD'!$D206,'01. KE30'!$F:$F,'06. BC BH THEO CUSTOMER-USD'!$H206,'01. KE30'!$A:$A,'06. BC BH THEO CUSTOMER-USD'!EB$4),"-")</f>
        <v>0</v>
      </c>
      <c r="EC206" s="114">
        <f>IFERROR(SUMIFS('01. KE30'!$X:$X,'01. KE30'!$C:$C,'06. BC BH THEO CUSTOMER-USD'!$D206,'01. KE30'!$F:$F,'06. BC BH THEO CUSTOMER-USD'!$H206,'01. KE30'!$A:$A,'06. BC BH THEO CUSTOMER-USD'!EC$4)-SUMIFS('01. KE30'!$AA:$AA,'01. KE30'!$C:$C,'06. BC BH THEO CUSTOMER-USD'!$D206,'01. KE30'!$F:$F,'06. BC BH THEO CUSTOMER-USD'!$H206,'01. KE30'!$A:$A,'06. BC BH THEO CUSTOMER-USD'!EC$4),"-")</f>
        <v>0</v>
      </c>
      <c r="ED206" s="114">
        <f>IFERROR(SUMIFS('01. KE30'!$X:$X,'01. KE30'!$C:$C,'06. BC BH THEO CUSTOMER-USD'!$D206,'01. KE30'!$F:$F,'06. BC BH THEO CUSTOMER-USD'!$H206,'01. KE30'!$A:$A,'06. BC BH THEO CUSTOMER-USD'!ED$4)-SUMIFS('01. KE30'!$AA:$AA,'01. KE30'!$C:$C,'06. BC BH THEO CUSTOMER-USD'!$D206,'01. KE30'!$F:$F,'06. BC BH THEO CUSTOMER-USD'!$H206,'01. KE30'!$A:$A,'06. BC BH THEO CUSTOMER-USD'!ED$4),"-")</f>
        <v>0</v>
      </c>
      <c r="EE206" s="114">
        <f>IFERROR(SUMIFS('01. KE30'!$X:$X,'01. KE30'!$C:$C,'06. BC BH THEO CUSTOMER-USD'!$D206,'01. KE30'!$F:$F,'06. BC BH THEO CUSTOMER-USD'!$H206,'01. KE30'!$A:$A,'06. BC BH THEO CUSTOMER-USD'!EE$4)-SUMIFS('01. KE30'!$AA:$AA,'01. KE30'!$C:$C,'06. BC BH THEO CUSTOMER-USD'!$D206,'01. KE30'!$F:$F,'06. BC BH THEO CUSTOMER-USD'!$H206,'01. KE30'!$A:$A,'06. BC BH THEO CUSTOMER-USD'!EE$4),"-")</f>
        <v>0</v>
      </c>
      <c r="EF206" s="114">
        <f>IFERROR(SUMIFS('01. KE30'!$X:$X,'01. KE30'!$C:$C,'06. BC BH THEO CUSTOMER-USD'!$D206,'01. KE30'!$F:$F,'06. BC BH THEO CUSTOMER-USD'!$H206,'01. KE30'!$A:$A,'06. BC BH THEO CUSTOMER-USD'!EF$4)-SUMIFS('01. KE30'!$AA:$AA,'01. KE30'!$C:$C,'06. BC BH THEO CUSTOMER-USD'!$D206,'01. KE30'!$F:$F,'06. BC BH THEO CUSTOMER-USD'!$H206,'01. KE30'!$A:$A,'06. BC BH THEO CUSTOMER-USD'!EF$4),"-")</f>
        <v>0</v>
      </c>
      <c r="EH206" s="571">
        <f t="shared" si="1737"/>
        <v>-0.16686933333333331</v>
      </c>
      <c r="EI206" s="572" t="str">
        <f t="shared" si="1738"/>
        <v>-</v>
      </c>
      <c r="EJ206" s="572" t="str">
        <f t="shared" si="1739"/>
        <v>-</v>
      </c>
      <c r="EK206" s="572" t="str">
        <f t="shared" si="1740"/>
        <v>-</v>
      </c>
      <c r="EL206" s="572">
        <f t="shared" si="1741"/>
        <v>-0.16686933333333331</v>
      </c>
      <c r="EM206" s="572" t="str">
        <f t="shared" si="1742"/>
        <v>-</v>
      </c>
      <c r="EN206" s="572" t="str">
        <f t="shared" si="1743"/>
        <v>-</v>
      </c>
      <c r="EO206" s="572" t="str">
        <f t="shared" si="1744"/>
        <v>-</v>
      </c>
      <c r="EP206" s="572" t="str">
        <f t="shared" si="1745"/>
        <v>-</v>
      </c>
      <c r="EQ206" s="572" t="str">
        <f t="shared" si="1746"/>
        <v>-</v>
      </c>
      <c r="ER206" s="572" t="str">
        <f t="shared" si="1747"/>
        <v>-</v>
      </c>
      <c r="ES206" s="572" t="str">
        <f t="shared" si="1748"/>
        <v>-</v>
      </c>
      <c r="ET206" s="572" t="str">
        <f t="shared" si="1749"/>
        <v>-</v>
      </c>
    </row>
    <row r="207" spans="1:150" s="14" customFormat="1" ht="15" hidden="1" collapsed="1" x14ac:dyDescent="0.3">
      <c r="A207" s="19" t="s">
        <v>343</v>
      </c>
      <c r="B207" s="19"/>
      <c r="C207" s="18"/>
      <c r="D207" s="18"/>
      <c r="E207" s="15" t="s">
        <v>23</v>
      </c>
      <c r="F207" s="15"/>
      <c r="G207" s="15"/>
      <c r="H207" s="17"/>
      <c r="I207" s="17"/>
      <c r="J207" s="16"/>
      <c r="K207" s="15"/>
      <c r="L207" s="145">
        <f>IFERROR(AVERAGE(L208:L221),"-")</f>
        <v>977.1872614618735</v>
      </c>
      <c r="M207" s="145" t="str">
        <f t="shared" ref="M207:X207" si="2493">IFERROR(AVERAGE(M208:M221),"-")</f>
        <v>-</v>
      </c>
      <c r="N207" s="145">
        <f t="shared" si="2493"/>
        <v>1150.1914139424971</v>
      </c>
      <c r="O207" s="145">
        <f t="shared" si="2493"/>
        <v>1001.1697283672875</v>
      </c>
      <c r="P207" s="145">
        <f t="shared" si="2493"/>
        <v>745.38994177616848</v>
      </c>
      <c r="Q207" s="145" t="str">
        <f t="shared" si="2493"/>
        <v>-</v>
      </c>
      <c r="R207" s="145">
        <f t="shared" si="2493"/>
        <v>1077.0833333333333</v>
      </c>
      <c r="S207" s="145">
        <f t="shared" si="2493"/>
        <v>922.95698669367505</v>
      </c>
      <c r="T207" s="145">
        <f t="shared" si="2493"/>
        <v>1048.2132231404958</v>
      </c>
      <c r="U207" s="145">
        <f t="shared" si="2493"/>
        <v>915.66137546897551</v>
      </c>
      <c r="V207" s="145" t="str">
        <f t="shared" si="2493"/>
        <v>-</v>
      </c>
      <c r="W207" s="145" t="str">
        <f t="shared" si="2493"/>
        <v>-</v>
      </c>
      <c r="X207" s="145" t="str">
        <f t="shared" si="2493"/>
        <v>-</v>
      </c>
      <c r="Z207" s="94">
        <f>IFERROR(AVERAGE(Z208:Z221),0)</f>
        <v>967.87572195723521</v>
      </c>
      <c r="AA207" s="148" t="str">
        <f>IFERROR(AVERAGE(AA208:AA221),"-")</f>
        <v>-</v>
      </c>
      <c r="AB207" s="148">
        <f t="shared" ref="AB207:AL207" si="2494">IFERROR(AVERAGE(AB208:AB221),"-")</f>
        <v>1150.1914139424971</v>
      </c>
      <c r="AC207" s="148">
        <f t="shared" si="2494"/>
        <v>979.72418021465273</v>
      </c>
      <c r="AD207" s="148">
        <f t="shared" si="2494"/>
        <v>745.38994177616848</v>
      </c>
      <c r="AE207" s="148" t="str">
        <f t="shared" si="2494"/>
        <v>-</v>
      </c>
      <c r="AF207" s="148">
        <f t="shared" si="2494"/>
        <v>1052.855491255144</v>
      </c>
      <c r="AG207" s="148">
        <f t="shared" si="2494"/>
        <v>909.00763738518492</v>
      </c>
      <c r="AH207" s="148">
        <f t="shared" si="2494"/>
        <v>1048.2132231404958</v>
      </c>
      <c r="AI207" s="148">
        <f t="shared" si="2494"/>
        <v>900.81188658008659</v>
      </c>
      <c r="AJ207" s="148" t="str">
        <f t="shared" si="2494"/>
        <v>-</v>
      </c>
      <c r="AK207" s="148" t="str">
        <f t="shared" si="2494"/>
        <v>-</v>
      </c>
      <c r="AL207" s="148" t="str">
        <f t="shared" si="2494"/>
        <v>-</v>
      </c>
      <c r="AN207" s="94">
        <f>IFERROR(AVERAGE(AN208:AN221),0)</f>
        <v>815.55555555555543</v>
      </c>
      <c r="AO207" s="94">
        <f t="shared" ref="AO207:AZ207" si="2495">IFERROR(AVERAGE(AO208:AO221),0)</f>
        <v>900</v>
      </c>
      <c r="AP207" s="94">
        <f t="shared" si="2495"/>
        <v>820</v>
      </c>
      <c r="AQ207" s="94">
        <f t="shared" si="2495"/>
        <v>840</v>
      </c>
      <c r="AR207" s="94">
        <f t="shared" si="2495"/>
        <v>835</v>
      </c>
      <c r="AS207" s="94">
        <f t="shared" si="2495"/>
        <v>815</v>
      </c>
      <c r="AT207" s="94">
        <f t="shared" si="2495"/>
        <v>815</v>
      </c>
      <c r="AU207" s="94">
        <f t="shared" si="2495"/>
        <v>790</v>
      </c>
      <c r="AV207" s="94">
        <f t="shared" si="2495"/>
        <v>770</v>
      </c>
      <c r="AW207" s="94">
        <f t="shared" si="2495"/>
        <v>755</v>
      </c>
      <c r="AX207" s="94">
        <f t="shared" si="2495"/>
        <v>0</v>
      </c>
      <c r="AY207" s="94">
        <f t="shared" si="2495"/>
        <v>0</v>
      </c>
      <c r="AZ207" s="94">
        <f t="shared" si="2495"/>
        <v>0</v>
      </c>
      <c r="BB207" s="96">
        <f t="shared" si="2122"/>
        <v>152.32016640167978</v>
      </c>
      <c r="BC207" s="96" t="str">
        <f t="shared" si="2123"/>
        <v>-</v>
      </c>
      <c r="BD207" s="96">
        <f t="shared" si="2108"/>
        <v>330.19141394249709</v>
      </c>
      <c r="BE207" s="96">
        <f t="shared" si="2108"/>
        <v>139.72418021465273</v>
      </c>
      <c r="BF207" s="96">
        <f t="shared" si="2108"/>
        <v>-89.610058223831516</v>
      </c>
      <c r="BG207" s="96" t="str">
        <f t="shared" si="2108"/>
        <v>-</v>
      </c>
      <c r="BH207" s="96">
        <f t="shared" si="2108"/>
        <v>237.85549125514399</v>
      </c>
      <c r="BI207" s="96">
        <f t="shared" si="2108"/>
        <v>119.00763738518492</v>
      </c>
      <c r="BJ207" s="96">
        <f t="shared" si="2108"/>
        <v>278.21322314049576</v>
      </c>
      <c r="BK207" s="96">
        <f t="shared" si="2108"/>
        <v>145.81188658008659</v>
      </c>
      <c r="BL207" s="96" t="str">
        <f t="shared" si="2108"/>
        <v>-</v>
      </c>
      <c r="BM207" s="96" t="str">
        <f t="shared" si="2108"/>
        <v>-</v>
      </c>
      <c r="BN207" s="96" t="str">
        <f t="shared" si="2108"/>
        <v>-</v>
      </c>
      <c r="BP207" s="142">
        <f t="shared" si="2124"/>
        <v>0.18676859640532947</v>
      </c>
      <c r="BQ207" s="142" t="str">
        <f t="shared" si="2109"/>
        <v>-</v>
      </c>
      <c r="BR207" s="142">
        <f t="shared" si="2110"/>
        <v>0.40267245602743545</v>
      </c>
      <c r="BS207" s="142">
        <f t="shared" si="2111"/>
        <v>0.16633830977934849</v>
      </c>
      <c r="BT207" s="142">
        <f t="shared" si="2112"/>
        <v>-0.10731743499860062</v>
      </c>
      <c r="BU207" s="142" t="str">
        <f t="shared" si="2113"/>
        <v>-</v>
      </c>
      <c r="BV207" s="142">
        <f t="shared" si="2114"/>
        <v>0.29184722853391898</v>
      </c>
      <c r="BW207" s="142">
        <f t="shared" si="2115"/>
        <v>0.15064257896858851</v>
      </c>
      <c r="BX207" s="142">
        <f t="shared" si="2116"/>
        <v>0.36131587420843603</v>
      </c>
      <c r="BY207" s="142">
        <f t="shared" si="2117"/>
        <v>0.19312832659614118</v>
      </c>
      <c r="BZ207" s="142" t="str">
        <f t="shared" si="2118"/>
        <v>-</v>
      </c>
      <c r="CA207" s="142" t="str">
        <f t="shared" si="2119"/>
        <v>-</v>
      </c>
      <c r="CB207" s="142" t="str">
        <f t="shared" si="2120"/>
        <v>-</v>
      </c>
      <c r="CD207" s="113">
        <f>IFERROR(AVERAGE(CD208:CD221),0)</f>
        <v>1071.0688761726908</v>
      </c>
      <c r="CE207" s="113">
        <f t="shared" ref="CE207:CP207" si="2496">SUM(CE208:CE221)</f>
        <v>0</v>
      </c>
      <c r="CF207" s="113">
        <f t="shared" si="2496"/>
        <v>843.9138243402914</v>
      </c>
      <c r="CG207" s="113">
        <f t="shared" si="2496"/>
        <v>3858.5913684188599</v>
      </c>
      <c r="CH207" s="113">
        <f t="shared" si="2496"/>
        <v>1824.5400119939575</v>
      </c>
      <c r="CI207" s="113">
        <f t="shared" si="2496"/>
        <v>0</v>
      </c>
      <c r="CJ207" s="113">
        <f t="shared" si="2496"/>
        <v>2146.0397897376542</v>
      </c>
      <c r="CK207" s="113">
        <f t="shared" si="2496"/>
        <v>4519.6901989545859</v>
      </c>
      <c r="CL207" s="113">
        <f t="shared" si="2496"/>
        <v>2458.7733222214506</v>
      </c>
      <c r="CM207" s="113">
        <f t="shared" si="2496"/>
        <v>4569.4180088744597</v>
      </c>
      <c r="CN207" s="113">
        <f t="shared" si="2496"/>
        <v>0</v>
      </c>
      <c r="CO207" s="113">
        <f t="shared" si="2496"/>
        <v>0</v>
      </c>
      <c r="CP207" s="113">
        <f t="shared" si="2496"/>
        <v>0</v>
      </c>
      <c r="CR207" s="113">
        <f>SUM(CR208:CR221)</f>
        <v>175.8</v>
      </c>
      <c r="CS207" s="113">
        <f t="shared" ref="CS207:DD207" si="2497">SUM(CS208:CS221)</f>
        <v>0</v>
      </c>
      <c r="CT207" s="113">
        <f t="shared" si="2497"/>
        <v>0.5</v>
      </c>
      <c r="CU207" s="113">
        <f t="shared" si="2497"/>
        <v>47.674999999999997</v>
      </c>
      <c r="CV207" s="113">
        <f t="shared" si="2497"/>
        <v>6.4749999999999996</v>
      </c>
      <c r="CW207" s="113">
        <f t="shared" si="2497"/>
        <v>0</v>
      </c>
      <c r="CX207" s="113">
        <f t="shared" si="2497"/>
        <v>24</v>
      </c>
      <c r="CY207" s="113">
        <f t="shared" si="2497"/>
        <v>35.1</v>
      </c>
      <c r="CZ207" s="113">
        <f t="shared" si="2497"/>
        <v>16.55</v>
      </c>
      <c r="DA207" s="113">
        <f t="shared" si="2497"/>
        <v>45.5</v>
      </c>
      <c r="DB207" s="113">
        <f t="shared" si="2497"/>
        <v>0</v>
      </c>
      <c r="DC207" s="113">
        <f t="shared" si="2497"/>
        <v>0</v>
      </c>
      <c r="DD207" s="113">
        <f t="shared" si="2497"/>
        <v>0</v>
      </c>
      <c r="DF207" s="113">
        <f>SUM(DF208:DF221)</f>
        <v>163583.7563913691</v>
      </c>
      <c r="DG207" s="113">
        <f t="shared" ref="DG207:EF207" si="2498">SUM(DG208:DG221)</f>
        <v>0</v>
      </c>
      <c r="DH207" s="113">
        <f t="shared" si="2498"/>
        <v>575.09570697124855</v>
      </c>
      <c r="DI207" s="113">
        <f t="shared" si="2498"/>
        <v>44039.262952755911</v>
      </c>
      <c r="DJ207" s="113">
        <f t="shared" si="2498"/>
        <v>4872.8057684862561</v>
      </c>
      <c r="DK207" s="113">
        <f t="shared" si="2498"/>
        <v>0</v>
      </c>
      <c r="DL207" s="113">
        <f t="shared" si="2498"/>
        <v>25849.999999999996</v>
      </c>
      <c r="DM207" s="113">
        <f t="shared" si="2498"/>
        <v>33972.258778332689</v>
      </c>
      <c r="DN207" s="113">
        <f t="shared" si="2498"/>
        <v>12322.587165775403</v>
      </c>
      <c r="DO207" s="113">
        <f t="shared" si="2498"/>
        <v>41951.746019047619</v>
      </c>
      <c r="DP207" s="113">
        <f t="shared" si="2498"/>
        <v>0</v>
      </c>
      <c r="DQ207" s="113">
        <f t="shared" si="2498"/>
        <v>0</v>
      </c>
      <c r="DR207" s="113">
        <f t="shared" si="2498"/>
        <v>0</v>
      </c>
      <c r="DT207" s="113">
        <f t="shared" si="2498"/>
        <v>-26364.117531003169</v>
      </c>
      <c r="DU207" s="113">
        <f t="shared" si="2498"/>
        <v>0</v>
      </c>
      <c r="DV207" s="113">
        <f t="shared" si="2498"/>
        <v>153.13879480110285</v>
      </c>
      <c r="DW207" s="113">
        <f t="shared" si="2498"/>
        <v>-6358.5431889763777</v>
      </c>
      <c r="DX207" s="113">
        <f t="shared" si="2498"/>
        <v>-1553.285017421603</v>
      </c>
      <c r="DY207" s="113">
        <f t="shared" si="2498"/>
        <v>0</v>
      </c>
      <c r="DZ207" s="113">
        <f t="shared" si="2498"/>
        <v>-575.54131944444543</v>
      </c>
      <c r="EA207" s="113">
        <f t="shared" si="2498"/>
        <v>-3421.5946600076859</v>
      </c>
      <c r="EB207" s="113">
        <f t="shared" si="2498"/>
        <v>-5549.7667685255938</v>
      </c>
      <c r="EC207" s="113">
        <f t="shared" si="2498"/>
        <v>-9058.52537142857</v>
      </c>
      <c r="ED207" s="113">
        <f t="shared" si="2498"/>
        <v>0</v>
      </c>
      <c r="EE207" s="113">
        <f t="shared" si="2498"/>
        <v>0</v>
      </c>
      <c r="EF207" s="113">
        <f t="shared" si="2498"/>
        <v>0</v>
      </c>
      <c r="EH207" s="570">
        <f t="shared" si="1737"/>
        <v>-0.16116586458577115</v>
      </c>
      <c r="EI207" s="570" t="str">
        <f t="shared" si="1738"/>
        <v>-</v>
      </c>
      <c r="EJ207" s="570">
        <f t="shared" si="1739"/>
        <v>0.26628401663370249</v>
      </c>
      <c r="EK207" s="570">
        <f t="shared" si="1740"/>
        <v>-0.14438350604999101</v>
      </c>
      <c r="EL207" s="570">
        <f t="shared" si="1741"/>
        <v>-0.31876604388114843</v>
      </c>
      <c r="EM207" s="570" t="str">
        <f t="shared" si="1742"/>
        <v>-</v>
      </c>
      <c r="EN207" s="570">
        <f t="shared" si="1743"/>
        <v>-2.2264654523963076E-2</v>
      </c>
      <c r="EO207" s="570">
        <f t="shared" si="1744"/>
        <v>-0.10071731415721934</v>
      </c>
      <c r="EP207" s="570">
        <f t="shared" si="1745"/>
        <v>-0.45037350467598602</v>
      </c>
      <c r="EQ207" s="570">
        <f t="shared" si="1746"/>
        <v>-0.21592725526407577</v>
      </c>
      <c r="ER207" s="570" t="str">
        <f t="shared" si="1747"/>
        <v>-</v>
      </c>
      <c r="ES207" s="570" t="str">
        <f t="shared" si="1748"/>
        <v>-</v>
      </c>
      <c r="ET207" s="570" t="str">
        <f t="shared" si="1749"/>
        <v>-</v>
      </c>
    </row>
    <row r="208" spans="1:150" ht="15" customHeight="1" outlineLevel="1" x14ac:dyDescent="0.35">
      <c r="A208" s="10">
        <v>1</v>
      </c>
      <c r="B208" s="10" t="s">
        <v>23</v>
      </c>
      <c r="C208" s="497" t="s">
        <v>29</v>
      </c>
      <c r="D208" s="9" t="s">
        <v>30</v>
      </c>
      <c r="E208" s="8" t="s">
        <v>29</v>
      </c>
      <c r="F208" s="12" t="s">
        <v>245</v>
      </c>
      <c r="G208" s="12" t="str">
        <f>_xlfn.XLOOKUP(F208,'Quy đổi'!$G$5:$G$32,'Quy đổi'!$H$5:$H$32,0)</f>
        <v>Nội địa</v>
      </c>
      <c r="H208" s="80" t="s">
        <v>219</v>
      </c>
      <c r="I208" s="105" t="s">
        <v>220</v>
      </c>
      <c r="J208" s="13" t="s">
        <v>22</v>
      </c>
      <c r="K208" s="5"/>
      <c r="L208" s="92" t="str">
        <f t="shared" ref="L208:L221" si="2499">IFERROR(AVERAGE(M208:X208),"-")</f>
        <v>-</v>
      </c>
      <c r="M208" s="106" t="str">
        <f>IFERROR(SUMIFS('01. KE30'!$K:$K,'01. KE30'!$C:$C,'06. BC BH THEO CUSTOMER-USD'!$D208,'01. KE30'!$F:$F,'06. BC BH THEO CUSTOMER-USD'!$H208,'01. KE30'!$A:$A,'06. BC BH THEO CUSTOMER-USD'!M$4)/'06. BC BH THEO CUSTOMER-USD'!CS208/'02. Tỷ giá'!B$5,"-")</f>
        <v>-</v>
      </c>
      <c r="N208" s="106" t="str">
        <f>IFERROR(SUMIFS('01. KE30'!$K:$K,'01. KE30'!$C:$C,'06. BC BH THEO CUSTOMER-USD'!$D208,'01. KE30'!$F:$F,'06. BC BH THEO CUSTOMER-USD'!$H208,'01. KE30'!$A:$A,'06. BC BH THEO CUSTOMER-USD'!N$4)/'06. BC BH THEO CUSTOMER-USD'!CT208/'02. Tỷ giá'!C$5,"-")</f>
        <v>-</v>
      </c>
      <c r="O208" s="106" t="str">
        <f>IFERROR(SUMIFS('01. KE30'!$K:$K,'01. KE30'!$C:$C,'06. BC BH THEO CUSTOMER-USD'!$D208,'01. KE30'!$F:$F,'06. BC BH THEO CUSTOMER-USD'!$H208,'01. KE30'!$A:$A,'06. BC BH THEO CUSTOMER-USD'!O$4)/'06. BC BH THEO CUSTOMER-USD'!CU208/'02. Tỷ giá'!D$5,"-")</f>
        <v>-</v>
      </c>
      <c r="P208" s="106" t="str">
        <f>IFERROR(SUMIFS('01. KE30'!$K:$K,'01. KE30'!$C:$C,'06. BC BH THEO CUSTOMER-USD'!$D208,'01. KE30'!$F:$F,'06. BC BH THEO CUSTOMER-USD'!$H208,'01. KE30'!$A:$A,'06. BC BH THEO CUSTOMER-USD'!P$4)/'06. BC BH THEO CUSTOMER-USD'!CV208/'02. Tỷ giá'!E$5,"-")</f>
        <v>-</v>
      </c>
      <c r="Q208" s="106" t="str">
        <f>IFERROR(SUMIFS('01. KE30'!$K:$K,'01. KE30'!$C:$C,'06. BC BH THEO CUSTOMER-USD'!$D208,'01. KE30'!$F:$F,'06. BC BH THEO CUSTOMER-USD'!$H208,'01. KE30'!$A:$A,'06. BC BH THEO CUSTOMER-USD'!Q$4)/'06. BC BH THEO CUSTOMER-USD'!CW208/'02. Tỷ giá'!F$5,"-")</f>
        <v>-</v>
      </c>
      <c r="R208" s="106" t="str">
        <f>IFERROR(SUMIFS('01. KE30'!$K:$K,'01. KE30'!$C:$C,'06. BC BH THEO CUSTOMER-USD'!$D208,'01. KE30'!$F:$F,'06. BC BH THEO CUSTOMER-USD'!$H208,'01. KE30'!$A:$A,'06. BC BH THEO CUSTOMER-USD'!R$4)/'06. BC BH THEO CUSTOMER-USD'!CX208/'02. Tỷ giá'!G$5,"-")</f>
        <v>-</v>
      </c>
      <c r="S208" s="106" t="str">
        <f>IFERROR(SUMIFS('01. KE30'!$K:$K,'01. KE30'!$C:$C,'06. BC BH THEO CUSTOMER-USD'!$D208,'01. KE30'!$F:$F,'06. BC BH THEO CUSTOMER-USD'!$H208,'01. KE30'!$A:$A,'06. BC BH THEO CUSTOMER-USD'!S$4)/'06. BC BH THEO CUSTOMER-USD'!CY208/'02. Tỷ giá'!H$5,"-")</f>
        <v>-</v>
      </c>
      <c r="T208" s="106" t="str">
        <f>IFERROR(SUMIFS('01. KE30'!$K:$K,'01. KE30'!$C:$C,'06. BC BH THEO CUSTOMER-USD'!$D208,'01. KE30'!$F:$F,'06. BC BH THEO CUSTOMER-USD'!$H208,'01. KE30'!$A:$A,'06. BC BH THEO CUSTOMER-USD'!T$4)/'06. BC BH THEO CUSTOMER-USD'!CZ208/'02. Tỷ giá'!I$5,"-")</f>
        <v>-</v>
      </c>
      <c r="U208" s="106" t="str">
        <f>IFERROR(SUMIFS('01. KE30'!$K:$K,'01. KE30'!$C:$C,'06. BC BH THEO CUSTOMER-USD'!$D208,'01. KE30'!$F:$F,'06. BC BH THEO CUSTOMER-USD'!$H208,'01. KE30'!$A:$A,'06. BC BH THEO CUSTOMER-USD'!U$4)/'06. BC BH THEO CUSTOMER-USD'!DA208/'02. Tỷ giá'!J$5,"-")</f>
        <v>-</v>
      </c>
      <c r="V208" s="106" t="str">
        <f>IFERROR(SUMIFS('01. KE30'!$K:$K,'01. KE30'!$C:$C,'06. BC BH THEO CUSTOMER-USD'!$D208,'01. KE30'!$F:$F,'06. BC BH THEO CUSTOMER-USD'!$H208,'01. KE30'!$A:$A,'06. BC BH THEO CUSTOMER-USD'!V$4)/'06. BC BH THEO CUSTOMER-USD'!DB208/'02. Tỷ giá'!K$5,"-")</f>
        <v>-</v>
      </c>
      <c r="W208" s="106" t="str">
        <f>IFERROR(SUMIFS('01. KE30'!$K:$K,'01. KE30'!$C:$C,'06. BC BH THEO CUSTOMER-USD'!$D208,'01. KE30'!$F:$F,'06. BC BH THEO CUSTOMER-USD'!$H208,'01. KE30'!$A:$A,'06. BC BH THEO CUSTOMER-USD'!W$4)/'06. BC BH THEO CUSTOMER-USD'!DC208/'02. Tỷ giá'!L$5,"-")</f>
        <v>-</v>
      </c>
      <c r="X208" s="106" t="str">
        <f>IFERROR(SUMIFS('01. KE30'!$K:$K,'01. KE30'!$C:$C,'06. BC BH THEO CUSTOMER-USD'!$D208,'01. KE30'!$F:$F,'06. BC BH THEO CUSTOMER-USD'!$H208,'01. KE30'!$A:$A,'06. BC BH THEO CUSTOMER-USD'!X$4)/'06. BC BH THEO CUSTOMER-USD'!DD208/'02. Tỷ giá'!M$5,"-")</f>
        <v>-</v>
      </c>
      <c r="Z208" s="92" t="str">
        <f>IFERROR(AVERAGE(AA208:AL208),"-")</f>
        <v>-</v>
      </c>
      <c r="AA208" s="147" t="str">
        <f>IFERROR(SUMIFS('01. KE30'!$O:$O,'01. KE30'!$C:$C,'06. BC BH THEO CUSTOMER-USD'!$D208,'01. KE30'!$F:$F,'06. BC BH THEO CUSTOMER-USD'!$H208,'01. KE30'!$A:$A,'06. BC BH THEO CUSTOMER-USD'!M$4)/'06. BC BH THEO CUSTOMER-USD'!CS208/'02. Tỷ giá'!B$5,"-")</f>
        <v>-</v>
      </c>
      <c r="AB208" s="147" t="str">
        <f>IFERROR(SUMIFS('01. KE30'!$O:$O,'01. KE30'!$C:$C,'06. BC BH THEO CUSTOMER-USD'!$D208,'01. KE30'!$F:$F,'06. BC BH THEO CUSTOMER-USD'!$H208,'01. KE30'!$A:$A,'06. BC BH THEO CUSTOMER-USD'!N$4)/'06. BC BH THEO CUSTOMER-USD'!CT208/'02. Tỷ giá'!C$5,"-")</f>
        <v>-</v>
      </c>
      <c r="AC208" s="147" t="str">
        <f>IFERROR(SUMIFS('01. KE30'!$O:$O,'01. KE30'!$C:$C,'06. BC BH THEO CUSTOMER-USD'!$D208,'01. KE30'!$F:$F,'06. BC BH THEO CUSTOMER-USD'!$H208,'01. KE30'!$A:$A,'06. BC BH THEO CUSTOMER-USD'!O$4)/'06. BC BH THEO CUSTOMER-USD'!CU208/'02. Tỷ giá'!D$5,"-")</f>
        <v>-</v>
      </c>
      <c r="AD208" s="147" t="str">
        <f>IFERROR(SUMIFS('01. KE30'!$O:$O,'01. KE30'!$C:$C,'06. BC BH THEO CUSTOMER-USD'!$D208,'01. KE30'!$F:$F,'06. BC BH THEO CUSTOMER-USD'!$H208,'01. KE30'!$A:$A,'06. BC BH THEO CUSTOMER-USD'!P$4)/'06. BC BH THEO CUSTOMER-USD'!CV208/'02. Tỷ giá'!E$5,"-")</f>
        <v>-</v>
      </c>
      <c r="AE208" s="147" t="str">
        <f>IFERROR(SUMIFS('01. KE30'!$O:$O,'01. KE30'!$C:$C,'06. BC BH THEO CUSTOMER-USD'!$D208,'01. KE30'!$F:$F,'06. BC BH THEO CUSTOMER-USD'!$H208,'01. KE30'!$A:$A,'06. BC BH THEO CUSTOMER-USD'!Q$4)/'06. BC BH THEO CUSTOMER-USD'!CW208/'02. Tỷ giá'!F$5,"-")</f>
        <v>-</v>
      </c>
      <c r="AF208" s="147" t="str">
        <f>IFERROR(SUMIFS('01. KE30'!$O:$O,'01. KE30'!$C:$C,'06. BC BH THEO CUSTOMER-USD'!$D208,'01. KE30'!$F:$F,'06. BC BH THEO CUSTOMER-USD'!$H208,'01. KE30'!$A:$A,'06. BC BH THEO CUSTOMER-USD'!R$4)/'06. BC BH THEO CUSTOMER-USD'!CX208/'02. Tỷ giá'!G$5,"-")</f>
        <v>-</v>
      </c>
      <c r="AG208" s="147" t="str">
        <f>IFERROR(SUMIFS('01. KE30'!$O:$O,'01. KE30'!$C:$C,'06. BC BH THEO CUSTOMER-USD'!$D208,'01. KE30'!$F:$F,'06. BC BH THEO CUSTOMER-USD'!$H208,'01. KE30'!$A:$A,'06. BC BH THEO CUSTOMER-USD'!S$4)/'06. BC BH THEO CUSTOMER-USD'!CY208/'02. Tỷ giá'!H$5,"-")</f>
        <v>-</v>
      </c>
      <c r="AH208" s="147" t="str">
        <f>IFERROR(SUMIFS('01. KE30'!$O:$O,'01. KE30'!$C:$C,'06. BC BH THEO CUSTOMER-USD'!$D208,'01. KE30'!$F:$F,'06. BC BH THEO CUSTOMER-USD'!$H208,'01. KE30'!$A:$A,'06. BC BH THEO CUSTOMER-USD'!T$4)/'06. BC BH THEO CUSTOMER-USD'!CZ208/'02. Tỷ giá'!I$5,"-")</f>
        <v>-</v>
      </c>
      <c r="AI208" s="147" t="str">
        <f>IFERROR(SUMIFS('01. KE30'!$O:$O,'01. KE30'!$C:$C,'06. BC BH THEO CUSTOMER-USD'!$D208,'01. KE30'!$F:$F,'06. BC BH THEO CUSTOMER-USD'!$H208,'01. KE30'!$A:$A,'06. BC BH THEO CUSTOMER-USD'!U$4)/'06. BC BH THEO CUSTOMER-USD'!DA208/'02. Tỷ giá'!J$5,"-")</f>
        <v>-</v>
      </c>
      <c r="AJ208" s="147" t="str">
        <f>IFERROR(SUMIFS('01. KE30'!$O:$O,'01. KE30'!$C:$C,'06. BC BH THEO CUSTOMER-USD'!$D208,'01. KE30'!$F:$F,'06. BC BH THEO CUSTOMER-USD'!$H208,'01. KE30'!$A:$A,'06. BC BH THEO CUSTOMER-USD'!V$4)/'06. BC BH THEO CUSTOMER-USD'!DB208/'02. Tỷ giá'!K$5,"-")</f>
        <v>-</v>
      </c>
      <c r="AK208" s="147" t="str">
        <f>IFERROR(SUMIFS('01. KE30'!$O:$O,'01. KE30'!$C:$C,'06. BC BH THEO CUSTOMER-USD'!$D208,'01. KE30'!$F:$F,'06. BC BH THEO CUSTOMER-USD'!$H208,'01. KE30'!$A:$A,'06. BC BH THEO CUSTOMER-USD'!W$4)/'06. BC BH THEO CUSTOMER-USD'!DC208/'02. Tỷ giá'!L$5,"-")</f>
        <v>-</v>
      </c>
      <c r="AL208" s="147" t="str">
        <f>IFERROR(SUMIFS('01. KE30'!$O:$O,'01. KE30'!$C:$C,'06. BC BH THEO CUSTOMER-USD'!$D208,'01. KE30'!$F:$F,'06. BC BH THEO CUSTOMER-USD'!$H208,'01. KE30'!$A:$A,'06. BC BH THEO CUSTOMER-USD'!X$4)/'06. BC BH THEO CUSTOMER-USD'!DD208/'02. Tỷ giá'!M$5,"-")</f>
        <v>-</v>
      </c>
      <c r="AN208" s="92">
        <f>IFERROR(AVERAGE(AO208:AZ208),"-")</f>
        <v>815.55555555555554</v>
      </c>
      <c r="AO208" s="4">
        <v>900</v>
      </c>
      <c r="AP208" s="4">
        <v>820</v>
      </c>
      <c r="AQ208" s="4">
        <v>840</v>
      </c>
      <c r="AR208" s="4">
        <v>835</v>
      </c>
      <c r="AS208" s="4">
        <v>815</v>
      </c>
      <c r="AT208" s="4">
        <v>815</v>
      </c>
      <c r="AU208" s="4">
        <v>790</v>
      </c>
      <c r="AV208" s="4">
        <f>AU208-20</f>
        <v>770</v>
      </c>
      <c r="AW208" s="4">
        <v>755</v>
      </c>
      <c r="AX208" s="4"/>
      <c r="AY208" s="4"/>
      <c r="AZ208" s="4"/>
      <c r="BB208" s="95" t="str">
        <f t="shared" si="2122"/>
        <v>-</v>
      </c>
      <c r="BC208" s="95" t="str">
        <f t="shared" si="2123"/>
        <v>-</v>
      </c>
      <c r="BD208" s="95" t="str">
        <f t="shared" si="2108"/>
        <v>-</v>
      </c>
      <c r="BE208" s="95" t="str">
        <f t="shared" si="2108"/>
        <v>-</v>
      </c>
      <c r="BF208" s="95" t="str">
        <f t="shared" si="2108"/>
        <v>-</v>
      </c>
      <c r="BG208" s="95" t="str">
        <f t="shared" si="2108"/>
        <v>-</v>
      </c>
      <c r="BH208" s="95" t="str">
        <f t="shared" si="2108"/>
        <v>-</v>
      </c>
      <c r="BI208" s="95" t="str">
        <f t="shared" si="2108"/>
        <v>-</v>
      </c>
      <c r="BJ208" s="95" t="str">
        <f t="shared" si="2108"/>
        <v>-</v>
      </c>
      <c r="BK208" s="95" t="str">
        <f t="shared" si="2108"/>
        <v>-</v>
      </c>
      <c r="BL208" s="95" t="str">
        <f t="shared" si="2108"/>
        <v>-</v>
      </c>
      <c r="BM208" s="95" t="str">
        <f t="shared" si="2108"/>
        <v>-</v>
      </c>
      <c r="BN208" s="95" t="str">
        <f t="shared" si="2108"/>
        <v>-</v>
      </c>
      <c r="BP208" s="143" t="str">
        <f t="shared" si="2124"/>
        <v>-</v>
      </c>
      <c r="BQ208" s="143" t="str">
        <f t="shared" si="2109"/>
        <v>-</v>
      </c>
      <c r="BR208" s="143" t="str">
        <f t="shared" si="2110"/>
        <v>-</v>
      </c>
      <c r="BS208" s="143" t="str">
        <f t="shared" si="2111"/>
        <v>-</v>
      </c>
      <c r="BT208" s="143" t="str">
        <f t="shared" si="2112"/>
        <v>-</v>
      </c>
      <c r="BU208" s="143" t="str">
        <f t="shared" si="2113"/>
        <v>-</v>
      </c>
      <c r="BV208" s="143" t="str">
        <f t="shared" si="2114"/>
        <v>-</v>
      </c>
      <c r="BW208" s="143" t="str">
        <f t="shared" si="2115"/>
        <v>-</v>
      </c>
      <c r="BX208" s="143" t="str">
        <f t="shared" si="2116"/>
        <v>-</v>
      </c>
      <c r="BY208" s="143" t="str">
        <f t="shared" si="2117"/>
        <v>-</v>
      </c>
      <c r="BZ208" s="143" t="str">
        <f t="shared" si="2118"/>
        <v>-</v>
      </c>
      <c r="CA208" s="143" t="str">
        <f t="shared" si="2119"/>
        <v>-</v>
      </c>
      <c r="CB208" s="143" t="str">
        <f t="shared" si="2120"/>
        <v>-</v>
      </c>
      <c r="CD208" s="112" t="str">
        <f t="shared" ref="CD208:CD221" si="2500">IFERROR(AVERAGE(CE208:CP208),"-")</f>
        <v>-</v>
      </c>
      <c r="CE208" s="95" t="str">
        <f>IFERROR(SUMIFS('01. KE30'!$R:$R,'01. KE30'!$C:$C,'06. BC BH THEO CUSTOMER-USD'!$D208,'01. KE30'!$F:$F,'06. BC BH THEO CUSTOMER-USD'!$H208,'01. KE30'!$A:$A,'06. BC BH THEO CUSTOMER-USD'!CE$4)/CS208/'02. Tỷ giá'!B$5," -")</f>
        <v xml:space="preserve"> -</v>
      </c>
      <c r="CF208" s="95" t="str">
        <f>IFERROR(SUMIFS('01. KE30'!$R:$R,'01. KE30'!$C:$C,'06. BC BH THEO CUSTOMER-USD'!$D208,'01. KE30'!$F:$F,'06. BC BH THEO CUSTOMER-USD'!$H208,'01. KE30'!$A:$A,'06. BC BH THEO CUSTOMER-USD'!CF$4)/CT208/'02. Tỷ giá'!C$5," -")</f>
        <v xml:space="preserve"> -</v>
      </c>
      <c r="CG208" s="95" t="str">
        <f>IFERROR(SUMIFS('01. KE30'!$R:$R,'01. KE30'!$C:$C,'06. BC BH THEO CUSTOMER-USD'!$D208,'01. KE30'!$F:$F,'06. BC BH THEO CUSTOMER-USD'!$H208,'01. KE30'!$A:$A,'06. BC BH THEO CUSTOMER-USD'!CG$4)/CU208/'02. Tỷ giá'!D$5," -")</f>
        <v xml:space="preserve"> -</v>
      </c>
      <c r="CH208" s="95" t="str">
        <f>IFERROR(SUMIFS('01. KE30'!$R:$R,'01. KE30'!$C:$C,'06. BC BH THEO CUSTOMER-USD'!$D208,'01. KE30'!$F:$F,'06. BC BH THEO CUSTOMER-USD'!$H208,'01. KE30'!$A:$A,'06. BC BH THEO CUSTOMER-USD'!CH$4)/CV208/'02. Tỷ giá'!E$5," -")</f>
        <v xml:space="preserve"> -</v>
      </c>
      <c r="CI208" s="95" t="str">
        <f>IFERROR(SUMIFS('01. KE30'!$R:$R,'01. KE30'!$C:$C,'06. BC BH THEO CUSTOMER-USD'!$D208,'01. KE30'!$F:$F,'06. BC BH THEO CUSTOMER-USD'!$H208,'01. KE30'!$A:$A,'06. BC BH THEO CUSTOMER-USD'!CI$4)/CW208/'02. Tỷ giá'!F$5," -")</f>
        <v xml:space="preserve"> -</v>
      </c>
      <c r="CJ208" s="95" t="str">
        <f>IFERROR(SUMIFS('01. KE30'!$R:$R,'01. KE30'!$C:$C,'06. BC BH THEO CUSTOMER-USD'!$D208,'01. KE30'!$F:$F,'06. BC BH THEO CUSTOMER-USD'!$H208,'01. KE30'!$A:$A,'06. BC BH THEO CUSTOMER-USD'!CJ$4)/CX208/'02. Tỷ giá'!G$5," -")</f>
        <v xml:space="preserve"> -</v>
      </c>
      <c r="CK208" s="95" t="str">
        <f>IFERROR(SUMIFS('01. KE30'!$R:$R,'01. KE30'!$C:$C,'06. BC BH THEO CUSTOMER-USD'!$D208,'01. KE30'!$F:$F,'06. BC BH THEO CUSTOMER-USD'!$H208,'01. KE30'!$A:$A,'06. BC BH THEO CUSTOMER-USD'!CK$4)/CY208/'02. Tỷ giá'!H$5," -")</f>
        <v xml:space="preserve"> -</v>
      </c>
      <c r="CL208" s="95" t="str">
        <f>IFERROR(SUMIFS('01. KE30'!$R:$R,'01. KE30'!$C:$C,'06. BC BH THEO CUSTOMER-USD'!$D208,'01. KE30'!$F:$F,'06. BC BH THEO CUSTOMER-USD'!$H208,'01. KE30'!$A:$A,'06. BC BH THEO CUSTOMER-USD'!CL$4)/CZ208/'02. Tỷ giá'!I$5," -")</f>
        <v xml:space="preserve"> -</v>
      </c>
      <c r="CM208" s="95" t="str">
        <f>IFERROR(SUMIFS('01. KE30'!$R:$R,'01. KE30'!$C:$C,'06. BC BH THEO CUSTOMER-USD'!$D208,'01. KE30'!$F:$F,'06. BC BH THEO CUSTOMER-USD'!$H208,'01. KE30'!$A:$A,'06. BC BH THEO CUSTOMER-USD'!CM$4)/DA208/'02. Tỷ giá'!J$5," -")</f>
        <v xml:space="preserve"> -</v>
      </c>
      <c r="CN208" s="95" t="str">
        <f>IFERROR(SUMIFS('01. KE30'!$R:$R,'01. KE30'!$C:$C,'06. BC BH THEO CUSTOMER-USD'!$D208,'01. KE30'!$F:$F,'06. BC BH THEO CUSTOMER-USD'!$H208,'01. KE30'!$A:$A,'06. BC BH THEO CUSTOMER-USD'!CN$4)/DB208/'02. Tỷ giá'!K$5," -")</f>
        <v xml:space="preserve"> -</v>
      </c>
      <c r="CO208" s="95" t="str">
        <f>IFERROR(SUMIFS('01. KE30'!$R:$R,'01. KE30'!$C:$C,'06. BC BH THEO CUSTOMER-USD'!$D208,'01. KE30'!$F:$F,'06. BC BH THEO CUSTOMER-USD'!$H208,'01. KE30'!$A:$A,'06. BC BH THEO CUSTOMER-USD'!CO$4)/DC208/'02. Tỷ giá'!L$5," -")</f>
        <v xml:space="preserve"> -</v>
      </c>
      <c r="CP208" s="95" t="str">
        <f>IFERROR(SUMIFS('01. KE30'!$R:$R,'01. KE30'!$C:$C,'06. BC BH THEO CUSTOMER-USD'!$D208,'01. KE30'!$F:$F,'06. BC BH THEO CUSTOMER-USD'!$H208,'01. KE30'!$A:$A,'06. BC BH THEO CUSTOMER-USD'!CP$4)/DD208/'02. Tỷ giá'!M$5," -")</f>
        <v xml:space="preserve"> -</v>
      </c>
      <c r="CR208" s="112">
        <f t="shared" ref="CR208:CR224" si="2501">SUM(CS208:DD208)</f>
        <v>0</v>
      </c>
      <c r="CS208" s="114">
        <f>SUMIFS('01. KE30'!$I:$I,'01. KE30'!$C:$C,'06. BC BH THEO CUSTOMER-USD'!$D208,'01. KE30'!$F:$F,'06. BC BH THEO CUSTOMER-USD'!$H208,'01. KE30'!$A:$A,'06. BC BH THEO CUSTOMER-USD'!CS$4)/1000</f>
        <v>0</v>
      </c>
      <c r="CT208" s="114">
        <f>SUMIFS('01. KE30'!$I:$I,'01. KE30'!$C:$C,'06. BC BH THEO CUSTOMER-USD'!$D208,'01. KE30'!$F:$F,'06. BC BH THEO CUSTOMER-USD'!$H208,'01. KE30'!$A:$A,'06. BC BH THEO CUSTOMER-USD'!CT$4)/1000</f>
        <v>0</v>
      </c>
      <c r="CU208" s="114">
        <f>SUMIFS('01. KE30'!$I:$I,'01. KE30'!$C:$C,'06. BC BH THEO CUSTOMER-USD'!$D208,'01. KE30'!$F:$F,'06. BC BH THEO CUSTOMER-USD'!$H208,'01. KE30'!$A:$A,'06. BC BH THEO CUSTOMER-USD'!CU$4)/1000</f>
        <v>0</v>
      </c>
      <c r="CV208" s="114">
        <f>SUMIFS('01. KE30'!$I:$I,'01. KE30'!$C:$C,'06. BC BH THEO CUSTOMER-USD'!$D208,'01. KE30'!$F:$F,'06. BC BH THEO CUSTOMER-USD'!$H208,'01. KE30'!$A:$A,'06. BC BH THEO CUSTOMER-USD'!CV$4)/1000</f>
        <v>0</v>
      </c>
      <c r="CW208" s="114">
        <f>SUMIFS('01. KE30'!$I:$I,'01. KE30'!$C:$C,'06. BC BH THEO CUSTOMER-USD'!$D208,'01. KE30'!$F:$F,'06. BC BH THEO CUSTOMER-USD'!$H208,'01. KE30'!$A:$A,'06. BC BH THEO CUSTOMER-USD'!CW$4)/1000</f>
        <v>0</v>
      </c>
      <c r="CX208" s="114">
        <f>SUMIFS('01. KE30'!$I:$I,'01. KE30'!$C:$C,'06. BC BH THEO CUSTOMER-USD'!$D208,'01. KE30'!$F:$F,'06. BC BH THEO CUSTOMER-USD'!$H208,'01. KE30'!$A:$A,'06. BC BH THEO CUSTOMER-USD'!CX$4)/1000</f>
        <v>0</v>
      </c>
      <c r="CY208" s="114">
        <f>SUMIFS('01. KE30'!$I:$I,'01. KE30'!$C:$C,'06. BC BH THEO CUSTOMER-USD'!$D208,'01. KE30'!$F:$F,'06. BC BH THEO CUSTOMER-USD'!$H208,'01. KE30'!$A:$A,'06. BC BH THEO CUSTOMER-USD'!CY$4)/1000</f>
        <v>0</v>
      </c>
      <c r="CZ208" s="114">
        <f>SUMIFS('01. KE30'!$I:$I,'01. KE30'!$C:$C,'06. BC BH THEO CUSTOMER-USD'!$D208,'01. KE30'!$F:$F,'06. BC BH THEO CUSTOMER-USD'!$H208,'01. KE30'!$A:$A,'06. BC BH THEO CUSTOMER-USD'!CZ$4)/1000</f>
        <v>0</v>
      </c>
      <c r="DA208" s="114">
        <f>SUMIFS('01. KE30'!$I:$I,'01. KE30'!$C:$C,'06. BC BH THEO CUSTOMER-USD'!$D208,'01. KE30'!$F:$F,'06. BC BH THEO CUSTOMER-USD'!$H208,'01. KE30'!$A:$A,'06. BC BH THEO CUSTOMER-USD'!DA$4)/1000</f>
        <v>0</v>
      </c>
      <c r="DB208" s="114">
        <f>SUMIFS('01. KE30'!$I:$I,'01. KE30'!$C:$C,'06. BC BH THEO CUSTOMER-USD'!$D208,'01. KE30'!$F:$F,'06. BC BH THEO CUSTOMER-USD'!$H208,'01. KE30'!$A:$A,'06. BC BH THEO CUSTOMER-USD'!DB$4)/1000</f>
        <v>0</v>
      </c>
      <c r="DC208" s="114">
        <f>SUMIFS('01. KE30'!$I:$I,'01. KE30'!$C:$C,'06. BC BH THEO CUSTOMER-USD'!$D208,'01. KE30'!$F:$F,'06. BC BH THEO CUSTOMER-USD'!$H208,'01. KE30'!$A:$A,'06. BC BH THEO CUSTOMER-USD'!DC$4)/1000</f>
        <v>0</v>
      </c>
      <c r="DD208" s="114">
        <f>SUMIFS('01. KE30'!$I:$I,'01. KE30'!$C:$C,'06. BC BH THEO CUSTOMER-USD'!$D208,'01. KE30'!$F:$F,'06. BC BH THEO CUSTOMER-USD'!$H208,'01. KE30'!$A:$A,'06. BC BH THEO CUSTOMER-USD'!DD$4)/1000</f>
        <v>0</v>
      </c>
      <c r="DF208" s="112">
        <f t="shared" ref="DF208:DF221" si="2502">SUM(DG208:DR208)</f>
        <v>0</v>
      </c>
      <c r="DG208" s="54" t="str">
        <f t="shared" ref="DG208:DG221" si="2503">IFERROR(M208*CS208,"-")</f>
        <v>-</v>
      </c>
      <c r="DH208" s="54" t="str">
        <f t="shared" ref="DH208:DH221" si="2504">IFERROR(N208*CT208,"-")</f>
        <v>-</v>
      </c>
      <c r="DI208" s="54" t="str">
        <f t="shared" ref="DI208:DI221" si="2505">IFERROR(O208*CU208,"-")</f>
        <v>-</v>
      </c>
      <c r="DJ208" s="54" t="str">
        <f t="shared" ref="DJ208:DJ221" si="2506">IFERROR(P208*CV208,"-")</f>
        <v>-</v>
      </c>
      <c r="DK208" s="54" t="str">
        <f t="shared" ref="DK208:DK221" si="2507">IFERROR(Q208*CW208,"-")</f>
        <v>-</v>
      </c>
      <c r="DL208" s="54" t="str">
        <f t="shared" ref="DL208:DL221" si="2508">IFERROR(R208*CX208,"-")</f>
        <v>-</v>
      </c>
      <c r="DM208" s="54" t="str">
        <f t="shared" ref="DM208:DM221" si="2509">IFERROR(S208*CY208,"-")</f>
        <v>-</v>
      </c>
      <c r="DN208" s="54" t="str">
        <f t="shared" ref="DN208:DN221" si="2510">IFERROR(T208*CZ208,"-")</f>
        <v>-</v>
      </c>
      <c r="DO208" s="54" t="str">
        <f t="shared" ref="DO208:DO221" si="2511">IFERROR(U208*DA208,"-")</f>
        <v>-</v>
      </c>
      <c r="DP208" s="54" t="str">
        <f t="shared" ref="DP208:DP221" si="2512">IFERROR(V208*DB208,"-")</f>
        <v>-</v>
      </c>
      <c r="DQ208" s="54" t="str">
        <f t="shared" ref="DQ208:DQ221" si="2513">IFERROR(W208*DC208,"-")</f>
        <v>-</v>
      </c>
      <c r="DR208" s="54" t="str">
        <f t="shared" ref="DR208:DR221" si="2514">IFERROR(X208*DD208,"-")</f>
        <v>-</v>
      </c>
      <c r="DT208" s="112">
        <f t="shared" ref="DT208:DT221" si="2515">SUM(DU208:EF208)</f>
        <v>0</v>
      </c>
      <c r="DU208" s="114">
        <f>IFERROR(SUMIFS('01. KE30'!$X:$X,'01. KE30'!$C:$C,'06. BC BH THEO CUSTOMER-USD'!$D208,'01. KE30'!$F:$F,'06. BC BH THEO CUSTOMER-USD'!$H208,'01. KE30'!$A:$A,'06. BC BH THEO CUSTOMER-USD'!DU$4)-SUMIFS('01. KE30'!$AA:$AA,'01. KE30'!$C:$C,'06. BC BH THEO CUSTOMER-USD'!$D208,'01. KE30'!$F:$F,'06. BC BH THEO CUSTOMER-USD'!$H208,'01. KE30'!$A:$A,'06. BC BH THEO CUSTOMER-USD'!DU$4),"-")</f>
        <v>0</v>
      </c>
      <c r="DV208" s="114">
        <f>IFERROR(SUMIFS('01. KE30'!$X:$X,'01. KE30'!$C:$C,'06. BC BH THEO CUSTOMER-USD'!$D208,'01. KE30'!$F:$F,'06. BC BH THEO CUSTOMER-USD'!$H208,'01. KE30'!$A:$A,'06. BC BH THEO CUSTOMER-USD'!DV$4)-SUMIFS('01. KE30'!$AA:$AA,'01. KE30'!$C:$C,'06. BC BH THEO CUSTOMER-USD'!$D208,'01. KE30'!$F:$F,'06. BC BH THEO CUSTOMER-USD'!$H208,'01. KE30'!$A:$A,'06. BC BH THEO CUSTOMER-USD'!DV$4),"-")</f>
        <v>0</v>
      </c>
      <c r="DW208" s="114">
        <f>IFERROR(SUMIFS('01. KE30'!$X:$X,'01. KE30'!$C:$C,'06. BC BH THEO CUSTOMER-USD'!$D208,'01. KE30'!$F:$F,'06. BC BH THEO CUSTOMER-USD'!$H208,'01. KE30'!$A:$A,'06. BC BH THEO CUSTOMER-USD'!DW$4)-SUMIFS('01. KE30'!$AA:$AA,'01. KE30'!$C:$C,'06. BC BH THEO CUSTOMER-USD'!$D208,'01. KE30'!$F:$F,'06. BC BH THEO CUSTOMER-USD'!$H208,'01. KE30'!$A:$A,'06. BC BH THEO CUSTOMER-USD'!DW$4),"-")</f>
        <v>0</v>
      </c>
      <c r="DX208" s="114">
        <f>IFERROR(SUMIFS('01. KE30'!$X:$X,'01. KE30'!$C:$C,'06. BC BH THEO CUSTOMER-USD'!$D208,'01. KE30'!$F:$F,'06. BC BH THEO CUSTOMER-USD'!$H208,'01. KE30'!$A:$A,'06. BC BH THEO CUSTOMER-USD'!DX$4)-SUMIFS('01. KE30'!$AA:$AA,'01. KE30'!$C:$C,'06. BC BH THEO CUSTOMER-USD'!$D208,'01. KE30'!$F:$F,'06. BC BH THEO CUSTOMER-USD'!$H208,'01. KE30'!$A:$A,'06. BC BH THEO CUSTOMER-USD'!DX$4),"-")</f>
        <v>0</v>
      </c>
      <c r="DY208" s="114">
        <f>IFERROR(SUMIFS('01. KE30'!$X:$X,'01. KE30'!$C:$C,'06. BC BH THEO CUSTOMER-USD'!$D208,'01. KE30'!$F:$F,'06. BC BH THEO CUSTOMER-USD'!$H208,'01. KE30'!$A:$A,'06. BC BH THEO CUSTOMER-USD'!DY$4)-SUMIFS('01. KE30'!$AA:$AA,'01. KE30'!$C:$C,'06. BC BH THEO CUSTOMER-USD'!$D208,'01. KE30'!$F:$F,'06. BC BH THEO CUSTOMER-USD'!$H208,'01. KE30'!$A:$A,'06. BC BH THEO CUSTOMER-USD'!DY$4),"-")</f>
        <v>0</v>
      </c>
      <c r="DZ208" s="114">
        <f>IFERROR(SUMIFS('01. KE30'!$X:$X,'01. KE30'!$C:$C,'06. BC BH THEO CUSTOMER-USD'!$D208,'01. KE30'!$F:$F,'06. BC BH THEO CUSTOMER-USD'!$H208,'01. KE30'!$A:$A,'06. BC BH THEO CUSTOMER-USD'!DZ$4)-SUMIFS('01. KE30'!$AA:$AA,'01. KE30'!$C:$C,'06. BC BH THEO CUSTOMER-USD'!$D208,'01. KE30'!$F:$F,'06. BC BH THEO CUSTOMER-USD'!$H208,'01. KE30'!$A:$A,'06. BC BH THEO CUSTOMER-USD'!DZ$4),"-")</f>
        <v>0</v>
      </c>
      <c r="EA208" s="114">
        <f>IFERROR(SUMIFS('01. KE30'!$X:$X,'01. KE30'!$C:$C,'06. BC BH THEO CUSTOMER-USD'!$D208,'01. KE30'!$F:$F,'06. BC BH THEO CUSTOMER-USD'!$H208,'01. KE30'!$A:$A,'06. BC BH THEO CUSTOMER-USD'!EA$4)-SUMIFS('01. KE30'!$AA:$AA,'01. KE30'!$C:$C,'06. BC BH THEO CUSTOMER-USD'!$D208,'01. KE30'!$F:$F,'06. BC BH THEO CUSTOMER-USD'!$H208,'01. KE30'!$A:$A,'06. BC BH THEO CUSTOMER-USD'!EA$4),"-")</f>
        <v>0</v>
      </c>
      <c r="EB208" s="114">
        <f>IFERROR(SUMIFS('01. KE30'!$X:$X,'01. KE30'!$C:$C,'06. BC BH THEO CUSTOMER-USD'!$D208,'01. KE30'!$F:$F,'06. BC BH THEO CUSTOMER-USD'!$H208,'01. KE30'!$A:$A,'06. BC BH THEO CUSTOMER-USD'!EB$4)-SUMIFS('01. KE30'!$AA:$AA,'01. KE30'!$C:$C,'06. BC BH THEO CUSTOMER-USD'!$D208,'01. KE30'!$F:$F,'06. BC BH THEO CUSTOMER-USD'!$H208,'01. KE30'!$A:$A,'06. BC BH THEO CUSTOMER-USD'!EB$4),"-")</f>
        <v>0</v>
      </c>
      <c r="EC208" s="114">
        <f>IFERROR(SUMIFS('01. KE30'!$X:$X,'01. KE30'!$C:$C,'06. BC BH THEO CUSTOMER-USD'!$D208,'01. KE30'!$F:$F,'06. BC BH THEO CUSTOMER-USD'!$H208,'01. KE30'!$A:$A,'06. BC BH THEO CUSTOMER-USD'!EC$4)-SUMIFS('01. KE30'!$AA:$AA,'01. KE30'!$C:$C,'06. BC BH THEO CUSTOMER-USD'!$D208,'01. KE30'!$F:$F,'06. BC BH THEO CUSTOMER-USD'!$H208,'01. KE30'!$A:$A,'06. BC BH THEO CUSTOMER-USD'!EC$4),"-")</f>
        <v>0</v>
      </c>
      <c r="ED208" s="114">
        <f>IFERROR(SUMIFS('01. KE30'!$X:$X,'01. KE30'!$C:$C,'06. BC BH THEO CUSTOMER-USD'!$D208,'01. KE30'!$F:$F,'06. BC BH THEO CUSTOMER-USD'!$H208,'01. KE30'!$A:$A,'06. BC BH THEO CUSTOMER-USD'!ED$4)-SUMIFS('01. KE30'!$AA:$AA,'01. KE30'!$C:$C,'06. BC BH THEO CUSTOMER-USD'!$D208,'01. KE30'!$F:$F,'06. BC BH THEO CUSTOMER-USD'!$H208,'01. KE30'!$A:$A,'06. BC BH THEO CUSTOMER-USD'!ED$4),"-")</f>
        <v>0</v>
      </c>
      <c r="EE208" s="114">
        <f>IFERROR(SUMIFS('01. KE30'!$X:$X,'01. KE30'!$C:$C,'06. BC BH THEO CUSTOMER-USD'!$D208,'01. KE30'!$F:$F,'06. BC BH THEO CUSTOMER-USD'!$H208,'01. KE30'!$A:$A,'06. BC BH THEO CUSTOMER-USD'!EE$4)-SUMIFS('01. KE30'!$AA:$AA,'01. KE30'!$C:$C,'06. BC BH THEO CUSTOMER-USD'!$D208,'01. KE30'!$F:$F,'06. BC BH THEO CUSTOMER-USD'!$H208,'01. KE30'!$A:$A,'06. BC BH THEO CUSTOMER-USD'!EE$4),"-")</f>
        <v>0</v>
      </c>
      <c r="EF208" s="114">
        <f>IFERROR(SUMIFS('01. KE30'!$X:$X,'01. KE30'!$C:$C,'06. BC BH THEO CUSTOMER-USD'!$D208,'01. KE30'!$F:$F,'06. BC BH THEO CUSTOMER-USD'!$H208,'01. KE30'!$A:$A,'06. BC BH THEO CUSTOMER-USD'!EF$4)-SUMIFS('01. KE30'!$AA:$AA,'01. KE30'!$C:$C,'06. BC BH THEO CUSTOMER-USD'!$D208,'01. KE30'!$F:$F,'06. BC BH THEO CUSTOMER-USD'!$H208,'01. KE30'!$A:$A,'06. BC BH THEO CUSTOMER-USD'!EF$4),"-")</f>
        <v>0</v>
      </c>
      <c r="EH208" s="571" t="str">
        <f t="shared" si="1737"/>
        <v>-</v>
      </c>
      <c r="EI208" s="572" t="str">
        <f t="shared" si="1738"/>
        <v>-</v>
      </c>
      <c r="EJ208" s="572" t="str">
        <f t="shared" si="1739"/>
        <v>-</v>
      </c>
      <c r="EK208" s="572" t="str">
        <f t="shared" si="1740"/>
        <v>-</v>
      </c>
      <c r="EL208" s="572" t="str">
        <f t="shared" si="1741"/>
        <v>-</v>
      </c>
      <c r="EM208" s="572" t="str">
        <f t="shared" si="1742"/>
        <v>-</v>
      </c>
      <c r="EN208" s="572" t="str">
        <f t="shared" si="1743"/>
        <v>-</v>
      </c>
      <c r="EO208" s="572" t="str">
        <f t="shared" si="1744"/>
        <v>-</v>
      </c>
      <c r="EP208" s="572" t="str">
        <f t="shared" si="1745"/>
        <v>-</v>
      </c>
      <c r="EQ208" s="572" t="str">
        <f t="shared" si="1746"/>
        <v>-</v>
      </c>
      <c r="ER208" s="572" t="str">
        <f t="shared" si="1747"/>
        <v>-</v>
      </c>
      <c r="ES208" s="572" t="str">
        <f t="shared" si="1748"/>
        <v>-</v>
      </c>
      <c r="ET208" s="572" t="str">
        <f t="shared" si="1749"/>
        <v>-</v>
      </c>
    </row>
    <row r="209" spans="1:150" ht="15" customHeight="1" outlineLevel="1" x14ac:dyDescent="0.35">
      <c r="A209" s="10">
        <f>A208+1</f>
        <v>2</v>
      </c>
      <c r="B209" s="10" t="s">
        <v>23</v>
      </c>
      <c r="C209" s="497" t="s">
        <v>29</v>
      </c>
      <c r="D209" s="9" t="s">
        <v>30</v>
      </c>
      <c r="E209" s="8" t="s">
        <v>29</v>
      </c>
      <c r="F209" s="12" t="s">
        <v>245</v>
      </c>
      <c r="G209" s="12" t="str">
        <f>_xlfn.XLOOKUP(F209,'Quy đổi'!$G$5:$G$32,'Quy đổi'!$H$5:$H$32,0)</f>
        <v>Nội địa</v>
      </c>
      <c r="H209" s="80" t="s">
        <v>231</v>
      </c>
      <c r="I209" s="105" t="s">
        <v>232</v>
      </c>
      <c r="J209" s="13" t="s">
        <v>22</v>
      </c>
      <c r="K209" s="5"/>
      <c r="L209" s="92" t="str">
        <f t="shared" si="2499"/>
        <v>-</v>
      </c>
      <c r="M209" s="106" t="str">
        <f>IFERROR(SUMIFS('01. KE30'!$K:$K,'01. KE30'!$C:$C,'06. BC BH THEO CUSTOMER-USD'!$D209,'01. KE30'!$F:$F,'06. BC BH THEO CUSTOMER-USD'!$H209,'01. KE30'!$A:$A,'06. BC BH THEO CUSTOMER-USD'!M$4)/'06. BC BH THEO CUSTOMER-USD'!CS209/'02. Tỷ giá'!B$5,"-")</f>
        <v>-</v>
      </c>
      <c r="N209" s="106" t="str">
        <f>IFERROR(SUMIFS('01. KE30'!$K:$K,'01. KE30'!$C:$C,'06. BC BH THEO CUSTOMER-USD'!$D209,'01. KE30'!$F:$F,'06. BC BH THEO CUSTOMER-USD'!$H209,'01. KE30'!$A:$A,'06. BC BH THEO CUSTOMER-USD'!N$4)/'06. BC BH THEO CUSTOMER-USD'!CT209/'02. Tỷ giá'!C$5,"-")</f>
        <v>-</v>
      </c>
      <c r="O209" s="106" t="str">
        <f>IFERROR(SUMIFS('01. KE30'!$K:$K,'01. KE30'!$C:$C,'06. BC BH THEO CUSTOMER-USD'!$D209,'01. KE30'!$F:$F,'06. BC BH THEO CUSTOMER-USD'!$H209,'01. KE30'!$A:$A,'06. BC BH THEO CUSTOMER-USD'!O$4)/'06. BC BH THEO CUSTOMER-USD'!CU209/'02. Tỷ giá'!D$5,"-")</f>
        <v>-</v>
      </c>
      <c r="P209" s="106" t="str">
        <f>IFERROR(SUMIFS('01. KE30'!$K:$K,'01. KE30'!$C:$C,'06. BC BH THEO CUSTOMER-USD'!$D209,'01. KE30'!$F:$F,'06. BC BH THEO CUSTOMER-USD'!$H209,'01. KE30'!$A:$A,'06. BC BH THEO CUSTOMER-USD'!P$4)/'06. BC BH THEO CUSTOMER-USD'!CV209/'02. Tỷ giá'!E$5,"-")</f>
        <v>-</v>
      </c>
      <c r="Q209" s="106" t="str">
        <f>IFERROR(SUMIFS('01. KE30'!$K:$K,'01. KE30'!$C:$C,'06. BC BH THEO CUSTOMER-USD'!$D209,'01. KE30'!$F:$F,'06. BC BH THEO CUSTOMER-USD'!$H209,'01. KE30'!$A:$A,'06. BC BH THEO CUSTOMER-USD'!Q$4)/'06. BC BH THEO CUSTOMER-USD'!CW209/'02. Tỷ giá'!F$5,"-")</f>
        <v>-</v>
      </c>
      <c r="R209" s="106" t="str">
        <f>IFERROR(SUMIFS('01. KE30'!$K:$K,'01. KE30'!$C:$C,'06. BC BH THEO CUSTOMER-USD'!$D209,'01. KE30'!$F:$F,'06. BC BH THEO CUSTOMER-USD'!$H209,'01. KE30'!$A:$A,'06. BC BH THEO CUSTOMER-USD'!R$4)/'06. BC BH THEO CUSTOMER-USD'!CX209/'02. Tỷ giá'!G$5,"-")</f>
        <v>-</v>
      </c>
      <c r="S209" s="106" t="str">
        <f>IFERROR(SUMIFS('01. KE30'!$K:$K,'01. KE30'!$C:$C,'06. BC BH THEO CUSTOMER-USD'!$D209,'01. KE30'!$F:$F,'06. BC BH THEO CUSTOMER-USD'!$H209,'01. KE30'!$A:$A,'06. BC BH THEO CUSTOMER-USD'!S$4)/'06. BC BH THEO CUSTOMER-USD'!CY209/'02. Tỷ giá'!H$5,"-")</f>
        <v>-</v>
      </c>
      <c r="T209" s="106" t="str">
        <f>IFERROR(SUMIFS('01. KE30'!$K:$K,'01. KE30'!$C:$C,'06. BC BH THEO CUSTOMER-USD'!$D209,'01. KE30'!$F:$F,'06. BC BH THEO CUSTOMER-USD'!$H209,'01. KE30'!$A:$A,'06. BC BH THEO CUSTOMER-USD'!T$4)/'06. BC BH THEO CUSTOMER-USD'!CZ209/'02. Tỷ giá'!I$5,"-")</f>
        <v>-</v>
      </c>
      <c r="U209" s="106" t="str">
        <f>IFERROR(SUMIFS('01. KE30'!$K:$K,'01. KE30'!$C:$C,'06. BC BH THEO CUSTOMER-USD'!$D209,'01. KE30'!$F:$F,'06. BC BH THEO CUSTOMER-USD'!$H209,'01. KE30'!$A:$A,'06. BC BH THEO CUSTOMER-USD'!U$4)/'06. BC BH THEO CUSTOMER-USD'!DA209/'02. Tỷ giá'!J$5,"-")</f>
        <v>-</v>
      </c>
      <c r="V209" s="106" t="str">
        <f>IFERROR(SUMIFS('01. KE30'!$K:$K,'01. KE30'!$C:$C,'06. BC BH THEO CUSTOMER-USD'!$D209,'01. KE30'!$F:$F,'06. BC BH THEO CUSTOMER-USD'!$H209,'01. KE30'!$A:$A,'06. BC BH THEO CUSTOMER-USD'!V$4)/'06. BC BH THEO CUSTOMER-USD'!DB209/'02. Tỷ giá'!K$5,"-")</f>
        <v>-</v>
      </c>
      <c r="W209" s="106" t="str">
        <f>IFERROR(SUMIFS('01. KE30'!$K:$K,'01. KE30'!$C:$C,'06. BC BH THEO CUSTOMER-USD'!$D209,'01. KE30'!$F:$F,'06. BC BH THEO CUSTOMER-USD'!$H209,'01. KE30'!$A:$A,'06. BC BH THEO CUSTOMER-USD'!W$4)/'06. BC BH THEO CUSTOMER-USD'!DC209/'02. Tỷ giá'!L$5,"-")</f>
        <v>-</v>
      </c>
      <c r="X209" s="106" t="str">
        <f>IFERROR(SUMIFS('01. KE30'!$K:$K,'01. KE30'!$C:$C,'06. BC BH THEO CUSTOMER-USD'!$D209,'01. KE30'!$F:$F,'06. BC BH THEO CUSTOMER-USD'!$H209,'01. KE30'!$A:$A,'06. BC BH THEO CUSTOMER-USD'!X$4)/'06. BC BH THEO CUSTOMER-USD'!DD209/'02. Tỷ giá'!M$5,"-")</f>
        <v>-</v>
      </c>
      <c r="Z209" s="92" t="str">
        <f t="shared" ref="Z209:Z224" si="2516">IFERROR(AVERAGE(AA209:AL209),"-")</f>
        <v>-</v>
      </c>
      <c r="AA209" s="147" t="str">
        <f>IFERROR(SUMIFS('01. KE30'!$O:$O,'01. KE30'!$C:$C,'06. BC BH THEO CUSTOMER-USD'!$D209,'01. KE30'!$F:$F,'06. BC BH THEO CUSTOMER-USD'!$H209,'01. KE30'!$A:$A,'06. BC BH THEO CUSTOMER-USD'!M$4)/'06. BC BH THEO CUSTOMER-USD'!CS209/'02. Tỷ giá'!B$5,"-")</f>
        <v>-</v>
      </c>
      <c r="AB209" s="147" t="str">
        <f>IFERROR(SUMIFS('01. KE30'!$O:$O,'01. KE30'!$C:$C,'06. BC BH THEO CUSTOMER-USD'!$D209,'01. KE30'!$F:$F,'06. BC BH THEO CUSTOMER-USD'!$H209,'01. KE30'!$A:$A,'06. BC BH THEO CUSTOMER-USD'!N$4)/'06. BC BH THEO CUSTOMER-USD'!CT209/'02. Tỷ giá'!C$5,"-")</f>
        <v>-</v>
      </c>
      <c r="AC209" s="147" t="str">
        <f>IFERROR(SUMIFS('01. KE30'!$O:$O,'01. KE30'!$C:$C,'06. BC BH THEO CUSTOMER-USD'!$D209,'01. KE30'!$F:$F,'06. BC BH THEO CUSTOMER-USD'!$H209,'01. KE30'!$A:$A,'06. BC BH THEO CUSTOMER-USD'!O$4)/'06. BC BH THEO CUSTOMER-USD'!CU209/'02. Tỷ giá'!D$5,"-")</f>
        <v>-</v>
      </c>
      <c r="AD209" s="147" t="str">
        <f>IFERROR(SUMIFS('01. KE30'!$O:$O,'01. KE30'!$C:$C,'06. BC BH THEO CUSTOMER-USD'!$D209,'01. KE30'!$F:$F,'06. BC BH THEO CUSTOMER-USD'!$H209,'01. KE30'!$A:$A,'06. BC BH THEO CUSTOMER-USD'!P$4)/'06. BC BH THEO CUSTOMER-USD'!CV209/'02. Tỷ giá'!E$5,"-")</f>
        <v>-</v>
      </c>
      <c r="AE209" s="147" t="str">
        <f>IFERROR(SUMIFS('01. KE30'!$O:$O,'01. KE30'!$C:$C,'06. BC BH THEO CUSTOMER-USD'!$D209,'01. KE30'!$F:$F,'06. BC BH THEO CUSTOMER-USD'!$H209,'01. KE30'!$A:$A,'06. BC BH THEO CUSTOMER-USD'!Q$4)/'06. BC BH THEO CUSTOMER-USD'!CW209/'02. Tỷ giá'!F$5,"-")</f>
        <v>-</v>
      </c>
      <c r="AF209" s="147" t="str">
        <f>IFERROR(SUMIFS('01. KE30'!$O:$O,'01. KE30'!$C:$C,'06. BC BH THEO CUSTOMER-USD'!$D209,'01. KE30'!$F:$F,'06. BC BH THEO CUSTOMER-USD'!$H209,'01. KE30'!$A:$A,'06. BC BH THEO CUSTOMER-USD'!R$4)/'06. BC BH THEO CUSTOMER-USD'!CX209/'02. Tỷ giá'!G$5,"-")</f>
        <v>-</v>
      </c>
      <c r="AG209" s="147" t="str">
        <f>IFERROR(SUMIFS('01. KE30'!$O:$O,'01. KE30'!$C:$C,'06. BC BH THEO CUSTOMER-USD'!$D209,'01. KE30'!$F:$F,'06. BC BH THEO CUSTOMER-USD'!$H209,'01. KE30'!$A:$A,'06. BC BH THEO CUSTOMER-USD'!S$4)/'06. BC BH THEO CUSTOMER-USD'!CY209/'02. Tỷ giá'!H$5,"-")</f>
        <v>-</v>
      </c>
      <c r="AH209" s="147" t="str">
        <f>IFERROR(SUMIFS('01. KE30'!$O:$O,'01. KE30'!$C:$C,'06. BC BH THEO CUSTOMER-USD'!$D209,'01. KE30'!$F:$F,'06. BC BH THEO CUSTOMER-USD'!$H209,'01. KE30'!$A:$A,'06. BC BH THEO CUSTOMER-USD'!T$4)/'06. BC BH THEO CUSTOMER-USD'!CZ209/'02. Tỷ giá'!I$5,"-")</f>
        <v>-</v>
      </c>
      <c r="AI209" s="147" t="str">
        <f>IFERROR(SUMIFS('01. KE30'!$O:$O,'01. KE30'!$C:$C,'06. BC BH THEO CUSTOMER-USD'!$D209,'01. KE30'!$F:$F,'06. BC BH THEO CUSTOMER-USD'!$H209,'01. KE30'!$A:$A,'06. BC BH THEO CUSTOMER-USD'!U$4)/'06. BC BH THEO CUSTOMER-USD'!DA209/'02. Tỷ giá'!J$5,"-")</f>
        <v>-</v>
      </c>
      <c r="AJ209" s="147" t="str">
        <f>IFERROR(SUMIFS('01. KE30'!$O:$O,'01. KE30'!$C:$C,'06. BC BH THEO CUSTOMER-USD'!$D209,'01. KE30'!$F:$F,'06. BC BH THEO CUSTOMER-USD'!$H209,'01. KE30'!$A:$A,'06. BC BH THEO CUSTOMER-USD'!V$4)/'06. BC BH THEO CUSTOMER-USD'!DB209/'02. Tỷ giá'!K$5,"-")</f>
        <v>-</v>
      </c>
      <c r="AK209" s="147" t="str">
        <f>IFERROR(SUMIFS('01. KE30'!$O:$O,'01. KE30'!$C:$C,'06. BC BH THEO CUSTOMER-USD'!$D209,'01. KE30'!$F:$F,'06. BC BH THEO CUSTOMER-USD'!$H209,'01. KE30'!$A:$A,'06. BC BH THEO CUSTOMER-USD'!W$4)/'06. BC BH THEO CUSTOMER-USD'!DC209/'02. Tỷ giá'!L$5,"-")</f>
        <v>-</v>
      </c>
      <c r="AL209" s="147" t="str">
        <f>IFERROR(SUMIFS('01. KE30'!$O:$O,'01. KE30'!$C:$C,'06. BC BH THEO CUSTOMER-USD'!$D209,'01. KE30'!$F:$F,'06. BC BH THEO CUSTOMER-USD'!$H209,'01. KE30'!$A:$A,'06. BC BH THEO CUSTOMER-USD'!X$4)/'06. BC BH THEO CUSTOMER-USD'!DD209/'02. Tỷ giá'!M$5,"-")</f>
        <v>-</v>
      </c>
      <c r="AN209" s="92">
        <f t="shared" ref="AN209:AN224" si="2517">IFERROR(AVERAGE(AO209:AZ209),"-")</f>
        <v>815.55555555555554</v>
      </c>
      <c r="AO209" s="4">
        <v>900</v>
      </c>
      <c r="AP209" s="4">
        <v>820</v>
      </c>
      <c r="AQ209" s="4">
        <v>840</v>
      </c>
      <c r="AR209" s="4">
        <v>835</v>
      </c>
      <c r="AS209" s="4">
        <v>815</v>
      </c>
      <c r="AT209" s="4">
        <v>815</v>
      </c>
      <c r="AU209" s="4">
        <v>790</v>
      </c>
      <c r="AV209" s="4">
        <f t="shared" ref="AV209:AV227" si="2518">AU209-20</f>
        <v>770</v>
      </c>
      <c r="AW209" s="4">
        <v>755</v>
      </c>
      <c r="AX209" s="4"/>
      <c r="AY209" s="4"/>
      <c r="AZ209" s="4"/>
      <c r="BB209" s="95" t="str">
        <f t="shared" si="2122"/>
        <v>-</v>
      </c>
      <c r="BC209" s="95" t="str">
        <f t="shared" si="2123"/>
        <v>-</v>
      </c>
      <c r="BD209" s="95" t="str">
        <f t="shared" si="2108"/>
        <v>-</v>
      </c>
      <c r="BE209" s="95" t="str">
        <f t="shared" si="2108"/>
        <v>-</v>
      </c>
      <c r="BF209" s="95" t="str">
        <f t="shared" si="2108"/>
        <v>-</v>
      </c>
      <c r="BG209" s="95" t="str">
        <f t="shared" si="2108"/>
        <v>-</v>
      </c>
      <c r="BH209" s="95" t="str">
        <f t="shared" si="2108"/>
        <v>-</v>
      </c>
      <c r="BI209" s="95" t="str">
        <f t="shared" si="2108"/>
        <v>-</v>
      </c>
      <c r="BJ209" s="95" t="str">
        <f t="shared" si="2108"/>
        <v>-</v>
      </c>
      <c r="BK209" s="95" t="str">
        <f t="shared" si="2108"/>
        <v>-</v>
      </c>
      <c r="BL209" s="95" t="str">
        <f t="shared" si="2108"/>
        <v>-</v>
      </c>
      <c r="BM209" s="95" t="str">
        <f t="shared" si="2108"/>
        <v>-</v>
      </c>
      <c r="BN209" s="95" t="str">
        <f t="shared" si="2108"/>
        <v>-</v>
      </c>
      <c r="BP209" s="143" t="str">
        <f t="shared" si="2124"/>
        <v>-</v>
      </c>
      <c r="BQ209" s="143" t="str">
        <f t="shared" si="2109"/>
        <v>-</v>
      </c>
      <c r="BR209" s="143" t="str">
        <f t="shared" si="2110"/>
        <v>-</v>
      </c>
      <c r="BS209" s="143" t="str">
        <f t="shared" si="2111"/>
        <v>-</v>
      </c>
      <c r="BT209" s="143" t="str">
        <f t="shared" si="2112"/>
        <v>-</v>
      </c>
      <c r="BU209" s="143" t="str">
        <f t="shared" si="2113"/>
        <v>-</v>
      </c>
      <c r="BV209" s="143" t="str">
        <f t="shared" si="2114"/>
        <v>-</v>
      </c>
      <c r="BW209" s="143" t="str">
        <f t="shared" si="2115"/>
        <v>-</v>
      </c>
      <c r="BX209" s="143" t="str">
        <f t="shared" si="2116"/>
        <v>-</v>
      </c>
      <c r="BY209" s="143" t="str">
        <f t="shared" si="2117"/>
        <v>-</v>
      </c>
      <c r="BZ209" s="143" t="str">
        <f t="shared" si="2118"/>
        <v>-</v>
      </c>
      <c r="CA209" s="143" t="str">
        <f t="shared" si="2119"/>
        <v>-</v>
      </c>
      <c r="CB209" s="143" t="str">
        <f t="shared" si="2120"/>
        <v>-</v>
      </c>
      <c r="CD209" s="112" t="str">
        <f t="shared" si="2500"/>
        <v>-</v>
      </c>
      <c r="CE209" s="95" t="str">
        <f>IFERROR(SUMIFS('01. KE30'!$R:$R,'01. KE30'!$C:$C,'06. BC BH THEO CUSTOMER-USD'!$D209,'01. KE30'!$F:$F,'06. BC BH THEO CUSTOMER-USD'!$H209,'01. KE30'!$A:$A,'06. BC BH THEO CUSTOMER-USD'!CE$4)/CS209/'02. Tỷ giá'!B$5," -")</f>
        <v xml:space="preserve"> -</v>
      </c>
      <c r="CF209" s="95" t="str">
        <f>IFERROR(SUMIFS('01. KE30'!$R:$R,'01. KE30'!$C:$C,'06. BC BH THEO CUSTOMER-USD'!$D209,'01. KE30'!$F:$F,'06. BC BH THEO CUSTOMER-USD'!$H209,'01. KE30'!$A:$A,'06. BC BH THEO CUSTOMER-USD'!CF$4)/CT209/'02. Tỷ giá'!C$5," -")</f>
        <v xml:space="preserve"> -</v>
      </c>
      <c r="CG209" s="95" t="str">
        <f>IFERROR(SUMIFS('01. KE30'!$R:$R,'01. KE30'!$C:$C,'06. BC BH THEO CUSTOMER-USD'!$D209,'01. KE30'!$F:$F,'06. BC BH THEO CUSTOMER-USD'!$H209,'01. KE30'!$A:$A,'06. BC BH THEO CUSTOMER-USD'!CG$4)/CU209/'02. Tỷ giá'!D$5," -")</f>
        <v xml:space="preserve"> -</v>
      </c>
      <c r="CH209" s="95" t="str">
        <f>IFERROR(SUMIFS('01. KE30'!$R:$R,'01. KE30'!$C:$C,'06. BC BH THEO CUSTOMER-USD'!$D209,'01. KE30'!$F:$F,'06. BC BH THEO CUSTOMER-USD'!$H209,'01. KE30'!$A:$A,'06. BC BH THEO CUSTOMER-USD'!CH$4)/CV209/'02. Tỷ giá'!E$5," -")</f>
        <v xml:space="preserve"> -</v>
      </c>
      <c r="CI209" s="95" t="str">
        <f>IFERROR(SUMIFS('01. KE30'!$R:$R,'01. KE30'!$C:$C,'06. BC BH THEO CUSTOMER-USD'!$D209,'01. KE30'!$F:$F,'06. BC BH THEO CUSTOMER-USD'!$H209,'01. KE30'!$A:$A,'06. BC BH THEO CUSTOMER-USD'!CI$4)/CW209/'02. Tỷ giá'!F$5," -")</f>
        <v xml:space="preserve"> -</v>
      </c>
      <c r="CJ209" s="95" t="str">
        <f>IFERROR(SUMIFS('01. KE30'!$R:$R,'01. KE30'!$C:$C,'06. BC BH THEO CUSTOMER-USD'!$D209,'01. KE30'!$F:$F,'06. BC BH THEO CUSTOMER-USD'!$H209,'01. KE30'!$A:$A,'06. BC BH THEO CUSTOMER-USD'!CJ$4)/CX209/'02. Tỷ giá'!G$5," -")</f>
        <v xml:space="preserve"> -</v>
      </c>
      <c r="CK209" s="95" t="str">
        <f>IFERROR(SUMIFS('01. KE30'!$R:$R,'01. KE30'!$C:$C,'06. BC BH THEO CUSTOMER-USD'!$D209,'01. KE30'!$F:$F,'06. BC BH THEO CUSTOMER-USD'!$H209,'01. KE30'!$A:$A,'06. BC BH THEO CUSTOMER-USD'!CK$4)/CY209/'02. Tỷ giá'!H$5," -")</f>
        <v xml:space="preserve"> -</v>
      </c>
      <c r="CL209" s="95" t="str">
        <f>IFERROR(SUMIFS('01. KE30'!$R:$R,'01. KE30'!$C:$C,'06. BC BH THEO CUSTOMER-USD'!$D209,'01. KE30'!$F:$F,'06. BC BH THEO CUSTOMER-USD'!$H209,'01. KE30'!$A:$A,'06. BC BH THEO CUSTOMER-USD'!CL$4)/CZ209/'02. Tỷ giá'!I$5," -")</f>
        <v xml:space="preserve"> -</v>
      </c>
      <c r="CM209" s="95" t="str">
        <f>IFERROR(SUMIFS('01. KE30'!$R:$R,'01. KE30'!$C:$C,'06. BC BH THEO CUSTOMER-USD'!$D209,'01. KE30'!$F:$F,'06. BC BH THEO CUSTOMER-USD'!$H209,'01. KE30'!$A:$A,'06. BC BH THEO CUSTOMER-USD'!CM$4)/DA209/'02. Tỷ giá'!J$5," -")</f>
        <v xml:space="preserve"> -</v>
      </c>
      <c r="CN209" s="95" t="str">
        <f>IFERROR(SUMIFS('01. KE30'!$R:$R,'01. KE30'!$C:$C,'06. BC BH THEO CUSTOMER-USD'!$D209,'01. KE30'!$F:$F,'06. BC BH THEO CUSTOMER-USD'!$H209,'01. KE30'!$A:$A,'06. BC BH THEO CUSTOMER-USD'!CN$4)/DB209/'02. Tỷ giá'!K$5," -")</f>
        <v xml:space="preserve"> -</v>
      </c>
      <c r="CO209" s="95" t="str">
        <f>IFERROR(SUMIFS('01. KE30'!$R:$R,'01. KE30'!$C:$C,'06. BC BH THEO CUSTOMER-USD'!$D209,'01. KE30'!$F:$F,'06. BC BH THEO CUSTOMER-USD'!$H209,'01. KE30'!$A:$A,'06. BC BH THEO CUSTOMER-USD'!CO$4)/DC209/'02. Tỷ giá'!L$5," -")</f>
        <v xml:space="preserve"> -</v>
      </c>
      <c r="CP209" s="95" t="str">
        <f>IFERROR(SUMIFS('01. KE30'!$R:$R,'01. KE30'!$C:$C,'06. BC BH THEO CUSTOMER-USD'!$D209,'01. KE30'!$F:$F,'06. BC BH THEO CUSTOMER-USD'!$H209,'01. KE30'!$A:$A,'06. BC BH THEO CUSTOMER-USD'!CP$4)/DD209/'02. Tỷ giá'!M$5," -")</f>
        <v xml:space="preserve"> -</v>
      </c>
      <c r="CR209" s="112">
        <f t="shared" ref="CR209" si="2519">SUM(CS209:DD209)</f>
        <v>0</v>
      </c>
      <c r="CS209" s="114">
        <f>SUMIFS('01. KE30'!$I:$I,'01. KE30'!$C:$C,'06. BC BH THEO CUSTOMER-USD'!$D209,'01. KE30'!$F:$F,'06. BC BH THEO CUSTOMER-USD'!$H209,'01. KE30'!$A:$A,'06. BC BH THEO CUSTOMER-USD'!CS$4)/1000</f>
        <v>0</v>
      </c>
      <c r="CT209" s="114">
        <f>SUMIFS('01. KE30'!$I:$I,'01. KE30'!$C:$C,'06. BC BH THEO CUSTOMER-USD'!$D209,'01. KE30'!$F:$F,'06. BC BH THEO CUSTOMER-USD'!$H209,'01. KE30'!$A:$A,'06. BC BH THEO CUSTOMER-USD'!CT$4)/1000</f>
        <v>0</v>
      </c>
      <c r="CU209" s="114">
        <f>SUMIFS('01. KE30'!$I:$I,'01. KE30'!$C:$C,'06. BC BH THEO CUSTOMER-USD'!$D209,'01. KE30'!$F:$F,'06. BC BH THEO CUSTOMER-USD'!$H209,'01. KE30'!$A:$A,'06. BC BH THEO CUSTOMER-USD'!CU$4)/1000</f>
        <v>0</v>
      </c>
      <c r="CV209" s="114">
        <f>SUMIFS('01. KE30'!$I:$I,'01. KE30'!$C:$C,'06. BC BH THEO CUSTOMER-USD'!$D209,'01. KE30'!$F:$F,'06. BC BH THEO CUSTOMER-USD'!$H209,'01. KE30'!$A:$A,'06. BC BH THEO CUSTOMER-USD'!CV$4)/1000</f>
        <v>0</v>
      </c>
      <c r="CW209" s="114">
        <f>SUMIFS('01. KE30'!$I:$I,'01. KE30'!$C:$C,'06. BC BH THEO CUSTOMER-USD'!$D209,'01. KE30'!$F:$F,'06. BC BH THEO CUSTOMER-USD'!$H209,'01. KE30'!$A:$A,'06. BC BH THEO CUSTOMER-USD'!CW$4)/1000</f>
        <v>0</v>
      </c>
      <c r="CX209" s="114">
        <f>SUMIFS('01. KE30'!$I:$I,'01. KE30'!$C:$C,'06. BC BH THEO CUSTOMER-USD'!$D209,'01. KE30'!$F:$F,'06. BC BH THEO CUSTOMER-USD'!$H209,'01. KE30'!$A:$A,'06. BC BH THEO CUSTOMER-USD'!CX$4)/1000</f>
        <v>0</v>
      </c>
      <c r="CY209" s="114">
        <f>SUMIFS('01. KE30'!$I:$I,'01. KE30'!$C:$C,'06. BC BH THEO CUSTOMER-USD'!$D209,'01. KE30'!$F:$F,'06. BC BH THEO CUSTOMER-USD'!$H209,'01. KE30'!$A:$A,'06. BC BH THEO CUSTOMER-USD'!CY$4)/1000</f>
        <v>0</v>
      </c>
      <c r="CZ209" s="114">
        <f>SUMIFS('01. KE30'!$I:$I,'01. KE30'!$C:$C,'06. BC BH THEO CUSTOMER-USD'!$D209,'01. KE30'!$F:$F,'06. BC BH THEO CUSTOMER-USD'!$H209,'01. KE30'!$A:$A,'06. BC BH THEO CUSTOMER-USD'!CZ$4)/1000</f>
        <v>0</v>
      </c>
      <c r="DA209" s="114">
        <f>SUMIFS('01. KE30'!$I:$I,'01. KE30'!$C:$C,'06. BC BH THEO CUSTOMER-USD'!$D209,'01. KE30'!$F:$F,'06. BC BH THEO CUSTOMER-USD'!$H209,'01. KE30'!$A:$A,'06. BC BH THEO CUSTOMER-USD'!DA$4)/1000</f>
        <v>0</v>
      </c>
      <c r="DB209" s="114">
        <f>SUMIFS('01. KE30'!$I:$I,'01. KE30'!$C:$C,'06. BC BH THEO CUSTOMER-USD'!$D209,'01. KE30'!$F:$F,'06. BC BH THEO CUSTOMER-USD'!$H209,'01. KE30'!$A:$A,'06. BC BH THEO CUSTOMER-USD'!DB$4)/1000</f>
        <v>0</v>
      </c>
      <c r="DC209" s="114">
        <f>SUMIFS('01. KE30'!$I:$I,'01. KE30'!$C:$C,'06. BC BH THEO CUSTOMER-USD'!$D209,'01. KE30'!$F:$F,'06. BC BH THEO CUSTOMER-USD'!$H209,'01. KE30'!$A:$A,'06. BC BH THEO CUSTOMER-USD'!DC$4)/1000</f>
        <v>0</v>
      </c>
      <c r="DD209" s="114">
        <f>SUMIFS('01. KE30'!$I:$I,'01. KE30'!$C:$C,'06. BC BH THEO CUSTOMER-USD'!$D209,'01. KE30'!$F:$F,'06. BC BH THEO CUSTOMER-USD'!$H209,'01. KE30'!$A:$A,'06. BC BH THEO CUSTOMER-USD'!DD$4)/1000</f>
        <v>0</v>
      </c>
      <c r="DF209" s="112">
        <f t="shared" si="2502"/>
        <v>0</v>
      </c>
      <c r="DG209" s="54" t="str">
        <f t="shared" si="2503"/>
        <v>-</v>
      </c>
      <c r="DH209" s="54" t="str">
        <f t="shared" si="2504"/>
        <v>-</v>
      </c>
      <c r="DI209" s="54" t="str">
        <f t="shared" si="2505"/>
        <v>-</v>
      </c>
      <c r="DJ209" s="54" t="str">
        <f t="shared" si="2506"/>
        <v>-</v>
      </c>
      <c r="DK209" s="54" t="str">
        <f t="shared" si="2507"/>
        <v>-</v>
      </c>
      <c r="DL209" s="54" t="str">
        <f t="shared" si="2508"/>
        <v>-</v>
      </c>
      <c r="DM209" s="54" t="str">
        <f t="shared" si="2509"/>
        <v>-</v>
      </c>
      <c r="DN209" s="54" t="str">
        <f t="shared" si="2510"/>
        <v>-</v>
      </c>
      <c r="DO209" s="54" t="str">
        <f t="shared" si="2511"/>
        <v>-</v>
      </c>
      <c r="DP209" s="54" t="str">
        <f t="shared" si="2512"/>
        <v>-</v>
      </c>
      <c r="DQ209" s="54" t="str">
        <f t="shared" si="2513"/>
        <v>-</v>
      </c>
      <c r="DR209" s="54" t="str">
        <f t="shared" si="2514"/>
        <v>-</v>
      </c>
      <c r="DT209" s="112">
        <f t="shared" si="2515"/>
        <v>0</v>
      </c>
      <c r="DU209" s="114">
        <f>IFERROR(SUMIFS('01. KE30'!$X:$X,'01. KE30'!$C:$C,'06. BC BH THEO CUSTOMER-USD'!$D209,'01. KE30'!$F:$F,'06. BC BH THEO CUSTOMER-USD'!$H209,'01. KE30'!$A:$A,'06. BC BH THEO CUSTOMER-USD'!DU$4)-SUMIFS('01. KE30'!$AA:$AA,'01. KE30'!$C:$C,'06. BC BH THEO CUSTOMER-USD'!$D209,'01. KE30'!$F:$F,'06. BC BH THEO CUSTOMER-USD'!$H209,'01. KE30'!$A:$A,'06. BC BH THEO CUSTOMER-USD'!DU$4),"-")</f>
        <v>0</v>
      </c>
      <c r="DV209" s="114">
        <f>IFERROR(SUMIFS('01. KE30'!$X:$X,'01. KE30'!$C:$C,'06. BC BH THEO CUSTOMER-USD'!$D209,'01. KE30'!$F:$F,'06. BC BH THEO CUSTOMER-USD'!$H209,'01. KE30'!$A:$A,'06. BC BH THEO CUSTOMER-USD'!DV$4)-SUMIFS('01. KE30'!$AA:$AA,'01. KE30'!$C:$C,'06. BC BH THEO CUSTOMER-USD'!$D209,'01. KE30'!$F:$F,'06. BC BH THEO CUSTOMER-USD'!$H209,'01. KE30'!$A:$A,'06. BC BH THEO CUSTOMER-USD'!DV$4),"-")</f>
        <v>0</v>
      </c>
      <c r="DW209" s="114">
        <f>IFERROR(SUMIFS('01. KE30'!$X:$X,'01. KE30'!$C:$C,'06. BC BH THEO CUSTOMER-USD'!$D209,'01. KE30'!$F:$F,'06. BC BH THEO CUSTOMER-USD'!$H209,'01. KE30'!$A:$A,'06. BC BH THEO CUSTOMER-USD'!DW$4)-SUMIFS('01. KE30'!$AA:$AA,'01. KE30'!$C:$C,'06. BC BH THEO CUSTOMER-USD'!$D209,'01. KE30'!$F:$F,'06. BC BH THEO CUSTOMER-USD'!$H209,'01. KE30'!$A:$A,'06. BC BH THEO CUSTOMER-USD'!DW$4),"-")</f>
        <v>0</v>
      </c>
      <c r="DX209" s="114">
        <f>IFERROR(SUMIFS('01. KE30'!$X:$X,'01. KE30'!$C:$C,'06. BC BH THEO CUSTOMER-USD'!$D209,'01. KE30'!$F:$F,'06. BC BH THEO CUSTOMER-USD'!$H209,'01. KE30'!$A:$A,'06. BC BH THEO CUSTOMER-USD'!DX$4)-SUMIFS('01. KE30'!$AA:$AA,'01. KE30'!$C:$C,'06. BC BH THEO CUSTOMER-USD'!$D209,'01. KE30'!$F:$F,'06. BC BH THEO CUSTOMER-USD'!$H209,'01. KE30'!$A:$A,'06. BC BH THEO CUSTOMER-USD'!DX$4),"-")</f>
        <v>0</v>
      </c>
      <c r="DY209" s="114">
        <f>IFERROR(SUMIFS('01. KE30'!$X:$X,'01. KE30'!$C:$C,'06. BC BH THEO CUSTOMER-USD'!$D209,'01. KE30'!$F:$F,'06. BC BH THEO CUSTOMER-USD'!$H209,'01. KE30'!$A:$A,'06. BC BH THEO CUSTOMER-USD'!DY$4)-SUMIFS('01. KE30'!$AA:$AA,'01. KE30'!$C:$C,'06. BC BH THEO CUSTOMER-USD'!$D209,'01. KE30'!$F:$F,'06. BC BH THEO CUSTOMER-USD'!$H209,'01. KE30'!$A:$A,'06. BC BH THEO CUSTOMER-USD'!DY$4),"-")</f>
        <v>0</v>
      </c>
      <c r="DZ209" s="114">
        <f>IFERROR(SUMIFS('01. KE30'!$X:$X,'01. KE30'!$C:$C,'06. BC BH THEO CUSTOMER-USD'!$D209,'01. KE30'!$F:$F,'06. BC BH THEO CUSTOMER-USD'!$H209,'01. KE30'!$A:$A,'06. BC BH THEO CUSTOMER-USD'!DZ$4)-SUMIFS('01. KE30'!$AA:$AA,'01. KE30'!$C:$C,'06. BC BH THEO CUSTOMER-USD'!$D209,'01. KE30'!$F:$F,'06. BC BH THEO CUSTOMER-USD'!$H209,'01. KE30'!$A:$A,'06. BC BH THEO CUSTOMER-USD'!DZ$4),"-")</f>
        <v>0</v>
      </c>
      <c r="EA209" s="114">
        <f>IFERROR(SUMIFS('01. KE30'!$X:$X,'01. KE30'!$C:$C,'06. BC BH THEO CUSTOMER-USD'!$D209,'01. KE30'!$F:$F,'06. BC BH THEO CUSTOMER-USD'!$H209,'01. KE30'!$A:$A,'06. BC BH THEO CUSTOMER-USD'!EA$4)-SUMIFS('01. KE30'!$AA:$AA,'01. KE30'!$C:$C,'06. BC BH THEO CUSTOMER-USD'!$D209,'01. KE30'!$F:$F,'06. BC BH THEO CUSTOMER-USD'!$H209,'01. KE30'!$A:$A,'06. BC BH THEO CUSTOMER-USD'!EA$4),"-")</f>
        <v>0</v>
      </c>
      <c r="EB209" s="114">
        <f>IFERROR(SUMIFS('01. KE30'!$X:$X,'01. KE30'!$C:$C,'06. BC BH THEO CUSTOMER-USD'!$D209,'01. KE30'!$F:$F,'06. BC BH THEO CUSTOMER-USD'!$H209,'01. KE30'!$A:$A,'06. BC BH THEO CUSTOMER-USD'!EB$4)-SUMIFS('01. KE30'!$AA:$AA,'01. KE30'!$C:$C,'06. BC BH THEO CUSTOMER-USD'!$D209,'01. KE30'!$F:$F,'06. BC BH THEO CUSTOMER-USD'!$H209,'01. KE30'!$A:$A,'06. BC BH THEO CUSTOMER-USD'!EB$4),"-")</f>
        <v>0</v>
      </c>
      <c r="EC209" s="114">
        <f>IFERROR(SUMIFS('01. KE30'!$X:$X,'01. KE30'!$C:$C,'06. BC BH THEO CUSTOMER-USD'!$D209,'01. KE30'!$F:$F,'06. BC BH THEO CUSTOMER-USD'!$H209,'01. KE30'!$A:$A,'06. BC BH THEO CUSTOMER-USD'!EC$4)-SUMIFS('01. KE30'!$AA:$AA,'01. KE30'!$C:$C,'06. BC BH THEO CUSTOMER-USD'!$D209,'01. KE30'!$F:$F,'06. BC BH THEO CUSTOMER-USD'!$H209,'01. KE30'!$A:$A,'06. BC BH THEO CUSTOMER-USD'!EC$4),"-")</f>
        <v>0</v>
      </c>
      <c r="ED209" s="114">
        <f>IFERROR(SUMIFS('01. KE30'!$X:$X,'01. KE30'!$C:$C,'06. BC BH THEO CUSTOMER-USD'!$D209,'01. KE30'!$F:$F,'06. BC BH THEO CUSTOMER-USD'!$H209,'01. KE30'!$A:$A,'06. BC BH THEO CUSTOMER-USD'!ED$4)-SUMIFS('01. KE30'!$AA:$AA,'01. KE30'!$C:$C,'06. BC BH THEO CUSTOMER-USD'!$D209,'01. KE30'!$F:$F,'06. BC BH THEO CUSTOMER-USD'!$H209,'01. KE30'!$A:$A,'06. BC BH THEO CUSTOMER-USD'!ED$4),"-")</f>
        <v>0</v>
      </c>
      <c r="EE209" s="114">
        <f>IFERROR(SUMIFS('01. KE30'!$X:$X,'01. KE30'!$C:$C,'06. BC BH THEO CUSTOMER-USD'!$D209,'01. KE30'!$F:$F,'06. BC BH THEO CUSTOMER-USD'!$H209,'01. KE30'!$A:$A,'06. BC BH THEO CUSTOMER-USD'!EE$4)-SUMIFS('01. KE30'!$AA:$AA,'01. KE30'!$C:$C,'06. BC BH THEO CUSTOMER-USD'!$D209,'01. KE30'!$F:$F,'06. BC BH THEO CUSTOMER-USD'!$H209,'01. KE30'!$A:$A,'06. BC BH THEO CUSTOMER-USD'!EE$4),"-")</f>
        <v>0</v>
      </c>
      <c r="EF209" s="114">
        <f>IFERROR(SUMIFS('01. KE30'!$X:$X,'01. KE30'!$C:$C,'06. BC BH THEO CUSTOMER-USD'!$D209,'01. KE30'!$F:$F,'06. BC BH THEO CUSTOMER-USD'!$H209,'01. KE30'!$A:$A,'06. BC BH THEO CUSTOMER-USD'!EF$4)-SUMIFS('01. KE30'!$AA:$AA,'01. KE30'!$C:$C,'06. BC BH THEO CUSTOMER-USD'!$D209,'01. KE30'!$F:$F,'06. BC BH THEO CUSTOMER-USD'!$H209,'01. KE30'!$A:$A,'06. BC BH THEO CUSTOMER-USD'!EF$4),"-")</f>
        <v>0</v>
      </c>
      <c r="EH209" s="571" t="str">
        <f t="shared" si="1737"/>
        <v>-</v>
      </c>
      <c r="EI209" s="572" t="str">
        <f t="shared" si="1738"/>
        <v>-</v>
      </c>
      <c r="EJ209" s="572" t="str">
        <f t="shared" si="1739"/>
        <v>-</v>
      </c>
      <c r="EK209" s="572" t="str">
        <f t="shared" si="1740"/>
        <v>-</v>
      </c>
      <c r="EL209" s="572" t="str">
        <f t="shared" si="1741"/>
        <v>-</v>
      </c>
      <c r="EM209" s="572" t="str">
        <f t="shared" si="1742"/>
        <v>-</v>
      </c>
      <c r="EN209" s="572" t="str">
        <f t="shared" si="1743"/>
        <v>-</v>
      </c>
      <c r="EO209" s="572" t="str">
        <f t="shared" si="1744"/>
        <v>-</v>
      </c>
      <c r="EP209" s="572" t="str">
        <f t="shared" si="1745"/>
        <v>-</v>
      </c>
      <c r="EQ209" s="572" t="str">
        <f t="shared" si="1746"/>
        <v>-</v>
      </c>
      <c r="ER209" s="572" t="str">
        <f t="shared" si="1747"/>
        <v>-</v>
      </c>
      <c r="ES209" s="572" t="str">
        <f t="shared" si="1748"/>
        <v>-</v>
      </c>
      <c r="ET209" s="572" t="str">
        <f t="shared" si="1749"/>
        <v>-</v>
      </c>
    </row>
    <row r="210" spans="1:150" ht="15" customHeight="1" outlineLevel="1" x14ac:dyDescent="0.35">
      <c r="A210" s="10">
        <f t="shared" ref="A210:A217" si="2520">A209+1</f>
        <v>3</v>
      </c>
      <c r="B210" s="10" t="s">
        <v>23</v>
      </c>
      <c r="C210" s="442" t="s">
        <v>489</v>
      </c>
      <c r="D210" s="9" t="s">
        <v>716</v>
      </c>
      <c r="E210" s="8" t="s">
        <v>717</v>
      </c>
      <c r="F210" s="12" t="s">
        <v>245</v>
      </c>
      <c r="G210" s="12" t="str">
        <f>_xlfn.XLOOKUP(F210,'Quy đổi'!$G$5:$G$32,'Quy đổi'!$H$5:$H$32,0)</f>
        <v>Nội địa</v>
      </c>
      <c r="H210" s="80" t="s">
        <v>11</v>
      </c>
      <c r="I210" s="105" t="s">
        <v>10</v>
      </c>
      <c r="J210" s="13" t="s">
        <v>22</v>
      </c>
      <c r="K210" s="5"/>
      <c r="L210" s="92">
        <f t="shared" ref="L210" si="2521">IFERROR(AVERAGE(M210:X210),"-")</f>
        <v>737.9945799457995</v>
      </c>
      <c r="M210" s="106" t="str">
        <f>IFERROR(SUMIFS('01. KE30'!$K:$K,'01. KE30'!$C:$C,'06. BC BH THEO CUSTOMER-USD'!$D210,'01. KE30'!$F:$F,'06. BC BH THEO CUSTOMER-USD'!$H210,'01. KE30'!$A:$A,'06. BC BH THEO CUSTOMER-USD'!M$4)/'06. BC BH THEO CUSTOMER-USD'!CS210/'02. Tỷ giá'!B$5,"-")</f>
        <v>-</v>
      </c>
      <c r="N210" s="106" t="str">
        <f>IFERROR(SUMIFS('01. KE30'!$K:$K,'01. KE30'!$C:$C,'06. BC BH THEO CUSTOMER-USD'!$D210,'01. KE30'!$F:$F,'06. BC BH THEO CUSTOMER-USD'!$H210,'01. KE30'!$A:$A,'06. BC BH THEO CUSTOMER-USD'!N$4)/'06. BC BH THEO CUSTOMER-USD'!CT210/'02. Tỷ giá'!C$5,"-")</f>
        <v>-</v>
      </c>
      <c r="O210" s="106" t="str">
        <f>IFERROR(SUMIFS('01. KE30'!$K:$K,'01. KE30'!$C:$C,'06. BC BH THEO CUSTOMER-USD'!$D210,'01. KE30'!$F:$F,'06. BC BH THEO CUSTOMER-USD'!$H210,'01. KE30'!$A:$A,'06. BC BH THEO CUSTOMER-USD'!O$4)/'06. BC BH THEO CUSTOMER-USD'!CU210/'02. Tỷ giá'!D$5,"-")</f>
        <v>-</v>
      </c>
      <c r="P210" s="106">
        <f>IFERROR(SUMIFS('01. KE30'!$K:$K,'01. KE30'!$C:$C,'06. BC BH THEO CUSTOMER-USD'!$D210,'01. KE30'!$F:$F,'06. BC BH THEO CUSTOMER-USD'!$H210,'01. KE30'!$A:$A,'06. BC BH THEO CUSTOMER-USD'!P$4)/'06. BC BH THEO CUSTOMER-USD'!CV210/'02. Tỷ giá'!E$5,"-")</f>
        <v>737.9945799457995</v>
      </c>
      <c r="Q210" s="106" t="str">
        <f>IFERROR(SUMIFS('01. KE30'!$K:$K,'01. KE30'!$C:$C,'06. BC BH THEO CUSTOMER-USD'!$D210,'01. KE30'!$F:$F,'06. BC BH THEO CUSTOMER-USD'!$H210,'01. KE30'!$A:$A,'06. BC BH THEO CUSTOMER-USD'!Q$4)/'06. BC BH THEO CUSTOMER-USD'!CW210/'02. Tỷ giá'!F$5,"-")</f>
        <v>-</v>
      </c>
      <c r="R210" s="106" t="str">
        <f>IFERROR(SUMIFS('01. KE30'!$K:$K,'01. KE30'!$C:$C,'06. BC BH THEO CUSTOMER-USD'!$D210,'01. KE30'!$F:$F,'06. BC BH THEO CUSTOMER-USD'!$H210,'01. KE30'!$A:$A,'06. BC BH THEO CUSTOMER-USD'!R$4)/'06. BC BH THEO CUSTOMER-USD'!CX210/'02. Tỷ giá'!G$5,"-")</f>
        <v>-</v>
      </c>
      <c r="S210" s="106" t="str">
        <f>IFERROR(SUMIFS('01. KE30'!$K:$K,'01. KE30'!$C:$C,'06. BC BH THEO CUSTOMER-USD'!$D210,'01. KE30'!$F:$F,'06. BC BH THEO CUSTOMER-USD'!$H210,'01. KE30'!$A:$A,'06. BC BH THEO CUSTOMER-USD'!S$4)/'06. BC BH THEO CUSTOMER-USD'!CY210/'02. Tỷ giá'!H$5,"-")</f>
        <v>-</v>
      </c>
      <c r="T210" s="106" t="str">
        <f>IFERROR(SUMIFS('01. KE30'!$K:$K,'01. KE30'!$C:$C,'06. BC BH THEO CUSTOMER-USD'!$D210,'01. KE30'!$F:$F,'06. BC BH THEO CUSTOMER-USD'!$H210,'01. KE30'!$A:$A,'06. BC BH THEO CUSTOMER-USD'!T$4)/'06. BC BH THEO CUSTOMER-USD'!CZ210/'02. Tỷ giá'!I$5,"-")</f>
        <v>-</v>
      </c>
      <c r="U210" s="106" t="str">
        <f>IFERROR(SUMIFS('01. KE30'!$K:$K,'01. KE30'!$C:$C,'06. BC BH THEO CUSTOMER-USD'!$D210,'01. KE30'!$F:$F,'06. BC BH THEO CUSTOMER-USD'!$H210,'01. KE30'!$A:$A,'06. BC BH THEO CUSTOMER-USD'!U$4)/'06. BC BH THEO CUSTOMER-USD'!DA210/'02. Tỷ giá'!J$5,"-")</f>
        <v>-</v>
      </c>
      <c r="V210" s="106" t="str">
        <f>IFERROR(SUMIFS('01. KE30'!$K:$K,'01. KE30'!$C:$C,'06. BC BH THEO CUSTOMER-USD'!$D210,'01. KE30'!$F:$F,'06. BC BH THEO CUSTOMER-USD'!$H210,'01. KE30'!$A:$A,'06. BC BH THEO CUSTOMER-USD'!V$4)/'06. BC BH THEO CUSTOMER-USD'!DB210/'02. Tỷ giá'!K$5,"-")</f>
        <v>-</v>
      </c>
      <c r="W210" s="106" t="str">
        <f>IFERROR(SUMIFS('01. KE30'!$K:$K,'01. KE30'!$C:$C,'06. BC BH THEO CUSTOMER-USD'!$D210,'01. KE30'!$F:$F,'06. BC BH THEO CUSTOMER-USD'!$H210,'01. KE30'!$A:$A,'06. BC BH THEO CUSTOMER-USD'!W$4)/'06. BC BH THEO CUSTOMER-USD'!DC210/'02. Tỷ giá'!L$5,"-")</f>
        <v>-</v>
      </c>
      <c r="X210" s="106" t="str">
        <f>IFERROR(SUMIFS('01. KE30'!$K:$K,'01. KE30'!$C:$C,'06. BC BH THEO CUSTOMER-USD'!$D210,'01. KE30'!$F:$F,'06. BC BH THEO CUSTOMER-USD'!$H210,'01. KE30'!$A:$A,'06. BC BH THEO CUSTOMER-USD'!X$4)/'06. BC BH THEO CUSTOMER-USD'!DD210/'02. Tỷ giá'!M$5,"-")</f>
        <v>-</v>
      </c>
      <c r="Z210" s="92">
        <f t="shared" ref="Z210" si="2522">IFERROR(AVERAGE(AA210:AL210),"-")</f>
        <v>737.9945799457995</v>
      </c>
      <c r="AA210" s="147" t="str">
        <f>IFERROR(SUMIFS('01. KE30'!$O:$O,'01. KE30'!$C:$C,'06. BC BH THEO CUSTOMER-USD'!$D210,'01. KE30'!$F:$F,'06. BC BH THEO CUSTOMER-USD'!$H210,'01. KE30'!$A:$A,'06. BC BH THEO CUSTOMER-USD'!M$4)/'06. BC BH THEO CUSTOMER-USD'!CS210/'02. Tỷ giá'!B$5,"-")</f>
        <v>-</v>
      </c>
      <c r="AB210" s="147" t="str">
        <f>IFERROR(SUMIFS('01. KE30'!$O:$O,'01. KE30'!$C:$C,'06. BC BH THEO CUSTOMER-USD'!$D210,'01. KE30'!$F:$F,'06. BC BH THEO CUSTOMER-USD'!$H210,'01. KE30'!$A:$A,'06. BC BH THEO CUSTOMER-USD'!N$4)/'06. BC BH THEO CUSTOMER-USD'!CT210/'02. Tỷ giá'!C$5,"-")</f>
        <v>-</v>
      </c>
      <c r="AC210" s="147" t="str">
        <f>IFERROR(SUMIFS('01. KE30'!$O:$O,'01. KE30'!$C:$C,'06. BC BH THEO CUSTOMER-USD'!$D210,'01. KE30'!$F:$F,'06. BC BH THEO CUSTOMER-USD'!$H210,'01. KE30'!$A:$A,'06. BC BH THEO CUSTOMER-USD'!O$4)/'06. BC BH THEO CUSTOMER-USD'!CU210/'02. Tỷ giá'!D$5,"-")</f>
        <v>-</v>
      </c>
      <c r="AD210" s="147">
        <f>IFERROR(SUMIFS('01. KE30'!$O:$O,'01. KE30'!$C:$C,'06. BC BH THEO CUSTOMER-USD'!$D210,'01. KE30'!$F:$F,'06. BC BH THEO CUSTOMER-USD'!$H210,'01. KE30'!$A:$A,'06. BC BH THEO CUSTOMER-USD'!P$4)/'06. BC BH THEO CUSTOMER-USD'!CV210/'02. Tỷ giá'!E$5,"-")</f>
        <v>737.9945799457995</v>
      </c>
      <c r="AE210" s="147" t="str">
        <f>IFERROR(SUMIFS('01. KE30'!$O:$O,'01. KE30'!$C:$C,'06. BC BH THEO CUSTOMER-USD'!$D210,'01. KE30'!$F:$F,'06. BC BH THEO CUSTOMER-USD'!$H210,'01. KE30'!$A:$A,'06. BC BH THEO CUSTOMER-USD'!Q$4)/'06. BC BH THEO CUSTOMER-USD'!CW210/'02. Tỷ giá'!F$5,"-")</f>
        <v>-</v>
      </c>
      <c r="AF210" s="147" t="str">
        <f>IFERROR(SUMIFS('01. KE30'!$O:$O,'01. KE30'!$C:$C,'06. BC BH THEO CUSTOMER-USD'!$D210,'01. KE30'!$F:$F,'06. BC BH THEO CUSTOMER-USD'!$H210,'01. KE30'!$A:$A,'06. BC BH THEO CUSTOMER-USD'!R$4)/'06. BC BH THEO CUSTOMER-USD'!CX210/'02. Tỷ giá'!G$5,"-")</f>
        <v>-</v>
      </c>
      <c r="AG210" s="147" t="str">
        <f>IFERROR(SUMIFS('01. KE30'!$O:$O,'01. KE30'!$C:$C,'06. BC BH THEO CUSTOMER-USD'!$D210,'01. KE30'!$F:$F,'06. BC BH THEO CUSTOMER-USD'!$H210,'01. KE30'!$A:$A,'06. BC BH THEO CUSTOMER-USD'!S$4)/'06. BC BH THEO CUSTOMER-USD'!CY210/'02. Tỷ giá'!H$5,"-")</f>
        <v>-</v>
      </c>
      <c r="AH210" s="147" t="str">
        <f>IFERROR(SUMIFS('01. KE30'!$O:$O,'01. KE30'!$C:$C,'06. BC BH THEO CUSTOMER-USD'!$D210,'01. KE30'!$F:$F,'06. BC BH THEO CUSTOMER-USD'!$H210,'01. KE30'!$A:$A,'06. BC BH THEO CUSTOMER-USD'!T$4)/'06. BC BH THEO CUSTOMER-USD'!CZ210/'02. Tỷ giá'!I$5,"-")</f>
        <v>-</v>
      </c>
      <c r="AI210" s="147" t="str">
        <f>IFERROR(SUMIFS('01. KE30'!$O:$O,'01. KE30'!$C:$C,'06. BC BH THEO CUSTOMER-USD'!$D210,'01. KE30'!$F:$F,'06. BC BH THEO CUSTOMER-USD'!$H210,'01. KE30'!$A:$A,'06. BC BH THEO CUSTOMER-USD'!U$4)/'06. BC BH THEO CUSTOMER-USD'!DA210/'02. Tỷ giá'!J$5,"-")</f>
        <v>-</v>
      </c>
      <c r="AJ210" s="147" t="str">
        <f>IFERROR(SUMIFS('01. KE30'!$O:$O,'01. KE30'!$C:$C,'06. BC BH THEO CUSTOMER-USD'!$D210,'01. KE30'!$F:$F,'06. BC BH THEO CUSTOMER-USD'!$H210,'01. KE30'!$A:$A,'06. BC BH THEO CUSTOMER-USD'!V$4)/'06. BC BH THEO CUSTOMER-USD'!DB210/'02. Tỷ giá'!K$5,"-")</f>
        <v>-</v>
      </c>
      <c r="AK210" s="147" t="str">
        <f>IFERROR(SUMIFS('01. KE30'!$O:$O,'01. KE30'!$C:$C,'06. BC BH THEO CUSTOMER-USD'!$D210,'01. KE30'!$F:$F,'06. BC BH THEO CUSTOMER-USD'!$H210,'01. KE30'!$A:$A,'06. BC BH THEO CUSTOMER-USD'!W$4)/'06. BC BH THEO CUSTOMER-USD'!DC210/'02. Tỷ giá'!L$5,"-")</f>
        <v>-</v>
      </c>
      <c r="AL210" s="147" t="str">
        <f>IFERROR(SUMIFS('01. KE30'!$O:$O,'01. KE30'!$C:$C,'06. BC BH THEO CUSTOMER-USD'!$D210,'01. KE30'!$F:$F,'06. BC BH THEO CUSTOMER-USD'!$H210,'01. KE30'!$A:$A,'06. BC BH THEO CUSTOMER-USD'!X$4)/'06. BC BH THEO CUSTOMER-USD'!DD210/'02. Tỷ giá'!M$5,"-")</f>
        <v>-</v>
      </c>
      <c r="AN210" s="92">
        <f t="shared" ref="AN210" si="2523">IFERROR(AVERAGE(AO210:AZ210),"-")</f>
        <v>815.55555555555554</v>
      </c>
      <c r="AO210" s="4">
        <v>900</v>
      </c>
      <c r="AP210" s="4">
        <v>820</v>
      </c>
      <c r="AQ210" s="4">
        <v>840</v>
      </c>
      <c r="AR210" s="4">
        <v>835</v>
      </c>
      <c r="AS210" s="4">
        <v>815</v>
      </c>
      <c r="AT210" s="4">
        <v>815</v>
      </c>
      <c r="AU210" s="4">
        <v>790</v>
      </c>
      <c r="AV210" s="4">
        <f t="shared" si="2518"/>
        <v>770</v>
      </c>
      <c r="AW210" s="4">
        <v>755</v>
      </c>
      <c r="AX210" s="4"/>
      <c r="AY210" s="4"/>
      <c r="AZ210" s="4"/>
      <c r="BB210" s="95">
        <f t="shared" ref="BB210" si="2524">IF(L210&lt;&gt;"-",Z210-AN210,"-")</f>
        <v>-77.560975609756042</v>
      </c>
      <c r="BC210" s="95" t="str">
        <f t="shared" ref="BC210" si="2525">IF(M210&lt;&gt;"-",AA210-AO210,"-")</f>
        <v>-</v>
      </c>
      <c r="BD210" s="95" t="str">
        <f t="shared" ref="BD210" si="2526">IF(N210&lt;&gt;"-",AB210-AP210,"-")</f>
        <v>-</v>
      </c>
      <c r="BE210" s="95" t="str">
        <f t="shared" ref="BE210" si="2527">IF(O210&lt;&gt;"-",AC210-AQ210,"-")</f>
        <v>-</v>
      </c>
      <c r="BF210" s="95">
        <f t="shared" ref="BF210" si="2528">IF(P210&lt;&gt;"-",AD210-AR210,"-")</f>
        <v>-97.005420054200499</v>
      </c>
      <c r="BG210" s="95" t="str">
        <f t="shared" ref="BG210" si="2529">IF(Q210&lt;&gt;"-",AE210-AS210,"-")</f>
        <v>-</v>
      </c>
      <c r="BH210" s="95" t="str">
        <f t="shared" ref="BH210" si="2530">IF(R210&lt;&gt;"-",AF210-AT210,"-")</f>
        <v>-</v>
      </c>
      <c r="BI210" s="95" t="str">
        <f t="shared" ref="BI210" si="2531">IF(S210&lt;&gt;"-",AG210-AU210,"-")</f>
        <v>-</v>
      </c>
      <c r="BJ210" s="95" t="str">
        <f t="shared" ref="BJ210" si="2532">IF(T210&lt;&gt;"-",AH210-AV210,"-")</f>
        <v>-</v>
      </c>
      <c r="BK210" s="95" t="str">
        <f t="shared" ref="BK210" si="2533">IF(U210&lt;&gt;"-",AI210-AW210,"-")</f>
        <v>-</v>
      </c>
      <c r="BL210" s="95" t="str">
        <f t="shared" ref="BL210" si="2534">IF(V210&lt;&gt;"-",AJ210-AX210,"-")</f>
        <v>-</v>
      </c>
      <c r="BM210" s="95" t="str">
        <f t="shared" ref="BM210" si="2535">IF(W210&lt;&gt;"-",AK210-AY210,"-")</f>
        <v>-</v>
      </c>
      <c r="BN210" s="95" t="str">
        <f t="shared" ref="BN210" si="2536">IF(X210&lt;&gt;"-",AL210-AZ210,"-")</f>
        <v>-</v>
      </c>
      <c r="BP210" s="143">
        <f t="shared" ref="BP210" si="2537">IFERROR(IF(BB210&lt;&gt;"-",BB210/AN210,"-"),"-")</f>
        <v>-9.5102013690436568E-2</v>
      </c>
      <c r="BQ210" s="143" t="str">
        <f t="shared" ref="BQ210" si="2538">IFERROR(IF(BC210&lt;&gt;"-",BC210/AO210,"-"),"-")</f>
        <v>-</v>
      </c>
      <c r="BR210" s="143" t="str">
        <f t="shared" ref="BR210" si="2539">IFERROR(IF(BD210&lt;&gt;"-",BD210/AP210,"-"),"-")</f>
        <v>-</v>
      </c>
      <c r="BS210" s="143" t="str">
        <f t="shared" ref="BS210" si="2540">IFERROR(IF(BE210&lt;&gt;"-",BE210/AQ210,"-"),"-")</f>
        <v>-</v>
      </c>
      <c r="BT210" s="143">
        <f t="shared" ref="BT210" si="2541">IFERROR(IF(BF210&lt;&gt;"-",BF210/AR210,"-"),"-")</f>
        <v>-0.11617415575353353</v>
      </c>
      <c r="BU210" s="143" t="str">
        <f t="shared" ref="BU210" si="2542">IFERROR(IF(BG210&lt;&gt;"-",BG210/AS210,"-"),"-")</f>
        <v>-</v>
      </c>
      <c r="BV210" s="143" t="str">
        <f t="shared" ref="BV210" si="2543">IFERROR(IF(BH210&lt;&gt;"-",BH210/AT210,"-"),"-")</f>
        <v>-</v>
      </c>
      <c r="BW210" s="143" t="str">
        <f t="shared" ref="BW210" si="2544">IFERROR(IF(BI210&lt;&gt;"-",BI210/AU210,"-"),"-")</f>
        <v>-</v>
      </c>
      <c r="BX210" s="143" t="str">
        <f t="shared" ref="BX210" si="2545">IFERROR(IF(BJ210&lt;&gt;"-",BJ210/AV210,"-"),"-")</f>
        <v>-</v>
      </c>
      <c r="BY210" s="143" t="str">
        <f t="shared" ref="BY210" si="2546">IFERROR(IF(BK210&lt;&gt;"-",BK210/AW210,"-"),"-")</f>
        <v>-</v>
      </c>
      <c r="BZ210" s="143" t="str">
        <f t="shared" ref="BZ210" si="2547">IFERROR(IF(BL210&lt;&gt;"-",BL210/AX210,"-"),"-")</f>
        <v>-</v>
      </c>
      <c r="CA210" s="143" t="str">
        <f t="shared" ref="CA210" si="2548">IFERROR(IF(BM210&lt;&gt;"-",BM210/AY210,"-"),"-")</f>
        <v>-</v>
      </c>
      <c r="CB210" s="143" t="str">
        <f t="shared" ref="CB210" si="2549">IFERROR(IF(BN210&lt;&gt;"-",BN210/AZ210,"-"),"-")</f>
        <v>-</v>
      </c>
      <c r="CD210" s="112">
        <f t="shared" si="2500"/>
        <v>829.53813395276813</v>
      </c>
      <c r="CE210" s="95" t="str">
        <f>IFERROR(SUMIFS('01. KE30'!$R:$R,'01. KE30'!$C:$C,'06. BC BH THEO CUSTOMER-USD'!$D210,'01. KE30'!$F:$F,'06. BC BH THEO CUSTOMER-USD'!$H210,'01. KE30'!$A:$A,'06. BC BH THEO CUSTOMER-USD'!CE$4)/CS210/'02. Tỷ giá'!B$5," -")</f>
        <v xml:space="preserve"> -</v>
      </c>
      <c r="CF210" s="95" t="str">
        <f>IFERROR(SUMIFS('01. KE30'!$R:$R,'01. KE30'!$C:$C,'06. BC BH THEO CUSTOMER-USD'!$D210,'01. KE30'!$F:$F,'06. BC BH THEO CUSTOMER-USD'!$H210,'01. KE30'!$A:$A,'06. BC BH THEO CUSTOMER-USD'!CF$4)/CT210/'02. Tỷ giá'!C$5," -")</f>
        <v xml:space="preserve"> -</v>
      </c>
      <c r="CG210" s="95" t="str">
        <f>IFERROR(SUMIFS('01. KE30'!$R:$R,'01. KE30'!$C:$C,'06. BC BH THEO CUSTOMER-USD'!$D210,'01. KE30'!$F:$F,'06. BC BH THEO CUSTOMER-USD'!$H210,'01. KE30'!$A:$A,'06. BC BH THEO CUSTOMER-USD'!CG$4)/CU210/'02. Tỷ giá'!D$5," -")</f>
        <v xml:space="preserve"> -</v>
      </c>
      <c r="CH210" s="95">
        <f>IFERROR(SUMIFS('01. KE30'!$R:$R,'01. KE30'!$C:$C,'06. BC BH THEO CUSTOMER-USD'!$D210,'01. KE30'!$F:$F,'06. BC BH THEO CUSTOMER-USD'!$H210,'01. KE30'!$A:$A,'06. BC BH THEO CUSTOMER-USD'!CH$4)/CV210/'02. Tỷ giá'!E$5," -")</f>
        <v>829.53813395276813</v>
      </c>
      <c r="CI210" s="95" t="str">
        <f>IFERROR(SUMIFS('01. KE30'!$R:$R,'01. KE30'!$C:$C,'06. BC BH THEO CUSTOMER-USD'!$D210,'01. KE30'!$F:$F,'06. BC BH THEO CUSTOMER-USD'!$H210,'01. KE30'!$A:$A,'06. BC BH THEO CUSTOMER-USD'!CI$4)/CW210/'02. Tỷ giá'!F$5," -")</f>
        <v xml:space="preserve"> -</v>
      </c>
      <c r="CJ210" s="95" t="str">
        <f>IFERROR(SUMIFS('01. KE30'!$R:$R,'01. KE30'!$C:$C,'06. BC BH THEO CUSTOMER-USD'!$D210,'01. KE30'!$F:$F,'06. BC BH THEO CUSTOMER-USD'!$H210,'01. KE30'!$A:$A,'06. BC BH THEO CUSTOMER-USD'!CJ$4)/CX210/'02. Tỷ giá'!G$5," -")</f>
        <v xml:space="preserve"> -</v>
      </c>
      <c r="CK210" s="95" t="str">
        <f>IFERROR(SUMIFS('01. KE30'!$R:$R,'01. KE30'!$C:$C,'06. BC BH THEO CUSTOMER-USD'!$D210,'01. KE30'!$F:$F,'06. BC BH THEO CUSTOMER-USD'!$H210,'01. KE30'!$A:$A,'06. BC BH THEO CUSTOMER-USD'!CK$4)/CY210/'02. Tỷ giá'!H$5," -")</f>
        <v xml:space="preserve"> -</v>
      </c>
      <c r="CL210" s="95" t="str">
        <f>IFERROR(SUMIFS('01. KE30'!$R:$R,'01. KE30'!$C:$C,'06. BC BH THEO CUSTOMER-USD'!$D210,'01. KE30'!$F:$F,'06. BC BH THEO CUSTOMER-USD'!$H210,'01. KE30'!$A:$A,'06. BC BH THEO CUSTOMER-USD'!CL$4)/CZ210/'02. Tỷ giá'!I$5," -")</f>
        <v xml:space="preserve"> -</v>
      </c>
      <c r="CM210" s="95" t="str">
        <f>IFERROR(SUMIFS('01. KE30'!$R:$R,'01. KE30'!$C:$C,'06. BC BH THEO CUSTOMER-USD'!$D210,'01. KE30'!$F:$F,'06. BC BH THEO CUSTOMER-USD'!$H210,'01. KE30'!$A:$A,'06. BC BH THEO CUSTOMER-USD'!CM$4)/DA210/'02. Tỷ giá'!J$5," -")</f>
        <v xml:space="preserve"> -</v>
      </c>
      <c r="CN210" s="95" t="str">
        <f>IFERROR(SUMIFS('01. KE30'!$R:$R,'01. KE30'!$C:$C,'06. BC BH THEO CUSTOMER-USD'!$D210,'01. KE30'!$F:$F,'06. BC BH THEO CUSTOMER-USD'!$H210,'01. KE30'!$A:$A,'06. BC BH THEO CUSTOMER-USD'!CN$4)/DB210/'02. Tỷ giá'!K$5," -")</f>
        <v xml:space="preserve"> -</v>
      </c>
      <c r="CO210" s="95" t="str">
        <f>IFERROR(SUMIFS('01. KE30'!$R:$R,'01. KE30'!$C:$C,'06. BC BH THEO CUSTOMER-USD'!$D210,'01. KE30'!$F:$F,'06. BC BH THEO CUSTOMER-USD'!$H210,'01. KE30'!$A:$A,'06. BC BH THEO CUSTOMER-USD'!CO$4)/DC210/'02. Tỷ giá'!L$5," -")</f>
        <v xml:space="preserve"> -</v>
      </c>
      <c r="CP210" s="95" t="str">
        <f>IFERROR(SUMIFS('01. KE30'!$R:$R,'01. KE30'!$C:$C,'06. BC BH THEO CUSTOMER-USD'!$D210,'01. KE30'!$F:$F,'06. BC BH THEO CUSTOMER-USD'!$H210,'01. KE30'!$A:$A,'06. BC BH THEO CUSTOMER-USD'!CP$4)/DD210/'02. Tỷ giá'!M$5," -")</f>
        <v xml:space="preserve"> -</v>
      </c>
      <c r="CR210" s="112">
        <f t="shared" ref="CR210" si="2550">SUM(CS210:DD210)</f>
        <v>0.1</v>
      </c>
      <c r="CS210" s="114">
        <f>SUMIFS('01. KE30'!$I:$I,'01. KE30'!$C:$C,'06. BC BH THEO CUSTOMER-USD'!$D210,'01. KE30'!$F:$F,'06. BC BH THEO CUSTOMER-USD'!$H210,'01. KE30'!$A:$A,'06. BC BH THEO CUSTOMER-USD'!CS$4)/1000</f>
        <v>0</v>
      </c>
      <c r="CT210" s="114">
        <f>SUMIFS('01. KE30'!$I:$I,'01. KE30'!$C:$C,'06. BC BH THEO CUSTOMER-USD'!$D210,'01. KE30'!$F:$F,'06. BC BH THEO CUSTOMER-USD'!$H210,'01. KE30'!$A:$A,'06. BC BH THEO CUSTOMER-USD'!CT$4)/1000</f>
        <v>0</v>
      </c>
      <c r="CU210" s="114">
        <f>SUMIFS('01. KE30'!$I:$I,'01. KE30'!$C:$C,'06. BC BH THEO CUSTOMER-USD'!$D210,'01. KE30'!$F:$F,'06. BC BH THEO CUSTOMER-USD'!$H210,'01. KE30'!$A:$A,'06. BC BH THEO CUSTOMER-USD'!CU$4)/1000</f>
        <v>0</v>
      </c>
      <c r="CV210" s="114">
        <f>SUMIFS('01. KE30'!$I:$I,'01. KE30'!$C:$C,'06. BC BH THEO CUSTOMER-USD'!$D210,'01. KE30'!$F:$F,'06. BC BH THEO CUSTOMER-USD'!$H210,'01. KE30'!$A:$A,'06. BC BH THEO CUSTOMER-USD'!CV$4)/1000</f>
        <v>0.1</v>
      </c>
      <c r="CW210" s="114">
        <f>SUMIFS('01. KE30'!$I:$I,'01. KE30'!$C:$C,'06. BC BH THEO CUSTOMER-USD'!$D210,'01. KE30'!$F:$F,'06. BC BH THEO CUSTOMER-USD'!$H210,'01. KE30'!$A:$A,'06. BC BH THEO CUSTOMER-USD'!CW$4)/1000</f>
        <v>0</v>
      </c>
      <c r="CX210" s="114">
        <f>SUMIFS('01. KE30'!$I:$I,'01. KE30'!$C:$C,'06. BC BH THEO CUSTOMER-USD'!$D210,'01. KE30'!$F:$F,'06. BC BH THEO CUSTOMER-USD'!$H210,'01. KE30'!$A:$A,'06. BC BH THEO CUSTOMER-USD'!CX$4)/1000</f>
        <v>0</v>
      </c>
      <c r="CY210" s="114">
        <f>SUMIFS('01. KE30'!$I:$I,'01. KE30'!$C:$C,'06. BC BH THEO CUSTOMER-USD'!$D210,'01. KE30'!$F:$F,'06. BC BH THEO CUSTOMER-USD'!$H210,'01. KE30'!$A:$A,'06. BC BH THEO CUSTOMER-USD'!CY$4)/1000</f>
        <v>0</v>
      </c>
      <c r="CZ210" s="114">
        <f>SUMIFS('01. KE30'!$I:$I,'01. KE30'!$C:$C,'06. BC BH THEO CUSTOMER-USD'!$D210,'01. KE30'!$F:$F,'06. BC BH THEO CUSTOMER-USD'!$H210,'01. KE30'!$A:$A,'06. BC BH THEO CUSTOMER-USD'!CZ$4)/1000</f>
        <v>0</v>
      </c>
      <c r="DA210" s="114">
        <f>SUMIFS('01. KE30'!$I:$I,'01. KE30'!$C:$C,'06. BC BH THEO CUSTOMER-USD'!$D210,'01. KE30'!$F:$F,'06. BC BH THEO CUSTOMER-USD'!$H210,'01. KE30'!$A:$A,'06. BC BH THEO CUSTOMER-USD'!DA$4)/1000</f>
        <v>0</v>
      </c>
      <c r="DB210" s="114">
        <f>SUMIFS('01. KE30'!$I:$I,'01. KE30'!$C:$C,'06. BC BH THEO CUSTOMER-USD'!$D210,'01. KE30'!$F:$F,'06. BC BH THEO CUSTOMER-USD'!$H210,'01. KE30'!$A:$A,'06. BC BH THEO CUSTOMER-USD'!DB$4)/1000</f>
        <v>0</v>
      </c>
      <c r="DC210" s="114">
        <f>SUMIFS('01. KE30'!$I:$I,'01. KE30'!$C:$C,'06. BC BH THEO CUSTOMER-USD'!$D210,'01. KE30'!$F:$F,'06. BC BH THEO CUSTOMER-USD'!$H210,'01. KE30'!$A:$A,'06. BC BH THEO CUSTOMER-USD'!DC$4)/1000</f>
        <v>0</v>
      </c>
      <c r="DD210" s="114">
        <f>SUMIFS('01. KE30'!$I:$I,'01. KE30'!$C:$C,'06. BC BH THEO CUSTOMER-USD'!$D210,'01. KE30'!$F:$F,'06. BC BH THEO CUSTOMER-USD'!$H210,'01. KE30'!$A:$A,'06. BC BH THEO CUSTOMER-USD'!DD$4)/1000</f>
        <v>0</v>
      </c>
      <c r="DF210" s="112">
        <f t="shared" ref="DF210" si="2551">SUM(DG210:DR210)</f>
        <v>73.799457994579953</v>
      </c>
      <c r="DG210" s="54" t="str">
        <f t="shared" ref="DG210" si="2552">IFERROR(M210*CS210,"-")</f>
        <v>-</v>
      </c>
      <c r="DH210" s="54" t="str">
        <f t="shared" ref="DH210" si="2553">IFERROR(N210*CT210,"-")</f>
        <v>-</v>
      </c>
      <c r="DI210" s="54" t="str">
        <f t="shared" ref="DI210" si="2554">IFERROR(O210*CU210,"-")</f>
        <v>-</v>
      </c>
      <c r="DJ210" s="54">
        <f t="shared" ref="DJ210" si="2555">IFERROR(P210*CV210,"-")</f>
        <v>73.799457994579953</v>
      </c>
      <c r="DK210" s="54" t="str">
        <f t="shared" ref="DK210" si="2556">IFERROR(Q210*CW210,"-")</f>
        <v>-</v>
      </c>
      <c r="DL210" s="54" t="str">
        <f t="shared" ref="DL210" si="2557">IFERROR(R210*CX210,"-")</f>
        <v>-</v>
      </c>
      <c r="DM210" s="54" t="str">
        <f t="shared" ref="DM210" si="2558">IFERROR(S210*CY210,"-")</f>
        <v>-</v>
      </c>
      <c r="DN210" s="54" t="str">
        <f t="shared" ref="DN210" si="2559">IFERROR(T210*CZ210,"-")</f>
        <v>-</v>
      </c>
      <c r="DO210" s="54" t="str">
        <f t="shared" ref="DO210" si="2560">IFERROR(U210*DA210,"-")</f>
        <v>-</v>
      </c>
      <c r="DP210" s="54" t="str">
        <f t="shared" ref="DP210" si="2561">IFERROR(V210*DB210,"-")</f>
        <v>-</v>
      </c>
      <c r="DQ210" s="54" t="str">
        <f t="shared" ref="DQ210" si="2562">IFERROR(W210*DC210,"-")</f>
        <v>-</v>
      </c>
      <c r="DR210" s="54" t="str">
        <f t="shared" ref="DR210" si="2563">IFERROR(X210*DD210,"-")</f>
        <v>-</v>
      </c>
      <c r="DT210" s="112">
        <f t="shared" ref="DT210" si="2564">SUM(DU210:EF210)</f>
        <v>-9.1543554006968719</v>
      </c>
      <c r="DU210" s="114">
        <f>IFERROR(SUMIFS('01. KE30'!$X:$X,'01. KE30'!$C:$C,'06. BC BH THEO CUSTOMER-USD'!$D210,'01. KE30'!$F:$F,'06. BC BH THEO CUSTOMER-USD'!$H210,'01. KE30'!$A:$A,'06. BC BH THEO CUSTOMER-USD'!DU$4)-SUMIFS('01. KE30'!$AA:$AA,'01. KE30'!$C:$C,'06. BC BH THEO CUSTOMER-USD'!$D210,'01. KE30'!$F:$F,'06. BC BH THEO CUSTOMER-USD'!$H210,'01. KE30'!$A:$A,'06. BC BH THEO CUSTOMER-USD'!DU$4),"-")</f>
        <v>0</v>
      </c>
      <c r="DV210" s="114">
        <f>IFERROR(SUMIFS('01. KE30'!$X:$X,'01. KE30'!$C:$C,'06. BC BH THEO CUSTOMER-USD'!$D210,'01. KE30'!$F:$F,'06. BC BH THEO CUSTOMER-USD'!$H210,'01. KE30'!$A:$A,'06. BC BH THEO CUSTOMER-USD'!DV$4)-SUMIFS('01. KE30'!$AA:$AA,'01. KE30'!$C:$C,'06. BC BH THEO CUSTOMER-USD'!$D210,'01. KE30'!$F:$F,'06. BC BH THEO CUSTOMER-USD'!$H210,'01. KE30'!$A:$A,'06. BC BH THEO CUSTOMER-USD'!DV$4),"-")</f>
        <v>0</v>
      </c>
      <c r="DW210" s="114">
        <f>IFERROR(SUMIFS('01. KE30'!$X:$X,'01. KE30'!$C:$C,'06. BC BH THEO CUSTOMER-USD'!$D210,'01. KE30'!$F:$F,'06. BC BH THEO CUSTOMER-USD'!$H210,'01. KE30'!$A:$A,'06. BC BH THEO CUSTOMER-USD'!DW$4)-SUMIFS('01. KE30'!$AA:$AA,'01. KE30'!$C:$C,'06. BC BH THEO CUSTOMER-USD'!$D210,'01. KE30'!$F:$F,'06. BC BH THEO CUSTOMER-USD'!$H210,'01. KE30'!$A:$A,'06. BC BH THEO CUSTOMER-USD'!DW$4),"-")</f>
        <v>0</v>
      </c>
      <c r="DX210" s="114">
        <f>IFERROR(SUMIFS('01. KE30'!$X:$X,'01. KE30'!$C:$C,'06. BC BH THEO CUSTOMER-USD'!$D210,'01. KE30'!$F:$F,'06. BC BH THEO CUSTOMER-USD'!$H210,'01. KE30'!$A:$A,'06. BC BH THEO CUSTOMER-USD'!DX$4)-SUMIFS('01. KE30'!$AA:$AA,'01. KE30'!$C:$C,'06. BC BH THEO CUSTOMER-USD'!$D210,'01. KE30'!$F:$F,'06. BC BH THEO CUSTOMER-USD'!$H210,'01. KE30'!$A:$A,'06. BC BH THEO CUSTOMER-USD'!DX$4),"-")</f>
        <v>-9.1543554006968719</v>
      </c>
      <c r="DY210" s="114">
        <f>IFERROR(SUMIFS('01. KE30'!$X:$X,'01. KE30'!$C:$C,'06. BC BH THEO CUSTOMER-USD'!$D210,'01. KE30'!$F:$F,'06. BC BH THEO CUSTOMER-USD'!$H210,'01. KE30'!$A:$A,'06. BC BH THEO CUSTOMER-USD'!DY$4)-SUMIFS('01. KE30'!$AA:$AA,'01. KE30'!$C:$C,'06. BC BH THEO CUSTOMER-USD'!$D210,'01. KE30'!$F:$F,'06. BC BH THEO CUSTOMER-USD'!$H210,'01. KE30'!$A:$A,'06. BC BH THEO CUSTOMER-USD'!DY$4),"-")</f>
        <v>0</v>
      </c>
      <c r="DZ210" s="114">
        <f>IFERROR(SUMIFS('01. KE30'!$X:$X,'01. KE30'!$C:$C,'06. BC BH THEO CUSTOMER-USD'!$D210,'01. KE30'!$F:$F,'06. BC BH THEO CUSTOMER-USD'!$H210,'01. KE30'!$A:$A,'06. BC BH THEO CUSTOMER-USD'!DZ$4)-SUMIFS('01. KE30'!$AA:$AA,'01. KE30'!$C:$C,'06. BC BH THEO CUSTOMER-USD'!$D210,'01. KE30'!$F:$F,'06. BC BH THEO CUSTOMER-USD'!$H210,'01. KE30'!$A:$A,'06. BC BH THEO CUSTOMER-USD'!DZ$4),"-")</f>
        <v>0</v>
      </c>
      <c r="EA210" s="114">
        <f>IFERROR(SUMIFS('01. KE30'!$X:$X,'01. KE30'!$C:$C,'06. BC BH THEO CUSTOMER-USD'!$D210,'01. KE30'!$F:$F,'06. BC BH THEO CUSTOMER-USD'!$H210,'01. KE30'!$A:$A,'06. BC BH THEO CUSTOMER-USD'!EA$4)-SUMIFS('01. KE30'!$AA:$AA,'01. KE30'!$C:$C,'06. BC BH THEO CUSTOMER-USD'!$D210,'01. KE30'!$F:$F,'06. BC BH THEO CUSTOMER-USD'!$H210,'01. KE30'!$A:$A,'06. BC BH THEO CUSTOMER-USD'!EA$4),"-")</f>
        <v>0</v>
      </c>
      <c r="EB210" s="114">
        <f>IFERROR(SUMIFS('01. KE30'!$X:$X,'01. KE30'!$C:$C,'06. BC BH THEO CUSTOMER-USD'!$D210,'01. KE30'!$F:$F,'06. BC BH THEO CUSTOMER-USD'!$H210,'01. KE30'!$A:$A,'06. BC BH THEO CUSTOMER-USD'!EB$4)-SUMIFS('01. KE30'!$AA:$AA,'01. KE30'!$C:$C,'06. BC BH THEO CUSTOMER-USD'!$D210,'01. KE30'!$F:$F,'06. BC BH THEO CUSTOMER-USD'!$H210,'01. KE30'!$A:$A,'06. BC BH THEO CUSTOMER-USD'!EB$4),"-")</f>
        <v>0</v>
      </c>
      <c r="EC210" s="114">
        <f>IFERROR(SUMIFS('01. KE30'!$X:$X,'01. KE30'!$C:$C,'06. BC BH THEO CUSTOMER-USD'!$D210,'01. KE30'!$F:$F,'06. BC BH THEO CUSTOMER-USD'!$H210,'01. KE30'!$A:$A,'06. BC BH THEO CUSTOMER-USD'!EC$4)-SUMIFS('01. KE30'!$AA:$AA,'01. KE30'!$C:$C,'06. BC BH THEO CUSTOMER-USD'!$D210,'01. KE30'!$F:$F,'06. BC BH THEO CUSTOMER-USD'!$H210,'01. KE30'!$A:$A,'06. BC BH THEO CUSTOMER-USD'!EC$4),"-")</f>
        <v>0</v>
      </c>
      <c r="ED210" s="114">
        <f>IFERROR(SUMIFS('01. KE30'!$X:$X,'01. KE30'!$C:$C,'06. BC BH THEO CUSTOMER-USD'!$D210,'01. KE30'!$F:$F,'06. BC BH THEO CUSTOMER-USD'!$H210,'01. KE30'!$A:$A,'06. BC BH THEO CUSTOMER-USD'!ED$4)-SUMIFS('01. KE30'!$AA:$AA,'01. KE30'!$C:$C,'06. BC BH THEO CUSTOMER-USD'!$D210,'01. KE30'!$F:$F,'06. BC BH THEO CUSTOMER-USD'!$H210,'01. KE30'!$A:$A,'06. BC BH THEO CUSTOMER-USD'!ED$4),"-")</f>
        <v>0</v>
      </c>
      <c r="EE210" s="114">
        <f>IFERROR(SUMIFS('01. KE30'!$X:$X,'01. KE30'!$C:$C,'06. BC BH THEO CUSTOMER-USD'!$D210,'01. KE30'!$F:$F,'06. BC BH THEO CUSTOMER-USD'!$H210,'01. KE30'!$A:$A,'06. BC BH THEO CUSTOMER-USD'!EE$4)-SUMIFS('01. KE30'!$AA:$AA,'01. KE30'!$C:$C,'06. BC BH THEO CUSTOMER-USD'!$D210,'01. KE30'!$F:$F,'06. BC BH THEO CUSTOMER-USD'!$H210,'01. KE30'!$A:$A,'06. BC BH THEO CUSTOMER-USD'!EE$4),"-")</f>
        <v>0</v>
      </c>
      <c r="EF210" s="114">
        <f>IFERROR(SUMIFS('01. KE30'!$X:$X,'01. KE30'!$C:$C,'06. BC BH THEO CUSTOMER-USD'!$D210,'01. KE30'!$F:$F,'06. BC BH THEO CUSTOMER-USD'!$H210,'01. KE30'!$A:$A,'06. BC BH THEO CUSTOMER-USD'!EF$4)-SUMIFS('01. KE30'!$AA:$AA,'01. KE30'!$C:$C,'06. BC BH THEO CUSTOMER-USD'!$D210,'01. KE30'!$F:$F,'06. BC BH THEO CUSTOMER-USD'!$H210,'01. KE30'!$A:$A,'06. BC BH THEO CUSTOMER-USD'!EF$4),"-")</f>
        <v>0</v>
      </c>
      <c r="EH210" s="571">
        <f t="shared" si="1737"/>
        <v>-0.12404366711431938</v>
      </c>
      <c r="EI210" s="572" t="str">
        <f t="shared" si="1738"/>
        <v>-</v>
      </c>
      <c r="EJ210" s="572" t="str">
        <f t="shared" si="1739"/>
        <v>-</v>
      </c>
      <c r="EK210" s="572" t="str">
        <f t="shared" si="1740"/>
        <v>-</v>
      </c>
      <c r="EL210" s="572">
        <f t="shared" si="1741"/>
        <v>-0.12404366711431938</v>
      </c>
      <c r="EM210" s="572" t="str">
        <f t="shared" si="1742"/>
        <v>-</v>
      </c>
      <c r="EN210" s="572" t="str">
        <f t="shared" si="1743"/>
        <v>-</v>
      </c>
      <c r="EO210" s="572" t="str">
        <f t="shared" si="1744"/>
        <v>-</v>
      </c>
      <c r="EP210" s="572" t="str">
        <f t="shared" si="1745"/>
        <v>-</v>
      </c>
      <c r="EQ210" s="572" t="str">
        <f t="shared" si="1746"/>
        <v>-</v>
      </c>
      <c r="ER210" s="572" t="str">
        <f t="shared" si="1747"/>
        <v>-</v>
      </c>
      <c r="ES210" s="572" t="str">
        <f t="shared" si="1748"/>
        <v>-</v>
      </c>
      <c r="ET210" s="572" t="str">
        <f t="shared" si="1749"/>
        <v>-</v>
      </c>
    </row>
    <row r="211" spans="1:150" ht="15.5" outlineLevel="1" x14ac:dyDescent="0.35">
      <c r="A211" s="10">
        <f t="shared" si="2520"/>
        <v>4</v>
      </c>
      <c r="B211" s="10" t="s">
        <v>23</v>
      </c>
      <c r="C211" s="442" t="s">
        <v>489</v>
      </c>
      <c r="D211" s="9" t="s">
        <v>21</v>
      </c>
      <c r="E211" s="8" t="s">
        <v>20</v>
      </c>
      <c r="F211" s="12" t="s">
        <v>245</v>
      </c>
      <c r="G211" s="12" t="str">
        <f>_xlfn.XLOOKUP(F211,'Quy đổi'!$G$5:$G$32,'Quy đổi'!$H$5:$H$32,0)</f>
        <v>Nội địa</v>
      </c>
      <c r="H211" s="8" t="s">
        <v>538</v>
      </c>
      <c r="I211" s="7" t="s">
        <v>539</v>
      </c>
      <c r="J211" s="13" t="s">
        <v>22</v>
      </c>
      <c r="K211" s="5"/>
      <c r="L211" s="92">
        <f t="shared" si="2499"/>
        <v>746.19845101007854</v>
      </c>
      <c r="M211" s="106" t="str">
        <f>IFERROR(SUMIFS('01. KE30'!$K:$K,'01. KE30'!$C:$C,'06. BC BH THEO CUSTOMER-USD'!$D211,'01. KE30'!$F:$F,'06. BC BH THEO CUSTOMER-USD'!$H211,'01. KE30'!$A:$A,'06. BC BH THEO CUSTOMER-USD'!M$4)/'06. BC BH THEO CUSTOMER-USD'!CS211/'02. Tỷ giá'!B$5,"-")</f>
        <v>-</v>
      </c>
      <c r="N211" s="106" t="str">
        <f>IFERROR(SUMIFS('01. KE30'!$K:$K,'01. KE30'!$C:$C,'06. BC BH THEO CUSTOMER-USD'!$D211,'01. KE30'!$F:$F,'06. BC BH THEO CUSTOMER-USD'!$H211,'01. KE30'!$A:$A,'06. BC BH THEO CUSTOMER-USD'!N$4)/'06. BC BH THEO CUSTOMER-USD'!CT211/'02. Tỷ giá'!C$5,"-")</f>
        <v>-</v>
      </c>
      <c r="O211" s="106">
        <f>IFERROR(SUMIFS('01. KE30'!$K:$K,'01. KE30'!$C:$C,'06. BC BH THEO CUSTOMER-USD'!$D211,'01. KE30'!$F:$F,'06. BC BH THEO CUSTOMER-USD'!$H211,'01. KE30'!$A:$A,'06. BC BH THEO CUSTOMER-USD'!O$4)/'06. BC BH THEO CUSTOMER-USD'!CU211/'02. Tỷ giá'!D$5,"-")</f>
        <v>765.52930716993717</v>
      </c>
      <c r="P211" s="106">
        <f>IFERROR(SUMIFS('01. KE30'!$K:$K,'01. KE30'!$C:$C,'06. BC BH THEO CUSTOMER-USD'!$D211,'01. KE30'!$F:$F,'06. BC BH THEO CUSTOMER-USD'!$H211,'01. KE30'!$A:$A,'06. BC BH THEO CUSTOMER-USD'!P$4)/'06. BC BH THEO CUSTOMER-USD'!CV211/'02. Tỷ giá'!E$5,"-")</f>
        <v>752.78530360653747</v>
      </c>
      <c r="Q211" s="106" t="str">
        <f>IFERROR(SUMIFS('01. KE30'!$K:$K,'01. KE30'!$C:$C,'06. BC BH THEO CUSTOMER-USD'!$D211,'01. KE30'!$F:$F,'06. BC BH THEO CUSTOMER-USD'!$H211,'01. KE30'!$A:$A,'06. BC BH THEO CUSTOMER-USD'!Q$4)/'06. BC BH THEO CUSTOMER-USD'!CW211/'02. Tỷ giá'!F$5,"-")</f>
        <v>-</v>
      </c>
      <c r="R211" s="106" t="str">
        <f>IFERROR(SUMIFS('01. KE30'!$K:$K,'01. KE30'!$C:$C,'06. BC BH THEO CUSTOMER-USD'!$D211,'01. KE30'!$F:$F,'06. BC BH THEO CUSTOMER-USD'!$H211,'01. KE30'!$A:$A,'06. BC BH THEO CUSTOMER-USD'!R$4)/'06. BC BH THEO CUSTOMER-USD'!CX211/'02. Tỷ giá'!G$5,"-")</f>
        <v>-</v>
      </c>
      <c r="S211" s="106">
        <f>IFERROR(SUMIFS('01. KE30'!$K:$K,'01. KE30'!$C:$C,'06. BC BH THEO CUSTOMER-USD'!$D211,'01. KE30'!$F:$F,'06. BC BH THEO CUSTOMER-USD'!$H211,'01. KE30'!$A:$A,'06. BC BH THEO CUSTOMER-USD'!S$4)/'06. BC BH THEO CUSTOMER-USD'!CY211/'02. Tỷ giá'!H$5,"-")</f>
        <v>729.21557643278732</v>
      </c>
      <c r="T211" s="106">
        <f>IFERROR(SUMIFS('01. KE30'!$K:$K,'01. KE30'!$C:$C,'06. BC BH THEO CUSTOMER-USD'!$D211,'01. KE30'!$F:$F,'06. BC BH THEO CUSTOMER-USD'!$H211,'01. KE30'!$A:$A,'06. BC BH THEO CUSTOMER-USD'!T$4)/'06. BC BH THEO CUSTOMER-USD'!CZ211/'02. Tỷ giá'!I$5,"-")</f>
        <v>742.721327869991</v>
      </c>
      <c r="U211" s="106">
        <f>IFERROR(SUMIFS('01. KE30'!$K:$K,'01. KE30'!$C:$C,'06. BC BH THEO CUSTOMER-USD'!$D211,'01. KE30'!$F:$F,'06. BC BH THEO CUSTOMER-USD'!$H211,'01. KE30'!$A:$A,'06. BC BH THEO CUSTOMER-USD'!U$4)/'06. BC BH THEO CUSTOMER-USD'!DA211/'02. Tỷ giá'!J$5,"-")</f>
        <v>740.74073997113999</v>
      </c>
      <c r="V211" s="106" t="str">
        <f>IFERROR(SUMIFS('01. KE30'!$K:$K,'01. KE30'!$C:$C,'06. BC BH THEO CUSTOMER-USD'!$D211,'01. KE30'!$F:$F,'06. BC BH THEO CUSTOMER-USD'!$H211,'01. KE30'!$A:$A,'06. BC BH THEO CUSTOMER-USD'!V$4)/'06. BC BH THEO CUSTOMER-USD'!DB211/'02. Tỷ giá'!K$5,"-")</f>
        <v>-</v>
      </c>
      <c r="W211" s="106" t="str">
        <f>IFERROR(SUMIFS('01. KE30'!$K:$K,'01. KE30'!$C:$C,'06. BC BH THEO CUSTOMER-USD'!$D211,'01. KE30'!$F:$F,'06. BC BH THEO CUSTOMER-USD'!$H211,'01. KE30'!$A:$A,'06. BC BH THEO CUSTOMER-USD'!W$4)/'06. BC BH THEO CUSTOMER-USD'!DC211/'02. Tỷ giá'!L$5,"-")</f>
        <v>-</v>
      </c>
      <c r="X211" s="106" t="str">
        <f>IFERROR(SUMIFS('01. KE30'!$K:$K,'01. KE30'!$C:$C,'06. BC BH THEO CUSTOMER-USD'!$D211,'01. KE30'!$F:$F,'06. BC BH THEO CUSTOMER-USD'!$H211,'01. KE30'!$A:$A,'06. BC BH THEO CUSTOMER-USD'!X$4)/'06. BC BH THEO CUSTOMER-USD'!DD211/'02. Tỷ giá'!M$5,"-")</f>
        <v>-</v>
      </c>
      <c r="Z211" s="92">
        <f t="shared" ref="Z211:Z221" si="2565">IFERROR(AVERAGE(AA211:AL211),"-")</f>
        <v>746.19845101007854</v>
      </c>
      <c r="AA211" s="147" t="str">
        <f>IFERROR(SUMIFS('01. KE30'!$O:$O,'01. KE30'!$C:$C,'06. BC BH THEO CUSTOMER-USD'!$D211,'01. KE30'!$F:$F,'06. BC BH THEO CUSTOMER-USD'!$H211,'01. KE30'!$A:$A,'06. BC BH THEO CUSTOMER-USD'!M$4)/'06. BC BH THEO CUSTOMER-USD'!CS211/'02. Tỷ giá'!B$5,"-")</f>
        <v>-</v>
      </c>
      <c r="AB211" s="147" t="str">
        <f>IFERROR(SUMIFS('01. KE30'!$O:$O,'01. KE30'!$C:$C,'06. BC BH THEO CUSTOMER-USD'!$D211,'01. KE30'!$F:$F,'06. BC BH THEO CUSTOMER-USD'!$H211,'01. KE30'!$A:$A,'06. BC BH THEO CUSTOMER-USD'!N$4)/'06. BC BH THEO CUSTOMER-USD'!CT211/'02. Tỷ giá'!C$5,"-")</f>
        <v>-</v>
      </c>
      <c r="AC211" s="147">
        <f>IFERROR(SUMIFS('01. KE30'!$O:$O,'01. KE30'!$C:$C,'06. BC BH THEO CUSTOMER-USD'!$D211,'01. KE30'!$F:$F,'06. BC BH THEO CUSTOMER-USD'!$H211,'01. KE30'!$A:$A,'06. BC BH THEO CUSTOMER-USD'!O$4)/'06. BC BH THEO CUSTOMER-USD'!CU211/'02. Tỷ giá'!D$5,"-")</f>
        <v>765.52930716993717</v>
      </c>
      <c r="AD211" s="147">
        <f>IFERROR(SUMIFS('01. KE30'!$O:$O,'01. KE30'!$C:$C,'06. BC BH THEO CUSTOMER-USD'!$D211,'01. KE30'!$F:$F,'06. BC BH THEO CUSTOMER-USD'!$H211,'01. KE30'!$A:$A,'06. BC BH THEO CUSTOMER-USD'!P$4)/'06. BC BH THEO CUSTOMER-USD'!CV211/'02. Tỷ giá'!E$5,"-")</f>
        <v>752.78530360653747</v>
      </c>
      <c r="AE211" s="147" t="str">
        <f>IFERROR(SUMIFS('01. KE30'!$O:$O,'01. KE30'!$C:$C,'06. BC BH THEO CUSTOMER-USD'!$D211,'01. KE30'!$F:$F,'06. BC BH THEO CUSTOMER-USD'!$H211,'01. KE30'!$A:$A,'06. BC BH THEO CUSTOMER-USD'!Q$4)/'06. BC BH THEO CUSTOMER-USD'!CW211/'02. Tỷ giá'!F$5,"-")</f>
        <v>-</v>
      </c>
      <c r="AF211" s="147" t="str">
        <f>IFERROR(SUMIFS('01. KE30'!$O:$O,'01. KE30'!$C:$C,'06. BC BH THEO CUSTOMER-USD'!$D211,'01. KE30'!$F:$F,'06. BC BH THEO CUSTOMER-USD'!$H211,'01. KE30'!$A:$A,'06. BC BH THEO CUSTOMER-USD'!R$4)/'06. BC BH THEO CUSTOMER-USD'!CX211/'02. Tỷ giá'!G$5,"-")</f>
        <v>-</v>
      </c>
      <c r="AG211" s="147">
        <f>IFERROR(SUMIFS('01. KE30'!$O:$O,'01. KE30'!$C:$C,'06. BC BH THEO CUSTOMER-USD'!$D211,'01. KE30'!$F:$F,'06. BC BH THEO CUSTOMER-USD'!$H211,'01. KE30'!$A:$A,'06. BC BH THEO CUSTOMER-USD'!S$4)/'06. BC BH THEO CUSTOMER-USD'!CY211/'02. Tỷ giá'!H$5,"-")</f>
        <v>729.21557643278732</v>
      </c>
      <c r="AH211" s="147">
        <f>IFERROR(SUMIFS('01. KE30'!$O:$O,'01. KE30'!$C:$C,'06. BC BH THEO CUSTOMER-USD'!$D211,'01. KE30'!$F:$F,'06. BC BH THEO CUSTOMER-USD'!$H211,'01. KE30'!$A:$A,'06. BC BH THEO CUSTOMER-USD'!T$4)/'06. BC BH THEO CUSTOMER-USD'!CZ211/'02. Tỷ giá'!I$5,"-")</f>
        <v>742.721327869991</v>
      </c>
      <c r="AI211" s="147">
        <f>IFERROR(SUMIFS('01. KE30'!$O:$O,'01. KE30'!$C:$C,'06. BC BH THEO CUSTOMER-USD'!$D211,'01. KE30'!$F:$F,'06. BC BH THEO CUSTOMER-USD'!$H211,'01. KE30'!$A:$A,'06. BC BH THEO CUSTOMER-USD'!U$4)/'06. BC BH THEO CUSTOMER-USD'!DA211/'02. Tỷ giá'!J$5,"-")</f>
        <v>740.74073997113999</v>
      </c>
      <c r="AJ211" s="147" t="str">
        <f>IFERROR(SUMIFS('01. KE30'!$O:$O,'01. KE30'!$C:$C,'06. BC BH THEO CUSTOMER-USD'!$D211,'01. KE30'!$F:$F,'06. BC BH THEO CUSTOMER-USD'!$H211,'01. KE30'!$A:$A,'06. BC BH THEO CUSTOMER-USD'!V$4)/'06. BC BH THEO CUSTOMER-USD'!DB211/'02. Tỷ giá'!K$5,"-")</f>
        <v>-</v>
      </c>
      <c r="AK211" s="147" t="str">
        <f>IFERROR(SUMIFS('01. KE30'!$O:$O,'01. KE30'!$C:$C,'06. BC BH THEO CUSTOMER-USD'!$D211,'01. KE30'!$F:$F,'06. BC BH THEO CUSTOMER-USD'!$H211,'01. KE30'!$A:$A,'06. BC BH THEO CUSTOMER-USD'!W$4)/'06. BC BH THEO CUSTOMER-USD'!DC211/'02. Tỷ giá'!L$5,"-")</f>
        <v>-</v>
      </c>
      <c r="AL211" s="147" t="str">
        <f>IFERROR(SUMIFS('01. KE30'!$O:$O,'01. KE30'!$C:$C,'06. BC BH THEO CUSTOMER-USD'!$D211,'01. KE30'!$F:$F,'06. BC BH THEO CUSTOMER-USD'!$H211,'01. KE30'!$A:$A,'06. BC BH THEO CUSTOMER-USD'!X$4)/'06. BC BH THEO CUSTOMER-USD'!DD211/'02. Tỷ giá'!M$5,"-")</f>
        <v>-</v>
      </c>
      <c r="AN211" s="92">
        <f t="shared" ref="AN211:AN221" si="2566">IFERROR(AVERAGE(AO211:AZ211),"-")</f>
        <v>815.55555555555554</v>
      </c>
      <c r="AO211" s="4">
        <v>900</v>
      </c>
      <c r="AP211" s="4">
        <v>820</v>
      </c>
      <c r="AQ211" s="4">
        <v>840</v>
      </c>
      <c r="AR211" s="4">
        <v>835</v>
      </c>
      <c r="AS211" s="4">
        <v>815</v>
      </c>
      <c r="AT211" s="4">
        <v>815</v>
      </c>
      <c r="AU211" s="4">
        <v>790</v>
      </c>
      <c r="AV211" s="4">
        <f t="shared" si="2518"/>
        <v>770</v>
      </c>
      <c r="AW211" s="4">
        <v>755</v>
      </c>
      <c r="AX211" s="4"/>
      <c r="AY211" s="4"/>
      <c r="AZ211" s="4"/>
      <c r="BB211" s="95">
        <f t="shared" si="2122"/>
        <v>-69.357104545477</v>
      </c>
      <c r="BC211" s="95" t="str">
        <f t="shared" si="2123"/>
        <v>-</v>
      </c>
      <c r="BD211" s="95" t="str">
        <f t="shared" si="2108"/>
        <v>-</v>
      </c>
      <c r="BE211" s="95">
        <f t="shared" si="2108"/>
        <v>-74.470692830062831</v>
      </c>
      <c r="BF211" s="95">
        <f t="shared" si="2108"/>
        <v>-82.214696393462532</v>
      </c>
      <c r="BG211" s="95" t="str">
        <f t="shared" si="2108"/>
        <v>-</v>
      </c>
      <c r="BH211" s="95" t="str">
        <f t="shared" si="2108"/>
        <v>-</v>
      </c>
      <c r="BI211" s="95">
        <f t="shared" si="2108"/>
        <v>-60.784423567212684</v>
      </c>
      <c r="BJ211" s="95">
        <f t="shared" si="2108"/>
        <v>-27.278672130008999</v>
      </c>
      <c r="BK211" s="95">
        <f t="shared" si="2108"/>
        <v>-14.259260028860012</v>
      </c>
      <c r="BL211" s="95" t="str">
        <f t="shared" si="2108"/>
        <v>-</v>
      </c>
      <c r="BM211" s="95" t="str">
        <f t="shared" si="2108"/>
        <v>-</v>
      </c>
      <c r="BN211" s="95" t="str">
        <f t="shared" si="2108"/>
        <v>-</v>
      </c>
      <c r="BP211" s="143">
        <f t="shared" si="2124"/>
        <v>-8.5042771241048087E-2</v>
      </c>
      <c r="BQ211" s="143" t="str">
        <f t="shared" si="2109"/>
        <v>-</v>
      </c>
      <c r="BR211" s="143" t="str">
        <f t="shared" si="2110"/>
        <v>-</v>
      </c>
      <c r="BS211" s="143">
        <f t="shared" si="2111"/>
        <v>-8.8655586702455755E-2</v>
      </c>
      <c r="BT211" s="143">
        <f t="shared" si="2112"/>
        <v>-9.8460714243667702E-2</v>
      </c>
      <c r="BU211" s="143" t="str">
        <f t="shared" si="2113"/>
        <v>-</v>
      </c>
      <c r="BV211" s="143" t="str">
        <f t="shared" si="2114"/>
        <v>-</v>
      </c>
      <c r="BW211" s="143">
        <f t="shared" si="2115"/>
        <v>-7.6942308312927449E-2</v>
      </c>
      <c r="BX211" s="143">
        <f t="shared" si="2116"/>
        <v>-3.5426846922089611E-2</v>
      </c>
      <c r="BY211" s="143">
        <f t="shared" si="2117"/>
        <v>-1.8886437124317899E-2</v>
      </c>
      <c r="BZ211" s="143" t="str">
        <f t="shared" si="2118"/>
        <v>-</v>
      </c>
      <c r="CA211" s="143" t="str">
        <f t="shared" si="2119"/>
        <v>-</v>
      </c>
      <c r="CB211" s="143" t="str">
        <f t="shared" si="2120"/>
        <v>-</v>
      </c>
      <c r="CD211" s="112">
        <f t="shared" si="2500"/>
        <v>1020.9345280339505</v>
      </c>
      <c r="CE211" s="95" t="str">
        <f>IFERROR(SUMIFS('01. KE30'!$R:$R,'01. KE30'!$C:$C,'06. BC BH THEO CUSTOMER-USD'!$D211,'01. KE30'!$F:$F,'06. BC BH THEO CUSTOMER-USD'!$H211,'01. KE30'!$A:$A,'06. BC BH THEO CUSTOMER-USD'!CE$4)/CS211/'02. Tỷ giá'!B$5," -")</f>
        <v xml:space="preserve"> -</v>
      </c>
      <c r="CF211" s="95" t="str">
        <f>IFERROR(SUMIFS('01. KE30'!$R:$R,'01. KE30'!$C:$C,'06. BC BH THEO CUSTOMER-USD'!$D211,'01. KE30'!$F:$F,'06. BC BH THEO CUSTOMER-USD'!$H211,'01. KE30'!$A:$A,'06. BC BH THEO CUSTOMER-USD'!CF$4)/CT211/'02. Tỷ giá'!C$5," -")</f>
        <v xml:space="preserve"> -</v>
      </c>
      <c r="CG211" s="95">
        <f>IFERROR(SUMIFS('01. KE30'!$R:$R,'01. KE30'!$C:$C,'06. BC BH THEO CUSTOMER-USD'!$D211,'01. KE30'!$F:$F,'06. BC BH THEO CUSTOMER-USD'!$H211,'01. KE30'!$A:$A,'06. BC BH THEO CUSTOMER-USD'!CG$4)/CU211/'02. Tỷ giá'!D$5," -")</f>
        <v>956.03283422905463</v>
      </c>
      <c r="CH211" s="95">
        <f>IFERROR(SUMIFS('01. KE30'!$R:$R,'01. KE30'!$C:$C,'06. BC BH THEO CUSTOMER-USD'!$D211,'01. KE30'!$F:$F,'06. BC BH THEO CUSTOMER-USD'!$H211,'01. KE30'!$A:$A,'06. BC BH THEO CUSTOMER-USD'!CH$4)/CV211/'02. Tỷ giá'!E$5," -")</f>
        <v>995.00187804118934</v>
      </c>
      <c r="CI211" s="95" t="str">
        <f>IFERROR(SUMIFS('01. KE30'!$R:$R,'01. KE30'!$C:$C,'06. BC BH THEO CUSTOMER-USD'!$D211,'01. KE30'!$F:$F,'06. BC BH THEO CUSTOMER-USD'!$H211,'01. KE30'!$A:$A,'06. BC BH THEO CUSTOMER-USD'!CI$4)/CW211/'02. Tỷ giá'!F$5," -")</f>
        <v xml:space="preserve"> -</v>
      </c>
      <c r="CJ211" s="95" t="str">
        <f>IFERROR(SUMIFS('01. KE30'!$R:$R,'01. KE30'!$C:$C,'06. BC BH THEO CUSTOMER-USD'!$D211,'01. KE30'!$F:$F,'06. BC BH THEO CUSTOMER-USD'!$H211,'01. KE30'!$A:$A,'06. BC BH THEO CUSTOMER-USD'!CJ$4)/CX211/'02. Tỷ giá'!G$5," -")</f>
        <v xml:space="preserve"> -</v>
      </c>
      <c r="CK211" s="95">
        <f>IFERROR(SUMIFS('01. KE30'!$R:$R,'01. KE30'!$C:$C,'06. BC BH THEO CUSTOMER-USD'!$D211,'01. KE30'!$F:$F,'06. BC BH THEO CUSTOMER-USD'!$H211,'01. KE30'!$A:$A,'06. BC BH THEO CUSTOMER-USD'!CK$4)/CY211/'02. Tỷ giá'!H$5," -")</f>
        <v>997.98415464673633</v>
      </c>
      <c r="CL211" s="95">
        <f>IFERROR(SUMIFS('01. KE30'!$R:$R,'01. KE30'!$C:$C,'06. BC BH THEO CUSTOMER-USD'!$D211,'01. KE30'!$F:$F,'06. BC BH THEO CUSTOMER-USD'!$H211,'01. KE30'!$A:$A,'06. BC BH THEO CUSTOMER-USD'!CL$4)/CZ211/'02. Tỷ giá'!I$5," -")</f>
        <v>1078.9918096164085</v>
      </c>
      <c r="CM211" s="95">
        <f>IFERROR(SUMIFS('01. KE30'!$R:$R,'01. KE30'!$C:$C,'06. BC BH THEO CUSTOMER-USD'!$D211,'01. KE30'!$F:$F,'06. BC BH THEO CUSTOMER-USD'!$H211,'01. KE30'!$A:$A,'06. BC BH THEO CUSTOMER-USD'!CM$4)/DA211/'02. Tỷ giá'!J$5," -")</f>
        <v>1076.6619636363637</v>
      </c>
      <c r="CN211" s="95" t="str">
        <f>IFERROR(SUMIFS('01. KE30'!$R:$R,'01. KE30'!$C:$C,'06. BC BH THEO CUSTOMER-USD'!$D211,'01. KE30'!$F:$F,'06. BC BH THEO CUSTOMER-USD'!$H211,'01. KE30'!$A:$A,'06. BC BH THEO CUSTOMER-USD'!CN$4)/DB211/'02. Tỷ giá'!K$5," -")</f>
        <v xml:space="preserve"> -</v>
      </c>
      <c r="CO211" s="95" t="str">
        <f>IFERROR(SUMIFS('01. KE30'!$R:$R,'01. KE30'!$C:$C,'06. BC BH THEO CUSTOMER-USD'!$D211,'01. KE30'!$F:$F,'06. BC BH THEO CUSTOMER-USD'!$H211,'01. KE30'!$A:$A,'06. BC BH THEO CUSTOMER-USD'!CO$4)/DC211/'02. Tỷ giá'!L$5," -")</f>
        <v xml:space="preserve"> -</v>
      </c>
      <c r="CP211" s="95" t="str">
        <f>IFERROR(SUMIFS('01. KE30'!$R:$R,'01. KE30'!$C:$C,'06. BC BH THEO CUSTOMER-USD'!$D211,'01. KE30'!$F:$F,'06. BC BH THEO CUSTOMER-USD'!$H211,'01. KE30'!$A:$A,'06. BC BH THEO CUSTOMER-USD'!CP$4)/DD211/'02. Tỷ giá'!M$5," -")</f>
        <v xml:space="preserve"> -</v>
      </c>
      <c r="CR211" s="112">
        <f t="shared" ref="CR211:CR221" si="2567">SUM(CS211:DD211)</f>
        <v>74</v>
      </c>
      <c r="CS211" s="114">
        <f>SUMIFS('01. KE30'!$I:$I,'01. KE30'!$C:$C,'06. BC BH THEO CUSTOMER-USD'!$D211,'01. KE30'!$F:$F,'06. BC BH THEO CUSTOMER-USD'!$H211,'01. KE30'!$A:$A,'06. BC BH THEO CUSTOMER-USD'!CS$4)/1000</f>
        <v>0</v>
      </c>
      <c r="CT211" s="114">
        <f>SUMIFS('01. KE30'!$I:$I,'01. KE30'!$C:$C,'06. BC BH THEO CUSTOMER-USD'!$D211,'01. KE30'!$F:$F,'06. BC BH THEO CUSTOMER-USD'!$H211,'01. KE30'!$A:$A,'06. BC BH THEO CUSTOMER-USD'!CT$4)/1000</f>
        <v>0</v>
      </c>
      <c r="CU211" s="114">
        <f>SUMIFS('01. KE30'!$I:$I,'01. KE30'!$C:$C,'06. BC BH THEO CUSTOMER-USD'!$D211,'01. KE30'!$F:$F,'06. BC BH THEO CUSTOMER-USD'!$H211,'01. KE30'!$A:$A,'06. BC BH THEO CUSTOMER-USD'!CU$4)/1000</f>
        <v>23.625</v>
      </c>
      <c r="CV211" s="114">
        <f>SUMIFS('01. KE30'!$I:$I,'01. KE30'!$C:$C,'06. BC BH THEO CUSTOMER-USD'!$D211,'01. KE30'!$F:$F,'06. BC BH THEO CUSTOMER-USD'!$H211,'01. KE30'!$A:$A,'06. BC BH THEO CUSTOMER-USD'!CV$4)/1000</f>
        <v>6.375</v>
      </c>
      <c r="CW211" s="114">
        <f>SUMIFS('01. KE30'!$I:$I,'01. KE30'!$C:$C,'06. BC BH THEO CUSTOMER-USD'!$D211,'01. KE30'!$F:$F,'06. BC BH THEO CUSTOMER-USD'!$H211,'01. KE30'!$A:$A,'06. BC BH THEO CUSTOMER-USD'!CW$4)/1000</f>
        <v>0</v>
      </c>
      <c r="CX211" s="114">
        <f>SUMIFS('01. KE30'!$I:$I,'01. KE30'!$C:$C,'06. BC BH THEO CUSTOMER-USD'!$D211,'01. KE30'!$F:$F,'06. BC BH THEO CUSTOMER-USD'!$H211,'01. KE30'!$A:$A,'06. BC BH THEO CUSTOMER-USD'!CX$4)/1000</f>
        <v>0</v>
      </c>
      <c r="CY211" s="114">
        <f>SUMIFS('01. KE30'!$I:$I,'01. KE30'!$C:$C,'06. BC BH THEO CUSTOMER-USD'!$D211,'01. KE30'!$F:$F,'06. BC BH THEO CUSTOMER-USD'!$H211,'01. KE30'!$A:$A,'06. BC BH THEO CUSTOMER-USD'!CY$4)/1000</f>
        <v>11</v>
      </c>
      <c r="CZ211" s="114">
        <f>SUMIFS('01. KE30'!$I:$I,'01. KE30'!$C:$C,'06. BC BH THEO CUSTOMER-USD'!$D211,'01. KE30'!$F:$F,'06. BC BH THEO CUSTOMER-USD'!$H211,'01. KE30'!$A:$A,'06. BC BH THEO CUSTOMER-USD'!CZ$4)/1000</f>
        <v>16.5</v>
      </c>
      <c r="DA211" s="114">
        <f>SUMIFS('01. KE30'!$I:$I,'01. KE30'!$C:$C,'06. BC BH THEO CUSTOMER-USD'!$D211,'01. KE30'!$F:$F,'06. BC BH THEO CUSTOMER-USD'!$H211,'01. KE30'!$A:$A,'06. BC BH THEO CUSTOMER-USD'!DA$4)/1000</f>
        <v>16.5</v>
      </c>
      <c r="DB211" s="114">
        <f>SUMIFS('01. KE30'!$I:$I,'01. KE30'!$C:$C,'06. BC BH THEO CUSTOMER-USD'!$D211,'01. KE30'!$F:$F,'06. BC BH THEO CUSTOMER-USD'!$H211,'01. KE30'!$A:$A,'06. BC BH THEO CUSTOMER-USD'!DB$4)/1000</f>
        <v>0</v>
      </c>
      <c r="DC211" s="114">
        <f>SUMIFS('01. KE30'!$I:$I,'01. KE30'!$C:$C,'06. BC BH THEO CUSTOMER-USD'!$D211,'01. KE30'!$F:$F,'06. BC BH THEO CUSTOMER-USD'!$H211,'01. KE30'!$A:$A,'06. BC BH THEO CUSTOMER-USD'!DC$4)/1000</f>
        <v>0</v>
      </c>
      <c r="DD211" s="114">
        <f>SUMIFS('01. KE30'!$I:$I,'01. KE30'!$C:$C,'06. BC BH THEO CUSTOMER-USD'!$D211,'01. KE30'!$F:$F,'06. BC BH THEO CUSTOMER-USD'!$H211,'01. KE30'!$A:$A,'06. BC BH THEO CUSTOMER-USD'!DD$4)/1000</f>
        <v>0</v>
      </c>
      <c r="DF211" s="112">
        <f t="shared" si="2502"/>
        <v>55383.131652520766</v>
      </c>
      <c r="DG211" s="54" t="str">
        <f t="shared" si="2503"/>
        <v>-</v>
      </c>
      <c r="DH211" s="54" t="str">
        <f t="shared" si="2504"/>
        <v>-</v>
      </c>
      <c r="DI211" s="54">
        <f t="shared" si="2505"/>
        <v>18085.629881889767</v>
      </c>
      <c r="DJ211" s="54">
        <f t="shared" si="2506"/>
        <v>4799.0063104916762</v>
      </c>
      <c r="DK211" s="54" t="str">
        <f t="shared" si="2507"/>
        <v>-</v>
      </c>
      <c r="DL211" s="54" t="str">
        <f t="shared" si="2508"/>
        <v>-</v>
      </c>
      <c r="DM211" s="54">
        <f t="shared" si="2509"/>
        <v>8021.3713407606601</v>
      </c>
      <c r="DN211" s="54">
        <f t="shared" si="2510"/>
        <v>12254.901909854852</v>
      </c>
      <c r="DO211" s="54">
        <f t="shared" si="2511"/>
        <v>12222.22220952381</v>
      </c>
      <c r="DP211" s="54" t="str">
        <f t="shared" si="2512"/>
        <v>-</v>
      </c>
      <c r="DQ211" s="54" t="str">
        <f t="shared" si="2513"/>
        <v>-</v>
      </c>
      <c r="DR211" s="54" t="str">
        <f t="shared" si="2514"/>
        <v>-</v>
      </c>
      <c r="DT211" s="112">
        <f t="shared" si="2515"/>
        <v>-20092.393988438082</v>
      </c>
      <c r="DU211" s="114">
        <f>IFERROR(SUMIFS('01. KE30'!$X:$X,'01. KE30'!$C:$C,'06. BC BH THEO CUSTOMER-USD'!$D211,'01. KE30'!$F:$F,'06. BC BH THEO CUSTOMER-USD'!$H211,'01. KE30'!$A:$A,'06. BC BH THEO CUSTOMER-USD'!DU$4)-SUMIFS('01. KE30'!$AA:$AA,'01. KE30'!$C:$C,'06. BC BH THEO CUSTOMER-USD'!$D211,'01. KE30'!$F:$F,'06. BC BH THEO CUSTOMER-USD'!$H211,'01. KE30'!$A:$A,'06. BC BH THEO CUSTOMER-USD'!DU$4),"-")</f>
        <v>0</v>
      </c>
      <c r="DV211" s="114">
        <f>IFERROR(SUMIFS('01. KE30'!$X:$X,'01. KE30'!$C:$C,'06. BC BH THEO CUSTOMER-USD'!$D211,'01. KE30'!$F:$F,'06. BC BH THEO CUSTOMER-USD'!$H211,'01. KE30'!$A:$A,'06. BC BH THEO CUSTOMER-USD'!DV$4)-SUMIFS('01. KE30'!$AA:$AA,'01. KE30'!$C:$C,'06. BC BH THEO CUSTOMER-USD'!$D211,'01. KE30'!$F:$F,'06. BC BH THEO CUSTOMER-USD'!$H211,'01. KE30'!$A:$A,'06. BC BH THEO CUSTOMER-USD'!DV$4),"-")</f>
        <v>0</v>
      </c>
      <c r="DW211" s="114">
        <f>IFERROR(SUMIFS('01. KE30'!$X:$X,'01. KE30'!$C:$C,'06. BC BH THEO CUSTOMER-USD'!$D211,'01. KE30'!$F:$F,'06. BC BH THEO CUSTOMER-USD'!$H211,'01. KE30'!$A:$A,'06. BC BH THEO CUSTOMER-USD'!DW$4)-SUMIFS('01. KE30'!$AA:$AA,'01. KE30'!$C:$C,'06. BC BH THEO CUSTOMER-USD'!$D211,'01. KE30'!$F:$F,'06. BC BH THEO CUSTOMER-USD'!$H211,'01. KE30'!$A:$A,'06. BC BH THEO CUSTOMER-USD'!DW$4),"-")</f>
        <v>-4500.6458267716553</v>
      </c>
      <c r="DX211" s="114">
        <f>IFERROR(SUMIFS('01. KE30'!$X:$X,'01. KE30'!$C:$C,'06. BC BH THEO CUSTOMER-USD'!$D211,'01. KE30'!$F:$F,'06. BC BH THEO CUSTOMER-USD'!$H211,'01. KE30'!$A:$A,'06. BC BH THEO CUSTOMER-USD'!DX$4)-SUMIFS('01. KE30'!$AA:$AA,'01. KE30'!$C:$C,'06. BC BH THEO CUSTOMER-USD'!$D211,'01. KE30'!$F:$F,'06. BC BH THEO CUSTOMER-USD'!$H211,'01. KE30'!$A:$A,'06. BC BH THEO CUSTOMER-USD'!DX$4),"-")</f>
        <v>-1544.1306620209061</v>
      </c>
      <c r="DY211" s="114">
        <f>IFERROR(SUMIFS('01. KE30'!$X:$X,'01. KE30'!$C:$C,'06. BC BH THEO CUSTOMER-USD'!$D211,'01. KE30'!$F:$F,'06. BC BH THEO CUSTOMER-USD'!$H211,'01. KE30'!$A:$A,'06. BC BH THEO CUSTOMER-USD'!DY$4)-SUMIFS('01. KE30'!$AA:$AA,'01. KE30'!$C:$C,'06. BC BH THEO CUSTOMER-USD'!$D211,'01. KE30'!$F:$F,'06. BC BH THEO CUSTOMER-USD'!$H211,'01. KE30'!$A:$A,'06. BC BH THEO CUSTOMER-USD'!DY$4),"-")</f>
        <v>0</v>
      </c>
      <c r="DZ211" s="114">
        <f>IFERROR(SUMIFS('01. KE30'!$X:$X,'01. KE30'!$C:$C,'06. BC BH THEO CUSTOMER-USD'!$D211,'01. KE30'!$F:$F,'06. BC BH THEO CUSTOMER-USD'!$H211,'01. KE30'!$A:$A,'06. BC BH THEO CUSTOMER-USD'!DZ$4)-SUMIFS('01. KE30'!$AA:$AA,'01. KE30'!$C:$C,'06. BC BH THEO CUSTOMER-USD'!$D211,'01. KE30'!$F:$F,'06. BC BH THEO CUSTOMER-USD'!$H211,'01. KE30'!$A:$A,'06. BC BH THEO CUSTOMER-USD'!DZ$4),"-")</f>
        <v>0</v>
      </c>
      <c r="EA211" s="114">
        <f>IFERROR(SUMIFS('01. KE30'!$X:$X,'01. KE30'!$C:$C,'06. BC BH THEO CUSTOMER-USD'!$D211,'01. KE30'!$F:$F,'06. BC BH THEO CUSTOMER-USD'!$H211,'01. KE30'!$A:$A,'06. BC BH THEO CUSTOMER-USD'!EA$4)-SUMIFS('01. KE30'!$AA:$AA,'01. KE30'!$C:$C,'06. BC BH THEO CUSTOMER-USD'!$D211,'01. KE30'!$F:$F,'06. BC BH THEO CUSTOMER-USD'!$H211,'01. KE30'!$A:$A,'06. BC BH THEO CUSTOMER-USD'!EA$4),"-")</f>
        <v>-2956.4543603534385</v>
      </c>
      <c r="EB211" s="114">
        <f>IFERROR(SUMIFS('01. KE30'!$X:$X,'01. KE30'!$C:$C,'06. BC BH THEO CUSTOMER-USD'!$D211,'01. KE30'!$F:$F,'06. BC BH THEO CUSTOMER-USD'!$H211,'01. KE30'!$A:$A,'06. BC BH THEO CUSTOMER-USD'!EB$4)-SUMIFS('01. KE30'!$AA:$AA,'01. KE30'!$C:$C,'06. BC BH THEO CUSTOMER-USD'!$D211,'01. KE30'!$F:$F,'06. BC BH THEO CUSTOMER-USD'!$H211,'01. KE30'!$A:$A,'06. BC BH THEO CUSTOMER-USD'!EB$4),"-")</f>
        <v>-5548.4629488158917</v>
      </c>
      <c r="EC211" s="114">
        <f>IFERROR(SUMIFS('01. KE30'!$X:$X,'01. KE30'!$C:$C,'06. BC BH THEO CUSTOMER-USD'!$D211,'01. KE30'!$F:$F,'06. BC BH THEO CUSTOMER-USD'!$H211,'01. KE30'!$A:$A,'06. BC BH THEO CUSTOMER-USD'!EC$4)-SUMIFS('01. KE30'!$AA:$AA,'01. KE30'!$C:$C,'06. BC BH THEO CUSTOMER-USD'!$D211,'01. KE30'!$F:$F,'06. BC BH THEO CUSTOMER-USD'!$H211,'01. KE30'!$A:$A,'06. BC BH THEO CUSTOMER-USD'!EC$4),"-")</f>
        <v>-5542.7001904761892</v>
      </c>
      <c r="ED211" s="114">
        <f>IFERROR(SUMIFS('01. KE30'!$X:$X,'01. KE30'!$C:$C,'06. BC BH THEO CUSTOMER-USD'!$D211,'01. KE30'!$F:$F,'06. BC BH THEO CUSTOMER-USD'!$H211,'01. KE30'!$A:$A,'06. BC BH THEO CUSTOMER-USD'!ED$4)-SUMIFS('01. KE30'!$AA:$AA,'01. KE30'!$C:$C,'06. BC BH THEO CUSTOMER-USD'!$D211,'01. KE30'!$F:$F,'06. BC BH THEO CUSTOMER-USD'!$H211,'01. KE30'!$A:$A,'06. BC BH THEO CUSTOMER-USD'!ED$4),"-")</f>
        <v>0</v>
      </c>
      <c r="EE211" s="114">
        <f>IFERROR(SUMIFS('01. KE30'!$X:$X,'01. KE30'!$C:$C,'06. BC BH THEO CUSTOMER-USD'!$D211,'01. KE30'!$F:$F,'06. BC BH THEO CUSTOMER-USD'!$H211,'01. KE30'!$A:$A,'06. BC BH THEO CUSTOMER-USD'!EE$4)-SUMIFS('01. KE30'!$AA:$AA,'01. KE30'!$C:$C,'06. BC BH THEO CUSTOMER-USD'!$D211,'01. KE30'!$F:$F,'06. BC BH THEO CUSTOMER-USD'!$H211,'01. KE30'!$A:$A,'06. BC BH THEO CUSTOMER-USD'!EE$4),"-")</f>
        <v>0</v>
      </c>
      <c r="EF211" s="114">
        <f>IFERROR(SUMIFS('01. KE30'!$X:$X,'01. KE30'!$C:$C,'06. BC BH THEO CUSTOMER-USD'!$D211,'01. KE30'!$F:$F,'06. BC BH THEO CUSTOMER-USD'!$H211,'01. KE30'!$A:$A,'06. BC BH THEO CUSTOMER-USD'!EF$4)-SUMIFS('01. KE30'!$AA:$AA,'01. KE30'!$C:$C,'06. BC BH THEO CUSTOMER-USD'!$D211,'01. KE30'!$F:$F,'06. BC BH THEO CUSTOMER-USD'!$H211,'01. KE30'!$A:$A,'06. BC BH THEO CUSTOMER-USD'!EF$4),"-")</f>
        <v>0</v>
      </c>
      <c r="EH211" s="571">
        <f t="shared" si="1737"/>
        <v>-0.36278905487865409</v>
      </c>
      <c r="EI211" s="572" t="str">
        <f t="shared" si="1738"/>
        <v>-</v>
      </c>
      <c r="EJ211" s="572" t="str">
        <f t="shared" si="1739"/>
        <v>-</v>
      </c>
      <c r="EK211" s="572">
        <f t="shared" si="1740"/>
        <v>-0.24885203646008613</v>
      </c>
      <c r="EL211" s="572">
        <f t="shared" si="1741"/>
        <v>-0.32176049834422998</v>
      </c>
      <c r="EM211" s="572" t="str">
        <f t="shared" si="1742"/>
        <v>-</v>
      </c>
      <c r="EN211" s="572" t="str">
        <f t="shared" si="1743"/>
        <v>-</v>
      </c>
      <c r="EO211" s="572">
        <f t="shared" si="1744"/>
        <v>-0.36857218482458143</v>
      </c>
      <c r="EP211" s="572">
        <f t="shared" si="1745"/>
        <v>-0.45275457850495415</v>
      </c>
      <c r="EQ211" s="572">
        <f t="shared" si="1746"/>
        <v>-0.45349365241921402</v>
      </c>
      <c r="ER211" s="572" t="str">
        <f t="shared" si="1747"/>
        <v>-</v>
      </c>
      <c r="ES211" s="572" t="str">
        <f t="shared" si="1748"/>
        <v>-</v>
      </c>
      <c r="ET211" s="572" t="str">
        <f t="shared" si="1749"/>
        <v>-</v>
      </c>
    </row>
    <row r="212" spans="1:150" ht="15.5" outlineLevel="1" x14ac:dyDescent="0.35">
      <c r="A212" s="10">
        <f t="shared" si="2520"/>
        <v>5</v>
      </c>
      <c r="B212" s="10" t="s">
        <v>23</v>
      </c>
      <c r="C212" s="442" t="s">
        <v>489</v>
      </c>
      <c r="D212" s="9" t="s">
        <v>17</v>
      </c>
      <c r="E212" s="8" t="s">
        <v>16</v>
      </c>
      <c r="F212" s="12" t="s">
        <v>245</v>
      </c>
      <c r="G212" s="12" t="str">
        <f>_xlfn.XLOOKUP(F212,'Quy đổi'!$G$5:$G$32,'Quy đổi'!$H$5:$H$32,0)</f>
        <v>Nội địa</v>
      </c>
      <c r="H212" s="80" t="s">
        <v>15</v>
      </c>
      <c r="I212" s="7" t="s">
        <v>14</v>
      </c>
      <c r="J212" s="69" t="s">
        <v>22</v>
      </c>
      <c r="K212" s="5"/>
      <c r="L212" s="92" t="str">
        <f t="shared" si="2499"/>
        <v>-</v>
      </c>
      <c r="M212" s="106" t="str">
        <f>IFERROR(SUMIFS('01. KE30'!$K:$K,'01. KE30'!$C:$C,'06. BC BH THEO CUSTOMER-USD'!$D212,'01. KE30'!$F:$F,'06. BC BH THEO CUSTOMER-USD'!$H212,'01. KE30'!$A:$A,'06. BC BH THEO CUSTOMER-USD'!M$4)/'06. BC BH THEO CUSTOMER-USD'!CS212/'02. Tỷ giá'!B$5,"-")</f>
        <v>-</v>
      </c>
      <c r="N212" s="106" t="str">
        <f>IFERROR(SUMIFS('01. KE30'!$K:$K,'01. KE30'!$C:$C,'06. BC BH THEO CUSTOMER-USD'!$D212,'01. KE30'!$F:$F,'06. BC BH THEO CUSTOMER-USD'!$H212,'01. KE30'!$A:$A,'06. BC BH THEO CUSTOMER-USD'!N$4)/'06. BC BH THEO CUSTOMER-USD'!CT212/'02. Tỷ giá'!C$5,"-")</f>
        <v>-</v>
      </c>
      <c r="O212" s="106" t="str">
        <f>IFERROR(SUMIFS('01. KE30'!$K:$K,'01. KE30'!$C:$C,'06. BC BH THEO CUSTOMER-USD'!$D212,'01. KE30'!$F:$F,'06. BC BH THEO CUSTOMER-USD'!$H212,'01. KE30'!$A:$A,'06. BC BH THEO CUSTOMER-USD'!O$4)/'06. BC BH THEO CUSTOMER-USD'!CU212/'02. Tỷ giá'!D$5,"-")</f>
        <v>-</v>
      </c>
      <c r="P212" s="106" t="str">
        <f>IFERROR(SUMIFS('01. KE30'!$K:$K,'01. KE30'!$C:$C,'06. BC BH THEO CUSTOMER-USD'!$D212,'01. KE30'!$F:$F,'06. BC BH THEO CUSTOMER-USD'!$H212,'01. KE30'!$A:$A,'06. BC BH THEO CUSTOMER-USD'!P$4)/'06. BC BH THEO CUSTOMER-USD'!CV212/'02. Tỷ giá'!E$5,"-")</f>
        <v>-</v>
      </c>
      <c r="Q212" s="106" t="str">
        <f>IFERROR(SUMIFS('01. KE30'!$K:$K,'01. KE30'!$C:$C,'06. BC BH THEO CUSTOMER-USD'!$D212,'01. KE30'!$F:$F,'06. BC BH THEO CUSTOMER-USD'!$H212,'01. KE30'!$A:$A,'06. BC BH THEO CUSTOMER-USD'!Q$4)/'06. BC BH THEO CUSTOMER-USD'!CW212/'02. Tỷ giá'!F$5,"-")</f>
        <v>-</v>
      </c>
      <c r="R212" s="106" t="str">
        <f>IFERROR(SUMIFS('01. KE30'!$K:$K,'01. KE30'!$C:$C,'06. BC BH THEO CUSTOMER-USD'!$D212,'01. KE30'!$F:$F,'06. BC BH THEO CUSTOMER-USD'!$H212,'01. KE30'!$A:$A,'06. BC BH THEO CUSTOMER-USD'!R$4)/'06. BC BH THEO CUSTOMER-USD'!CX212/'02. Tỷ giá'!G$5,"-")</f>
        <v>-</v>
      </c>
      <c r="S212" s="106" t="str">
        <f>IFERROR(SUMIFS('01. KE30'!$K:$K,'01. KE30'!$C:$C,'06. BC BH THEO CUSTOMER-USD'!$D212,'01. KE30'!$F:$F,'06. BC BH THEO CUSTOMER-USD'!$H212,'01. KE30'!$A:$A,'06. BC BH THEO CUSTOMER-USD'!S$4)/'06. BC BH THEO CUSTOMER-USD'!CY212/'02. Tỷ giá'!H$5,"-")</f>
        <v>-</v>
      </c>
      <c r="T212" s="106" t="str">
        <f>IFERROR(SUMIFS('01. KE30'!$K:$K,'01. KE30'!$C:$C,'06. BC BH THEO CUSTOMER-USD'!$D212,'01. KE30'!$F:$F,'06. BC BH THEO CUSTOMER-USD'!$H212,'01. KE30'!$A:$A,'06. BC BH THEO CUSTOMER-USD'!T$4)/'06. BC BH THEO CUSTOMER-USD'!CZ212/'02. Tỷ giá'!I$5,"-")</f>
        <v>-</v>
      </c>
      <c r="U212" s="106" t="str">
        <f>IFERROR(SUMIFS('01. KE30'!$K:$K,'01. KE30'!$C:$C,'06. BC BH THEO CUSTOMER-USD'!$D212,'01. KE30'!$F:$F,'06. BC BH THEO CUSTOMER-USD'!$H212,'01. KE30'!$A:$A,'06. BC BH THEO CUSTOMER-USD'!U$4)/'06. BC BH THEO CUSTOMER-USD'!DA212/'02. Tỷ giá'!J$5,"-")</f>
        <v>-</v>
      </c>
      <c r="V212" s="106" t="str">
        <f>IFERROR(SUMIFS('01. KE30'!$K:$K,'01. KE30'!$C:$C,'06. BC BH THEO CUSTOMER-USD'!$D212,'01. KE30'!$F:$F,'06. BC BH THEO CUSTOMER-USD'!$H212,'01. KE30'!$A:$A,'06. BC BH THEO CUSTOMER-USD'!V$4)/'06. BC BH THEO CUSTOMER-USD'!DB212/'02. Tỷ giá'!K$5,"-")</f>
        <v>-</v>
      </c>
      <c r="W212" s="106" t="str">
        <f>IFERROR(SUMIFS('01. KE30'!$K:$K,'01. KE30'!$C:$C,'06. BC BH THEO CUSTOMER-USD'!$D212,'01. KE30'!$F:$F,'06. BC BH THEO CUSTOMER-USD'!$H212,'01. KE30'!$A:$A,'06. BC BH THEO CUSTOMER-USD'!W$4)/'06. BC BH THEO CUSTOMER-USD'!DC212/'02. Tỷ giá'!L$5,"-")</f>
        <v>-</v>
      </c>
      <c r="X212" s="106" t="str">
        <f>IFERROR(SUMIFS('01. KE30'!$K:$K,'01. KE30'!$C:$C,'06. BC BH THEO CUSTOMER-USD'!$D212,'01. KE30'!$F:$F,'06. BC BH THEO CUSTOMER-USD'!$H212,'01. KE30'!$A:$A,'06. BC BH THEO CUSTOMER-USD'!X$4)/'06. BC BH THEO CUSTOMER-USD'!DD212/'02. Tỷ giá'!M$5,"-")</f>
        <v>-</v>
      </c>
      <c r="Z212" s="92" t="str">
        <f t="shared" si="2565"/>
        <v>-</v>
      </c>
      <c r="AA212" s="147" t="str">
        <f>IFERROR(SUMIFS('01. KE30'!$O:$O,'01. KE30'!$C:$C,'06. BC BH THEO CUSTOMER-USD'!$D212,'01. KE30'!$F:$F,'06. BC BH THEO CUSTOMER-USD'!$H212,'01. KE30'!$A:$A,'06. BC BH THEO CUSTOMER-USD'!M$4)/'06. BC BH THEO CUSTOMER-USD'!CS212/'02. Tỷ giá'!B$5,"-")</f>
        <v>-</v>
      </c>
      <c r="AB212" s="147" t="str">
        <f>IFERROR(SUMIFS('01. KE30'!$O:$O,'01. KE30'!$C:$C,'06. BC BH THEO CUSTOMER-USD'!$D212,'01. KE30'!$F:$F,'06. BC BH THEO CUSTOMER-USD'!$H212,'01. KE30'!$A:$A,'06. BC BH THEO CUSTOMER-USD'!N$4)/'06. BC BH THEO CUSTOMER-USD'!CT212/'02. Tỷ giá'!C$5,"-")</f>
        <v>-</v>
      </c>
      <c r="AC212" s="147" t="str">
        <f>IFERROR(SUMIFS('01. KE30'!$O:$O,'01. KE30'!$C:$C,'06. BC BH THEO CUSTOMER-USD'!$D212,'01. KE30'!$F:$F,'06. BC BH THEO CUSTOMER-USD'!$H212,'01. KE30'!$A:$A,'06. BC BH THEO CUSTOMER-USD'!O$4)/'06. BC BH THEO CUSTOMER-USD'!CU212/'02. Tỷ giá'!D$5,"-")</f>
        <v>-</v>
      </c>
      <c r="AD212" s="147" t="str">
        <f>IFERROR(SUMIFS('01. KE30'!$O:$O,'01. KE30'!$C:$C,'06. BC BH THEO CUSTOMER-USD'!$D212,'01. KE30'!$F:$F,'06. BC BH THEO CUSTOMER-USD'!$H212,'01. KE30'!$A:$A,'06. BC BH THEO CUSTOMER-USD'!P$4)/'06. BC BH THEO CUSTOMER-USD'!CV212/'02. Tỷ giá'!E$5,"-")</f>
        <v>-</v>
      </c>
      <c r="AE212" s="147" t="str">
        <f>IFERROR(SUMIFS('01. KE30'!$O:$O,'01. KE30'!$C:$C,'06. BC BH THEO CUSTOMER-USD'!$D212,'01. KE30'!$F:$F,'06. BC BH THEO CUSTOMER-USD'!$H212,'01. KE30'!$A:$A,'06. BC BH THEO CUSTOMER-USD'!Q$4)/'06. BC BH THEO CUSTOMER-USD'!CW212/'02. Tỷ giá'!F$5,"-")</f>
        <v>-</v>
      </c>
      <c r="AF212" s="147" t="str">
        <f>IFERROR(SUMIFS('01. KE30'!$O:$O,'01. KE30'!$C:$C,'06. BC BH THEO CUSTOMER-USD'!$D212,'01. KE30'!$F:$F,'06. BC BH THEO CUSTOMER-USD'!$H212,'01. KE30'!$A:$A,'06. BC BH THEO CUSTOMER-USD'!R$4)/'06. BC BH THEO CUSTOMER-USD'!CX212/'02. Tỷ giá'!G$5,"-")</f>
        <v>-</v>
      </c>
      <c r="AG212" s="147" t="str">
        <f>IFERROR(SUMIFS('01. KE30'!$O:$O,'01. KE30'!$C:$C,'06. BC BH THEO CUSTOMER-USD'!$D212,'01. KE30'!$F:$F,'06. BC BH THEO CUSTOMER-USD'!$H212,'01. KE30'!$A:$A,'06. BC BH THEO CUSTOMER-USD'!S$4)/'06. BC BH THEO CUSTOMER-USD'!CY212/'02. Tỷ giá'!H$5,"-")</f>
        <v>-</v>
      </c>
      <c r="AH212" s="147" t="str">
        <f>IFERROR(SUMIFS('01. KE30'!$O:$O,'01. KE30'!$C:$C,'06. BC BH THEO CUSTOMER-USD'!$D212,'01. KE30'!$F:$F,'06. BC BH THEO CUSTOMER-USD'!$H212,'01. KE30'!$A:$A,'06. BC BH THEO CUSTOMER-USD'!T$4)/'06. BC BH THEO CUSTOMER-USD'!CZ212/'02. Tỷ giá'!I$5,"-")</f>
        <v>-</v>
      </c>
      <c r="AI212" s="147" t="str">
        <f>IFERROR(SUMIFS('01. KE30'!$O:$O,'01. KE30'!$C:$C,'06. BC BH THEO CUSTOMER-USD'!$D212,'01. KE30'!$F:$F,'06. BC BH THEO CUSTOMER-USD'!$H212,'01. KE30'!$A:$A,'06. BC BH THEO CUSTOMER-USD'!U$4)/'06. BC BH THEO CUSTOMER-USD'!DA212/'02. Tỷ giá'!J$5,"-")</f>
        <v>-</v>
      </c>
      <c r="AJ212" s="147" t="str">
        <f>IFERROR(SUMIFS('01. KE30'!$O:$O,'01. KE30'!$C:$C,'06. BC BH THEO CUSTOMER-USD'!$D212,'01. KE30'!$F:$F,'06. BC BH THEO CUSTOMER-USD'!$H212,'01. KE30'!$A:$A,'06. BC BH THEO CUSTOMER-USD'!V$4)/'06. BC BH THEO CUSTOMER-USD'!DB212/'02. Tỷ giá'!K$5,"-")</f>
        <v>-</v>
      </c>
      <c r="AK212" s="147" t="str">
        <f>IFERROR(SUMIFS('01. KE30'!$O:$O,'01. KE30'!$C:$C,'06. BC BH THEO CUSTOMER-USD'!$D212,'01. KE30'!$F:$F,'06. BC BH THEO CUSTOMER-USD'!$H212,'01. KE30'!$A:$A,'06. BC BH THEO CUSTOMER-USD'!W$4)/'06. BC BH THEO CUSTOMER-USD'!DC212/'02. Tỷ giá'!L$5,"-")</f>
        <v>-</v>
      </c>
      <c r="AL212" s="147" t="str">
        <f>IFERROR(SUMIFS('01. KE30'!$O:$O,'01. KE30'!$C:$C,'06. BC BH THEO CUSTOMER-USD'!$D212,'01. KE30'!$F:$F,'06. BC BH THEO CUSTOMER-USD'!$H212,'01. KE30'!$A:$A,'06. BC BH THEO CUSTOMER-USD'!X$4)/'06. BC BH THEO CUSTOMER-USD'!DD212/'02. Tỷ giá'!M$5,"-")</f>
        <v>-</v>
      </c>
      <c r="AN212" s="92">
        <f t="shared" si="2566"/>
        <v>815.55555555555554</v>
      </c>
      <c r="AO212" s="4">
        <v>900</v>
      </c>
      <c r="AP212" s="4">
        <v>820</v>
      </c>
      <c r="AQ212" s="4">
        <v>840</v>
      </c>
      <c r="AR212" s="4">
        <v>835</v>
      </c>
      <c r="AS212" s="4">
        <v>815</v>
      </c>
      <c r="AT212" s="4">
        <v>815</v>
      </c>
      <c r="AU212" s="4">
        <v>790</v>
      </c>
      <c r="AV212" s="4">
        <f t="shared" si="2518"/>
        <v>770</v>
      </c>
      <c r="AW212" s="4">
        <v>755</v>
      </c>
      <c r="AX212" s="4"/>
      <c r="AY212" s="4"/>
      <c r="AZ212" s="4"/>
      <c r="BB212" s="95" t="str">
        <f t="shared" si="2122"/>
        <v>-</v>
      </c>
      <c r="BC212" s="95" t="str">
        <f t="shared" si="2123"/>
        <v>-</v>
      </c>
      <c r="BD212" s="95" t="str">
        <f t="shared" si="2108"/>
        <v>-</v>
      </c>
      <c r="BE212" s="95" t="str">
        <f t="shared" si="2108"/>
        <v>-</v>
      </c>
      <c r="BF212" s="95" t="str">
        <f t="shared" si="2108"/>
        <v>-</v>
      </c>
      <c r="BG212" s="95" t="str">
        <f t="shared" si="2108"/>
        <v>-</v>
      </c>
      <c r="BH212" s="95" t="str">
        <f t="shared" si="2108"/>
        <v>-</v>
      </c>
      <c r="BI212" s="95" t="str">
        <f t="shared" si="2108"/>
        <v>-</v>
      </c>
      <c r="BJ212" s="95" t="str">
        <f t="shared" si="2108"/>
        <v>-</v>
      </c>
      <c r="BK212" s="95" t="str">
        <f t="shared" si="2108"/>
        <v>-</v>
      </c>
      <c r="BL212" s="95" t="str">
        <f t="shared" si="2108"/>
        <v>-</v>
      </c>
      <c r="BM212" s="95" t="str">
        <f t="shared" si="2108"/>
        <v>-</v>
      </c>
      <c r="BN212" s="95" t="str">
        <f t="shared" si="2108"/>
        <v>-</v>
      </c>
      <c r="BP212" s="143" t="str">
        <f t="shared" si="2124"/>
        <v>-</v>
      </c>
      <c r="BQ212" s="143" t="str">
        <f t="shared" si="2109"/>
        <v>-</v>
      </c>
      <c r="BR212" s="143" t="str">
        <f t="shared" si="2110"/>
        <v>-</v>
      </c>
      <c r="BS212" s="143" t="str">
        <f t="shared" si="2111"/>
        <v>-</v>
      </c>
      <c r="BT212" s="143" t="str">
        <f t="shared" si="2112"/>
        <v>-</v>
      </c>
      <c r="BU212" s="143" t="str">
        <f t="shared" si="2113"/>
        <v>-</v>
      </c>
      <c r="BV212" s="143" t="str">
        <f t="shared" si="2114"/>
        <v>-</v>
      </c>
      <c r="BW212" s="143" t="str">
        <f t="shared" si="2115"/>
        <v>-</v>
      </c>
      <c r="BX212" s="143" t="str">
        <f t="shared" si="2116"/>
        <v>-</v>
      </c>
      <c r="BY212" s="143" t="str">
        <f t="shared" si="2117"/>
        <v>-</v>
      </c>
      <c r="BZ212" s="143" t="str">
        <f t="shared" si="2118"/>
        <v>-</v>
      </c>
      <c r="CA212" s="143" t="str">
        <f t="shared" si="2119"/>
        <v>-</v>
      </c>
      <c r="CB212" s="143" t="str">
        <f t="shared" si="2120"/>
        <v>-</v>
      </c>
      <c r="CD212" s="112" t="str">
        <f t="shared" si="2500"/>
        <v>-</v>
      </c>
      <c r="CE212" s="95" t="str">
        <f>IFERROR(SUMIFS('01. KE30'!$R:$R,'01. KE30'!$C:$C,'06. BC BH THEO CUSTOMER-USD'!$D212,'01. KE30'!$F:$F,'06. BC BH THEO CUSTOMER-USD'!$H212,'01. KE30'!$A:$A,'06. BC BH THEO CUSTOMER-USD'!CE$4)/CS212/'02. Tỷ giá'!B$5," -")</f>
        <v xml:space="preserve"> -</v>
      </c>
      <c r="CF212" s="95" t="str">
        <f>IFERROR(SUMIFS('01. KE30'!$R:$R,'01. KE30'!$C:$C,'06. BC BH THEO CUSTOMER-USD'!$D212,'01. KE30'!$F:$F,'06. BC BH THEO CUSTOMER-USD'!$H212,'01. KE30'!$A:$A,'06. BC BH THEO CUSTOMER-USD'!CF$4)/CT212/'02. Tỷ giá'!C$5," -")</f>
        <v xml:space="preserve"> -</v>
      </c>
      <c r="CG212" s="95" t="str">
        <f>IFERROR(SUMIFS('01. KE30'!$R:$R,'01. KE30'!$C:$C,'06. BC BH THEO CUSTOMER-USD'!$D212,'01. KE30'!$F:$F,'06. BC BH THEO CUSTOMER-USD'!$H212,'01. KE30'!$A:$A,'06. BC BH THEO CUSTOMER-USD'!CG$4)/CU212/'02. Tỷ giá'!D$5," -")</f>
        <v xml:space="preserve"> -</v>
      </c>
      <c r="CH212" s="95" t="str">
        <f>IFERROR(SUMIFS('01. KE30'!$R:$R,'01. KE30'!$C:$C,'06. BC BH THEO CUSTOMER-USD'!$D212,'01. KE30'!$F:$F,'06. BC BH THEO CUSTOMER-USD'!$H212,'01. KE30'!$A:$A,'06. BC BH THEO CUSTOMER-USD'!CH$4)/CV212/'02. Tỷ giá'!E$5," -")</f>
        <v xml:space="preserve"> -</v>
      </c>
      <c r="CI212" s="95" t="str">
        <f>IFERROR(SUMIFS('01. KE30'!$R:$R,'01. KE30'!$C:$C,'06. BC BH THEO CUSTOMER-USD'!$D212,'01. KE30'!$F:$F,'06. BC BH THEO CUSTOMER-USD'!$H212,'01. KE30'!$A:$A,'06. BC BH THEO CUSTOMER-USD'!CI$4)/CW212/'02. Tỷ giá'!F$5," -")</f>
        <v xml:space="preserve"> -</v>
      </c>
      <c r="CJ212" s="95" t="str">
        <f>IFERROR(SUMIFS('01. KE30'!$R:$R,'01. KE30'!$C:$C,'06. BC BH THEO CUSTOMER-USD'!$D212,'01. KE30'!$F:$F,'06. BC BH THEO CUSTOMER-USD'!$H212,'01. KE30'!$A:$A,'06. BC BH THEO CUSTOMER-USD'!CJ$4)/CX212/'02. Tỷ giá'!G$5," -")</f>
        <v xml:space="preserve"> -</v>
      </c>
      <c r="CK212" s="95" t="str">
        <f>IFERROR(SUMIFS('01. KE30'!$R:$R,'01. KE30'!$C:$C,'06. BC BH THEO CUSTOMER-USD'!$D212,'01. KE30'!$F:$F,'06. BC BH THEO CUSTOMER-USD'!$H212,'01. KE30'!$A:$A,'06. BC BH THEO CUSTOMER-USD'!CK$4)/CY212/'02. Tỷ giá'!H$5," -")</f>
        <v xml:space="preserve"> -</v>
      </c>
      <c r="CL212" s="95" t="str">
        <f>IFERROR(SUMIFS('01. KE30'!$R:$R,'01. KE30'!$C:$C,'06. BC BH THEO CUSTOMER-USD'!$D212,'01. KE30'!$F:$F,'06. BC BH THEO CUSTOMER-USD'!$H212,'01. KE30'!$A:$A,'06. BC BH THEO CUSTOMER-USD'!CL$4)/CZ212/'02. Tỷ giá'!I$5," -")</f>
        <v xml:space="preserve"> -</v>
      </c>
      <c r="CM212" s="95" t="str">
        <f>IFERROR(SUMIFS('01. KE30'!$R:$R,'01. KE30'!$C:$C,'06. BC BH THEO CUSTOMER-USD'!$D212,'01. KE30'!$F:$F,'06. BC BH THEO CUSTOMER-USD'!$H212,'01. KE30'!$A:$A,'06. BC BH THEO CUSTOMER-USD'!CM$4)/DA212/'02. Tỷ giá'!J$5," -")</f>
        <v xml:space="preserve"> -</v>
      </c>
      <c r="CN212" s="95" t="str">
        <f>IFERROR(SUMIFS('01. KE30'!$R:$R,'01. KE30'!$C:$C,'06. BC BH THEO CUSTOMER-USD'!$D212,'01. KE30'!$F:$F,'06. BC BH THEO CUSTOMER-USD'!$H212,'01. KE30'!$A:$A,'06. BC BH THEO CUSTOMER-USD'!CN$4)/DB212/'02. Tỷ giá'!K$5," -")</f>
        <v xml:space="preserve"> -</v>
      </c>
      <c r="CO212" s="95" t="str">
        <f>IFERROR(SUMIFS('01. KE30'!$R:$R,'01. KE30'!$C:$C,'06. BC BH THEO CUSTOMER-USD'!$D212,'01. KE30'!$F:$F,'06. BC BH THEO CUSTOMER-USD'!$H212,'01. KE30'!$A:$A,'06. BC BH THEO CUSTOMER-USD'!CO$4)/DC212/'02. Tỷ giá'!L$5," -")</f>
        <v xml:space="preserve"> -</v>
      </c>
      <c r="CP212" s="95" t="str">
        <f>IFERROR(SUMIFS('01. KE30'!$R:$R,'01. KE30'!$C:$C,'06. BC BH THEO CUSTOMER-USD'!$D212,'01. KE30'!$F:$F,'06. BC BH THEO CUSTOMER-USD'!$H212,'01. KE30'!$A:$A,'06. BC BH THEO CUSTOMER-USD'!CP$4)/DD212/'02. Tỷ giá'!M$5," -")</f>
        <v xml:space="preserve"> -</v>
      </c>
      <c r="CR212" s="112">
        <f t="shared" si="2567"/>
        <v>0</v>
      </c>
      <c r="CS212" s="114">
        <f>SUMIFS('01. KE30'!$I:$I,'01. KE30'!$C:$C,'06. BC BH THEO CUSTOMER-USD'!$D212,'01. KE30'!$F:$F,'06. BC BH THEO CUSTOMER-USD'!$H212,'01. KE30'!$A:$A,'06. BC BH THEO CUSTOMER-USD'!CS$4)/1000</f>
        <v>0</v>
      </c>
      <c r="CT212" s="114">
        <f>SUMIFS('01. KE30'!$I:$I,'01. KE30'!$C:$C,'06. BC BH THEO CUSTOMER-USD'!$D212,'01. KE30'!$F:$F,'06. BC BH THEO CUSTOMER-USD'!$H212,'01. KE30'!$A:$A,'06. BC BH THEO CUSTOMER-USD'!CT$4)/1000</f>
        <v>0</v>
      </c>
      <c r="CU212" s="114">
        <f>SUMIFS('01. KE30'!$I:$I,'01. KE30'!$C:$C,'06. BC BH THEO CUSTOMER-USD'!$D212,'01. KE30'!$F:$F,'06. BC BH THEO CUSTOMER-USD'!$H212,'01. KE30'!$A:$A,'06. BC BH THEO CUSTOMER-USD'!CU$4)/1000</f>
        <v>0</v>
      </c>
      <c r="CV212" s="114">
        <f>SUMIFS('01. KE30'!$I:$I,'01. KE30'!$C:$C,'06. BC BH THEO CUSTOMER-USD'!$D212,'01. KE30'!$F:$F,'06. BC BH THEO CUSTOMER-USD'!$H212,'01. KE30'!$A:$A,'06. BC BH THEO CUSTOMER-USD'!CV$4)/1000</f>
        <v>0</v>
      </c>
      <c r="CW212" s="114">
        <f>SUMIFS('01. KE30'!$I:$I,'01. KE30'!$C:$C,'06. BC BH THEO CUSTOMER-USD'!$D212,'01. KE30'!$F:$F,'06. BC BH THEO CUSTOMER-USD'!$H212,'01. KE30'!$A:$A,'06. BC BH THEO CUSTOMER-USD'!CW$4)/1000</f>
        <v>0</v>
      </c>
      <c r="CX212" s="114">
        <f>SUMIFS('01. KE30'!$I:$I,'01. KE30'!$C:$C,'06. BC BH THEO CUSTOMER-USD'!$D212,'01. KE30'!$F:$F,'06. BC BH THEO CUSTOMER-USD'!$H212,'01. KE30'!$A:$A,'06. BC BH THEO CUSTOMER-USD'!CX$4)/1000</f>
        <v>0</v>
      </c>
      <c r="CY212" s="114">
        <f>SUMIFS('01. KE30'!$I:$I,'01. KE30'!$C:$C,'06. BC BH THEO CUSTOMER-USD'!$D212,'01. KE30'!$F:$F,'06. BC BH THEO CUSTOMER-USD'!$H212,'01. KE30'!$A:$A,'06. BC BH THEO CUSTOMER-USD'!CY$4)/1000</f>
        <v>0</v>
      </c>
      <c r="CZ212" s="114">
        <f>SUMIFS('01. KE30'!$I:$I,'01. KE30'!$C:$C,'06. BC BH THEO CUSTOMER-USD'!$D212,'01. KE30'!$F:$F,'06. BC BH THEO CUSTOMER-USD'!$H212,'01. KE30'!$A:$A,'06. BC BH THEO CUSTOMER-USD'!CZ$4)/1000</f>
        <v>0</v>
      </c>
      <c r="DA212" s="114">
        <f>SUMIFS('01. KE30'!$I:$I,'01. KE30'!$C:$C,'06. BC BH THEO CUSTOMER-USD'!$D212,'01. KE30'!$F:$F,'06. BC BH THEO CUSTOMER-USD'!$H212,'01. KE30'!$A:$A,'06. BC BH THEO CUSTOMER-USD'!DA$4)/1000</f>
        <v>0</v>
      </c>
      <c r="DB212" s="114">
        <f>SUMIFS('01. KE30'!$I:$I,'01. KE30'!$C:$C,'06. BC BH THEO CUSTOMER-USD'!$D212,'01. KE30'!$F:$F,'06. BC BH THEO CUSTOMER-USD'!$H212,'01. KE30'!$A:$A,'06. BC BH THEO CUSTOMER-USD'!DB$4)/1000</f>
        <v>0</v>
      </c>
      <c r="DC212" s="114">
        <f>SUMIFS('01. KE30'!$I:$I,'01. KE30'!$C:$C,'06. BC BH THEO CUSTOMER-USD'!$D212,'01. KE30'!$F:$F,'06. BC BH THEO CUSTOMER-USD'!$H212,'01. KE30'!$A:$A,'06. BC BH THEO CUSTOMER-USD'!DC$4)/1000</f>
        <v>0</v>
      </c>
      <c r="DD212" s="114">
        <f>SUMIFS('01. KE30'!$I:$I,'01. KE30'!$C:$C,'06. BC BH THEO CUSTOMER-USD'!$D212,'01. KE30'!$F:$F,'06. BC BH THEO CUSTOMER-USD'!$H212,'01. KE30'!$A:$A,'06. BC BH THEO CUSTOMER-USD'!DD$4)/1000</f>
        <v>0</v>
      </c>
      <c r="DF212" s="112">
        <f t="shared" si="2502"/>
        <v>0</v>
      </c>
      <c r="DG212" s="54" t="str">
        <f t="shared" si="2503"/>
        <v>-</v>
      </c>
      <c r="DH212" s="54" t="str">
        <f t="shared" si="2504"/>
        <v>-</v>
      </c>
      <c r="DI212" s="54" t="str">
        <f t="shared" si="2505"/>
        <v>-</v>
      </c>
      <c r="DJ212" s="54" t="str">
        <f t="shared" si="2506"/>
        <v>-</v>
      </c>
      <c r="DK212" s="54" t="str">
        <f t="shared" si="2507"/>
        <v>-</v>
      </c>
      <c r="DL212" s="54" t="str">
        <f t="shared" si="2508"/>
        <v>-</v>
      </c>
      <c r="DM212" s="54" t="str">
        <f t="shared" si="2509"/>
        <v>-</v>
      </c>
      <c r="DN212" s="54" t="str">
        <f t="shared" si="2510"/>
        <v>-</v>
      </c>
      <c r="DO212" s="54" t="str">
        <f t="shared" si="2511"/>
        <v>-</v>
      </c>
      <c r="DP212" s="54" t="str">
        <f t="shared" si="2512"/>
        <v>-</v>
      </c>
      <c r="DQ212" s="54" t="str">
        <f t="shared" si="2513"/>
        <v>-</v>
      </c>
      <c r="DR212" s="54" t="str">
        <f t="shared" si="2514"/>
        <v>-</v>
      </c>
      <c r="DT212" s="112">
        <f t="shared" si="2515"/>
        <v>0</v>
      </c>
      <c r="DU212" s="114">
        <f>IFERROR(SUMIFS('01. KE30'!$X:$X,'01. KE30'!$C:$C,'06. BC BH THEO CUSTOMER-USD'!$D212,'01. KE30'!$F:$F,'06. BC BH THEO CUSTOMER-USD'!$H212,'01. KE30'!$A:$A,'06. BC BH THEO CUSTOMER-USD'!DU$4)-SUMIFS('01. KE30'!$AA:$AA,'01. KE30'!$C:$C,'06. BC BH THEO CUSTOMER-USD'!$D212,'01. KE30'!$F:$F,'06. BC BH THEO CUSTOMER-USD'!$H212,'01. KE30'!$A:$A,'06. BC BH THEO CUSTOMER-USD'!DU$4),"-")</f>
        <v>0</v>
      </c>
      <c r="DV212" s="114">
        <f>IFERROR(SUMIFS('01. KE30'!$X:$X,'01. KE30'!$C:$C,'06. BC BH THEO CUSTOMER-USD'!$D212,'01. KE30'!$F:$F,'06. BC BH THEO CUSTOMER-USD'!$H212,'01. KE30'!$A:$A,'06. BC BH THEO CUSTOMER-USD'!DV$4)-SUMIFS('01. KE30'!$AA:$AA,'01. KE30'!$C:$C,'06. BC BH THEO CUSTOMER-USD'!$D212,'01. KE30'!$F:$F,'06. BC BH THEO CUSTOMER-USD'!$H212,'01. KE30'!$A:$A,'06. BC BH THEO CUSTOMER-USD'!DV$4),"-")</f>
        <v>0</v>
      </c>
      <c r="DW212" s="114">
        <f>IFERROR(SUMIFS('01. KE30'!$X:$X,'01. KE30'!$C:$C,'06. BC BH THEO CUSTOMER-USD'!$D212,'01. KE30'!$F:$F,'06. BC BH THEO CUSTOMER-USD'!$H212,'01. KE30'!$A:$A,'06. BC BH THEO CUSTOMER-USD'!DW$4)-SUMIFS('01. KE30'!$AA:$AA,'01. KE30'!$C:$C,'06. BC BH THEO CUSTOMER-USD'!$D212,'01. KE30'!$F:$F,'06. BC BH THEO CUSTOMER-USD'!$H212,'01. KE30'!$A:$A,'06. BC BH THEO CUSTOMER-USD'!DW$4),"-")</f>
        <v>0</v>
      </c>
      <c r="DX212" s="114">
        <f>IFERROR(SUMIFS('01. KE30'!$X:$X,'01. KE30'!$C:$C,'06. BC BH THEO CUSTOMER-USD'!$D212,'01. KE30'!$F:$F,'06. BC BH THEO CUSTOMER-USD'!$H212,'01. KE30'!$A:$A,'06. BC BH THEO CUSTOMER-USD'!DX$4)-SUMIFS('01. KE30'!$AA:$AA,'01. KE30'!$C:$C,'06. BC BH THEO CUSTOMER-USD'!$D212,'01. KE30'!$F:$F,'06. BC BH THEO CUSTOMER-USD'!$H212,'01. KE30'!$A:$A,'06. BC BH THEO CUSTOMER-USD'!DX$4),"-")</f>
        <v>0</v>
      </c>
      <c r="DY212" s="114">
        <f>IFERROR(SUMIFS('01. KE30'!$X:$X,'01. KE30'!$C:$C,'06. BC BH THEO CUSTOMER-USD'!$D212,'01. KE30'!$F:$F,'06. BC BH THEO CUSTOMER-USD'!$H212,'01. KE30'!$A:$A,'06. BC BH THEO CUSTOMER-USD'!DY$4)-SUMIFS('01. KE30'!$AA:$AA,'01. KE30'!$C:$C,'06. BC BH THEO CUSTOMER-USD'!$D212,'01. KE30'!$F:$F,'06. BC BH THEO CUSTOMER-USD'!$H212,'01. KE30'!$A:$A,'06. BC BH THEO CUSTOMER-USD'!DY$4),"-")</f>
        <v>0</v>
      </c>
      <c r="DZ212" s="114">
        <f>IFERROR(SUMIFS('01. KE30'!$X:$X,'01. KE30'!$C:$C,'06. BC BH THEO CUSTOMER-USD'!$D212,'01. KE30'!$F:$F,'06. BC BH THEO CUSTOMER-USD'!$H212,'01. KE30'!$A:$A,'06. BC BH THEO CUSTOMER-USD'!DZ$4)-SUMIFS('01. KE30'!$AA:$AA,'01. KE30'!$C:$C,'06. BC BH THEO CUSTOMER-USD'!$D212,'01. KE30'!$F:$F,'06. BC BH THEO CUSTOMER-USD'!$H212,'01. KE30'!$A:$A,'06. BC BH THEO CUSTOMER-USD'!DZ$4),"-")</f>
        <v>0</v>
      </c>
      <c r="EA212" s="114">
        <f>IFERROR(SUMIFS('01. KE30'!$X:$X,'01. KE30'!$C:$C,'06. BC BH THEO CUSTOMER-USD'!$D212,'01. KE30'!$F:$F,'06. BC BH THEO CUSTOMER-USD'!$H212,'01. KE30'!$A:$A,'06. BC BH THEO CUSTOMER-USD'!EA$4)-SUMIFS('01. KE30'!$AA:$AA,'01. KE30'!$C:$C,'06. BC BH THEO CUSTOMER-USD'!$D212,'01. KE30'!$F:$F,'06. BC BH THEO CUSTOMER-USD'!$H212,'01. KE30'!$A:$A,'06. BC BH THEO CUSTOMER-USD'!EA$4),"-")</f>
        <v>0</v>
      </c>
      <c r="EB212" s="114">
        <f>IFERROR(SUMIFS('01. KE30'!$X:$X,'01. KE30'!$C:$C,'06. BC BH THEO CUSTOMER-USD'!$D212,'01. KE30'!$F:$F,'06. BC BH THEO CUSTOMER-USD'!$H212,'01. KE30'!$A:$A,'06. BC BH THEO CUSTOMER-USD'!EB$4)-SUMIFS('01. KE30'!$AA:$AA,'01. KE30'!$C:$C,'06. BC BH THEO CUSTOMER-USD'!$D212,'01. KE30'!$F:$F,'06. BC BH THEO CUSTOMER-USD'!$H212,'01. KE30'!$A:$A,'06. BC BH THEO CUSTOMER-USD'!EB$4),"-")</f>
        <v>0</v>
      </c>
      <c r="EC212" s="114">
        <f>IFERROR(SUMIFS('01. KE30'!$X:$X,'01. KE30'!$C:$C,'06. BC BH THEO CUSTOMER-USD'!$D212,'01. KE30'!$F:$F,'06. BC BH THEO CUSTOMER-USD'!$H212,'01. KE30'!$A:$A,'06. BC BH THEO CUSTOMER-USD'!EC$4)-SUMIFS('01. KE30'!$AA:$AA,'01. KE30'!$C:$C,'06. BC BH THEO CUSTOMER-USD'!$D212,'01. KE30'!$F:$F,'06. BC BH THEO CUSTOMER-USD'!$H212,'01. KE30'!$A:$A,'06. BC BH THEO CUSTOMER-USD'!EC$4),"-")</f>
        <v>0</v>
      </c>
      <c r="ED212" s="114">
        <f>IFERROR(SUMIFS('01. KE30'!$X:$X,'01. KE30'!$C:$C,'06. BC BH THEO CUSTOMER-USD'!$D212,'01. KE30'!$F:$F,'06. BC BH THEO CUSTOMER-USD'!$H212,'01. KE30'!$A:$A,'06. BC BH THEO CUSTOMER-USD'!ED$4)-SUMIFS('01. KE30'!$AA:$AA,'01. KE30'!$C:$C,'06. BC BH THEO CUSTOMER-USD'!$D212,'01. KE30'!$F:$F,'06. BC BH THEO CUSTOMER-USD'!$H212,'01. KE30'!$A:$A,'06. BC BH THEO CUSTOMER-USD'!ED$4),"-")</f>
        <v>0</v>
      </c>
      <c r="EE212" s="114">
        <f>IFERROR(SUMIFS('01. KE30'!$X:$X,'01. KE30'!$C:$C,'06. BC BH THEO CUSTOMER-USD'!$D212,'01. KE30'!$F:$F,'06. BC BH THEO CUSTOMER-USD'!$H212,'01. KE30'!$A:$A,'06. BC BH THEO CUSTOMER-USD'!EE$4)-SUMIFS('01. KE30'!$AA:$AA,'01. KE30'!$C:$C,'06. BC BH THEO CUSTOMER-USD'!$D212,'01. KE30'!$F:$F,'06. BC BH THEO CUSTOMER-USD'!$H212,'01. KE30'!$A:$A,'06. BC BH THEO CUSTOMER-USD'!EE$4),"-")</f>
        <v>0</v>
      </c>
      <c r="EF212" s="114">
        <f>IFERROR(SUMIFS('01. KE30'!$X:$X,'01. KE30'!$C:$C,'06. BC BH THEO CUSTOMER-USD'!$D212,'01. KE30'!$F:$F,'06. BC BH THEO CUSTOMER-USD'!$H212,'01. KE30'!$A:$A,'06. BC BH THEO CUSTOMER-USD'!EF$4)-SUMIFS('01. KE30'!$AA:$AA,'01. KE30'!$C:$C,'06. BC BH THEO CUSTOMER-USD'!$D212,'01. KE30'!$F:$F,'06. BC BH THEO CUSTOMER-USD'!$H212,'01. KE30'!$A:$A,'06. BC BH THEO CUSTOMER-USD'!EF$4),"-")</f>
        <v>0</v>
      </c>
      <c r="EH212" s="571" t="str">
        <f t="shared" si="1737"/>
        <v>-</v>
      </c>
      <c r="EI212" s="572" t="str">
        <f t="shared" si="1738"/>
        <v>-</v>
      </c>
      <c r="EJ212" s="572" t="str">
        <f t="shared" si="1739"/>
        <v>-</v>
      </c>
      <c r="EK212" s="572" t="str">
        <f t="shared" si="1740"/>
        <v>-</v>
      </c>
      <c r="EL212" s="572" t="str">
        <f t="shared" si="1741"/>
        <v>-</v>
      </c>
      <c r="EM212" s="572" t="str">
        <f t="shared" si="1742"/>
        <v>-</v>
      </c>
      <c r="EN212" s="572" t="str">
        <f t="shared" si="1743"/>
        <v>-</v>
      </c>
      <c r="EO212" s="572" t="str">
        <f t="shared" si="1744"/>
        <v>-</v>
      </c>
      <c r="EP212" s="572" t="str">
        <f t="shared" si="1745"/>
        <v>-</v>
      </c>
      <c r="EQ212" s="572" t="str">
        <f t="shared" si="1746"/>
        <v>-</v>
      </c>
      <c r="ER212" s="572" t="str">
        <f t="shared" si="1747"/>
        <v>-</v>
      </c>
      <c r="ES212" s="572" t="str">
        <f t="shared" si="1748"/>
        <v>-</v>
      </c>
      <c r="ET212" s="572" t="str">
        <f t="shared" si="1749"/>
        <v>-</v>
      </c>
    </row>
    <row r="213" spans="1:150" ht="15.5" outlineLevel="1" x14ac:dyDescent="0.35">
      <c r="A213" s="10">
        <f t="shared" si="2520"/>
        <v>6</v>
      </c>
      <c r="B213" s="10" t="s">
        <v>23</v>
      </c>
      <c r="C213" s="442" t="s">
        <v>489</v>
      </c>
      <c r="D213" s="9" t="s">
        <v>17</v>
      </c>
      <c r="E213" s="8" t="s">
        <v>16</v>
      </c>
      <c r="F213" s="12" t="s">
        <v>245</v>
      </c>
      <c r="G213" s="12" t="str">
        <f>_xlfn.XLOOKUP(F213,'Quy đổi'!$G$5:$G$32,'Quy đổi'!$H$5:$H$32,0)</f>
        <v>Nội địa</v>
      </c>
      <c r="H213" s="80" t="s">
        <v>1081</v>
      </c>
      <c r="I213" s="7" t="s">
        <v>1082</v>
      </c>
      <c r="J213" s="69" t="s">
        <v>22</v>
      </c>
      <c r="K213" s="5"/>
      <c r="L213" s="92">
        <f t="shared" ref="L213" si="2568">IFERROR(AVERAGE(M213:X213),"-")</f>
        <v>761.90476190476193</v>
      </c>
      <c r="M213" s="106" t="str">
        <f>IFERROR(SUMIFS('01. KE30'!$K:$K,'01. KE30'!$C:$C,'06. BC BH THEO CUSTOMER-USD'!$D213,'01. KE30'!$F:$F,'06. BC BH THEO CUSTOMER-USD'!$H213,'01. KE30'!$A:$A,'06. BC BH THEO CUSTOMER-USD'!M$4)/'06. BC BH THEO CUSTOMER-USD'!CS213/'02. Tỷ giá'!B$5,"-")</f>
        <v>-</v>
      </c>
      <c r="N213" s="106" t="str">
        <f>IFERROR(SUMIFS('01. KE30'!$K:$K,'01. KE30'!$C:$C,'06. BC BH THEO CUSTOMER-USD'!$D213,'01. KE30'!$F:$F,'06. BC BH THEO CUSTOMER-USD'!$H213,'01. KE30'!$A:$A,'06. BC BH THEO CUSTOMER-USD'!N$4)/'06. BC BH THEO CUSTOMER-USD'!CT213/'02. Tỷ giá'!C$5,"-")</f>
        <v>-</v>
      </c>
      <c r="O213" s="106" t="str">
        <f>IFERROR(SUMIFS('01. KE30'!$K:$K,'01. KE30'!$C:$C,'06. BC BH THEO CUSTOMER-USD'!$D213,'01. KE30'!$F:$F,'06. BC BH THEO CUSTOMER-USD'!$H213,'01. KE30'!$A:$A,'06. BC BH THEO CUSTOMER-USD'!O$4)/'06. BC BH THEO CUSTOMER-USD'!CU213/'02. Tỷ giá'!D$5,"-")</f>
        <v>-</v>
      </c>
      <c r="P213" s="106" t="str">
        <f>IFERROR(SUMIFS('01. KE30'!$K:$K,'01. KE30'!$C:$C,'06. BC BH THEO CUSTOMER-USD'!$D213,'01. KE30'!$F:$F,'06. BC BH THEO CUSTOMER-USD'!$H213,'01. KE30'!$A:$A,'06. BC BH THEO CUSTOMER-USD'!P$4)/'06. BC BH THEO CUSTOMER-USD'!CV213/'02. Tỷ giá'!E$5,"-")</f>
        <v>-</v>
      </c>
      <c r="Q213" s="106" t="str">
        <f>IFERROR(SUMIFS('01. KE30'!$K:$K,'01. KE30'!$C:$C,'06. BC BH THEO CUSTOMER-USD'!$D213,'01. KE30'!$F:$F,'06. BC BH THEO CUSTOMER-USD'!$H213,'01. KE30'!$A:$A,'06. BC BH THEO CUSTOMER-USD'!Q$4)/'06. BC BH THEO CUSTOMER-USD'!CW213/'02. Tỷ giá'!F$5,"-")</f>
        <v>-</v>
      </c>
      <c r="R213" s="106" t="str">
        <f>IFERROR(SUMIFS('01. KE30'!$K:$K,'01. KE30'!$C:$C,'06. BC BH THEO CUSTOMER-USD'!$D213,'01. KE30'!$F:$F,'06. BC BH THEO CUSTOMER-USD'!$H213,'01. KE30'!$A:$A,'06. BC BH THEO CUSTOMER-USD'!R$4)/'06. BC BH THEO CUSTOMER-USD'!CX213/'02. Tỷ giá'!G$5,"-")</f>
        <v>-</v>
      </c>
      <c r="S213" s="106" t="str">
        <f>IFERROR(SUMIFS('01. KE30'!$K:$K,'01. KE30'!$C:$C,'06. BC BH THEO CUSTOMER-USD'!$D213,'01. KE30'!$F:$F,'06. BC BH THEO CUSTOMER-USD'!$H213,'01. KE30'!$A:$A,'06. BC BH THEO CUSTOMER-USD'!S$4)/'06. BC BH THEO CUSTOMER-USD'!CY213/'02. Tỷ giá'!H$5,"-")</f>
        <v>-</v>
      </c>
      <c r="T213" s="106" t="str">
        <f>IFERROR(SUMIFS('01. KE30'!$K:$K,'01. KE30'!$C:$C,'06. BC BH THEO CUSTOMER-USD'!$D213,'01. KE30'!$F:$F,'06. BC BH THEO CUSTOMER-USD'!$H213,'01. KE30'!$A:$A,'06. BC BH THEO CUSTOMER-USD'!T$4)/'06. BC BH THEO CUSTOMER-USD'!CZ213/'02. Tỷ giá'!I$5,"-")</f>
        <v>-</v>
      </c>
      <c r="U213" s="106">
        <f>IFERROR(SUMIFS('01. KE30'!$K:$K,'01. KE30'!$C:$C,'06. BC BH THEO CUSTOMER-USD'!$D213,'01. KE30'!$F:$F,'06. BC BH THEO CUSTOMER-USD'!$H213,'01. KE30'!$A:$A,'06. BC BH THEO CUSTOMER-USD'!U$4)/'06. BC BH THEO CUSTOMER-USD'!DA213/'02. Tỷ giá'!J$5,"-")</f>
        <v>761.90476190476193</v>
      </c>
      <c r="V213" s="106" t="str">
        <f>IFERROR(SUMIFS('01. KE30'!$K:$K,'01. KE30'!$C:$C,'06. BC BH THEO CUSTOMER-USD'!$D213,'01. KE30'!$F:$F,'06. BC BH THEO CUSTOMER-USD'!$H213,'01. KE30'!$A:$A,'06. BC BH THEO CUSTOMER-USD'!V$4)/'06. BC BH THEO CUSTOMER-USD'!DB213/'02. Tỷ giá'!K$5,"-")</f>
        <v>-</v>
      </c>
      <c r="W213" s="106" t="str">
        <f>IFERROR(SUMIFS('01. KE30'!$K:$K,'01. KE30'!$C:$C,'06. BC BH THEO CUSTOMER-USD'!$D213,'01. KE30'!$F:$F,'06. BC BH THEO CUSTOMER-USD'!$H213,'01. KE30'!$A:$A,'06. BC BH THEO CUSTOMER-USD'!W$4)/'06. BC BH THEO CUSTOMER-USD'!DC213/'02. Tỷ giá'!L$5,"-")</f>
        <v>-</v>
      </c>
      <c r="X213" s="106" t="str">
        <f>IFERROR(SUMIFS('01. KE30'!$K:$K,'01. KE30'!$C:$C,'06. BC BH THEO CUSTOMER-USD'!$D213,'01. KE30'!$F:$F,'06. BC BH THEO CUSTOMER-USD'!$H213,'01. KE30'!$A:$A,'06. BC BH THEO CUSTOMER-USD'!X$4)/'06. BC BH THEO CUSTOMER-USD'!DD213/'02. Tỷ giá'!M$5,"-")</f>
        <v>-</v>
      </c>
      <c r="Z213" s="92">
        <f t="shared" ref="Z213" si="2569">IFERROR(AVERAGE(AA213:AL213),"-")</f>
        <v>761.90476190476193</v>
      </c>
      <c r="AA213" s="147" t="str">
        <f>IFERROR(SUMIFS('01. KE30'!$O:$O,'01. KE30'!$C:$C,'06. BC BH THEO CUSTOMER-USD'!$D213,'01. KE30'!$F:$F,'06. BC BH THEO CUSTOMER-USD'!$H213,'01. KE30'!$A:$A,'06. BC BH THEO CUSTOMER-USD'!M$4)/'06. BC BH THEO CUSTOMER-USD'!CS213/'02. Tỷ giá'!B$5,"-")</f>
        <v>-</v>
      </c>
      <c r="AB213" s="147" t="str">
        <f>IFERROR(SUMIFS('01. KE30'!$O:$O,'01. KE30'!$C:$C,'06. BC BH THEO CUSTOMER-USD'!$D213,'01. KE30'!$F:$F,'06. BC BH THEO CUSTOMER-USD'!$H213,'01. KE30'!$A:$A,'06. BC BH THEO CUSTOMER-USD'!N$4)/'06. BC BH THEO CUSTOMER-USD'!CT213/'02. Tỷ giá'!C$5,"-")</f>
        <v>-</v>
      </c>
      <c r="AC213" s="147" t="str">
        <f>IFERROR(SUMIFS('01. KE30'!$O:$O,'01. KE30'!$C:$C,'06. BC BH THEO CUSTOMER-USD'!$D213,'01. KE30'!$F:$F,'06. BC BH THEO CUSTOMER-USD'!$H213,'01. KE30'!$A:$A,'06. BC BH THEO CUSTOMER-USD'!O$4)/'06. BC BH THEO CUSTOMER-USD'!CU213/'02. Tỷ giá'!D$5,"-")</f>
        <v>-</v>
      </c>
      <c r="AD213" s="147" t="str">
        <f>IFERROR(SUMIFS('01. KE30'!$O:$O,'01. KE30'!$C:$C,'06. BC BH THEO CUSTOMER-USD'!$D213,'01. KE30'!$F:$F,'06. BC BH THEO CUSTOMER-USD'!$H213,'01. KE30'!$A:$A,'06. BC BH THEO CUSTOMER-USD'!P$4)/'06. BC BH THEO CUSTOMER-USD'!CV213/'02. Tỷ giá'!E$5,"-")</f>
        <v>-</v>
      </c>
      <c r="AE213" s="147" t="str">
        <f>IFERROR(SUMIFS('01. KE30'!$O:$O,'01. KE30'!$C:$C,'06. BC BH THEO CUSTOMER-USD'!$D213,'01. KE30'!$F:$F,'06. BC BH THEO CUSTOMER-USD'!$H213,'01. KE30'!$A:$A,'06. BC BH THEO CUSTOMER-USD'!Q$4)/'06. BC BH THEO CUSTOMER-USD'!CW213/'02. Tỷ giá'!F$5,"-")</f>
        <v>-</v>
      </c>
      <c r="AF213" s="147" t="str">
        <f>IFERROR(SUMIFS('01. KE30'!$O:$O,'01. KE30'!$C:$C,'06. BC BH THEO CUSTOMER-USD'!$D213,'01. KE30'!$F:$F,'06. BC BH THEO CUSTOMER-USD'!$H213,'01. KE30'!$A:$A,'06. BC BH THEO CUSTOMER-USD'!R$4)/'06. BC BH THEO CUSTOMER-USD'!CX213/'02. Tỷ giá'!G$5,"-")</f>
        <v>-</v>
      </c>
      <c r="AG213" s="147" t="str">
        <f>IFERROR(SUMIFS('01. KE30'!$O:$O,'01. KE30'!$C:$C,'06. BC BH THEO CUSTOMER-USD'!$D213,'01. KE30'!$F:$F,'06. BC BH THEO CUSTOMER-USD'!$H213,'01. KE30'!$A:$A,'06. BC BH THEO CUSTOMER-USD'!S$4)/'06. BC BH THEO CUSTOMER-USD'!CY213/'02. Tỷ giá'!H$5,"-")</f>
        <v>-</v>
      </c>
      <c r="AH213" s="147" t="str">
        <f>IFERROR(SUMIFS('01. KE30'!$O:$O,'01. KE30'!$C:$C,'06. BC BH THEO CUSTOMER-USD'!$D213,'01. KE30'!$F:$F,'06. BC BH THEO CUSTOMER-USD'!$H213,'01. KE30'!$A:$A,'06. BC BH THEO CUSTOMER-USD'!T$4)/'06. BC BH THEO CUSTOMER-USD'!CZ213/'02. Tỷ giá'!I$5,"-")</f>
        <v>-</v>
      </c>
      <c r="AI213" s="147">
        <f>IFERROR(SUMIFS('01. KE30'!$O:$O,'01. KE30'!$C:$C,'06. BC BH THEO CUSTOMER-USD'!$D213,'01. KE30'!$F:$F,'06. BC BH THEO CUSTOMER-USD'!$H213,'01. KE30'!$A:$A,'06. BC BH THEO CUSTOMER-USD'!U$4)/'06. BC BH THEO CUSTOMER-USD'!DA213/'02. Tỷ giá'!J$5,"-")</f>
        <v>761.90476190476193</v>
      </c>
      <c r="AJ213" s="147" t="str">
        <f>IFERROR(SUMIFS('01. KE30'!$O:$O,'01. KE30'!$C:$C,'06. BC BH THEO CUSTOMER-USD'!$D213,'01. KE30'!$F:$F,'06. BC BH THEO CUSTOMER-USD'!$H213,'01. KE30'!$A:$A,'06. BC BH THEO CUSTOMER-USD'!V$4)/'06. BC BH THEO CUSTOMER-USD'!DB213/'02. Tỷ giá'!K$5,"-")</f>
        <v>-</v>
      </c>
      <c r="AK213" s="147" t="str">
        <f>IFERROR(SUMIFS('01. KE30'!$O:$O,'01. KE30'!$C:$C,'06. BC BH THEO CUSTOMER-USD'!$D213,'01. KE30'!$F:$F,'06. BC BH THEO CUSTOMER-USD'!$H213,'01. KE30'!$A:$A,'06. BC BH THEO CUSTOMER-USD'!W$4)/'06. BC BH THEO CUSTOMER-USD'!DC213/'02. Tỷ giá'!L$5,"-")</f>
        <v>-</v>
      </c>
      <c r="AL213" s="147" t="str">
        <f>IFERROR(SUMIFS('01. KE30'!$O:$O,'01. KE30'!$C:$C,'06. BC BH THEO CUSTOMER-USD'!$D213,'01. KE30'!$F:$F,'06. BC BH THEO CUSTOMER-USD'!$H213,'01. KE30'!$A:$A,'06. BC BH THEO CUSTOMER-USD'!X$4)/'06. BC BH THEO CUSTOMER-USD'!DD213/'02. Tỷ giá'!M$5,"-")</f>
        <v>-</v>
      </c>
      <c r="AN213" s="92">
        <f t="shared" ref="AN213" si="2570">IFERROR(AVERAGE(AO213:AZ213),"-")</f>
        <v>815.55555555555554</v>
      </c>
      <c r="AO213" s="4">
        <v>900</v>
      </c>
      <c r="AP213" s="4">
        <v>820</v>
      </c>
      <c r="AQ213" s="4">
        <v>840</v>
      </c>
      <c r="AR213" s="4">
        <v>835</v>
      </c>
      <c r="AS213" s="4">
        <v>815</v>
      </c>
      <c r="AT213" s="4">
        <v>815</v>
      </c>
      <c r="AU213" s="4">
        <v>790</v>
      </c>
      <c r="AV213" s="4">
        <f t="shared" ref="AV213" si="2571">AU213-20</f>
        <v>770</v>
      </c>
      <c r="AW213" s="4">
        <v>755</v>
      </c>
      <c r="AX213" s="4"/>
      <c r="AY213" s="4"/>
      <c r="AZ213" s="4"/>
      <c r="BB213" s="95">
        <f t="shared" ref="BB213" si="2572">IF(L213&lt;&gt;"-",Z213-AN213,"-")</f>
        <v>-53.650793650793617</v>
      </c>
      <c r="BC213" s="95" t="str">
        <f t="shared" ref="BC213" si="2573">IF(M213&lt;&gt;"-",AA213-AO213,"-")</f>
        <v>-</v>
      </c>
      <c r="BD213" s="95" t="str">
        <f t="shared" ref="BD213" si="2574">IF(N213&lt;&gt;"-",AB213-AP213,"-")</f>
        <v>-</v>
      </c>
      <c r="BE213" s="95" t="str">
        <f t="shared" ref="BE213" si="2575">IF(O213&lt;&gt;"-",AC213-AQ213,"-")</f>
        <v>-</v>
      </c>
      <c r="BF213" s="95" t="str">
        <f t="shared" ref="BF213" si="2576">IF(P213&lt;&gt;"-",AD213-AR213,"-")</f>
        <v>-</v>
      </c>
      <c r="BG213" s="95" t="str">
        <f t="shared" ref="BG213" si="2577">IF(Q213&lt;&gt;"-",AE213-AS213,"-")</f>
        <v>-</v>
      </c>
      <c r="BH213" s="95" t="str">
        <f t="shared" ref="BH213" si="2578">IF(R213&lt;&gt;"-",AF213-AT213,"-")</f>
        <v>-</v>
      </c>
      <c r="BI213" s="95" t="str">
        <f t="shared" ref="BI213" si="2579">IF(S213&lt;&gt;"-",AG213-AU213,"-")</f>
        <v>-</v>
      </c>
      <c r="BJ213" s="95" t="str">
        <f t="shared" ref="BJ213" si="2580">IF(T213&lt;&gt;"-",AH213-AV213,"-")</f>
        <v>-</v>
      </c>
      <c r="BK213" s="95">
        <f t="shared" ref="BK213" si="2581">IF(U213&lt;&gt;"-",AI213-AW213,"-")</f>
        <v>6.9047619047619264</v>
      </c>
      <c r="BL213" s="95" t="str">
        <f t="shared" ref="BL213" si="2582">IF(V213&lt;&gt;"-",AJ213-AX213,"-")</f>
        <v>-</v>
      </c>
      <c r="BM213" s="95" t="str">
        <f t="shared" ref="BM213" si="2583">IF(W213&lt;&gt;"-",AK213-AY213,"-")</f>
        <v>-</v>
      </c>
      <c r="BN213" s="95" t="str">
        <f t="shared" ref="BN213" si="2584">IF(X213&lt;&gt;"-",AL213-AZ213,"-")</f>
        <v>-</v>
      </c>
      <c r="BP213" s="143">
        <f t="shared" ref="BP213" si="2585">IFERROR(IF(BB213&lt;&gt;"-",BB213/AN213,"-"),"-")</f>
        <v>-6.5784351887894083E-2</v>
      </c>
      <c r="BQ213" s="143" t="str">
        <f t="shared" ref="BQ213" si="2586">IFERROR(IF(BC213&lt;&gt;"-",BC213/AO213,"-"),"-")</f>
        <v>-</v>
      </c>
      <c r="BR213" s="143" t="str">
        <f t="shared" ref="BR213" si="2587">IFERROR(IF(BD213&lt;&gt;"-",BD213/AP213,"-"),"-")</f>
        <v>-</v>
      </c>
      <c r="BS213" s="143" t="str">
        <f t="shared" ref="BS213" si="2588">IFERROR(IF(BE213&lt;&gt;"-",BE213/AQ213,"-"),"-")</f>
        <v>-</v>
      </c>
      <c r="BT213" s="143" t="str">
        <f t="shared" ref="BT213" si="2589">IFERROR(IF(BF213&lt;&gt;"-",BF213/AR213,"-"),"-")</f>
        <v>-</v>
      </c>
      <c r="BU213" s="143" t="str">
        <f t="shared" ref="BU213" si="2590">IFERROR(IF(BG213&lt;&gt;"-",BG213/AS213,"-"),"-")</f>
        <v>-</v>
      </c>
      <c r="BV213" s="143" t="str">
        <f t="shared" ref="BV213" si="2591">IFERROR(IF(BH213&lt;&gt;"-",BH213/AT213,"-"),"-")</f>
        <v>-</v>
      </c>
      <c r="BW213" s="143" t="str">
        <f t="shared" ref="BW213" si="2592">IFERROR(IF(BI213&lt;&gt;"-",BI213/AU213,"-"),"-")</f>
        <v>-</v>
      </c>
      <c r="BX213" s="143" t="str">
        <f t="shared" ref="BX213" si="2593">IFERROR(IF(BJ213&lt;&gt;"-",BJ213/AV213,"-"),"-")</f>
        <v>-</v>
      </c>
      <c r="BY213" s="143">
        <f t="shared" ref="BY213" si="2594">IFERROR(IF(BK213&lt;&gt;"-",BK213/AW213,"-"),"-")</f>
        <v>9.1453800063071872E-3</v>
      </c>
      <c r="BZ213" s="143" t="str">
        <f t="shared" ref="BZ213" si="2595">IFERROR(IF(BL213&lt;&gt;"-",BL213/AX213,"-"),"-")</f>
        <v>-</v>
      </c>
      <c r="CA213" s="143" t="str">
        <f t="shared" ref="CA213" si="2596">IFERROR(IF(BM213&lt;&gt;"-",BM213/AY213,"-"),"-")</f>
        <v>-</v>
      </c>
      <c r="CB213" s="143" t="str">
        <f t="shared" ref="CB213" si="2597">IFERROR(IF(BN213&lt;&gt;"-",BN213/AZ213,"-"),"-")</f>
        <v>-</v>
      </c>
      <c r="CD213" s="112">
        <f t="shared" ref="CD213" si="2598">IFERROR(AVERAGE(CE213:CP213),"-")</f>
        <v>1337.2532952380952</v>
      </c>
      <c r="CE213" s="95" t="str">
        <f>IFERROR(SUMIFS('01. KE30'!$R:$R,'01. KE30'!$C:$C,'06. BC BH THEO CUSTOMER-USD'!$D213,'01. KE30'!$F:$F,'06. BC BH THEO CUSTOMER-USD'!$H213,'01. KE30'!$A:$A,'06. BC BH THEO CUSTOMER-USD'!CE$4)/CS213/'02. Tỷ giá'!B$5," -")</f>
        <v xml:space="preserve"> -</v>
      </c>
      <c r="CF213" s="95" t="str">
        <f>IFERROR(SUMIFS('01. KE30'!$R:$R,'01. KE30'!$C:$C,'06. BC BH THEO CUSTOMER-USD'!$D213,'01. KE30'!$F:$F,'06. BC BH THEO CUSTOMER-USD'!$H213,'01. KE30'!$A:$A,'06. BC BH THEO CUSTOMER-USD'!CF$4)/CT213/'02. Tỷ giá'!C$5," -")</f>
        <v xml:space="preserve"> -</v>
      </c>
      <c r="CG213" s="95" t="str">
        <f>IFERROR(SUMIFS('01. KE30'!$R:$R,'01. KE30'!$C:$C,'06. BC BH THEO CUSTOMER-USD'!$D213,'01. KE30'!$F:$F,'06. BC BH THEO CUSTOMER-USD'!$H213,'01. KE30'!$A:$A,'06. BC BH THEO CUSTOMER-USD'!CG$4)/CU213/'02. Tỷ giá'!D$5," -")</f>
        <v xml:space="preserve"> -</v>
      </c>
      <c r="CH213" s="95" t="str">
        <f>IFERROR(SUMIFS('01. KE30'!$R:$R,'01. KE30'!$C:$C,'06. BC BH THEO CUSTOMER-USD'!$D213,'01. KE30'!$F:$F,'06. BC BH THEO CUSTOMER-USD'!$H213,'01. KE30'!$A:$A,'06. BC BH THEO CUSTOMER-USD'!CH$4)/CV213/'02. Tỷ giá'!E$5," -")</f>
        <v xml:space="preserve"> -</v>
      </c>
      <c r="CI213" s="95" t="str">
        <f>IFERROR(SUMIFS('01. KE30'!$R:$R,'01. KE30'!$C:$C,'06. BC BH THEO CUSTOMER-USD'!$D213,'01. KE30'!$F:$F,'06. BC BH THEO CUSTOMER-USD'!$H213,'01. KE30'!$A:$A,'06. BC BH THEO CUSTOMER-USD'!CI$4)/CW213/'02. Tỷ giá'!F$5," -")</f>
        <v xml:space="preserve"> -</v>
      </c>
      <c r="CJ213" s="95" t="str">
        <f>IFERROR(SUMIFS('01. KE30'!$R:$R,'01. KE30'!$C:$C,'06. BC BH THEO CUSTOMER-USD'!$D213,'01. KE30'!$F:$F,'06. BC BH THEO CUSTOMER-USD'!$H213,'01. KE30'!$A:$A,'06. BC BH THEO CUSTOMER-USD'!CJ$4)/CX213/'02. Tỷ giá'!G$5," -")</f>
        <v xml:space="preserve"> -</v>
      </c>
      <c r="CK213" s="95" t="str">
        <f>IFERROR(SUMIFS('01. KE30'!$R:$R,'01. KE30'!$C:$C,'06. BC BH THEO CUSTOMER-USD'!$D213,'01. KE30'!$F:$F,'06. BC BH THEO CUSTOMER-USD'!$H213,'01. KE30'!$A:$A,'06. BC BH THEO CUSTOMER-USD'!CK$4)/CY213/'02. Tỷ giá'!H$5," -")</f>
        <v xml:space="preserve"> -</v>
      </c>
      <c r="CL213" s="95" t="str">
        <f>IFERROR(SUMIFS('01. KE30'!$R:$R,'01. KE30'!$C:$C,'06. BC BH THEO CUSTOMER-USD'!$D213,'01. KE30'!$F:$F,'06. BC BH THEO CUSTOMER-USD'!$H213,'01. KE30'!$A:$A,'06. BC BH THEO CUSTOMER-USD'!CL$4)/CZ213/'02. Tỷ giá'!I$5," -")</f>
        <v xml:space="preserve"> -</v>
      </c>
      <c r="CM213" s="95">
        <f>IFERROR(SUMIFS('01. KE30'!$R:$R,'01. KE30'!$C:$C,'06. BC BH THEO CUSTOMER-USD'!$D213,'01. KE30'!$F:$F,'06. BC BH THEO CUSTOMER-USD'!$H213,'01. KE30'!$A:$A,'06. BC BH THEO CUSTOMER-USD'!CM$4)/DA213/'02. Tỷ giá'!J$5," -")</f>
        <v>1337.2532952380952</v>
      </c>
      <c r="CN213" s="95" t="str">
        <f>IFERROR(SUMIFS('01. KE30'!$R:$R,'01. KE30'!$C:$C,'06. BC BH THEO CUSTOMER-USD'!$D213,'01. KE30'!$F:$F,'06. BC BH THEO CUSTOMER-USD'!$H213,'01. KE30'!$A:$A,'06. BC BH THEO CUSTOMER-USD'!CN$4)/DB213/'02. Tỷ giá'!K$5," -")</f>
        <v xml:space="preserve"> -</v>
      </c>
      <c r="CO213" s="95" t="str">
        <f>IFERROR(SUMIFS('01. KE30'!$R:$R,'01. KE30'!$C:$C,'06. BC BH THEO CUSTOMER-USD'!$D213,'01. KE30'!$F:$F,'06. BC BH THEO CUSTOMER-USD'!$H213,'01. KE30'!$A:$A,'06. BC BH THEO CUSTOMER-USD'!CO$4)/DC213/'02. Tỷ giá'!L$5," -")</f>
        <v xml:space="preserve"> -</v>
      </c>
      <c r="CP213" s="95" t="str">
        <f>IFERROR(SUMIFS('01. KE30'!$R:$R,'01. KE30'!$C:$C,'06. BC BH THEO CUSTOMER-USD'!$D213,'01. KE30'!$F:$F,'06. BC BH THEO CUSTOMER-USD'!$H213,'01. KE30'!$A:$A,'06. BC BH THEO CUSTOMER-USD'!CP$4)/DD213/'02. Tỷ giá'!M$5," -")</f>
        <v xml:space="preserve"> -</v>
      </c>
      <c r="CR213" s="112">
        <f t="shared" ref="CR213" si="2599">SUM(CS213:DD213)</f>
        <v>5</v>
      </c>
      <c r="CS213" s="114">
        <f>SUMIFS('01. KE30'!$I:$I,'01. KE30'!$C:$C,'06. BC BH THEO CUSTOMER-USD'!$D213,'01. KE30'!$F:$F,'06. BC BH THEO CUSTOMER-USD'!$H213,'01. KE30'!$A:$A,'06. BC BH THEO CUSTOMER-USD'!CS$4)/1000</f>
        <v>0</v>
      </c>
      <c r="CT213" s="114">
        <f>SUMIFS('01. KE30'!$I:$I,'01. KE30'!$C:$C,'06. BC BH THEO CUSTOMER-USD'!$D213,'01. KE30'!$F:$F,'06. BC BH THEO CUSTOMER-USD'!$H213,'01. KE30'!$A:$A,'06. BC BH THEO CUSTOMER-USD'!CT$4)/1000</f>
        <v>0</v>
      </c>
      <c r="CU213" s="114">
        <f>SUMIFS('01. KE30'!$I:$I,'01. KE30'!$C:$C,'06. BC BH THEO CUSTOMER-USD'!$D213,'01. KE30'!$F:$F,'06. BC BH THEO CUSTOMER-USD'!$H213,'01. KE30'!$A:$A,'06. BC BH THEO CUSTOMER-USD'!CU$4)/1000</f>
        <v>0</v>
      </c>
      <c r="CV213" s="114">
        <f>SUMIFS('01. KE30'!$I:$I,'01. KE30'!$C:$C,'06. BC BH THEO CUSTOMER-USD'!$D213,'01. KE30'!$F:$F,'06. BC BH THEO CUSTOMER-USD'!$H213,'01. KE30'!$A:$A,'06. BC BH THEO CUSTOMER-USD'!CV$4)/1000</f>
        <v>0</v>
      </c>
      <c r="CW213" s="114">
        <f>SUMIFS('01. KE30'!$I:$I,'01. KE30'!$C:$C,'06. BC BH THEO CUSTOMER-USD'!$D213,'01. KE30'!$F:$F,'06. BC BH THEO CUSTOMER-USD'!$H213,'01. KE30'!$A:$A,'06. BC BH THEO CUSTOMER-USD'!CW$4)/1000</f>
        <v>0</v>
      </c>
      <c r="CX213" s="114">
        <f>SUMIFS('01. KE30'!$I:$I,'01. KE30'!$C:$C,'06. BC BH THEO CUSTOMER-USD'!$D213,'01. KE30'!$F:$F,'06. BC BH THEO CUSTOMER-USD'!$H213,'01. KE30'!$A:$A,'06. BC BH THEO CUSTOMER-USD'!CX$4)/1000</f>
        <v>0</v>
      </c>
      <c r="CY213" s="114">
        <f>SUMIFS('01. KE30'!$I:$I,'01. KE30'!$C:$C,'06. BC BH THEO CUSTOMER-USD'!$D213,'01. KE30'!$F:$F,'06. BC BH THEO CUSTOMER-USD'!$H213,'01. KE30'!$A:$A,'06. BC BH THEO CUSTOMER-USD'!CY$4)/1000</f>
        <v>0</v>
      </c>
      <c r="CZ213" s="114">
        <f>SUMIFS('01. KE30'!$I:$I,'01. KE30'!$C:$C,'06. BC BH THEO CUSTOMER-USD'!$D213,'01. KE30'!$F:$F,'06. BC BH THEO CUSTOMER-USD'!$H213,'01. KE30'!$A:$A,'06. BC BH THEO CUSTOMER-USD'!CZ$4)/1000</f>
        <v>0</v>
      </c>
      <c r="DA213" s="114">
        <f>SUMIFS('01. KE30'!$I:$I,'01. KE30'!$C:$C,'06. BC BH THEO CUSTOMER-USD'!$D213,'01. KE30'!$F:$F,'06. BC BH THEO CUSTOMER-USD'!$H213,'01. KE30'!$A:$A,'06. BC BH THEO CUSTOMER-USD'!DA$4)/1000</f>
        <v>5</v>
      </c>
      <c r="DB213" s="114">
        <f>SUMIFS('01. KE30'!$I:$I,'01. KE30'!$C:$C,'06. BC BH THEO CUSTOMER-USD'!$D213,'01. KE30'!$F:$F,'06. BC BH THEO CUSTOMER-USD'!$H213,'01. KE30'!$A:$A,'06. BC BH THEO CUSTOMER-USD'!DB$4)/1000</f>
        <v>0</v>
      </c>
      <c r="DC213" s="114">
        <f>SUMIFS('01. KE30'!$I:$I,'01. KE30'!$C:$C,'06. BC BH THEO CUSTOMER-USD'!$D213,'01. KE30'!$F:$F,'06. BC BH THEO CUSTOMER-USD'!$H213,'01. KE30'!$A:$A,'06. BC BH THEO CUSTOMER-USD'!DC$4)/1000</f>
        <v>0</v>
      </c>
      <c r="DD213" s="114">
        <f>SUMIFS('01. KE30'!$I:$I,'01. KE30'!$C:$C,'06. BC BH THEO CUSTOMER-USD'!$D213,'01. KE30'!$F:$F,'06. BC BH THEO CUSTOMER-USD'!$H213,'01. KE30'!$A:$A,'06. BC BH THEO CUSTOMER-USD'!DD$4)/1000</f>
        <v>0</v>
      </c>
      <c r="DF213" s="112">
        <f t="shared" ref="DF213" si="2600">SUM(DG213:DR213)</f>
        <v>3809.5238095238096</v>
      </c>
      <c r="DG213" s="54" t="str">
        <f t="shared" ref="DG213" si="2601">IFERROR(M213*CS213,"-")</f>
        <v>-</v>
      </c>
      <c r="DH213" s="54" t="str">
        <f t="shared" ref="DH213" si="2602">IFERROR(N213*CT213,"-")</f>
        <v>-</v>
      </c>
      <c r="DI213" s="54" t="str">
        <f t="shared" ref="DI213" si="2603">IFERROR(O213*CU213,"-")</f>
        <v>-</v>
      </c>
      <c r="DJ213" s="54" t="str">
        <f t="shared" ref="DJ213" si="2604">IFERROR(P213*CV213,"-")</f>
        <v>-</v>
      </c>
      <c r="DK213" s="54" t="str">
        <f t="shared" ref="DK213" si="2605">IFERROR(Q213*CW213,"-")</f>
        <v>-</v>
      </c>
      <c r="DL213" s="54" t="str">
        <f t="shared" ref="DL213" si="2606">IFERROR(R213*CX213,"-")</f>
        <v>-</v>
      </c>
      <c r="DM213" s="54" t="str">
        <f t="shared" ref="DM213" si="2607">IFERROR(S213*CY213,"-")</f>
        <v>-</v>
      </c>
      <c r="DN213" s="54" t="str">
        <f t="shared" ref="DN213" si="2608">IFERROR(T213*CZ213,"-")</f>
        <v>-</v>
      </c>
      <c r="DO213" s="54">
        <f t="shared" ref="DO213" si="2609">IFERROR(U213*DA213,"-")</f>
        <v>3809.5238095238096</v>
      </c>
      <c r="DP213" s="54" t="str">
        <f t="shared" ref="DP213" si="2610">IFERROR(V213*DB213,"-")</f>
        <v>-</v>
      </c>
      <c r="DQ213" s="54" t="str">
        <f t="shared" ref="DQ213" si="2611">IFERROR(W213*DC213,"-")</f>
        <v>-</v>
      </c>
      <c r="DR213" s="54" t="str">
        <f t="shared" ref="DR213" si="2612">IFERROR(X213*DD213,"-")</f>
        <v>-</v>
      </c>
      <c r="DT213" s="112">
        <f t="shared" ref="DT213" si="2613">SUM(DU213:EF213)</f>
        <v>-2876.7426666666665</v>
      </c>
      <c r="DU213" s="114">
        <f>IFERROR(SUMIFS('01. KE30'!$X:$X,'01. KE30'!$C:$C,'06. BC BH THEO CUSTOMER-USD'!$D213,'01. KE30'!$F:$F,'06. BC BH THEO CUSTOMER-USD'!$H213,'01. KE30'!$A:$A,'06. BC BH THEO CUSTOMER-USD'!DU$4)-SUMIFS('01. KE30'!$AA:$AA,'01. KE30'!$C:$C,'06. BC BH THEO CUSTOMER-USD'!$D213,'01. KE30'!$F:$F,'06. BC BH THEO CUSTOMER-USD'!$H213,'01. KE30'!$A:$A,'06. BC BH THEO CUSTOMER-USD'!DU$4),"-")</f>
        <v>0</v>
      </c>
      <c r="DV213" s="114">
        <f>IFERROR(SUMIFS('01. KE30'!$X:$X,'01. KE30'!$C:$C,'06. BC BH THEO CUSTOMER-USD'!$D213,'01. KE30'!$F:$F,'06. BC BH THEO CUSTOMER-USD'!$H213,'01. KE30'!$A:$A,'06. BC BH THEO CUSTOMER-USD'!DV$4)-SUMIFS('01. KE30'!$AA:$AA,'01. KE30'!$C:$C,'06. BC BH THEO CUSTOMER-USD'!$D213,'01. KE30'!$F:$F,'06. BC BH THEO CUSTOMER-USD'!$H213,'01. KE30'!$A:$A,'06. BC BH THEO CUSTOMER-USD'!DV$4),"-")</f>
        <v>0</v>
      </c>
      <c r="DW213" s="114">
        <f>IFERROR(SUMIFS('01. KE30'!$X:$X,'01. KE30'!$C:$C,'06. BC BH THEO CUSTOMER-USD'!$D213,'01. KE30'!$F:$F,'06. BC BH THEO CUSTOMER-USD'!$H213,'01. KE30'!$A:$A,'06. BC BH THEO CUSTOMER-USD'!DW$4)-SUMIFS('01. KE30'!$AA:$AA,'01. KE30'!$C:$C,'06. BC BH THEO CUSTOMER-USD'!$D213,'01. KE30'!$F:$F,'06. BC BH THEO CUSTOMER-USD'!$H213,'01. KE30'!$A:$A,'06. BC BH THEO CUSTOMER-USD'!DW$4),"-")</f>
        <v>0</v>
      </c>
      <c r="DX213" s="114">
        <f>IFERROR(SUMIFS('01. KE30'!$X:$X,'01. KE30'!$C:$C,'06. BC BH THEO CUSTOMER-USD'!$D213,'01. KE30'!$F:$F,'06. BC BH THEO CUSTOMER-USD'!$H213,'01. KE30'!$A:$A,'06. BC BH THEO CUSTOMER-USD'!DX$4)-SUMIFS('01. KE30'!$AA:$AA,'01. KE30'!$C:$C,'06. BC BH THEO CUSTOMER-USD'!$D213,'01. KE30'!$F:$F,'06. BC BH THEO CUSTOMER-USD'!$H213,'01. KE30'!$A:$A,'06. BC BH THEO CUSTOMER-USD'!DX$4),"-")</f>
        <v>0</v>
      </c>
      <c r="DY213" s="114">
        <f>IFERROR(SUMIFS('01. KE30'!$X:$X,'01. KE30'!$C:$C,'06. BC BH THEO CUSTOMER-USD'!$D213,'01. KE30'!$F:$F,'06. BC BH THEO CUSTOMER-USD'!$H213,'01. KE30'!$A:$A,'06. BC BH THEO CUSTOMER-USD'!DY$4)-SUMIFS('01. KE30'!$AA:$AA,'01. KE30'!$C:$C,'06. BC BH THEO CUSTOMER-USD'!$D213,'01. KE30'!$F:$F,'06. BC BH THEO CUSTOMER-USD'!$H213,'01. KE30'!$A:$A,'06. BC BH THEO CUSTOMER-USD'!DY$4),"-")</f>
        <v>0</v>
      </c>
      <c r="DZ213" s="114">
        <f>IFERROR(SUMIFS('01. KE30'!$X:$X,'01. KE30'!$C:$C,'06. BC BH THEO CUSTOMER-USD'!$D213,'01. KE30'!$F:$F,'06. BC BH THEO CUSTOMER-USD'!$H213,'01. KE30'!$A:$A,'06. BC BH THEO CUSTOMER-USD'!DZ$4)-SUMIFS('01. KE30'!$AA:$AA,'01. KE30'!$C:$C,'06. BC BH THEO CUSTOMER-USD'!$D213,'01. KE30'!$F:$F,'06. BC BH THEO CUSTOMER-USD'!$H213,'01. KE30'!$A:$A,'06. BC BH THEO CUSTOMER-USD'!DZ$4),"-")</f>
        <v>0</v>
      </c>
      <c r="EA213" s="114">
        <f>IFERROR(SUMIFS('01. KE30'!$X:$X,'01. KE30'!$C:$C,'06. BC BH THEO CUSTOMER-USD'!$D213,'01. KE30'!$F:$F,'06. BC BH THEO CUSTOMER-USD'!$H213,'01. KE30'!$A:$A,'06. BC BH THEO CUSTOMER-USD'!EA$4)-SUMIFS('01. KE30'!$AA:$AA,'01. KE30'!$C:$C,'06. BC BH THEO CUSTOMER-USD'!$D213,'01. KE30'!$F:$F,'06. BC BH THEO CUSTOMER-USD'!$H213,'01. KE30'!$A:$A,'06. BC BH THEO CUSTOMER-USD'!EA$4),"-")</f>
        <v>0</v>
      </c>
      <c r="EB213" s="114">
        <f>IFERROR(SUMIFS('01. KE30'!$X:$X,'01. KE30'!$C:$C,'06. BC BH THEO CUSTOMER-USD'!$D213,'01. KE30'!$F:$F,'06. BC BH THEO CUSTOMER-USD'!$H213,'01. KE30'!$A:$A,'06. BC BH THEO CUSTOMER-USD'!EB$4)-SUMIFS('01. KE30'!$AA:$AA,'01. KE30'!$C:$C,'06. BC BH THEO CUSTOMER-USD'!$D213,'01. KE30'!$F:$F,'06. BC BH THEO CUSTOMER-USD'!$H213,'01. KE30'!$A:$A,'06. BC BH THEO CUSTOMER-USD'!EB$4),"-")</f>
        <v>0</v>
      </c>
      <c r="EC213" s="114">
        <f>IFERROR(SUMIFS('01. KE30'!$X:$X,'01. KE30'!$C:$C,'06. BC BH THEO CUSTOMER-USD'!$D213,'01. KE30'!$F:$F,'06. BC BH THEO CUSTOMER-USD'!$H213,'01. KE30'!$A:$A,'06. BC BH THEO CUSTOMER-USD'!EC$4)-SUMIFS('01. KE30'!$AA:$AA,'01. KE30'!$C:$C,'06. BC BH THEO CUSTOMER-USD'!$D213,'01. KE30'!$F:$F,'06. BC BH THEO CUSTOMER-USD'!$H213,'01. KE30'!$A:$A,'06. BC BH THEO CUSTOMER-USD'!EC$4),"-")</f>
        <v>-2876.7426666666665</v>
      </c>
      <c r="ED213" s="114">
        <f>IFERROR(SUMIFS('01. KE30'!$X:$X,'01. KE30'!$C:$C,'06. BC BH THEO CUSTOMER-USD'!$D213,'01. KE30'!$F:$F,'06. BC BH THEO CUSTOMER-USD'!$H213,'01. KE30'!$A:$A,'06. BC BH THEO CUSTOMER-USD'!ED$4)-SUMIFS('01. KE30'!$AA:$AA,'01. KE30'!$C:$C,'06. BC BH THEO CUSTOMER-USD'!$D213,'01. KE30'!$F:$F,'06. BC BH THEO CUSTOMER-USD'!$H213,'01. KE30'!$A:$A,'06. BC BH THEO CUSTOMER-USD'!ED$4),"-")</f>
        <v>0</v>
      </c>
      <c r="EE213" s="114">
        <f>IFERROR(SUMIFS('01. KE30'!$X:$X,'01. KE30'!$C:$C,'06. BC BH THEO CUSTOMER-USD'!$D213,'01. KE30'!$F:$F,'06. BC BH THEO CUSTOMER-USD'!$H213,'01. KE30'!$A:$A,'06. BC BH THEO CUSTOMER-USD'!EE$4)-SUMIFS('01. KE30'!$AA:$AA,'01. KE30'!$C:$C,'06. BC BH THEO CUSTOMER-USD'!$D213,'01. KE30'!$F:$F,'06. BC BH THEO CUSTOMER-USD'!$H213,'01. KE30'!$A:$A,'06. BC BH THEO CUSTOMER-USD'!EE$4),"-")</f>
        <v>0</v>
      </c>
      <c r="EF213" s="114">
        <f>IFERROR(SUMIFS('01. KE30'!$X:$X,'01. KE30'!$C:$C,'06. BC BH THEO CUSTOMER-USD'!$D213,'01. KE30'!$F:$F,'06. BC BH THEO CUSTOMER-USD'!$H213,'01. KE30'!$A:$A,'06. BC BH THEO CUSTOMER-USD'!EF$4)-SUMIFS('01. KE30'!$AA:$AA,'01. KE30'!$C:$C,'06. BC BH THEO CUSTOMER-USD'!$D213,'01. KE30'!$F:$F,'06. BC BH THEO CUSTOMER-USD'!$H213,'01. KE30'!$A:$A,'06. BC BH THEO CUSTOMER-USD'!EF$4),"-")</f>
        <v>0</v>
      </c>
      <c r="EH213" s="571">
        <f t="shared" ref="EH213" si="2614">IFERROR(DT213/DF213,"-")</f>
        <v>-0.75514494999999993</v>
      </c>
      <c r="EI213" s="572" t="str">
        <f t="shared" ref="EI213" si="2615">IFERROR(DU213/DG213,"-")</f>
        <v>-</v>
      </c>
      <c r="EJ213" s="572" t="str">
        <f t="shared" ref="EJ213" si="2616">IFERROR(DV213/DH213,"-")</f>
        <v>-</v>
      </c>
      <c r="EK213" s="572" t="str">
        <f t="shared" ref="EK213" si="2617">IFERROR(DW213/DI213,"-")</f>
        <v>-</v>
      </c>
      <c r="EL213" s="572" t="str">
        <f t="shared" ref="EL213" si="2618">IFERROR(DX213/DJ213,"-")</f>
        <v>-</v>
      </c>
      <c r="EM213" s="572" t="str">
        <f t="shared" ref="EM213" si="2619">IFERROR(DY213/DK213,"-")</f>
        <v>-</v>
      </c>
      <c r="EN213" s="572" t="str">
        <f t="shared" ref="EN213" si="2620">IFERROR(DZ213/DL213,"-")</f>
        <v>-</v>
      </c>
      <c r="EO213" s="572" t="str">
        <f t="shared" ref="EO213" si="2621">IFERROR(EA213/DM213,"-")</f>
        <v>-</v>
      </c>
      <c r="EP213" s="572" t="str">
        <f t="shared" ref="EP213" si="2622">IFERROR(EB213/DN213,"-")</f>
        <v>-</v>
      </c>
      <c r="EQ213" s="572">
        <f t="shared" ref="EQ213" si="2623">IFERROR(EC213/DO213,"-")</f>
        <v>-0.75514494999999993</v>
      </c>
      <c r="ER213" s="572" t="str">
        <f t="shared" ref="ER213" si="2624">IFERROR(ED213/DP213,"-")</f>
        <v>-</v>
      </c>
      <c r="ES213" s="572" t="str">
        <f t="shared" ref="ES213" si="2625">IFERROR(EE213/DQ213,"-")</f>
        <v>-</v>
      </c>
      <c r="ET213" s="572" t="str">
        <f t="shared" ref="ET213" si="2626">IFERROR(EF213/DR213,"-")</f>
        <v>-</v>
      </c>
    </row>
    <row r="214" spans="1:150" ht="15.5" outlineLevel="1" x14ac:dyDescent="0.35">
      <c r="A214" s="10">
        <f>A212+1</f>
        <v>6</v>
      </c>
      <c r="B214" s="10" t="s">
        <v>23</v>
      </c>
      <c r="C214" s="442" t="s">
        <v>489</v>
      </c>
      <c r="D214" s="9" t="s">
        <v>13</v>
      </c>
      <c r="E214" s="8" t="s">
        <v>12</v>
      </c>
      <c r="F214" s="12" t="s">
        <v>245</v>
      </c>
      <c r="G214" s="12" t="str">
        <f>_xlfn.XLOOKUP(F214,'Quy đổi'!$G$5:$G$32,'Quy đổi'!$H$5:$H$32,0)</f>
        <v>Nội địa</v>
      </c>
      <c r="H214" s="80" t="s">
        <v>11</v>
      </c>
      <c r="I214" s="7" t="s">
        <v>10</v>
      </c>
      <c r="J214" s="69" t="s">
        <v>22</v>
      </c>
      <c r="K214" s="5"/>
      <c r="L214" s="92">
        <f t="shared" si="2499"/>
        <v>1150.1914139424971</v>
      </c>
      <c r="M214" s="106" t="str">
        <f>IFERROR(SUMIFS('01. KE30'!$K:$K,'01. KE30'!$C:$C,'06. BC BH THEO CUSTOMER-USD'!$D214,'01. KE30'!$F:$F,'06. BC BH THEO CUSTOMER-USD'!$H214,'01. KE30'!$A:$A,'06. BC BH THEO CUSTOMER-USD'!M$4)/'06. BC BH THEO CUSTOMER-USD'!CS214/'02. Tỷ giá'!B$5,"-")</f>
        <v>-</v>
      </c>
      <c r="N214" s="106">
        <f>IFERROR(SUMIFS('01. KE30'!$K:$K,'01. KE30'!$C:$C,'06. BC BH THEO CUSTOMER-USD'!$D214,'01. KE30'!$F:$F,'06. BC BH THEO CUSTOMER-USD'!$H214,'01. KE30'!$A:$A,'06. BC BH THEO CUSTOMER-USD'!N$4)/'06. BC BH THEO CUSTOMER-USD'!CT214/'02. Tỷ giá'!C$5,"-")</f>
        <v>1150.1914139424971</v>
      </c>
      <c r="O214" s="106" t="str">
        <f>IFERROR(SUMIFS('01. KE30'!$K:$K,'01. KE30'!$C:$C,'06. BC BH THEO CUSTOMER-USD'!$D214,'01. KE30'!$F:$F,'06. BC BH THEO CUSTOMER-USD'!$H214,'01. KE30'!$A:$A,'06. BC BH THEO CUSTOMER-USD'!O$4)/'06. BC BH THEO CUSTOMER-USD'!CU214/'02. Tỷ giá'!D$5,"-")</f>
        <v>-</v>
      </c>
      <c r="P214" s="106" t="str">
        <f>IFERROR(SUMIFS('01. KE30'!$K:$K,'01. KE30'!$C:$C,'06. BC BH THEO CUSTOMER-USD'!$D214,'01. KE30'!$F:$F,'06. BC BH THEO CUSTOMER-USD'!$H214,'01. KE30'!$A:$A,'06. BC BH THEO CUSTOMER-USD'!P$4)/'06. BC BH THEO CUSTOMER-USD'!CV214/'02. Tỷ giá'!E$5,"-")</f>
        <v>-</v>
      </c>
      <c r="Q214" s="106" t="str">
        <f>IFERROR(SUMIFS('01. KE30'!$K:$K,'01. KE30'!$C:$C,'06. BC BH THEO CUSTOMER-USD'!$D214,'01. KE30'!$F:$F,'06. BC BH THEO CUSTOMER-USD'!$H214,'01. KE30'!$A:$A,'06. BC BH THEO CUSTOMER-USD'!Q$4)/'06. BC BH THEO CUSTOMER-USD'!CW214/'02. Tỷ giá'!F$5,"-")</f>
        <v>-</v>
      </c>
      <c r="R214" s="106" t="str">
        <f>IFERROR(SUMIFS('01. KE30'!$K:$K,'01. KE30'!$C:$C,'06. BC BH THEO CUSTOMER-USD'!$D214,'01. KE30'!$F:$F,'06. BC BH THEO CUSTOMER-USD'!$H214,'01. KE30'!$A:$A,'06. BC BH THEO CUSTOMER-USD'!R$4)/'06. BC BH THEO CUSTOMER-USD'!CX214/'02. Tỷ giá'!G$5,"-")</f>
        <v>-</v>
      </c>
      <c r="S214" s="106" t="str">
        <f>IFERROR(SUMIFS('01. KE30'!$K:$K,'01. KE30'!$C:$C,'06. BC BH THEO CUSTOMER-USD'!$D214,'01. KE30'!$F:$F,'06. BC BH THEO CUSTOMER-USD'!$H214,'01. KE30'!$A:$A,'06. BC BH THEO CUSTOMER-USD'!S$4)/'06. BC BH THEO CUSTOMER-USD'!CY214/'02. Tỷ giá'!H$5,"-")</f>
        <v>-</v>
      </c>
      <c r="T214" s="106" t="str">
        <f>IFERROR(SUMIFS('01. KE30'!$K:$K,'01. KE30'!$C:$C,'06. BC BH THEO CUSTOMER-USD'!$D214,'01. KE30'!$F:$F,'06. BC BH THEO CUSTOMER-USD'!$H214,'01. KE30'!$A:$A,'06. BC BH THEO CUSTOMER-USD'!T$4)/'06. BC BH THEO CUSTOMER-USD'!CZ214/'02. Tỷ giá'!I$5,"-")</f>
        <v>-</v>
      </c>
      <c r="U214" s="106" t="str">
        <f>IFERROR(SUMIFS('01. KE30'!$K:$K,'01. KE30'!$C:$C,'06. BC BH THEO CUSTOMER-USD'!$D214,'01. KE30'!$F:$F,'06. BC BH THEO CUSTOMER-USD'!$H214,'01. KE30'!$A:$A,'06. BC BH THEO CUSTOMER-USD'!U$4)/'06. BC BH THEO CUSTOMER-USD'!DA214/'02. Tỷ giá'!J$5,"-")</f>
        <v>-</v>
      </c>
      <c r="V214" s="106" t="str">
        <f>IFERROR(SUMIFS('01. KE30'!$K:$K,'01. KE30'!$C:$C,'06. BC BH THEO CUSTOMER-USD'!$D214,'01. KE30'!$F:$F,'06. BC BH THEO CUSTOMER-USD'!$H214,'01. KE30'!$A:$A,'06. BC BH THEO CUSTOMER-USD'!V$4)/'06. BC BH THEO CUSTOMER-USD'!DB214/'02. Tỷ giá'!K$5,"-")</f>
        <v>-</v>
      </c>
      <c r="W214" s="106" t="str">
        <f>IFERROR(SUMIFS('01. KE30'!$K:$K,'01. KE30'!$C:$C,'06. BC BH THEO CUSTOMER-USD'!$D214,'01. KE30'!$F:$F,'06. BC BH THEO CUSTOMER-USD'!$H214,'01. KE30'!$A:$A,'06. BC BH THEO CUSTOMER-USD'!W$4)/'06. BC BH THEO CUSTOMER-USD'!DC214/'02. Tỷ giá'!L$5,"-")</f>
        <v>-</v>
      </c>
      <c r="X214" s="106" t="str">
        <f>IFERROR(SUMIFS('01. KE30'!$K:$K,'01. KE30'!$C:$C,'06. BC BH THEO CUSTOMER-USD'!$D214,'01. KE30'!$F:$F,'06. BC BH THEO CUSTOMER-USD'!$H214,'01. KE30'!$A:$A,'06. BC BH THEO CUSTOMER-USD'!X$4)/'06. BC BH THEO CUSTOMER-USD'!DD214/'02. Tỷ giá'!M$5,"-")</f>
        <v>-</v>
      </c>
      <c r="Z214" s="92">
        <f t="shared" si="2565"/>
        <v>1150.1914139424971</v>
      </c>
      <c r="AA214" s="147" t="str">
        <f>IFERROR(SUMIFS('01. KE30'!$O:$O,'01. KE30'!$C:$C,'06. BC BH THEO CUSTOMER-USD'!$D214,'01. KE30'!$F:$F,'06. BC BH THEO CUSTOMER-USD'!$H214,'01. KE30'!$A:$A,'06. BC BH THEO CUSTOMER-USD'!M$4)/'06. BC BH THEO CUSTOMER-USD'!CS214/'02. Tỷ giá'!B$5,"-")</f>
        <v>-</v>
      </c>
      <c r="AB214" s="147">
        <f>IFERROR(SUMIFS('01. KE30'!$O:$O,'01. KE30'!$C:$C,'06. BC BH THEO CUSTOMER-USD'!$D214,'01. KE30'!$F:$F,'06. BC BH THEO CUSTOMER-USD'!$H214,'01. KE30'!$A:$A,'06. BC BH THEO CUSTOMER-USD'!N$4)/'06. BC BH THEO CUSTOMER-USD'!CT214/'02. Tỷ giá'!C$5,"-")</f>
        <v>1150.1914139424971</v>
      </c>
      <c r="AC214" s="147" t="str">
        <f>IFERROR(SUMIFS('01. KE30'!$O:$O,'01. KE30'!$C:$C,'06. BC BH THEO CUSTOMER-USD'!$D214,'01. KE30'!$F:$F,'06. BC BH THEO CUSTOMER-USD'!$H214,'01. KE30'!$A:$A,'06. BC BH THEO CUSTOMER-USD'!O$4)/'06. BC BH THEO CUSTOMER-USD'!CU214/'02. Tỷ giá'!D$5,"-")</f>
        <v>-</v>
      </c>
      <c r="AD214" s="147" t="str">
        <f>IFERROR(SUMIFS('01. KE30'!$O:$O,'01. KE30'!$C:$C,'06. BC BH THEO CUSTOMER-USD'!$D214,'01. KE30'!$F:$F,'06. BC BH THEO CUSTOMER-USD'!$H214,'01. KE30'!$A:$A,'06. BC BH THEO CUSTOMER-USD'!P$4)/'06. BC BH THEO CUSTOMER-USD'!CV214/'02. Tỷ giá'!E$5,"-")</f>
        <v>-</v>
      </c>
      <c r="AE214" s="147" t="str">
        <f>IFERROR(SUMIFS('01. KE30'!$O:$O,'01. KE30'!$C:$C,'06. BC BH THEO CUSTOMER-USD'!$D214,'01. KE30'!$F:$F,'06. BC BH THEO CUSTOMER-USD'!$H214,'01. KE30'!$A:$A,'06. BC BH THEO CUSTOMER-USD'!Q$4)/'06. BC BH THEO CUSTOMER-USD'!CW214/'02. Tỷ giá'!F$5,"-")</f>
        <v>-</v>
      </c>
      <c r="AF214" s="147" t="str">
        <f>IFERROR(SUMIFS('01. KE30'!$O:$O,'01. KE30'!$C:$C,'06. BC BH THEO CUSTOMER-USD'!$D214,'01. KE30'!$F:$F,'06. BC BH THEO CUSTOMER-USD'!$H214,'01. KE30'!$A:$A,'06. BC BH THEO CUSTOMER-USD'!R$4)/'06. BC BH THEO CUSTOMER-USD'!CX214/'02. Tỷ giá'!G$5,"-")</f>
        <v>-</v>
      </c>
      <c r="AG214" s="147" t="str">
        <f>IFERROR(SUMIFS('01. KE30'!$O:$O,'01. KE30'!$C:$C,'06. BC BH THEO CUSTOMER-USD'!$D214,'01. KE30'!$F:$F,'06. BC BH THEO CUSTOMER-USD'!$H214,'01. KE30'!$A:$A,'06. BC BH THEO CUSTOMER-USD'!S$4)/'06. BC BH THEO CUSTOMER-USD'!CY214/'02. Tỷ giá'!H$5,"-")</f>
        <v>-</v>
      </c>
      <c r="AH214" s="147" t="str">
        <f>IFERROR(SUMIFS('01. KE30'!$O:$O,'01. KE30'!$C:$C,'06. BC BH THEO CUSTOMER-USD'!$D214,'01. KE30'!$F:$F,'06. BC BH THEO CUSTOMER-USD'!$H214,'01. KE30'!$A:$A,'06. BC BH THEO CUSTOMER-USD'!T$4)/'06. BC BH THEO CUSTOMER-USD'!CZ214/'02. Tỷ giá'!I$5,"-")</f>
        <v>-</v>
      </c>
      <c r="AI214" s="147" t="str">
        <f>IFERROR(SUMIFS('01. KE30'!$O:$O,'01. KE30'!$C:$C,'06. BC BH THEO CUSTOMER-USD'!$D214,'01. KE30'!$F:$F,'06. BC BH THEO CUSTOMER-USD'!$H214,'01. KE30'!$A:$A,'06. BC BH THEO CUSTOMER-USD'!U$4)/'06. BC BH THEO CUSTOMER-USD'!DA214/'02. Tỷ giá'!J$5,"-")</f>
        <v>-</v>
      </c>
      <c r="AJ214" s="147" t="str">
        <f>IFERROR(SUMIFS('01. KE30'!$O:$O,'01. KE30'!$C:$C,'06. BC BH THEO CUSTOMER-USD'!$D214,'01. KE30'!$F:$F,'06. BC BH THEO CUSTOMER-USD'!$H214,'01. KE30'!$A:$A,'06. BC BH THEO CUSTOMER-USD'!V$4)/'06. BC BH THEO CUSTOMER-USD'!DB214/'02. Tỷ giá'!K$5,"-")</f>
        <v>-</v>
      </c>
      <c r="AK214" s="147" t="str">
        <f>IFERROR(SUMIFS('01. KE30'!$O:$O,'01. KE30'!$C:$C,'06. BC BH THEO CUSTOMER-USD'!$D214,'01. KE30'!$F:$F,'06. BC BH THEO CUSTOMER-USD'!$H214,'01. KE30'!$A:$A,'06. BC BH THEO CUSTOMER-USD'!W$4)/'06. BC BH THEO CUSTOMER-USD'!DC214/'02. Tỷ giá'!L$5,"-")</f>
        <v>-</v>
      </c>
      <c r="AL214" s="147" t="str">
        <f>IFERROR(SUMIFS('01. KE30'!$O:$O,'01. KE30'!$C:$C,'06. BC BH THEO CUSTOMER-USD'!$D214,'01. KE30'!$F:$F,'06. BC BH THEO CUSTOMER-USD'!$H214,'01. KE30'!$A:$A,'06. BC BH THEO CUSTOMER-USD'!X$4)/'06. BC BH THEO CUSTOMER-USD'!DD214/'02. Tỷ giá'!M$5,"-")</f>
        <v>-</v>
      </c>
      <c r="AN214" s="92">
        <f t="shared" si="2566"/>
        <v>815.55555555555554</v>
      </c>
      <c r="AO214" s="4">
        <v>900</v>
      </c>
      <c r="AP214" s="4">
        <v>820</v>
      </c>
      <c r="AQ214" s="4">
        <v>840</v>
      </c>
      <c r="AR214" s="4">
        <v>835</v>
      </c>
      <c r="AS214" s="4">
        <v>815</v>
      </c>
      <c r="AT214" s="4">
        <v>815</v>
      </c>
      <c r="AU214" s="4">
        <v>790</v>
      </c>
      <c r="AV214" s="4">
        <f t="shared" si="2518"/>
        <v>770</v>
      </c>
      <c r="AW214" s="4">
        <v>755</v>
      </c>
      <c r="AX214" s="4"/>
      <c r="AY214" s="4"/>
      <c r="AZ214" s="4"/>
      <c r="BB214" s="95">
        <f t="shared" si="2122"/>
        <v>334.63585838694155</v>
      </c>
      <c r="BC214" s="95" t="str">
        <f t="shared" si="2123"/>
        <v>-</v>
      </c>
      <c r="BD214" s="95">
        <f t="shared" si="2108"/>
        <v>330.19141394249709</v>
      </c>
      <c r="BE214" s="95" t="str">
        <f t="shared" si="2108"/>
        <v>-</v>
      </c>
      <c r="BF214" s="95" t="str">
        <f t="shared" si="2108"/>
        <v>-</v>
      </c>
      <c r="BG214" s="95" t="str">
        <f t="shared" si="2108"/>
        <v>-</v>
      </c>
      <c r="BH214" s="95" t="str">
        <f t="shared" si="2108"/>
        <v>-</v>
      </c>
      <c r="BI214" s="95" t="str">
        <f t="shared" si="2108"/>
        <v>-</v>
      </c>
      <c r="BJ214" s="95" t="str">
        <f t="shared" si="2108"/>
        <v>-</v>
      </c>
      <c r="BK214" s="95" t="str">
        <f t="shared" si="2108"/>
        <v>-</v>
      </c>
      <c r="BL214" s="95" t="str">
        <f t="shared" si="2108"/>
        <v>-</v>
      </c>
      <c r="BM214" s="95" t="str">
        <f t="shared" si="2108"/>
        <v>-</v>
      </c>
      <c r="BN214" s="95" t="str">
        <f t="shared" si="2108"/>
        <v>-</v>
      </c>
      <c r="BP214" s="143">
        <f t="shared" si="2124"/>
        <v>0.41031644761341607</v>
      </c>
      <c r="BQ214" s="143" t="str">
        <f t="shared" si="2109"/>
        <v>-</v>
      </c>
      <c r="BR214" s="143">
        <f t="shared" si="2110"/>
        <v>0.40267245602743545</v>
      </c>
      <c r="BS214" s="143" t="str">
        <f t="shared" si="2111"/>
        <v>-</v>
      </c>
      <c r="BT214" s="143" t="str">
        <f t="shared" si="2112"/>
        <v>-</v>
      </c>
      <c r="BU214" s="143" t="str">
        <f t="shared" si="2113"/>
        <v>-</v>
      </c>
      <c r="BV214" s="143" t="str">
        <f t="shared" si="2114"/>
        <v>-</v>
      </c>
      <c r="BW214" s="143" t="str">
        <f t="shared" si="2115"/>
        <v>-</v>
      </c>
      <c r="BX214" s="143" t="str">
        <f t="shared" si="2116"/>
        <v>-</v>
      </c>
      <c r="BY214" s="143" t="str">
        <f t="shared" si="2117"/>
        <v>-</v>
      </c>
      <c r="BZ214" s="143" t="str">
        <f t="shared" si="2118"/>
        <v>-</v>
      </c>
      <c r="CA214" s="143" t="str">
        <f t="shared" si="2119"/>
        <v>-</v>
      </c>
      <c r="CB214" s="143" t="str">
        <f t="shared" si="2120"/>
        <v>-</v>
      </c>
      <c r="CD214" s="112">
        <f t="shared" si="2500"/>
        <v>843.9138243402914</v>
      </c>
      <c r="CE214" s="95" t="str">
        <f>IFERROR(SUMIFS('01. KE30'!$R:$R,'01. KE30'!$C:$C,'06. BC BH THEO CUSTOMER-USD'!$D214,'01. KE30'!$F:$F,'06. BC BH THEO CUSTOMER-USD'!$H214,'01. KE30'!$A:$A,'06. BC BH THEO CUSTOMER-USD'!CE$4)/CS214/'02. Tỷ giá'!B$5," -")</f>
        <v xml:space="preserve"> -</v>
      </c>
      <c r="CF214" s="95">
        <f>IFERROR(SUMIFS('01. KE30'!$R:$R,'01. KE30'!$C:$C,'06. BC BH THEO CUSTOMER-USD'!$D214,'01. KE30'!$F:$F,'06. BC BH THEO CUSTOMER-USD'!$H214,'01. KE30'!$A:$A,'06. BC BH THEO CUSTOMER-USD'!CF$4)/CT214/'02. Tỷ giá'!C$5," -")</f>
        <v>843.9138243402914</v>
      </c>
      <c r="CG214" s="95" t="str">
        <f>IFERROR(SUMIFS('01. KE30'!$R:$R,'01. KE30'!$C:$C,'06. BC BH THEO CUSTOMER-USD'!$D214,'01. KE30'!$F:$F,'06. BC BH THEO CUSTOMER-USD'!$H214,'01. KE30'!$A:$A,'06. BC BH THEO CUSTOMER-USD'!CG$4)/CU214/'02. Tỷ giá'!D$5," -")</f>
        <v xml:space="preserve"> -</v>
      </c>
      <c r="CH214" s="95" t="str">
        <f>IFERROR(SUMIFS('01. KE30'!$R:$R,'01. KE30'!$C:$C,'06. BC BH THEO CUSTOMER-USD'!$D214,'01. KE30'!$F:$F,'06. BC BH THEO CUSTOMER-USD'!$H214,'01. KE30'!$A:$A,'06. BC BH THEO CUSTOMER-USD'!CH$4)/CV214/'02. Tỷ giá'!E$5," -")</f>
        <v xml:space="preserve"> -</v>
      </c>
      <c r="CI214" s="95" t="str">
        <f>IFERROR(SUMIFS('01. KE30'!$R:$R,'01. KE30'!$C:$C,'06. BC BH THEO CUSTOMER-USD'!$D214,'01. KE30'!$F:$F,'06. BC BH THEO CUSTOMER-USD'!$H214,'01. KE30'!$A:$A,'06. BC BH THEO CUSTOMER-USD'!CI$4)/CW214/'02. Tỷ giá'!F$5," -")</f>
        <v xml:space="preserve"> -</v>
      </c>
      <c r="CJ214" s="95" t="str">
        <f>IFERROR(SUMIFS('01. KE30'!$R:$R,'01. KE30'!$C:$C,'06. BC BH THEO CUSTOMER-USD'!$D214,'01. KE30'!$F:$F,'06. BC BH THEO CUSTOMER-USD'!$H214,'01. KE30'!$A:$A,'06. BC BH THEO CUSTOMER-USD'!CJ$4)/CX214/'02. Tỷ giá'!G$5," -")</f>
        <v xml:space="preserve"> -</v>
      </c>
      <c r="CK214" s="95" t="str">
        <f>IFERROR(SUMIFS('01. KE30'!$R:$R,'01. KE30'!$C:$C,'06. BC BH THEO CUSTOMER-USD'!$D214,'01. KE30'!$F:$F,'06. BC BH THEO CUSTOMER-USD'!$H214,'01. KE30'!$A:$A,'06. BC BH THEO CUSTOMER-USD'!CK$4)/CY214/'02. Tỷ giá'!H$5," -")</f>
        <v xml:space="preserve"> -</v>
      </c>
      <c r="CL214" s="95" t="str">
        <f>IFERROR(SUMIFS('01. KE30'!$R:$R,'01. KE30'!$C:$C,'06. BC BH THEO CUSTOMER-USD'!$D214,'01. KE30'!$F:$F,'06. BC BH THEO CUSTOMER-USD'!$H214,'01. KE30'!$A:$A,'06. BC BH THEO CUSTOMER-USD'!CL$4)/CZ214/'02. Tỷ giá'!I$5," -")</f>
        <v xml:space="preserve"> -</v>
      </c>
      <c r="CM214" s="95" t="str">
        <f>IFERROR(SUMIFS('01. KE30'!$R:$R,'01. KE30'!$C:$C,'06. BC BH THEO CUSTOMER-USD'!$D214,'01. KE30'!$F:$F,'06. BC BH THEO CUSTOMER-USD'!$H214,'01. KE30'!$A:$A,'06. BC BH THEO CUSTOMER-USD'!CM$4)/DA214/'02. Tỷ giá'!J$5," -")</f>
        <v xml:space="preserve"> -</v>
      </c>
      <c r="CN214" s="95" t="str">
        <f>IFERROR(SUMIFS('01. KE30'!$R:$R,'01. KE30'!$C:$C,'06. BC BH THEO CUSTOMER-USD'!$D214,'01. KE30'!$F:$F,'06. BC BH THEO CUSTOMER-USD'!$H214,'01. KE30'!$A:$A,'06. BC BH THEO CUSTOMER-USD'!CN$4)/DB214/'02. Tỷ giá'!K$5," -")</f>
        <v xml:space="preserve"> -</v>
      </c>
      <c r="CO214" s="95" t="str">
        <f>IFERROR(SUMIFS('01. KE30'!$R:$R,'01. KE30'!$C:$C,'06. BC BH THEO CUSTOMER-USD'!$D214,'01. KE30'!$F:$F,'06. BC BH THEO CUSTOMER-USD'!$H214,'01. KE30'!$A:$A,'06. BC BH THEO CUSTOMER-USD'!CO$4)/DC214/'02. Tỷ giá'!L$5," -")</f>
        <v xml:space="preserve"> -</v>
      </c>
      <c r="CP214" s="95" t="str">
        <f>IFERROR(SUMIFS('01. KE30'!$R:$R,'01. KE30'!$C:$C,'06. BC BH THEO CUSTOMER-USD'!$D214,'01. KE30'!$F:$F,'06. BC BH THEO CUSTOMER-USD'!$H214,'01. KE30'!$A:$A,'06. BC BH THEO CUSTOMER-USD'!CP$4)/DD214/'02. Tỷ giá'!M$5," -")</f>
        <v xml:space="preserve"> -</v>
      </c>
      <c r="CR214" s="112">
        <f t="shared" si="2567"/>
        <v>0.5</v>
      </c>
      <c r="CS214" s="114">
        <f>SUMIFS('01. KE30'!$I:$I,'01. KE30'!$C:$C,'06. BC BH THEO CUSTOMER-USD'!$D214,'01. KE30'!$F:$F,'06. BC BH THEO CUSTOMER-USD'!$H214,'01. KE30'!$A:$A,'06. BC BH THEO CUSTOMER-USD'!CS$4)/1000</f>
        <v>0</v>
      </c>
      <c r="CT214" s="114">
        <f>SUMIFS('01. KE30'!$I:$I,'01. KE30'!$C:$C,'06. BC BH THEO CUSTOMER-USD'!$D214,'01. KE30'!$F:$F,'06. BC BH THEO CUSTOMER-USD'!$H214,'01. KE30'!$A:$A,'06. BC BH THEO CUSTOMER-USD'!CT$4)/1000</f>
        <v>0.5</v>
      </c>
      <c r="CU214" s="114">
        <f>SUMIFS('01. KE30'!$I:$I,'01. KE30'!$C:$C,'06. BC BH THEO CUSTOMER-USD'!$D214,'01. KE30'!$F:$F,'06. BC BH THEO CUSTOMER-USD'!$H214,'01. KE30'!$A:$A,'06. BC BH THEO CUSTOMER-USD'!CU$4)/1000</f>
        <v>0</v>
      </c>
      <c r="CV214" s="114">
        <f>SUMIFS('01. KE30'!$I:$I,'01. KE30'!$C:$C,'06. BC BH THEO CUSTOMER-USD'!$D214,'01. KE30'!$F:$F,'06. BC BH THEO CUSTOMER-USD'!$H214,'01. KE30'!$A:$A,'06. BC BH THEO CUSTOMER-USD'!CV$4)/1000</f>
        <v>0</v>
      </c>
      <c r="CW214" s="114">
        <f>SUMIFS('01. KE30'!$I:$I,'01. KE30'!$C:$C,'06. BC BH THEO CUSTOMER-USD'!$D214,'01. KE30'!$F:$F,'06. BC BH THEO CUSTOMER-USD'!$H214,'01. KE30'!$A:$A,'06. BC BH THEO CUSTOMER-USD'!CW$4)/1000</f>
        <v>0</v>
      </c>
      <c r="CX214" s="114">
        <f>SUMIFS('01. KE30'!$I:$I,'01. KE30'!$C:$C,'06. BC BH THEO CUSTOMER-USD'!$D214,'01. KE30'!$F:$F,'06. BC BH THEO CUSTOMER-USD'!$H214,'01. KE30'!$A:$A,'06. BC BH THEO CUSTOMER-USD'!CX$4)/1000</f>
        <v>0</v>
      </c>
      <c r="CY214" s="114">
        <f>SUMIFS('01. KE30'!$I:$I,'01. KE30'!$C:$C,'06. BC BH THEO CUSTOMER-USD'!$D214,'01. KE30'!$F:$F,'06. BC BH THEO CUSTOMER-USD'!$H214,'01. KE30'!$A:$A,'06. BC BH THEO CUSTOMER-USD'!CY$4)/1000</f>
        <v>0</v>
      </c>
      <c r="CZ214" s="114">
        <f>SUMIFS('01. KE30'!$I:$I,'01. KE30'!$C:$C,'06. BC BH THEO CUSTOMER-USD'!$D214,'01. KE30'!$F:$F,'06. BC BH THEO CUSTOMER-USD'!$H214,'01. KE30'!$A:$A,'06. BC BH THEO CUSTOMER-USD'!CZ$4)/1000</f>
        <v>0</v>
      </c>
      <c r="DA214" s="114">
        <f>SUMIFS('01. KE30'!$I:$I,'01. KE30'!$C:$C,'06. BC BH THEO CUSTOMER-USD'!$D214,'01. KE30'!$F:$F,'06. BC BH THEO CUSTOMER-USD'!$H214,'01. KE30'!$A:$A,'06. BC BH THEO CUSTOMER-USD'!DA$4)/1000</f>
        <v>0</v>
      </c>
      <c r="DB214" s="114">
        <f>SUMIFS('01. KE30'!$I:$I,'01. KE30'!$C:$C,'06. BC BH THEO CUSTOMER-USD'!$D214,'01. KE30'!$F:$F,'06. BC BH THEO CUSTOMER-USD'!$H214,'01. KE30'!$A:$A,'06. BC BH THEO CUSTOMER-USD'!DB$4)/1000</f>
        <v>0</v>
      </c>
      <c r="DC214" s="114">
        <f>SUMIFS('01. KE30'!$I:$I,'01. KE30'!$C:$C,'06. BC BH THEO CUSTOMER-USD'!$D214,'01. KE30'!$F:$F,'06. BC BH THEO CUSTOMER-USD'!$H214,'01. KE30'!$A:$A,'06. BC BH THEO CUSTOMER-USD'!DC$4)/1000</f>
        <v>0</v>
      </c>
      <c r="DD214" s="114">
        <f>SUMIFS('01. KE30'!$I:$I,'01. KE30'!$C:$C,'06. BC BH THEO CUSTOMER-USD'!$D214,'01. KE30'!$F:$F,'06. BC BH THEO CUSTOMER-USD'!$H214,'01. KE30'!$A:$A,'06. BC BH THEO CUSTOMER-USD'!DD$4)/1000</f>
        <v>0</v>
      </c>
      <c r="DF214" s="112">
        <f t="shared" si="2502"/>
        <v>575.09570697124855</v>
      </c>
      <c r="DG214" s="54" t="str">
        <f t="shared" si="2503"/>
        <v>-</v>
      </c>
      <c r="DH214" s="54">
        <f t="shared" si="2504"/>
        <v>575.09570697124855</v>
      </c>
      <c r="DI214" s="54" t="str">
        <f t="shared" si="2505"/>
        <v>-</v>
      </c>
      <c r="DJ214" s="54" t="str">
        <f t="shared" si="2506"/>
        <v>-</v>
      </c>
      <c r="DK214" s="54" t="str">
        <f t="shared" si="2507"/>
        <v>-</v>
      </c>
      <c r="DL214" s="54" t="str">
        <f t="shared" si="2508"/>
        <v>-</v>
      </c>
      <c r="DM214" s="54" t="str">
        <f t="shared" si="2509"/>
        <v>-</v>
      </c>
      <c r="DN214" s="54" t="str">
        <f t="shared" si="2510"/>
        <v>-</v>
      </c>
      <c r="DO214" s="54" t="str">
        <f t="shared" si="2511"/>
        <v>-</v>
      </c>
      <c r="DP214" s="54" t="str">
        <f t="shared" si="2512"/>
        <v>-</v>
      </c>
      <c r="DQ214" s="54" t="str">
        <f t="shared" si="2513"/>
        <v>-</v>
      </c>
      <c r="DR214" s="54" t="str">
        <f t="shared" si="2514"/>
        <v>-</v>
      </c>
      <c r="DT214" s="112">
        <f t="shared" si="2515"/>
        <v>153.13879480110285</v>
      </c>
      <c r="DU214" s="114">
        <f>IFERROR(SUMIFS('01. KE30'!$X:$X,'01. KE30'!$C:$C,'06. BC BH THEO CUSTOMER-USD'!$D214,'01. KE30'!$F:$F,'06. BC BH THEO CUSTOMER-USD'!$H214,'01. KE30'!$A:$A,'06. BC BH THEO CUSTOMER-USD'!DU$4)-SUMIFS('01. KE30'!$AA:$AA,'01. KE30'!$C:$C,'06. BC BH THEO CUSTOMER-USD'!$D214,'01. KE30'!$F:$F,'06. BC BH THEO CUSTOMER-USD'!$H214,'01. KE30'!$A:$A,'06. BC BH THEO CUSTOMER-USD'!DU$4),"-")</f>
        <v>0</v>
      </c>
      <c r="DV214" s="114">
        <f>IFERROR(SUMIFS('01. KE30'!$X:$X,'01. KE30'!$C:$C,'06. BC BH THEO CUSTOMER-USD'!$D214,'01. KE30'!$F:$F,'06. BC BH THEO CUSTOMER-USD'!$H214,'01. KE30'!$A:$A,'06. BC BH THEO CUSTOMER-USD'!DV$4)-SUMIFS('01. KE30'!$AA:$AA,'01. KE30'!$C:$C,'06. BC BH THEO CUSTOMER-USD'!$D214,'01. KE30'!$F:$F,'06. BC BH THEO CUSTOMER-USD'!$H214,'01. KE30'!$A:$A,'06. BC BH THEO CUSTOMER-USD'!DV$4),"-")</f>
        <v>153.13879480110285</v>
      </c>
      <c r="DW214" s="114">
        <f>IFERROR(SUMIFS('01. KE30'!$X:$X,'01. KE30'!$C:$C,'06. BC BH THEO CUSTOMER-USD'!$D214,'01. KE30'!$F:$F,'06. BC BH THEO CUSTOMER-USD'!$H214,'01. KE30'!$A:$A,'06. BC BH THEO CUSTOMER-USD'!DW$4)-SUMIFS('01. KE30'!$AA:$AA,'01. KE30'!$C:$C,'06. BC BH THEO CUSTOMER-USD'!$D214,'01. KE30'!$F:$F,'06. BC BH THEO CUSTOMER-USD'!$H214,'01. KE30'!$A:$A,'06. BC BH THEO CUSTOMER-USD'!DW$4),"-")</f>
        <v>0</v>
      </c>
      <c r="DX214" s="114">
        <f>IFERROR(SUMIFS('01. KE30'!$X:$X,'01. KE30'!$C:$C,'06. BC BH THEO CUSTOMER-USD'!$D214,'01. KE30'!$F:$F,'06. BC BH THEO CUSTOMER-USD'!$H214,'01. KE30'!$A:$A,'06. BC BH THEO CUSTOMER-USD'!DX$4)-SUMIFS('01. KE30'!$AA:$AA,'01. KE30'!$C:$C,'06. BC BH THEO CUSTOMER-USD'!$D214,'01. KE30'!$F:$F,'06. BC BH THEO CUSTOMER-USD'!$H214,'01. KE30'!$A:$A,'06. BC BH THEO CUSTOMER-USD'!DX$4),"-")</f>
        <v>0</v>
      </c>
      <c r="DY214" s="114">
        <f>IFERROR(SUMIFS('01. KE30'!$X:$X,'01. KE30'!$C:$C,'06. BC BH THEO CUSTOMER-USD'!$D214,'01. KE30'!$F:$F,'06. BC BH THEO CUSTOMER-USD'!$H214,'01. KE30'!$A:$A,'06. BC BH THEO CUSTOMER-USD'!DY$4)-SUMIFS('01. KE30'!$AA:$AA,'01. KE30'!$C:$C,'06. BC BH THEO CUSTOMER-USD'!$D214,'01. KE30'!$F:$F,'06. BC BH THEO CUSTOMER-USD'!$H214,'01. KE30'!$A:$A,'06. BC BH THEO CUSTOMER-USD'!DY$4),"-")</f>
        <v>0</v>
      </c>
      <c r="DZ214" s="114">
        <f>IFERROR(SUMIFS('01. KE30'!$X:$X,'01. KE30'!$C:$C,'06. BC BH THEO CUSTOMER-USD'!$D214,'01. KE30'!$F:$F,'06. BC BH THEO CUSTOMER-USD'!$H214,'01. KE30'!$A:$A,'06. BC BH THEO CUSTOMER-USD'!DZ$4)-SUMIFS('01. KE30'!$AA:$AA,'01. KE30'!$C:$C,'06. BC BH THEO CUSTOMER-USD'!$D214,'01. KE30'!$F:$F,'06. BC BH THEO CUSTOMER-USD'!$H214,'01. KE30'!$A:$A,'06. BC BH THEO CUSTOMER-USD'!DZ$4),"-")</f>
        <v>0</v>
      </c>
      <c r="EA214" s="114">
        <f>IFERROR(SUMIFS('01. KE30'!$X:$X,'01. KE30'!$C:$C,'06. BC BH THEO CUSTOMER-USD'!$D214,'01. KE30'!$F:$F,'06. BC BH THEO CUSTOMER-USD'!$H214,'01. KE30'!$A:$A,'06. BC BH THEO CUSTOMER-USD'!EA$4)-SUMIFS('01. KE30'!$AA:$AA,'01. KE30'!$C:$C,'06. BC BH THEO CUSTOMER-USD'!$D214,'01. KE30'!$F:$F,'06. BC BH THEO CUSTOMER-USD'!$H214,'01. KE30'!$A:$A,'06. BC BH THEO CUSTOMER-USD'!EA$4),"-")</f>
        <v>0</v>
      </c>
      <c r="EB214" s="114">
        <f>IFERROR(SUMIFS('01. KE30'!$X:$X,'01. KE30'!$C:$C,'06. BC BH THEO CUSTOMER-USD'!$D214,'01. KE30'!$F:$F,'06. BC BH THEO CUSTOMER-USD'!$H214,'01. KE30'!$A:$A,'06. BC BH THEO CUSTOMER-USD'!EB$4)-SUMIFS('01. KE30'!$AA:$AA,'01. KE30'!$C:$C,'06. BC BH THEO CUSTOMER-USD'!$D214,'01. KE30'!$F:$F,'06. BC BH THEO CUSTOMER-USD'!$H214,'01. KE30'!$A:$A,'06. BC BH THEO CUSTOMER-USD'!EB$4),"-")</f>
        <v>0</v>
      </c>
      <c r="EC214" s="114">
        <f>IFERROR(SUMIFS('01. KE30'!$X:$X,'01. KE30'!$C:$C,'06. BC BH THEO CUSTOMER-USD'!$D214,'01. KE30'!$F:$F,'06. BC BH THEO CUSTOMER-USD'!$H214,'01. KE30'!$A:$A,'06. BC BH THEO CUSTOMER-USD'!EC$4)-SUMIFS('01. KE30'!$AA:$AA,'01. KE30'!$C:$C,'06. BC BH THEO CUSTOMER-USD'!$D214,'01. KE30'!$F:$F,'06. BC BH THEO CUSTOMER-USD'!$H214,'01. KE30'!$A:$A,'06. BC BH THEO CUSTOMER-USD'!EC$4),"-")</f>
        <v>0</v>
      </c>
      <c r="ED214" s="114">
        <f>IFERROR(SUMIFS('01. KE30'!$X:$X,'01. KE30'!$C:$C,'06. BC BH THEO CUSTOMER-USD'!$D214,'01. KE30'!$F:$F,'06. BC BH THEO CUSTOMER-USD'!$H214,'01. KE30'!$A:$A,'06. BC BH THEO CUSTOMER-USD'!ED$4)-SUMIFS('01. KE30'!$AA:$AA,'01. KE30'!$C:$C,'06. BC BH THEO CUSTOMER-USD'!$D214,'01. KE30'!$F:$F,'06. BC BH THEO CUSTOMER-USD'!$H214,'01. KE30'!$A:$A,'06. BC BH THEO CUSTOMER-USD'!ED$4),"-")</f>
        <v>0</v>
      </c>
      <c r="EE214" s="114">
        <f>IFERROR(SUMIFS('01. KE30'!$X:$X,'01. KE30'!$C:$C,'06. BC BH THEO CUSTOMER-USD'!$D214,'01. KE30'!$F:$F,'06. BC BH THEO CUSTOMER-USD'!$H214,'01. KE30'!$A:$A,'06. BC BH THEO CUSTOMER-USD'!EE$4)-SUMIFS('01. KE30'!$AA:$AA,'01. KE30'!$C:$C,'06. BC BH THEO CUSTOMER-USD'!$D214,'01. KE30'!$F:$F,'06. BC BH THEO CUSTOMER-USD'!$H214,'01. KE30'!$A:$A,'06. BC BH THEO CUSTOMER-USD'!EE$4),"-")</f>
        <v>0</v>
      </c>
      <c r="EF214" s="114">
        <f>IFERROR(SUMIFS('01. KE30'!$X:$X,'01. KE30'!$C:$C,'06. BC BH THEO CUSTOMER-USD'!$D214,'01. KE30'!$F:$F,'06. BC BH THEO CUSTOMER-USD'!$H214,'01. KE30'!$A:$A,'06. BC BH THEO CUSTOMER-USD'!EF$4)-SUMIFS('01. KE30'!$AA:$AA,'01. KE30'!$C:$C,'06. BC BH THEO CUSTOMER-USD'!$D214,'01. KE30'!$F:$F,'06. BC BH THEO CUSTOMER-USD'!$H214,'01. KE30'!$A:$A,'06. BC BH THEO CUSTOMER-USD'!EF$4),"-")</f>
        <v>0</v>
      </c>
      <c r="EH214" s="571">
        <f t="shared" si="1737"/>
        <v>0.26628401663370249</v>
      </c>
      <c r="EI214" s="572" t="str">
        <f t="shared" si="1738"/>
        <v>-</v>
      </c>
      <c r="EJ214" s="572">
        <f t="shared" si="1739"/>
        <v>0.26628401663370249</v>
      </c>
      <c r="EK214" s="572" t="str">
        <f t="shared" si="1740"/>
        <v>-</v>
      </c>
      <c r="EL214" s="572" t="str">
        <f t="shared" si="1741"/>
        <v>-</v>
      </c>
      <c r="EM214" s="572" t="str">
        <f t="shared" si="1742"/>
        <v>-</v>
      </c>
      <c r="EN214" s="572" t="str">
        <f t="shared" si="1743"/>
        <v>-</v>
      </c>
      <c r="EO214" s="572" t="str">
        <f t="shared" si="1744"/>
        <v>-</v>
      </c>
      <c r="EP214" s="572" t="str">
        <f t="shared" si="1745"/>
        <v>-</v>
      </c>
      <c r="EQ214" s="572" t="str">
        <f t="shared" si="1746"/>
        <v>-</v>
      </c>
      <c r="ER214" s="572" t="str">
        <f t="shared" si="1747"/>
        <v>-</v>
      </c>
      <c r="ES214" s="572" t="str">
        <f t="shared" si="1748"/>
        <v>-</v>
      </c>
      <c r="ET214" s="572" t="str">
        <f t="shared" si="1749"/>
        <v>-</v>
      </c>
    </row>
    <row r="215" spans="1:150" ht="15.5" outlineLevel="1" x14ac:dyDescent="0.35">
      <c r="A215" s="10">
        <f t="shared" si="2520"/>
        <v>7</v>
      </c>
      <c r="B215" s="10" t="s">
        <v>23</v>
      </c>
      <c r="C215" s="442" t="s">
        <v>489</v>
      </c>
      <c r="D215" s="9" t="s">
        <v>7</v>
      </c>
      <c r="E215" s="8" t="s">
        <v>6</v>
      </c>
      <c r="F215" s="8" t="s">
        <v>229</v>
      </c>
      <c r="G215" s="12" t="str">
        <f>_xlfn.XLOOKUP(F215,'Quy đổi'!$G$5:$G$32,'Quy đổi'!$H$5:$H$32,0)</f>
        <v>Bắc Mỹ</v>
      </c>
      <c r="H215" s="80" t="s">
        <v>9</v>
      </c>
      <c r="I215" s="7" t="s">
        <v>8</v>
      </c>
      <c r="J215" s="13" t="s">
        <v>26</v>
      </c>
      <c r="K215" s="5" t="s">
        <v>113</v>
      </c>
      <c r="L215" s="92">
        <f t="shared" si="2499"/>
        <v>1078.5396025608447</v>
      </c>
      <c r="M215" s="106" t="str">
        <f>IFERROR(SUMIFS('01. KE30'!$K:$K,'01. KE30'!$C:$C,'06. BC BH THEO CUSTOMER-USD'!$D215,'01. KE30'!$F:$F,'06. BC BH THEO CUSTOMER-USD'!$H215,'01. KE30'!$A:$A,'06. BC BH THEO CUSTOMER-USD'!M$4)/'06. BC BH THEO CUSTOMER-USD'!CS215/'02. Tỷ giá'!B$5,"-")</f>
        <v>-</v>
      </c>
      <c r="N215" s="106" t="str">
        <f>IFERROR(SUMIFS('01. KE30'!$K:$K,'01. KE30'!$C:$C,'06. BC BH THEO CUSTOMER-USD'!$D215,'01. KE30'!$F:$F,'06. BC BH THEO CUSTOMER-USD'!$H215,'01. KE30'!$A:$A,'06. BC BH THEO CUSTOMER-USD'!N$4)/'06. BC BH THEO CUSTOMER-USD'!CT215/'02. Tỷ giá'!C$5,"-")</f>
        <v>-</v>
      </c>
      <c r="O215" s="106">
        <f>IFERROR(SUMIFS('01. KE30'!$K:$K,'01. KE30'!$C:$C,'06. BC BH THEO CUSTOMER-USD'!$D215,'01. KE30'!$F:$F,'06. BC BH THEO CUSTOMER-USD'!$H215,'01. KE30'!$A:$A,'06. BC BH THEO CUSTOMER-USD'!O$4)/'06. BC BH THEO CUSTOMER-USD'!CU215/'02. Tỷ giá'!D$5,"-")</f>
        <v>1079.1496062992126</v>
      </c>
      <c r="P215" s="106" t="str">
        <f>IFERROR(SUMIFS('01. KE30'!$K:$K,'01. KE30'!$C:$C,'06. BC BH THEO CUSTOMER-USD'!$D215,'01. KE30'!$F:$F,'06. BC BH THEO CUSTOMER-USD'!$H215,'01. KE30'!$A:$A,'06. BC BH THEO CUSTOMER-USD'!P$4)/'06. BC BH THEO CUSTOMER-USD'!CV215/'02. Tỷ giá'!E$5,"-")</f>
        <v>-</v>
      </c>
      <c r="Q215" s="106" t="str">
        <f>IFERROR(SUMIFS('01. KE30'!$K:$K,'01. KE30'!$C:$C,'06. BC BH THEO CUSTOMER-USD'!$D215,'01. KE30'!$F:$F,'06. BC BH THEO CUSTOMER-USD'!$H215,'01. KE30'!$A:$A,'06. BC BH THEO CUSTOMER-USD'!Q$4)/'06. BC BH THEO CUSTOMER-USD'!CW215/'02. Tỷ giá'!F$5,"-")</f>
        <v>-</v>
      </c>
      <c r="R215" s="106">
        <f>IFERROR(SUMIFS('01. KE30'!$K:$K,'01. KE30'!$C:$C,'06. BC BH THEO CUSTOMER-USD'!$D215,'01. KE30'!$F:$F,'06. BC BH THEO CUSTOMER-USD'!$H215,'01. KE30'!$A:$A,'06. BC BH THEO CUSTOMER-USD'!R$4)/'06. BC BH THEO CUSTOMER-USD'!CX215/'02. Tỷ giá'!G$5,"-")</f>
        <v>1077.0833333333333</v>
      </c>
      <c r="S215" s="106">
        <f>IFERROR(SUMIFS('01. KE30'!$K:$K,'01. KE30'!$C:$C,'06. BC BH THEO CUSTOMER-USD'!$D215,'01. KE30'!$F:$F,'06. BC BH THEO CUSTOMER-USD'!$H215,'01. KE30'!$A:$A,'06. BC BH THEO CUSTOMER-USD'!S$4)/'06. BC BH THEO CUSTOMER-USD'!CY215/'02. Tỷ giá'!H$5,"-")</f>
        <v>1077.9254706108336</v>
      </c>
      <c r="T215" s="106" t="str">
        <f>IFERROR(SUMIFS('01. KE30'!$K:$K,'01. KE30'!$C:$C,'06. BC BH THEO CUSTOMER-USD'!$D215,'01. KE30'!$F:$F,'06. BC BH THEO CUSTOMER-USD'!$H215,'01. KE30'!$A:$A,'06. BC BH THEO CUSTOMER-USD'!T$4)/'06. BC BH THEO CUSTOMER-USD'!CZ215/'02. Tỷ giá'!I$5,"-")</f>
        <v>-</v>
      </c>
      <c r="U215" s="106">
        <f>IFERROR(SUMIFS('01. KE30'!$K:$K,'01. KE30'!$C:$C,'06. BC BH THEO CUSTOMER-USD'!$D215,'01. KE30'!$F:$F,'06. BC BH THEO CUSTOMER-USD'!$H215,'01. KE30'!$A:$A,'06. BC BH THEO CUSTOMER-USD'!U$4)/'06. BC BH THEO CUSTOMER-USD'!DA215/'02. Tỷ giá'!J$5,"-")</f>
        <v>1080</v>
      </c>
      <c r="V215" s="106" t="str">
        <f>IFERROR(SUMIFS('01. KE30'!$K:$K,'01. KE30'!$C:$C,'06. BC BH THEO CUSTOMER-USD'!$D215,'01. KE30'!$F:$F,'06. BC BH THEO CUSTOMER-USD'!$H215,'01. KE30'!$A:$A,'06. BC BH THEO CUSTOMER-USD'!V$4)/'06. BC BH THEO CUSTOMER-USD'!DB215/'02. Tỷ giá'!K$5,"-")</f>
        <v>-</v>
      </c>
      <c r="W215" s="106" t="str">
        <f>IFERROR(SUMIFS('01. KE30'!$K:$K,'01. KE30'!$C:$C,'06. BC BH THEO CUSTOMER-USD'!$D215,'01. KE30'!$F:$F,'06. BC BH THEO CUSTOMER-USD'!$H215,'01. KE30'!$A:$A,'06. BC BH THEO CUSTOMER-USD'!W$4)/'06. BC BH THEO CUSTOMER-USD'!DC215/'02. Tỷ giá'!L$5,"-")</f>
        <v>-</v>
      </c>
      <c r="X215" s="106" t="str">
        <f>IFERROR(SUMIFS('01. KE30'!$K:$K,'01. KE30'!$C:$C,'06. BC BH THEO CUSTOMER-USD'!$D215,'01. KE30'!$F:$F,'06. BC BH THEO CUSTOMER-USD'!$H215,'01. KE30'!$A:$A,'06. BC BH THEO CUSTOMER-USD'!X$4)/'06. BC BH THEO CUSTOMER-USD'!DD215/'02. Tỷ giá'!M$5,"-")</f>
        <v>-</v>
      </c>
      <c r="Z215" s="92">
        <f t="shared" si="2565"/>
        <v>1050.9347068917298</v>
      </c>
      <c r="AA215" s="147" t="str">
        <f>IFERROR(SUMIFS('01. KE30'!$O:$O,'01. KE30'!$C:$C,'06. BC BH THEO CUSTOMER-USD'!$D215,'01. KE30'!$F:$F,'06. BC BH THEO CUSTOMER-USD'!$H215,'01. KE30'!$A:$A,'06. BC BH THEO CUSTOMER-USD'!M$4)/'06. BC BH THEO CUSTOMER-USD'!CS215/'02. Tỷ giá'!B$5,"-")</f>
        <v>-</v>
      </c>
      <c r="AB215" s="147" t="str">
        <f>IFERROR(SUMIFS('01. KE30'!$O:$O,'01. KE30'!$C:$C,'06. BC BH THEO CUSTOMER-USD'!$D215,'01. KE30'!$F:$F,'06. BC BH THEO CUSTOMER-USD'!$H215,'01. KE30'!$A:$A,'06. BC BH THEO CUSTOMER-USD'!N$4)/'06. BC BH THEO CUSTOMER-USD'!CT215/'02. Tỷ giá'!C$5,"-")</f>
        <v>-</v>
      </c>
      <c r="AC215" s="147">
        <f>IFERROR(SUMIFS('01. KE30'!$O:$O,'01. KE30'!$C:$C,'06. BC BH THEO CUSTOMER-USD'!$D215,'01. KE30'!$F:$F,'06. BC BH THEO CUSTOMER-USD'!$H215,'01. KE30'!$A:$A,'06. BC BH THEO CUSTOMER-USD'!O$4)/'06. BC BH THEO CUSTOMER-USD'!CU215/'02. Tỷ giá'!D$5,"-")</f>
        <v>1050.5555420956996</v>
      </c>
      <c r="AD215" s="147" t="str">
        <f>IFERROR(SUMIFS('01. KE30'!$O:$O,'01. KE30'!$C:$C,'06. BC BH THEO CUSTOMER-USD'!$D215,'01. KE30'!$F:$F,'06. BC BH THEO CUSTOMER-USD'!$H215,'01. KE30'!$A:$A,'06. BC BH THEO CUSTOMER-USD'!P$4)/'06. BC BH THEO CUSTOMER-USD'!CV215/'02. Tỷ giá'!E$5,"-")</f>
        <v>-</v>
      </c>
      <c r="AE215" s="147" t="str">
        <f>IFERROR(SUMIFS('01. KE30'!$O:$O,'01. KE30'!$C:$C,'06. BC BH THEO CUSTOMER-USD'!$D215,'01. KE30'!$F:$F,'06. BC BH THEO CUSTOMER-USD'!$H215,'01. KE30'!$A:$A,'06. BC BH THEO CUSTOMER-USD'!Q$4)/'06. BC BH THEO CUSTOMER-USD'!CW215/'02. Tỷ giá'!F$5,"-")</f>
        <v>-</v>
      </c>
      <c r="AF215" s="147">
        <f>IFERROR(SUMIFS('01. KE30'!$O:$O,'01. KE30'!$C:$C,'06. BC BH THEO CUSTOMER-USD'!$D215,'01. KE30'!$F:$F,'06. BC BH THEO CUSTOMER-USD'!$H215,'01. KE30'!$A:$A,'06. BC BH THEO CUSTOMER-USD'!R$4)/'06. BC BH THEO CUSTOMER-USD'!CX215/'02. Tỷ giá'!G$5,"-")</f>
        <v>1052.855491255144</v>
      </c>
      <c r="AG215" s="147">
        <f>IFERROR(SUMIFS('01. KE30'!$O:$O,'01. KE30'!$C:$C,'06. BC BH THEO CUSTOMER-USD'!$D215,'01. KE30'!$F:$F,'06. BC BH THEO CUSTOMER-USD'!$H215,'01. KE30'!$A:$A,'06. BC BH THEO CUSTOMER-USD'!S$4)/'06. BC BH THEO CUSTOMER-USD'!CY215/'02. Tỷ giá'!H$5,"-")</f>
        <v>1050.0267719938533</v>
      </c>
      <c r="AH215" s="147" t="str">
        <f>IFERROR(SUMIFS('01. KE30'!$O:$O,'01. KE30'!$C:$C,'06. BC BH THEO CUSTOMER-USD'!$D215,'01. KE30'!$F:$F,'06. BC BH THEO CUSTOMER-USD'!$H215,'01. KE30'!$A:$A,'06. BC BH THEO CUSTOMER-USD'!T$4)/'06. BC BH THEO CUSTOMER-USD'!CZ215/'02. Tỷ giá'!I$5,"-")</f>
        <v>-</v>
      </c>
      <c r="AI215" s="147">
        <f>IFERROR(SUMIFS('01. KE30'!$O:$O,'01. KE30'!$C:$C,'06. BC BH THEO CUSTOMER-USD'!$D215,'01. KE30'!$F:$F,'06. BC BH THEO CUSTOMER-USD'!$H215,'01. KE30'!$A:$A,'06. BC BH THEO CUSTOMER-USD'!U$4)/'06. BC BH THEO CUSTOMER-USD'!DA215/'02. Tỷ giá'!J$5,"-")</f>
        <v>1050.3010222222222</v>
      </c>
      <c r="AJ215" s="147" t="str">
        <f>IFERROR(SUMIFS('01. KE30'!$O:$O,'01. KE30'!$C:$C,'06. BC BH THEO CUSTOMER-USD'!$D215,'01. KE30'!$F:$F,'06. BC BH THEO CUSTOMER-USD'!$H215,'01. KE30'!$A:$A,'06. BC BH THEO CUSTOMER-USD'!V$4)/'06. BC BH THEO CUSTOMER-USD'!DB215/'02. Tỷ giá'!K$5,"-")</f>
        <v>-</v>
      </c>
      <c r="AK215" s="147" t="str">
        <f>IFERROR(SUMIFS('01. KE30'!$O:$O,'01. KE30'!$C:$C,'06. BC BH THEO CUSTOMER-USD'!$D215,'01. KE30'!$F:$F,'06. BC BH THEO CUSTOMER-USD'!$H215,'01. KE30'!$A:$A,'06. BC BH THEO CUSTOMER-USD'!W$4)/'06. BC BH THEO CUSTOMER-USD'!DC215/'02. Tỷ giá'!L$5,"-")</f>
        <v>-</v>
      </c>
      <c r="AL215" s="147" t="str">
        <f>IFERROR(SUMIFS('01. KE30'!$O:$O,'01. KE30'!$C:$C,'06. BC BH THEO CUSTOMER-USD'!$D215,'01. KE30'!$F:$F,'06. BC BH THEO CUSTOMER-USD'!$H215,'01. KE30'!$A:$A,'06. BC BH THEO CUSTOMER-USD'!X$4)/'06. BC BH THEO CUSTOMER-USD'!DD215/'02. Tỷ giá'!M$5,"-")</f>
        <v>-</v>
      </c>
      <c r="AN215" s="92">
        <f t="shared" si="2566"/>
        <v>815.55555555555554</v>
      </c>
      <c r="AO215" s="4">
        <v>900</v>
      </c>
      <c r="AP215" s="4">
        <v>820</v>
      </c>
      <c r="AQ215" s="4">
        <v>840</v>
      </c>
      <c r="AR215" s="4">
        <v>835</v>
      </c>
      <c r="AS215" s="4">
        <v>815</v>
      </c>
      <c r="AT215" s="4">
        <v>815</v>
      </c>
      <c r="AU215" s="4">
        <v>790</v>
      </c>
      <c r="AV215" s="4">
        <f t="shared" si="2518"/>
        <v>770</v>
      </c>
      <c r="AW215" s="4">
        <v>755</v>
      </c>
      <c r="AX215" s="4"/>
      <c r="AY215" s="4"/>
      <c r="AZ215" s="4"/>
      <c r="BB215" s="95">
        <f t="shared" si="2122"/>
        <v>235.37915133617423</v>
      </c>
      <c r="BC215" s="95" t="str">
        <f t="shared" si="2123"/>
        <v>-</v>
      </c>
      <c r="BD215" s="95" t="str">
        <f t="shared" si="2108"/>
        <v>-</v>
      </c>
      <c r="BE215" s="95">
        <f t="shared" si="2108"/>
        <v>210.55554209569959</v>
      </c>
      <c r="BF215" s="95" t="str">
        <f t="shared" si="2108"/>
        <v>-</v>
      </c>
      <c r="BG215" s="95" t="str">
        <f t="shared" si="2108"/>
        <v>-</v>
      </c>
      <c r="BH215" s="95">
        <f t="shared" si="2108"/>
        <v>237.85549125514399</v>
      </c>
      <c r="BI215" s="95">
        <f t="shared" si="2108"/>
        <v>260.02677199385334</v>
      </c>
      <c r="BJ215" s="95" t="str">
        <f t="shared" si="2108"/>
        <v>-</v>
      </c>
      <c r="BK215" s="95">
        <f t="shared" si="2108"/>
        <v>295.30102222222217</v>
      </c>
      <c r="BL215" s="95" t="str">
        <f t="shared" si="2108"/>
        <v>-</v>
      </c>
      <c r="BM215" s="95" t="str">
        <f t="shared" si="2108"/>
        <v>-</v>
      </c>
      <c r="BN215" s="95" t="str">
        <f t="shared" si="2108"/>
        <v>-</v>
      </c>
      <c r="BP215" s="143">
        <f t="shared" si="2124"/>
        <v>0.2886120384231019</v>
      </c>
      <c r="BQ215" s="143" t="str">
        <f t="shared" si="2109"/>
        <v>-</v>
      </c>
      <c r="BR215" s="143" t="str">
        <f t="shared" si="2110"/>
        <v>-</v>
      </c>
      <c r="BS215" s="143">
        <f t="shared" si="2111"/>
        <v>0.25066135963773761</v>
      </c>
      <c r="BT215" s="143" t="str">
        <f t="shared" si="2112"/>
        <v>-</v>
      </c>
      <c r="BU215" s="143" t="str">
        <f t="shared" si="2113"/>
        <v>-</v>
      </c>
      <c r="BV215" s="143">
        <f t="shared" si="2114"/>
        <v>0.29184722853391898</v>
      </c>
      <c r="BW215" s="143">
        <f t="shared" si="2115"/>
        <v>0.32914781265044729</v>
      </c>
      <c r="BX215" s="143" t="str">
        <f t="shared" si="2116"/>
        <v>-</v>
      </c>
      <c r="BY215" s="143">
        <f t="shared" si="2117"/>
        <v>0.39112718175128763</v>
      </c>
      <c r="BZ215" s="143" t="str">
        <f t="shared" si="2118"/>
        <v>-</v>
      </c>
      <c r="CA215" s="143" t="str">
        <f t="shared" si="2119"/>
        <v>-</v>
      </c>
      <c r="CB215" s="143" t="str">
        <f t="shared" si="2120"/>
        <v>-</v>
      </c>
      <c r="CD215" s="112">
        <f t="shared" si="2500"/>
        <v>1073.988585603073</v>
      </c>
      <c r="CE215" s="95" t="str">
        <f>IFERROR(SUMIFS('01. KE30'!$R:$R,'01. KE30'!$C:$C,'06. BC BH THEO CUSTOMER-USD'!$D215,'01. KE30'!$F:$F,'06. BC BH THEO CUSTOMER-USD'!$H215,'01. KE30'!$A:$A,'06. BC BH THEO CUSTOMER-USD'!CE$4)/CS215/'02. Tỷ giá'!B$5," -")</f>
        <v xml:space="preserve"> -</v>
      </c>
      <c r="CF215" s="95" t="str">
        <f>IFERROR(SUMIFS('01. KE30'!$R:$R,'01. KE30'!$C:$C,'06. BC BH THEO CUSTOMER-USD'!$D215,'01. KE30'!$F:$F,'06. BC BH THEO CUSTOMER-USD'!$H215,'01. KE30'!$A:$A,'06. BC BH THEO CUSTOMER-USD'!CF$4)/CT215/'02. Tỷ giá'!C$5," -")</f>
        <v xml:space="preserve"> -</v>
      </c>
      <c r="CG215" s="95">
        <f>IFERROR(SUMIFS('01. KE30'!$R:$R,'01. KE30'!$C:$C,'06. BC BH THEO CUSTOMER-USD'!$D215,'01. KE30'!$F:$F,'06. BC BH THEO CUSTOMER-USD'!$H215,'01. KE30'!$A:$A,'06. BC BH THEO CUSTOMER-USD'!CG$4)/CU215/'02. Tỷ giá'!D$5," -")</f>
        <v>1088.6541889763778</v>
      </c>
      <c r="CH215" s="95" t="str">
        <f>IFERROR(SUMIFS('01. KE30'!$R:$R,'01. KE30'!$C:$C,'06. BC BH THEO CUSTOMER-USD'!$D215,'01. KE30'!$F:$F,'06. BC BH THEO CUSTOMER-USD'!$H215,'01. KE30'!$A:$A,'06. BC BH THEO CUSTOMER-USD'!CH$4)/CV215/'02. Tỷ giá'!E$5," -")</f>
        <v xml:space="preserve"> -</v>
      </c>
      <c r="CI215" s="95" t="str">
        <f>IFERROR(SUMIFS('01. KE30'!$R:$R,'01. KE30'!$C:$C,'06. BC BH THEO CUSTOMER-USD'!$D215,'01. KE30'!$F:$F,'06. BC BH THEO CUSTOMER-USD'!$H215,'01. KE30'!$A:$A,'06. BC BH THEO CUSTOMER-USD'!CI$4)/CW215/'02. Tỷ giá'!F$5," -")</f>
        <v xml:space="preserve"> -</v>
      </c>
      <c r="CJ215" s="95">
        <f>IFERROR(SUMIFS('01. KE30'!$R:$R,'01. KE30'!$C:$C,'06. BC BH THEO CUSTOMER-USD'!$D215,'01. KE30'!$F:$F,'06. BC BH THEO CUSTOMER-USD'!$H215,'01. KE30'!$A:$A,'06. BC BH THEO CUSTOMER-USD'!CJ$4)/CX215/'02. Tỷ giá'!G$5," -")</f>
        <v>1067.295167824074</v>
      </c>
      <c r="CK215" s="95">
        <f>IFERROR(SUMIFS('01. KE30'!$R:$R,'01. KE30'!$C:$C,'06. BC BH THEO CUSTOMER-USD'!$D215,'01. KE30'!$F:$F,'06. BC BH THEO CUSTOMER-USD'!$H215,'01. KE30'!$A:$A,'06. BC BH THEO CUSTOMER-USD'!CK$4)/CY215/'02. Tỷ giá'!H$5," -")</f>
        <v>1059.7878665642208</v>
      </c>
      <c r="CL215" s="95" t="str">
        <f>IFERROR(SUMIFS('01. KE30'!$R:$R,'01. KE30'!$C:$C,'06. BC BH THEO CUSTOMER-USD'!$D215,'01. KE30'!$F:$F,'06. BC BH THEO CUSTOMER-USD'!$H215,'01. KE30'!$A:$A,'06. BC BH THEO CUSTOMER-USD'!CL$4)/CZ215/'02. Tỷ giá'!I$5," -")</f>
        <v xml:space="preserve"> -</v>
      </c>
      <c r="CM215" s="95">
        <f>IFERROR(SUMIFS('01. KE30'!$R:$R,'01. KE30'!$C:$C,'06. BC BH THEO CUSTOMER-USD'!$D215,'01. KE30'!$F:$F,'06. BC BH THEO CUSTOMER-USD'!$H215,'01. KE30'!$A:$A,'06. BC BH THEO CUSTOMER-USD'!CM$4)/DA215/'02. Tỷ giá'!J$5," -")</f>
        <v>1080.217119047619</v>
      </c>
      <c r="CN215" s="95" t="str">
        <f>IFERROR(SUMIFS('01. KE30'!$R:$R,'01. KE30'!$C:$C,'06. BC BH THEO CUSTOMER-USD'!$D215,'01. KE30'!$F:$F,'06. BC BH THEO CUSTOMER-USD'!$H215,'01. KE30'!$A:$A,'06. BC BH THEO CUSTOMER-USD'!CN$4)/DB215/'02. Tỷ giá'!K$5," -")</f>
        <v xml:space="preserve"> -</v>
      </c>
      <c r="CO215" s="95" t="str">
        <f>IFERROR(SUMIFS('01. KE30'!$R:$R,'01. KE30'!$C:$C,'06. BC BH THEO CUSTOMER-USD'!$D215,'01. KE30'!$F:$F,'06. BC BH THEO CUSTOMER-USD'!$H215,'01. KE30'!$A:$A,'06. BC BH THEO CUSTOMER-USD'!CO$4)/DC215/'02. Tỷ giá'!L$5," -")</f>
        <v xml:space="preserve"> -</v>
      </c>
      <c r="CP215" s="95" t="str">
        <f>IFERROR(SUMIFS('01. KE30'!$R:$R,'01. KE30'!$C:$C,'06. BC BH THEO CUSTOMER-USD'!$D215,'01. KE30'!$F:$F,'06. BC BH THEO CUSTOMER-USD'!$H215,'01. KE30'!$A:$A,'06. BC BH THEO CUSTOMER-USD'!CP$4)/DD215/'02. Tỷ giá'!M$5," -")</f>
        <v xml:space="preserve"> -</v>
      </c>
      <c r="CR215" s="112">
        <f t="shared" si="2567"/>
        <v>29</v>
      </c>
      <c r="CS215" s="114">
        <f>SUMIFS('01. KE30'!$I:$I,'01. KE30'!$C:$C,'06. BC BH THEO CUSTOMER-USD'!$D215,'01. KE30'!$F:$F,'06. BC BH THEO CUSTOMER-USD'!$H215,'01. KE30'!$A:$A,'06. BC BH THEO CUSTOMER-USD'!CS$4)/1000</f>
        <v>0</v>
      </c>
      <c r="CT215" s="114">
        <f>SUMIFS('01. KE30'!$I:$I,'01. KE30'!$C:$C,'06. BC BH THEO CUSTOMER-USD'!$D215,'01. KE30'!$F:$F,'06. BC BH THEO CUSTOMER-USD'!$H215,'01. KE30'!$A:$A,'06. BC BH THEO CUSTOMER-USD'!CT$4)/1000</f>
        <v>0</v>
      </c>
      <c r="CU215" s="114">
        <f>SUMIFS('01. KE30'!$I:$I,'01. KE30'!$C:$C,'06. BC BH THEO CUSTOMER-USD'!$D215,'01. KE30'!$F:$F,'06. BC BH THEO CUSTOMER-USD'!$H215,'01. KE30'!$A:$A,'06. BC BH THEO CUSTOMER-USD'!CU$4)/1000</f>
        <v>5</v>
      </c>
      <c r="CV215" s="114">
        <f>SUMIFS('01. KE30'!$I:$I,'01. KE30'!$C:$C,'06. BC BH THEO CUSTOMER-USD'!$D215,'01. KE30'!$F:$F,'06. BC BH THEO CUSTOMER-USD'!$H215,'01. KE30'!$A:$A,'06. BC BH THEO CUSTOMER-USD'!CV$4)/1000</f>
        <v>0</v>
      </c>
      <c r="CW215" s="114">
        <f>SUMIFS('01. KE30'!$I:$I,'01. KE30'!$C:$C,'06. BC BH THEO CUSTOMER-USD'!$D215,'01. KE30'!$F:$F,'06. BC BH THEO CUSTOMER-USD'!$H215,'01. KE30'!$A:$A,'06. BC BH THEO CUSTOMER-USD'!CW$4)/1000</f>
        <v>0</v>
      </c>
      <c r="CX215" s="114">
        <f>SUMIFS('01. KE30'!$I:$I,'01. KE30'!$C:$C,'06. BC BH THEO CUSTOMER-USD'!$D215,'01. KE30'!$F:$F,'06. BC BH THEO CUSTOMER-USD'!$H215,'01. KE30'!$A:$A,'06. BC BH THEO CUSTOMER-USD'!CX$4)/1000</f>
        <v>4</v>
      </c>
      <c r="CY215" s="114">
        <f>SUMIFS('01. KE30'!$I:$I,'01. KE30'!$C:$C,'06. BC BH THEO CUSTOMER-USD'!$D215,'01. KE30'!$F:$F,'06. BC BH THEO CUSTOMER-USD'!$H215,'01. KE30'!$A:$A,'06. BC BH THEO CUSTOMER-USD'!CY$4)/1000</f>
        <v>12</v>
      </c>
      <c r="CZ215" s="114">
        <f>SUMIFS('01. KE30'!$I:$I,'01. KE30'!$C:$C,'06. BC BH THEO CUSTOMER-USD'!$D215,'01. KE30'!$F:$F,'06. BC BH THEO CUSTOMER-USD'!$H215,'01. KE30'!$A:$A,'06. BC BH THEO CUSTOMER-USD'!CZ$4)/1000</f>
        <v>0</v>
      </c>
      <c r="DA215" s="114">
        <f>SUMIFS('01. KE30'!$I:$I,'01. KE30'!$C:$C,'06. BC BH THEO CUSTOMER-USD'!$D215,'01. KE30'!$F:$F,'06. BC BH THEO CUSTOMER-USD'!$H215,'01. KE30'!$A:$A,'06. BC BH THEO CUSTOMER-USD'!DA$4)/1000</f>
        <v>8</v>
      </c>
      <c r="DB215" s="114">
        <f>SUMIFS('01. KE30'!$I:$I,'01. KE30'!$C:$C,'06. BC BH THEO CUSTOMER-USD'!$D215,'01. KE30'!$F:$F,'06. BC BH THEO CUSTOMER-USD'!$H215,'01. KE30'!$A:$A,'06. BC BH THEO CUSTOMER-USD'!DB$4)/1000</f>
        <v>0</v>
      </c>
      <c r="DC215" s="114">
        <f>SUMIFS('01. KE30'!$I:$I,'01. KE30'!$C:$C,'06. BC BH THEO CUSTOMER-USD'!$D215,'01. KE30'!$F:$F,'06. BC BH THEO CUSTOMER-USD'!$H215,'01. KE30'!$A:$A,'06. BC BH THEO CUSTOMER-USD'!DC$4)/1000</f>
        <v>0</v>
      </c>
      <c r="DD215" s="114">
        <f>SUMIFS('01. KE30'!$I:$I,'01. KE30'!$C:$C,'06. BC BH THEO CUSTOMER-USD'!$D215,'01. KE30'!$F:$F,'06. BC BH THEO CUSTOMER-USD'!$H215,'01. KE30'!$A:$A,'06. BC BH THEO CUSTOMER-USD'!DD$4)/1000</f>
        <v>0</v>
      </c>
      <c r="DF215" s="112">
        <f t="shared" si="2502"/>
        <v>31279.187012159397</v>
      </c>
      <c r="DG215" s="54" t="str">
        <f t="shared" si="2503"/>
        <v>-</v>
      </c>
      <c r="DH215" s="54" t="str">
        <f t="shared" si="2504"/>
        <v>-</v>
      </c>
      <c r="DI215" s="54">
        <f t="shared" si="2505"/>
        <v>5395.748031496063</v>
      </c>
      <c r="DJ215" s="54" t="str">
        <f t="shared" si="2506"/>
        <v>-</v>
      </c>
      <c r="DK215" s="54" t="str">
        <f t="shared" si="2507"/>
        <v>-</v>
      </c>
      <c r="DL215" s="54">
        <f t="shared" si="2508"/>
        <v>4308.333333333333</v>
      </c>
      <c r="DM215" s="54">
        <f t="shared" si="2509"/>
        <v>12935.105647330003</v>
      </c>
      <c r="DN215" s="54" t="str">
        <f t="shared" si="2510"/>
        <v>-</v>
      </c>
      <c r="DO215" s="54">
        <f t="shared" si="2511"/>
        <v>8640</v>
      </c>
      <c r="DP215" s="54" t="str">
        <f t="shared" si="2512"/>
        <v>-</v>
      </c>
      <c r="DQ215" s="54" t="str">
        <f t="shared" si="2513"/>
        <v>-</v>
      </c>
      <c r="DR215" s="54" t="str">
        <f t="shared" si="2514"/>
        <v>-</v>
      </c>
      <c r="DT215" s="112">
        <f t="shared" si="2515"/>
        <v>-604.71385012669816</v>
      </c>
      <c r="DU215" s="114">
        <f>IFERROR(SUMIFS('01. KE30'!$X:$X,'01. KE30'!$C:$C,'06. BC BH THEO CUSTOMER-USD'!$D215,'01. KE30'!$F:$F,'06. BC BH THEO CUSTOMER-USD'!$H215,'01. KE30'!$A:$A,'06. BC BH THEO CUSTOMER-USD'!DU$4)-SUMIFS('01. KE30'!$AA:$AA,'01. KE30'!$C:$C,'06. BC BH THEO CUSTOMER-USD'!$D215,'01. KE30'!$F:$F,'06. BC BH THEO CUSTOMER-USD'!$H215,'01. KE30'!$A:$A,'06. BC BH THEO CUSTOMER-USD'!DU$4),"-")</f>
        <v>0</v>
      </c>
      <c r="DV215" s="114">
        <f>IFERROR(SUMIFS('01. KE30'!$X:$X,'01. KE30'!$C:$C,'06. BC BH THEO CUSTOMER-USD'!$D215,'01. KE30'!$F:$F,'06. BC BH THEO CUSTOMER-USD'!$H215,'01. KE30'!$A:$A,'06. BC BH THEO CUSTOMER-USD'!DV$4)-SUMIFS('01. KE30'!$AA:$AA,'01. KE30'!$C:$C,'06. BC BH THEO CUSTOMER-USD'!$D215,'01. KE30'!$F:$F,'06. BC BH THEO CUSTOMER-USD'!$H215,'01. KE30'!$A:$A,'06. BC BH THEO CUSTOMER-USD'!DV$4),"-")</f>
        <v>0</v>
      </c>
      <c r="DW215" s="114">
        <f>IFERROR(SUMIFS('01. KE30'!$X:$X,'01. KE30'!$C:$C,'06. BC BH THEO CUSTOMER-USD'!$D215,'01. KE30'!$F:$F,'06. BC BH THEO CUSTOMER-USD'!$H215,'01. KE30'!$A:$A,'06. BC BH THEO CUSTOMER-USD'!DW$4)-SUMIFS('01. KE30'!$AA:$AA,'01. KE30'!$C:$C,'06. BC BH THEO CUSTOMER-USD'!$D215,'01. KE30'!$F:$F,'06. BC BH THEO CUSTOMER-USD'!$H215,'01. KE30'!$A:$A,'06. BC BH THEO CUSTOMER-USD'!DW$4),"-")</f>
        <v>-190.49323440339231</v>
      </c>
      <c r="DX215" s="114">
        <f>IFERROR(SUMIFS('01. KE30'!$X:$X,'01. KE30'!$C:$C,'06. BC BH THEO CUSTOMER-USD'!$D215,'01. KE30'!$F:$F,'06. BC BH THEO CUSTOMER-USD'!$H215,'01. KE30'!$A:$A,'06. BC BH THEO CUSTOMER-USD'!DX$4)-SUMIFS('01. KE30'!$AA:$AA,'01. KE30'!$C:$C,'06. BC BH THEO CUSTOMER-USD'!$D215,'01. KE30'!$F:$F,'06. BC BH THEO CUSTOMER-USD'!$H215,'01. KE30'!$A:$A,'06. BC BH THEO CUSTOMER-USD'!DX$4),"-")</f>
        <v>0</v>
      </c>
      <c r="DY215" s="114">
        <f>IFERROR(SUMIFS('01. KE30'!$X:$X,'01. KE30'!$C:$C,'06. BC BH THEO CUSTOMER-USD'!$D215,'01. KE30'!$F:$F,'06. BC BH THEO CUSTOMER-USD'!$H215,'01. KE30'!$A:$A,'06. BC BH THEO CUSTOMER-USD'!DY$4)-SUMIFS('01. KE30'!$AA:$AA,'01. KE30'!$C:$C,'06. BC BH THEO CUSTOMER-USD'!$D215,'01. KE30'!$F:$F,'06. BC BH THEO CUSTOMER-USD'!$H215,'01. KE30'!$A:$A,'06. BC BH THEO CUSTOMER-USD'!DY$4),"-")</f>
        <v>0</v>
      </c>
      <c r="DZ215" s="114">
        <f>IFERROR(SUMIFS('01. KE30'!$X:$X,'01. KE30'!$C:$C,'06. BC BH THEO CUSTOMER-USD'!$D215,'01. KE30'!$F:$F,'06. BC BH THEO CUSTOMER-USD'!$H215,'01. KE30'!$A:$A,'06. BC BH THEO CUSTOMER-USD'!DZ$4)-SUMIFS('01. KE30'!$AA:$AA,'01. KE30'!$C:$C,'06. BC BH THEO CUSTOMER-USD'!$D215,'01. KE30'!$F:$F,'06. BC BH THEO CUSTOMER-USD'!$H215,'01. KE30'!$A:$A,'06. BC BH THEO CUSTOMER-USD'!DZ$4),"-")</f>
        <v>-57.758706275720215</v>
      </c>
      <c r="EA215" s="114">
        <f>IFERROR(SUMIFS('01. KE30'!$X:$X,'01. KE30'!$C:$C,'06. BC BH THEO CUSTOMER-USD'!$D215,'01. KE30'!$F:$F,'06. BC BH THEO CUSTOMER-USD'!$H215,'01. KE30'!$A:$A,'06. BC BH THEO CUSTOMER-USD'!EA$4)-SUMIFS('01. KE30'!$AA:$AA,'01. KE30'!$C:$C,'06. BC BH THEO CUSTOMER-USD'!$D215,'01. KE30'!$F:$F,'06. BC BH THEO CUSTOMER-USD'!$H215,'01. KE30'!$A:$A,'06. BC BH THEO CUSTOMER-USD'!EA$4),"-")</f>
        <v>-117.13313484441096</v>
      </c>
      <c r="EB215" s="114">
        <f>IFERROR(SUMIFS('01. KE30'!$X:$X,'01. KE30'!$C:$C,'06. BC BH THEO CUSTOMER-USD'!$D215,'01. KE30'!$F:$F,'06. BC BH THEO CUSTOMER-USD'!$H215,'01. KE30'!$A:$A,'06. BC BH THEO CUSTOMER-USD'!EB$4)-SUMIFS('01. KE30'!$AA:$AA,'01. KE30'!$C:$C,'06. BC BH THEO CUSTOMER-USD'!$D215,'01. KE30'!$F:$F,'06. BC BH THEO CUSTOMER-USD'!$H215,'01. KE30'!$A:$A,'06. BC BH THEO CUSTOMER-USD'!EB$4),"-")</f>
        <v>0</v>
      </c>
      <c r="EC215" s="114">
        <f>IFERROR(SUMIFS('01. KE30'!$X:$X,'01. KE30'!$C:$C,'06. BC BH THEO CUSTOMER-USD'!$D215,'01. KE30'!$F:$F,'06. BC BH THEO CUSTOMER-USD'!$H215,'01. KE30'!$A:$A,'06. BC BH THEO CUSTOMER-USD'!EC$4)-SUMIFS('01. KE30'!$AA:$AA,'01. KE30'!$C:$C,'06. BC BH THEO CUSTOMER-USD'!$D215,'01. KE30'!$F:$F,'06. BC BH THEO CUSTOMER-USD'!$H215,'01. KE30'!$A:$A,'06. BC BH THEO CUSTOMER-USD'!EC$4),"-")</f>
        <v>-239.32877460317468</v>
      </c>
      <c r="ED215" s="114">
        <f>IFERROR(SUMIFS('01. KE30'!$X:$X,'01. KE30'!$C:$C,'06. BC BH THEO CUSTOMER-USD'!$D215,'01. KE30'!$F:$F,'06. BC BH THEO CUSTOMER-USD'!$H215,'01. KE30'!$A:$A,'06. BC BH THEO CUSTOMER-USD'!ED$4)-SUMIFS('01. KE30'!$AA:$AA,'01. KE30'!$C:$C,'06. BC BH THEO CUSTOMER-USD'!$D215,'01. KE30'!$F:$F,'06. BC BH THEO CUSTOMER-USD'!$H215,'01. KE30'!$A:$A,'06. BC BH THEO CUSTOMER-USD'!ED$4),"-")</f>
        <v>0</v>
      </c>
      <c r="EE215" s="114">
        <f>IFERROR(SUMIFS('01. KE30'!$X:$X,'01. KE30'!$C:$C,'06. BC BH THEO CUSTOMER-USD'!$D215,'01. KE30'!$F:$F,'06. BC BH THEO CUSTOMER-USD'!$H215,'01. KE30'!$A:$A,'06. BC BH THEO CUSTOMER-USD'!EE$4)-SUMIFS('01. KE30'!$AA:$AA,'01. KE30'!$C:$C,'06. BC BH THEO CUSTOMER-USD'!$D215,'01. KE30'!$F:$F,'06. BC BH THEO CUSTOMER-USD'!$H215,'01. KE30'!$A:$A,'06. BC BH THEO CUSTOMER-USD'!EE$4),"-")</f>
        <v>0</v>
      </c>
      <c r="EF215" s="114">
        <f>IFERROR(SUMIFS('01. KE30'!$X:$X,'01. KE30'!$C:$C,'06. BC BH THEO CUSTOMER-USD'!$D215,'01. KE30'!$F:$F,'06. BC BH THEO CUSTOMER-USD'!$H215,'01. KE30'!$A:$A,'06. BC BH THEO CUSTOMER-USD'!EF$4)-SUMIFS('01. KE30'!$AA:$AA,'01. KE30'!$C:$C,'06. BC BH THEO CUSTOMER-USD'!$D215,'01. KE30'!$F:$F,'06. BC BH THEO CUSTOMER-USD'!$H215,'01. KE30'!$A:$A,'06. BC BH THEO CUSTOMER-USD'!EF$4),"-")</f>
        <v>0</v>
      </c>
      <c r="EH215" s="571">
        <f t="shared" si="1737"/>
        <v>-1.9332786683094516E-2</v>
      </c>
      <c r="EI215" s="572" t="str">
        <f t="shared" si="1738"/>
        <v>-</v>
      </c>
      <c r="EJ215" s="572" t="str">
        <f t="shared" si="1739"/>
        <v>-</v>
      </c>
      <c r="EK215" s="572">
        <f t="shared" si="1740"/>
        <v>-3.5304323569493069E-2</v>
      </c>
      <c r="EL215" s="572" t="str">
        <f t="shared" si="1741"/>
        <v>-</v>
      </c>
      <c r="EM215" s="572" t="str">
        <f t="shared" si="1742"/>
        <v>-</v>
      </c>
      <c r="EN215" s="572">
        <f t="shared" si="1743"/>
        <v>-1.3406276118155563E-2</v>
      </c>
      <c r="EO215" s="572">
        <f t="shared" si="1744"/>
        <v>-9.0554447747080418E-3</v>
      </c>
      <c r="EP215" s="572" t="str">
        <f t="shared" si="1745"/>
        <v>-</v>
      </c>
      <c r="EQ215" s="572">
        <f t="shared" si="1746"/>
        <v>-2.7700089653145219E-2</v>
      </c>
      <c r="ER215" s="572" t="str">
        <f t="shared" si="1747"/>
        <v>-</v>
      </c>
      <c r="ES215" s="572" t="str">
        <f t="shared" si="1748"/>
        <v>-</v>
      </c>
      <c r="ET215" s="572" t="str">
        <f t="shared" si="1749"/>
        <v>-</v>
      </c>
    </row>
    <row r="216" spans="1:150" ht="15.5" outlineLevel="1" x14ac:dyDescent="0.35">
      <c r="A216" s="10">
        <f t="shared" si="2520"/>
        <v>8</v>
      </c>
      <c r="B216" s="10" t="s">
        <v>23</v>
      </c>
      <c r="C216" s="442" t="s">
        <v>489</v>
      </c>
      <c r="D216" s="9" t="s">
        <v>7</v>
      </c>
      <c r="E216" s="8" t="s">
        <v>6</v>
      </c>
      <c r="F216" s="8" t="s">
        <v>229</v>
      </c>
      <c r="G216" s="12" t="str">
        <f>_xlfn.XLOOKUP(F216,'Quy đổi'!$G$5:$G$32,'Quy đổi'!$H$5:$H$32,0)</f>
        <v>Bắc Mỹ</v>
      </c>
      <c r="H216" s="80" t="s">
        <v>5</v>
      </c>
      <c r="I216" s="7" t="s">
        <v>4</v>
      </c>
      <c r="J216" s="13" t="s">
        <v>26</v>
      </c>
      <c r="K216" s="5" t="s">
        <v>113</v>
      </c>
      <c r="L216" s="92">
        <f t="shared" si="2499"/>
        <v>1078.5396025608447</v>
      </c>
      <c r="M216" s="106" t="str">
        <f>IFERROR(SUMIFS('01. KE30'!$K:$K,'01. KE30'!$C:$C,'06. BC BH THEO CUSTOMER-USD'!$D216,'01. KE30'!$F:$F,'06. BC BH THEO CUSTOMER-USD'!$H216,'01. KE30'!$A:$A,'06. BC BH THEO CUSTOMER-USD'!M$4)/'06. BC BH THEO CUSTOMER-USD'!CS216/'02. Tỷ giá'!B$5,"-")</f>
        <v>-</v>
      </c>
      <c r="N216" s="106" t="str">
        <f>IFERROR(SUMIFS('01. KE30'!$K:$K,'01. KE30'!$C:$C,'06. BC BH THEO CUSTOMER-USD'!$D216,'01. KE30'!$F:$F,'06. BC BH THEO CUSTOMER-USD'!$H216,'01. KE30'!$A:$A,'06. BC BH THEO CUSTOMER-USD'!N$4)/'06. BC BH THEO CUSTOMER-USD'!CT216/'02. Tỷ giá'!C$5,"-")</f>
        <v>-</v>
      </c>
      <c r="O216" s="106">
        <f>IFERROR(SUMIFS('01. KE30'!$K:$K,'01. KE30'!$C:$C,'06. BC BH THEO CUSTOMER-USD'!$D216,'01. KE30'!$F:$F,'06. BC BH THEO CUSTOMER-USD'!$H216,'01. KE30'!$A:$A,'06. BC BH THEO CUSTOMER-USD'!O$4)/'06. BC BH THEO CUSTOMER-USD'!CU216/'02. Tỷ giá'!D$5,"-")</f>
        <v>1079.1496062992126</v>
      </c>
      <c r="P216" s="106" t="str">
        <f>IFERROR(SUMIFS('01. KE30'!$K:$K,'01. KE30'!$C:$C,'06. BC BH THEO CUSTOMER-USD'!$D216,'01. KE30'!$F:$F,'06. BC BH THEO CUSTOMER-USD'!$H216,'01. KE30'!$A:$A,'06. BC BH THEO CUSTOMER-USD'!P$4)/'06. BC BH THEO CUSTOMER-USD'!CV216/'02. Tỷ giá'!E$5,"-")</f>
        <v>-</v>
      </c>
      <c r="Q216" s="106" t="str">
        <f>IFERROR(SUMIFS('01. KE30'!$K:$K,'01. KE30'!$C:$C,'06. BC BH THEO CUSTOMER-USD'!$D216,'01. KE30'!$F:$F,'06. BC BH THEO CUSTOMER-USD'!$H216,'01. KE30'!$A:$A,'06. BC BH THEO CUSTOMER-USD'!Q$4)/'06. BC BH THEO CUSTOMER-USD'!CW216/'02. Tỷ giá'!F$5,"-")</f>
        <v>-</v>
      </c>
      <c r="R216" s="106">
        <f>IFERROR(SUMIFS('01. KE30'!$K:$K,'01. KE30'!$C:$C,'06. BC BH THEO CUSTOMER-USD'!$D216,'01. KE30'!$F:$F,'06. BC BH THEO CUSTOMER-USD'!$H216,'01. KE30'!$A:$A,'06. BC BH THEO CUSTOMER-USD'!R$4)/'06. BC BH THEO CUSTOMER-USD'!CX216/'02. Tỷ giá'!G$5,"-")</f>
        <v>1077.0833333333333</v>
      </c>
      <c r="S216" s="106">
        <f>IFERROR(SUMIFS('01. KE30'!$K:$K,'01. KE30'!$C:$C,'06. BC BH THEO CUSTOMER-USD'!$D216,'01. KE30'!$F:$F,'06. BC BH THEO CUSTOMER-USD'!$H216,'01. KE30'!$A:$A,'06. BC BH THEO CUSTOMER-USD'!S$4)/'06. BC BH THEO CUSTOMER-USD'!CY216/'02. Tỷ giá'!H$5,"-")</f>
        <v>1077.9254706108336</v>
      </c>
      <c r="T216" s="106" t="str">
        <f>IFERROR(SUMIFS('01. KE30'!$K:$K,'01. KE30'!$C:$C,'06. BC BH THEO CUSTOMER-USD'!$D216,'01. KE30'!$F:$F,'06. BC BH THEO CUSTOMER-USD'!$H216,'01. KE30'!$A:$A,'06. BC BH THEO CUSTOMER-USD'!T$4)/'06. BC BH THEO CUSTOMER-USD'!CZ216/'02. Tỷ giá'!I$5,"-")</f>
        <v>-</v>
      </c>
      <c r="U216" s="106">
        <f>IFERROR(SUMIFS('01. KE30'!$K:$K,'01. KE30'!$C:$C,'06. BC BH THEO CUSTOMER-USD'!$D216,'01. KE30'!$F:$F,'06. BC BH THEO CUSTOMER-USD'!$H216,'01. KE30'!$A:$A,'06. BC BH THEO CUSTOMER-USD'!U$4)/'06. BC BH THEO CUSTOMER-USD'!DA216/'02. Tỷ giá'!J$5,"-")</f>
        <v>1080</v>
      </c>
      <c r="V216" s="106" t="str">
        <f>IFERROR(SUMIFS('01. KE30'!$K:$K,'01. KE30'!$C:$C,'06. BC BH THEO CUSTOMER-USD'!$D216,'01. KE30'!$F:$F,'06. BC BH THEO CUSTOMER-USD'!$H216,'01. KE30'!$A:$A,'06. BC BH THEO CUSTOMER-USD'!V$4)/'06. BC BH THEO CUSTOMER-USD'!DB216/'02. Tỷ giá'!K$5,"-")</f>
        <v>-</v>
      </c>
      <c r="W216" s="106" t="str">
        <f>IFERROR(SUMIFS('01. KE30'!$K:$K,'01. KE30'!$C:$C,'06. BC BH THEO CUSTOMER-USD'!$D216,'01. KE30'!$F:$F,'06. BC BH THEO CUSTOMER-USD'!$H216,'01. KE30'!$A:$A,'06. BC BH THEO CUSTOMER-USD'!W$4)/'06. BC BH THEO CUSTOMER-USD'!DC216/'02. Tỷ giá'!L$5,"-")</f>
        <v>-</v>
      </c>
      <c r="X216" s="106" t="str">
        <f>IFERROR(SUMIFS('01. KE30'!$K:$K,'01. KE30'!$C:$C,'06. BC BH THEO CUSTOMER-USD'!$D216,'01. KE30'!$F:$F,'06. BC BH THEO CUSTOMER-USD'!$H216,'01. KE30'!$A:$A,'06. BC BH THEO CUSTOMER-USD'!X$4)/'06. BC BH THEO CUSTOMER-USD'!DD216/'02. Tỷ giá'!M$5,"-")</f>
        <v>-</v>
      </c>
      <c r="Z216" s="92">
        <f t="shared" si="2565"/>
        <v>1050.9347068917298</v>
      </c>
      <c r="AA216" s="147" t="str">
        <f>IFERROR(SUMIFS('01. KE30'!$O:$O,'01. KE30'!$C:$C,'06. BC BH THEO CUSTOMER-USD'!$D216,'01. KE30'!$F:$F,'06. BC BH THEO CUSTOMER-USD'!$H216,'01. KE30'!$A:$A,'06. BC BH THEO CUSTOMER-USD'!M$4)/'06. BC BH THEO CUSTOMER-USD'!CS216/'02. Tỷ giá'!B$5,"-")</f>
        <v>-</v>
      </c>
      <c r="AB216" s="147" t="str">
        <f>IFERROR(SUMIFS('01. KE30'!$O:$O,'01. KE30'!$C:$C,'06. BC BH THEO CUSTOMER-USD'!$D216,'01. KE30'!$F:$F,'06. BC BH THEO CUSTOMER-USD'!$H216,'01. KE30'!$A:$A,'06. BC BH THEO CUSTOMER-USD'!N$4)/'06. BC BH THEO CUSTOMER-USD'!CT216/'02. Tỷ giá'!C$5,"-")</f>
        <v>-</v>
      </c>
      <c r="AC216" s="147">
        <f>IFERROR(SUMIFS('01. KE30'!$O:$O,'01. KE30'!$C:$C,'06. BC BH THEO CUSTOMER-USD'!$D216,'01. KE30'!$F:$F,'06. BC BH THEO CUSTOMER-USD'!$H216,'01. KE30'!$A:$A,'06. BC BH THEO CUSTOMER-USD'!O$4)/'06. BC BH THEO CUSTOMER-USD'!CU216/'02. Tỷ giá'!D$5,"-")</f>
        <v>1050.5555420956996</v>
      </c>
      <c r="AD216" s="147" t="str">
        <f>IFERROR(SUMIFS('01. KE30'!$O:$O,'01. KE30'!$C:$C,'06. BC BH THEO CUSTOMER-USD'!$D216,'01. KE30'!$F:$F,'06. BC BH THEO CUSTOMER-USD'!$H216,'01. KE30'!$A:$A,'06. BC BH THEO CUSTOMER-USD'!P$4)/'06. BC BH THEO CUSTOMER-USD'!CV216/'02. Tỷ giá'!E$5,"-")</f>
        <v>-</v>
      </c>
      <c r="AE216" s="147" t="str">
        <f>IFERROR(SUMIFS('01. KE30'!$O:$O,'01. KE30'!$C:$C,'06. BC BH THEO CUSTOMER-USD'!$D216,'01. KE30'!$F:$F,'06. BC BH THEO CUSTOMER-USD'!$H216,'01. KE30'!$A:$A,'06. BC BH THEO CUSTOMER-USD'!Q$4)/'06. BC BH THEO CUSTOMER-USD'!CW216/'02. Tỷ giá'!F$5,"-")</f>
        <v>-</v>
      </c>
      <c r="AF216" s="147">
        <f>IFERROR(SUMIFS('01. KE30'!$O:$O,'01. KE30'!$C:$C,'06. BC BH THEO CUSTOMER-USD'!$D216,'01. KE30'!$F:$F,'06. BC BH THEO CUSTOMER-USD'!$H216,'01. KE30'!$A:$A,'06. BC BH THEO CUSTOMER-USD'!R$4)/'06. BC BH THEO CUSTOMER-USD'!CX216/'02. Tỷ giá'!G$5,"-")</f>
        <v>1052.855491255144</v>
      </c>
      <c r="AG216" s="147">
        <f>IFERROR(SUMIFS('01. KE30'!$O:$O,'01. KE30'!$C:$C,'06. BC BH THEO CUSTOMER-USD'!$D216,'01. KE30'!$F:$F,'06. BC BH THEO CUSTOMER-USD'!$H216,'01. KE30'!$A:$A,'06. BC BH THEO CUSTOMER-USD'!S$4)/'06. BC BH THEO CUSTOMER-USD'!CY216/'02. Tỷ giá'!H$5,"-")</f>
        <v>1050.0267719938533</v>
      </c>
      <c r="AH216" s="147" t="str">
        <f>IFERROR(SUMIFS('01. KE30'!$O:$O,'01. KE30'!$C:$C,'06. BC BH THEO CUSTOMER-USD'!$D216,'01. KE30'!$F:$F,'06. BC BH THEO CUSTOMER-USD'!$H216,'01. KE30'!$A:$A,'06. BC BH THEO CUSTOMER-USD'!T$4)/'06. BC BH THEO CUSTOMER-USD'!CZ216/'02. Tỷ giá'!I$5,"-")</f>
        <v>-</v>
      </c>
      <c r="AI216" s="147">
        <f>IFERROR(SUMIFS('01. KE30'!$O:$O,'01. KE30'!$C:$C,'06. BC BH THEO CUSTOMER-USD'!$D216,'01. KE30'!$F:$F,'06. BC BH THEO CUSTOMER-USD'!$H216,'01. KE30'!$A:$A,'06. BC BH THEO CUSTOMER-USD'!U$4)/'06. BC BH THEO CUSTOMER-USD'!DA216/'02. Tỷ giá'!J$5,"-")</f>
        <v>1050.3010222222222</v>
      </c>
      <c r="AJ216" s="147" t="str">
        <f>IFERROR(SUMIFS('01. KE30'!$O:$O,'01. KE30'!$C:$C,'06. BC BH THEO CUSTOMER-USD'!$D216,'01. KE30'!$F:$F,'06. BC BH THEO CUSTOMER-USD'!$H216,'01. KE30'!$A:$A,'06. BC BH THEO CUSTOMER-USD'!V$4)/'06. BC BH THEO CUSTOMER-USD'!DB216/'02. Tỷ giá'!K$5,"-")</f>
        <v>-</v>
      </c>
      <c r="AK216" s="147" t="str">
        <f>IFERROR(SUMIFS('01. KE30'!$O:$O,'01. KE30'!$C:$C,'06. BC BH THEO CUSTOMER-USD'!$D216,'01. KE30'!$F:$F,'06. BC BH THEO CUSTOMER-USD'!$H216,'01. KE30'!$A:$A,'06. BC BH THEO CUSTOMER-USD'!W$4)/'06. BC BH THEO CUSTOMER-USD'!DC216/'02. Tỷ giá'!L$5,"-")</f>
        <v>-</v>
      </c>
      <c r="AL216" s="147" t="str">
        <f>IFERROR(SUMIFS('01. KE30'!$O:$O,'01. KE30'!$C:$C,'06. BC BH THEO CUSTOMER-USD'!$D216,'01. KE30'!$F:$F,'06. BC BH THEO CUSTOMER-USD'!$H216,'01. KE30'!$A:$A,'06. BC BH THEO CUSTOMER-USD'!X$4)/'06. BC BH THEO CUSTOMER-USD'!DD216/'02. Tỷ giá'!M$5,"-")</f>
        <v>-</v>
      </c>
      <c r="AN216" s="92">
        <f t="shared" si="2566"/>
        <v>815.55555555555554</v>
      </c>
      <c r="AO216" s="4">
        <v>900</v>
      </c>
      <c r="AP216" s="4">
        <v>820</v>
      </c>
      <c r="AQ216" s="4">
        <v>840</v>
      </c>
      <c r="AR216" s="4">
        <v>835</v>
      </c>
      <c r="AS216" s="4">
        <v>815</v>
      </c>
      <c r="AT216" s="4">
        <v>815</v>
      </c>
      <c r="AU216" s="4">
        <v>790</v>
      </c>
      <c r="AV216" s="4">
        <f t="shared" si="2518"/>
        <v>770</v>
      </c>
      <c r="AW216" s="4">
        <v>755</v>
      </c>
      <c r="AX216" s="4"/>
      <c r="AY216" s="4"/>
      <c r="AZ216" s="4"/>
      <c r="BB216" s="95">
        <f t="shared" si="2122"/>
        <v>235.37915133617423</v>
      </c>
      <c r="BC216" s="95" t="str">
        <f t="shared" si="2123"/>
        <v>-</v>
      </c>
      <c r="BD216" s="95" t="str">
        <f t="shared" si="2108"/>
        <v>-</v>
      </c>
      <c r="BE216" s="95">
        <f t="shared" si="2108"/>
        <v>210.55554209569959</v>
      </c>
      <c r="BF216" s="95" t="str">
        <f t="shared" si="2108"/>
        <v>-</v>
      </c>
      <c r="BG216" s="95" t="str">
        <f t="shared" si="2108"/>
        <v>-</v>
      </c>
      <c r="BH216" s="95">
        <f t="shared" si="2108"/>
        <v>237.85549125514399</v>
      </c>
      <c r="BI216" s="95">
        <f t="shared" si="2108"/>
        <v>260.02677199385334</v>
      </c>
      <c r="BJ216" s="95" t="str">
        <f t="shared" si="2108"/>
        <v>-</v>
      </c>
      <c r="BK216" s="95">
        <f t="shared" si="2108"/>
        <v>295.30102222222217</v>
      </c>
      <c r="BL216" s="95" t="str">
        <f t="shared" si="2108"/>
        <v>-</v>
      </c>
      <c r="BM216" s="95" t="str">
        <f t="shared" si="2108"/>
        <v>-</v>
      </c>
      <c r="BN216" s="95" t="str">
        <f t="shared" si="2108"/>
        <v>-</v>
      </c>
      <c r="BP216" s="143">
        <f t="shared" si="2124"/>
        <v>0.2886120384231019</v>
      </c>
      <c r="BQ216" s="143" t="str">
        <f t="shared" si="2109"/>
        <v>-</v>
      </c>
      <c r="BR216" s="143" t="str">
        <f t="shared" si="2110"/>
        <v>-</v>
      </c>
      <c r="BS216" s="143">
        <f t="shared" si="2111"/>
        <v>0.25066135963773761</v>
      </c>
      <c r="BT216" s="143" t="str">
        <f t="shared" si="2112"/>
        <v>-</v>
      </c>
      <c r="BU216" s="143" t="str">
        <f t="shared" si="2113"/>
        <v>-</v>
      </c>
      <c r="BV216" s="143">
        <f t="shared" si="2114"/>
        <v>0.29184722853391898</v>
      </c>
      <c r="BW216" s="143">
        <f t="shared" si="2115"/>
        <v>0.32914781265044729</v>
      </c>
      <c r="BX216" s="143" t="str">
        <f t="shared" si="2116"/>
        <v>-</v>
      </c>
      <c r="BY216" s="143">
        <f t="shared" si="2117"/>
        <v>0.39112718175128763</v>
      </c>
      <c r="BZ216" s="143" t="str">
        <f t="shared" si="2118"/>
        <v>-</v>
      </c>
      <c r="CA216" s="143" t="str">
        <f t="shared" si="2119"/>
        <v>-</v>
      </c>
      <c r="CB216" s="143" t="str">
        <f t="shared" si="2120"/>
        <v>-</v>
      </c>
      <c r="CD216" s="112">
        <f t="shared" si="2500"/>
        <v>1091.8809233473407</v>
      </c>
      <c r="CE216" s="95" t="str">
        <f>IFERROR(SUMIFS('01. KE30'!$R:$R,'01. KE30'!$C:$C,'06. BC BH THEO CUSTOMER-USD'!$D216,'01. KE30'!$F:$F,'06. BC BH THEO CUSTOMER-USD'!$H216,'01. KE30'!$A:$A,'06. BC BH THEO CUSTOMER-USD'!CE$4)/CS216/'02. Tỷ giá'!B$5," -")</f>
        <v xml:space="preserve"> -</v>
      </c>
      <c r="CF216" s="95" t="str">
        <f>IFERROR(SUMIFS('01. KE30'!$R:$R,'01. KE30'!$C:$C,'06. BC BH THEO CUSTOMER-USD'!$D216,'01. KE30'!$F:$F,'06. BC BH THEO CUSTOMER-USD'!$H216,'01. KE30'!$A:$A,'06. BC BH THEO CUSTOMER-USD'!CF$4)/CT216/'02. Tỷ giá'!C$5," -")</f>
        <v xml:space="preserve"> -</v>
      </c>
      <c r="CG216" s="95">
        <f>IFERROR(SUMIFS('01. KE30'!$R:$R,'01. KE30'!$C:$C,'06. BC BH THEO CUSTOMER-USD'!$D216,'01. KE30'!$F:$F,'06. BC BH THEO CUSTOMER-USD'!$H216,'01. KE30'!$A:$A,'06. BC BH THEO CUSTOMER-USD'!CG$4)/CU216/'02. Tỷ giá'!D$5," -")</f>
        <v>1139.3074948197263</v>
      </c>
      <c r="CH216" s="95" t="str">
        <f>IFERROR(SUMIFS('01. KE30'!$R:$R,'01. KE30'!$C:$C,'06. BC BH THEO CUSTOMER-USD'!$D216,'01. KE30'!$F:$F,'06. BC BH THEO CUSTOMER-USD'!$H216,'01. KE30'!$A:$A,'06. BC BH THEO CUSTOMER-USD'!CH$4)/CV216/'02. Tỷ giá'!E$5," -")</f>
        <v xml:space="preserve"> -</v>
      </c>
      <c r="CI216" s="95" t="str">
        <f>IFERROR(SUMIFS('01. KE30'!$R:$R,'01. KE30'!$C:$C,'06. BC BH THEO CUSTOMER-USD'!$D216,'01. KE30'!$F:$F,'06. BC BH THEO CUSTOMER-USD'!$H216,'01. KE30'!$A:$A,'06. BC BH THEO CUSTOMER-USD'!CI$4)/CW216/'02. Tỷ giá'!F$5," -")</f>
        <v xml:space="preserve"> -</v>
      </c>
      <c r="CJ216" s="95">
        <f>IFERROR(SUMIFS('01. KE30'!$R:$R,'01. KE30'!$C:$C,'06. BC BH THEO CUSTOMER-USD'!$D216,'01. KE30'!$F:$F,'06. BC BH THEO CUSTOMER-USD'!$H216,'01. KE30'!$A:$A,'06. BC BH THEO CUSTOMER-USD'!CJ$4)/CX216/'02. Tỷ giá'!G$5," -")</f>
        <v>1078.7446219135802</v>
      </c>
      <c r="CK216" s="95">
        <f>IFERROR(SUMIFS('01. KE30'!$R:$R,'01. KE30'!$C:$C,'06. BC BH THEO CUSTOMER-USD'!$D216,'01. KE30'!$F:$F,'06. BC BH THEO CUSTOMER-USD'!$H216,'01. KE30'!$A:$A,'06. BC BH THEO CUSTOMER-USD'!CK$4)/CY216/'02. Tỷ giá'!H$5," -")</f>
        <v>1074.1859457036753</v>
      </c>
      <c r="CL216" s="95" t="str">
        <f>IFERROR(SUMIFS('01. KE30'!$R:$R,'01. KE30'!$C:$C,'06. BC BH THEO CUSTOMER-USD'!$D216,'01. KE30'!$F:$F,'06. BC BH THEO CUSTOMER-USD'!$H216,'01. KE30'!$A:$A,'06. BC BH THEO CUSTOMER-USD'!CL$4)/CZ216/'02. Tỷ giá'!I$5," -")</f>
        <v xml:space="preserve"> -</v>
      </c>
      <c r="CM216" s="95">
        <f>IFERROR(SUMIFS('01. KE30'!$R:$R,'01. KE30'!$C:$C,'06. BC BH THEO CUSTOMER-USD'!$D216,'01. KE30'!$F:$F,'06. BC BH THEO CUSTOMER-USD'!$H216,'01. KE30'!$A:$A,'06. BC BH THEO CUSTOMER-USD'!CM$4)/DA216/'02. Tỷ giá'!J$5," -")</f>
        <v>1075.2856309523809</v>
      </c>
      <c r="CN216" s="95" t="str">
        <f>IFERROR(SUMIFS('01. KE30'!$R:$R,'01. KE30'!$C:$C,'06. BC BH THEO CUSTOMER-USD'!$D216,'01. KE30'!$F:$F,'06. BC BH THEO CUSTOMER-USD'!$H216,'01. KE30'!$A:$A,'06. BC BH THEO CUSTOMER-USD'!CN$4)/DB216/'02. Tỷ giá'!K$5," -")</f>
        <v xml:space="preserve"> -</v>
      </c>
      <c r="CO216" s="95" t="str">
        <f>IFERROR(SUMIFS('01. KE30'!$R:$R,'01. KE30'!$C:$C,'06. BC BH THEO CUSTOMER-USD'!$D216,'01. KE30'!$F:$F,'06. BC BH THEO CUSTOMER-USD'!$H216,'01. KE30'!$A:$A,'06. BC BH THEO CUSTOMER-USD'!CO$4)/DC216/'02. Tỷ giá'!L$5," -")</f>
        <v xml:space="preserve"> -</v>
      </c>
      <c r="CP216" s="95" t="str">
        <f>IFERROR(SUMIFS('01. KE30'!$R:$R,'01. KE30'!$C:$C,'06. BC BH THEO CUSTOMER-USD'!$D216,'01. KE30'!$F:$F,'06. BC BH THEO CUSTOMER-USD'!$H216,'01. KE30'!$A:$A,'06. BC BH THEO CUSTOMER-USD'!CP$4)/DD216/'02. Tỷ giá'!M$5," -")</f>
        <v xml:space="preserve"> -</v>
      </c>
      <c r="CR216" s="112">
        <f t="shared" si="2567"/>
        <v>67</v>
      </c>
      <c r="CS216" s="114">
        <f>SUMIFS('01. KE30'!$I:$I,'01. KE30'!$C:$C,'06. BC BH THEO CUSTOMER-USD'!$D216,'01. KE30'!$F:$F,'06. BC BH THEO CUSTOMER-USD'!$H216,'01. KE30'!$A:$A,'06. BC BH THEO CUSTOMER-USD'!CS$4)/1000</f>
        <v>0</v>
      </c>
      <c r="CT216" s="114">
        <f>SUMIFS('01. KE30'!$I:$I,'01. KE30'!$C:$C,'06. BC BH THEO CUSTOMER-USD'!$D216,'01. KE30'!$F:$F,'06. BC BH THEO CUSTOMER-USD'!$H216,'01. KE30'!$A:$A,'06. BC BH THEO CUSTOMER-USD'!CT$4)/1000</f>
        <v>0</v>
      </c>
      <c r="CU216" s="114">
        <f>SUMIFS('01. KE30'!$I:$I,'01. KE30'!$C:$C,'06. BC BH THEO CUSTOMER-USD'!$D216,'01. KE30'!$F:$F,'06. BC BH THEO CUSTOMER-USD'!$H216,'01. KE30'!$A:$A,'06. BC BH THEO CUSTOMER-USD'!CU$4)/1000</f>
        <v>19</v>
      </c>
      <c r="CV216" s="114">
        <f>SUMIFS('01. KE30'!$I:$I,'01. KE30'!$C:$C,'06. BC BH THEO CUSTOMER-USD'!$D216,'01. KE30'!$F:$F,'06. BC BH THEO CUSTOMER-USD'!$H216,'01. KE30'!$A:$A,'06. BC BH THEO CUSTOMER-USD'!CV$4)/1000</f>
        <v>0</v>
      </c>
      <c r="CW216" s="114">
        <f>SUMIFS('01. KE30'!$I:$I,'01. KE30'!$C:$C,'06. BC BH THEO CUSTOMER-USD'!$D216,'01. KE30'!$F:$F,'06. BC BH THEO CUSTOMER-USD'!$H216,'01. KE30'!$A:$A,'06. BC BH THEO CUSTOMER-USD'!CW$4)/1000</f>
        <v>0</v>
      </c>
      <c r="CX216" s="114">
        <f>SUMIFS('01. KE30'!$I:$I,'01. KE30'!$C:$C,'06. BC BH THEO CUSTOMER-USD'!$D216,'01. KE30'!$F:$F,'06. BC BH THEO CUSTOMER-USD'!$H216,'01. KE30'!$A:$A,'06. BC BH THEO CUSTOMER-USD'!CX$4)/1000</f>
        <v>20</v>
      </c>
      <c r="CY216" s="114">
        <f>SUMIFS('01. KE30'!$I:$I,'01. KE30'!$C:$C,'06. BC BH THEO CUSTOMER-USD'!$D216,'01. KE30'!$F:$F,'06. BC BH THEO CUSTOMER-USD'!$H216,'01. KE30'!$A:$A,'06. BC BH THEO CUSTOMER-USD'!CY$4)/1000</f>
        <v>12</v>
      </c>
      <c r="CZ216" s="114">
        <f>SUMIFS('01. KE30'!$I:$I,'01. KE30'!$C:$C,'06. BC BH THEO CUSTOMER-USD'!$D216,'01. KE30'!$F:$F,'06. BC BH THEO CUSTOMER-USD'!$H216,'01. KE30'!$A:$A,'06. BC BH THEO CUSTOMER-USD'!CZ$4)/1000</f>
        <v>0</v>
      </c>
      <c r="DA216" s="114">
        <f>SUMIFS('01. KE30'!$I:$I,'01. KE30'!$C:$C,'06. BC BH THEO CUSTOMER-USD'!$D216,'01. KE30'!$F:$F,'06. BC BH THEO CUSTOMER-USD'!$H216,'01. KE30'!$A:$A,'06. BC BH THEO CUSTOMER-USD'!DA$4)/1000</f>
        <v>16</v>
      </c>
      <c r="DB216" s="114">
        <f>SUMIFS('01. KE30'!$I:$I,'01. KE30'!$C:$C,'06. BC BH THEO CUSTOMER-USD'!$D216,'01. KE30'!$F:$F,'06. BC BH THEO CUSTOMER-USD'!$H216,'01. KE30'!$A:$A,'06. BC BH THEO CUSTOMER-USD'!DB$4)/1000</f>
        <v>0</v>
      </c>
      <c r="DC216" s="114">
        <f>SUMIFS('01. KE30'!$I:$I,'01. KE30'!$C:$C,'06. BC BH THEO CUSTOMER-USD'!$D216,'01. KE30'!$F:$F,'06. BC BH THEO CUSTOMER-USD'!$H216,'01. KE30'!$A:$A,'06. BC BH THEO CUSTOMER-USD'!DC$4)/1000</f>
        <v>0</v>
      </c>
      <c r="DD216" s="114">
        <f>SUMIFS('01. KE30'!$I:$I,'01. KE30'!$C:$C,'06. BC BH THEO CUSTOMER-USD'!$D216,'01. KE30'!$F:$F,'06. BC BH THEO CUSTOMER-USD'!$H216,'01. KE30'!$A:$A,'06. BC BH THEO CUSTOMER-USD'!DD$4)/1000</f>
        <v>0</v>
      </c>
      <c r="DF216" s="112">
        <f t="shared" si="2502"/>
        <v>72260.614833681699</v>
      </c>
      <c r="DG216" s="54" t="str">
        <f t="shared" si="2503"/>
        <v>-</v>
      </c>
      <c r="DH216" s="54" t="str">
        <f t="shared" si="2504"/>
        <v>-</v>
      </c>
      <c r="DI216" s="54">
        <f t="shared" si="2505"/>
        <v>20503.84251968504</v>
      </c>
      <c r="DJ216" s="54" t="str">
        <f t="shared" si="2506"/>
        <v>-</v>
      </c>
      <c r="DK216" s="54" t="str">
        <f t="shared" si="2507"/>
        <v>-</v>
      </c>
      <c r="DL216" s="54">
        <f t="shared" si="2508"/>
        <v>21541.666666666664</v>
      </c>
      <c r="DM216" s="54">
        <f t="shared" si="2509"/>
        <v>12935.105647330003</v>
      </c>
      <c r="DN216" s="54" t="str">
        <f t="shared" si="2510"/>
        <v>-</v>
      </c>
      <c r="DO216" s="54">
        <f t="shared" si="2511"/>
        <v>17280</v>
      </c>
      <c r="DP216" s="54" t="str">
        <f t="shared" si="2512"/>
        <v>-</v>
      </c>
      <c r="DQ216" s="54" t="str">
        <f t="shared" si="2513"/>
        <v>-</v>
      </c>
      <c r="DR216" s="54" t="str">
        <f t="shared" si="2514"/>
        <v>-</v>
      </c>
      <c r="DT216" s="112">
        <f t="shared" si="2515"/>
        <v>-2893.7335391256383</v>
      </c>
      <c r="DU216" s="114">
        <f>IFERROR(SUMIFS('01. KE30'!$X:$X,'01. KE30'!$C:$C,'06. BC BH THEO CUSTOMER-USD'!$D216,'01. KE30'!$F:$F,'06. BC BH THEO CUSTOMER-USD'!$H216,'01. KE30'!$A:$A,'06. BC BH THEO CUSTOMER-USD'!DU$4)-SUMIFS('01. KE30'!$AA:$AA,'01. KE30'!$C:$C,'06. BC BH THEO CUSTOMER-USD'!$D216,'01. KE30'!$F:$F,'06. BC BH THEO CUSTOMER-USD'!$H216,'01. KE30'!$A:$A,'06. BC BH THEO CUSTOMER-USD'!DU$4),"-")</f>
        <v>0</v>
      </c>
      <c r="DV216" s="114">
        <f>IFERROR(SUMIFS('01. KE30'!$X:$X,'01. KE30'!$C:$C,'06. BC BH THEO CUSTOMER-USD'!$D216,'01. KE30'!$F:$F,'06. BC BH THEO CUSTOMER-USD'!$H216,'01. KE30'!$A:$A,'06. BC BH THEO CUSTOMER-USD'!DV$4)-SUMIFS('01. KE30'!$AA:$AA,'01. KE30'!$C:$C,'06. BC BH THEO CUSTOMER-USD'!$D216,'01. KE30'!$F:$F,'06. BC BH THEO CUSTOMER-USD'!$H216,'01. KE30'!$A:$A,'06. BC BH THEO CUSTOMER-USD'!DV$4),"-")</f>
        <v>0</v>
      </c>
      <c r="DW216" s="114">
        <f>IFERROR(SUMIFS('01. KE30'!$X:$X,'01. KE30'!$C:$C,'06. BC BH THEO CUSTOMER-USD'!$D216,'01. KE30'!$F:$F,'06. BC BH THEO CUSTOMER-USD'!$H216,'01. KE30'!$A:$A,'06. BC BH THEO CUSTOMER-USD'!DW$4)-SUMIFS('01. KE30'!$AA:$AA,'01. KE30'!$C:$C,'06. BC BH THEO CUSTOMER-USD'!$D216,'01. KE30'!$F:$F,'06. BC BH THEO CUSTOMER-USD'!$H216,'01. KE30'!$A:$A,'06. BC BH THEO CUSTOMER-USD'!DW$4),"-")</f>
        <v>-1686.2871017565085</v>
      </c>
      <c r="DX216" s="114">
        <f>IFERROR(SUMIFS('01. KE30'!$X:$X,'01. KE30'!$C:$C,'06. BC BH THEO CUSTOMER-USD'!$D216,'01. KE30'!$F:$F,'06. BC BH THEO CUSTOMER-USD'!$H216,'01. KE30'!$A:$A,'06. BC BH THEO CUSTOMER-USD'!DX$4)-SUMIFS('01. KE30'!$AA:$AA,'01. KE30'!$C:$C,'06. BC BH THEO CUSTOMER-USD'!$D216,'01. KE30'!$F:$F,'06. BC BH THEO CUSTOMER-USD'!$H216,'01. KE30'!$A:$A,'06. BC BH THEO CUSTOMER-USD'!DX$4),"-")</f>
        <v>0</v>
      </c>
      <c r="DY216" s="114">
        <f>IFERROR(SUMIFS('01. KE30'!$X:$X,'01. KE30'!$C:$C,'06. BC BH THEO CUSTOMER-USD'!$D216,'01. KE30'!$F:$F,'06. BC BH THEO CUSTOMER-USD'!$H216,'01. KE30'!$A:$A,'06. BC BH THEO CUSTOMER-USD'!DY$4)-SUMIFS('01. KE30'!$AA:$AA,'01. KE30'!$C:$C,'06. BC BH THEO CUSTOMER-USD'!$D216,'01. KE30'!$F:$F,'06. BC BH THEO CUSTOMER-USD'!$H216,'01. KE30'!$A:$A,'06. BC BH THEO CUSTOMER-USD'!DY$4),"-")</f>
        <v>0</v>
      </c>
      <c r="DZ216" s="114">
        <f>IFERROR(SUMIFS('01. KE30'!$X:$X,'01. KE30'!$C:$C,'06. BC BH THEO CUSTOMER-USD'!$D216,'01. KE30'!$F:$F,'06. BC BH THEO CUSTOMER-USD'!$H216,'01. KE30'!$A:$A,'06. BC BH THEO CUSTOMER-USD'!DZ$4)-SUMIFS('01. KE30'!$AA:$AA,'01. KE30'!$C:$C,'06. BC BH THEO CUSTOMER-USD'!$D216,'01. KE30'!$F:$F,'06. BC BH THEO CUSTOMER-USD'!$H216,'01. KE30'!$A:$A,'06. BC BH THEO CUSTOMER-USD'!DZ$4),"-")</f>
        <v>-517.78261316872522</v>
      </c>
      <c r="EA216" s="114">
        <f>IFERROR(SUMIFS('01. KE30'!$X:$X,'01. KE30'!$C:$C,'06. BC BH THEO CUSTOMER-USD'!$D216,'01. KE30'!$F:$F,'06. BC BH THEO CUSTOMER-USD'!$H216,'01. KE30'!$A:$A,'06. BC BH THEO CUSTOMER-USD'!EA$4)-SUMIFS('01. KE30'!$AA:$AA,'01. KE30'!$C:$C,'06. BC BH THEO CUSTOMER-USD'!$D216,'01. KE30'!$F:$F,'06. BC BH THEO CUSTOMER-USD'!$H216,'01. KE30'!$A:$A,'06. BC BH THEO CUSTOMER-USD'!EA$4),"-")</f>
        <v>-289.91008451786547</v>
      </c>
      <c r="EB216" s="114">
        <f>IFERROR(SUMIFS('01. KE30'!$X:$X,'01. KE30'!$C:$C,'06. BC BH THEO CUSTOMER-USD'!$D216,'01. KE30'!$F:$F,'06. BC BH THEO CUSTOMER-USD'!$H216,'01. KE30'!$A:$A,'06. BC BH THEO CUSTOMER-USD'!EB$4)-SUMIFS('01. KE30'!$AA:$AA,'01. KE30'!$C:$C,'06. BC BH THEO CUSTOMER-USD'!$D216,'01. KE30'!$F:$F,'06. BC BH THEO CUSTOMER-USD'!$H216,'01. KE30'!$A:$A,'06. BC BH THEO CUSTOMER-USD'!EB$4),"-")</f>
        <v>0</v>
      </c>
      <c r="EC216" s="114">
        <f>IFERROR(SUMIFS('01. KE30'!$X:$X,'01. KE30'!$C:$C,'06. BC BH THEO CUSTOMER-USD'!$D216,'01. KE30'!$F:$F,'06. BC BH THEO CUSTOMER-USD'!$H216,'01. KE30'!$A:$A,'06. BC BH THEO CUSTOMER-USD'!EC$4)-SUMIFS('01. KE30'!$AA:$AA,'01. KE30'!$C:$C,'06. BC BH THEO CUSTOMER-USD'!$D216,'01. KE30'!$F:$F,'06. BC BH THEO CUSTOMER-USD'!$H216,'01. KE30'!$A:$A,'06. BC BH THEO CUSTOMER-USD'!EC$4),"-")</f>
        <v>-399.75373968253916</v>
      </c>
      <c r="ED216" s="114">
        <f>IFERROR(SUMIFS('01. KE30'!$X:$X,'01. KE30'!$C:$C,'06. BC BH THEO CUSTOMER-USD'!$D216,'01. KE30'!$F:$F,'06. BC BH THEO CUSTOMER-USD'!$H216,'01. KE30'!$A:$A,'06. BC BH THEO CUSTOMER-USD'!ED$4)-SUMIFS('01. KE30'!$AA:$AA,'01. KE30'!$C:$C,'06. BC BH THEO CUSTOMER-USD'!$D216,'01. KE30'!$F:$F,'06. BC BH THEO CUSTOMER-USD'!$H216,'01. KE30'!$A:$A,'06. BC BH THEO CUSTOMER-USD'!ED$4),"-")</f>
        <v>0</v>
      </c>
      <c r="EE216" s="114">
        <f>IFERROR(SUMIFS('01. KE30'!$X:$X,'01. KE30'!$C:$C,'06. BC BH THEO CUSTOMER-USD'!$D216,'01. KE30'!$F:$F,'06. BC BH THEO CUSTOMER-USD'!$H216,'01. KE30'!$A:$A,'06. BC BH THEO CUSTOMER-USD'!EE$4)-SUMIFS('01. KE30'!$AA:$AA,'01. KE30'!$C:$C,'06. BC BH THEO CUSTOMER-USD'!$D216,'01. KE30'!$F:$F,'06. BC BH THEO CUSTOMER-USD'!$H216,'01. KE30'!$A:$A,'06. BC BH THEO CUSTOMER-USD'!EE$4),"-")</f>
        <v>0</v>
      </c>
      <c r="EF216" s="114">
        <f>IFERROR(SUMIFS('01. KE30'!$X:$X,'01. KE30'!$C:$C,'06. BC BH THEO CUSTOMER-USD'!$D216,'01. KE30'!$F:$F,'06. BC BH THEO CUSTOMER-USD'!$H216,'01. KE30'!$A:$A,'06. BC BH THEO CUSTOMER-USD'!EF$4)-SUMIFS('01. KE30'!$AA:$AA,'01. KE30'!$C:$C,'06. BC BH THEO CUSTOMER-USD'!$D216,'01. KE30'!$F:$F,'06. BC BH THEO CUSTOMER-USD'!$H216,'01. KE30'!$A:$A,'06. BC BH THEO CUSTOMER-USD'!EF$4),"-")</f>
        <v>0</v>
      </c>
      <c r="EH216" s="571">
        <f t="shared" si="1737"/>
        <v>-4.0045791829836856E-2</v>
      </c>
      <c r="EI216" s="572" t="str">
        <f t="shared" si="1738"/>
        <v>-</v>
      </c>
      <c r="EJ216" s="572" t="str">
        <f t="shared" si="1739"/>
        <v>-</v>
      </c>
      <c r="EK216" s="572">
        <f t="shared" si="1740"/>
        <v>-8.2242491871343706E-2</v>
      </c>
      <c r="EL216" s="572" t="str">
        <f t="shared" si="1741"/>
        <v>-</v>
      </c>
      <c r="EM216" s="572" t="str">
        <f t="shared" si="1742"/>
        <v>-</v>
      </c>
      <c r="EN216" s="572">
        <f t="shared" si="1743"/>
        <v>-2.4036330205124579E-2</v>
      </c>
      <c r="EO216" s="572">
        <f t="shared" si="1744"/>
        <v>-2.2412656875184254E-2</v>
      </c>
      <c r="EP216" s="572" t="str">
        <f t="shared" si="1745"/>
        <v>-</v>
      </c>
      <c r="EQ216" s="572">
        <f t="shared" si="1746"/>
        <v>-2.3133896972369165E-2</v>
      </c>
      <c r="ER216" s="572" t="str">
        <f t="shared" si="1747"/>
        <v>-</v>
      </c>
      <c r="ES216" s="572" t="str">
        <f t="shared" si="1748"/>
        <v>-</v>
      </c>
      <c r="ET216" s="572" t="str">
        <f t="shared" si="1749"/>
        <v>-</v>
      </c>
    </row>
    <row r="217" spans="1:150" ht="15.5" outlineLevel="1" x14ac:dyDescent="0.35">
      <c r="A217" s="10">
        <f t="shared" si="2520"/>
        <v>9</v>
      </c>
      <c r="B217" s="10" t="s">
        <v>23</v>
      </c>
      <c r="C217" s="442" t="s">
        <v>489</v>
      </c>
      <c r="D217" s="9" t="s">
        <v>7</v>
      </c>
      <c r="E217" s="8" t="s">
        <v>6</v>
      </c>
      <c r="F217" s="8" t="s">
        <v>229</v>
      </c>
      <c r="G217" s="12" t="str">
        <f>_xlfn.XLOOKUP(F217,'Quy đổi'!$G$5:$G$32,'Quy đổi'!$H$5:$H$32,0)</f>
        <v>Bắc Mỹ</v>
      </c>
      <c r="H217" s="80" t="s">
        <v>660</v>
      </c>
      <c r="I217" s="7" t="s">
        <v>661</v>
      </c>
      <c r="J217" s="13" t="s">
        <v>26</v>
      </c>
      <c r="K217" s="5" t="s">
        <v>113</v>
      </c>
      <c r="L217" s="92">
        <f t="shared" ref="L217" si="2627">IFERROR(AVERAGE(M217:X217),"-")</f>
        <v>1080.8503937007874</v>
      </c>
      <c r="M217" s="106" t="str">
        <f>IFERROR(SUMIFS('01. KE30'!$K:$K,'01. KE30'!$C:$C,'06. BC BH THEO CUSTOMER-USD'!$D217,'01. KE30'!$F:$F,'06. BC BH THEO CUSTOMER-USD'!$H217,'01. KE30'!$A:$A,'06. BC BH THEO CUSTOMER-USD'!M$4)/'06. BC BH THEO CUSTOMER-USD'!CS217/'02. Tỷ giá'!B$5,"-")</f>
        <v>-</v>
      </c>
      <c r="N217" s="106" t="str">
        <f>IFERROR(SUMIFS('01. KE30'!$K:$K,'01. KE30'!$C:$C,'06. BC BH THEO CUSTOMER-USD'!$D217,'01. KE30'!$F:$F,'06. BC BH THEO CUSTOMER-USD'!$H217,'01. KE30'!$A:$A,'06. BC BH THEO CUSTOMER-USD'!N$4)/'06. BC BH THEO CUSTOMER-USD'!CT217/'02. Tỷ giá'!C$5,"-")</f>
        <v>-</v>
      </c>
      <c r="O217" s="106">
        <f>IFERROR(SUMIFS('01. KE30'!$K:$K,'01. KE30'!$C:$C,'06. BC BH THEO CUSTOMER-USD'!$D217,'01. KE30'!$F:$F,'06. BC BH THEO CUSTOMER-USD'!$H217,'01. KE30'!$A:$A,'06. BC BH THEO CUSTOMER-USD'!O$4)/'06. BC BH THEO CUSTOMER-USD'!CU217/'02. Tỷ giá'!D$5,"-")</f>
        <v>1080.8503937007874</v>
      </c>
      <c r="P217" s="106" t="str">
        <f>IFERROR(SUMIFS('01. KE30'!$K:$K,'01. KE30'!$C:$C,'06. BC BH THEO CUSTOMER-USD'!$D217,'01. KE30'!$F:$F,'06. BC BH THEO CUSTOMER-USD'!$H217,'01. KE30'!$A:$A,'06. BC BH THEO CUSTOMER-USD'!P$4)/'06. BC BH THEO CUSTOMER-USD'!CV217/'02. Tỷ giá'!E$5,"-")</f>
        <v>-</v>
      </c>
      <c r="Q217" s="106" t="str">
        <f>IFERROR(SUMIFS('01. KE30'!$K:$K,'01. KE30'!$C:$C,'06. BC BH THEO CUSTOMER-USD'!$D217,'01. KE30'!$F:$F,'06. BC BH THEO CUSTOMER-USD'!$H217,'01. KE30'!$A:$A,'06. BC BH THEO CUSTOMER-USD'!Q$4)/'06. BC BH THEO CUSTOMER-USD'!CW217/'02. Tỷ giá'!F$5,"-")</f>
        <v>-</v>
      </c>
      <c r="R217" s="106" t="str">
        <f>IFERROR(SUMIFS('01. KE30'!$K:$K,'01. KE30'!$C:$C,'06. BC BH THEO CUSTOMER-USD'!$D217,'01. KE30'!$F:$F,'06. BC BH THEO CUSTOMER-USD'!$H217,'01. KE30'!$A:$A,'06. BC BH THEO CUSTOMER-USD'!R$4)/'06. BC BH THEO CUSTOMER-USD'!CX217/'02. Tỷ giá'!G$5,"-")</f>
        <v>-</v>
      </c>
      <c r="S217" s="106" t="str">
        <f>IFERROR(SUMIFS('01. KE30'!$K:$K,'01. KE30'!$C:$C,'06. BC BH THEO CUSTOMER-USD'!$D217,'01. KE30'!$F:$F,'06. BC BH THEO CUSTOMER-USD'!$H217,'01. KE30'!$A:$A,'06. BC BH THEO CUSTOMER-USD'!S$4)/'06. BC BH THEO CUSTOMER-USD'!CY217/'02. Tỷ giá'!H$5,"-")</f>
        <v>-</v>
      </c>
      <c r="T217" s="106" t="str">
        <f>IFERROR(SUMIFS('01. KE30'!$K:$K,'01. KE30'!$C:$C,'06. BC BH THEO CUSTOMER-USD'!$D217,'01. KE30'!$F:$F,'06. BC BH THEO CUSTOMER-USD'!$H217,'01. KE30'!$A:$A,'06. BC BH THEO CUSTOMER-USD'!T$4)/'06. BC BH THEO CUSTOMER-USD'!CZ217/'02. Tỷ giá'!I$5,"-")</f>
        <v>-</v>
      </c>
      <c r="U217" s="106" t="str">
        <f>IFERROR(SUMIFS('01. KE30'!$K:$K,'01. KE30'!$C:$C,'06. BC BH THEO CUSTOMER-USD'!$D217,'01. KE30'!$F:$F,'06. BC BH THEO CUSTOMER-USD'!$H217,'01. KE30'!$A:$A,'06. BC BH THEO CUSTOMER-USD'!U$4)/'06. BC BH THEO CUSTOMER-USD'!DA217/'02. Tỷ giá'!J$5,"-")</f>
        <v>-</v>
      </c>
      <c r="V217" s="106" t="str">
        <f>IFERROR(SUMIFS('01. KE30'!$K:$K,'01. KE30'!$C:$C,'06. BC BH THEO CUSTOMER-USD'!$D217,'01. KE30'!$F:$F,'06. BC BH THEO CUSTOMER-USD'!$H217,'01. KE30'!$A:$A,'06. BC BH THEO CUSTOMER-USD'!V$4)/'06. BC BH THEO CUSTOMER-USD'!DB217/'02. Tỷ giá'!K$5,"-")</f>
        <v>-</v>
      </c>
      <c r="W217" s="106" t="str">
        <f>IFERROR(SUMIFS('01. KE30'!$K:$K,'01. KE30'!$C:$C,'06. BC BH THEO CUSTOMER-USD'!$D217,'01. KE30'!$F:$F,'06. BC BH THEO CUSTOMER-USD'!$H217,'01. KE30'!$A:$A,'06. BC BH THEO CUSTOMER-USD'!W$4)/'06. BC BH THEO CUSTOMER-USD'!DC217/'02. Tỷ giá'!L$5,"-")</f>
        <v>-</v>
      </c>
      <c r="X217" s="106" t="str">
        <f>IFERROR(SUMIFS('01. KE30'!$K:$K,'01. KE30'!$C:$C,'06. BC BH THEO CUSTOMER-USD'!$D217,'01. KE30'!$F:$F,'06. BC BH THEO CUSTOMER-USD'!$H217,'01. KE30'!$A:$A,'06. BC BH THEO CUSTOMER-USD'!X$4)/'06. BC BH THEO CUSTOMER-USD'!DD217/'02. Tỷ giá'!M$5,"-")</f>
        <v>-</v>
      </c>
      <c r="Z217" s="92">
        <f t="shared" ref="Z217" si="2628">IFERROR(AVERAGE(AA217:AL217),"-")</f>
        <v>1052.2563294972742</v>
      </c>
      <c r="AA217" s="147" t="str">
        <f>IFERROR(SUMIFS('01. KE30'!$O:$O,'01. KE30'!$C:$C,'06. BC BH THEO CUSTOMER-USD'!$D217,'01. KE30'!$F:$F,'06. BC BH THEO CUSTOMER-USD'!$H217,'01. KE30'!$A:$A,'06. BC BH THEO CUSTOMER-USD'!M$4)/'06. BC BH THEO CUSTOMER-USD'!CS217/'02. Tỷ giá'!B$5,"-")</f>
        <v>-</v>
      </c>
      <c r="AB217" s="147" t="str">
        <f>IFERROR(SUMIFS('01. KE30'!$O:$O,'01. KE30'!$C:$C,'06. BC BH THEO CUSTOMER-USD'!$D217,'01. KE30'!$F:$F,'06. BC BH THEO CUSTOMER-USD'!$H217,'01. KE30'!$A:$A,'06. BC BH THEO CUSTOMER-USD'!N$4)/'06. BC BH THEO CUSTOMER-USD'!CT217/'02. Tỷ giá'!C$5,"-")</f>
        <v>-</v>
      </c>
      <c r="AC217" s="147">
        <f>IFERROR(SUMIFS('01. KE30'!$O:$O,'01. KE30'!$C:$C,'06. BC BH THEO CUSTOMER-USD'!$D217,'01. KE30'!$F:$F,'06. BC BH THEO CUSTOMER-USD'!$H217,'01. KE30'!$A:$A,'06. BC BH THEO CUSTOMER-USD'!O$4)/'06. BC BH THEO CUSTOMER-USD'!CU217/'02. Tỷ giá'!D$5,"-")</f>
        <v>1052.2563294972742</v>
      </c>
      <c r="AD217" s="147" t="str">
        <f>IFERROR(SUMIFS('01. KE30'!$O:$O,'01. KE30'!$C:$C,'06. BC BH THEO CUSTOMER-USD'!$D217,'01. KE30'!$F:$F,'06. BC BH THEO CUSTOMER-USD'!$H217,'01. KE30'!$A:$A,'06. BC BH THEO CUSTOMER-USD'!P$4)/'06. BC BH THEO CUSTOMER-USD'!CV217/'02. Tỷ giá'!E$5,"-")</f>
        <v>-</v>
      </c>
      <c r="AE217" s="147" t="str">
        <f>IFERROR(SUMIFS('01. KE30'!$O:$O,'01. KE30'!$C:$C,'06. BC BH THEO CUSTOMER-USD'!$D217,'01. KE30'!$F:$F,'06. BC BH THEO CUSTOMER-USD'!$H217,'01. KE30'!$A:$A,'06. BC BH THEO CUSTOMER-USD'!Q$4)/'06. BC BH THEO CUSTOMER-USD'!CW217/'02. Tỷ giá'!F$5,"-")</f>
        <v>-</v>
      </c>
      <c r="AF217" s="147" t="str">
        <f>IFERROR(SUMIFS('01. KE30'!$O:$O,'01. KE30'!$C:$C,'06. BC BH THEO CUSTOMER-USD'!$D217,'01. KE30'!$F:$F,'06. BC BH THEO CUSTOMER-USD'!$H217,'01. KE30'!$A:$A,'06. BC BH THEO CUSTOMER-USD'!R$4)/'06. BC BH THEO CUSTOMER-USD'!CX217/'02. Tỷ giá'!G$5,"-")</f>
        <v>-</v>
      </c>
      <c r="AG217" s="147" t="str">
        <f>IFERROR(SUMIFS('01. KE30'!$O:$O,'01. KE30'!$C:$C,'06. BC BH THEO CUSTOMER-USD'!$D217,'01. KE30'!$F:$F,'06. BC BH THEO CUSTOMER-USD'!$H217,'01. KE30'!$A:$A,'06. BC BH THEO CUSTOMER-USD'!S$4)/'06. BC BH THEO CUSTOMER-USD'!CY217/'02. Tỷ giá'!H$5,"-")</f>
        <v>-</v>
      </c>
      <c r="AH217" s="147" t="str">
        <f>IFERROR(SUMIFS('01. KE30'!$O:$O,'01. KE30'!$C:$C,'06. BC BH THEO CUSTOMER-USD'!$D217,'01. KE30'!$F:$F,'06. BC BH THEO CUSTOMER-USD'!$H217,'01. KE30'!$A:$A,'06. BC BH THEO CUSTOMER-USD'!T$4)/'06. BC BH THEO CUSTOMER-USD'!CZ217/'02. Tỷ giá'!I$5,"-")</f>
        <v>-</v>
      </c>
      <c r="AI217" s="147" t="str">
        <f>IFERROR(SUMIFS('01. KE30'!$O:$O,'01. KE30'!$C:$C,'06. BC BH THEO CUSTOMER-USD'!$D217,'01. KE30'!$F:$F,'06. BC BH THEO CUSTOMER-USD'!$H217,'01. KE30'!$A:$A,'06. BC BH THEO CUSTOMER-USD'!U$4)/'06. BC BH THEO CUSTOMER-USD'!DA217/'02. Tỷ giá'!J$5,"-")</f>
        <v>-</v>
      </c>
      <c r="AJ217" s="147" t="str">
        <f>IFERROR(SUMIFS('01. KE30'!$O:$O,'01. KE30'!$C:$C,'06. BC BH THEO CUSTOMER-USD'!$D217,'01. KE30'!$F:$F,'06. BC BH THEO CUSTOMER-USD'!$H217,'01. KE30'!$A:$A,'06. BC BH THEO CUSTOMER-USD'!V$4)/'06. BC BH THEO CUSTOMER-USD'!DB217/'02. Tỷ giá'!K$5,"-")</f>
        <v>-</v>
      </c>
      <c r="AK217" s="147" t="str">
        <f>IFERROR(SUMIFS('01. KE30'!$O:$O,'01. KE30'!$C:$C,'06. BC BH THEO CUSTOMER-USD'!$D217,'01. KE30'!$F:$F,'06. BC BH THEO CUSTOMER-USD'!$H217,'01. KE30'!$A:$A,'06. BC BH THEO CUSTOMER-USD'!W$4)/'06. BC BH THEO CUSTOMER-USD'!DC217/'02. Tỷ giá'!L$5,"-")</f>
        <v>-</v>
      </c>
      <c r="AL217" s="147" t="str">
        <f>IFERROR(SUMIFS('01. KE30'!$O:$O,'01. KE30'!$C:$C,'06. BC BH THEO CUSTOMER-USD'!$D217,'01. KE30'!$F:$F,'06. BC BH THEO CUSTOMER-USD'!$H217,'01. KE30'!$A:$A,'06. BC BH THEO CUSTOMER-USD'!X$4)/'06. BC BH THEO CUSTOMER-USD'!DD217/'02. Tỷ giá'!M$5,"-")</f>
        <v>-</v>
      </c>
      <c r="AN217" s="92">
        <f t="shared" ref="AN217" si="2629">IFERROR(AVERAGE(AO217:AZ217),"-")</f>
        <v>815.55555555555554</v>
      </c>
      <c r="AO217" s="4">
        <v>900</v>
      </c>
      <c r="AP217" s="4">
        <v>820</v>
      </c>
      <c r="AQ217" s="4">
        <v>840</v>
      </c>
      <c r="AR217" s="4">
        <v>835</v>
      </c>
      <c r="AS217" s="4">
        <v>815</v>
      </c>
      <c r="AT217" s="4">
        <v>815</v>
      </c>
      <c r="AU217" s="4">
        <v>790</v>
      </c>
      <c r="AV217" s="4">
        <f t="shared" si="2518"/>
        <v>770</v>
      </c>
      <c r="AW217" s="4">
        <v>755</v>
      </c>
      <c r="AX217" s="4"/>
      <c r="AY217" s="4"/>
      <c r="AZ217" s="4"/>
      <c r="BB217" s="95">
        <f t="shared" ref="BB217" si="2630">IF(L217&lt;&gt;"-",Z217-AN217,"-")</f>
        <v>236.70077394171869</v>
      </c>
      <c r="BC217" s="95" t="str">
        <f t="shared" ref="BC217" si="2631">IF(M217&lt;&gt;"-",AA217-AO217,"-")</f>
        <v>-</v>
      </c>
      <c r="BD217" s="95" t="str">
        <f t="shared" ref="BD217" si="2632">IF(N217&lt;&gt;"-",AB217-AP217,"-")</f>
        <v>-</v>
      </c>
      <c r="BE217" s="95">
        <f t="shared" ref="BE217" si="2633">IF(O217&lt;&gt;"-",AC217-AQ217,"-")</f>
        <v>212.25632949727424</v>
      </c>
      <c r="BF217" s="95" t="str">
        <f t="shared" ref="BF217" si="2634">IF(P217&lt;&gt;"-",AD217-AR217,"-")</f>
        <v>-</v>
      </c>
      <c r="BG217" s="95" t="str">
        <f t="shared" ref="BG217" si="2635">IF(Q217&lt;&gt;"-",AE217-AS217,"-")</f>
        <v>-</v>
      </c>
      <c r="BH217" s="95" t="str">
        <f t="shared" ref="BH217" si="2636">IF(R217&lt;&gt;"-",AF217-AT217,"-")</f>
        <v>-</v>
      </c>
      <c r="BI217" s="95" t="str">
        <f t="shared" ref="BI217" si="2637">IF(S217&lt;&gt;"-",AG217-AU217,"-")</f>
        <v>-</v>
      </c>
      <c r="BJ217" s="95" t="str">
        <f t="shared" ref="BJ217" si="2638">IF(T217&lt;&gt;"-",AH217-AV217,"-")</f>
        <v>-</v>
      </c>
      <c r="BK217" s="95" t="str">
        <f t="shared" ref="BK217" si="2639">IF(U217&lt;&gt;"-",AI217-AW217,"-")</f>
        <v>-</v>
      </c>
      <c r="BL217" s="95" t="str">
        <f t="shared" ref="BL217" si="2640">IF(V217&lt;&gt;"-",AJ217-AX217,"-")</f>
        <v>-</v>
      </c>
      <c r="BM217" s="95" t="str">
        <f t="shared" ref="BM217" si="2641">IF(W217&lt;&gt;"-",AK217-AY217,"-")</f>
        <v>-</v>
      </c>
      <c r="BN217" s="95" t="str">
        <f t="shared" ref="BN217" si="2642">IF(X217&lt;&gt;"-",AL217-AZ217,"-")</f>
        <v>-</v>
      </c>
      <c r="BP217" s="143">
        <f t="shared" ref="BP217" si="2643">IFERROR(IF(BB217&lt;&gt;"-",BB217/AN217,"-"),"-")</f>
        <v>0.29023255660428721</v>
      </c>
      <c r="BQ217" s="143" t="str">
        <f t="shared" ref="BQ217" si="2644">IFERROR(IF(BC217&lt;&gt;"-",BC217/AO217,"-"),"-")</f>
        <v>-</v>
      </c>
      <c r="BR217" s="143" t="str">
        <f t="shared" ref="BR217" si="2645">IFERROR(IF(BD217&lt;&gt;"-",BD217/AP217,"-"),"-")</f>
        <v>-</v>
      </c>
      <c r="BS217" s="143">
        <f t="shared" ref="BS217" si="2646">IFERROR(IF(BE217&lt;&gt;"-",BE217/AQ217,"-"),"-")</f>
        <v>0.25268610654437407</v>
      </c>
      <c r="BT217" s="143" t="str">
        <f t="shared" ref="BT217" si="2647">IFERROR(IF(BF217&lt;&gt;"-",BF217/AR217,"-"),"-")</f>
        <v>-</v>
      </c>
      <c r="BU217" s="143" t="str">
        <f t="shared" ref="BU217" si="2648">IFERROR(IF(BG217&lt;&gt;"-",BG217/AS217,"-"),"-")</f>
        <v>-</v>
      </c>
      <c r="BV217" s="143" t="str">
        <f t="shared" ref="BV217" si="2649">IFERROR(IF(BH217&lt;&gt;"-",BH217/AT217,"-"),"-")</f>
        <v>-</v>
      </c>
      <c r="BW217" s="143" t="str">
        <f t="shared" ref="BW217" si="2650">IFERROR(IF(BI217&lt;&gt;"-",BI217/AU217,"-"),"-")</f>
        <v>-</v>
      </c>
      <c r="BX217" s="143" t="str">
        <f t="shared" ref="BX217" si="2651">IFERROR(IF(BJ217&lt;&gt;"-",BJ217/AV217,"-"),"-")</f>
        <v>-</v>
      </c>
      <c r="BY217" s="143" t="str">
        <f t="shared" ref="BY217" si="2652">IFERROR(IF(BK217&lt;&gt;"-",BK217/AW217,"-"),"-")</f>
        <v>-</v>
      </c>
      <c r="BZ217" s="143" t="str">
        <f t="shared" ref="BZ217" si="2653">IFERROR(IF(BL217&lt;&gt;"-",BL217/AX217,"-"),"-")</f>
        <v>-</v>
      </c>
      <c r="CA217" s="143" t="str">
        <f t="shared" ref="CA217" si="2654">IFERROR(IF(BM217&lt;&gt;"-",BM217/AY217,"-"),"-")</f>
        <v>-</v>
      </c>
      <c r="CB217" s="143" t="str">
        <f t="shared" ref="CB217" si="2655">IFERROR(IF(BN217&lt;&gt;"-",BN217/AZ217,"-"),"-")</f>
        <v>-</v>
      </c>
      <c r="CD217" s="112">
        <f t="shared" ref="CD217" si="2656">IFERROR(AVERAGE(CE217:CP217),"-")</f>
        <v>674.59685039370083</v>
      </c>
      <c r="CE217" s="95" t="str">
        <f>IFERROR(SUMIFS('01. KE30'!$R:$R,'01. KE30'!$C:$C,'06. BC BH THEO CUSTOMER-USD'!$D217,'01. KE30'!$F:$F,'06. BC BH THEO CUSTOMER-USD'!$H217,'01. KE30'!$A:$A,'06. BC BH THEO CUSTOMER-USD'!CE$4)/CS217/'02. Tỷ giá'!B$5," -")</f>
        <v xml:space="preserve"> -</v>
      </c>
      <c r="CF217" s="95" t="str">
        <f>IFERROR(SUMIFS('01. KE30'!$R:$R,'01. KE30'!$C:$C,'06. BC BH THEO CUSTOMER-USD'!$D217,'01. KE30'!$F:$F,'06. BC BH THEO CUSTOMER-USD'!$H217,'01. KE30'!$A:$A,'06. BC BH THEO CUSTOMER-USD'!CF$4)/CT217/'02. Tỷ giá'!C$5," -")</f>
        <v xml:space="preserve"> -</v>
      </c>
      <c r="CG217" s="95">
        <f>IFERROR(SUMIFS('01. KE30'!$R:$R,'01. KE30'!$C:$C,'06. BC BH THEO CUSTOMER-USD'!$D217,'01. KE30'!$F:$F,'06. BC BH THEO CUSTOMER-USD'!$H217,'01. KE30'!$A:$A,'06. BC BH THEO CUSTOMER-USD'!CG$4)/CU217/'02. Tỷ giá'!D$5," -")</f>
        <v>674.59685039370083</v>
      </c>
      <c r="CH217" s="95" t="str">
        <f>IFERROR(SUMIFS('01. KE30'!$R:$R,'01. KE30'!$C:$C,'06. BC BH THEO CUSTOMER-USD'!$D217,'01. KE30'!$F:$F,'06. BC BH THEO CUSTOMER-USD'!$H217,'01. KE30'!$A:$A,'06. BC BH THEO CUSTOMER-USD'!CH$4)/CV217/'02. Tỷ giá'!E$5," -")</f>
        <v xml:space="preserve"> -</v>
      </c>
      <c r="CI217" s="95" t="str">
        <f>IFERROR(SUMIFS('01. KE30'!$R:$R,'01. KE30'!$C:$C,'06. BC BH THEO CUSTOMER-USD'!$D217,'01. KE30'!$F:$F,'06. BC BH THEO CUSTOMER-USD'!$H217,'01. KE30'!$A:$A,'06. BC BH THEO CUSTOMER-USD'!CI$4)/CW217/'02. Tỷ giá'!F$5," -")</f>
        <v xml:space="preserve"> -</v>
      </c>
      <c r="CJ217" s="95" t="str">
        <f>IFERROR(SUMIFS('01. KE30'!$R:$R,'01. KE30'!$C:$C,'06. BC BH THEO CUSTOMER-USD'!$D217,'01. KE30'!$F:$F,'06. BC BH THEO CUSTOMER-USD'!$H217,'01. KE30'!$A:$A,'06. BC BH THEO CUSTOMER-USD'!CJ$4)/CX217/'02. Tỷ giá'!G$5," -")</f>
        <v xml:space="preserve"> -</v>
      </c>
      <c r="CK217" s="95" t="str">
        <f>IFERROR(SUMIFS('01. KE30'!$R:$R,'01. KE30'!$C:$C,'06. BC BH THEO CUSTOMER-USD'!$D217,'01. KE30'!$F:$F,'06. BC BH THEO CUSTOMER-USD'!$H217,'01. KE30'!$A:$A,'06. BC BH THEO CUSTOMER-USD'!CK$4)/CY217/'02. Tỷ giá'!H$5," -")</f>
        <v xml:space="preserve"> -</v>
      </c>
      <c r="CL217" s="95" t="str">
        <f>IFERROR(SUMIFS('01. KE30'!$R:$R,'01. KE30'!$C:$C,'06. BC BH THEO CUSTOMER-USD'!$D217,'01. KE30'!$F:$F,'06. BC BH THEO CUSTOMER-USD'!$H217,'01. KE30'!$A:$A,'06. BC BH THEO CUSTOMER-USD'!CL$4)/CZ217/'02. Tỷ giá'!I$5," -")</f>
        <v xml:space="preserve"> -</v>
      </c>
      <c r="CM217" s="95" t="str">
        <f>IFERROR(SUMIFS('01. KE30'!$R:$R,'01. KE30'!$C:$C,'06. BC BH THEO CUSTOMER-USD'!$D217,'01. KE30'!$F:$F,'06. BC BH THEO CUSTOMER-USD'!$H217,'01. KE30'!$A:$A,'06. BC BH THEO CUSTOMER-USD'!CM$4)/DA217/'02. Tỷ giá'!J$5," -")</f>
        <v xml:space="preserve"> -</v>
      </c>
      <c r="CN217" s="95" t="str">
        <f>IFERROR(SUMIFS('01. KE30'!$R:$R,'01. KE30'!$C:$C,'06. BC BH THEO CUSTOMER-USD'!$D217,'01. KE30'!$F:$F,'06. BC BH THEO CUSTOMER-USD'!$H217,'01. KE30'!$A:$A,'06. BC BH THEO CUSTOMER-USD'!CN$4)/DB217/'02. Tỷ giá'!K$5," -")</f>
        <v xml:space="preserve"> -</v>
      </c>
      <c r="CO217" s="95" t="str">
        <f>IFERROR(SUMIFS('01. KE30'!$R:$R,'01. KE30'!$C:$C,'06. BC BH THEO CUSTOMER-USD'!$D217,'01. KE30'!$F:$F,'06. BC BH THEO CUSTOMER-USD'!$H217,'01. KE30'!$A:$A,'06. BC BH THEO CUSTOMER-USD'!CO$4)/DC217/'02. Tỷ giá'!L$5," -")</f>
        <v xml:space="preserve"> -</v>
      </c>
      <c r="CP217" s="95" t="str">
        <f>IFERROR(SUMIFS('01. KE30'!$R:$R,'01. KE30'!$C:$C,'06. BC BH THEO CUSTOMER-USD'!$D217,'01. KE30'!$F:$F,'06. BC BH THEO CUSTOMER-USD'!$H217,'01. KE30'!$A:$A,'06. BC BH THEO CUSTOMER-USD'!CP$4)/DD217/'02. Tỷ giá'!M$5," -")</f>
        <v xml:space="preserve"> -</v>
      </c>
      <c r="CR217" s="112">
        <f t="shared" ref="CR217" si="2657">SUM(CS217:DD217)</f>
        <v>0.05</v>
      </c>
      <c r="CS217" s="114">
        <f>SUMIFS('01. KE30'!$I:$I,'01. KE30'!$C:$C,'06. BC BH THEO CUSTOMER-USD'!$D217,'01. KE30'!$F:$F,'06. BC BH THEO CUSTOMER-USD'!$H217,'01. KE30'!$A:$A,'06. BC BH THEO CUSTOMER-USD'!CS$4)/1000</f>
        <v>0</v>
      </c>
      <c r="CT217" s="114">
        <f>SUMIFS('01. KE30'!$I:$I,'01. KE30'!$C:$C,'06. BC BH THEO CUSTOMER-USD'!$D217,'01. KE30'!$F:$F,'06. BC BH THEO CUSTOMER-USD'!$H217,'01. KE30'!$A:$A,'06. BC BH THEO CUSTOMER-USD'!CT$4)/1000</f>
        <v>0</v>
      </c>
      <c r="CU217" s="114">
        <f>SUMIFS('01. KE30'!$I:$I,'01. KE30'!$C:$C,'06. BC BH THEO CUSTOMER-USD'!$D217,'01. KE30'!$F:$F,'06. BC BH THEO CUSTOMER-USD'!$H217,'01. KE30'!$A:$A,'06. BC BH THEO CUSTOMER-USD'!CU$4)/1000</f>
        <v>0.05</v>
      </c>
      <c r="CV217" s="114">
        <f>SUMIFS('01. KE30'!$I:$I,'01. KE30'!$C:$C,'06. BC BH THEO CUSTOMER-USD'!$D217,'01. KE30'!$F:$F,'06. BC BH THEO CUSTOMER-USD'!$H217,'01. KE30'!$A:$A,'06. BC BH THEO CUSTOMER-USD'!CV$4)/1000</f>
        <v>0</v>
      </c>
      <c r="CW217" s="114">
        <f>SUMIFS('01. KE30'!$I:$I,'01. KE30'!$C:$C,'06. BC BH THEO CUSTOMER-USD'!$D217,'01. KE30'!$F:$F,'06. BC BH THEO CUSTOMER-USD'!$H217,'01. KE30'!$A:$A,'06. BC BH THEO CUSTOMER-USD'!CW$4)/1000</f>
        <v>0</v>
      </c>
      <c r="CX217" s="114">
        <f>SUMIFS('01. KE30'!$I:$I,'01. KE30'!$C:$C,'06. BC BH THEO CUSTOMER-USD'!$D217,'01. KE30'!$F:$F,'06. BC BH THEO CUSTOMER-USD'!$H217,'01. KE30'!$A:$A,'06. BC BH THEO CUSTOMER-USD'!CX$4)/1000</f>
        <v>0</v>
      </c>
      <c r="CY217" s="114">
        <f>SUMIFS('01. KE30'!$I:$I,'01. KE30'!$C:$C,'06. BC BH THEO CUSTOMER-USD'!$D217,'01. KE30'!$F:$F,'06. BC BH THEO CUSTOMER-USD'!$H217,'01. KE30'!$A:$A,'06. BC BH THEO CUSTOMER-USD'!CY$4)/1000</f>
        <v>0</v>
      </c>
      <c r="CZ217" s="114">
        <f>SUMIFS('01. KE30'!$I:$I,'01. KE30'!$C:$C,'06. BC BH THEO CUSTOMER-USD'!$D217,'01. KE30'!$F:$F,'06. BC BH THEO CUSTOMER-USD'!$H217,'01. KE30'!$A:$A,'06. BC BH THEO CUSTOMER-USD'!CZ$4)/1000</f>
        <v>0</v>
      </c>
      <c r="DA217" s="114">
        <f>SUMIFS('01. KE30'!$I:$I,'01. KE30'!$C:$C,'06. BC BH THEO CUSTOMER-USD'!$D217,'01. KE30'!$F:$F,'06. BC BH THEO CUSTOMER-USD'!$H217,'01. KE30'!$A:$A,'06. BC BH THEO CUSTOMER-USD'!DA$4)/1000</f>
        <v>0</v>
      </c>
      <c r="DB217" s="114">
        <f>SUMIFS('01. KE30'!$I:$I,'01. KE30'!$C:$C,'06. BC BH THEO CUSTOMER-USD'!$D217,'01. KE30'!$F:$F,'06. BC BH THEO CUSTOMER-USD'!$H217,'01. KE30'!$A:$A,'06. BC BH THEO CUSTOMER-USD'!DB$4)/1000</f>
        <v>0</v>
      </c>
      <c r="DC217" s="114">
        <f>SUMIFS('01. KE30'!$I:$I,'01. KE30'!$C:$C,'06. BC BH THEO CUSTOMER-USD'!$D217,'01. KE30'!$F:$F,'06. BC BH THEO CUSTOMER-USD'!$H217,'01. KE30'!$A:$A,'06. BC BH THEO CUSTOMER-USD'!DC$4)/1000</f>
        <v>0</v>
      </c>
      <c r="DD217" s="114">
        <f>SUMIFS('01. KE30'!$I:$I,'01. KE30'!$C:$C,'06. BC BH THEO CUSTOMER-USD'!$D217,'01. KE30'!$F:$F,'06. BC BH THEO CUSTOMER-USD'!$H217,'01. KE30'!$A:$A,'06. BC BH THEO CUSTOMER-USD'!DD$4)/1000</f>
        <v>0</v>
      </c>
      <c r="DF217" s="112">
        <f t="shared" ref="DF217" si="2658">SUM(DG217:DR217)</f>
        <v>54.042519685039373</v>
      </c>
      <c r="DG217" s="54" t="str">
        <f t="shared" ref="DG217" si="2659">IFERROR(M217*CS217,"-")</f>
        <v>-</v>
      </c>
      <c r="DH217" s="54" t="str">
        <f t="shared" ref="DH217" si="2660">IFERROR(N217*CT217,"-")</f>
        <v>-</v>
      </c>
      <c r="DI217" s="54">
        <f t="shared" ref="DI217" si="2661">IFERROR(O217*CU217,"-")</f>
        <v>54.042519685039373</v>
      </c>
      <c r="DJ217" s="54" t="str">
        <f t="shared" ref="DJ217" si="2662">IFERROR(P217*CV217,"-")</f>
        <v>-</v>
      </c>
      <c r="DK217" s="54" t="str">
        <f t="shared" ref="DK217" si="2663">IFERROR(Q217*CW217,"-")</f>
        <v>-</v>
      </c>
      <c r="DL217" s="54" t="str">
        <f t="shared" ref="DL217" si="2664">IFERROR(R217*CX217,"-")</f>
        <v>-</v>
      </c>
      <c r="DM217" s="54" t="str">
        <f t="shared" ref="DM217" si="2665">IFERROR(S217*CY217,"-")</f>
        <v>-</v>
      </c>
      <c r="DN217" s="54" t="str">
        <f t="shared" ref="DN217" si="2666">IFERROR(T217*CZ217,"-")</f>
        <v>-</v>
      </c>
      <c r="DO217" s="54" t="str">
        <f t="shared" ref="DO217" si="2667">IFERROR(U217*DA217,"-")</f>
        <v>-</v>
      </c>
      <c r="DP217" s="54" t="str">
        <f t="shared" ref="DP217" si="2668">IFERROR(V217*DB217,"-")</f>
        <v>-</v>
      </c>
      <c r="DQ217" s="54" t="str">
        <f t="shared" ref="DQ217" si="2669">IFERROR(W217*DC217,"-")</f>
        <v>-</v>
      </c>
      <c r="DR217" s="54" t="str">
        <f t="shared" ref="DR217" si="2670">IFERROR(X217*DD217,"-")</f>
        <v>-</v>
      </c>
      <c r="DT217" s="112">
        <f t="shared" ref="DT217" si="2671">SUM(DU217:EF217)</f>
        <v>18.882973955178684</v>
      </c>
      <c r="DU217" s="114">
        <f>IFERROR(SUMIFS('01. KE30'!$X:$X,'01. KE30'!$C:$C,'06. BC BH THEO CUSTOMER-USD'!$D217,'01. KE30'!$F:$F,'06. BC BH THEO CUSTOMER-USD'!$H217,'01. KE30'!$A:$A,'06. BC BH THEO CUSTOMER-USD'!DU$4)-SUMIFS('01. KE30'!$AA:$AA,'01. KE30'!$C:$C,'06. BC BH THEO CUSTOMER-USD'!$D217,'01. KE30'!$F:$F,'06. BC BH THEO CUSTOMER-USD'!$H217,'01. KE30'!$A:$A,'06. BC BH THEO CUSTOMER-USD'!DU$4),"-")</f>
        <v>0</v>
      </c>
      <c r="DV217" s="114">
        <f>IFERROR(SUMIFS('01. KE30'!$X:$X,'01. KE30'!$C:$C,'06. BC BH THEO CUSTOMER-USD'!$D217,'01. KE30'!$F:$F,'06. BC BH THEO CUSTOMER-USD'!$H217,'01. KE30'!$A:$A,'06. BC BH THEO CUSTOMER-USD'!DV$4)-SUMIFS('01. KE30'!$AA:$AA,'01. KE30'!$C:$C,'06. BC BH THEO CUSTOMER-USD'!$D217,'01. KE30'!$F:$F,'06. BC BH THEO CUSTOMER-USD'!$H217,'01. KE30'!$A:$A,'06. BC BH THEO CUSTOMER-USD'!DV$4),"-")</f>
        <v>0</v>
      </c>
      <c r="DW217" s="114">
        <f>IFERROR(SUMIFS('01. KE30'!$X:$X,'01. KE30'!$C:$C,'06. BC BH THEO CUSTOMER-USD'!$D217,'01. KE30'!$F:$F,'06. BC BH THEO CUSTOMER-USD'!$H217,'01. KE30'!$A:$A,'06. BC BH THEO CUSTOMER-USD'!DW$4)-SUMIFS('01. KE30'!$AA:$AA,'01. KE30'!$C:$C,'06. BC BH THEO CUSTOMER-USD'!$D217,'01. KE30'!$F:$F,'06. BC BH THEO CUSTOMER-USD'!$H217,'01. KE30'!$A:$A,'06. BC BH THEO CUSTOMER-USD'!DW$4),"-")</f>
        <v>18.882973955178684</v>
      </c>
      <c r="DX217" s="114">
        <f>IFERROR(SUMIFS('01. KE30'!$X:$X,'01. KE30'!$C:$C,'06. BC BH THEO CUSTOMER-USD'!$D217,'01. KE30'!$F:$F,'06. BC BH THEO CUSTOMER-USD'!$H217,'01. KE30'!$A:$A,'06. BC BH THEO CUSTOMER-USD'!DX$4)-SUMIFS('01. KE30'!$AA:$AA,'01. KE30'!$C:$C,'06. BC BH THEO CUSTOMER-USD'!$D217,'01. KE30'!$F:$F,'06. BC BH THEO CUSTOMER-USD'!$H217,'01. KE30'!$A:$A,'06. BC BH THEO CUSTOMER-USD'!DX$4),"-")</f>
        <v>0</v>
      </c>
      <c r="DY217" s="114">
        <f>IFERROR(SUMIFS('01. KE30'!$X:$X,'01. KE30'!$C:$C,'06. BC BH THEO CUSTOMER-USD'!$D217,'01. KE30'!$F:$F,'06. BC BH THEO CUSTOMER-USD'!$H217,'01. KE30'!$A:$A,'06. BC BH THEO CUSTOMER-USD'!DY$4)-SUMIFS('01. KE30'!$AA:$AA,'01. KE30'!$C:$C,'06. BC BH THEO CUSTOMER-USD'!$D217,'01. KE30'!$F:$F,'06. BC BH THEO CUSTOMER-USD'!$H217,'01. KE30'!$A:$A,'06. BC BH THEO CUSTOMER-USD'!DY$4),"-")</f>
        <v>0</v>
      </c>
      <c r="DZ217" s="114">
        <f>IFERROR(SUMIFS('01. KE30'!$X:$X,'01. KE30'!$C:$C,'06. BC BH THEO CUSTOMER-USD'!$D217,'01. KE30'!$F:$F,'06. BC BH THEO CUSTOMER-USD'!$H217,'01. KE30'!$A:$A,'06. BC BH THEO CUSTOMER-USD'!DZ$4)-SUMIFS('01. KE30'!$AA:$AA,'01. KE30'!$C:$C,'06. BC BH THEO CUSTOMER-USD'!$D217,'01. KE30'!$F:$F,'06. BC BH THEO CUSTOMER-USD'!$H217,'01. KE30'!$A:$A,'06. BC BH THEO CUSTOMER-USD'!DZ$4),"-")</f>
        <v>0</v>
      </c>
      <c r="EA217" s="114">
        <f>IFERROR(SUMIFS('01. KE30'!$X:$X,'01. KE30'!$C:$C,'06. BC BH THEO CUSTOMER-USD'!$D217,'01. KE30'!$F:$F,'06. BC BH THEO CUSTOMER-USD'!$H217,'01. KE30'!$A:$A,'06. BC BH THEO CUSTOMER-USD'!EA$4)-SUMIFS('01. KE30'!$AA:$AA,'01. KE30'!$C:$C,'06. BC BH THEO CUSTOMER-USD'!$D217,'01. KE30'!$F:$F,'06. BC BH THEO CUSTOMER-USD'!$H217,'01. KE30'!$A:$A,'06. BC BH THEO CUSTOMER-USD'!EA$4),"-")</f>
        <v>0</v>
      </c>
      <c r="EB217" s="114">
        <f>IFERROR(SUMIFS('01. KE30'!$X:$X,'01. KE30'!$C:$C,'06. BC BH THEO CUSTOMER-USD'!$D217,'01. KE30'!$F:$F,'06. BC BH THEO CUSTOMER-USD'!$H217,'01. KE30'!$A:$A,'06. BC BH THEO CUSTOMER-USD'!EB$4)-SUMIFS('01. KE30'!$AA:$AA,'01. KE30'!$C:$C,'06. BC BH THEO CUSTOMER-USD'!$D217,'01. KE30'!$F:$F,'06. BC BH THEO CUSTOMER-USD'!$H217,'01. KE30'!$A:$A,'06. BC BH THEO CUSTOMER-USD'!EB$4),"-")</f>
        <v>0</v>
      </c>
      <c r="EC217" s="114">
        <f>IFERROR(SUMIFS('01. KE30'!$X:$X,'01. KE30'!$C:$C,'06. BC BH THEO CUSTOMER-USD'!$D217,'01. KE30'!$F:$F,'06. BC BH THEO CUSTOMER-USD'!$H217,'01. KE30'!$A:$A,'06. BC BH THEO CUSTOMER-USD'!EC$4)-SUMIFS('01. KE30'!$AA:$AA,'01. KE30'!$C:$C,'06. BC BH THEO CUSTOMER-USD'!$D217,'01. KE30'!$F:$F,'06. BC BH THEO CUSTOMER-USD'!$H217,'01. KE30'!$A:$A,'06. BC BH THEO CUSTOMER-USD'!EC$4),"-")</f>
        <v>0</v>
      </c>
      <c r="ED217" s="114">
        <f>IFERROR(SUMIFS('01. KE30'!$X:$X,'01. KE30'!$C:$C,'06. BC BH THEO CUSTOMER-USD'!$D217,'01. KE30'!$F:$F,'06. BC BH THEO CUSTOMER-USD'!$H217,'01. KE30'!$A:$A,'06. BC BH THEO CUSTOMER-USD'!ED$4)-SUMIFS('01. KE30'!$AA:$AA,'01. KE30'!$C:$C,'06. BC BH THEO CUSTOMER-USD'!$D217,'01. KE30'!$F:$F,'06. BC BH THEO CUSTOMER-USD'!$H217,'01. KE30'!$A:$A,'06. BC BH THEO CUSTOMER-USD'!ED$4),"-")</f>
        <v>0</v>
      </c>
      <c r="EE217" s="114">
        <f>IFERROR(SUMIFS('01. KE30'!$X:$X,'01. KE30'!$C:$C,'06. BC BH THEO CUSTOMER-USD'!$D217,'01. KE30'!$F:$F,'06. BC BH THEO CUSTOMER-USD'!$H217,'01. KE30'!$A:$A,'06. BC BH THEO CUSTOMER-USD'!EE$4)-SUMIFS('01. KE30'!$AA:$AA,'01. KE30'!$C:$C,'06. BC BH THEO CUSTOMER-USD'!$D217,'01. KE30'!$F:$F,'06. BC BH THEO CUSTOMER-USD'!$H217,'01. KE30'!$A:$A,'06. BC BH THEO CUSTOMER-USD'!EE$4),"-")</f>
        <v>0</v>
      </c>
      <c r="EF217" s="114">
        <f>IFERROR(SUMIFS('01. KE30'!$X:$X,'01. KE30'!$C:$C,'06. BC BH THEO CUSTOMER-USD'!$D217,'01. KE30'!$F:$F,'06. BC BH THEO CUSTOMER-USD'!$H217,'01. KE30'!$A:$A,'06. BC BH THEO CUSTOMER-USD'!EF$4)-SUMIFS('01. KE30'!$AA:$AA,'01. KE30'!$C:$C,'06. BC BH THEO CUSTOMER-USD'!$D217,'01. KE30'!$F:$F,'06. BC BH THEO CUSTOMER-USD'!$H217,'01. KE30'!$A:$A,'06. BC BH THEO CUSTOMER-USD'!EF$4),"-")</f>
        <v>0</v>
      </c>
      <c r="EH217" s="571">
        <f t="shared" ref="EH217" si="2672">IFERROR(DT217/DF217,"-")</f>
        <v>0.34940957722232319</v>
      </c>
      <c r="EI217" s="572" t="str">
        <f t="shared" ref="EI217" si="2673">IFERROR(DU217/DG217,"-")</f>
        <v>-</v>
      </c>
      <c r="EJ217" s="572" t="str">
        <f t="shared" ref="EJ217" si="2674">IFERROR(DV217/DH217,"-")</f>
        <v>-</v>
      </c>
      <c r="EK217" s="572">
        <f t="shared" ref="EK217" si="2675">IFERROR(DW217/DI217,"-")</f>
        <v>0.34940957722232319</v>
      </c>
      <c r="EL217" s="572" t="str">
        <f t="shared" ref="EL217" si="2676">IFERROR(DX217/DJ217,"-")</f>
        <v>-</v>
      </c>
      <c r="EM217" s="572" t="str">
        <f t="shared" ref="EM217" si="2677">IFERROR(DY217/DK217,"-")</f>
        <v>-</v>
      </c>
      <c r="EN217" s="572" t="str">
        <f t="shared" ref="EN217" si="2678">IFERROR(DZ217/DL217,"-")</f>
        <v>-</v>
      </c>
      <c r="EO217" s="572" t="str">
        <f t="shared" ref="EO217" si="2679">IFERROR(EA217/DM217,"-")</f>
        <v>-</v>
      </c>
      <c r="EP217" s="572" t="str">
        <f t="shared" ref="EP217" si="2680">IFERROR(EB217/DN217,"-")</f>
        <v>-</v>
      </c>
      <c r="EQ217" s="572" t="str">
        <f t="shared" ref="EQ217" si="2681">IFERROR(EC217/DO217,"-")</f>
        <v>-</v>
      </c>
      <c r="ER217" s="572" t="str">
        <f t="shared" ref="ER217" si="2682">IFERROR(ED217/DP217,"-")</f>
        <v>-</v>
      </c>
      <c r="ES217" s="572" t="str">
        <f t="shared" ref="ES217" si="2683">IFERROR(EE217/DQ217,"-")</f>
        <v>-</v>
      </c>
      <c r="ET217" s="572" t="str">
        <f t="shared" ref="ET217" si="2684">IFERROR(EF217/DR217,"-")</f>
        <v>-</v>
      </c>
    </row>
    <row r="218" spans="1:150" ht="15.5" outlineLevel="1" x14ac:dyDescent="0.35">
      <c r="A218" s="10"/>
      <c r="B218" s="10" t="s">
        <v>23</v>
      </c>
      <c r="C218" s="442" t="s">
        <v>489</v>
      </c>
      <c r="D218" s="9" t="s">
        <v>108</v>
      </c>
      <c r="E218" s="8" t="s">
        <v>107</v>
      </c>
      <c r="F218" s="12" t="s">
        <v>245</v>
      </c>
      <c r="G218" s="12" t="str">
        <f>_xlfn.XLOOKUP(F218,'Quy đổi'!$G$5:$G$32,'Quy đổi'!$H$5:$H$32,0)</f>
        <v>Nội địa</v>
      </c>
      <c r="H218" s="80" t="s">
        <v>349</v>
      </c>
      <c r="I218" s="7" t="s">
        <v>350</v>
      </c>
      <c r="J218" s="69" t="s">
        <v>22</v>
      </c>
      <c r="K218" s="5"/>
      <c r="L218" s="92" t="str">
        <f t="shared" ref="L218" si="2685">IFERROR(AVERAGE(M218:X218),"-")</f>
        <v>-</v>
      </c>
      <c r="M218" s="106" t="str">
        <f>IFERROR(SUMIFS('01. KE30'!$K:$K,'01. KE30'!$C:$C,'06. BC BH THEO CUSTOMER-USD'!$D218,'01. KE30'!$F:$F,'06. BC BH THEO CUSTOMER-USD'!$H218,'01. KE30'!$A:$A,'06. BC BH THEO CUSTOMER-USD'!M$4)/'06. BC BH THEO CUSTOMER-USD'!CS218/'02. Tỷ giá'!B$5,"-")</f>
        <v>-</v>
      </c>
      <c r="N218" s="106" t="str">
        <f>IFERROR(SUMIFS('01. KE30'!$K:$K,'01. KE30'!$C:$C,'06. BC BH THEO CUSTOMER-USD'!$D218,'01. KE30'!$F:$F,'06. BC BH THEO CUSTOMER-USD'!$H218,'01. KE30'!$A:$A,'06. BC BH THEO CUSTOMER-USD'!N$4)/'06. BC BH THEO CUSTOMER-USD'!CT218/'02. Tỷ giá'!C$5,"-")</f>
        <v>-</v>
      </c>
      <c r="O218" s="106" t="str">
        <f>IFERROR(SUMIFS('01. KE30'!$K:$K,'01. KE30'!$C:$C,'06. BC BH THEO CUSTOMER-USD'!$D218,'01. KE30'!$F:$F,'06. BC BH THEO CUSTOMER-USD'!$H218,'01. KE30'!$A:$A,'06. BC BH THEO CUSTOMER-USD'!O$4)/'06. BC BH THEO CUSTOMER-USD'!CU218/'02. Tỷ giá'!D$5,"-")</f>
        <v>-</v>
      </c>
      <c r="P218" s="106" t="str">
        <f>IFERROR(SUMIFS('01. KE30'!$K:$K,'01. KE30'!$C:$C,'06. BC BH THEO CUSTOMER-USD'!$D218,'01. KE30'!$F:$F,'06. BC BH THEO CUSTOMER-USD'!$H218,'01. KE30'!$A:$A,'06. BC BH THEO CUSTOMER-USD'!P$4)/'06. BC BH THEO CUSTOMER-USD'!CV218/'02. Tỷ giá'!E$5,"-")</f>
        <v>-</v>
      </c>
      <c r="Q218" s="106" t="str">
        <f>IFERROR(SUMIFS('01. KE30'!$K:$K,'01. KE30'!$C:$C,'06. BC BH THEO CUSTOMER-USD'!$D218,'01. KE30'!$F:$F,'06. BC BH THEO CUSTOMER-USD'!$H218,'01. KE30'!$A:$A,'06. BC BH THEO CUSTOMER-USD'!Q$4)/'06. BC BH THEO CUSTOMER-USD'!CW218/'02. Tỷ giá'!F$5,"-")</f>
        <v>-</v>
      </c>
      <c r="R218" s="106" t="str">
        <f>IFERROR(SUMIFS('01. KE30'!$K:$K,'01. KE30'!$C:$C,'06. BC BH THEO CUSTOMER-USD'!$D218,'01. KE30'!$F:$F,'06. BC BH THEO CUSTOMER-USD'!$H218,'01. KE30'!$A:$A,'06. BC BH THEO CUSTOMER-USD'!R$4)/'06. BC BH THEO CUSTOMER-USD'!CX218/'02. Tỷ giá'!G$5,"-")</f>
        <v>-</v>
      </c>
      <c r="S218" s="106" t="str">
        <f>IFERROR(SUMIFS('01. KE30'!$K:$K,'01. KE30'!$C:$C,'06. BC BH THEO CUSTOMER-USD'!$D218,'01. KE30'!$F:$F,'06. BC BH THEO CUSTOMER-USD'!$H218,'01. KE30'!$A:$A,'06. BC BH THEO CUSTOMER-USD'!S$4)/'06. BC BH THEO CUSTOMER-USD'!CY218/'02. Tỷ giá'!H$5,"-")</f>
        <v>-</v>
      </c>
      <c r="T218" s="106" t="str">
        <f>IFERROR(SUMIFS('01. KE30'!$K:$K,'01. KE30'!$C:$C,'06. BC BH THEO CUSTOMER-USD'!$D218,'01. KE30'!$F:$F,'06. BC BH THEO CUSTOMER-USD'!$H218,'01. KE30'!$A:$A,'06. BC BH THEO CUSTOMER-USD'!T$4)/'06. BC BH THEO CUSTOMER-USD'!CZ218/'02. Tỷ giá'!I$5,"-")</f>
        <v>-</v>
      </c>
      <c r="U218" s="106" t="str">
        <f>IFERROR(SUMIFS('01. KE30'!$K:$K,'01. KE30'!$C:$C,'06. BC BH THEO CUSTOMER-USD'!$D218,'01. KE30'!$F:$F,'06. BC BH THEO CUSTOMER-USD'!$H218,'01. KE30'!$A:$A,'06. BC BH THEO CUSTOMER-USD'!U$4)/'06. BC BH THEO CUSTOMER-USD'!DA218/'02. Tỷ giá'!J$5,"-")</f>
        <v>-</v>
      </c>
      <c r="V218" s="106" t="str">
        <f>IFERROR(SUMIFS('01. KE30'!$K:$K,'01. KE30'!$C:$C,'06. BC BH THEO CUSTOMER-USD'!$D218,'01. KE30'!$F:$F,'06. BC BH THEO CUSTOMER-USD'!$H218,'01. KE30'!$A:$A,'06. BC BH THEO CUSTOMER-USD'!V$4)/'06. BC BH THEO CUSTOMER-USD'!DB218/'02. Tỷ giá'!K$5,"-")</f>
        <v>-</v>
      </c>
      <c r="W218" s="106" t="str">
        <f>IFERROR(SUMIFS('01. KE30'!$K:$K,'01. KE30'!$C:$C,'06. BC BH THEO CUSTOMER-USD'!$D218,'01. KE30'!$F:$F,'06. BC BH THEO CUSTOMER-USD'!$H218,'01. KE30'!$A:$A,'06. BC BH THEO CUSTOMER-USD'!W$4)/'06. BC BH THEO CUSTOMER-USD'!DC218/'02. Tỷ giá'!L$5,"-")</f>
        <v>-</v>
      </c>
      <c r="X218" s="106" t="str">
        <f>IFERROR(SUMIFS('01. KE30'!$K:$K,'01. KE30'!$C:$C,'06. BC BH THEO CUSTOMER-USD'!$D218,'01. KE30'!$F:$F,'06. BC BH THEO CUSTOMER-USD'!$H218,'01. KE30'!$A:$A,'06. BC BH THEO CUSTOMER-USD'!X$4)/'06. BC BH THEO CUSTOMER-USD'!DD218/'02. Tỷ giá'!M$5,"-")</f>
        <v>-</v>
      </c>
      <c r="Z218" s="92" t="str">
        <f t="shared" ref="Z218" si="2686">IFERROR(AVERAGE(AA218:AL218),"-")</f>
        <v>-</v>
      </c>
      <c r="AA218" s="147" t="str">
        <f>IFERROR(SUMIFS('01. KE30'!$O:$O,'01. KE30'!$C:$C,'06. BC BH THEO CUSTOMER-USD'!$D218,'01. KE30'!$F:$F,'06. BC BH THEO CUSTOMER-USD'!$H218,'01. KE30'!$A:$A,'06. BC BH THEO CUSTOMER-USD'!M$4)/'06. BC BH THEO CUSTOMER-USD'!CS218/'02. Tỷ giá'!B$5,"-")</f>
        <v>-</v>
      </c>
      <c r="AB218" s="147" t="str">
        <f>IFERROR(SUMIFS('01. KE30'!$O:$O,'01. KE30'!$C:$C,'06. BC BH THEO CUSTOMER-USD'!$D218,'01. KE30'!$F:$F,'06. BC BH THEO CUSTOMER-USD'!$H218,'01. KE30'!$A:$A,'06. BC BH THEO CUSTOMER-USD'!N$4)/'06. BC BH THEO CUSTOMER-USD'!CT218/'02. Tỷ giá'!C$5,"-")</f>
        <v>-</v>
      </c>
      <c r="AC218" s="147" t="str">
        <f>IFERROR(SUMIFS('01. KE30'!$O:$O,'01. KE30'!$C:$C,'06. BC BH THEO CUSTOMER-USD'!$D218,'01. KE30'!$F:$F,'06. BC BH THEO CUSTOMER-USD'!$H218,'01. KE30'!$A:$A,'06. BC BH THEO CUSTOMER-USD'!O$4)/'06. BC BH THEO CUSTOMER-USD'!CU218/'02. Tỷ giá'!D$5,"-")</f>
        <v>-</v>
      </c>
      <c r="AD218" s="147" t="str">
        <f>IFERROR(SUMIFS('01. KE30'!$O:$O,'01. KE30'!$C:$C,'06. BC BH THEO CUSTOMER-USD'!$D218,'01. KE30'!$F:$F,'06. BC BH THEO CUSTOMER-USD'!$H218,'01. KE30'!$A:$A,'06. BC BH THEO CUSTOMER-USD'!P$4)/'06. BC BH THEO CUSTOMER-USD'!CV218/'02. Tỷ giá'!E$5,"-")</f>
        <v>-</v>
      </c>
      <c r="AE218" s="147" t="str">
        <f>IFERROR(SUMIFS('01. KE30'!$O:$O,'01. KE30'!$C:$C,'06. BC BH THEO CUSTOMER-USD'!$D218,'01. KE30'!$F:$F,'06. BC BH THEO CUSTOMER-USD'!$H218,'01. KE30'!$A:$A,'06. BC BH THEO CUSTOMER-USD'!Q$4)/'06. BC BH THEO CUSTOMER-USD'!CW218/'02. Tỷ giá'!F$5,"-")</f>
        <v>-</v>
      </c>
      <c r="AF218" s="147" t="str">
        <f>IFERROR(SUMIFS('01. KE30'!$O:$O,'01. KE30'!$C:$C,'06. BC BH THEO CUSTOMER-USD'!$D218,'01. KE30'!$F:$F,'06. BC BH THEO CUSTOMER-USD'!$H218,'01. KE30'!$A:$A,'06. BC BH THEO CUSTOMER-USD'!R$4)/'06. BC BH THEO CUSTOMER-USD'!CX218/'02. Tỷ giá'!G$5,"-")</f>
        <v>-</v>
      </c>
      <c r="AG218" s="147" t="str">
        <f>IFERROR(SUMIFS('01. KE30'!$O:$O,'01. KE30'!$C:$C,'06. BC BH THEO CUSTOMER-USD'!$D218,'01. KE30'!$F:$F,'06. BC BH THEO CUSTOMER-USD'!$H218,'01. KE30'!$A:$A,'06. BC BH THEO CUSTOMER-USD'!S$4)/'06. BC BH THEO CUSTOMER-USD'!CY218/'02. Tỷ giá'!H$5,"-")</f>
        <v>-</v>
      </c>
      <c r="AH218" s="147" t="str">
        <f>IFERROR(SUMIFS('01. KE30'!$O:$O,'01. KE30'!$C:$C,'06. BC BH THEO CUSTOMER-USD'!$D218,'01. KE30'!$F:$F,'06. BC BH THEO CUSTOMER-USD'!$H218,'01. KE30'!$A:$A,'06. BC BH THEO CUSTOMER-USD'!T$4)/'06. BC BH THEO CUSTOMER-USD'!CZ218/'02. Tỷ giá'!I$5,"-")</f>
        <v>-</v>
      </c>
      <c r="AI218" s="147" t="str">
        <f>IFERROR(SUMIFS('01. KE30'!$O:$O,'01. KE30'!$C:$C,'06. BC BH THEO CUSTOMER-USD'!$D218,'01. KE30'!$F:$F,'06. BC BH THEO CUSTOMER-USD'!$H218,'01. KE30'!$A:$A,'06. BC BH THEO CUSTOMER-USD'!U$4)/'06. BC BH THEO CUSTOMER-USD'!DA218/'02. Tỷ giá'!J$5,"-")</f>
        <v>-</v>
      </c>
      <c r="AJ218" s="147" t="str">
        <f>IFERROR(SUMIFS('01. KE30'!$O:$O,'01. KE30'!$C:$C,'06. BC BH THEO CUSTOMER-USD'!$D218,'01. KE30'!$F:$F,'06. BC BH THEO CUSTOMER-USD'!$H218,'01. KE30'!$A:$A,'06. BC BH THEO CUSTOMER-USD'!V$4)/'06. BC BH THEO CUSTOMER-USD'!DB218/'02. Tỷ giá'!K$5,"-")</f>
        <v>-</v>
      </c>
      <c r="AK218" s="147" t="str">
        <f>IFERROR(SUMIFS('01. KE30'!$O:$O,'01. KE30'!$C:$C,'06. BC BH THEO CUSTOMER-USD'!$D218,'01. KE30'!$F:$F,'06. BC BH THEO CUSTOMER-USD'!$H218,'01. KE30'!$A:$A,'06. BC BH THEO CUSTOMER-USD'!W$4)/'06. BC BH THEO CUSTOMER-USD'!DC218/'02. Tỷ giá'!L$5,"-")</f>
        <v>-</v>
      </c>
      <c r="AL218" s="147" t="str">
        <f>IFERROR(SUMIFS('01. KE30'!$O:$O,'01. KE30'!$C:$C,'06. BC BH THEO CUSTOMER-USD'!$D218,'01. KE30'!$F:$F,'06. BC BH THEO CUSTOMER-USD'!$H218,'01. KE30'!$A:$A,'06. BC BH THEO CUSTOMER-USD'!X$4)/'06. BC BH THEO CUSTOMER-USD'!DD218/'02. Tỷ giá'!M$5,"-")</f>
        <v>-</v>
      </c>
      <c r="AN218" s="92">
        <f t="shared" ref="AN218" si="2687">IFERROR(AVERAGE(AO218:AZ218),"-")</f>
        <v>815.55555555555554</v>
      </c>
      <c r="AO218" s="4">
        <v>900</v>
      </c>
      <c r="AP218" s="4">
        <v>820</v>
      </c>
      <c r="AQ218" s="4">
        <v>840</v>
      </c>
      <c r="AR218" s="4">
        <v>835</v>
      </c>
      <c r="AS218" s="4">
        <v>815</v>
      </c>
      <c r="AT218" s="4">
        <v>815</v>
      </c>
      <c r="AU218" s="4">
        <v>790</v>
      </c>
      <c r="AV218" s="4">
        <f t="shared" si="2518"/>
        <v>770</v>
      </c>
      <c r="AW218" s="4">
        <v>755</v>
      </c>
      <c r="AX218" s="4"/>
      <c r="AY218" s="4"/>
      <c r="AZ218" s="4"/>
      <c r="BB218" s="95" t="str">
        <f t="shared" ref="BB218" si="2688">IF(L218&lt;&gt;"-",Z218-AN218,"-")</f>
        <v>-</v>
      </c>
      <c r="BC218" s="95" t="str">
        <f t="shared" ref="BC218" si="2689">IF(M218&lt;&gt;"-",AA218-AO218,"-")</f>
        <v>-</v>
      </c>
      <c r="BD218" s="95" t="str">
        <f t="shared" ref="BD218" si="2690">IF(N218&lt;&gt;"-",AB218-AP218,"-")</f>
        <v>-</v>
      </c>
      <c r="BE218" s="95" t="str">
        <f t="shared" ref="BE218" si="2691">IF(O218&lt;&gt;"-",AC218-AQ218,"-")</f>
        <v>-</v>
      </c>
      <c r="BF218" s="95" t="str">
        <f t="shared" ref="BF218" si="2692">IF(P218&lt;&gt;"-",AD218-AR218,"-")</f>
        <v>-</v>
      </c>
      <c r="BG218" s="95" t="str">
        <f t="shared" ref="BG218" si="2693">IF(Q218&lt;&gt;"-",AE218-AS218,"-")</f>
        <v>-</v>
      </c>
      <c r="BH218" s="95" t="str">
        <f t="shared" ref="BH218" si="2694">IF(R218&lt;&gt;"-",AF218-AT218,"-")</f>
        <v>-</v>
      </c>
      <c r="BI218" s="95" t="str">
        <f t="shared" ref="BI218" si="2695">IF(S218&lt;&gt;"-",AG218-AU218,"-")</f>
        <v>-</v>
      </c>
      <c r="BJ218" s="95" t="str">
        <f t="shared" ref="BJ218" si="2696">IF(T218&lt;&gt;"-",AH218-AV218,"-")</f>
        <v>-</v>
      </c>
      <c r="BK218" s="95" t="str">
        <f t="shared" ref="BK218" si="2697">IF(U218&lt;&gt;"-",AI218-AW218,"-")</f>
        <v>-</v>
      </c>
      <c r="BL218" s="95" t="str">
        <f t="shared" ref="BL218" si="2698">IF(V218&lt;&gt;"-",AJ218-AX218,"-")</f>
        <v>-</v>
      </c>
      <c r="BM218" s="95" t="str">
        <f t="shared" ref="BM218" si="2699">IF(W218&lt;&gt;"-",AK218-AY218,"-")</f>
        <v>-</v>
      </c>
      <c r="BN218" s="95" t="str">
        <f t="shared" ref="BN218" si="2700">IF(X218&lt;&gt;"-",AL218-AZ218,"-")</f>
        <v>-</v>
      </c>
      <c r="BP218" s="143" t="str">
        <f t="shared" ref="BP218" si="2701">IFERROR(IF(BB218&lt;&gt;"-",BB218/AN218,"-"),"-")</f>
        <v>-</v>
      </c>
      <c r="BQ218" s="143" t="str">
        <f t="shared" ref="BQ218" si="2702">IFERROR(IF(BC218&lt;&gt;"-",BC218/AO218,"-"),"-")</f>
        <v>-</v>
      </c>
      <c r="BR218" s="143" t="str">
        <f t="shared" ref="BR218" si="2703">IFERROR(IF(BD218&lt;&gt;"-",BD218/AP218,"-"),"-")</f>
        <v>-</v>
      </c>
      <c r="BS218" s="143" t="str">
        <f t="shared" ref="BS218" si="2704">IFERROR(IF(BE218&lt;&gt;"-",BE218/AQ218,"-"),"-")</f>
        <v>-</v>
      </c>
      <c r="BT218" s="143" t="str">
        <f t="shared" ref="BT218" si="2705">IFERROR(IF(BF218&lt;&gt;"-",BF218/AR218,"-"),"-")</f>
        <v>-</v>
      </c>
      <c r="BU218" s="143" t="str">
        <f t="shared" ref="BU218" si="2706">IFERROR(IF(BG218&lt;&gt;"-",BG218/AS218,"-"),"-")</f>
        <v>-</v>
      </c>
      <c r="BV218" s="143" t="str">
        <f t="shared" ref="BV218" si="2707">IFERROR(IF(BH218&lt;&gt;"-",BH218/AT218,"-"),"-")</f>
        <v>-</v>
      </c>
      <c r="BW218" s="143" t="str">
        <f t="shared" ref="BW218" si="2708">IFERROR(IF(BI218&lt;&gt;"-",BI218/AU218,"-"),"-")</f>
        <v>-</v>
      </c>
      <c r="BX218" s="143" t="str">
        <f t="shared" ref="BX218" si="2709">IFERROR(IF(BJ218&lt;&gt;"-",BJ218/AV218,"-"),"-")</f>
        <v>-</v>
      </c>
      <c r="BY218" s="143" t="str">
        <f t="shared" ref="BY218" si="2710">IFERROR(IF(BK218&lt;&gt;"-",BK218/AW218,"-"),"-")</f>
        <v>-</v>
      </c>
      <c r="BZ218" s="143" t="str">
        <f t="shared" ref="BZ218" si="2711">IFERROR(IF(BL218&lt;&gt;"-",BL218/AX218,"-"),"-")</f>
        <v>-</v>
      </c>
      <c r="CA218" s="143" t="str">
        <f t="shared" ref="CA218" si="2712">IFERROR(IF(BM218&lt;&gt;"-",BM218/AY218,"-"),"-")</f>
        <v>-</v>
      </c>
      <c r="CB218" s="143" t="str">
        <f t="shared" ref="CB218" si="2713">IFERROR(IF(BN218&lt;&gt;"-",BN218/AZ218,"-"),"-")</f>
        <v>-</v>
      </c>
      <c r="CD218" s="112" t="str">
        <f t="shared" si="2500"/>
        <v>-</v>
      </c>
      <c r="CE218" s="95" t="str">
        <f>IFERROR(SUMIFS('01. KE30'!$R:$R,'01. KE30'!$C:$C,'06. BC BH THEO CUSTOMER-USD'!$D218,'01. KE30'!$F:$F,'06. BC BH THEO CUSTOMER-USD'!$H218,'01. KE30'!$A:$A,'06. BC BH THEO CUSTOMER-USD'!CE$4)/CS218/'02. Tỷ giá'!B$5," -")</f>
        <v xml:space="preserve"> -</v>
      </c>
      <c r="CF218" s="95" t="str">
        <f>IFERROR(SUMIFS('01. KE30'!$R:$R,'01. KE30'!$C:$C,'06. BC BH THEO CUSTOMER-USD'!$D218,'01. KE30'!$F:$F,'06. BC BH THEO CUSTOMER-USD'!$H218,'01. KE30'!$A:$A,'06. BC BH THEO CUSTOMER-USD'!CF$4)/CT218/'02. Tỷ giá'!C$5," -")</f>
        <v xml:space="preserve"> -</v>
      </c>
      <c r="CG218" s="95" t="str">
        <f>IFERROR(SUMIFS('01. KE30'!$R:$R,'01. KE30'!$C:$C,'06. BC BH THEO CUSTOMER-USD'!$D218,'01. KE30'!$F:$F,'06. BC BH THEO CUSTOMER-USD'!$H218,'01. KE30'!$A:$A,'06. BC BH THEO CUSTOMER-USD'!CG$4)/CU218/'02. Tỷ giá'!D$5," -")</f>
        <v xml:space="preserve"> -</v>
      </c>
      <c r="CH218" s="95" t="str">
        <f>IFERROR(SUMIFS('01. KE30'!$R:$R,'01. KE30'!$C:$C,'06. BC BH THEO CUSTOMER-USD'!$D218,'01. KE30'!$F:$F,'06. BC BH THEO CUSTOMER-USD'!$H218,'01. KE30'!$A:$A,'06. BC BH THEO CUSTOMER-USD'!CH$4)/CV218/'02. Tỷ giá'!E$5," -")</f>
        <v xml:space="preserve"> -</v>
      </c>
      <c r="CI218" s="95" t="str">
        <f>IFERROR(SUMIFS('01. KE30'!$R:$R,'01. KE30'!$C:$C,'06. BC BH THEO CUSTOMER-USD'!$D218,'01. KE30'!$F:$F,'06. BC BH THEO CUSTOMER-USD'!$H218,'01. KE30'!$A:$A,'06. BC BH THEO CUSTOMER-USD'!CI$4)/CW218/'02. Tỷ giá'!F$5," -")</f>
        <v xml:space="preserve"> -</v>
      </c>
      <c r="CJ218" s="95" t="str">
        <f>IFERROR(SUMIFS('01. KE30'!$R:$R,'01. KE30'!$C:$C,'06. BC BH THEO CUSTOMER-USD'!$D218,'01. KE30'!$F:$F,'06. BC BH THEO CUSTOMER-USD'!$H218,'01. KE30'!$A:$A,'06. BC BH THEO CUSTOMER-USD'!CJ$4)/CX218/'02. Tỷ giá'!G$5," -")</f>
        <v xml:space="preserve"> -</v>
      </c>
      <c r="CK218" s="95" t="str">
        <f>IFERROR(SUMIFS('01. KE30'!$R:$R,'01. KE30'!$C:$C,'06. BC BH THEO CUSTOMER-USD'!$D218,'01. KE30'!$F:$F,'06. BC BH THEO CUSTOMER-USD'!$H218,'01. KE30'!$A:$A,'06. BC BH THEO CUSTOMER-USD'!CK$4)/CY218/'02. Tỷ giá'!H$5," -")</f>
        <v xml:space="preserve"> -</v>
      </c>
      <c r="CL218" s="95" t="str">
        <f>IFERROR(SUMIFS('01. KE30'!$R:$R,'01. KE30'!$C:$C,'06. BC BH THEO CUSTOMER-USD'!$D218,'01. KE30'!$F:$F,'06. BC BH THEO CUSTOMER-USD'!$H218,'01. KE30'!$A:$A,'06. BC BH THEO CUSTOMER-USD'!CL$4)/CZ218/'02. Tỷ giá'!I$5," -")</f>
        <v xml:space="preserve"> -</v>
      </c>
      <c r="CM218" s="95" t="str">
        <f>IFERROR(SUMIFS('01. KE30'!$R:$R,'01. KE30'!$C:$C,'06. BC BH THEO CUSTOMER-USD'!$D218,'01. KE30'!$F:$F,'06. BC BH THEO CUSTOMER-USD'!$H218,'01. KE30'!$A:$A,'06. BC BH THEO CUSTOMER-USD'!CM$4)/DA218/'02. Tỷ giá'!J$5," -")</f>
        <v xml:space="preserve"> -</v>
      </c>
      <c r="CN218" s="95" t="str">
        <f>IFERROR(SUMIFS('01. KE30'!$R:$R,'01. KE30'!$C:$C,'06. BC BH THEO CUSTOMER-USD'!$D218,'01. KE30'!$F:$F,'06. BC BH THEO CUSTOMER-USD'!$H218,'01. KE30'!$A:$A,'06. BC BH THEO CUSTOMER-USD'!CN$4)/DB218/'02. Tỷ giá'!K$5," -")</f>
        <v xml:space="preserve"> -</v>
      </c>
      <c r="CO218" s="95" t="str">
        <f>IFERROR(SUMIFS('01. KE30'!$R:$R,'01. KE30'!$C:$C,'06. BC BH THEO CUSTOMER-USD'!$D218,'01. KE30'!$F:$F,'06. BC BH THEO CUSTOMER-USD'!$H218,'01. KE30'!$A:$A,'06. BC BH THEO CUSTOMER-USD'!CO$4)/DC218/'02. Tỷ giá'!L$5," -")</f>
        <v xml:space="preserve"> -</v>
      </c>
      <c r="CP218" s="95" t="str">
        <f>IFERROR(SUMIFS('01. KE30'!$R:$R,'01. KE30'!$C:$C,'06. BC BH THEO CUSTOMER-USD'!$D218,'01. KE30'!$F:$F,'06. BC BH THEO CUSTOMER-USD'!$H218,'01. KE30'!$A:$A,'06. BC BH THEO CUSTOMER-USD'!CP$4)/DD218/'02. Tỷ giá'!M$5," -")</f>
        <v xml:space="preserve"> -</v>
      </c>
      <c r="CR218" s="112">
        <f t="shared" ref="CR218" si="2714">SUM(CS218:DD218)</f>
        <v>0</v>
      </c>
      <c r="CS218" s="114">
        <f>SUMIFS('01. KE30'!$I:$I,'01. KE30'!$C:$C,'06. BC BH THEO CUSTOMER-USD'!$D218,'01. KE30'!$F:$F,'06. BC BH THEO CUSTOMER-USD'!$H218,'01. KE30'!$A:$A,'06. BC BH THEO CUSTOMER-USD'!CS$4)/1000</f>
        <v>0</v>
      </c>
      <c r="CT218" s="114">
        <f>SUMIFS('01. KE30'!$I:$I,'01. KE30'!$C:$C,'06. BC BH THEO CUSTOMER-USD'!$D218,'01. KE30'!$F:$F,'06. BC BH THEO CUSTOMER-USD'!$H218,'01. KE30'!$A:$A,'06. BC BH THEO CUSTOMER-USD'!CT$4)/1000</f>
        <v>0</v>
      </c>
      <c r="CU218" s="114">
        <f>SUMIFS('01. KE30'!$I:$I,'01. KE30'!$C:$C,'06. BC BH THEO CUSTOMER-USD'!$D218,'01. KE30'!$F:$F,'06. BC BH THEO CUSTOMER-USD'!$H218,'01. KE30'!$A:$A,'06. BC BH THEO CUSTOMER-USD'!CU$4)/1000</f>
        <v>0</v>
      </c>
      <c r="CV218" s="114">
        <f>SUMIFS('01. KE30'!$I:$I,'01. KE30'!$C:$C,'06. BC BH THEO CUSTOMER-USD'!$D218,'01. KE30'!$F:$F,'06. BC BH THEO CUSTOMER-USD'!$H218,'01. KE30'!$A:$A,'06. BC BH THEO CUSTOMER-USD'!CV$4)/1000</f>
        <v>0</v>
      </c>
      <c r="CW218" s="114">
        <f>SUMIFS('01. KE30'!$I:$I,'01. KE30'!$C:$C,'06. BC BH THEO CUSTOMER-USD'!$D218,'01. KE30'!$F:$F,'06. BC BH THEO CUSTOMER-USD'!$H218,'01. KE30'!$A:$A,'06. BC BH THEO CUSTOMER-USD'!CW$4)/1000</f>
        <v>0</v>
      </c>
      <c r="CX218" s="114">
        <f>SUMIFS('01. KE30'!$I:$I,'01. KE30'!$C:$C,'06. BC BH THEO CUSTOMER-USD'!$D218,'01. KE30'!$F:$F,'06. BC BH THEO CUSTOMER-USD'!$H218,'01. KE30'!$A:$A,'06. BC BH THEO CUSTOMER-USD'!CX$4)/1000</f>
        <v>0</v>
      </c>
      <c r="CY218" s="114">
        <f>SUMIFS('01. KE30'!$I:$I,'01. KE30'!$C:$C,'06. BC BH THEO CUSTOMER-USD'!$D218,'01. KE30'!$F:$F,'06. BC BH THEO CUSTOMER-USD'!$H218,'01. KE30'!$A:$A,'06. BC BH THEO CUSTOMER-USD'!CY$4)/1000</f>
        <v>0</v>
      </c>
      <c r="CZ218" s="114">
        <f>SUMIFS('01. KE30'!$I:$I,'01. KE30'!$C:$C,'06. BC BH THEO CUSTOMER-USD'!$D218,'01. KE30'!$F:$F,'06. BC BH THEO CUSTOMER-USD'!$H218,'01. KE30'!$A:$A,'06. BC BH THEO CUSTOMER-USD'!CZ$4)/1000</f>
        <v>0</v>
      </c>
      <c r="DA218" s="114">
        <f>SUMIFS('01. KE30'!$I:$I,'01. KE30'!$C:$C,'06. BC BH THEO CUSTOMER-USD'!$D218,'01. KE30'!$F:$F,'06. BC BH THEO CUSTOMER-USD'!$H218,'01. KE30'!$A:$A,'06. BC BH THEO CUSTOMER-USD'!DA$4)/1000</f>
        <v>0</v>
      </c>
      <c r="DB218" s="114">
        <f>SUMIFS('01. KE30'!$I:$I,'01. KE30'!$C:$C,'06. BC BH THEO CUSTOMER-USD'!$D218,'01. KE30'!$F:$F,'06. BC BH THEO CUSTOMER-USD'!$H218,'01. KE30'!$A:$A,'06. BC BH THEO CUSTOMER-USD'!DB$4)/1000</f>
        <v>0</v>
      </c>
      <c r="DC218" s="114">
        <f>SUMIFS('01. KE30'!$I:$I,'01. KE30'!$C:$C,'06. BC BH THEO CUSTOMER-USD'!$D218,'01. KE30'!$F:$F,'06. BC BH THEO CUSTOMER-USD'!$H218,'01. KE30'!$A:$A,'06. BC BH THEO CUSTOMER-USD'!DC$4)/1000</f>
        <v>0</v>
      </c>
      <c r="DD218" s="114">
        <f>SUMIFS('01. KE30'!$I:$I,'01. KE30'!$C:$C,'06. BC BH THEO CUSTOMER-USD'!$D218,'01. KE30'!$F:$F,'06. BC BH THEO CUSTOMER-USD'!$H218,'01. KE30'!$A:$A,'06. BC BH THEO CUSTOMER-USD'!DD$4)/1000</f>
        <v>0</v>
      </c>
      <c r="DF218" s="112">
        <f t="shared" ref="DF218" si="2715">SUM(DG218:DR218)</f>
        <v>0</v>
      </c>
      <c r="DG218" s="54" t="str">
        <f t="shared" ref="DG218" si="2716">IFERROR(M218*CS218,"-")</f>
        <v>-</v>
      </c>
      <c r="DH218" s="54" t="str">
        <f t="shared" ref="DH218" si="2717">IFERROR(N218*CT218,"-")</f>
        <v>-</v>
      </c>
      <c r="DI218" s="54" t="str">
        <f t="shared" ref="DI218" si="2718">IFERROR(O218*CU218,"-")</f>
        <v>-</v>
      </c>
      <c r="DJ218" s="54" t="str">
        <f t="shared" ref="DJ218" si="2719">IFERROR(P218*CV218,"-")</f>
        <v>-</v>
      </c>
      <c r="DK218" s="54" t="str">
        <f t="shared" ref="DK218" si="2720">IFERROR(Q218*CW218,"-")</f>
        <v>-</v>
      </c>
      <c r="DL218" s="54" t="str">
        <f t="shared" ref="DL218" si="2721">IFERROR(R218*CX218,"-")</f>
        <v>-</v>
      </c>
      <c r="DM218" s="54" t="str">
        <f t="shared" ref="DM218" si="2722">IFERROR(S218*CY218,"-")</f>
        <v>-</v>
      </c>
      <c r="DN218" s="54" t="str">
        <f t="shared" ref="DN218" si="2723">IFERROR(T218*CZ218,"-")</f>
        <v>-</v>
      </c>
      <c r="DO218" s="54" t="str">
        <f t="shared" ref="DO218" si="2724">IFERROR(U218*DA218,"-")</f>
        <v>-</v>
      </c>
      <c r="DP218" s="54" t="str">
        <f t="shared" ref="DP218" si="2725">IFERROR(V218*DB218,"-")</f>
        <v>-</v>
      </c>
      <c r="DQ218" s="54" t="str">
        <f t="shared" ref="DQ218" si="2726">IFERROR(W218*DC218,"-")</f>
        <v>-</v>
      </c>
      <c r="DR218" s="54" t="str">
        <f t="shared" ref="DR218" si="2727">IFERROR(X218*DD218,"-")</f>
        <v>-</v>
      </c>
      <c r="DT218" s="112">
        <f t="shared" ref="DT218" si="2728">SUM(DU218:EF218)</f>
        <v>0</v>
      </c>
      <c r="DU218" s="114">
        <f>IFERROR(SUMIFS('01. KE30'!$X:$X,'01. KE30'!$C:$C,'06. BC BH THEO CUSTOMER-USD'!$D218,'01. KE30'!$F:$F,'06. BC BH THEO CUSTOMER-USD'!$H218,'01. KE30'!$A:$A,'06. BC BH THEO CUSTOMER-USD'!DU$4)-SUMIFS('01. KE30'!$AA:$AA,'01. KE30'!$C:$C,'06. BC BH THEO CUSTOMER-USD'!$D218,'01. KE30'!$F:$F,'06. BC BH THEO CUSTOMER-USD'!$H218,'01. KE30'!$A:$A,'06. BC BH THEO CUSTOMER-USD'!DU$4),"-")</f>
        <v>0</v>
      </c>
      <c r="DV218" s="114">
        <f>IFERROR(SUMIFS('01. KE30'!$X:$X,'01. KE30'!$C:$C,'06. BC BH THEO CUSTOMER-USD'!$D218,'01. KE30'!$F:$F,'06. BC BH THEO CUSTOMER-USD'!$H218,'01. KE30'!$A:$A,'06. BC BH THEO CUSTOMER-USD'!DV$4)-SUMIFS('01. KE30'!$AA:$AA,'01. KE30'!$C:$C,'06. BC BH THEO CUSTOMER-USD'!$D218,'01. KE30'!$F:$F,'06. BC BH THEO CUSTOMER-USD'!$H218,'01. KE30'!$A:$A,'06. BC BH THEO CUSTOMER-USD'!DV$4),"-")</f>
        <v>0</v>
      </c>
      <c r="DW218" s="114">
        <f>IFERROR(SUMIFS('01. KE30'!$X:$X,'01. KE30'!$C:$C,'06. BC BH THEO CUSTOMER-USD'!$D218,'01. KE30'!$F:$F,'06. BC BH THEO CUSTOMER-USD'!$H218,'01. KE30'!$A:$A,'06. BC BH THEO CUSTOMER-USD'!DW$4)-SUMIFS('01. KE30'!$AA:$AA,'01. KE30'!$C:$C,'06. BC BH THEO CUSTOMER-USD'!$D218,'01. KE30'!$F:$F,'06. BC BH THEO CUSTOMER-USD'!$H218,'01. KE30'!$A:$A,'06. BC BH THEO CUSTOMER-USD'!DW$4),"-")</f>
        <v>0</v>
      </c>
      <c r="DX218" s="114">
        <f>IFERROR(SUMIFS('01. KE30'!$X:$X,'01. KE30'!$C:$C,'06. BC BH THEO CUSTOMER-USD'!$D218,'01. KE30'!$F:$F,'06. BC BH THEO CUSTOMER-USD'!$H218,'01. KE30'!$A:$A,'06. BC BH THEO CUSTOMER-USD'!DX$4)-SUMIFS('01. KE30'!$AA:$AA,'01. KE30'!$C:$C,'06. BC BH THEO CUSTOMER-USD'!$D218,'01. KE30'!$F:$F,'06. BC BH THEO CUSTOMER-USD'!$H218,'01. KE30'!$A:$A,'06. BC BH THEO CUSTOMER-USD'!DX$4),"-")</f>
        <v>0</v>
      </c>
      <c r="DY218" s="114">
        <f>IFERROR(SUMIFS('01. KE30'!$X:$X,'01. KE30'!$C:$C,'06. BC BH THEO CUSTOMER-USD'!$D218,'01. KE30'!$F:$F,'06. BC BH THEO CUSTOMER-USD'!$H218,'01. KE30'!$A:$A,'06. BC BH THEO CUSTOMER-USD'!DY$4)-SUMIFS('01. KE30'!$AA:$AA,'01. KE30'!$C:$C,'06. BC BH THEO CUSTOMER-USD'!$D218,'01. KE30'!$F:$F,'06. BC BH THEO CUSTOMER-USD'!$H218,'01. KE30'!$A:$A,'06. BC BH THEO CUSTOMER-USD'!DY$4),"-")</f>
        <v>0</v>
      </c>
      <c r="DZ218" s="114">
        <f>IFERROR(SUMIFS('01. KE30'!$X:$X,'01. KE30'!$C:$C,'06. BC BH THEO CUSTOMER-USD'!$D218,'01. KE30'!$F:$F,'06. BC BH THEO CUSTOMER-USD'!$H218,'01. KE30'!$A:$A,'06. BC BH THEO CUSTOMER-USD'!DZ$4)-SUMIFS('01. KE30'!$AA:$AA,'01. KE30'!$C:$C,'06. BC BH THEO CUSTOMER-USD'!$D218,'01. KE30'!$F:$F,'06. BC BH THEO CUSTOMER-USD'!$H218,'01. KE30'!$A:$A,'06. BC BH THEO CUSTOMER-USD'!DZ$4),"-")</f>
        <v>0</v>
      </c>
      <c r="EA218" s="114">
        <f>IFERROR(SUMIFS('01. KE30'!$X:$X,'01. KE30'!$C:$C,'06. BC BH THEO CUSTOMER-USD'!$D218,'01. KE30'!$F:$F,'06. BC BH THEO CUSTOMER-USD'!$H218,'01. KE30'!$A:$A,'06. BC BH THEO CUSTOMER-USD'!EA$4)-SUMIFS('01. KE30'!$AA:$AA,'01. KE30'!$C:$C,'06. BC BH THEO CUSTOMER-USD'!$D218,'01. KE30'!$F:$F,'06. BC BH THEO CUSTOMER-USD'!$H218,'01. KE30'!$A:$A,'06. BC BH THEO CUSTOMER-USD'!EA$4),"-")</f>
        <v>0</v>
      </c>
      <c r="EB218" s="114">
        <f>IFERROR(SUMIFS('01. KE30'!$X:$X,'01. KE30'!$C:$C,'06. BC BH THEO CUSTOMER-USD'!$D218,'01. KE30'!$F:$F,'06. BC BH THEO CUSTOMER-USD'!$H218,'01. KE30'!$A:$A,'06. BC BH THEO CUSTOMER-USD'!EB$4)-SUMIFS('01. KE30'!$AA:$AA,'01. KE30'!$C:$C,'06. BC BH THEO CUSTOMER-USD'!$D218,'01. KE30'!$F:$F,'06. BC BH THEO CUSTOMER-USD'!$H218,'01. KE30'!$A:$A,'06. BC BH THEO CUSTOMER-USD'!EB$4),"-")</f>
        <v>0</v>
      </c>
      <c r="EC218" s="114">
        <f>IFERROR(SUMIFS('01. KE30'!$X:$X,'01. KE30'!$C:$C,'06. BC BH THEO CUSTOMER-USD'!$D218,'01. KE30'!$F:$F,'06. BC BH THEO CUSTOMER-USD'!$H218,'01. KE30'!$A:$A,'06. BC BH THEO CUSTOMER-USD'!EC$4)-SUMIFS('01. KE30'!$AA:$AA,'01. KE30'!$C:$C,'06. BC BH THEO CUSTOMER-USD'!$D218,'01. KE30'!$F:$F,'06. BC BH THEO CUSTOMER-USD'!$H218,'01. KE30'!$A:$A,'06. BC BH THEO CUSTOMER-USD'!EC$4),"-")</f>
        <v>0</v>
      </c>
      <c r="ED218" s="114">
        <f>IFERROR(SUMIFS('01. KE30'!$X:$X,'01. KE30'!$C:$C,'06. BC BH THEO CUSTOMER-USD'!$D218,'01. KE30'!$F:$F,'06. BC BH THEO CUSTOMER-USD'!$H218,'01. KE30'!$A:$A,'06. BC BH THEO CUSTOMER-USD'!ED$4)-SUMIFS('01. KE30'!$AA:$AA,'01. KE30'!$C:$C,'06. BC BH THEO CUSTOMER-USD'!$D218,'01. KE30'!$F:$F,'06. BC BH THEO CUSTOMER-USD'!$H218,'01. KE30'!$A:$A,'06. BC BH THEO CUSTOMER-USD'!ED$4),"-")</f>
        <v>0</v>
      </c>
      <c r="EE218" s="114">
        <f>IFERROR(SUMIFS('01. KE30'!$X:$X,'01. KE30'!$C:$C,'06. BC BH THEO CUSTOMER-USD'!$D218,'01. KE30'!$F:$F,'06. BC BH THEO CUSTOMER-USD'!$H218,'01. KE30'!$A:$A,'06. BC BH THEO CUSTOMER-USD'!EE$4)-SUMIFS('01. KE30'!$AA:$AA,'01. KE30'!$C:$C,'06. BC BH THEO CUSTOMER-USD'!$D218,'01. KE30'!$F:$F,'06. BC BH THEO CUSTOMER-USD'!$H218,'01. KE30'!$A:$A,'06. BC BH THEO CUSTOMER-USD'!EE$4),"-")</f>
        <v>0</v>
      </c>
      <c r="EF218" s="114">
        <f>IFERROR(SUMIFS('01. KE30'!$X:$X,'01. KE30'!$C:$C,'06. BC BH THEO CUSTOMER-USD'!$D218,'01. KE30'!$F:$F,'06. BC BH THEO CUSTOMER-USD'!$H218,'01. KE30'!$A:$A,'06. BC BH THEO CUSTOMER-USD'!EF$4)-SUMIFS('01. KE30'!$AA:$AA,'01. KE30'!$C:$C,'06. BC BH THEO CUSTOMER-USD'!$D218,'01. KE30'!$F:$F,'06. BC BH THEO CUSTOMER-USD'!$H218,'01. KE30'!$A:$A,'06. BC BH THEO CUSTOMER-USD'!EF$4),"-")</f>
        <v>0</v>
      </c>
      <c r="EH218" s="571" t="str">
        <f t="shared" si="1737"/>
        <v>-</v>
      </c>
      <c r="EI218" s="572" t="str">
        <f t="shared" si="1738"/>
        <v>-</v>
      </c>
      <c r="EJ218" s="572" t="str">
        <f t="shared" si="1739"/>
        <v>-</v>
      </c>
      <c r="EK218" s="572" t="str">
        <f t="shared" si="1740"/>
        <v>-</v>
      </c>
      <c r="EL218" s="572" t="str">
        <f t="shared" si="1741"/>
        <v>-</v>
      </c>
      <c r="EM218" s="572" t="str">
        <f t="shared" si="1742"/>
        <v>-</v>
      </c>
      <c r="EN218" s="572" t="str">
        <f t="shared" si="1743"/>
        <v>-</v>
      </c>
      <c r="EO218" s="572" t="str">
        <f t="shared" si="1744"/>
        <v>-</v>
      </c>
      <c r="EP218" s="572" t="str">
        <f t="shared" si="1745"/>
        <v>-</v>
      </c>
      <c r="EQ218" s="572" t="str">
        <f t="shared" si="1746"/>
        <v>-</v>
      </c>
      <c r="ER218" s="572" t="str">
        <f t="shared" si="1747"/>
        <v>-</v>
      </c>
      <c r="ES218" s="572" t="str">
        <f t="shared" si="1748"/>
        <v>-</v>
      </c>
      <c r="ET218" s="572" t="str">
        <f t="shared" si="1749"/>
        <v>-</v>
      </c>
    </row>
    <row r="219" spans="1:150" ht="15.5" outlineLevel="1" x14ac:dyDescent="0.35">
      <c r="A219" s="10"/>
      <c r="B219" s="10" t="s">
        <v>23</v>
      </c>
      <c r="C219" s="442" t="s">
        <v>489</v>
      </c>
      <c r="D219" s="9" t="s">
        <v>961</v>
      </c>
      <c r="E219" s="8" t="s">
        <v>962</v>
      </c>
      <c r="F219" s="12" t="s">
        <v>245</v>
      </c>
      <c r="G219" s="12" t="str">
        <f>_xlfn.XLOOKUP(F219,'Quy đổi'!$G$5:$G$32,'Quy đổi'!$H$5:$H$32,0)</f>
        <v>Nội địa</v>
      </c>
      <c r="H219" s="80" t="s">
        <v>231</v>
      </c>
      <c r="I219" s="7" t="s">
        <v>232</v>
      </c>
      <c r="J219" s="69" t="s">
        <v>22</v>
      </c>
      <c r="K219" s="5"/>
      <c r="L219" s="92">
        <f t="shared" ref="L219" si="2729">IFERROR(AVERAGE(M219:X219),"-")</f>
        <v>806.76142912024591</v>
      </c>
      <c r="M219" s="106" t="str">
        <f>IFERROR(SUMIFS('01. KE30'!$K:$K,'01. KE30'!$C:$C,'06. BC BH THEO CUSTOMER-USD'!$D219,'01. KE30'!$F:$F,'06. BC BH THEO CUSTOMER-USD'!$H219,'01. KE30'!$A:$A,'06. BC BH THEO CUSTOMER-USD'!M$4)/'06. BC BH THEO CUSTOMER-USD'!CS219/'02. Tỷ giá'!B$5,"-")</f>
        <v>-</v>
      </c>
      <c r="N219" s="106" t="str">
        <f>IFERROR(SUMIFS('01. KE30'!$K:$K,'01. KE30'!$C:$C,'06. BC BH THEO CUSTOMER-USD'!$D219,'01. KE30'!$F:$F,'06. BC BH THEO CUSTOMER-USD'!$H219,'01. KE30'!$A:$A,'06. BC BH THEO CUSTOMER-USD'!N$4)/'06. BC BH THEO CUSTOMER-USD'!CT219/'02. Tỷ giá'!C$5,"-")</f>
        <v>-</v>
      </c>
      <c r="O219" s="106" t="str">
        <f>IFERROR(SUMIFS('01. KE30'!$K:$K,'01. KE30'!$C:$C,'06. BC BH THEO CUSTOMER-USD'!$D219,'01. KE30'!$F:$F,'06. BC BH THEO CUSTOMER-USD'!$H219,'01. KE30'!$A:$A,'06. BC BH THEO CUSTOMER-USD'!O$4)/'06. BC BH THEO CUSTOMER-USD'!CU219/'02. Tỷ giá'!D$5,"-")</f>
        <v>-</v>
      </c>
      <c r="P219" s="106" t="str">
        <f>IFERROR(SUMIFS('01. KE30'!$K:$K,'01. KE30'!$C:$C,'06. BC BH THEO CUSTOMER-USD'!$D219,'01. KE30'!$F:$F,'06. BC BH THEO CUSTOMER-USD'!$H219,'01. KE30'!$A:$A,'06. BC BH THEO CUSTOMER-USD'!P$4)/'06. BC BH THEO CUSTOMER-USD'!CV219/'02. Tỷ giá'!E$5,"-")</f>
        <v>-</v>
      </c>
      <c r="Q219" s="106" t="str">
        <f>IFERROR(SUMIFS('01. KE30'!$K:$K,'01. KE30'!$C:$C,'06. BC BH THEO CUSTOMER-USD'!$D219,'01. KE30'!$F:$F,'06. BC BH THEO CUSTOMER-USD'!$H219,'01. KE30'!$A:$A,'06. BC BH THEO CUSTOMER-USD'!Q$4)/'06. BC BH THEO CUSTOMER-USD'!CW219/'02. Tỷ giá'!F$5,"-")</f>
        <v>-</v>
      </c>
      <c r="R219" s="106" t="str">
        <f>IFERROR(SUMIFS('01. KE30'!$K:$K,'01. KE30'!$C:$C,'06. BC BH THEO CUSTOMER-USD'!$D219,'01. KE30'!$F:$F,'06. BC BH THEO CUSTOMER-USD'!$H219,'01. KE30'!$A:$A,'06. BC BH THEO CUSTOMER-USD'!R$4)/'06. BC BH THEO CUSTOMER-USD'!CX219/'02. Tỷ giá'!G$5,"-")</f>
        <v>-</v>
      </c>
      <c r="S219" s="106">
        <f>IFERROR(SUMIFS('01. KE30'!$K:$K,'01. KE30'!$C:$C,'06. BC BH THEO CUSTOMER-USD'!$D219,'01. KE30'!$F:$F,'06. BC BH THEO CUSTOMER-USD'!$H219,'01. KE30'!$A:$A,'06. BC BH THEO CUSTOMER-USD'!S$4)/'06. BC BH THEO CUSTOMER-USD'!CY219/'02. Tỷ giá'!H$5,"-")</f>
        <v>806.76142912024591</v>
      </c>
      <c r="T219" s="106" t="str">
        <f>IFERROR(SUMIFS('01. KE30'!$K:$K,'01. KE30'!$C:$C,'06. BC BH THEO CUSTOMER-USD'!$D219,'01. KE30'!$F:$F,'06. BC BH THEO CUSTOMER-USD'!$H219,'01. KE30'!$A:$A,'06. BC BH THEO CUSTOMER-USD'!T$4)/'06. BC BH THEO CUSTOMER-USD'!CZ219/'02. Tỷ giá'!I$5,"-")</f>
        <v>-</v>
      </c>
      <c r="U219" s="106" t="str">
        <f>IFERROR(SUMIFS('01. KE30'!$K:$K,'01. KE30'!$C:$C,'06. BC BH THEO CUSTOMER-USD'!$D219,'01. KE30'!$F:$F,'06. BC BH THEO CUSTOMER-USD'!$H219,'01. KE30'!$A:$A,'06. BC BH THEO CUSTOMER-USD'!U$4)/'06. BC BH THEO CUSTOMER-USD'!DA219/'02. Tỷ giá'!J$5,"-")</f>
        <v>-</v>
      </c>
      <c r="V219" s="106" t="str">
        <f>IFERROR(SUMIFS('01. KE30'!$K:$K,'01. KE30'!$C:$C,'06. BC BH THEO CUSTOMER-USD'!$D219,'01. KE30'!$F:$F,'06. BC BH THEO CUSTOMER-USD'!$H219,'01. KE30'!$A:$A,'06. BC BH THEO CUSTOMER-USD'!V$4)/'06. BC BH THEO CUSTOMER-USD'!DB219/'02. Tỷ giá'!K$5,"-")</f>
        <v>-</v>
      </c>
      <c r="W219" s="106" t="str">
        <f>IFERROR(SUMIFS('01. KE30'!$K:$K,'01. KE30'!$C:$C,'06. BC BH THEO CUSTOMER-USD'!$D219,'01. KE30'!$F:$F,'06. BC BH THEO CUSTOMER-USD'!$H219,'01. KE30'!$A:$A,'06. BC BH THEO CUSTOMER-USD'!W$4)/'06. BC BH THEO CUSTOMER-USD'!DC219/'02. Tỷ giá'!L$5,"-")</f>
        <v>-</v>
      </c>
      <c r="X219" s="106" t="str">
        <f>IFERROR(SUMIFS('01. KE30'!$K:$K,'01. KE30'!$C:$C,'06. BC BH THEO CUSTOMER-USD'!$D219,'01. KE30'!$F:$F,'06. BC BH THEO CUSTOMER-USD'!$H219,'01. KE30'!$A:$A,'06. BC BH THEO CUSTOMER-USD'!X$4)/'06. BC BH THEO CUSTOMER-USD'!DD219/'02. Tỷ giá'!M$5,"-")</f>
        <v>-</v>
      </c>
      <c r="Z219" s="92">
        <f t="shared" ref="Z219" si="2730">IFERROR(AVERAGE(AA219:AL219),"-")</f>
        <v>806.76142912024591</v>
      </c>
      <c r="AA219" s="147" t="str">
        <f>IFERROR(SUMIFS('01. KE30'!$O:$O,'01. KE30'!$C:$C,'06. BC BH THEO CUSTOMER-USD'!$D219,'01. KE30'!$F:$F,'06. BC BH THEO CUSTOMER-USD'!$H219,'01. KE30'!$A:$A,'06. BC BH THEO CUSTOMER-USD'!M$4)/'06. BC BH THEO CUSTOMER-USD'!CS219/'02. Tỷ giá'!B$5,"-")</f>
        <v>-</v>
      </c>
      <c r="AB219" s="147" t="str">
        <f>IFERROR(SUMIFS('01. KE30'!$O:$O,'01. KE30'!$C:$C,'06. BC BH THEO CUSTOMER-USD'!$D219,'01. KE30'!$F:$F,'06. BC BH THEO CUSTOMER-USD'!$H219,'01. KE30'!$A:$A,'06. BC BH THEO CUSTOMER-USD'!N$4)/'06. BC BH THEO CUSTOMER-USD'!CT219/'02. Tỷ giá'!C$5,"-")</f>
        <v>-</v>
      </c>
      <c r="AC219" s="147" t="str">
        <f>IFERROR(SUMIFS('01. KE30'!$O:$O,'01. KE30'!$C:$C,'06. BC BH THEO CUSTOMER-USD'!$D219,'01. KE30'!$F:$F,'06. BC BH THEO CUSTOMER-USD'!$H219,'01. KE30'!$A:$A,'06. BC BH THEO CUSTOMER-USD'!O$4)/'06. BC BH THEO CUSTOMER-USD'!CU219/'02. Tỷ giá'!D$5,"-")</f>
        <v>-</v>
      </c>
      <c r="AD219" s="147" t="str">
        <f>IFERROR(SUMIFS('01. KE30'!$O:$O,'01. KE30'!$C:$C,'06. BC BH THEO CUSTOMER-USD'!$D219,'01. KE30'!$F:$F,'06. BC BH THEO CUSTOMER-USD'!$H219,'01. KE30'!$A:$A,'06. BC BH THEO CUSTOMER-USD'!P$4)/'06. BC BH THEO CUSTOMER-USD'!CV219/'02. Tỷ giá'!E$5,"-")</f>
        <v>-</v>
      </c>
      <c r="AE219" s="147" t="str">
        <f>IFERROR(SUMIFS('01. KE30'!$O:$O,'01. KE30'!$C:$C,'06. BC BH THEO CUSTOMER-USD'!$D219,'01. KE30'!$F:$F,'06. BC BH THEO CUSTOMER-USD'!$H219,'01. KE30'!$A:$A,'06. BC BH THEO CUSTOMER-USD'!Q$4)/'06. BC BH THEO CUSTOMER-USD'!CW219/'02. Tỷ giá'!F$5,"-")</f>
        <v>-</v>
      </c>
      <c r="AF219" s="147" t="str">
        <f>IFERROR(SUMIFS('01. KE30'!$O:$O,'01. KE30'!$C:$C,'06. BC BH THEO CUSTOMER-USD'!$D219,'01. KE30'!$F:$F,'06. BC BH THEO CUSTOMER-USD'!$H219,'01. KE30'!$A:$A,'06. BC BH THEO CUSTOMER-USD'!R$4)/'06. BC BH THEO CUSTOMER-USD'!CX219/'02. Tỷ giá'!G$5,"-")</f>
        <v>-</v>
      </c>
      <c r="AG219" s="147">
        <f>IFERROR(SUMIFS('01. KE30'!$O:$O,'01. KE30'!$C:$C,'06. BC BH THEO CUSTOMER-USD'!$D219,'01. KE30'!$F:$F,'06. BC BH THEO CUSTOMER-USD'!$H219,'01. KE30'!$A:$A,'06. BC BH THEO CUSTOMER-USD'!S$4)/'06. BC BH THEO CUSTOMER-USD'!CY219/'02. Tỷ giá'!H$5,"-")</f>
        <v>806.76142912024591</v>
      </c>
      <c r="AH219" s="147" t="str">
        <f>IFERROR(SUMIFS('01. KE30'!$O:$O,'01. KE30'!$C:$C,'06. BC BH THEO CUSTOMER-USD'!$D219,'01. KE30'!$F:$F,'06. BC BH THEO CUSTOMER-USD'!$H219,'01. KE30'!$A:$A,'06. BC BH THEO CUSTOMER-USD'!T$4)/'06. BC BH THEO CUSTOMER-USD'!CZ219/'02. Tỷ giá'!I$5,"-")</f>
        <v>-</v>
      </c>
      <c r="AI219" s="147" t="str">
        <f>IFERROR(SUMIFS('01. KE30'!$O:$O,'01. KE30'!$C:$C,'06. BC BH THEO CUSTOMER-USD'!$D219,'01. KE30'!$F:$F,'06. BC BH THEO CUSTOMER-USD'!$H219,'01. KE30'!$A:$A,'06. BC BH THEO CUSTOMER-USD'!U$4)/'06. BC BH THEO CUSTOMER-USD'!DA219/'02. Tỷ giá'!J$5,"-")</f>
        <v>-</v>
      </c>
      <c r="AJ219" s="147" t="str">
        <f>IFERROR(SUMIFS('01. KE30'!$O:$O,'01. KE30'!$C:$C,'06. BC BH THEO CUSTOMER-USD'!$D219,'01. KE30'!$F:$F,'06. BC BH THEO CUSTOMER-USD'!$H219,'01. KE30'!$A:$A,'06. BC BH THEO CUSTOMER-USD'!V$4)/'06. BC BH THEO CUSTOMER-USD'!DB219/'02. Tỷ giá'!K$5,"-")</f>
        <v>-</v>
      </c>
      <c r="AK219" s="147" t="str">
        <f>IFERROR(SUMIFS('01. KE30'!$O:$O,'01. KE30'!$C:$C,'06. BC BH THEO CUSTOMER-USD'!$D219,'01. KE30'!$F:$F,'06. BC BH THEO CUSTOMER-USD'!$H219,'01. KE30'!$A:$A,'06. BC BH THEO CUSTOMER-USD'!W$4)/'06. BC BH THEO CUSTOMER-USD'!DC219/'02. Tỷ giá'!L$5,"-")</f>
        <v>-</v>
      </c>
      <c r="AL219" s="147" t="str">
        <f>IFERROR(SUMIFS('01. KE30'!$O:$O,'01. KE30'!$C:$C,'06. BC BH THEO CUSTOMER-USD'!$D219,'01. KE30'!$F:$F,'06. BC BH THEO CUSTOMER-USD'!$H219,'01. KE30'!$A:$A,'06. BC BH THEO CUSTOMER-USD'!X$4)/'06. BC BH THEO CUSTOMER-USD'!DD219/'02. Tỷ giá'!M$5,"-")</f>
        <v>-</v>
      </c>
      <c r="AN219" s="92">
        <f t="shared" ref="AN219" si="2731">IFERROR(AVERAGE(AO219:AZ219),"-")</f>
        <v>815.55555555555554</v>
      </c>
      <c r="AO219" s="4">
        <v>900</v>
      </c>
      <c r="AP219" s="4">
        <v>820</v>
      </c>
      <c r="AQ219" s="4">
        <v>840</v>
      </c>
      <c r="AR219" s="4">
        <v>835</v>
      </c>
      <c r="AS219" s="4">
        <v>815</v>
      </c>
      <c r="AT219" s="4">
        <v>815</v>
      </c>
      <c r="AU219" s="4">
        <v>790</v>
      </c>
      <c r="AV219" s="4">
        <f t="shared" si="2518"/>
        <v>770</v>
      </c>
      <c r="AW219" s="4">
        <v>755</v>
      </c>
      <c r="AX219" s="4"/>
      <c r="AY219" s="4"/>
      <c r="AZ219" s="4"/>
      <c r="BB219" s="95">
        <f t="shared" ref="BB219" si="2732">IF(L219&lt;&gt;"-",Z219-AN219,"-")</f>
        <v>-8.7941264353096358</v>
      </c>
      <c r="BC219" s="95" t="str">
        <f t="shared" ref="BC219" si="2733">IF(M219&lt;&gt;"-",AA219-AO219,"-")</f>
        <v>-</v>
      </c>
      <c r="BD219" s="95" t="str">
        <f t="shared" ref="BD219" si="2734">IF(N219&lt;&gt;"-",AB219-AP219,"-")</f>
        <v>-</v>
      </c>
      <c r="BE219" s="95" t="str">
        <f t="shared" ref="BE219" si="2735">IF(O219&lt;&gt;"-",AC219-AQ219,"-")</f>
        <v>-</v>
      </c>
      <c r="BF219" s="95" t="str">
        <f t="shared" ref="BF219" si="2736">IF(P219&lt;&gt;"-",AD219-AR219,"-")</f>
        <v>-</v>
      </c>
      <c r="BG219" s="95" t="str">
        <f t="shared" ref="BG219" si="2737">IF(Q219&lt;&gt;"-",AE219-AS219,"-")</f>
        <v>-</v>
      </c>
      <c r="BH219" s="95" t="str">
        <f t="shared" ref="BH219" si="2738">IF(R219&lt;&gt;"-",AF219-AT219,"-")</f>
        <v>-</v>
      </c>
      <c r="BI219" s="95">
        <f t="shared" ref="BI219" si="2739">IF(S219&lt;&gt;"-",AG219-AU219,"-")</f>
        <v>16.761429120245907</v>
      </c>
      <c r="BJ219" s="95" t="str">
        <f t="shared" ref="BJ219" si="2740">IF(T219&lt;&gt;"-",AH219-AV219,"-")</f>
        <v>-</v>
      </c>
      <c r="BK219" s="95" t="str">
        <f t="shared" ref="BK219" si="2741">IF(U219&lt;&gt;"-",AI219-AW219,"-")</f>
        <v>-</v>
      </c>
      <c r="BL219" s="95" t="str">
        <f t="shared" ref="BL219" si="2742">IF(V219&lt;&gt;"-",AJ219-AX219,"-")</f>
        <v>-</v>
      </c>
      <c r="BM219" s="95" t="str">
        <f t="shared" ref="BM219" si="2743">IF(W219&lt;&gt;"-",AK219-AY219,"-")</f>
        <v>-</v>
      </c>
      <c r="BN219" s="95" t="str">
        <f t="shared" ref="BN219" si="2744">IF(X219&lt;&gt;"-",AL219-AZ219,"-")</f>
        <v>-</v>
      </c>
      <c r="BP219" s="143">
        <f t="shared" ref="BP219" si="2745">IFERROR(IF(BB219&lt;&gt;"-",BB219/AN219,"-"),"-")</f>
        <v>-1.0782988817137155E-2</v>
      </c>
      <c r="BQ219" s="143" t="str">
        <f t="shared" ref="BQ219" si="2746">IFERROR(IF(BC219&lt;&gt;"-",BC219/AO219,"-"),"-")</f>
        <v>-</v>
      </c>
      <c r="BR219" s="143" t="str">
        <f t="shared" ref="BR219" si="2747">IFERROR(IF(BD219&lt;&gt;"-",BD219/AP219,"-"),"-")</f>
        <v>-</v>
      </c>
      <c r="BS219" s="143" t="str">
        <f t="shared" ref="BS219" si="2748">IFERROR(IF(BE219&lt;&gt;"-",BE219/AQ219,"-"),"-")</f>
        <v>-</v>
      </c>
      <c r="BT219" s="143" t="str">
        <f t="shared" ref="BT219" si="2749">IFERROR(IF(BF219&lt;&gt;"-",BF219/AR219,"-"),"-")</f>
        <v>-</v>
      </c>
      <c r="BU219" s="143" t="str">
        <f t="shared" ref="BU219" si="2750">IFERROR(IF(BG219&lt;&gt;"-",BG219/AS219,"-"),"-")</f>
        <v>-</v>
      </c>
      <c r="BV219" s="143" t="str">
        <f t="shared" ref="BV219" si="2751">IFERROR(IF(BH219&lt;&gt;"-",BH219/AT219,"-"),"-")</f>
        <v>-</v>
      </c>
      <c r="BW219" s="143">
        <f t="shared" ref="BW219" si="2752">IFERROR(IF(BI219&lt;&gt;"-",BI219/AU219,"-"),"-")</f>
        <v>2.1216998886387225E-2</v>
      </c>
      <c r="BX219" s="143" t="str">
        <f t="shared" ref="BX219" si="2753">IFERROR(IF(BJ219&lt;&gt;"-",BJ219/AV219,"-"),"-")</f>
        <v>-</v>
      </c>
      <c r="BY219" s="143" t="str">
        <f t="shared" ref="BY219" si="2754">IFERROR(IF(BK219&lt;&gt;"-",BK219/AW219,"-"),"-")</f>
        <v>-</v>
      </c>
      <c r="BZ219" s="143" t="str">
        <f t="shared" ref="BZ219" si="2755">IFERROR(IF(BL219&lt;&gt;"-",BL219/AX219,"-"),"-")</f>
        <v>-</v>
      </c>
      <c r="CA219" s="143" t="str">
        <f t="shared" ref="CA219" si="2756">IFERROR(IF(BM219&lt;&gt;"-",BM219/AY219,"-"),"-")</f>
        <v>-</v>
      </c>
      <c r="CB219" s="143" t="str">
        <f t="shared" ref="CB219" si="2757">IFERROR(IF(BN219&lt;&gt;"-",BN219/AZ219,"-"),"-")</f>
        <v>-</v>
      </c>
      <c r="CD219" s="112">
        <f t="shared" ref="CD219" si="2758">IFERROR(AVERAGE(CE219:CP219),"-")</f>
        <v>1387.7322320399539</v>
      </c>
      <c r="CE219" s="95" t="str">
        <f>IFERROR(SUMIFS('01. KE30'!$R:$R,'01. KE30'!$C:$C,'06. BC BH THEO CUSTOMER-USD'!$D219,'01. KE30'!$F:$F,'06. BC BH THEO CUSTOMER-USD'!$H219,'01. KE30'!$A:$A,'06. BC BH THEO CUSTOMER-USD'!CE$4)/CS219/'02. Tỷ giá'!B$5," -")</f>
        <v xml:space="preserve"> -</v>
      </c>
      <c r="CF219" s="95" t="str">
        <f>IFERROR(SUMIFS('01. KE30'!$R:$R,'01. KE30'!$C:$C,'06. BC BH THEO CUSTOMER-USD'!$D219,'01. KE30'!$F:$F,'06. BC BH THEO CUSTOMER-USD'!$H219,'01. KE30'!$A:$A,'06. BC BH THEO CUSTOMER-USD'!CF$4)/CT219/'02. Tỷ giá'!C$5," -")</f>
        <v xml:space="preserve"> -</v>
      </c>
      <c r="CG219" s="95" t="str">
        <f>IFERROR(SUMIFS('01. KE30'!$R:$R,'01. KE30'!$C:$C,'06. BC BH THEO CUSTOMER-USD'!$D219,'01. KE30'!$F:$F,'06. BC BH THEO CUSTOMER-USD'!$H219,'01. KE30'!$A:$A,'06. BC BH THEO CUSTOMER-USD'!CG$4)/CU219/'02. Tỷ giá'!D$5," -")</f>
        <v xml:space="preserve"> -</v>
      </c>
      <c r="CH219" s="95" t="str">
        <f>IFERROR(SUMIFS('01. KE30'!$R:$R,'01. KE30'!$C:$C,'06. BC BH THEO CUSTOMER-USD'!$D219,'01. KE30'!$F:$F,'06. BC BH THEO CUSTOMER-USD'!$H219,'01. KE30'!$A:$A,'06. BC BH THEO CUSTOMER-USD'!CH$4)/CV219/'02. Tỷ giá'!E$5," -")</f>
        <v xml:space="preserve"> -</v>
      </c>
      <c r="CI219" s="95" t="str">
        <f>IFERROR(SUMIFS('01. KE30'!$R:$R,'01. KE30'!$C:$C,'06. BC BH THEO CUSTOMER-USD'!$D219,'01. KE30'!$F:$F,'06. BC BH THEO CUSTOMER-USD'!$H219,'01. KE30'!$A:$A,'06. BC BH THEO CUSTOMER-USD'!CI$4)/CW219/'02. Tỷ giá'!F$5," -")</f>
        <v xml:space="preserve"> -</v>
      </c>
      <c r="CJ219" s="95" t="str">
        <f>IFERROR(SUMIFS('01. KE30'!$R:$R,'01. KE30'!$C:$C,'06. BC BH THEO CUSTOMER-USD'!$D219,'01. KE30'!$F:$F,'06. BC BH THEO CUSTOMER-USD'!$H219,'01. KE30'!$A:$A,'06. BC BH THEO CUSTOMER-USD'!CJ$4)/CX219/'02. Tỷ giá'!G$5," -")</f>
        <v xml:space="preserve"> -</v>
      </c>
      <c r="CK219" s="95">
        <f>IFERROR(SUMIFS('01. KE30'!$R:$R,'01. KE30'!$C:$C,'06. BC BH THEO CUSTOMER-USD'!$D219,'01. KE30'!$F:$F,'06. BC BH THEO CUSTOMER-USD'!$H219,'01. KE30'!$A:$A,'06. BC BH THEO CUSTOMER-USD'!CK$4)/CY219/'02. Tỷ giá'!H$5," -")</f>
        <v>1387.7322320399539</v>
      </c>
      <c r="CL219" s="95" t="str">
        <f>IFERROR(SUMIFS('01. KE30'!$R:$R,'01. KE30'!$C:$C,'06. BC BH THEO CUSTOMER-USD'!$D219,'01. KE30'!$F:$F,'06. BC BH THEO CUSTOMER-USD'!$H219,'01. KE30'!$A:$A,'06. BC BH THEO CUSTOMER-USD'!CL$4)/CZ219/'02. Tỷ giá'!I$5," -")</f>
        <v xml:space="preserve"> -</v>
      </c>
      <c r="CM219" s="95" t="str">
        <f>IFERROR(SUMIFS('01. KE30'!$R:$R,'01. KE30'!$C:$C,'06. BC BH THEO CUSTOMER-USD'!$D219,'01. KE30'!$F:$F,'06. BC BH THEO CUSTOMER-USD'!$H219,'01. KE30'!$A:$A,'06. BC BH THEO CUSTOMER-USD'!CM$4)/DA219/'02. Tỷ giá'!J$5," -")</f>
        <v xml:space="preserve"> -</v>
      </c>
      <c r="CN219" s="95" t="str">
        <f>IFERROR(SUMIFS('01. KE30'!$R:$R,'01. KE30'!$C:$C,'06. BC BH THEO CUSTOMER-USD'!$D219,'01. KE30'!$F:$F,'06. BC BH THEO CUSTOMER-USD'!$H219,'01. KE30'!$A:$A,'06. BC BH THEO CUSTOMER-USD'!CN$4)/DB219/'02. Tỷ giá'!K$5," -")</f>
        <v xml:space="preserve"> -</v>
      </c>
      <c r="CO219" s="95" t="str">
        <f>IFERROR(SUMIFS('01. KE30'!$R:$R,'01. KE30'!$C:$C,'06. BC BH THEO CUSTOMER-USD'!$D219,'01. KE30'!$F:$F,'06. BC BH THEO CUSTOMER-USD'!$H219,'01. KE30'!$A:$A,'06. BC BH THEO CUSTOMER-USD'!CO$4)/DC219/'02. Tỷ giá'!L$5," -")</f>
        <v xml:space="preserve"> -</v>
      </c>
      <c r="CP219" s="95" t="str">
        <f>IFERROR(SUMIFS('01. KE30'!$R:$R,'01. KE30'!$C:$C,'06. BC BH THEO CUSTOMER-USD'!$D219,'01. KE30'!$F:$F,'06. BC BH THEO CUSTOMER-USD'!$H219,'01. KE30'!$A:$A,'06. BC BH THEO CUSTOMER-USD'!CP$4)/DD219/'02. Tỷ giá'!M$5," -")</f>
        <v xml:space="preserve"> -</v>
      </c>
      <c r="CR219" s="112">
        <f t="shared" ref="CR219" si="2759">SUM(CS219:DD219)</f>
        <v>0.1</v>
      </c>
      <c r="CS219" s="114">
        <f>SUMIFS('01. KE30'!$I:$I,'01. KE30'!$C:$C,'06. BC BH THEO CUSTOMER-USD'!$D219,'01. KE30'!$F:$F,'06. BC BH THEO CUSTOMER-USD'!$H219,'01. KE30'!$A:$A,'06. BC BH THEO CUSTOMER-USD'!CS$4)/1000</f>
        <v>0</v>
      </c>
      <c r="CT219" s="114">
        <f>SUMIFS('01. KE30'!$I:$I,'01. KE30'!$C:$C,'06. BC BH THEO CUSTOMER-USD'!$D219,'01. KE30'!$F:$F,'06. BC BH THEO CUSTOMER-USD'!$H219,'01. KE30'!$A:$A,'06. BC BH THEO CUSTOMER-USD'!CT$4)/1000</f>
        <v>0</v>
      </c>
      <c r="CU219" s="114">
        <f>SUMIFS('01. KE30'!$I:$I,'01. KE30'!$C:$C,'06. BC BH THEO CUSTOMER-USD'!$D219,'01. KE30'!$F:$F,'06. BC BH THEO CUSTOMER-USD'!$H219,'01. KE30'!$A:$A,'06. BC BH THEO CUSTOMER-USD'!CU$4)/1000</f>
        <v>0</v>
      </c>
      <c r="CV219" s="114">
        <f>SUMIFS('01. KE30'!$I:$I,'01. KE30'!$C:$C,'06. BC BH THEO CUSTOMER-USD'!$D219,'01. KE30'!$F:$F,'06. BC BH THEO CUSTOMER-USD'!$H219,'01. KE30'!$A:$A,'06. BC BH THEO CUSTOMER-USD'!CV$4)/1000</f>
        <v>0</v>
      </c>
      <c r="CW219" s="114">
        <f>SUMIFS('01. KE30'!$I:$I,'01. KE30'!$C:$C,'06. BC BH THEO CUSTOMER-USD'!$D219,'01. KE30'!$F:$F,'06. BC BH THEO CUSTOMER-USD'!$H219,'01. KE30'!$A:$A,'06. BC BH THEO CUSTOMER-USD'!CW$4)/1000</f>
        <v>0</v>
      </c>
      <c r="CX219" s="114">
        <f>SUMIFS('01. KE30'!$I:$I,'01. KE30'!$C:$C,'06. BC BH THEO CUSTOMER-USD'!$D219,'01. KE30'!$F:$F,'06. BC BH THEO CUSTOMER-USD'!$H219,'01. KE30'!$A:$A,'06. BC BH THEO CUSTOMER-USD'!CX$4)/1000</f>
        <v>0</v>
      </c>
      <c r="CY219" s="114">
        <f>SUMIFS('01. KE30'!$I:$I,'01. KE30'!$C:$C,'06. BC BH THEO CUSTOMER-USD'!$D219,'01. KE30'!$F:$F,'06. BC BH THEO CUSTOMER-USD'!$H219,'01. KE30'!$A:$A,'06. BC BH THEO CUSTOMER-USD'!CY$4)/1000</f>
        <v>0.1</v>
      </c>
      <c r="CZ219" s="114">
        <f>SUMIFS('01. KE30'!$I:$I,'01. KE30'!$C:$C,'06. BC BH THEO CUSTOMER-USD'!$D219,'01. KE30'!$F:$F,'06. BC BH THEO CUSTOMER-USD'!$H219,'01. KE30'!$A:$A,'06. BC BH THEO CUSTOMER-USD'!CZ$4)/1000</f>
        <v>0</v>
      </c>
      <c r="DA219" s="114">
        <f>SUMIFS('01. KE30'!$I:$I,'01. KE30'!$C:$C,'06. BC BH THEO CUSTOMER-USD'!$D219,'01. KE30'!$F:$F,'06. BC BH THEO CUSTOMER-USD'!$H219,'01. KE30'!$A:$A,'06. BC BH THEO CUSTOMER-USD'!DA$4)/1000</f>
        <v>0</v>
      </c>
      <c r="DB219" s="114">
        <f>SUMIFS('01. KE30'!$I:$I,'01. KE30'!$C:$C,'06. BC BH THEO CUSTOMER-USD'!$D219,'01. KE30'!$F:$F,'06. BC BH THEO CUSTOMER-USD'!$H219,'01. KE30'!$A:$A,'06. BC BH THEO CUSTOMER-USD'!DB$4)/1000</f>
        <v>0</v>
      </c>
      <c r="DC219" s="114">
        <f>SUMIFS('01. KE30'!$I:$I,'01. KE30'!$C:$C,'06. BC BH THEO CUSTOMER-USD'!$D219,'01. KE30'!$F:$F,'06. BC BH THEO CUSTOMER-USD'!$H219,'01. KE30'!$A:$A,'06. BC BH THEO CUSTOMER-USD'!DC$4)/1000</f>
        <v>0</v>
      </c>
      <c r="DD219" s="114">
        <f>SUMIFS('01. KE30'!$I:$I,'01. KE30'!$C:$C,'06. BC BH THEO CUSTOMER-USD'!$D219,'01. KE30'!$F:$F,'06. BC BH THEO CUSTOMER-USD'!$H219,'01. KE30'!$A:$A,'06. BC BH THEO CUSTOMER-USD'!DD$4)/1000</f>
        <v>0</v>
      </c>
      <c r="DF219" s="112">
        <f t="shared" ref="DF219" si="2760">SUM(DG219:DR219)</f>
        <v>80.676142912024602</v>
      </c>
      <c r="DG219" s="54" t="str">
        <f t="shared" ref="DG219" si="2761">IFERROR(M219*CS219,"-")</f>
        <v>-</v>
      </c>
      <c r="DH219" s="54" t="str">
        <f t="shared" ref="DH219" si="2762">IFERROR(N219*CT219,"-")</f>
        <v>-</v>
      </c>
      <c r="DI219" s="54" t="str">
        <f t="shared" ref="DI219" si="2763">IFERROR(O219*CU219,"-")</f>
        <v>-</v>
      </c>
      <c r="DJ219" s="54" t="str">
        <f t="shared" ref="DJ219" si="2764">IFERROR(P219*CV219,"-")</f>
        <v>-</v>
      </c>
      <c r="DK219" s="54" t="str">
        <f t="shared" ref="DK219" si="2765">IFERROR(Q219*CW219,"-")</f>
        <v>-</v>
      </c>
      <c r="DL219" s="54" t="str">
        <f t="shared" ref="DL219" si="2766">IFERROR(R219*CX219,"-")</f>
        <v>-</v>
      </c>
      <c r="DM219" s="54">
        <f t="shared" ref="DM219" si="2767">IFERROR(S219*CY219,"-")</f>
        <v>80.676142912024602</v>
      </c>
      <c r="DN219" s="54" t="str">
        <f t="shared" ref="DN219" si="2768">IFERROR(T219*CZ219,"-")</f>
        <v>-</v>
      </c>
      <c r="DO219" s="54" t="str">
        <f t="shared" ref="DO219" si="2769">IFERROR(U219*DA219,"-")</f>
        <v>-</v>
      </c>
      <c r="DP219" s="54" t="str">
        <f t="shared" ref="DP219" si="2770">IFERROR(V219*DB219,"-")</f>
        <v>-</v>
      </c>
      <c r="DQ219" s="54" t="str">
        <f t="shared" ref="DQ219" si="2771">IFERROR(W219*DC219,"-")</f>
        <v>-</v>
      </c>
      <c r="DR219" s="54" t="str">
        <f t="shared" ref="DR219" si="2772">IFERROR(X219*DD219,"-")</f>
        <v>-</v>
      </c>
      <c r="DT219" s="112">
        <f t="shared" ref="DT219" si="2773">SUM(DU219:EF219)</f>
        <v>-58.097080291970812</v>
      </c>
      <c r="DU219" s="114">
        <f>IFERROR(SUMIFS('01. KE30'!$X:$X,'01. KE30'!$C:$C,'06. BC BH THEO CUSTOMER-USD'!$D219,'01. KE30'!$F:$F,'06. BC BH THEO CUSTOMER-USD'!$H219,'01. KE30'!$A:$A,'06. BC BH THEO CUSTOMER-USD'!DU$4)-SUMIFS('01. KE30'!$AA:$AA,'01. KE30'!$C:$C,'06. BC BH THEO CUSTOMER-USD'!$D219,'01. KE30'!$F:$F,'06. BC BH THEO CUSTOMER-USD'!$H219,'01. KE30'!$A:$A,'06. BC BH THEO CUSTOMER-USD'!DU$4),"-")</f>
        <v>0</v>
      </c>
      <c r="DV219" s="114">
        <f>IFERROR(SUMIFS('01. KE30'!$X:$X,'01. KE30'!$C:$C,'06. BC BH THEO CUSTOMER-USD'!$D219,'01. KE30'!$F:$F,'06. BC BH THEO CUSTOMER-USD'!$H219,'01. KE30'!$A:$A,'06. BC BH THEO CUSTOMER-USD'!DV$4)-SUMIFS('01. KE30'!$AA:$AA,'01. KE30'!$C:$C,'06. BC BH THEO CUSTOMER-USD'!$D219,'01. KE30'!$F:$F,'06. BC BH THEO CUSTOMER-USD'!$H219,'01. KE30'!$A:$A,'06. BC BH THEO CUSTOMER-USD'!DV$4),"-")</f>
        <v>0</v>
      </c>
      <c r="DW219" s="114">
        <f>IFERROR(SUMIFS('01. KE30'!$X:$X,'01. KE30'!$C:$C,'06. BC BH THEO CUSTOMER-USD'!$D219,'01. KE30'!$F:$F,'06. BC BH THEO CUSTOMER-USD'!$H219,'01. KE30'!$A:$A,'06. BC BH THEO CUSTOMER-USD'!DW$4)-SUMIFS('01. KE30'!$AA:$AA,'01. KE30'!$C:$C,'06. BC BH THEO CUSTOMER-USD'!$D219,'01. KE30'!$F:$F,'06. BC BH THEO CUSTOMER-USD'!$H219,'01. KE30'!$A:$A,'06. BC BH THEO CUSTOMER-USD'!DW$4),"-")</f>
        <v>0</v>
      </c>
      <c r="DX219" s="114">
        <f>IFERROR(SUMIFS('01. KE30'!$X:$X,'01. KE30'!$C:$C,'06. BC BH THEO CUSTOMER-USD'!$D219,'01. KE30'!$F:$F,'06. BC BH THEO CUSTOMER-USD'!$H219,'01. KE30'!$A:$A,'06. BC BH THEO CUSTOMER-USD'!DX$4)-SUMIFS('01. KE30'!$AA:$AA,'01. KE30'!$C:$C,'06. BC BH THEO CUSTOMER-USD'!$D219,'01. KE30'!$F:$F,'06. BC BH THEO CUSTOMER-USD'!$H219,'01. KE30'!$A:$A,'06. BC BH THEO CUSTOMER-USD'!DX$4),"-")</f>
        <v>0</v>
      </c>
      <c r="DY219" s="114">
        <f>IFERROR(SUMIFS('01. KE30'!$X:$X,'01. KE30'!$C:$C,'06. BC BH THEO CUSTOMER-USD'!$D219,'01. KE30'!$F:$F,'06. BC BH THEO CUSTOMER-USD'!$H219,'01. KE30'!$A:$A,'06. BC BH THEO CUSTOMER-USD'!DY$4)-SUMIFS('01. KE30'!$AA:$AA,'01. KE30'!$C:$C,'06. BC BH THEO CUSTOMER-USD'!$D219,'01. KE30'!$F:$F,'06. BC BH THEO CUSTOMER-USD'!$H219,'01. KE30'!$A:$A,'06. BC BH THEO CUSTOMER-USD'!DY$4),"-")</f>
        <v>0</v>
      </c>
      <c r="DZ219" s="114">
        <f>IFERROR(SUMIFS('01. KE30'!$X:$X,'01. KE30'!$C:$C,'06. BC BH THEO CUSTOMER-USD'!$D219,'01. KE30'!$F:$F,'06. BC BH THEO CUSTOMER-USD'!$H219,'01. KE30'!$A:$A,'06. BC BH THEO CUSTOMER-USD'!DZ$4)-SUMIFS('01. KE30'!$AA:$AA,'01. KE30'!$C:$C,'06. BC BH THEO CUSTOMER-USD'!$D219,'01. KE30'!$F:$F,'06. BC BH THEO CUSTOMER-USD'!$H219,'01. KE30'!$A:$A,'06. BC BH THEO CUSTOMER-USD'!DZ$4),"-")</f>
        <v>0</v>
      </c>
      <c r="EA219" s="114">
        <f>IFERROR(SUMIFS('01. KE30'!$X:$X,'01. KE30'!$C:$C,'06. BC BH THEO CUSTOMER-USD'!$D219,'01. KE30'!$F:$F,'06. BC BH THEO CUSTOMER-USD'!$H219,'01. KE30'!$A:$A,'06. BC BH THEO CUSTOMER-USD'!EA$4)-SUMIFS('01. KE30'!$AA:$AA,'01. KE30'!$C:$C,'06. BC BH THEO CUSTOMER-USD'!$D219,'01. KE30'!$F:$F,'06. BC BH THEO CUSTOMER-USD'!$H219,'01. KE30'!$A:$A,'06. BC BH THEO CUSTOMER-USD'!EA$4),"-")</f>
        <v>-58.097080291970812</v>
      </c>
      <c r="EB219" s="114">
        <f>IFERROR(SUMIFS('01. KE30'!$X:$X,'01. KE30'!$C:$C,'06. BC BH THEO CUSTOMER-USD'!$D219,'01. KE30'!$F:$F,'06. BC BH THEO CUSTOMER-USD'!$H219,'01. KE30'!$A:$A,'06. BC BH THEO CUSTOMER-USD'!EB$4)-SUMIFS('01. KE30'!$AA:$AA,'01. KE30'!$C:$C,'06. BC BH THEO CUSTOMER-USD'!$D219,'01. KE30'!$F:$F,'06. BC BH THEO CUSTOMER-USD'!$H219,'01. KE30'!$A:$A,'06. BC BH THEO CUSTOMER-USD'!EB$4),"-")</f>
        <v>0</v>
      </c>
      <c r="EC219" s="114">
        <f>IFERROR(SUMIFS('01. KE30'!$X:$X,'01. KE30'!$C:$C,'06. BC BH THEO CUSTOMER-USD'!$D219,'01. KE30'!$F:$F,'06. BC BH THEO CUSTOMER-USD'!$H219,'01. KE30'!$A:$A,'06. BC BH THEO CUSTOMER-USD'!EC$4)-SUMIFS('01. KE30'!$AA:$AA,'01. KE30'!$C:$C,'06. BC BH THEO CUSTOMER-USD'!$D219,'01. KE30'!$F:$F,'06. BC BH THEO CUSTOMER-USD'!$H219,'01. KE30'!$A:$A,'06. BC BH THEO CUSTOMER-USD'!EC$4),"-")</f>
        <v>0</v>
      </c>
      <c r="ED219" s="114">
        <f>IFERROR(SUMIFS('01. KE30'!$X:$X,'01. KE30'!$C:$C,'06. BC BH THEO CUSTOMER-USD'!$D219,'01. KE30'!$F:$F,'06. BC BH THEO CUSTOMER-USD'!$H219,'01. KE30'!$A:$A,'06. BC BH THEO CUSTOMER-USD'!ED$4)-SUMIFS('01. KE30'!$AA:$AA,'01. KE30'!$C:$C,'06. BC BH THEO CUSTOMER-USD'!$D219,'01. KE30'!$F:$F,'06. BC BH THEO CUSTOMER-USD'!$H219,'01. KE30'!$A:$A,'06. BC BH THEO CUSTOMER-USD'!ED$4),"-")</f>
        <v>0</v>
      </c>
      <c r="EE219" s="114">
        <f>IFERROR(SUMIFS('01. KE30'!$X:$X,'01. KE30'!$C:$C,'06. BC BH THEO CUSTOMER-USD'!$D219,'01. KE30'!$F:$F,'06. BC BH THEO CUSTOMER-USD'!$H219,'01. KE30'!$A:$A,'06. BC BH THEO CUSTOMER-USD'!EE$4)-SUMIFS('01. KE30'!$AA:$AA,'01. KE30'!$C:$C,'06. BC BH THEO CUSTOMER-USD'!$D219,'01. KE30'!$F:$F,'06. BC BH THEO CUSTOMER-USD'!$H219,'01. KE30'!$A:$A,'06. BC BH THEO CUSTOMER-USD'!EE$4),"-")</f>
        <v>0</v>
      </c>
      <c r="EF219" s="114">
        <f>IFERROR(SUMIFS('01. KE30'!$X:$X,'01. KE30'!$C:$C,'06. BC BH THEO CUSTOMER-USD'!$D219,'01. KE30'!$F:$F,'06. BC BH THEO CUSTOMER-USD'!$H219,'01. KE30'!$A:$A,'06. BC BH THEO CUSTOMER-USD'!EF$4)-SUMIFS('01. KE30'!$AA:$AA,'01. KE30'!$C:$C,'06. BC BH THEO CUSTOMER-USD'!$D219,'01. KE30'!$F:$F,'06. BC BH THEO CUSTOMER-USD'!$H219,'01. KE30'!$A:$A,'06. BC BH THEO CUSTOMER-USD'!EF$4),"-")</f>
        <v>0</v>
      </c>
      <c r="EH219" s="571">
        <f t="shared" ref="EH219" si="2774">IFERROR(DT219/DF219,"-")</f>
        <v>-0.72012714285714285</v>
      </c>
      <c r="EI219" s="572" t="str">
        <f t="shared" ref="EI219" si="2775">IFERROR(DU219/DG219,"-")</f>
        <v>-</v>
      </c>
      <c r="EJ219" s="572" t="str">
        <f t="shared" ref="EJ219" si="2776">IFERROR(DV219/DH219,"-")</f>
        <v>-</v>
      </c>
      <c r="EK219" s="572" t="str">
        <f t="shared" ref="EK219" si="2777">IFERROR(DW219/DI219,"-")</f>
        <v>-</v>
      </c>
      <c r="EL219" s="572" t="str">
        <f t="shared" ref="EL219" si="2778">IFERROR(DX219/DJ219,"-")</f>
        <v>-</v>
      </c>
      <c r="EM219" s="572" t="str">
        <f t="shared" ref="EM219" si="2779">IFERROR(DY219/DK219,"-")</f>
        <v>-</v>
      </c>
      <c r="EN219" s="572" t="str">
        <f t="shared" ref="EN219" si="2780">IFERROR(DZ219/DL219,"-")</f>
        <v>-</v>
      </c>
      <c r="EO219" s="572">
        <f t="shared" ref="EO219" si="2781">IFERROR(EA219/DM219,"-")</f>
        <v>-0.72012714285714285</v>
      </c>
      <c r="EP219" s="572" t="str">
        <f t="shared" ref="EP219" si="2782">IFERROR(EB219/DN219,"-")</f>
        <v>-</v>
      </c>
      <c r="EQ219" s="572" t="str">
        <f t="shared" ref="EQ219" si="2783">IFERROR(EC219/DO219,"-")</f>
        <v>-</v>
      </c>
      <c r="ER219" s="572" t="str">
        <f t="shared" ref="ER219" si="2784">IFERROR(ED219/DP219,"-")</f>
        <v>-</v>
      </c>
      <c r="ES219" s="572" t="str">
        <f t="shared" ref="ES219" si="2785">IFERROR(EE219/DQ219,"-")</f>
        <v>-</v>
      </c>
      <c r="ET219" s="572" t="str">
        <f t="shared" ref="ET219" si="2786">IFERROR(EF219/DR219,"-")</f>
        <v>-</v>
      </c>
    </row>
    <row r="220" spans="1:150" ht="15.5" outlineLevel="1" x14ac:dyDescent="0.35">
      <c r="A220" s="10"/>
      <c r="B220" s="10" t="s">
        <v>23</v>
      </c>
      <c r="C220" s="442" t="s">
        <v>489</v>
      </c>
      <c r="D220" s="9" t="s">
        <v>1007</v>
      </c>
      <c r="E220" s="8" t="s">
        <v>1008</v>
      </c>
      <c r="F220" s="12" t="s">
        <v>245</v>
      </c>
      <c r="G220" s="12" t="str">
        <f>_xlfn.XLOOKUP(F220,'Quy đổi'!$G$5:$G$32,'Quy đổi'!$H$5:$H$32,0)</f>
        <v>Nội địa</v>
      </c>
      <c r="H220" s="80" t="s">
        <v>231</v>
      </c>
      <c r="I220" s="7" t="s">
        <v>232</v>
      </c>
      <c r="J220" s="69" t="s">
        <v>22</v>
      </c>
      <c r="K220" s="5"/>
      <c r="L220" s="92">
        <f t="shared" ref="L220" si="2787">IFERROR(AVERAGE(M220:X220),"-")</f>
        <v>1353.7051184110007</v>
      </c>
      <c r="M220" s="106" t="str">
        <f>IFERROR(SUMIFS('01. KE30'!$K:$K,'01. KE30'!$C:$C,'06. BC BH THEO CUSTOMER-USD'!$D220,'01. KE30'!$F:$F,'06. BC BH THEO CUSTOMER-USD'!$H220,'01. KE30'!$A:$A,'06. BC BH THEO CUSTOMER-USD'!M$4)/'06. BC BH THEO CUSTOMER-USD'!CS220/'02. Tỷ giá'!B$5,"-")</f>
        <v>-</v>
      </c>
      <c r="N220" s="106" t="str">
        <f>IFERROR(SUMIFS('01. KE30'!$K:$K,'01. KE30'!$C:$C,'06. BC BH THEO CUSTOMER-USD'!$D220,'01. KE30'!$F:$F,'06. BC BH THEO CUSTOMER-USD'!$H220,'01. KE30'!$A:$A,'06. BC BH THEO CUSTOMER-USD'!N$4)/'06. BC BH THEO CUSTOMER-USD'!CT220/'02. Tỷ giá'!C$5,"-")</f>
        <v>-</v>
      </c>
      <c r="O220" s="106" t="str">
        <f>IFERROR(SUMIFS('01. KE30'!$K:$K,'01. KE30'!$C:$C,'06. BC BH THEO CUSTOMER-USD'!$D220,'01. KE30'!$F:$F,'06. BC BH THEO CUSTOMER-USD'!$H220,'01. KE30'!$A:$A,'06. BC BH THEO CUSTOMER-USD'!O$4)/'06. BC BH THEO CUSTOMER-USD'!CU220/'02. Tỷ giá'!D$5,"-")</f>
        <v>-</v>
      </c>
      <c r="P220" s="106" t="str">
        <f>IFERROR(SUMIFS('01. KE30'!$K:$K,'01. KE30'!$C:$C,'06. BC BH THEO CUSTOMER-USD'!$D220,'01. KE30'!$F:$F,'06. BC BH THEO CUSTOMER-USD'!$H220,'01. KE30'!$A:$A,'06. BC BH THEO CUSTOMER-USD'!P$4)/'06. BC BH THEO CUSTOMER-USD'!CV220/'02. Tỷ giá'!E$5,"-")</f>
        <v>-</v>
      </c>
      <c r="Q220" s="106" t="str">
        <f>IFERROR(SUMIFS('01. KE30'!$K:$K,'01. KE30'!$C:$C,'06. BC BH THEO CUSTOMER-USD'!$D220,'01. KE30'!$F:$F,'06. BC BH THEO CUSTOMER-USD'!$H220,'01. KE30'!$A:$A,'06. BC BH THEO CUSTOMER-USD'!Q$4)/'06. BC BH THEO CUSTOMER-USD'!CW220/'02. Tỷ giá'!F$5,"-")</f>
        <v>-</v>
      </c>
      <c r="R220" s="106" t="str">
        <f>IFERROR(SUMIFS('01. KE30'!$K:$K,'01. KE30'!$C:$C,'06. BC BH THEO CUSTOMER-USD'!$D220,'01. KE30'!$F:$F,'06. BC BH THEO CUSTOMER-USD'!$H220,'01. KE30'!$A:$A,'06. BC BH THEO CUSTOMER-USD'!R$4)/'06. BC BH THEO CUSTOMER-USD'!CX220/'02. Tỷ giá'!G$5,"-")</f>
        <v>-</v>
      </c>
      <c r="S220" s="106" t="str">
        <f>IFERROR(SUMIFS('01. KE30'!$K:$K,'01. KE30'!$C:$C,'06. BC BH THEO CUSTOMER-USD'!$D220,'01. KE30'!$F:$F,'06. BC BH THEO CUSTOMER-USD'!$H220,'01. KE30'!$A:$A,'06. BC BH THEO CUSTOMER-USD'!S$4)/'06. BC BH THEO CUSTOMER-USD'!CY220/'02. Tỷ giá'!H$5,"-")</f>
        <v>-</v>
      </c>
      <c r="T220" s="106">
        <f>IFERROR(SUMIFS('01. KE30'!$K:$K,'01. KE30'!$C:$C,'06. BC BH THEO CUSTOMER-USD'!$D220,'01. KE30'!$F:$F,'06. BC BH THEO CUSTOMER-USD'!$H220,'01. KE30'!$A:$A,'06. BC BH THEO CUSTOMER-USD'!T$4)/'06. BC BH THEO CUSTOMER-USD'!CZ220/'02. Tỷ giá'!I$5,"-")</f>
        <v>1353.7051184110007</v>
      </c>
      <c r="U220" s="106" t="str">
        <f>IFERROR(SUMIFS('01. KE30'!$K:$K,'01. KE30'!$C:$C,'06. BC BH THEO CUSTOMER-USD'!$D220,'01. KE30'!$F:$F,'06. BC BH THEO CUSTOMER-USD'!$H220,'01. KE30'!$A:$A,'06. BC BH THEO CUSTOMER-USD'!U$4)/'06. BC BH THEO CUSTOMER-USD'!DA220/'02. Tỷ giá'!J$5,"-")</f>
        <v>-</v>
      </c>
      <c r="V220" s="106" t="str">
        <f>IFERROR(SUMIFS('01. KE30'!$K:$K,'01. KE30'!$C:$C,'06. BC BH THEO CUSTOMER-USD'!$D220,'01. KE30'!$F:$F,'06. BC BH THEO CUSTOMER-USD'!$H220,'01. KE30'!$A:$A,'06. BC BH THEO CUSTOMER-USD'!V$4)/'06. BC BH THEO CUSTOMER-USD'!DB220/'02. Tỷ giá'!K$5,"-")</f>
        <v>-</v>
      </c>
      <c r="W220" s="106" t="str">
        <f>IFERROR(SUMIFS('01. KE30'!$K:$K,'01. KE30'!$C:$C,'06. BC BH THEO CUSTOMER-USD'!$D220,'01. KE30'!$F:$F,'06. BC BH THEO CUSTOMER-USD'!$H220,'01. KE30'!$A:$A,'06. BC BH THEO CUSTOMER-USD'!W$4)/'06. BC BH THEO CUSTOMER-USD'!DC220/'02. Tỷ giá'!L$5,"-")</f>
        <v>-</v>
      </c>
      <c r="X220" s="106" t="str">
        <f>IFERROR(SUMIFS('01. KE30'!$K:$K,'01. KE30'!$C:$C,'06. BC BH THEO CUSTOMER-USD'!$D220,'01. KE30'!$F:$F,'06. BC BH THEO CUSTOMER-USD'!$H220,'01. KE30'!$A:$A,'06. BC BH THEO CUSTOMER-USD'!X$4)/'06. BC BH THEO CUSTOMER-USD'!DD220/'02. Tỷ giá'!M$5,"-")</f>
        <v>-</v>
      </c>
      <c r="Z220" s="92">
        <f t="shared" ref="Z220" si="2788">IFERROR(AVERAGE(AA220:AL220),"-")</f>
        <v>1353.7051184110007</v>
      </c>
      <c r="AA220" s="147" t="str">
        <f>IFERROR(SUMIFS('01. KE30'!$O:$O,'01. KE30'!$C:$C,'06. BC BH THEO CUSTOMER-USD'!$D220,'01. KE30'!$F:$F,'06. BC BH THEO CUSTOMER-USD'!$H220,'01. KE30'!$A:$A,'06. BC BH THEO CUSTOMER-USD'!M$4)/'06. BC BH THEO CUSTOMER-USD'!CS220/'02. Tỷ giá'!B$5,"-")</f>
        <v>-</v>
      </c>
      <c r="AB220" s="147" t="str">
        <f>IFERROR(SUMIFS('01. KE30'!$O:$O,'01. KE30'!$C:$C,'06. BC BH THEO CUSTOMER-USD'!$D220,'01. KE30'!$F:$F,'06. BC BH THEO CUSTOMER-USD'!$H220,'01. KE30'!$A:$A,'06. BC BH THEO CUSTOMER-USD'!N$4)/'06. BC BH THEO CUSTOMER-USD'!CT220/'02. Tỷ giá'!C$5,"-")</f>
        <v>-</v>
      </c>
      <c r="AC220" s="147" t="str">
        <f>IFERROR(SUMIFS('01. KE30'!$O:$O,'01. KE30'!$C:$C,'06. BC BH THEO CUSTOMER-USD'!$D220,'01. KE30'!$F:$F,'06. BC BH THEO CUSTOMER-USD'!$H220,'01. KE30'!$A:$A,'06. BC BH THEO CUSTOMER-USD'!O$4)/'06. BC BH THEO CUSTOMER-USD'!CU220/'02. Tỷ giá'!D$5,"-")</f>
        <v>-</v>
      </c>
      <c r="AD220" s="147" t="str">
        <f>IFERROR(SUMIFS('01. KE30'!$O:$O,'01. KE30'!$C:$C,'06. BC BH THEO CUSTOMER-USD'!$D220,'01. KE30'!$F:$F,'06. BC BH THEO CUSTOMER-USD'!$H220,'01. KE30'!$A:$A,'06. BC BH THEO CUSTOMER-USD'!P$4)/'06. BC BH THEO CUSTOMER-USD'!CV220/'02. Tỷ giá'!E$5,"-")</f>
        <v>-</v>
      </c>
      <c r="AE220" s="147" t="str">
        <f>IFERROR(SUMIFS('01. KE30'!$O:$O,'01. KE30'!$C:$C,'06. BC BH THEO CUSTOMER-USD'!$D220,'01. KE30'!$F:$F,'06. BC BH THEO CUSTOMER-USD'!$H220,'01. KE30'!$A:$A,'06. BC BH THEO CUSTOMER-USD'!Q$4)/'06. BC BH THEO CUSTOMER-USD'!CW220/'02. Tỷ giá'!F$5,"-")</f>
        <v>-</v>
      </c>
      <c r="AF220" s="147" t="str">
        <f>IFERROR(SUMIFS('01. KE30'!$O:$O,'01. KE30'!$C:$C,'06. BC BH THEO CUSTOMER-USD'!$D220,'01. KE30'!$F:$F,'06. BC BH THEO CUSTOMER-USD'!$H220,'01. KE30'!$A:$A,'06. BC BH THEO CUSTOMER-USD'!R$4)/'06. BC BH THEO CUSTOMER-USD'!CX220/'02. Tỷ giá'!G$5,"-")</f>
        <v>-</v>
      </c>
      <c r="AG220" s="147" t="str">
        <f>IFERROR(SUMIFS('01. KE30'!$O:$O,'01. KE30'!$C:$C,'06. BC BH THEO CUSTOMER-USD'!$D220,'01. KE30'!$F:$F,'06. BC BH THEO CUSTOMER-USD'!$H220,'01. KE30'!$A:$A,'06. BC BH THEO CUSTOMER-USD'!S$4)/'06. BC BH THEO CUSTOMER-USD'!CY220/'02. Tỷ giá'!H$5,"-")</f>
        <v>-</v>
      </c>
      <c r="AH220" s="147">
        <f>IFERROR(SUMIFS('01. KE30'!$O:$O,'01. KE30'!$C:$C,'06. BC BH THEO CUSTOMER-USD'!$D220,'01. KE30'!$F:$F,'06. BC BH THEO CUSTOMER-USD'!$H220,'01. KE30'!$A:$A,'06. BC BH THEO CUSTOMER-USD'!T$4)/'06. BC BH THEO CUSTOMER-USD'!CZ220/'02. Tỷ giá'!I$5,"-")</f>
        <v>1353.7051184110007</v>
      </c>
      <c r="AI220" s="147" t="str">
        <f>IFERROR(SUMIFS('01. KE30'!$O:$O,'01. KE30'!$C:$C,'06. BC BH THEO CUSTOMER-USD'!$D220,'01. KE30'!$F:$F,'06. BC BH THEO CUSTOMER-USD'!$H220,'01. KE30'!$A:$A,'06. BC BH THEO CUSTOMER-USD'!U$4)/'06. BC BH THEO CUSTOMER-USD'!DA220/'02. Tỷ giá'!J$5,"-")</f>
        <v>-</v>
      </c>
      <c r="AJ220" s="147" t="str">
        <f>IFERROR(SUMIFS('01. KE30'!$O:$O,'01. KE30'!$C:$C,'06. BC BH THEO CUSTOMER-USD'!$D220,'01. KE30'!$F:$F,'06. BC BH THEO CUSTOMER-USD'!$H220,'01. KE30'!$A:$A,'06. BC BH THEO CUSTOMER-USD'!V$4)/'06. BC BH THEO CUSTOMER-USD'!DB220/'02. Tỷ giá'!K$5,"-")</f>
        <v>-</v>
      </c>
      <c r="AK220" s="147" t="str">
        <f>IFERROR(SUMIFS('01. KE30'!$O:$O,'01. KE30'!$C:$C,'06. BC BH THEO CUSTOMER-USD'!$D220,'01. KE30'!$F:$F,'06. BC BH THEO CUSTOMER-USD'!$H220,'01. KE30'!$A:$A,'06. BC BH THEO CUSTOMER-USD'!W$4)/'06. BC BH THEO CUSTOMER-USD'!DC220/'02. Tỷ giá'!L$5,"-")</f>
        <v>-</v>
      </c>
      <c r="AL220" s="147" t="str">
        <f>IFERROR(SUMIFS('01. KE30'!$O:$O,'01. KE30'!$C:$C,'06. BC BH THEO CUSTOMER-USD'!$D220,'01. KE30'!$F:$F,'06. BC BH THEO CUSTOMER-USD'!$H220,'01. KE30'!$A:$A,'06. BC BH THEO CUSTOMER-USD'!X$4)/'06. BC BH THEO CUSTOMER-USD'!DD220/'02. Tỷ giá'!M$5,"-")</f>
        <v>-</v>
      </c>
      <c r="AN220" s="92">
        <f t="shared" ref="AN220" si="2789">IFERROR(AVERAGE(AO220:AZ220),"-")</f>
        <v>815.55555555555554</v>
      </c>
      <c r="AO220" s="4">
        <v>900</v>
      </c>
      <c r="AP220" s="4">
        <v>820</v>
      </c>
      <c r="AQ220" s="4">
        <v>840</v>
      </c>
      <c r="AR220" s="4">
        <v>835</v>
      </c>
      <c r="AS220" s="4">
        <v>815</v>
      </c>
      <c r="AT220" s="4">
        <v>815</v>
      </c>
      <c r="AU220" s="4">
        <v>790</v>
      </c>
      <c r="AV220" s="4">
        <f t="shared" si="2518"/>
        <v>770</v>
      </c>
      <c r="AW220" s="4">
        <v>755</v>
      </c>
      <c r="AX220" s="4"/>
      <c r="AY220" s="4"/>
      <c r="AZ220" s="4"/>
      <c r="BB220" s="95">
        <f t="shared" ref="BB220" si="2790">IF(L220&lt;&gt;"-",Z220-AN220,"-")</f>
        <v>538.1495628554452</v>
      </c>
      <c r="BC220" s="95" t="str">
        <f t="shared" ref="BC220" si="2791">IF(M220&lt;&gt;"-",AA220-AO220,"-")</f>
        <v>-</v>
      </c>
      <c r="BD220" s="95" t="str">
        <f t="shared" ref="BD220" si="2792">IF(N220&lt;&gt;"-",AB220-AP220,"-")</f>
        <v>-</v>
      </c>
      <c r="BE220" s="95" t="str">
        <f t="shared" ref="BE220" si="2793">IF(O220&lt;&gt;"-",AC220-AQ220,"-")</f>
        <v>-</v>
      </c>
      <c r="BF220" s="95" t="str">
        <f t="shared" ref="BF220" si="2794">IF(P220&lt;&gt;"-",AD220-AR220,"-")</f>
        <v>-</v>
      </c>
      <c r="BG220" s="95" t="str">
        <f t="shared" ref="BG220" si="2795">IF(Q220&lt;&gt;"-",AE220-AS220,"-")</f>
        <v>-</v>
      </c>
      <c r="BH220" s="95" t="str">
        <f t="shared" ref="BH220" si="2796">IF(R220&lt;&gt;"-",AF220-AT220,"-")</f>
        <v>-</v>
      </c>
      <c r="BI220" s="95" t="str">
        <f t="shared" ref="BI220" si="2797">IF(S220&lt;&gt;"-",AG220-AU220,"-")</f>
        <v>-</v>
      </c>
      <c r="BJ220" s="95">
        <f t="shared" ref="BJ220" si="2798">IF(T220&lt;&gt;"-",AH220-AV220,"-")</f>
        <v>583.70511841100074</v>
      </c>
      <c r="BK220" s="95" t="str">
        <f t="shared" ref="BK220" si="2799">IF(U220&lt;&gt;"-",AI220-AW220,"-")</f>
        <v>-</v>
      </c>
      <c r="BL220" s="95" t="str">
        <f t="shared" ref="BL220" si="2800">IF(V220&lt;&gt;"-",AJ220-AX220,"-")</f>
        <v>-</v>
      </c>
      <c r="BM220" s="95" t="str">
        <f t="shared" ref="BM220" si="2801">IF(W220&lt;&gt;"-",AK220-AY220,"-")</f>
        <v>-</v>
      </c>
      <c r="BN220" s="95" t="str">
        <f t="shared" ref="BN220" si="2802">IF(X220&lt;&gt;"-",AL220-AZ220,"-")</f>
        <v>-</v>
      </c>
      <c r="BP220" s="143">
        <f t="shared" ref="BP220" si="2803">IFERROR(IF(BB220&lt;&gt;"-",BB220/AN220,"-"),"-")</f>
        <v>0.65985641222057312</v>
      </c>
      <c r="BQ220" s="143" t="str">
        <f t="shared" ref="BQ220" si="2804">IFERROR(IF(BC220&lt;&gt;"-",BC220/AO220,"-"),"-")</f>
        <v>-</v>
      </c>
      <c r="BR220" s="143" t="str">
        <f t="shared" ref="BR220" si="2805">IFERROR(IF(BD220&lt;&gt;"-",BD220/AP220,"-"),"-")</f>
        <v>-</v>
      </c>
      <c r="BS220" s="143" t="str">
        <f t="shared" ref="BS220" si="2806">IFERROR(IF(BE220&lt;&gt;"-",BE220/AQ220,"-"),"-")</f>
        <v>-</v>
      </c>
      <c r="BT220" s="143" t="str">
        <f t="shared" ref="BT220" si="2807">IFERROR(IF(BF220&lt;&gt;"-",BF220/AR220,"-"),"-")</f>
        <v>-</v>
      </c>
      <c r="BU220" s="143" t="str">
        <f t="shared" ref="BU220" si="2808">IFERROR(IF(BG220&lt;&gt;"-",BG220/AS220,"-"),"-")</f>
        <v>-</v>
      </c>
      <c r="BV220" s="143" t="str">
        <f t="shared" ref="BV220" si="2809">IFERROR(IF(BH220&lt;&gt;"-",BH220/AT220,"-"),"-")</f>
        <v>-</v>
      </c>
      <c r="BW220" s="143" t="str">
        <f t="shared" ref="BW220" si="2810">IFERROR(IF(BI220&lt;&gt;"-",BI220/AU220,"-"),"-")</f>
        <v>-</v>
      </c>
      <c r="BX220" s="143">
        <f t="shared" ref="BX220" si="2811">IFERROR(IF(BJ220&lt;&gt;"-",BJ220/AV220,"-"),"-")</f>
        <v>0.75805859533896203</v>
      </c>
      <c r="BY220" s="143" t="str">
        <f t="shared" ref="BY220" si="2812">IFERROR(IF(BK220&lt;&gt;"-",BK220/AW220,"-"),"-")</f>
        <v>-</v>
      </c>
      <c r="BZ220" s="143" t="str">
        <f t="shared" ref="BZ220" si="2813">IFERROR(IF(BL220&lt;&gt;"-",BL220/AX220,"-"),"-")</f>
        <v>-</v>
      </c>
      <c r="CA220" s="143" t="str">
        <f t="shared" ref="CA220" si="2814">IFERROR(IF(BM220&lt;&gt;"-",BM220/AY220,"-"),"-")</f>
        <v>-</v>
      </c>
      <c r="CB220" s="143" t="str">
        <f t="shared" ref="CB220" si="2815">IFERROR(IF(BN220&lt;&gt;"-",BN220/AZ220,"-"),"-")</f>
        <v>-</v>
      </c>
      <c r="CD220" s="112">
        <f t="shared" ref="CD220" si="2816">IFERROR(AVERAGE(CE220:CP220),"-")</f>
        <v>1379.7815126050421</v>
      </c>
      <c r="CE220" s="95" t="str">
        <f>IFERROR(SUMIFS('01. KE30'!$R:$R,'01. KE30'!$C:$C,'06. BC BH THEO CUSTOMER-USD'!$D220,'01. KE30'!$F:$F,'06. BC BH THEO CUSTOMER-USD'!$H220,'01. KE30'!$A:$A,'06. BC BH THEO CUSTOMER-USD'!CE$4)/CS220/'02. Tỷ giá'!B$5," -")</f>
        <v xml:space="preserve"> -</v>
      </c>
      <c r="CF220" s="95" t="str">
        <f>IFERROR(SUMIFS('01. KE30'!$R:$R,'01. KE30'!$C:$C,'06. BC BH THEO CUSTOMER-USD'!$D220,'01. KE30'!$F:$F,'06. BC BH THEO CUSTOMER-USD'!$H220,'01. KE30'!$A:$A,'06. BC BH THEO CUSTOMER-USD'!CF$4)/CT220/'02. Tỷ giá'!C$5," -")</f>
        <v xml:space="preserve"> -</v>
      </c>
      <c r="CG220" s="95" t="str">
        <f>IFERROR(SUMIFS('01. KE30'!$R:$R,'01. KE30'!$C:$C,'06. BC BH THEO CUSTOMER-USD'!$D220,'01. KE30'!$F:$F,'06. BC BH THEO CUSTOMER-USD'!$H220,'01. KE30'!$A:$A,'06. BC BH THEO CUSTOMER-USD'!CG$4)/CU220/'02. Tỷ giá'!D$5," -")</f>
        <v xml:space="preserve"> -</v>
      </c>
      <c r="CH220" s="95" t="str">
        <f>IFERROR(SUMIFS('01. KE30'!$R:$R,'01. KE30'!$C:$C,'06. BC BH THEO CUSTOMER-USD'!$D220,'01. KE30'!$F:$F,'06. BC BH THEO CUSTOMER-USD'!$H220,'01. KE30'!$A:$A,'06. BC BH THEO CUSTOMER-USD'!CH$4)/CV220/'02. Tỷ giá'!E$5," -")</f>
        <v xml:space="preserve"> -</v>
      </c>
      <c r="CI220" s="95" t="str">
        <f>IFERROR(SUMIFS('01. KE30'!$R:$R,'01. KE30'!$C:$C,'06. BC BH THEO CUSTOMER-USD'!$D220,'01. KE30'!$F:$F,'06. BC BH THEO CUSTOMER-USD'!$H220,'01. KE30'!$A:$A,'06. BC BH THEO CUSTOMER-USD'!CI$4)/CW220/'02. Tỷ giá'!F$5," -")</f>
        <v xml:space="preserve"> -</v>
      </c>
      <c r="CJ220" s="95" t="str">
        <f>IFERROR(SUMIFS('01. KE30'!$R:$R,'01. KE30'!$C:$C,'06. BC BH THEO CUSTOMER-USD'!$D220,'01. KE30'!$F:$F,'06. BC BH THEO CUSTOMER-USD'!$H220,'01. KE30'!$A:$A,'06. BC BH THEO CUSTOMER-USD'!CJ$4)/CX220/'02. Tỷ giá'!G$5," -")</f>
        <v xml:space="preserve"> -</v>
      </c>
      <c r="CK220" s="95" t="str">
        <f>IFERROR(SUMIFS('01. KE30'!$R:$R,'01. KE30'!$C:$C,'06. BC BH THEO CUSTOMER-USD'!$D220,'01. KE30'!$F:$F,'06. BC BH THEO CUSTOMER-USD'!$H220,'01. KE30'!$A:$A,'06. BC BH THEO CUSTOMER-USD'!CK$4)/CY220/'02. Tỷ giá'!H$5," -")</f>
        <v xml:space="preserve"> -</v>
      </c>
      <c r="CL220" s="95">
        <f>IFERROR(SUMIFS('01. KE30'!$R:$R,'01. KE30'!$C:$C,'06. BC BH THEO CUSTOMER-USD'!$D220,'01. KE30'!$F:$F,'06. BC BH THEO CUSTOMER-USD'!$H220,'01. KE30'!$A:$A,'06. BC BH THEO CUSTOMER-USD'!CL$4)/CZ220/'02. Tỷ giá'!I$5," -")</f>
        <v>1379.7815126050421</v>
      </c>
      <c r="CM220" s="95" t="str">
        <f>IFERROR(SUMIFS('01. KE30'!$R:$R,'01. KE30'!$C:$C,'06. BC BH THEO CUSTOMER-USD'!$D220,'01. KE30'!$F:$F,'06. BC BH THEO CUSTOMER-USD'!$H220,'01. KE30'!$A:$A,'06. BC BH THEO CUSTOMER-USD'!CM$4)/DA220/'02. Tỷ giá'!J$5," -")</f>
        <v xml:space="preserve"> -</v>
      </c>
      <c r="CN220" s="95" t="str">
        <f>IFERROR(SUMIFS('01. KE30'!$R:$R,'01. KE30'!$C:$C,'06. BC BH THEO CUSTOMER-USD'!$D220,'01. KE30'!$F:$F,'06. BC BH THEO CUSTOMER-USD'!$H220,'01. KE30'!$A:$A,'06. BC BH THEO CUSTOMER-USD'!CN$4)/DB220/'02. Tỷ giá'!K$5," -")</f>
        <v xml:space="preserve"> -</v>
      </c>
      <c r="CO220" s="95" t="str">
        <f>IFERROR(SUMIFS('01. KE30'!$R:$R,'01. KE30'!$C:$C,'06. BC BH THEO CUSTOMER-USD'!$D220,'01. KE30'!$F:$F,'06. BC BH THEO CUSTOMER-USD'!$H220,'01. KE30'!$A:$A,'06. BC BH THEO CUSTOMER-USD'!CO$4)/DC220/'02. Tỷ giá'!L$5," -")</f>
        <v xml:space="preserve"> -</v>
      </c>
      <c r="CP220" s="95" t="str">
        <f>IFERROR(SUMIFS('01. KE30'!$R:$R,'01. KE30'!$C:$C,'06. BC BH THEO CUSTOMER-USD'!$D220,'01. KE30'!$F:$F,'06. BC BH THEO CUSTOMER-USD'!$H220,'01. KE30'!$A:$A,'06. BC BH THEO CUSTOMER-USD'!CP$4)/DD220/'02. Tỷ giá'!M$5," -")</f>
        <v xml:space="preserve"> -</v>
      </c>
      <c r="CR220" s="112">
        <f t="shared" ref="CR220" si="2817">SUM(CS220:DD220)</f>
        <v>0.05</v>
      </c>
      <c r="CS220" s="114">
        <f>SUMIFS('01. KE30'!$I:$I,'01. KE30'!$C:$C,'06. BC BH THEO CUSTOMER-USD'!$D220,'01. KE30'!$F:$F,'06. BC BH THEO CUSTOMER-USD'!$H220,'01. KE30'!$A:$A,'06. BC BH THEO CUSTOMER-USD'!CS$4)/1000</f>
        <v>0</v>
      </c>
      <c r="CT220" s="114">
        <f>SUMIFS('01. KE30'!$I:$I,'01. KE30'!$C:$C,'06. BC BH THEO CUSTOMER-USD'!$D220,'01. KE30'!$F:$F,'06. BC BH THEO CUSTOMER-USD'!$H220,'01. KE30'!$A:$A,'06. BC BH THEO CUSTOMER-USD'!CT$4)/1000</f>
        <v>0</v>
      </c>
      <c r="CU220" s="114">
        <f>SUMIFS('01. KE30'!$I:$I,'01. KE30'!$C:$C,'06. BC BH THEO CUSTOMER-USD'!$D220,'01. KE30'!$F:$F,'06. BC BH THEO CUSTOMER-USD'!$H220,'01. KE30'!$A:$A,'06. BC BH THEO CUSTOMER-USD'!CU$4)/1000</f>
        <v>0</v>
      </c>
      <c r="CV220" s="114">
        <f>SUMIFS('01. KE30'!$I:$I,'01. KE30'!$C:$C,'06. BC BH THEO CUSTOMER-USD'!$D220,'01. KE30'!$F:$F,'06. BC BH THEO CUSTOMER-USD'!$H220,'01. KE30'!$A:$A,'06. BC BH THEO CUSTOMER-USD'!CV$4)/1000</f>
        <v>0</v>
      </c>
      <c r="CW220" s="114">
        <f>SUMIFS('01. KE30'!$I:$I,'01. KE30'!$C:$C,'06. BC BH THEO CUSTOMER-USD'!$D220,'01. KE30'!$F:$F,'06. BC BH THEO CUSTOMER-USD'!$H220,'01. KE30'!$A:$A,'06. BC BH THEO CUSTOMER-USD'!CW$4)/1000</f>
        <v>0</v>
      </c>
      <c r="CX220" s="114">
        <f>SUMIFS('01. KE30'!$I:$I,'01. KE30'!$C:$C,'06. BC BH THEO CUSTOMER-USD'!$D220,'01. KE30'!$F:$F,'06. BC BH THEO CUSTOMER-USD'!$H220,'01. KE30'!$A:$A,'06. BC BH THEO CUSTOMER-USD'!CX$4)/1000</f>
        <v>0</v>
      </c>
      <c r="CY220" s="114">
        <f>SUMIFS('01. KE30'!$I:$I,'01. KE30'!$C:$C,'06. BC BH THEO CUSTOMER-USD'!$D220,'01. KE30'!$F:$F,'06. BC BH THEO CUSTOMER-USD'!$H220,'01. KE30'!$A:$A,'06. BC BH THEO CUSTOMER-USD'!CY$4)/1000</f>
        <v>0</v>
      </c>
      <c r="CZ220" s="114">
        <f>SUMIFS('01. KE30'!$I:$I,'01. KE30'!$C:$C,'06. BC BH THEO CUSTOMER-USD'!$D220,'01. KE30'!$F:$F,'06. BC BH THEO CUSTOMER-USD'!$H220,'01. KE30'!$A:$A,'06. BC BH THEO CUSTOMER-USD'!CZ$4)/1000</f>
        <v>0.05</v>
      </c>
      <c r="DA220" s="114">
        <f>SUMIFS('01. KE30'!$I:$I,'01. KE30'!$C:$C,'06. BC BH THEO CUSTOMER-USD'!$D220,'01. KE30'!$F:$F,'06. BC BH THEO CUSTOMER-USD'!$H220,'01. KE30'!$A:$A,'06. BC BH THEO CUSTOMER-USD'!DA$4)/1000</f>
        <v>0</v>
      </c>
      <c r="DB220" s="114">
        <f>SUMIFS('01. KE30'!$I:$I,'01. KE30'!$C:$C,'06. BC BH THEO CUSTOMER-USD'!$D220,'01. KE30'!$F:$F,'06. BC BH THEO CUSTOMER-USD'!$H220,'01. KE30'!$A:$A,'06. BC BH THEO CUSTOMER-USD'!DB$4)/1000</f>
        <v>0</v>
      </c>
      <c r="DC220" s="114">
        <f>SUMIFS('01. KE30'!$I:$I,'01. KE30'!$C:$C,'06. BC BH THEO CUSTOMER-USD'!$D220,'01. KE30'!$F:$F,'06. BC BH THEO CUSTOMER-USD'!$H220,'01. KE30'!$A:$A,'06. BC BH THEO CUSTOMER-USD'!DC$4)/1000</f>
        <v>0</v>
      </c>
      <c r="DD220" s="114">
        <f>SUMIFS('01. KE30'!$I:$I,'01. KE30'!$C:$C,'06. BC BH THEO CUSTOMER-USD'!$D220,'01. KE30'!$F:$F,'06. BC BH THEO CUSTOMER-USD'!$H220,'01. KE30'!$A:$A,'06. BC BH THEO CUSTOMER-USD'!DD$4)/1000</f>
        <v>0</v>
      </c>
      <c r="DF220" s="112">
        <f t="shared" ref="DF220" si="2818">SUM(DG220:DR220)</f>
        <v>67.685255920550034</v>
      </c>
      <c r="DG220" s="54" t="str">
        <f t="shared" ref="DG220" si="2819">IFERROR(M220*CS220,"-")</f>
        <v>-</v>
      </c>
      <c r="DH220" s="54" t="str">
        <f t="shared" ref="DH220" si="2820">IFERROR(N220*CT220,"-")</f>
        <v>-</v>
      </c>
      <c r="DI220" s="54" t="str">
        <f t="shared" ref="DI220" si="2821">IFERROR(O220*CU220,"-")</f>
        <v>-</v>
      </c>
      <c r="DJ220" s="54" t="str">
        <f t="shared" ref="DJ220" si="2822">IFERROR(P220*CV220,"-")</f>
        <v>-</v>
      </c>
      <c r="DK220" s="54" t="str">
        <f t="shared" ref="DK220" si="2823">IFERROR(Q220*CW220,"-")</f>
        <v>-</v>
      </c>
      <c r="DL220" s="54" t="str">
        <f t="shared" ref="DL220" si="2824">IFERROR(R220*CX220,"-")</f>
        <v>-</v>
      </c>
      <c r="DM220" s="54" t="str">
        <f t="shared" ref="DM220" si="2825">IFERROR(S220*CY220,"-")</f>
        <v>-</v>
      </c>
      <c r="DN220" s="54">
        <f t="shared" ref="DN220" si="2826">IFERROR(T220*CZ220,"-")</f>
        <v>67.685255920550034</v>
      </c>
      <c r="DO220" s="54" t="str">
        <f t="shared" ref="DO220" si="2827">IFERROR(U220*DA220,"-")</f>
        <v>-</v>
      </c>
      <c r="DP220" s="54" t="str">
        <f t="shared" ref="DP220" si="2828">IFERROR(V220*DB220,"-")</f>
        <v>-</v>
      </c>
      <c r="DQ220" s="54" t="str">
        <f t="shared" ref="DQ220" si="2829">IFERROR(W220*DC220,"-")</f>
        <v>-</v>
      </c>
      <c r="DR220" s="54" t="str">
        <f t="shared" ref="DR220" si="2830">IFERROR(X220*DD220,"-")</f>
        <v>-</v>
      </c>
      <c r="DT220" s="112">
        <f t="shared" ref="DT220" si="2831">SUM(DU220:EF220)</f>
        <v>-1.3038197097020685</v>
      </c>
      <c r="DU220" s="114">
        <f>IFERROR(SUMIFS('01. KE30'!$X:$X,'01. KE30'!$C:$C,'06. BC BH THEO CUSTOMER-USD'!$D220,'01. KE30'!$F:$F,'06. BC BH THEO CUSTOMER-USD'!$H220,'01. KE30'!$A:$A,'06. BC BH THEO CUSTOMER-USD'!DU$4)-SUMIFS('01. KE30'!$AA:$AA,'01. KE30'!$C:$C,'06. BC BH THEO CUSTOMER-USD'!$D220,'01. KE30'!$F:$F,'06. BC BH THEO CUSTOMER-USD'!$H220,'01. KE30'!$A:$A,'06. BC BH THEO CUSTOMER-USD'!DU$4),"-")</f>
        <v>0</v>
      </c>
      <c r="DV220" s="114">
        <f>IFERROR(SUMIFS('01. KE30'!$X:$X,'01. KE30'!$C:$C,'06. BC BH THEO CUSTOMER-USD'!$D220,'01. KE30'!$F:$F,'06. BC BH THEO CUSTOMER-USD'!$H220,'01. KE30'!$A:$A,'06. BC BH THEO CUSTOMER-USD'!DV$4)-SUMIFS('01. KE30'!$AA:$AA,'01. KE30'!$C:$C,'06. BC BH THEO CUSTOMER-USD'!$D220,'01. KE30'!$F:$F,'06. BC BH THEO CUSTOMER-USD'!$H220,'01. KE30'!$A:$A,'06. BC BH THEO CUSTOMER-USD'!DV$4),"-")</f>
        <v>0</v>
      </c>
      <c r="DW220" s="114">
        <f>IFERROR(SUMIFS('01. KE30'!$X:$X,'01. KE30'!$C:$C,'06. BC BH THEO CUSTOMER-USD'!$D220,'01. KE30'!$F:$F,'06. BC BH THEO CUSTOMER-USD'!$H220,'01. KE30'!$A:$A,'06. BC BH THEO CUSTOMER-USD'!DW$4)-SUMIFS('01. KE30'!$AA:$AA,'01. KE30'!$C:$C,'06. BC BH THEO CUSTOMER-USD'!$D220,'01. KE30'!$F:$F,'06. BC BH THEO CUSTOMER-USD'!$H220,'01. KE30'!$A:$A,'06. BC BH THEO CUSTOMER-USD'!DW$4),"-")</f>
        <v>0</v>
      </c>
      <c r="DX220" s="114">
        <f>IFERROR(SUMIFS('01. KE30'!$X:$X,'01. KE30'!$C:$C,'06. BC BH THEO CUSTOMER-USD'!$D220,'01. KE30'!$F:$F,'06. BC BH THEO CUSTOMER-USD'!$H220,'01. KE30'!$A:$A,'06. BC BH THEO CUSTOMER-USD'!DX$4)-SUMIFS('01. KE30'!$AA:$AA,'01. KE30'!$C:$C,'06. BC BH THEO CUSTOMER-USD'!$D220,'01. KE30'!$F:$F,'06. BC BH THEO CUSTOMER-USD'!$H220,'01. KE30'!$A:$A,'06. BC BH THEO CUSTOMER-USD'!DX$4),"-")</f>
        <v>0</v>
      </c>
      <c r="DY220" s="114">
        <f>IFERROR(SUMIFS('01. KE30'!$X:$X,'01. KE30'!$C:$C,'06. BC BH THEO CUSTOMER-USD'!$D220,'01. KE30'!$F:$F,'06. BC BH THEO CUSTOMER-USD'!$H220,'01. KE30'!$A:$A,'06. BC BH THEO CUSTOMER-USD'!DY$4)-SUMIFS('01. KE30'!$AA:$AA,'01. KE30'!$C:$C,'06. BC BH THEO CUSTOMER-USD'!$D220,'01. KE30'!$F:$F,'06. BC BH THEO CUSTOMER-USD'!$H220,'01. KE30'!$A:$A,'06. BC BH THEO CUSTOMER-USD'!DY$4),"-")</f>
        <v>0</v>
      </c>
      <c r="DZ220" s="114">
        <f>IFERROR(SUMIFS('01. KE30'!$X:$X,'01. KE30'!$C:$C,'06. BC BH THEO CUSTOMER-USD'!$D220,'01. KE30'!$F:$F,'06. BC BH THEO CUSTOMER-USD'!$H220,'01. KE30'!$A:$A,'06. BC BH THEO CUSTOMER-USD'!DZ$4)-SUMIFS('01. KE30'!$AA:$AA,'01. KE30'!$C:$C,'06. BC BH THEO CUSTOMER-USD'!$D220,'01. KE30'!$F:$F,'06. BC BH THEO CUSTOMER-USD'!$H220,'01. KE30'!$A:$A,'06. BC BH THEO CUSTOMER-USD'!DZ$4),"-")</f>
        <v>0</v>
      </c>
      <c r="EA220" s="114">
        <f>IFERROR(SUMIFS('01. KE30'!$X:$X,'01. KE30'!$C:$C,'06. BC BH THEO CUSTOMER-USD'!$D220,'01. KE30'!$F:$F,'06. BC BH THEO CUSTOMER-USD'!$H220,'01. KE30'!$A:$A,'06. BC BH THEO CUSTOMER-USD'!EA$4)-SUMIFS('01. KE30'!$AA:$AA,'01. KE30'!$C:$C,'06. BC BH THEO CUSTOMER-USD'!$D220,'01. KE30'!$F:$F,'06. BC BH THEO CUSTOMER-USD'!$H220,'01. KE30'!$A:$A,'06. BC BH THEO CUSTOMER-USD'!EA$4),"-")</f>
        <v>0</v>
      </c>
      <c r="EB220" s="114">
        <f>IFERROR(SUMIFS('01. KE30'!$X:$X,'01. KE30'!$C:$C,'06. BC BH THEO CUSTOMER-USD'!$D220,'01. KE30'!$F:$F,'06. BC BH THEO CUSTOMER-USD'!$H220,'01. KE30'!$A:$A,'06. BC BH THEO CUSTOMER-USD'!EB$4)-SUMIFS('01. KE30'!$AA:$AA,'01. KE30'!$C:$C,'06. BC BH THEO CUSTOMER-USD'!$D220,'01. KE30'!$F:$F,'06. BC BH THEO CUSTOMER-USD'!$H220,'01. KE30'!$A:$A,'06. BC BH THEO CUSTOMER-USD'!EB$4),"-")</f>
        <v>-1.3038197097020685</v>
      </c>
      <c r="EC220" s="114">
        <f>IFERROR(SUMIFS('01. KE30'!$X:$X,'01. KE30'!$C:$C,'06. BC BH THEO CUSTOMER-USD'!$D220,'01. KE30'!$F:$F,'06. BC BH THEO CUSTOMER-USD'!$H220,'01. KE30'!$A:$A,'06. BC BH THEO CUSTOMER-USD'!EC$4)-SUMIFS('01. KE30'!$AA:$AA,'01. KE30'!$C:$C,'06. BC BH THEO CUSTOMER-USD'!$D220,'01. KE30'!$F:$F,'06. BC BH THEO CUSTOMER-USD'!$H220,'01. KE30'!$A:$A,'06. BC BH THEO CUSTOMER-USD'!EC$4),"-")</f>
        <v>0</v>
      </c>
      <c r="ED220" s="114">
        <f>IFERROR(SUMIFS('01. KE30'!$X:$X,'01. KE30'!$C:$C,'06. BC BH THEO CUSTOMER-USD'!$D220,'01. KE30'!$F:$F,'06. BC BH THEO CUSTOMER-USD'!$H220,'01. KE30'!$A:$A,'06. BC BH THEO CUSTOMER-USD'!ED$4)-SUMIFS('01. KE30'!$AA:$AA,'01. KE30'!$C:$C,'06. BC BH THEO CUSTOMER-USD'!$D220,'01. KE30'!$F:$F,'06. BC BH THEO CUSTOMER-USD'!$H220,'01. KE30'!$A:$A,'06. BC BH THEO CUSTOMER-USD'!ED$4),"-")</f>
        <v>0</v>
      </c>
      <c r="EE220" s="114">
        <f>IFERROR(SUMIFS('01. KE30'!$X:$X,'01. KE30'!$C:$C,'06. BC BH THEO CUSTOMER-USD'!$D220,'01. KE30'!$F:$F,'06. BC BH THEO CUSTOMER-USD'!$H220,'01. KE30'!$A:$A,'06. BC BH THEO CUSTOMER-USD'!EE$4)-SUMIFS('01. KE30'!$AA:$AA,'01. KE30'!$C:$C,'06. BC BH THEO CUSTOMER-USD'!$D220,'01. KE30'!$F:$F,'06. BC BH THEO CUSTOMER-USD'!$H220,'01. KE30'!$A:$A,'06. BC BH THEO CUSTOMER-USD'!EE$4),"-")</f>
        <v>0</v>
      </c>
      <c r="EF220" s="114">
        <f>IFERROR(SUMIFS('01. KE30'!$X:$X,'01. KE30'!$C:$C,'06. BC BH THEO CUSTOMER-USD'!$D220,'01. KE30'!$F:$F,'06. BC BH THEO CUSTOMER-USD'!$H220,'01. KE30'!$A:$A,'06. BC BH THEO CUSTOMER-USD'!EF$4)-SUMIFS('01. KE30'!$AA:$AA,'01. KE30'!$C:$C,'06. BC BH THEO CUSTOMER-USD'!$D220,'01. KE30'!$F:$F,'06. BC BH THEO CUSTOMER-USD'!$H220,'01. KE30'!$A:$A,'06. BC BH THEO CUSTOMER-USD'!EF$4),"-")</f>
        <v>0</v>
      </c>
      <c r="EH220" s="571">
        <f t="shared" ref="EH220" si="2832">IFERROR(DT220/DF220,"-")</f>
        <v>-1.9262979683972999E-2</v>
      </c>
      <c r="EI220" s="572" t="str">
        <f t="shared" ref="EI220" si="2833">IFERROR(DU220/DG220,"-")</f>
        <v>-</v>
      </c>
      <c r="EJ220" s="572" t="str">
        <f t="shared" ref="EJ220" si="2834">IFERROR(DV220/DH220,"-")</f>
        <v>-</v>
      </c>
      <c r="EK220" s="572" t="str">
        <f t="shared" ref="EK220" si="2835">IFERROR(DW220/DI220,"-")</f>
        <v>-</v>
      </c>
      <c r="EL220" s="572" t="str">
        <f t="shared" ref="EL220" si="2836">IFERROR(DX220/DJ220,"-")</f>
        <v>-</v>
      </c>
      <c r="EM220" s="572" t="str">
        <f t="shared" ref="EM220" si="2837">IFERROR(DY220/DK220,"-")</f>
        <v>-</v>
      </c>
      <c r="EN220" s="572" t="str">
        <f t="shared" ref="EN220" si="2838">IFERROR(DZ220/DL220,"-")</f>
        <v>-</v>
      </c>
      <c r="EO220" s="572" t="str">
        <f t="shared" ref="EO220" si="2839">IFERROR(EA220/DM220,"-")</f>
        <v>-</v>
      </c>
      <c r="EP220" s="572">
        <f t="shared" ref="EP220" si="2840">IFERROR(EB220/DN220,"-")</f>
        <v>-1.9262979683972999E-2</v>
      </c>
      <c r="EQ220" s="572" t="str">
        <f t="shared" ref="EQ220" si="2841">IFERROR(EC220/DO220,"-")</f>
        <v>-</v>
      </c>
      <c r="ER220" s="572" t="str">
        <f t="shared" ref="ER220" si="2842">IFERROR(ED220/DP220,"-")</f>
        <v>-</v>
      </c>
      <c r="ES220" s="572" t="str">
        <f t="shared" ref="ES220" si="2843">IFERROR(EE220/DQ220,"-")</f>
        <v>-</v>
      </c>
      <c r="ET220" s="572" t="str">
        <f t="shared" ref="ET220" si="2844">IFERROR(EF220/DR220,"-")</f>
        <v>-</v>
      </c>
    </row>
    <row r="221" spans="1:150" ht="15.5" outlineLevel="1" x14ac:dyDescent="0.35">
      <c r="A221" s="10">
        <f>A216+1</f>
        <v>9</v>
      </c>
      <c r="B221" s="10" t="s">
        <v>23</v>
      </c>
      <c r="C221" s="442" t="s">
        <v>489</v>
      </c>
      <c r="D221" s="9" t="s">
        <v>3</v>
      </c>
      <c r="E221" s="8" t="s">
        <v>2</v>
      </c>
      <c r="F221" s="12" t="s">
        <v>245</v>
      </c>
      <c r="G221" s="12" t="str">
        <f>_xlfn.XLOOKUP(F221,'Quy đổi'!$G$5:$G$32,'Quy đổi'!$H$5:$H$32,0)</f>
        <v>Nội địa</v>
      </c>
      <c r="H221" s="80" t="s">
        <v>1</v>
      </c>
      <c r="I221" s="7" t="s">
        <v>0</v>
      </c>
      <c r="J221" s="69" t="s">
        <v>22</v>
      </c>
      <c r="K221" s="5"/>
      <c r="L221" s="92" t="str">
        <f t="shared" si="2499"/>
        <v>-</v>
      </c>
      <c r="M221" s="106" t="str">
        <f>IFERROR(SUMIFS('01. KE30'!$K:$K,'01. KE30'!$C:$C,'06. BC BH THEO CUSTOMER-USD'!$D221,'01. KE30'!$F:$F,'06. BC BH THEO CUSTOMER-USD'!$H221,'01. KE30'!$A:$A,'06. BC BH THEO CUSTOMER-USD'!M$4)/'06. BC BH THEO CUSTOMER-USD'!CS221/'02. Tỷ giá'!B$5,"-")</f>
        <v>-</v>
      </c>
      <c r="N221" s="106" t="str">
        <f>IFERROR(SUMIFS('01. KE30'!$K:$K,'01. KE30'!$C:$C,'06. BC BH THEO CUSTOMER-USD'!$D221,'01. KE30'!$F:$F,'06. BC BH THEO CUSTOMER-USD'!$H221,'01. KE30'!$A:$A,'06. BC BH THEO CUSTOMER-USD'!N$4)/'06. BC BH THEO CUSTOMER-USD'!CT221/'02. Tỷ giá'!C$5,"-")</f>
        <v>-</v>
      </c>
      <c r="O221" s="106" t="str">
        <f>IFERROR(SUMIFS('01. KE30'!$K:$K,'01. KE30'!$C:$C,'06. BC BH THEO CUSTOMER-USD'!$D221,'01. KE30'!$F:$F,'06. BC BH THEO CUSTOMER-USD'!$H221,'01. KE30'!$A:$A,'06. BC BH THEO CUSTOMER-USD'!O$4)/'06. BC BH THEO CUSTOMER-USD'!CU221/'02. Tỷ giá'!D$5,"-")</f>
        <v>-</v>
      </c>
      <c r="P221" s="106" t="str">
        <f>IFERROR(SUMIFS('01. KE30'!$K:$K,'01. KE30'!$C:$C,'06. BC BH THEO CUSTOMER-USD'!$D221,'01. KE30'!$F:$F,'06. BC BH THEO CUSTOMER-USD'!$H221,'01. KE30'!$A:$A,'06. BC BH THEO CUSTOMER-USD'!P$4)/'06. BC BH THEO CUSTOMER-USD'!CV221/'02. Tỷ giá'!E$5,"-")</f>
        <v>-</v>
      </c>
      <c r="Q221" s="106" t="str">
        <f>IFERROR(SUMIFS('01. KE30'!$K:$K,'01. KE30'!$C:$C,'06. BC BH THEO CUSTOMER-USD'!$D221,'01. KE30'!$F:$F,'06. BC BH THEO CUSTOMER-USD'!$H221,'01. KE30'!$A:$A,'06. BC BH THEO CUSTOMER-USD'!Q$4)/'06. BC BH THEO CUSTOMER-USD'!CW221/'02. Tỷ giá'!F$5,"-")</f>
        <v>-</v>
      </c>
      <c r="R221" s="106" t="str">
        <f>IFERROR(SUMIFS('01. KE30'!$K:$K,'01. KE30'!$C:$C,'06. BC BH THEO CUSTOMER-USD'!$D221,'01. KE30'!$F:$F,'06. BC BH THEO CUSTOMER-USD'!$H221,'01. KE30'!$A:$A,'06. BC BH THEO CUSTOMER-USD'!R$4)/'06. BC BH THEO CUSTOMER-USD'!CX221/'02. Tỷ giá'!G$5,"-")</f>
        <v>-</v>
      </c>
      <c r="S221" s="106" t="str">
        <f>IFERROR(SUMIFS('01. KE30'!$K:$K,'01. KE30'!$C:$C,'06. BC BH THEO CUSTOMER-USD'!$D221,'01. KE30'!$F:$F,'06. BC BH THEO CUSTOMER-USD'!$H221,'01. KE30'!$A:$A,'06. BC BH THEO CUSTOMER-USD'!S$4)/'06. BC BH THEO CUSTOMER-USD'!CY221/'02. Tỷ giá'!H$5,"-")</f>
        <v>-</v>
      </c>
      <c r="T221" s="106" t="str">
        <f>IFERROR(SUMIFS('01. KE30'!$K:$K,'01. KE30'!$C:$C,'06. BC BH THEO CUSTOMER-USD'!$D221,'01. KE30'!$F:$F,'06. BC BH THEO CUSTOMER-USD'!$H221,'01. KE30'!$A:$A,'06. BC BH THEO CUSTOMER-USD'!T$4)/'06. BC BH THEO CUSTOMER-USD'!CZ221/'02. Tỷ giá'!I$5,"-")</f>
        <v>-</v>
      </c>
      <c r="U221" s="106" t="str">
        <f>IFERROR(SUMIFS('01. KE30'!$K:$K,'01. KE30'!$C:$C,'06. BC BH THEO CUSTOMER-USD'!$D221,'01. KE30'!$F:$F,'06. BC BH THEO CUSTOMER-USD'!$H221,'01. KE30'!$A:$A,'06. BC BH THEO CUSTOMER-USD'!U$4)/'06. BC BH THEO CUSTOMER-USD'!DA221/'02. Tỷ giá'!J$5,"-")</f>
        <v>-</v>
      </c>
      <c r="V221" s="106" t="str">
        <f>IFERROR(SUMIFS('01. KE30'!$K:$K,'01. KE30'!$C:$C,'06. BC BH THEO CUSTOMER-USD'!$D221,'01. KE30'!$F:$F,'06. BC BH THEO CUSTOMER-USD'!$H221,'01. KE30'!$A:$A,'06. BC BH THEO CUSTOMER-USD'!V$4)/'06. BC BH THEO CUSTOMER-USD'!DB221/'02. Tỷ giá'!K$5,"-")</f>
        <v>-</v>
      </c>
      <c r="W221" s="106" t="str">
        <f>IFERROR(SUMIFS('01. KE30'!$K:$K,'01. KE30'!$C:$C,'06. BC BH THEO CUSTOMER-USD'!$D221,'01. KE30'!$F:$F,'06. BC BH THEO CUSTOMER-USD'!$H221,'01. KE30'!$A:$A,'06. BC BH THEO CUSTOMER-USD'!W$4)/'06. BC BH THEO CUSTOMER-USD'!DC221/'02. Tỷ giá'!L$5,"-")</f>
        <v>-</v>
      </c>
      <c r="X221" s="106" t="str">
        <f>IFERROR(SUMIFS('01. KE30'!$K:$K,'01. KE30'!$C:$C,'06. BC BH THEO CUSTOMER-USD'!$D221,'01. KE30'!$F:$F,'06. BC BH THEO CUSTOMER-USD'!$H221,'01. KE30'!$A:$A,'06. BC BH THEO CUSTOMER-USD'!X$4)/'06. BC BH THEO CUSTOMER-USD'!DD221/'02. Tỷ giá'!M$5,"-")</f>
        <v>-</v>
      </c>
      <c r="Z221" s="92" t="str">
        <f t="shared" si="2565"/>
        <v>-</v>
      </c>
      <c r="AA221" s="147" t="str">
        <f>IFERROR(SUMIFS('01. KE30'!$O:$O,'01. KE30'!$C:$C,'06. BC BH THEO CUSTOMER-USD'!$D221,'01. KE30'!$F:$F,'06. BC BH THEO CUSTOMER-USD'!$H221,'01. KE30'!$A:$A,'06. BC BH THEO CUSTOMER-USD'!M$4)/'06. BC BH THEO CUSTOMER-USD'!CS221/'02. Tỷ giá'!B$5,"-")</f>
        <v>-</v>
      </c>
      <c r="AB221" s="147" t="str">
        <f>IFERROR(SUMIFS('01. KE30'!$O:$O,'01. KE30'!$C:$C,'06. BC BH THEO CUSTOMER-USD'!$D221,'01. KE30'!$F:$F,'06. BC BH THEO CUSTOMER-USD'!$H221,'01. KE30'!$A:$A,'06. BC BH THEO CUSTOMER-USD'!N$4)/'06. BC BH THEO CUSTOMER-USD'!CT221/'02. Tỷ giá'!C$5,"-")</f>
        <v>-</v>
      </c>
      <c r="AC221" s="147" t="str">
        <f>IFERROR(SUMIFS('01. KE30'!$O:$O,'01. KE30'!$C:$C,'06. BC BH THEO CUSTOMER-USD'!$D221,'01. KE30'!$F:$F,'06. BC BH THEO CUSTOMER-USD'!$H221,'01. KE30'!$A:$A,'06. BC BH THEO CUSTOMER-USD'!O$4)/'06. BC BH THEO CUSTOMER-USD'!CU221/'02. Tỷ giá'!D$5,"-")</f>
        <v>-</v>
      </c>
      <c r="AD221" s="147" t="str">
        <f>IFERROR(SUMIFS('01. KE30'!$O:$O,'01. KE30'!$C:$C,'06. BC BH THEO CUSTOMER-USD'!$D221,'01. KE30'!$F:$F,'06. BC BH THEO CUSTOMER-USD'!$H221,'01. KE30'!$A:$A,'06. BC BH THEO CUSTOMER-USD'!P$4)/'06. BC BH THEO CUSTOMER-USD'!CV221/'02. Tỷ giá'!E$5,"-")</f>
        <v>-</v>
      </c>
      <c r="AE221" s="147" t="str">
        <f>IFERROR(SUMIFS('01. KE30'!$O:$O,'01. KE30'!$C:$C,'06. BC BH THEO CUSTOMER-USD'!$D221,'01. KE30'!$F:$F,'06. BC BH THEO CUSTOMER-USD'!$H221,'01. KE30'!$A:$A,'06. BC BH THEO CUSTOMER-USD'!Q$4)/'06. BC BH THEO CUSTOMER-USD'!CW221/'02. Tỷ giá'!F$5,"-")</f>
        <v>-</v>
      </c>
      <c r="AF221" s="147" t="str">
        <f>IFERROR(SUMIFS('01. KE30'!$O:$O,'01. KE30'!$C:$C,'06. BC BH THEO CUSTOMER-USD'!$D221,'01. KE30'!$F:$F,'06. BC BH THEO CUSTOMER-USD'!$H221,'01. KE30'!$A:$A,'06. BC BH THEO CUSTOMER-USD'!R$4)/'06. BC BH THEO CUSTOMER-USD'!CX221/'02. Tỷ giá'!G$5,"-")</f>
        <v>-</v>
      </c>
      <c r="AG221" s="147" t="str">
        <f>IFERROR(SUMIFS('01. KE30'!$O:$O,'01. KE30'!$C:$C,'06. BC BH THEO CUSTOMER-USD'!$D221,'01. KE30'!$F:$F,'06. BC BH THEO CUSTOMER-USD'!$H221,'01. KE30'!$A:$A,'06. BC BH THEO CUSTOMER-USD'!S$4)/'06. BC BH THEO CUSTOMER-USD'!CY221/'02. Tỷ giá'!H$5,"-")</f>
        <v>-</v>
      </c>
      <c r="AH221" s="147" t="str">
        <f>IFERROR(SUMIFS('01. KE30'!$O:$O,'01. KE30'!$C:$C,'06. BC BH THEO CUSTOMER-USD'!$D221,'01. KE30'!$F:$F,'06. BC BH THEO CUSTOMER-USD'!$H221,'01. KE30'!$A:$A,'06. BC BH THEO CUSTOMER-USD'!T$4)/'06. BC BH THEO CUSTOMER-USD'!CZ221/'02. Tỷ giá'!I$5,"-")</f>
        <v>-</v>
      </c>
      <c r="AI221" s="147" t="str">
        <f>IFERROR(SUMIFS('01. KE30'!$O:$O,'01. KE30'!$C:$C,'06. BC BH THEO CUSTOMER-USD'!$D221,'01. KE30'!$F:$F,'06. BC BH THEO CUSTOMER-USD'!$H221,'01. KE30'!$A:$A,'06. BC BH THEO CUSTOMER-USD'!U$4)/'06. BC BH THEO CUSTOMER-USD'!DA221/'02. Tỷ giá'!J$5,"-")</f>
        <v>-</v>
      </c>
      <c r="AJ221" s="147" t="str">
        <f>IFERROR(SUMIFS('01. KE30'!$O:$O,'01. KE30'!$C:$C,'06. BC BH THEO CUSTOMER-USD'!$D221,'01. KE30'!$F:$F,'06. BC BH THEO CUSTOMER-USD'!$H221,'01. KE30'!$A:$A,'06. BC BH THEO CUSTOMER-USD'!V$4)/'06. BC BH THEO CUSTOMER-USD'!DB221/'02. Tỷ giá'!K$5,"-")</f>
        <v>-</v>
      </c>
      <c r="AK221" s="147" t="str">
        <f>IFERROR(SUMIFS('01. KE30'!$O:$O,'01. KE30'!$C:$C,'06. BC BH THEO CUSTOMER-USD'!$D221,'01. KE30'!$F:$F,'06. BC BH THEO CUSTOMER-USD'!$H221,'01. KE30'!$A:$A,'06. BC BH THEO CUSTOMER-USD'!W$4)/'06. BC BH THEO CUSTOMER-USD'!DC221/'02. Tỷ giá'!L$5,"-")</f>
        <v>-</v>
      </c>
      <c r="AL221" s="147" t="str">
        <f>IFERROR(SUMIFS('01. KE30'!$O:$O,'01. KE30'!$C:$C,'06. BC BH THEO CUSTOMER-USD'!$D221,'01. KE30'!$F:$F,'06. BC BH THEO CUSTOMER-USD'!$H221,'01. KE30'!$A:$A,'06. BC BH THEO CUSTOMER-USD'!X$4)/'06. BC BH THEO CUSTOMER-USD'!DD221/'02. Tỷ giá'!M$5,"-")</f>
        <v>-</v>
      </c>
      <c r="AN221" s="92">
        <f t="shared" si="2566"/>
        <v>815.55555555555554</v>
      </c>
      <c r="AO221" s="4">
        <v>900</v>
      </c>
      <c r="AP221" s="4">
        <v>820</v>
      </c>
      <c r="AQ221" s="4">
        <v>840</v>
      </c>
      <c r="AR221" s="4">
        <v>835</v>
      </c>
      <c r="AS221" s="4">
        <v>815</v>
      </c>
      <c r="AT221" s="4">
        <v>815</v>
      </c>
      <c r="AU221" s="4">
        <v>790</v>
      </c>
      <c r="AV221" s="4">
        <f t="shared" si="2518"/>
        <v>770</v>
      </c>
      <c r="AW221" s="4">
        <v>755</v>
      </c>
      <c r="AX221" s="4"/>
      <c r="AY221" s="4"/>
      <c r="AZ221" s="4"/>
      <c r="BB221" s="95" t="str">
        <f t="shared" si="2122"/>
        <v>-</v>
      </c>
      <c r="BC221" s="95" t="str">
        <f t="shared" si="2123"/>
        <v>-</v>
      </c>
      <c r="BD221" s="95" t="str">
        <f t="shared" si="2108"/>
        <v>-</v>
      </c>
      <c r="BE221" s="95" t="str">
        <f t="shared" si="2108"/>
        <v>-</v>
      </c>
      <c r="BF221" s="95" t="str">
        <f t="shared" si="2108"/>
        <v>-</v>
      </c>
      <c r="BG221" s="95" t="str">
        <f t="shared" si="2108"/>
        <v>-</v>
      </c>
      <c r="BH221" s="95" t="str">
        <f t="shared" si="2108"/>
        <v>-</v>
      </c>
      <c r="BI221" s="95" t="str">
        <f t="shared" si="2108"/>
        <v>-</v>
      </c>
      <c r="BJ221" s="95" t="str">
        <f t="shared" si="2108"/>
        <v>-</v>
      </c>
      <c r="BK221" s="95" t="str">
        <f t="shared" si="2108"/>
        <v>-</v>
      </c>
      <c r="BL221" s="95" t="str">
        <f t="shared" si="2108"/>
        <v>-</v>
      </c>
      <c r="BM221" s="95" t="str">
        <f t="shared" si="2108"/>
        <v>-</v>
      </c>
      <c r="BN221" s="95" t="str">
        <f t="shared" si="2108"/>
        <v>-</v>
      </c>
      <c r="BP221" s="143" t="str">
        <f t="shared" si="2124"/>
        <v>-</v>
      </c>
      <c r="BQ221" s="143" t="str">
        <f t="shared" si="2109"/>
        <v>-</v>
      </c>
      <c r="BR221" s="143" t="str">
        <f t="shared" si="2110"/>
        <v>-</v>
      </c>
      <c r="BS221" s="143" t="str">
        <f t="shared" si="2111"/>
        <v>-</v>
      </c>
      <c r="BT221" s="143" t="str">
        <f t="shared" si="2112"/>
        <v>-</v>
      </c>
      <c r="BU221" s="143" t="str">
        <f t="shared" si="2113"/>
        <v>-</v>
      </c>
      <c r="BV221" s="143" t="str">
        <f t="shared" si="2114"/>
        <v>-</v>
      </c>
      <c r="BW221" s="143" t="str">
        <f t="shared" si="2115"/>
        <v>-</v>
      </c>
      <c r="BX221" s="143" t="str">
        <f t="shared" si="2116"/>
        <v>-</v>
      </c>
      <c r="BY221" s="143" t="str">
        <f t="shared" si="2117"/>
        <v>-</v>
      </c>
      <c r="BZ221" s="143" t="str">
        <f t="shared" si="2118"/>
        <v>-</v>
      </c>
      <c r="CA221" s="143" t="str">
        <f t="shared" si="2119"/>
        <v>-</v>
      </c>
      <c r="CB221" s="143" t="str">
        <f t="shared" si="2120"/>
        <v>-</v>
      </c>
      <c r="CD221" s="112" t="str">
        <f t="shared" si="2500"/>
        <v>-</v>
      </c>
      <c r="CE221" s="95" t="str">
        <f>IFERROR(SUMIFS('01. KE30'!$R:$R,'01. KE30'!$C:$C,'06. BC BH THEO CUSTOMER-USD'!$D221,'01. KE30'!$F:$F,'06. BC BH THEO CUSTOMER-USD'!$H221,'01. KE30'!$A:$A,'06. BC BH THEO CUSTOMER-USD'!CE$4)/CS221/'02. Tỷ giá'!B$5," -")</f>
        <v xml:space="preserve"> -</v>
      </c>
      <c r="CF221" s="95" t="str">
        <f>IFERROR(SUMIFS('01. KE30'!$R:$R,'01. KE30'!$C:$C,'06. BC BH THEO CUSTOMER-USD'!$D221,'01. KE30'!$F:$F,'06. BC BH THEO CUSTOMER-USD'!$H221,'01. KE30'!$A:$A,'06. BC BH THEO CUSTOMER-USD'!CF$4)/CT221/'02. Tỷ giá'!C$5," -")</f>
        <v xml:space="preserve"> -</v>
      </c>
      <c r="CG221" s="95" t="str">
        <f>IFERROR(SUMIFS('01. KE30'!$R:$R,'01. KE30'!$C:$C,'06. BC BH THEO CUSTOMER-USD'!$D221,'01. KE30'!$F:$F,'06. BC BH THEO CUSTOMER-USD'!$H221,'01. KE30'!$A:$A,'06. BC BH THEO CUSTOMER-USD'!CG$4)/CU221/'02. Tỷ giá'!D$5," -")</f>
        <v xml:space="preserve"> -</v>
      </c>
      <c r="CH221" s="95" t="str">
        <f>IFERROR(SUMIFS('01. KE30'!$R:$R,'01. KE30'!$C:$C,'06. BC BH THEO CUSTOMER-USD'!$D221,'01. KE30'!$F:$F,'06. BC BH THEO CUSTOMER-USD'!$H221,'01. KE30'!$A:$A,'06. BC BH THEO CUSTOMER-USD'!CH$4)/CV221/'02. Tỷ giá'!E$5," -")</f>
        <v xml:space="preserve"> -</v>
      </c>
      <c r="CI221" s="95" t="str">
        <f>IFERROR(SUMIFS('01. KE30'!$R:$R,'01. KE30'!$C:$C,'06. BC BH THEO CUSTOMER-USD'!$D221,'01. KE30'!$F:$F,'06. BC BH THEO CUSTOMER-USD'!$H221,'01. KE30'!$A:$A,'06. BC BH THEO CUSTOMER-USD'!CI$4)/CW221/'02. Tỷ giá'!F$5," -")</f>
        <v xml:space="preserve"> -</v>
      </c>
      <c r="CJ221" s="95" t="str">
        <f>IFERROR(SUMIFS('01. KE30'!$R:$R,'01. KE30'!$C:$C,'06. BC BH THEO CUSTOMER-USD'!$D221,'01. KE30'!$F:$F,'06. BC BH THEO CUSTOMER-USD'!$H221,'01. KE30'!$A:$A,'06. BC BH THEO CUSTOMER-USD'!CJ$4)/CX221/'02. Tỷ giá'!G$5," -")</f>
        <v xml:space="preserve"> -</v>
      </c>
      <c r="CK221" s="95" t="str">
        <f>IFERROR(SUMIFS('01. KE30'!$R:$R,'01. KE30'!$C:$C,'06. BC BH THEO CUSTOMER-USD'!$D221,'01. KE30'!$F:$F,'06. BC BH THEO CUSTOMER-USD'!$H221,'01. KE30'!$A:$A,'06. BC BH THEO CUSTOMER-USD'!CK$4)/CY221/'02. Tỷ giá'!H$5," -")</f>
        <v xml:space="preserve"> -</v>
      </c>
      <c r="CL221" s="95" t="str">
        <f>IFERROR(SUMIFS('01. KE30'!$R:$R,'01. KE30'!$C:$C,'06. BC BH THEO CUSTOMER-USD'!$D221,'01. KE30'!$F:$F,'06. BC BH THEO CUSTOMER-USD'!$H221,'01. KE30'!$A:$A,'06. BC BH THEO CUSTOMER-USD'!CL$4)/CZ221/'02. Tỷ giá'!I$5," -")</f>
        <v xml:space="preserve"> -</v>
      </c>
      <c r="CM221" s="95" t="str">
        <f>IFERROR(SUMIFS('01. KE30'!$R:$R,'01. KE30'!$C:$C,'06. BC BH THEO CUSTOMER-USD'!$D221,'01. KE30'!$F:$F,'06. BC BH THEO CUSTOMER-USD'!$H221,'01. KE30'!$A:$A,'06. BC BH THEO CUSTOMER-USD'!CM$4)/DA221/'02. Tỷ giá'!J$5," -")</f>
        <v xml:space="preserve"> -</v>
      </c>
      <c r="CN221" s="95" t="str">
        <f>IFERROR(SUMIFS('01. KE30'!$R:$R,'01. KE30'!$C:$C,'06. BC BH THEO CUSTOMER-USD'!$D221,'01. KE30'!$F:$F,'06. BC BH THEO CUSTOMER-USD'!$H221,'01. KE30'!$A:$A,'06. BC BH THEO CUSTOMER-USD'!CN$4)/DB221/'02. Tỷ giá'!K$5," -")</f>
        <v xml:space="preserve"> -</v>
      </c>
      <c r="CO221" s="95" t="str">
        <f>IFERROR(SUMIFS('01. KE30'!$R:$R,'01. KE30'!$C:$C,'06. BC BH THEO CUSTOMER-USD'!$D221,'01. KE30'!$F:$F,'06. BC BH THEO CUSTOMER-USD'!$H221,'01. KE30'!$A:$A,'06. BC BH THEO CUSTOMER-USD'!CO$4)/DC221/'02. Tỷ giá'!L$5," -")</f>
        <v xml:space="preserve"> -</v>
      </c>
      <c r="CP221" s="95" t="str">
        <f>IFERROR(SUMIFS('01. KE30'!$R:$R,'01. KE30'!$C:$C,'06. BC BH THEO CUSTOMER-USD'!$D221,'01. KE30'!$F:$F,'06. BC BH THEO CUSTOMER-USD'!$H221,'01. KE30'!$A:$A,'06. BC BH THEO CUSTOMER-USD'!CP$4)/DD221/'02. Tỷ giá'!M$5," -")</f>
        <v xml:space="preserve"> -</v>
      </c>
      <c r="CR221" s="112">
        <f t="shared" si="2567"/>
        <v>0</v>
      </c>
      <c r="CS221" s="114">
        <f>SUMIFS('01. KE30'!$I:$I,'01. KE30'!$C:$C,'06. BC BH THEO CUSTOMER-USD'!$D221,'01. KE30'!$F:$F,'06. BC BH THEO CUSTOMER-USD'!$H221,'01. KE30'!$A:$A,'06. BC BH THEO CUSTOMER-USD'!CS$4)/1000</f>
        <v>0</v>
      </c>
      <c r="CT221" s="114">
        <f>SUMIFS('01. KE30'!$I:$I,'01. KE30'!$C:$C,'06. BC BH THEO CUSTOMER-USD'!$D221,'01. KE30'!$F:$F,'06. BC BH THEO CUSTOMER-USD'!$H221,'01. KE30'!$A:$A,'06. BC BH THEO CUSTOMER-USD'!CT$4)/1000</f>
        <v>0</v>
      </c>
      <c r="CU221" s="114">
        <f>SUMIFS('01. KE30'!$I:$I,'01. KE30'!$C:$C,'06. BC BH THEO CUSTOMER-USD'!$D221,'01. KE30'!$F:$F,'06. BC BH THEO CUSTOMER-USD'!$H221,'01. KE30'!$A:$A,'06. BC BH THEO CUSTOMER-USD'!CU$4)/1000</f>
        <v>0</v>
      </c>
      <c r="CV221" s="114">
        <f>SUMIFS('01. KE30'!$I:$I,'01. KE30'!$C:$C,'06. BC BH THEO CUSTOMER-USD'!$D221,'01. KE30'!$F:$F,'06. BC BH THEO CUSTOMER-USD'!$H221,'01. KE30'!$A:$A,'06. BC BH THEO CUSTOMER-USD'!CV$4)/1000</f>
        <v>0</v>
      </c>
      <c r="CW221" s="114">
        <f>SUMIFS('01. KE30'!$I:$I,'01. KE30'!$C:$C,'06. BC BH THEO CUSTOMER-USD'!$D221,'01. KE30'!$F:$F,'06. BC BH THEO CUSTOMER-USD'!$H221,'01. KE30'!$A:$A,'06. BC BH THEO CUSTOMER-USD'!CW$4)/1000</f>
        <v>0</v>
      </c>
      <c r="CX221" s="114">
        <f>SUMIFS('01. KE30'!$I:$I,'01. KE30'!$C:$C,'06. BC BH THEO CUSTOMER-USD'!$D221,'01. KE30'!$F:$F,'06. BC BH THEO CUSTOMER-USD'!$H221,'01. KE30'!$A:$A,'06. BC BH THEO CUSTOMER-USD'!CX$4)/1000</f>
        <v>0</v>
      </c>
      <c r="CY221" s="114">
        <f>SUMIFS('01. KE30'!$I:$I,'01. KE30'!$C:$C,'06. BC BH THEO CUSTOMER-USD'!$D221,'01. KE30'!$F:$F,'06. BC BH THEO CUSTOMER-USD'!$H221,'01. KE30'!$A:$A,'06. BC BH THEO CUSTOMER-USD'!CY$4)/1000</f>
        <v>0</v>
      </c>
      <c r="CZ221" s="114">
        <f>SUMIFS('01. KE30'!$I:$I,'01. KE30'!$C:$C,'06. BC BH THEO CUSTOMER-USD'!$D221,'01. KE30'!$F:$F,'06. BC BH THEO CUSTOMER-USD'!$H221,'01. KE30'!$A:$A,'06. BC BH THEO CUSTOMER-USD'!CZ$4)/1000</f>
        <v>0</v>
      </c>
      <c r="DA221" s="114">
        <f>SUMIFS('01. KE30'!$I:$I,'01. KE30'!$C:$C,'06. BC BH THEO CUSTOMER-USD'!$D221,'01. KE30'!$F:$F,'06. BC BH THEO CUSTOMER-USD'!$H221,'01. KE30'!$A:$A,'06. BC BH THEO CUSTOMER-USD'!DA$4)/1000</f>
        <v>0</v>
      </c>
      <c r="DB221" s="114">
        <f>SUMIFS('01. KE30'!$I:$I,'01. KE30'!$C:$C,'06. BC BH THEO CUSTOMER-USD'!$D221,'01. KE30'!$F:$F,'06. BC BH THEO CUSTOMER-USD'!$H221,'01. KE30'!$A:$A,'06. BC BH THEO CUSTOMER-USD'!DB$4)/1000</f>
        <v>0</v>
      </c>
      <c r="DC221" s="114">
        <f>SUMIFS('01. KE30'!$I:$I,'01. KE30'!$C:$C,'06. BC BH THEO CUSTOMER-USD'!$D221,'01. KE30'!$F:$F,'06. BC BH THEO CUSTOMER-USD'!$H221,'01. KE30'!$A:$A,'06. BC BH THEO CUSTOMER-USD'!DC$4)/1000</f>
        <v>0</v>
      </c>
      <c r="DD221" s="114">
        <f>SUMIFS('01. KE30'!$I:$I,'01. KE30'!$C:$C,'06. BC BH THEO CUSTOMER-USD'!$D221,'01. KE30'!$F:$F,'06. BC BH THEO CUSTOMER-USD'!$H221,'01. KE30'!$A:$A,'06. BC BH THEO CUSTOMER-USD'!DD$4)/1000</f>
        <v>0</v>
      </c>
      <c r="DF221" s="112">
        <f t="shared" si="2502"/>
        <v>0</v>
      </c>
      <c r="DG221" s="54" t="str">
        <f t="shared" si="2503"/>
        <v>-</v>
      </c>
      <c r="DH221" s="54" t="str">
        <f t="shared" si="2504"/>
        <v>-</v>
      </c>
      <c r="DI221" s="54" t="str">
        <f t="shared" si="2505"/>
        <v>-</v>
      </c>
      <c r="DJ221" s="54" t="str">
        <f t="shared" si="2506"/>
        <v>-</v>
      </c>
      <c r="DK221" s="54" t="str">
        <f t="shared" si="2507"/>
        <v>-</v>
      </c>
      <c r="DL221" s="54" t="str">
        <f t="shared" si="2508"/>
        <v>-</v>
      </c>
      <c r="DM221" s="54" t="str">
        <f t="shared" si="2509"/>
        <v>-</v>
      </c>
      <c r="DN221" s="54" t="str">
        <f t="shared" si="2510"/>
        <v>-</v>
      </c>
      <c r="DO221" s="54" t="str">
        <f t="shared" si="2511"/>
        <v>-</v>
      </c>
      <c r="DP221" s="54" t="str">
        <f t="shared" si="2512"/>
        <v>-</v>
      </c>
      <c r="DQ221" s="54" t="str">
        <f t="shared" si="2513"/>
        <v>-</v>
      </c>
      <c r="DR221" s="54" t="str">
        <f t="shared" si="2514"/>
        <v>-</v>
      </c>
      <c r="DT221" s="112">
        <f t="shared" si="2515"/>
        <v>0</v>
      </c>
      <c r="DU221" s="114">
        <f>IFERROR(SUMIFS('01. KE30'!$X:$X,'01. KE30'!$C:$C,'06. BC BH THEO CUSTOMER-USD'!$D221,'01. KE30'!$F:$F,'06. BC BH THEO CUSTOMER-USD'!$H221,'01. KE30'!$A:$A,'06. BC BH THEO CUSTOMER-USD'!DU$4)-SUMIFS('01. KE30'!$AA:$AA,'01. KE30'!$C:$C,'06. BC BH THEO CUSTOMER-USD'!$D221,'01. KE30'!$F:$F,'06. BC BH THEO CUSTOMER-USD'!$H221,'01. KE30'!$A:$A,'06. BC BH THEO CUSTOMER-USD'!DU$4),"-")</f>
        <v>0</v>
      </c>
      <c r="DV221" s="114">
        <f>IFERROR(SUMIFS('01. KE30'!$X:$X,'01. KE30'!$C:$C,'06. BC BH THEO CUSTOMER-USD'!$D221,'01. KE30'!$F:$F,'06. BC BH THEO CUSTOMER-USD'!$H221,'01. KE30'!$A:$A,'06. BC BH THEO CUSTOMER-USD'!DV$4)-SUMIFS('01. KE30'!$AA:$AA,'01. KE30'!$C:$C,'06. BC BH THEO CUSTOMER-USD'!$D221,'01. KE30'!$F:$F,'06. BC BH THEO CUSTOMER-USD'!$H221,'01. KE30'!$A:$A,'06. BC BH THEO CUSTOMER-USD'!DV$4),"-")</f>
        <v>0</v>
      </c>
      <c r="DW221" s="114">
        <f>IFERROR(SUMIFS('01. KE30'!$X:$X,'01. KE30'!$C:$C,'06. BC BH THEO CUSTOMER-USD'!$D221,'01. KE30'!$F:$F,'06. BC BH THEO CUSTOMER-USD'!$H221,'01. KE30'!$A:$A,'06. BC BH THEO CUSTOMER-USD'!DW$4)-SUMIFS('01. KE30'!$AA:$AA,'01. KE30'!$C:$C,'06. BC BH THEO CUSTOMER-USD'!$D221,'01. KE30'!$F:$F,'06. BC BH THEO CUSTOMER-USD'!$H221,'01. KE30'!$A:$A,'06. BC BH THEO CUSTOMER-USD'!DW$4),"-")</f>
        <v>0</v>
      </c>
      <c r="DX221" s="114">
        <f>IFERROR(SUMIFS('01. KE30'!$X:$X,'01. KE30'!$C:$C,'06. BC BH THEO CUSTOMER-USD'!$D221,'01. KE30'!$F:$F,'06. BC BH THEO CUSTOMER-USD'!$H221,'01. KE30'!$A:$A,'06. BC BH THEO CUSTOMER-USD'!DX$4)-SUMIFS('01. KE30'!$AA:$AA,'01. KE30'!$C:$C,'06. BC BH THEO CUSTOMER-USD'!$D221,'01. KE30'!$F:$F,'06. BC BH THEO CUSTOMER-USD'!$H221,'01. KE30'!$A:$A,'06. BC BH THEO CUSTOMER-USD'!DX$4),"-")</f>
        <v>0</v>
      </c>
      <c r="DY221" s="114">
        <f>IFERROR(SUMIFS('01. KE30'!$X:$X,'01. KE30'!$C:$C,'06. BC BH THEO CUSTOMER-USD'!$D221,'01. KE30'!$F:$F,'06. BC BH THEO CUSTOMER-USD'!$H221,'01. KE30'!$A:$A,'06. BC BH THEO CUSTOMER-USD'!DY$4)-SUMIFS('01. KE30'!$AA:$AA,'01. KE30'!$C:$C,'06. BC BH THEO CUSTOMER-USD'!$D221,'01. KE30'!$F:$F,'06. BC BH THEO CUSTOMER-USD'!$H221,'01. KE30'!$A:$A,'06. BC BH THEO CUSTOMER-USD'!DY$4),"-")</f>
        <v>0</v>
      </c>
      <c r="DZ221" s="114">
        <f>IFERROR(SUMIFS('01. KE30'!$X:$X,'01. KE30'!$C:$C,'06. BC BH THEO CUSTOMER-USD'!$D221,'01. KE30'!$F:$F,'06. BC BH THEO CUSTOMER-USD'!$H221,'01. KE30'!$A:$A,'06. BC BH THEO CUSTOMER-USD'!DZ$4)-SUMIFS('01. KE30'!$AA:$AA,'01. KE30'!$C:$C,'06. BC BH THEO CUSTOMER-USD'!$D221,'01. KE30'!$F:$F,'06. BC BH THEO CUSTOMER-USD'!$H221,'01. KE30'!$A:$A,'06. BC BH THEO CUSTOMER-USD'!DZ$4),"-")</f>
        <v>0</v>
      </c>
      <c r="EA221" s="114">
        <f>IFERROR(SUMIFS('01. KE30'!$X:$X,'01. KE30'!$C:$C,'06. BC BH THEO CUSTOMER-USD'!$D221,'01. KE30'!$F:$F,'06. BC BH THEO CUSTOMER-USD'!$H221,'01. KE30'!$A:$A,'06. BC BH THEO CUSTOMER-USD'!EA$4)-SUMIFS('01. KE30'!$AA:$AA,'01. KE30'!$C:$C,'06. BC BH THEO CUSTOMER-USD'!$D221,'01. KE30'!$F:$F,'06. BC BH THEO CUSTOMER-USD'!$H221,'01. KE30'!$A:$A,'06. BC BH THEO CUSTOMER-USD'!EA$4),"-")</f>
        <v>0</v>
      </c>
      <c r="EB221" s="114">
        <f>IFERROR(SUMIFS('01. KE30'!$X:$X,'01. KE30'!$C:$C,'06. BC BH THEO CUSTOMER-USD'!$D221,'01. KE30'!$F:$F,'06. BC BH THEO CUSTOMER-USD'!$H221,'01. KE30'!$A:$A,'06. BC BH THEO CUSTOMER-USD'!EB$4)-SUMIFS('01. KE30'!$AA:$AA,'01. KE30'!$C:$C,'06. BC BH THEO CUSTOMER-USD'!$D221,'01. KE30'!$F:$F,'06. BC BH THEO CUSTOMER-USD'!$H221,'01. KE30'!$A:$A,'06. BC BH THEO CUSTOMER-USD'!EB$4),"-")</f>
        <v>0</v>
      </c>
      <c r="EC221" s="114">
        <f>IFERROR(SUMIFS('01. KE30'!$X:$X,'01. KE30'!$C:$C,'06. BC BH THEO CUSTOMER-USD'!$D221,'01. KE30'!$F:$F,'06. BC BH THEO CUSTOMER-USD'!$H221,'01. KE30'!$A:$A,'06. BC BH THEO CUSTOMER-USD'!EC$4)-SUMIFS('01. KE30'!$AA:$AA,'01. KE30'!$C:$C,'06. BC BH THEO CUSTOMER-USD'!$D221,'01. KE30'!$F:$F,'06. BC BH THEO CUSTOMER-USD'!$H221,'01. KE30'!$A:$A,'06. BC BH THEO CUSTOMER-USD'!EC$4),"-")</f>
        <v>0</v>
      </c>
      <c r="ED221" s="114">
        <f>IFERROR(SUMIFS('01. KE30'!$X:$X,'01. KE30'!$C:$C,'06. BC BH THEO CUSTOMER-USD'!$D221,'01. KE30'!$F:$F,'06. BC BH THEO CUSTOMER-USD'!$H221,'01. KE30'!$A:$A,'06. BC BH THEO CUSTOMER-USD'!ED$4)-SUMIFS('01. KE30'!$AA:$AA,'01. KE30'!$C:$C,'06. BC BH THEO CUSTOMER-USD'!$D221,'01. KE30'!$F:$F,'06. BC BH THEO CUSTOMER-USD'!$H221,'01. KE30'!$A:$A,'06. BC BH THEO CUSTOMER-USD'!ED$4),"-")</f>
        <v>0</v>
      </c>
      <c r="EE221" s="114">
        <f>IFERROR(SUMIFS('01. KE30'!$X:$X,'01. KE30'!$C:$C,'06. BC BH THEO CUSTOMER-USD'!$D221,'01. KE30'!$F:$F,'06. BC BH THEO CUSTOMER-USD'!$H221,'01. KE30'!$A:$A,'06. BC BH THEO CUSTOMER-USD'!EE$4)-SUMIFS('01. KE30'!$AA:$AA,'01. KE30'!$C:$C,'06. BC BH THEO CUSTOMER-USD'!$D221,'01. KE30'!$F:$F,'06. BC BH THEO CUSTOMER-USD'!$H221,'01. KE30'!$A:$A,'06. BC BH THEO CUSTOMER-USD'!EE$4),"-")</f>
        <v>0</v>
      </c>
      <c r="EF221" s="114">
        <f>IFERROR(SUMIFS('01. KE30'!$X:$X,'01. KE30'!$C:$C,'06. BC BH THEO CUSTOMER-USD'!$D221,'01. KE30'!$F:$F,'06. BC BH THEO CUSTOMER-USD'!$H221,'01. KE30'!$A:$A,'06. BC BH THEO CUSTOMER-USD'!EF$4)-SUMIFS('01. KE30'!$AA:$AA,'01. KE30'!$C:$C,'06. BC BH THEO CUSTOMER-USD'!$D221,'01. KE30'!$F:$F,'06. BC BH THEO CUSTOMER-USD'!$H221,'01. KE30'!$A:$A,'06. BC BH THEO CUSTOMER-USD'!EF$4),"-")</f>
        <v>0</v>
      </c>
      <c r="EH221" s="571" t="str">
        <f t="shared" si="1737"/>
        <v>-</v>
      </c>
      <c r="EI221" s="572" t="str">
        <f t="shared" si="1738"/>
        <v>-</v>
      </c>
      <c r="EJ221" s="572" t="str">
        <f t="shared" si="1739"/>
        <v>-</v>
      </c>
      <c r="EK221" s="572" t="str">
        <f t="shared" si="1740"/>
        <v>-</v>
      </c>
      <c r="EL221" s="572" t="str">
        <f t="shared" si="1741"/>
        <v>-</v>
      </c>
      <c r="EM221" s="572" t="str">
        <f t="shared" si="1742"/>
        <v>-</v>
      </c>
      <c r="EN221" s="572" t="str">
        <f t="shared" si="1743"/>
        <v>-</v>
      </c>
      <c r="EO221" s="572" t="str">
        <f t="shared" si="1744"/>
        <v>-</v>
      </c>
      <c r="EP221" s="572" t="str">
        <f t="shared" si="1745"/>
        <v>-</v>
      </c>
      <c r="EQ221" s="572" t="str">
        <f t="shared" si="1746"/>
        <v>-</v>
      </c>
      <c r="ER221" s="572" t="str">
        <f t="shared" si="1747"/>
        <v>-</v>
      </c>
      <c r="ES221" s="572" t="str">
        <f t="shared" si="1748"/>
        <v>-</v>
      </c>
      <c r="ET221" s="572" t="str">
        <f t="shared" si="1749"/>
        <v>-</v>
      </c>
    </row>
    <row r="222" spans="1:150" s="14" customFormat="1" ht="15" hidden="1" x14ac:dyDescent="0.3">
      <c r="A222" s="19" t="s">
        <v>344</v>
      </c>
      <c r="B222" s="19"/>
      <c r="C222" s="18"/>
      <c r="D222" s="18"/>
      <c r="E222" s="15" t="s">
        <v>269</v>
      </c>
      <c r="F222" s="15"/>
      <c r="G222" s="15"/>
      <c r="H222" s="17"/>
      <c r="I222" s="17"/>
      <c r="J222" s="16"/>
      <c r="K222" s="15"/>
      <c r="L222" s="146">
        <f>IFERROR(AVERAGE(L223:L227),"-")</f>
        <v>723.15308086097662</v>
      </c>
      <c r="M222" s="146" t="str">
        <f t="shared" ref="M222:X222" si="2845">IFERROR(AVERAGE(M223:M227),"-")</f>
        <v>-</v>
      </c>
      <c r="N222" s="146" t="str">
        <f t="shared" si="2845"/>
        <v>-</v>
      </c>
      <c r="O222" s="146">
        <f t="shared" si="2845"/>
        <v>729.07553055868027</v>
      </c>
      <c r="P222" s="146">
        <f t="shared" si="2845"/>
        <v>782.8726287262873</v>
      </c>
      <c r="Q222" s="146">
        <f t="shared" si="2845"/>
        <v>698.20400446850567</v>
      </c>
      <c r="R222" s="146" t="str">
        <f t="shared" si="2845"/>
        <v>-</v>
      </c>
      <c r="S222" s="146">
        <f t="shared" si="2845"/>
        <v>658.07259424529877</v>
      </c>
      <c r="T222" s="146" t="str">
        <f t="shared" si="2845"/>
        <v>-</v>
      </c>
      <c r="U222" s="146">
        <f t="shared" si="2845"/>
        <v>617.28394920634923</v>
      </c>
      <c r="V222" s="146" t="str">
        <f t="shared" si="2845"/>
        <v>-</v>
      </c>
      <c r="W222" s="146" t="str">
        <f t="shared" si="2845"/>
        <v>-</v>
      </c>
      <c r="X222" s="146" t="str">
        <f t="shared" si="2845"/>
        <v>-</v>
      </c>
      <c r="Z222" s="94">
        <f>IFERROR(AVERAGE(Z223:Z227),0)</f>
        <v>723.15308086097662</v>
      </c>
      <c r="AA222" s="148" t="str">
        <f>IFERROR(AVERAGE(AA223:AA227),"-")</f>
        <v>-</v>
      </c>
      <c r="AB222" s="148" t="str">
        <f t="shared" ref="AB222:AL222" si="2846">IFERROR(AVERAGE(AB223:AB227),"-")</f>
        <v>-</v>
      </c>
      <c r="AC222" s="148">
        <f t="shared" si="2846"/>
        <v>729.07553055868027</v>
      </c>
      <c r="AD222" s="148">
        <f t="shared" si="2846"/>
        <v>782.8726287262873</v>
      </c>
      <c r="AE222" s="148">
        <f t="shared" si="2846"/>
        <v>698.20400446850567</v>
      </c>
      <c r="AF222" s="148" t="str">
        <f t="shared" si="2846"/>
        <v>-</v>
      </c>
      <c r="AG222" s="148">
        <f t="shared" si="2846"/>
        <v>658.07259424529877</v>
      </c>
      <c r="AH222" s="148" t="str">
        <f t="shared" si="2846"/>
        <v>-</v>
      </c>
      <c r="AI222" s="148">
        <f t="shared" si="2846"/>
        <v>617.28394920634923</v>
      </c>
      <c r="AJ222" s="148" t="str">
        <f t="shared" si="2846"/>
        <v>-</v>
      </c>
      <c r="AK222" s="148" t="str">
        <f t="shared" si="2846"/>
        <v>-</v>
      </c>
      <c r="AL222" s="148" t="str">
        <f t="shared" si="2846"/>
        <v>-</v>
      </c>
      <c r="AN222" s="94">
        <f>IFERROR(AVERAGE(AN223:AN227),0)</f>
        <v>748.88888888888891</v>
      </c>
      <c r="AO222" s="94">
        <f t="shared" ref="AO222:AZ222" si="2847">IFERROR(AVERAGE(AO223:AO227),0)</f>
        <v>855</v>
      </c>
      <c r="AP222" s="94">
        <f t="shared" si="2847"/>
        <v>780</v>
      </c>
      <c r="AQ222" s="94">
        <f t="shared" si="2847"/>
        <v>790</v>
      </c>
      <c r="AR222" s="94">
        <f t="shared" si="2847"/>
        <v>785</v>
      </c>
      <c r="AS222" s="94">
        <f t="shared" si="2847"/>
        <v>765</v>
      </c>
      <c r="AT222" s="94">
        <f t="shared" si="2847"/>
        <v>765</v>
      </c>
      <c r="AU222" s="94">
        <f t="shared" si="2847"/>
        <v>680</v>
      </c>
      <c r="AV222" s="94">
        <f t="shared" si="2847"/>
        <v>660</v>
      </c>
      <c r="AW222" s="94">
        <f t="shared" si="2847"/>
        <v>660</v>
      </c>
      <c r="AX222" s="94">
        <f t="shared" si="2847"/>
        <v>0</v>
      </c>
      <c r="AY222" s="94">
        <f t="shared" si="2847"/>
        <v>0</v>
      </c>
      <c r="AZ222" s="94">
        <f t="shared" si="2847"/>
        <v>0</v>
      </c>
      <c r="BB222" s="96">
        <f t="shared" si="2122"/>
        <v>-25.735808027912299</v>
      </c>
      <c r="BC222" s="96" t="str">
        <f t="shared" si="2123"/>
        <v>-</v>
      </c>
      <c r="BD222" s="96" t="str">
        <f t="shared" ref="BD222:BN224" si="2848">IF(N222&lt;&gt;"-",AB222-AP222,"-")</f>
        <v>-</v>
      </c>
      <c r="BE222" s="96">
        <f t="shared" si="2848"/>
        <v>-60.924469441319729</v>
      </c>
      <c r="BF222" s="96">
        <f t="shared" si="2848"/>
        <v>-2.1273712737126971</v>
      </c>
      <c r="BG222" s="96">
        <f t="shared" si="2848"/>
        <v>-66.795995531494327</v>
      </c>
      <c r="BH222" s="96" t="str">
        <f t="shared" si="2848"/>
        <v>-</v>
      </c>
      <c r="BI222" s="96">
        <f t="shared" si="2848"/>
        <v>-21.927405754701226</v>
      </c>
      <c r="BJ222" s="96" t="str">
        <f t="shared" si="2848"/>
        <v>-</v>
      </c>
      <c r="BK222" s="96">
        <f t="shared" si="2848"/>
        <v>-42.716050793650766</v>
      </c>
      <c r="BL222" s="96" t="str">
        <f t="shared" si="2848"/>
        <v>-</v>
      </c>
      <c r="BM222" s="96" t="str">
        <f t="shared" si="2848"/>
        <v>-</v>
      </c>
      <c r="BN222" s="96" t="str">
        <f t="shared" si="2848"/>
        <v>-</v>
      </c>
      <c r="BP222" s="142">
        <f t="shared" si="2124"/>
        <v>-3.4365322292464494E-2</v>
      </c>
      <c r="BQ222" s="142" t="str">
        <f t="shared" si="2109"/>
        <v>-</v>
      </c>
      <c r="BR222" s="142" t="str">
        <f t="shared" si="2110"/>
        <v>-</v>
      </c>
      <c r="BS222" s="142">
        <f t="shared" si="2111"/>
        <v>-7.7119581571290799E-2</v>
      </c>
      <c r="BT222" s="142">
        <f t="shared" si="2112"/>
        <v>-2.7100271002709515E-3</v>
      </c>
      <c r="BU222" s="142">
        <f t="shared" si="2113"/>
        <v>-8.7315026838554674E-2</v>
      </c>
      <c r="BV222" s="142" t="str">
        <f t="shared" si="2114"/>
        <v>-</v>
      </c>
      <c r="BW222" s="142">
        <f t="shared" si="2115"/>
        <v>-3.2246184933384159E-2</v>
      </c>
      <c r="BX222" s="142" t="str">
        <f t="shared" si="2116"/>
        <v>-</v>
      </c>
      <c r="BY222" s="142">
        <f t="shared" si="2117"/>
        <v>-6.4721289081289032E-2</v>
      </c>
      <c r="BZ222" s="142" t="str">
        <f t="shared" si="2118"/>
        <v>-</v>
      </c>
      <c r="CA222" s="142" t="str">
        <f t="shared" si="2119"/>
        <v>-</v>
      </c>
      <c r="CB222" s="142" t="str">
        <f t="shared" si="2120"/>
        <v>-</v>
      </c>
      <c r="CD222" s="113">
        <f>IFERROR(AVERAGE(CD223:CD227),0)</f>
        <v>778.04836122877373</v>
      </c>
      <c r="CE222" s="113">
        <f t="shared" ref="CE222:CP222" si="2849">SUM(CE223:CE227)</f>
        <v>0</v>
      </c>
      <c r="CF222" s="113">
        <f t="shared" si="2849"/>
        <v>0</v>
      </c>
      <c r="CG222" s="113">
        <f t="shared" si="2849"/>
        <v>802.49058867641543</v>
      </c>
      <c r="CH222" s="113">
        <f t="shared" si="2849"/>
        <v>1541.1486643437861</v>
      </c>
      <c r="CI222" s="113">
        <f t="shared" si="2849"/>
        <v>788.21582882186124</v>
      </c>
      <c r="CJ222" s="113">
        <f t="shared" si="2849"/>
        <v>0</v>
      </c>
      <c r="CK222" s="113">
        <f t="shared" si="2849"/>
        <v>1566.1360993725189</v>
      </c>
      <c r="CL222" s="113">
        <f t="shared" si="2849"/>
        <v>0</v>
      </c>
      <c r="CM222" s="113">
        <f t="shared" si="2849"/>
        <v>776.50519999999995</v>
      </c>
      <c r="CN222" s="113">
        <f t="shared" si="2849"/>
        <v>0</v>
      </c>
      <c r="CO222" s="113">
        <f t="shared" si="2849"/>
        <v>0</v>
      </c>
      <c r="CP222" s="113">
        <f t="shared" si="2849"/>
        <v>0</v>
      </c>
      <c r="CR222" s="113">
        <f>SUM(CR223:CR227)</f>
        <v>47.45</v>
      </c>
      <c r="CS222" s="113">
        <f t="shared" ref="CS222:DD222" si="2850">SUM(CS223:CS227)</f>
        <v>0</v>
      </c>
      <c r="CT222" s="113">
        <f t="shared" si="2850"/>
        <v>0</v>
      </c>
      <c r="CU222" s="113">
        <f t="shared" si="2850"/>
        <v>5.25</v>
      </c>
      <c r="CV222" s="113">
        <f t="shared" si="2850"/>
        <v>0.2</v>
      </c>
      <c r="CW222" s="113">
        <f t="shared" si="2850"/>
        <v>20.25</v>
      </c>
      <c r="CX222" s="113">
        <f t="shared" si="2850"/>
        <v>0</v>
      </c>
      <c r="CY222" s="113">
        <f t="shared" si="2850"/>
        <v>15.75</v>
      </c>
      <c r="CZ222" s="113">
        <f t="shared" si="2850"/>
        <v>0</v>
      </c>
      <c r="DA222" s="113">
        <f t="shared" si="2850"/>
        <v>6</v>
      </c>
      <c r="DB222" s="113">
        <f t="shared" si="2850"/>
        <v>0</v>
      </c>
      <c r="DC222" s="113">
        <f t="shared" si="2850"/>
        <v>0</v>
      </c>
      <c r="DD222" s="113">
        <f t="shared" si="2850"/>
        <v>0</v>
      </c>
      <c r="DF222" s="113">
        <f>SUM(DF223:DF227)</f>
        <v>32324.59230483682</v>
      </c>
      <c r="DG222" s="113">
        <f t="shared" ref="DG222:DR222" si="2851">SUM(DG223:DG227)</f>
        <v>0</v>
      </c>
      <c r="DH222" s="113">
        <f t="shared" si="2851"/>
        <v>0</v>
      </c>
      <c r="DI222" s="113">
        <f t="shared" si="2851"/>
        <v>3827.6465354330712</v>
      </c>
      <c r="DJ222" s="113">
        <f t="shared" si="2851"/>
        <v>156.57452574525746</v>
      </c>
      <c r="DK222" s="113">
        <f t="shared" si="2851"/>
        <v>14138.631090487241</v>
      </c>
      <c r="DL222" s="113">
        <f t="shared" si="2851"/>
        <v>0</v>
      </c>
      <c r="DM222" s="113">
        <f t="shared" si="2851"/>
        <v>10498.036457933153</v>
      </c>
      <c r="DN222" s="113">
        <f t="shared" si="2851"/>
        <v>0</v>
      </c>
      <c r="DO222" s="113">
        <f t="shared" si="2851"/>
        <v>3703.7036952380954</v>
      </c>
      <c r="DP222" s="113">
        <f t="shared" si="2851"/>
        <v>0</v>
      </c>
      <c r="DQ222" s="113">
        <f t="shared" si="2851"/>
        <v>0</v>
      </c>
      <c r="DR222" s="113">
        <f t="shared" si="2851"/>
        <v>0</v>
      </c>
      <c r="DT222" s="113">
        <f>SUM(DT223:DT227)</f>
        <v>-4996.3216683500232</v>
      </c>
      <c r="DU222" s="113">
        <f t="shared" ref="DU222:EF222" si="2852">SUM(DU223:DU227)</f>
        <v>0</v>
      </c>
      <c r="DV222" s="113">
        <f t="shared" si="2852"/>
        <v>0</v>
      </c>
      <c r="DW222" s="113">
        <f t="shared" si="2852"/>
        <v>-385.42905511811068</v>
      </c>
      <c r="DX222" s="113">
        <f t="shared" si="2852"/>
        <v>2.459659310878834</v>
      </c>
      <c r="DY222" s="113">
        <f t="shared" si="2852"/>
        <v>-1822.739443155453</v>
      </c>
      <c r="DZ222" s="113">
        <f t="shared" si="2852"/>
        <v>0</v>
      </c>
      <c r="EA222" s="113">
        <f t="shared" si="2852"/>
        <v>-1835.2853246254322</v>
      </c>
      <c r="EB222" s="113">
        <f t="shared" si="2852"/>
        <v>0</v>
      </c>
      <c r="EC222" s="113">
        <f t="shared" si="2852"/>
        <v>-955.32750476190495</v>
      </c>
      <c r="ED222" s="113">
        <f t="shared" si="2852"/>
        <v>0</v>
      </c>
      <c r="EE222" s="113">
        <f t="shared" si="2852"/>
        <v>0</v>
      </c>
      <c r="EF222" s="113">
        <f t="shared" si="2852"/>
        <v>0</v>
      </c>
      <c r="EH222" s="570">
        <f t="shared" si="1737"/>
        <v>-0.15456719828767676</v>
      </c>
      <c r="EI222" s="570" t="str">
        <f t="shared" si="1738"/>
        <v>-</v>
      </c>
      <c r="EJ222" s="570" t="str">
        <f t="shared" si="1739"/>
        <v>-</v>
      </c>
      <c r="EK222" s="570">
        <f t="shared" si="1740"/>
        <v>-0.10069609394444833</v>
      </c>
      <c r="EL222" s="570">
        <f t="shared" si="1741"/>
        <v>1.5709192150967353E-2</v>
      </c>
      <c r="EM222" s="570">
        <f t="shared" si="1742"/>
        <v>-0.12891908923076925</v>
      </c>
      <c r="EN222" s="570" t="str">
        <f t="shared" si="1743"/>
        <v>-</v>
      </c>
      <c r="EO222" s="570">
        <f t="shared" si="1744"/>
        <v>-0.17482177090731518</v>
      </c>
      <c r="EP222" s="570" t="str">
        <f t="shared" si="1745"/>
        <v>-</v>
      </c>
      <c r="EQ222" s="570">
        <f t="shared" si="1746"/>
        <v>-0.2579384268752879</v>
      </c>
      <c r="ER222" s="570" t="str">
        <f t="shared" si="1747"/>
        <v>-</v>
      </c>
      <c r="ES222" s="570" t="str">
        <f t="shared" si="1748"/>
        <v>-</v>
      </c>
      <c r="ET222" s="570" t="str">
        <f t="shared" si="1749"/>
        <v>-</v>
      </c>
    </row>
    <row r="223" spans="1:150" ht="15.5" outlineLevel="1" x14ac:dyDescent="0.35">
      <c r="A223" s="10">
        <v>1</v>
      </c>
      <c r="B223" s="10" t="s">
        <v>269</v>
      </c>
      <c r="C223" s="442" t="s">
        <v>489</v>
      </c>
      <c r="D223" s="9" t="s">
        <v>25</v>
      </c>
      <c r="E223" s="8" t="s">
        <v>24</v>
      </c>
      <c r="F223" s="12" t="s">
        <v>245</v>
      </c>
      <c r="G223" s="12" t="str">
        <f>_xlfn.XLOOKUP(F223,'Quy đổi'!$G$5:$G$32,'Quy đổi'!$H$5:$H$32,0)</f>
        <v>Nội địa</v>
      </c>
      <c r="H223" s="8" t="s">
        <v>19</v>
      </c>
      <c r="I223" s="7" t="s">
        <v>18</v>
      </c>
      <c r="J223" s="69" t="s">
        <v>22</v>
      </c>
      <c r="K223" s="5"/>
      <c r="L223" s="109" t="str">
        <f t="shared" ref="L223:L224" si="2853">IFERROR(AVERAGE(M223:X223),"-")</f>
        <v>-</v>
      </c>
      <c r="M223" s="106" t="str">
        <f>IFERROR(SUMIFS('01. KE30'!$K:$K,'01. KE30'!$C:$C,'06. BC BH THEO CUSTOMER-USD'!$D223,'01. KE30'!$F:$F,'06. BC BH THEO CUSTOMER-USD'!$H223,'01. KE30'!$A:$A,'06. BC BH THEO CUSTOMER-USD'!M$4)/'06. BC BH THEO CUSTOMER-USD'!CS223/'02. Tỷ giá'!B$5,"-")</f>
        <v>-</v>
      </c>
      <c r="N223" s="106" t="str">
        <f>IFERROR(SUMIFS('01. KE30'!$K:$K,'01. KE30'!$C:$C,'06. BC BH THEO CUSTOMER-USD'!$D223,'01. KE30'!$F:$F,'06. BC BH THEO CUSTOMER-USD'!$H223,'01. KE30'!$A:$A,'06. BC BH THEO CUSTOMER-USD'!N$4)/'06. BC BH THEO CUSTOMER-USD'!CT223/'02. Tỷ giá'!C$5,"-")</f>
        <v>-</v>
      </c>
      <c r="O223" s="106" t="str">
        <f>IFERROR(SUMIFS('01. KE30'!$K:$K,'01. KE30'!$C:$C,'06. BC BH THEO CUSTOMER-USD'!$D223,'01. KE30'!$F:$F,'06. BC BH THEO CUSTOMER-USD'!$H223,'01. KE30'!$A:$A,'06. BC BH THEO CUSTOMER-USD'!O$4)/'06. BC BH THEO CUSTOMER-USD'!CU223/'02. Tỷ giá'!D$5,"-")</f>
        <v>-</v>
      </c>
      <c r="P223" s="106" t="str">
        <f>IFERROR(SUMIFS('01. KE30'!$K:$K,'01. KE30'!$C:$C,'06. BC BH THEO CUSTOMER-USD'!$D223,'01. KE30'!$F:$F,'06. BC BH THEO CUSTOMER-USD'!$H223,'01. KE30'!$A:$A,'06. BC BH THEO CUSTOMER-USD'!P$4)/'06. BC BH THEO CUSTOMER-USD'!CV223/'02. Tỷ giá'!E$5,"-")</f>
        <v>-</v>
      </c>
      <c r="Q223" s="106" t="str">
        <f>IFERROR(SUMIFS('01. KE30'!$K:$K,'01. KE30'!$C:$C,'06. BC BH THEO CUSTOMER-USD'!$D223,'01. KE30'!$F:$F,'06. BC BH THEO CUSTOMER-USD'!$H223,'01. KE30'!$A:$A,'06. BC BH THEO CUSTOMER-USD'!Q$4)/'06. BC BH THEO CUSTOMER-USD'!CW223/'02. Tỷ giá'!F$5,"-")</f>
        <v>-</v>
      </c>
      <c r="R223" s="106" t="str">
        <f>IFERROR(SUMIFS('01. KE30'!$K:$K,'01. KE30'!$C:$C,'06. BC BH THEO CUSTOMER-USD'!$D223,'01. KE30'!$F:$F,'06. BC BH THEO CUSTOMER-USD'!$H223,'01. KE30'!$A:$A,'06. BC BH THEO CUSTOMER-USD'!R$4)/'06. BC BH THEO CUSTOMER-USD'!CX223/'02. Tỷ giá'!G$5,"-")</f>
        <v>-</v>
      </c>
      <c r="S223" s="106" t="str">
        <f>IFERROR(SUMIFS('01. KE30'!$K:$K,'01. KE30'!$C:$C,'06. BC BH THEO CUSTOMER-USD'!$D223,'01. KE30'!$F:$F,'06. BC BH THEO CUSTOMER-USD'!$H223,'01. KE30'!$A:$A,'06. BC BH THEO CUSTOMER-USD'!S$4)/'06. BC BH THEO CUSTOMER-USD'!CY223/'02. Tỷ giá'!H$5,"-")</f>
        <v>-</v>
      </c>
      <c r="T223" s="106" t="str">
        <f>IFERROR(SUMIFS('01. KE30'!$K:$K,'01. KE30'!$C:$C,'06. BC BH THEO CUSTOMER-USD'!$D223,'01. KE30'!$F:$F,'06. BC BH THEO CUSTOMER-USD'!$H223,'01. KE30'!$A:$A,'06. BC BH THEO CUSTOMER-USD'!T$4)/'06. BC BH THEO CUSTOMER-USD'!CZ223/'02. Tỷ giá'!I$5,"-")</f>
        <v>-</v>
      </c>
      <c r="U223" s="106" t="str">
        <f>IFERROR(SUMIFS('01. KE30'!$K:$K,'01. KE30'!$C:$C,'06. BC BH THEO CUSTOMER-USD'!$D223,'01. KE30'!$F:$F,'06. BC BH THEO CUSTOMER-USD'!$H223,'01. KE30'!$A:$A,'06. BC BH THEO CUSTOMER-USD'!U$4)/'06. BC BH THEO CUSTOMER-USD'!DA223/'02. Tỷ giá'!J$5,"-")</f>
        <v>-</v>
      </c>
      <c r="V223" s="106" t="str">
        <f>IFERROR(SUMIFS('01. KE30'!$K:$K,'01. KE30'!$C:$C,'06. BC BH THEO CUSTOMER-USD'!$D223,'01. KE30'!$F:$F,'06. BC BH THEO CUSTOMER-USD'!$H223,'01. KE30'!$A:$A,'06. BC BH THEO CUSTOMER-USD'!V$4)/'06. BC BH THEO CUSTOMER-USD'!DB223/'02. Tỷ giá'!K$5,"-")</f>
        <v>-</v>
      </c>
      <c r="W223" s="106" t="str">
        <f>IFERROR(SUMIFS('01. KE30'!$K:$K,'01. KE30'!$C:$C,'06. BC BH THEO CUSTOMER-USD'!$D223,'01. KE30'!$F:$F,'06. BC BH THEO CUSTOMER-USD'!$H223,'01. KE30'!$A:$A,'06. BC BH THEO CUSTOMER-USD'!W$4)/'06. BC BH THEO CUSTOMER-USD'!DC223/'02. Tỷ giá'!L$5,"-")</f>
        <v>-</v>
      </c>
      <c r="X223" s="106" t="str">
        <f>IFERROR(SUMIFS('01. KE30'!$K:$K,'01. KE30'!$C:$C,'06. BC BH THEO CUSTOMER-USD'!$D223,'01. KE30'!$F:$F,'06. BC BH THEO CUSTOMER-USD'!$H223,'01. KE30'!$A:$A,'06. BC BH THEO CUSTOMER-USD'!X$4)/'06. BC BH THEO CUSTOMER-USD'!DD223/'02. Tỷ giá'!M$5,"-")</f>
        <v>-</v>
      </c>
      <c r="Z223" s="92" t="str">
        <f t="shared" si="2516"/>
        <v>-</v>
      </c>
      <c r="AA223" s="147" t="str">
        <f>IFERROR(SUMIFS('01. KE30'!$O:$O,'01. KE30'!$C:$C,'06. BC BH THEO CUSTOMER-USD'!$D223,'01. KE30'!$F:$F,'06. BC BH THEO CUSTOMER-USD'!$H223,'01. KE30'!$A:$A,'06. BC BH THEO CUSTOMER-USD'!M$4)/'06. BC BH THEO CUSTOMER-USD'!CS223/'02. Tỷ giá'!B$5,"-")</f>
        <v>-</v>
      </c>
      <c r="AB223" s="147" t="str">
        <f>IFERROR(SUMIFS('01. KE30'!$O:$O,'01. KE30'!$C:$C,'06. BC BH THEO CUSTOMER-USD'!$D223,'01. KE30'!$F:$F,'06. BC BH THEO CUSTOMER-USD'!$H223,'01. KE30'!$A:$A,'06. BC BH THEO CUSTOMER-USD'!N$4)/'06. BC BH THEO CUSTOMER-USD'!CT223/'02. Tỷ giá'!C$5,"-")</f>
        <v>-</v>
      </c>
      <c r="AC223" s="147" t="str">
        <f>IFERROR(SUMIFS('01. KE30'!$O:$O,'01. KE30'!$C:$C,'06. BC BH THEO CUSTOMER-USD'!$D223,'01. KE30'!$F:$F,'06. BC BH THEO CUSTOMER-USD'!$H223,'01. KE30'!$A:$A,'06. BC BH THEO CUSTOMER-USD'!O$4)/'06. BC BH THEO CUSTOMER-USD'!CU223/'02. Tỷ giá'!D$5,"-")</f>
        <v>-</v>
      </c>
      <c r="AD223" s="147" t="str">
        <f>IFERROR(SUMIFS('01. KE30'!$O:$O,'01. KE30'!$C:$C,'06. BC BH THEO CUSTOMER-USD'!$D223,'01. KE30'!$F:$F,'06. BC BH THEO CUSTOMER-USD'!$H223,'01. KE30'!$A:$A,'06. BC BH THEO CUSTOMER-USD'!P$4)/'06. BC BH THEO CUSTOMER-USD'!CV223/'02. Tỷ giá'!E$5,"-")</f>
        <v>-</v>
      </c>
      <c r="AE223" s="147" t="str">
        <f>IFERROR(SUMIFS('01. KE30'!$O:$O,'01. KE30'!$C:$C,'06. BC BH THEO CUSTOMER-USD'!$D223,'01. KE30'!$F:$F,'06. BC BH THEO CUSTOMER-USD'!$H223,'01. KE30'!$A:$A,'06. BC BH THEO CUSTOMER-USD'!Q$4)/'06. BC BH THEO CUSTOMER-USD'!CW223/'02. Tỷ giá'!F$5,"-")</f>
        <v>-</v>
      </c>
      <c r="AF223" s="147" t="str">
        <f>IFERROR(SUMIFS('01. KE30'!$O:$O,'01. KE30'!$C:$C,'06. BC BH THEO CUSTOMER-USD'!$D223,'01. KE30'!$F:$F,'06. BC BH THEO CUSTOMER-USD'!$H223,'01. KE30'!$A:$A,'06. BC BH THEO CUSTOMER-USD'!R$4)/'06. BC BH THEO CUSTOMER-USD'!CX223/'02. Tỷ giá'!G$5,"-")</f>
        <v>-</v>
      </c>
      <c r="AG223" s="147" t="str">
        <f>IFERROR(SUMIFS('01. KE30'!$O:$O,'01. KE30'!$C:$C,'06. BC BH THEO CUSTOMER-USD'!$D223,'01. KE30'!$F:$F,'06. BC BH THEO CUSTOMER-USD'!$H223,'01. KE30'!$A:$A,'06. BC BH THEO CUSTOMER-USD'!S$4)/'06. BC BH THEO CUSTOMER-USD'!CY223/'02. Tỷ giá'!H$5,"-")</f>
        <v>-</v>
      </c>
      <c r="AH223" s="147" t="str">
        <f>IFERROR(SUMIFS('01. KE30'!$O:$O,'01. KE30'!$C:$C,'06. BC BH THEO CUSTOMER-USD'!$D223,'01. KE30'!$F:$F,'06. BC BH THEO CUSTOMER-USD'!$H223,'01. KE30'!$A:$A,'06. BC BH THEO CUSTOMER-USD'!T$4)/'06. BC BH THEO CUSTOMER-USD'!CZ223/'02. Tỷ giá'!I$5,"-")</f>
        <v>-</v>
      </c>
      <c r="AI223" s="147" t="str">
        <f>IFERROR(SUMIFS('01. KE30'!$O:$O,'01. KE30'!$C:$C,'06. BC BH THEO CUSTOMER-USD'!$D223,'01. KE30'!$F:$F,'06. BC BH THEO CUSTOMER-USD'!$H223,'01. KE30'!$A:$A,'06. BC BH THEO CUSTOMER-USD'!U$4)/'06. BC BH THEO CUSTOMER-USD'!DA223/'02. Tỷ giá'!J$5,"-")</f>
        <v>-</v>
      </c>
      <c r="AJ223" s="147" t="str">
        <f>IFERROR(SUMIFS('01. KE30'!$O:$O,'01. KE30'!$C:$C,'06. BC BH THEO CUSTOMER-USD'!$D223,'01. KE30'!$F:$F,'06. BC BH THEO CUSTOMER-USD'!$H223,'01. KE30'!$A:$A,'06. BC BH THEO CUSTOMER-USD'!V$4)/'06. BC BH THEO CUSTOMER-USD'!DB223/'02. Tỷ giá'!K$5,"-")</f>
        <v>-</v>
      </c>
      <c r="AK223" s="147" t="str">
        <f>IFERROR(SUMIFS('01. KE30'!$O:$O,'01. KE30'!$C:$C,'06. BC BH THEO CUSTOMER-USD'!$D223,'01. KE30'!$F:$F,'06. BC BH THEO CUSTOMER-USD'!$H223,'01. KE30'!$A:$A,'06. BC BH THEO CUSTOMER-USD'!W$4)/'06. BC BH THEO CUSTOMER-USD'!DC223/'02. Tỷ giá'!L$5,"-")</f>
        <v>-</v>
      </c>
      <c r="AL223" s="147" t="str">
        <f>IFERROR(SUMIFS('01. KE30'!$O:$O,'01. KE30'!$C:$C,'06. BC BH THEO CUSTOMER-USD'!$D223,'01. KE30'!$F:$F,'06. BC BH THEO CUSTOMER-USD'!$H223,'01. KE30'!$A:$A,'06. BC BH THEO CUSTOMER-USD'!X$4)/'06. BC BH THEO CUSTOMER-USD'!DD223/'02. Tỷ giá'!M$5,"-")</f>
        <v>-</v>
      </c>
      <c r="AN223" s="92">
        <f t="shared" si="2517"/>
        <v>748.88888888888891</v>
      </c>
      <c r="AO223" s="4">
        <v>855</v>
      </c>
      <c r="AP223" s="4">
        <v>780</v>
      </c>
      <c r="AQ223" s="4">
        <v>790</v>
      </c>
      <c r="AR223" s="4">
        <v>785</v>
      </c>
      <c r="AS223" s="4">
        <v>765</v>
      </c>
      <c r="AT223" s="4">
        <v>765</v>
      </c>
      <c r="AU223" s="4">
        <v>680</v>
      </c>
      <c r="AV223" s="4">
        <f t="shared" si="2518"/>
        <v>660</v>
      </c>
      <c r="AW223" s="4">
        <v>660</v>
      </c>
      <c r="AX223" s="4"/>
      <c r="AY223" s="4"/>
      <c r="AZ223" s="4"/>
      <c r="BB223" s="95" t="str">
        <f t="shared" si="2122"/>
        <v>-</v>
      </c>
      <c r="BC223" s="95" t="str">
        <f t="shared" si="2123"/>
        <v>-</v>
      </c>
      <c r="BD223" s="95" t="str">
        <f t="shared" si="2848"/>
        <v>-</v>
      </c>
      <c r="BE223" s="95" t="str">
        <f t="shared" si="2848"/>
        <v>-</v>
      </c>
      <c r="BF223" s="95" t="str">
        <f t="shared" si="2848"/>
        <v>-</v>
      </c>
      <c r="BG223" s="95" t="str">
        <f t="shared" si="2848"/>
        <v>-</v>
      </c>
      <c r="BH223" s="95" t="str">
        <f t="shared" si="2848"/>
        <v>-</v>
      </c>
      <c r="BI223" s="95" t="str">
        <f t="shared" si="2848"/>
        <v>-</v>
      </c>
      <c r="BJ223" s="95" t="str">
        <f t="shared" si="2848"/>
        <v>-</v>
      </c>
      <c r="BK223" s="95" t="str">
        <f t="shared" si="2848"/>
        <v>-</v>
      </c>
      <c r="BL223" s="95" t="str">
        <f t="shared" si="2848"/>
        <v>-</v>
      </c>
      <c r="BM223" s="95" t="str">
        <f t="shared" si="2848"/>
        <v>-</v>
      </c>
      <c r="BN223" s="95" t="str">
        <f t="shared" si="2848"/>
        <v>-</v>
      </c>
      <c r="BP223" s="143" t="str">
        <f t="shared" si="2124"/>
        <v>-</v>
      </c>
      <c r="BQ223" s="143" t="str">
        <f t="shared" si="2109"/>
        <v>-</v>
      </c>
      <c r="BR223" s="143" t="str">
        <f t="shared" si="2110"/>
        <v>-</v>
      </c>
      <c r="BS223" s="143" t="str">
        <f t="shared" si="2111"/>
        <v>-</v>
      </c>
      <c r="BT223" s="143" t="str">
        <f t="shared" si="2112"/>
        <v>-</v>
      </c>
      <c r="BU223" s="143" t="str">
        <f t="shared" si="2113"/>
        <v>-</v>
      </c>
      <c r="BV223" s="143" t="str">
        <f t="shared" si="2114"/>
        <v>-</v>
      </c>
      <c r="BW223" s="143" t="str">
        <f t="shared" si="2115"/>
        <v>-</v>
      </c>
      <c r="BX223" s="143" t="str">
        <f t="shared" si="2116"/>
        <v>-</v>
      </c>
      <c r="BY223" s="143" t="str">
        <f t="shared" si="2117"/>
        <v>-</v>
      </c>
      <c r="BZ223" s="143" t="str">
        <f t="shared" si="2118"/>
        <v>-</v>
      </c>
      <c r="CA223" s="143" t="str">
        <f t="shared" si="2119"/>
        <v>-</v>
      </c>
      <c r="CB223" s="143" t="str">
        <f t="shared" si="2120"/>
        <v>-</v>
      </c>
      <c r="CD223" s="112" t="str">
        <f t="shared" ref="CD223:CD224" si="2854">IFERROR(AVERAGE(CE223:CP223),"-")</f>
        <v>-</v>
      </c>
      <c r="CE223" s="95" t="str">
        <f>IFERROR(SUMIFS('01. KE30'!$R:$R,'01. KE30'!$C:$C,'06. BC BH THEO CUSTOMER-USD'!$D223,'01. KE30'!$F:$F,'06. BC BH THEO CUSTOMER-USD'!$H223,'01. KE30'!$A:$A,'06. BC BH THEO CUSTOMER-USD'!CE$4)/CS223/'02. Tỷ giá'!B$5," -")</f>
        <v xml:space="preserve"> -</v>
      </c>
      <c r="CF223" s="95" t="str">
        <f>IFERROR(SUMIFS('01. KE30'!$R:$R,'01. KE30'!$C:$C,'06. BC BH THEO CUSTOMER-USD'!$D223,'01. KE30'!$F:$F,'06. BC BH THEO CUSTOMER-USD'!$H223,'01. KE30'!$A:$A,'06. BC BH THEO CUSTOMER-USD'!CF$4)/CT223/'02. Tỷ giá'!C$5," -")</f>
        <v xml:space="preserve"> -</v>
      </c>
      <c r="CG223" s="95" t="str">
        <f>IFERROR(SUMIFS('01. KE30'!$R:$R,'01. KE30'!$C:$C,'06. BC BH THEO CUSTOMER-USD'!$D223,'01. KE30'!$F:$F,'06. BC BH THEO CUSTOMER-USD'!$H223,'01. KE30'!$A:$A,'06. BC BH THEO CUSTOMER-USD'!CG$4)/CU223/'02. Tỷ giá'!D$5," -")</f>
        <v xml:space="preserve"> -</v>
      </c>
      <c r="CH223" s="95" t="str">
        <f>IFERROR(SUMIFS('01. KE30'!$R:$R,'01. KE30'!$C:$C,'06. BC BH THEO CUSTOMER-USD'!$D223,'01. KE30'!$F:$F,'06. BC BH THEO CUSTOMER-USD'!$H223,'01. KE30'!$A:$A,'06. BC BH THEO CUSTOMER-USD'!CH$4)/CV223/'02. Tỷ giá'!E$5," -")</f>
        <v xml:space="preserve"> -</v>
      </c>
      <c r="CI223" s="95" t="str">
        <f>IFERROR(SUMIFS('01. KE30'!$R:$R,'01. KE30'!$C:$C,'06. BC BH THEO CUSTOMER-USD'!$D223,'01. KE30'!$F:$F,'06. BC BH THEO CUSTOMER-USD'!$H223,'01. KE30'!$A:$A,'06. BC BH THEO CUSTOMER-USD'!CI$4)/CW223/'02. Tỷ giá'!F$5," -")</f>
        <v xml:space="preserve"> -</v>
      </c>
      <c r="CJ223" s="95" t="str">
        <f>IFERROR(SUMIFS('01. KE30'!$R:$R,'01. KE30'!$C:$C,'06. BC BH THEO CUSTOMER-USD'!$D223,'01. KE30'!$F:$F,'06. BC BH THEO CUSTOMER-USD'!$H223,'01. KE30'!$A:$A,'06. BC BH THEO CUSTOMER-USD'!CJ$4)/CX223/'02. Tỷ giá'!G$5," -")</f>
        <v xml:space="preserve"> -</v>
      </c>
      <c r="CK223" s="95" t="str">
        <f>IFERROR(SUMIFS('01. KE30'!$R:$R,'01. KE30'!$C:$C,'06. BC BH THEO CUSTOMER-USD'!$D223,'01. KE30'!$F:$F,'06. BC BH THEO CUSTOMER-USD'!$H223,'01. KE30'!$A:$A,'06. BC BH THEO CUSTOMER-USD'!CK$4)/CY223/'02. Tỷ giá'!H$5," -")</f>
        <v xml:space="preserve"> -</v>
      </c>
      <c r="CL223" s="95" t="str">
        <f>IFERROR(SUMIFS('01. KE30'!$R:$R,'01. KE30'!$C:$C,'06. BC BH THEO CUSTOMER-USD'!$D223,'01. KE30'!$F:$F,'06. BC BH THEO CUSTOMER-USD'!$H223,'01. KE30'!$A:$A,'06. BC BH THEO CUSTOMER-USD'!CL$4)/CZ223/'02. Tỷ giá'!I$5," -")</f>
        <v xml:space="preserve"> -</v>
      </c>
      <c r="CM223" s="95" t="str">
        <f>IFERROR(SUMIFS('01. KE30'!$R:$R,'01. KE30'!$C:$C,'06. BC BH THEO CUSTOMER-USD'!$D223,'01. KE30'!$F:$F,'06. BC BH THEO CUSTOMER-USD'!$H223,'01. KE30'!$A:$A,'06. BC BH THEO CUSTOMER-USD'!CM$4)/DA223/'02. Tỷ giá'!J$5," -")</f>
        <v xml:space="preserve"> -</v>
      </c>
      <c r="CN223" s="95" t="str">
        <f>IFERROR(SUMIFS('01. KE30'!$R:$R,'01. KE30'!$C:$C,'06. BC BH THEO CUSTOMER-USD'!$D223,'01. KE30'!$F:$F,'06. BC BH THEO CUSTOMER-USD'!$H223,'01. KE30'!$A:$A,'06. BC BH THEO CUSTOMER-USD'!CN$4)/DB223/'02. Tỷ giá'!K$5," -")</f>
        <v xml:space="preserve"> -</v>
      </c>
      <c r="CO223" s="95" t="str">
        <f>IFERROR(SUMIFS('01. KE30'!$R:$R,'01. KE30'!$C:$C,'06. BC BH THEO CUSTOMER-USD'!$D223,'01. KE30'!$F:$F,'06. BC BH THEO CUSTOMER-USD'!$H223,'01. KE30'!$A:$A,'06. BC BH THEO CUSTOMER-USD'!CO$4)/DC223/'02. Tỷ giá'!L$5," -")</f>
        <v xml:space="preserve"> -</v>
      </c>
      <c r="CP223" s="95" t="str">
        <f>IFERROR(SUMIFS('01. KE30'!$R:$R,'01. KE30'!$C:$C,'06. BC BH THEO CUSTOMER-USD'!$D223,'01. KE30'!$F:$F,'06. BC BH THEO CUSTOMER-USD'!$H223,'01. KE30'!$A:$A,'06. BC BH THEO CUSTOMER-USD'!CP$4)/DD223/'02. Tỷ giá'!M$5," -")</f>
        <v xml:space="preserve"> -</v>
      </c>
      <c r="CR223" s="112">
        <f t="shared" si="2501"/>
        <v>0</v>
      </c>
      <c r="CS223" s="114">
        <f>SUMIFS('01. KE30'!$I:$I,'01. KE30'!$C:$C,'06. BC BH THEO CUSTOMER-USD'!$D223,'01. KE30'!$F:$F,'06. BC BH THEO CUSTOMER-USD'!$H223,'01. KE30'!$A:$A,'06. BC BH THEO CUSTOMER-USD'!CS$4)/1000</f>
        <v>0</v>
      </c>
      <c r="CT223" s="114">
        <f>SUMIFS('01. KE30'!$I:$I,'01. KE30'!$C:$C,'06. BC BH THEO CUSTOMER-USD'!$D223,'01. KE30'!$F:$F,'06. BC BH THEO CUSTOMER-USD'!$H223,'01. KE30'!$A:$A,'06. BC BH THEO CUSTOMER-USD'!CT$4)/1000</f>
        <v>0</v>
      </c>
      <c r="CU223" s="114">
        <f>SUMIFS('01. KE30'!$I:$I,'01. KE30'!$C:$C,'06. BC BH THEO CUSTOMER-USD'!$D223,'01. KE30'!$F:$F,'06. BC BH THEO CUSTOMER-USD'!$H223,'01. KE30'!$A:$A,'06. BC BH THEO CUSTOMER-USD'!CU$4)/1000</f>
        <v>0</v>
      </c>
      <c r="CV223" s="114">
        <f>SUMIFS('01. KE30'!$I:$I,'01. KE30'!$C:$C,'06. BC BH THEO CUSTOMER-USD'!$D223,'01. KE30'!$F:$F,'06. BC BH THEO CUSTOMER-USD'!$H223,'01. KE30'!$A:$A,'06. BC BH THEO CUSTOMER-USD'!CV$4)/1000</f>
        <v>0</v>
      </c>
      <c r="CW223" s="114">
        <f>SUMIFS('01. KE30'!$I:$I,'01. KE30'!$C:$C,'06. BC BH THEO CUSTOMER-USD'!$D223,'01. KE30'!$F:$F,'06. BC BH THEO CUSTOMER-USD'!$H223,'01. KE30'!$A:$A,'06. BC BH THEO CUSTOMER-USD'!CW$4)/1000</f>
        <v>0</v>
      </c>
      <c r="CX223" s="114">
        <f>SUMIFS('01. KE30'!$I:$I,'01. KE30'!$C:$C,'06. BC BH THEO CUSTOMER-USD'!$D223,'01. KE30'!$F:$F,'06. BC BH THEO CUSTOMER-USD'!$H223,'01. KE30'!$A:$A,'06. BC BH THEO CUSTOMER-USD'!CX$4)/1000</f>
        <v>0</v>
      </c>
      <c r="CY223" s="114">
        <f>SUMIFS('01. KE30'!$I:$I,'01. KE30'!$C:$C,'06. BC BH THEO CUSTOMER-USD'!$D223,'01. KE30'!$F:$F,'06. BC BH THEO CUSTOMER-USD'!$H223,'01. KE30'!$A:$A,'06. BC BH THEO CUSTOMER-USD'!CY$4)/1000</f>
        <v>0</v>
      </c>
      <c r="CZ223" s="114">
        <f>SUMIFS('01. KE30'!$I:$I,'01. KE30'!$C:$C,'06. BC BH THEO CUSTOMER-USD'!$D223,'01. KE30'!$F:$F,'06. BC BH THEO CUSTOMER-USD'!$H223,'01. KE30'!$A:$A,'06. BC BH THEO CUSTOMER-USD'!CZ$4)/1000</f>
        <v>0</v>
      </c>
      <c r="DA223" s="114">
        <f>SUMIFS('01. KE30'!$I:$I,'01. KE30'!$C:$C,'06. BC BH THEO CUSTOMER-USD'!$D223,'01. KE30'!$F:$F,'06. BC BH THEO CUSTOMER-USD'!$H223,'01. KE30'!$A:$A,'06. BC BH THEO CUSTOMER-USD'!DA$4)/1000</f>
        <v>0</v>
      </c>
      <c r="DB223" s="114">
        <f>SUMIFS('01. KE30'!$I:$I,'01. KE30'!$C:$C,'06. BC BH THEO CUSTOMER-USD'!$D223,'01. KE30'!$F:$F,'06. BC BH THEO CUSTOMER-USD'!$H223,'01. KE30'!$A:$A,'06. BC BH THEO CUSTOMER-USD'!DB$4)/1000</f>
        <v>0</v>
      </c>
      <c r="DC223" s="114">
        <f>SUMIFS('01. KE30'!$I:$I,'01. KE30'!$C:$C,'06. BC BH THEO CUSTOMER-USD'!$D223,'01. KE30'!$F:$F,'06. BC BH THEO CUSTOMER-USD'!$H223,'01. KE30'!$A:$A,'06. BC BH THEO CUSTOMER-USD'!DC$4)/1000</f>
        <v>0</v>
      </c>
      <c r="DD223" s="114">
        <f>SUMIFS('01. KE30'!$I:$I,'01. KE30'!$C:$C,'06. BC BH THEO CUSTOMER-USD'!$D223,'01. KE30'!$F:$F,'06. BC BH THEO CUSTOMER-USD'!$H223,'01. KE30'!$A:$A,'06. BC BH THEO CUSTOMER-USD'!DD$4)/1000</f>
        <v>0</v>
      </c>
      <c r="DF223" s="112">
        <f t="shared" ref="DF223:DF224" si="2855">SUM(DG223:DR223)</f>
        <v>0</v>
      </c>
      <c r="DG223" s="54" t="str">
        <f t="shared" ref="DG223:DG224" si="2856">IFERROR(M223*CS223,"-")</f>
        <v>-</v>
      </c>
      <c r="DH223" s="54" t="str">
        <f t="shared" ref="DH223:DH224" si="2857">IFERROR(N223*CT223,"-")</f>
        <v>-</v>
      </c>
      <c r="DI223" s="54" t="str">
        <f t="shared" ref="DI223:DI224" si="2858">IFERROR(O223*CU223,"-")</f>
        <v>-</v>
      </c>
      <c r="DJ223" s="54" t="str">
        <f t="shared" ref="DJ223:DJ224" si="2859">IFERROR(P223*CV223,"-")</f>
        <v>-</v>
      </c>
      <c r="DK223" s="54" t="str">
        <f t="shared" ref="DK223:DK224" si="2860">IFERROR(Q223*CW223,"-")</f>
        <v>-</v>
      </c>
      <c r="DL223" s="54" t="str">
        <f t="shared" ref="DL223:DL224" si="2861">IFERROR(R223*CX223,"-")</f>
        <v>-</v>
      </c>
      <c r="DM223" s="54" t="str">
        <f t="shared" ref="DM223:DM224" si="2862">IFERROR(S223*CY223,"-")</f>
        <v>-</v>
      </c>
      <c r="DN223" s="54" t="str">
        <f t="shared" ref="DN223:DN224" si="2863">IFERROR(T223*CZ223,"-")</f>
        <v>-</v>
      </c>
      <c r="DO223" s="54" t="str">
        <f t="shared" ref="DO223:DO224" si="2864">IFERROR(U223*DA223,"-")</f>
        <v>-</v>
      </c>
      <c r="DP223" s="54" t="str">
        <f t="shared" ref="DP223:DP224" si="2865">IFERROR(V223*DB223,"-")</f>
        <v>-</v>
      </c>
      <c r="DQ223" s="54" t="str">
        <f t="shared" ref="DQ223:DQ224" si="2866">IFERROR(W223*DC223,"-")</f>
        <v>-</v>
      </c>
      <c r="DR223" s="54" t="str">
        <f t="shared" ref="DR223:DR224" si="2867">IFERROR(X223*DD223,"-")</f>
        <v>-</v>
      </c>
      <c r="DT223" s="112">
        <f t="shared" ref="DT223:DT224" si="2868">SUM(DU223:EF223)</f>
        <v>0</v>
      </c>
      <c r="DU223" s="114">
        <f>IFERROR(SUMIFS('01. KE30'!$X:$X,'01. KE30'!$C:$C,'06. BC BH THEO CUSTOMER-USD'!$D223,'01. KE30'!$F:$F,'06. BC BH THEO CUSTOMER-USD'!$H223,'01. KE30'!$A:$A,'06. BC BH THEO CUSTOMER-USD'!DU$4)-SUMIFS('01. KE30'!$AA:$AA,'01. KE30'!$C:$C,'06. BC BH THEO CUSTOMER-USD'!$D223,'01. KE30'!$F:$F,'06. BC BH THEO CUSTOMER-USD'!$H223,'01. KE30'!$A:$A,'06. BC BH THEO CUSTOMER-USD'!DU$4),"-")</f>
        <v>0</v>
      </c>
      <c r="DV223" s="114">
        <f>IFERROR(SUMIFS('01. KE30'!$X:$X,'01. KE30'!$C:$C,'06. BC BH THEO CUSTOMER-USD'!$D223,'01. KE30'!$F:$F,'06. BC BH THEO CUSTOMER-USD'!$H223,'01. KE30'!$A:$A,'06. BC BH THEO CUSTOMER-USD'!DV$4)-SUMIFS('01. KE30'!$AA:$AA,'01. KE30'!$C:$C,'06. BC BH THEO CUSTOMER-USD'!$D223,'01. KE30'!$F:$F,'06. BC BH THEO CUSTOMER-USD'!$H223,'01. KE30'!$A:$A,'06. BC BH THEO CUSTOMER-USD'!DV$4),"-")</f>
        <v>0</v>
      </c>
      <c r="DW223" s="114">
        <f>IFERROR(SUMIFS('01. KE30'!$X:$X,'01. KE30'!$C:$C,'06. BC BH THEO CUSTOMER-USD'!$D223,'01. KE30'!$F:$F,'06. BC BH THEO CUSTOMER-USD'!$H223,'01. KE30'!$A:$A,'06. BC BH THEO CUSTOMER-USD'!DW$4)-SUMIFS('01. KE30'!$AA:$AA,'01. KE30'!$C:$C,'06. BC BH THEO CUSTOMER-USD'!$D223,'01. KE30'!$F:$F,'06. BC BH THEO CUSTOMER-USD'!$H223,'01. KE30'!$A:$A,'06. BC BH THEO CUSTOMER-USD'!DW$4),"-")</f>
        <v>0</v>
      </c>
      <c r="DX223" s="114">
        <f>IFERROR(SUMIFS('01. KE30'!$X:$X,'01. KE30'!$C:$C,'06. BC BH THEO CUSTOMER-USD'!$D223,'01. KE30'!$F:$F,'06. BC BH THEO CUSTOMER-USD'!$H223,'01. KE30'!$A:$A,'06. BC BH THEO CUSTOMER-USD'!DX$4)-SUMIFS('01. KE30'!$AA:$AA,'01. KE30'!$C:$C,'06. BC BH THEO CUSTOMER-USD'!$D223,'01. KE30'!$F:$F,'06. BC BH THEO CUSTOMER-USD'!$H223,'01. KE30'!$A:$A,'06. BC BH THEO CUSTOMER-USD'!DX$4),"-")</f>
        <v>0</v>
      </c>
      <c r="DY223" s="114">
        <f>IFERROR(SUMIFS('01. KE30'!$X:$X,'01. KE30'!$C:$C,'06. BC BH THEO CUSTOMER-USD'!$D223,'01. KE30'!$F:$F,'06. BC BH THEO CUSTOMER-USD'!$H223,'01. KE30'!$A:$A,'06. BC BH THEO CUSTOMER-USD'!DY$4)-SUMIFS('01. KE30'!$AA:$AA,'01. KE30'!$C:$C,'06. BC BH THEO CUSTOMER-USD'!$D223,'01. KE30'!$F:$F,'06. BC BH THEO CUSTOMER-USD'!$H223,'01. KE30'!$A:$A,'06. BC BH THEO CUSTOMER-USD'!DY$4),"-")</f>
        <v>0</v>
      </c>
      <c r="DZ223" s="114">
        <f>IFERROR(SUMIFS('01. KE30'!$X:$X,'01. KE30'!$C:$C,'06. BC BH THEO CUSTOMER-USD'!$D223,'01. KE30'!$F:$F,'06. BC BH THEO CUSTOMER-USD'!$H223,'01. KE30'!$A:$A,'06. BC BH THEO CUSTOMER-USD'!DZ$4)-SUMIFS('01. KE30'!$AA:$AA,'01. KE30'!$C:$C,'06. BC BH THEO CUSTOMER-USD'!$D223,'01. KE30'!$F:$F,'06. BC BH THEO CUSTOMER-USD'!$H223,'01. KE30'!$A:$A,'06. BC BH THEO CUSTOMER-USD'!DZ$4),"-")</f>
        <v>0</v>
      </c>
      <c r="EA223" s="114">
        <f>IFERROR(SUMIFS('01. KE30'!$X:$X,'01. KE30'!$C:$C,'06. BC BH THEO CUSTOMER-USD'!$D223,'01. KE30'!$F:$F,'06. BC BH THEO CUSTOMER-USD'!$H223,'01. KE30'!$A:$A,'06. BC BH THEO CUSTOMER-USD'!EA$4)-SUMIFS('01. KE30'!$AA:$AA,'01. KE30'!$C:$C,'06. BC BH THEO CUSTOMER-USD'!$D223,'01. KE30'!$F:$F,'06. BC BH THEO CUSTOMER-USD'!$H223,'01. KE30'!$A:$A,'06. BC BH THEO CUSTOMER-USD'!EA$4),"-")</f>
        <v>0</v>
      </c>
      <c r="EB223" s="114">
        <f>IFERROR(SUMIFS('01. KE30'!$X:$X,'01. KE30'!$C:$C,'06. BC BH THEO CUSTOMER-USD'!$D223,'01. KE30'!$F:$F,'06. BC BH THEO CUSTOMER-USD'!$H223,'01. KE30'!$A:$A,'06. BC BH THEO CUSTOMER-USD'!EB$4)-SUMIFS('01. KE30'!$AA:$AA,'01. KE30'!$C:$C,'06. BC BH THEO CUSTOMER-USD'!$D223,'01. KE30'!$F:$F,'06. BC BH THEO CUSTOMER-USD'!$H223,'01. KE30'!$A:$A,'06. BC BH THEO CUSTOMER-USD'!EB$4),"-")</f>
        <v>0</v>
      </c>
      <c r="EC223" s="114">
        <f>IFERROR(SUMIFS('01. KE30'!$X:$X,'01. KE30'!$C:$C,'06. BC BH THEO CUSTOMER-USD'!$D223,'01. KE30'!$F:$F,'06. BC BH THEO CUSTOMER-USD'!$H223,'01. KE30'!$A:$A,'06. BC BH THEO CUSTOMER-USD'!EC$4)-SUMIFS('01. KE30'!$AA:$AA,'01. KE30'!$C:$C,'06. BC BH THEO CUSTOMER-USD'!$D223,'01. KE30'!$F:$F,'06. BC BH THEO CUSTOMER-USD'!$H223,'01. KE30'!$A:$A,'06. BC BH THEO CUSTOMER-USD'!EC$4),"-")</f>
        <v>0</v>
      </c>
      <c r="ED223" s="114">
        <f>IFERROR(SUMIFS('01. KE30'!$X:$X,'01. KE30'!$C:$C,'06. BC BH THEO CUSTOMER-USD'!$D223,'01. KE30'!$F:$F,'06. BC BH THEO CUSTOMER-USD'!$H223,'01. KE30'!$A:$A,'06. BC BH THEO CUSTOMER-USD'!ED$4)-SUMIFS('01. KE30'!$AA:$AA,'01. KE30'!$C:$C,'06. BC BH THEO CUSTOMER-USD'!$D223,'01. KE30'!$F:$F,'06. BC BH THEO CUSTOMER-USD'!$H223,'01. KE30'!$A:$A,'06. BC BH THEO CUSTOMER-USD'!ED$4),"-")</f>
        <v>0</v>
      </c>
      <c r="EE223" s="114">
        <f>IFERROR(SUMIFS('01. KE30'!$X:$X,'01. KE30'!$C:$C,'06. BC BH THEO CUSTOMER-USD'!$D223,'01. KE30'!$F:$F,'06. BC BH THEO CUSTOMER-USD'!$H223,'01. KE30'!$A:$A,'06. BC BH THEO CUSTOMER-USD'!EE$4)-SUMIFS('01. KE30'!$AA:$AA,'01. KE30'!$C:$C,'06. BC BH THEO CUSTOMER-USD'!$D223,'01. KE30'!$F:$F,'06. BC BH THEO CUSTOMER-USD'!$H223,'01. KE30'!$A:$A,'06. BC BH THEO CUSTOMER-USD'!EE$4),"-")</f>
        <v>0</v>
      </c>
      <c r="EF223" s="114">
        <f>IFERROR(SUMIFS('01. KE30'!$X:$X,'01. KE30'!$C:$C,'06. BC BH THEO CUSTOMER-USD'!$D223,'01. KE30'!$F:$F,'06. BC BH THEO CUSTOMER-USD'!$H223,'01. KE30'!$A:$A,'06. BC BH THEO CUSTOMER-USD'!EF$4)-SUMIFS('01. KE30'!$AA:$AA,'01. KE30'!$C:$C,'06. BC BH THEO CUSTOMER-USD'!$D223,'01. KE30'!$F:$F,'06. BC BH THEO CUSTOMER-USD'!$H223,'01. KE30'!$A:$A,'06. BC BH THEO CUSTOMER-USD'!EF$4),"-")</f>
        <v>0</v>
      </c>
      <c r="EH223" s="571" t="str">
        <f t="shared" si="1737"/>
        <v>-</v>
      </c>
      <c r="EI223" s="572" t="str">
        <f t="shared" si="1738"/>
        <v>-</v>
      </c>
      <c r="EJ223" s="572" t="str">
        <f t="shared" si="1739"/>
        <v>-</v>
      </c>
      <c r="EK223" s="572" t="str">
        <f t="shared" si="1740"/>
        <v>-</v>
      </c>
      <c r="EL223" s="572" t="str">
        <f t="shared" si="1741"/>
        <v>-</v>
      </c>
      <c r="EM223" s="572" t="str">
        <f t="shared" si="1742"/>
        <v>-</v>
      </c>
      <c r="EN223" s="572" t="str">
        <f t="shared" si="1743"/>
        <v>-</v>
      </c>
      <c r="EO223" s="572" t="str">
        <f t="shared" si="1744"/>
        <v>-</v>
      </c>
      <c r="EP223" s="572" t="str">
        <f t="shared" si="1745"/>
        <v>-</v>
      </c>
      <c r="EQ223" s="572" t="str">
        <f t="shared" si="1746"/>
        <v>-</v>
      </c>
      <c r="ER223" s="572" t="str">
        <f t="shared" si="1747"/>
        <v>-</v>
      </c>
      <c r="ES223" s="572" t="str">
        <f t="shared" si="1748"/>
        <v>-</v>
      </c>
      <c r="ET223" s="572" t="str">
        <f t="shared" si="1749"/>
        <v>-</v>
      </c>
    </row>
    <row r="224" spans="1:150" ht="15.5" outlineLevel="1" x14ac:dyDescent="0.35">
      <c r="A224" s="10">
        <f>A223+1</f>
        <v>2</v>
      </c>
      <c r="B224" s="10" t="s">
        <v>269</v>
      </c>
      <c r="C224" s="442" t="s">
        <v>489</v>
      </c>
      <c r="D224" s="9" t="s">
        <v>21</v>
      </c>
      <c r="E224" s="8" t="s">
        <v>20</v>
      </c>
      <c r="F224" s="12" t="s">
        <v>245</v>
      </c>
      <c r="G224" s="12" t="str">
        <f>_xlfn.XLOOKUP(F224,'Quy đổi'!$G$5:$G$32,'Quy đổi'!$H$5:$H$32,0)</f>
        <v>Nội địa</v>
      </c>
      <c r="H224" s="80" t="s">
        <v>19</v>
      </c>
      <c r="I224" s="7" t="s">
        <v>18</v>
      </c>
      <c r="J224" s="69" t="s">
        <v>22</v>
      </c>
      <c r="K224" s="5"/>
      <c r="L224" s="92">
        <f t="shared" si="2853"/>
        <v>706.97454074146799</v>
      </c>
      <c r="M224" s="106" t="str">
        <f>IFERROR(SUMIFS('01. KE30'!$K:$K,'01. KE30'!$C:$C,'06. BC BH THEO CUSTOMER-USD'!$D224,'01. KE30'!$F:$F,'06. BC BH THEO CUSTOMER-USD'!$H224,'01. KE30'!$A:$A,'06. BC BH THEO CUSTOMER-USD'!M$4)/'06. BC BH THEO CUSTOMER-USD'!CS224/'02. Tỷ giá'!B$5,"-")</f>
        <v>-</v>
      </c>
      <c r="N224" s="106" t="str">
        <f>IFERROR(SUMIFS('01. KE30'!$K:$K,'01. KE30'!$C:$C,'06. BC BH THEO CUSTOMER-USD'!$D224,'01. KE30'!$F:$F,'06. BC BH THEO CUSTOMER-USD'!$H224,'01. KE30'!$A:$A,'06. BC BH THEO CUSTOMER-USD'!N$4)/'06. BC BH THEO CUSTOMER-USD'!CT224/'02. Tỷ giá'!C$5,"-")</f>
        <v>-</v>
      </c>
      <c r="O224" s="106">
        <f>IFERROR(SUMIFS('01. KE30'!$K:$K,'01. KE30'!$C:$C,'06. BC BH THEO CUSTOMER-USD'!$D224,'01. KE30'!$F:$F,'06. BC BH THEO CUSTOMER-USD'!$H224,'01. KE30'!$A:$A,'06. BC BH THEO CUSTOMER-USD'!O$4)/'06. BC BH THEO CUSTOMER-USD'!CU224/'02. Tỷ giá'!D$5,"-")</f>
        <v>729.07553055868027</v>
      </c>
      <c r="P224" s="106" t="str">
        <f>IFERROR(SUMIFS('01. KE30'!$K:$K,'01. KE30'!$C:$C,'06. BC BH THEO CUSTOMER-USD'!$D224,'01. KE30'!$F:$F,'06. BC BH THEO CUSTOMER-USD'!$H224,'01. KE30'!$A:$A,'06. BC BH THEO CUSTOMER-USD'!P$4)/'06. BC BH THEO CUSTOMER-USD'!CV224/'02. Tỷ giá'!E$5,"-")</f>
        <v>-</v>
      </c>
      <c r="Q224" s="106">
        <f>IFERROR(SUMIFS('01. KE30'!$K:$K,'01. KE30'!$C:$C,'06. BC BH THEO CUSTOMER-USD'!$D224,'01. KE30'!$F:$F,'06. BC BH THEO CUSTOMER-USD'!$H224,'01. KE30'!$A:$A,'06. BC BH THEO CUSTOMER-USD'!Q$4)/'06. BC BH THEO CUSTOMER-USD'!CW224/'02. Tỷ giá'!F$5,"-")</f>
        <v>698.20400446850567</v>
      </c>
      <c r="R224" s="106" t="str">
        <f>IFERROR(SUMIFS('01. KE30'!$K:$K,'01. KE30'!$C:$C,'06. BC BH THEO CUSTOMER-USD'!$D224,'01. KE30'!$F:$F,'06. BC BH THEO CUSTOMER-USD'!$H224,'01. KE30'!$A:$A,'06. BC BH THEO CUSTOMER-USD'!R$4)/'06. BC BH THEO CUSTOMER-USD'!CX224/'02. Tỷ giá'!G$5,"-")</f>
        <v>-</v>
      </c>
      <c r="S224" s="106">
        <f>IFERROR(SUMIFS('01. KE30'!$K:$K,'01. KE30'!$C:$C,'06. BC BH THEO CUSTOMER-USD'!$D224,'01. KE30'!$F:$F,'06. BC BH THEO CUSTOMER-USD'!$H224,'01. KE30'!$A:$A,'06. BC BH THEO CUSTOMER-USD'!S$4)/'06. BC BH THEO CUSTOMER-USD'!CY224/'02. Tỷ giá'!H$5,"-")</f>
        <v>693.64408719721814</v>
      </c>
      <c r="T224" s="106" t="str">
        <f>IFERROR(SUMIFS('01. KE30'!$K:$K,'01. KE30'!$C:$C,'06. BC BH THEO CUSTOMER-USD'!$D224,'01. KE30'!$F:$F,'06. BC BH THEO CUSTOMER-USD'!$H224,'01. KE30'!$A:$A,'06. BC BH THEO CUSTOMER-USD'!T$4)/'06. BC BH THEO CUSTOMER-USD'!CZ224/'02. Tỷ giá'!I$5,"-")</f>
        <v>-</v>
      </c>
      <c r="U224" s="106" t="str">
        <f>IFERROR(SUMIFS('01. KE30'!$K:$K,'01. KE30'!$C:$C,'06. BC BH THEO CUSTOMER-USD'!$D224,'01. KE30'!$F:$F,'06. BC BH THEO CUSTOMER-USD'!$H224,'01. KE30'!$A:$A,'06. BC BH THEO CUSTOMER-USD'!U$4)/'06. BC BH THEO CUSTOMER-USD'!DA224/'02. Tỷ giá'!J$5,"-")</f>
        <v>-</v>
      </c>
      <c r="V224" s="106" t="str">
        <f>IFERROR(SUMIFS('01. KE30'!$K:$K,'01. KE30'!$C:$C,'06. BC BH THEO CUSTOMER-USD'!$D224,'01. KE30'!$F:$F,'06. BC BH THEO CUSTOMER-USD'!$H224,'01. KE30'!$A:$A,'06. BC BH THEO CUSTOMER-USD'!V$4)/'06. BC BH THEO CUSTOMER-USD'!DB224/'02. Tỷ giá'!K$5,"-")</f>
        <v>-</v>
      </c>
      <c r="W224" s="106" t="str">
        <f>IFERROR(SUMIFS('01. KE30'!$K:$K,'01. KE30'!$C:$C,'06. BC BH THEO CUSTOMER-USD'!$D224,'01. KE30'!$F:$F,'06. BC BH THEO CUSTOMER-USD'!$H224,'01. KE30'!$A:$A,'06. BC BH THEO CUSTOMER-USD'!W$4)/'06. BC BH THEO CUSTOMER-USD'!DC224/'02. Tỷ giá'!L$5,"-")</f>
        <v>-</v>
      </c>
      <c r="X224" s="106" t="str">
        <f>IFERROR(SUMIFS('01. KE30'!$K:$K,'01. KE30'!$C:$C,'06. BC BH THEO CUSTOMER-USD'!$D224,'01. KE30'!$F:$F,'06. BC BH THEO CUSTOMER-USD'!$H224,'01. KE30'!$A:$A,'06. BC BH THEO CUSTOMER-USD'!X$4)/'06. BC BH THEO CUSTOMER-USD'!DD224/'02. Tỷ giá'!M$5,"-")</f>
        <v>-</v>
      </c>
      <c r="Z224" s="92">
        <f t="shared" si="2516"/>
        <v>706.97454074146799</v>
      </c>
      <c r="AA224" s="147" t="str">
        <f>IFERROR(SUMIFS('01. KE30'!$O:$O,'01. KE30'!$C:$C,'06. BC BH THEO CUSTOMER-USD'!$D224,'01. KE30'!$F:$F,'06. BC BH THEO CUSTOMER-USD'!$H224,'01. KE30'!$A:$A,'06. BC BH THEO CUSTOMER-USD'!M$4)/'06. BC BH THEO CUSTOMER-USD'!CS224/'02. Tỷ giá'!B$5,"-")</f>
        <v>-</v>
      </c>
      <c r="AB224" s="147" t="str">
        <f>IFERROR(SUMIFS('01. KE30'!$O:$O,'01. KE30'!$C:$C,'06. BC BH THEO CUSTOMER-USD'!$D224,'01. KE30'!$F:$F,'06. BC BH THEO CUSTOMER-USD'!$H224,'01. KE30'!$A:$A,'06. BC BH THEO CUSTOMER-USD'!N$4)/'06. BC BH THEO CUSTOMER-USD'!CT224/'02. Tỷ giá'!C$5,"-")</f>
        <v>-</v>
      </c>
      <c r="AC224" s="147">
        <f>IFERROR(SUMIFS('01. KE30'!$O:$O,'01. KE30'!$C:$C,'06. BC BH THEO CUSTOMER-USD'!$D224,'01. KE30'!$F:$F,'06. BC BH THEO CUSTOMER-USD'!$H224,'01. KE30'!$A:$A,'06. BC BH THEO CUSTOMER-USD'!O$4)/'06. BC BH THEO CUSTOMER-USD'!CU224/'02. Tỷ giá'!D$5,"-")</f>
        <v>729.07553055868027</v>
      </c>
      <c r="AD224" s="147" t="str">
        <f>IFERROR(SUMIFS('01. KE30'!$O:$O,'01. KE30'!$C:$C,'06. BC BH THEO CUSTOMER-USD'!$D224,'01. KE30'!$F:$F,'06. BC BH THEO CUSTOMER-USD'!$H224,'01. KE30'!$A:$A,'06. BC BH THEO CUSTOMER-USD'!P$4)/'06. BC BH THEO CUSTOMER-USD'!CV224/'02. Tỷ giá'!E$5,"-")</f>
        <v>-</v>
      </c>
      <c r="AE224" s="147">
        <f>IFERROR(SUMIFS('01. KE30'!$O:$O,'01. KE30'!$C:$C,'06. BC BH THEO CUSTOMER-USD'!$D224,'01. KE30'!$F:$F,'06. BC BH THEO CUSTOMER-USD'!$H224,'01. KE30'!$A:$A,'06. BC BH THEO CUSTOMER-USD'!Q$4)/'06. BC BH THEO CUSTOMER-USD'!CW224/'02. Tỷ giá'!F$5,"-")</f>
        <v>698.20400446850567</v>
      </c>
      <c r="AF224" s="147" t="str">
        <f>IFERROR(SUMIFS('01. KE30'!$O:$O,'01. KE30'!$C:$C,'06. BC BH THEO CUSTOMER-USD'!$D224,'01. KE30'!$F:$F,'06. BC BH THEO CUSTOMER-USD'!$H224,'01. KE30'!$A:$A,'06. BC BH THEO CUSTOMER-USD'!R$4)/'06. BC BH THEO CUSTOMER-USD'!CX224/'02. Tỷ giá'!G$5,"-")</f>
        <v>-</v>
      </c>
      <c r="AG224" s="147">
        <f>IFERROR(SUMIFS('01. KE30'!$O:$O,'01. KE30'!$C:$C,'06. BC BH THEO CUSTOMER-USD'!$D224,'01. KE30'!$F:$F,'06. BC BH THEO CUSTOMER-USD'!$H224,'01. KE30'!$A:$A,'06. BC BH THEO CUSTOMER-USD'!S$4)/'06. BC BH THEO CUSTOMER-USD'!CY224/'02. Tỷ giá'!H$5,"-")</f>
        <v>693.64408719721814</v>
      </c>
      <c r="AH224" s="147" t="str">
        <f>IFERROR(SUMIFS('01. KE30'!$O:$O,'01. KE30'!$C:$C,'06. BC BH THEO CUSTOMER-USD'!$D224,'01. KE30'!$F:$F,'06. BC BH THEO CUSTOMER-USD'!$H224,'01. KE30'!$A:$A,'06. BC BH THEO CUSTOMER-USD'!T$4)/'06. BC BH THEO CUSTOMER-USD'!CZ224/'02. Tỷ giá'!I$5,"-")</f>
        <v>-</v>
      </c>
      <c r="AI224" s="147" t="str">
        <f>IFERROR(SUMIFS('01. KE30'!$O:$O,'01. KE30'!$C:$C,'06. BC BH THEO CUSTOMER-USD'!$D224,'01. KE30'!$F:$F,'06. BC BH THEO CUSTOMER-USD'!$H224,'01. KE30'!$A:$A,'06. BC BH THEO CUSTOMER-USD'!U$4)/'06. BC BH THEO CUSTOMER-USD'!DA224/'02. Tỷ giá'!J$5,"-")</f>
        <v>-</v>
      </c>
      <c r="AJ224" s="147" t="str">
        <f>IFERROR(SUMIFS('01. KE30'!$O:$O,'01. KE30'!$C:$C,'06. BC BH THEO CUSTOMER-USD'!$D224,'01. KE30'!$F:$F,'06. BC BH THEO CUSTOMER-USD'!$H224,'01. KE30'!$A:$A,'06. BC BH THEO CUSTOMER-USD'!V$4)/'06. BC BH THEO CUSTOMER-USD'!DB224/'02. Tỷ giá'!K$5,"-")</f>
        <v>-</v>
      </c>
      <c r="AK224" s="147" t="str">
        <f>IFERROR(SUMIFS('01. KE30'!$O:$O,'01. KE30'!$C:$C,'06. BC BH THEO CUSTOMER-USD'!$D224,'01. KE30'!$F:$F,'06. BC BH THEO CUSTOMER-USD'!$H224,'01. KE30'!$A:$A,'06. BC BH THEO CUSTOMER-USD'!W$4)/'06. BC BH THEO CUSTOMER-USD'!DC224/'02. Tỷ giá'!L$5,"-")</f>
        <v>-</v>
      </c>
      <c r="AL224" s="147" t="str">
        <f>IFERROR(SUMIFS('01. KE30'!$O:$O,'01. KE30'!$C:$C,'06. BC BH THEO CUSTOMER-USD'!$D224,'01. KE30'!$F:$F,'06. BC BH THEO CUSTOMER-USD'!$H224,'01. KE30'!$A:$A,'06. BC BH THEO CUSTOMER-USD'!X$4)/'06. BC BH THEO CUSTOMER-USD'!DD224/'02. Tỷ giá'!M$5,"-")</f>
        <v>-</v>
      </c>
      <c r="AN224" s="92">
        <f t="shared" si="2517"/>
        <v>748.88888888888891</v>
      </c>
      <c r="AO224" s="4">
        <v>855</v>
      </c>
      <c r="AP224" s="4">
        <v>780</v>
      </c>
      <c r="AQ224" s="4">
        <v>790</v>
      </c>
      <c r="AR224" s="4">
        <v>785</v>
      </c>
      <c r="AS224" s="4">
        <v>765</v>
      </c>
      <c r="AT224" s="4">
        <v>765</v>
      </c>
      <c r="AU224" s="4">
        <v>680</v>
      </c>
      <c r="AV224" s="4">
        <f t="shared" si="2518"/>
        <v>660</v>
      </c>
      <c r="AW224" s="4">
        <v>660</v>
      </c>
      <c r="AX224" s="4"/>
      <c r="AY224" s="4"/>
      <c r="AZ224" s="4"/>
      <c r="BB224" s="95">
        <f t="shared" si="2122"/>
        <v>-41.914348147420924</v>
      </c>
      <c r="BC224" s="95" t="str">
        <f t="shared" si="2123"/>
        <v>-</v>
      </c>
      <c r="BD224" s="95" t="str">
        <f t="shared" si="2848"/>
        <v>-</v>
      </c>
      <c r="BE224" s="95">
        <f t="shared" si="2848"/>
        <v>-60.924469441319729</v>
      </c>
      <c r="BF224" s="95" t="str">
        <f t="shared" si="2848"/>
        <v>-</v>
      </c>
      <c r="BG224" s="95">
        <f t="shared" si="2848"/>
        <v>-66.795995531494327</v>
      </c>
      <c r="BH224" s="95" t="str">
        <f t="shared" si="2848"/>
        <v>-</v>
      </c>
      <c r="BI224" s="95">
        <f t="shared" si="2848"/>
        <v>13.644087197218141</v>
      </c>
      <c r="BJ224" s="95" t="str">
        <f t="shared" si="2848"/>
        <v>-</v>
      </c>
      <c r="BK224" s="95" t="str">
        <f t="shared" si="2848"/>
        <v>-</v>
      </c>
      <c r="BL224" s="95" t="str">
        <f t="shared" si="2848"/>
        <v>-</v>
      </c>
      <c r="BM224" s="95" t="str">
        <f t="shared" si="2848"/>
        <v>-</v>
      </c>
      <c r="BN224" s="95" t="str">
        <f t="shared" si="2848"/>
        <v>-</v>
      </c>
      <c r="BP224" s="143">
        <f t="shared" si="2124"/>
        <v>-5.5968714143440401E-2</v>
      </c>
      <c r="BQ224" s="143" t="str">
        <f t="shared" si="2109"/>
        <v>-</v>
      </c>
      <c r="BR224" s="143" t="str">
        <f t="shared" si="2110"/>
        <v>-</v>
      </c>
      <c r="BS224" s="143">
        <f t="shared" si="2111"/>
        <v>-7.7119581571290799E-2</v>
      </c>
      <c r="BT224" s="143" t="str">
        <f t="shared" si="2112"/>
        <v>-</v>
      </c>
      <c r="BU224" s="143">
        <f t="shared" si="2113"/>
        <v>-8.7315026838554674E-2</v>
      </c>
      <c r="BV224" s="143" t="str">
        <f t="shared" si="2114"/>
        <v>-</v>
      </c>
      <c r="BW224" s="143">
        <f t="shared" si="2115"/>
        <v>2.0064834113556092E-2</v>
      </c>
      <c r="BX224" s="143" t="str">
        <f t="shared" si="2116"/>
        <v>-</v>
      </c>
      <c r="BY224" s="143" t="str">
        <f t="shared" si="2117"/>
        <v>-</v>
      </c>
      <c r="BZ224" s="143" t="str">
        <f t="shared" si="2118"/>
        <v>-</v>
      </c>
      <c r="CA224" s="143" t="str">
        <f t="shared" si="2119"/>
        <v>-</v>
      </c>
      <c r="CB224" s="143" t="str">
        <f t="shared" si="2120"/>
        <v>-</v>
      </c>
      <c r="CD224" s="112">
        <f t="shared" si="2854"/>
        <v>791.25815572817862</v>
      </c>
      <c r="CE224" s="95" t="str">
        <f>IFERROR(SUMIFS('01. KE30'!$R:$R,'01. KE30'!$C:$C,'06. BC BH THEO CUSTOMER-USD'!$D224,'01. KE30'!$F:$F,'06. BC BH THEO CUSTOMER-USD'!$H224,'01. KE30'!$A:$A,'06. BC BH THEO CUSTOMER-USD'!CE$4)/CS224/'02. Tỷ giá'!B$5," -")</f>
        <v xml:space="preserve"> -</v>
      </c>
      <c r="CF224" s="95" t="str">
        <f>IFERROR(SUMIFS('01. KE30'!$R:$R,'01. KE30'!$C:$C,'06. BC BH THEO CUSTOMER-USD'!$D224,'01. KE30'!$F:$F,'06. BC BH THEO CUSTOMER-USD'!$H224,'01. KE30'!$A:$A,'06. BC BH THEO CUSTOMER-USD'!CF$4)/CT224/'02. Tỷ giá'!C$5," -")</f>
        <v xml:space="preserve"> -</v>
      </c>
      <c r="CG224" s="95">
        <f>IFERROR(SUMIFS('01. KE30'!$R:$R,'01. KE30'!$C:$C,'06. BC BH THEO CUSTOMER-USD'!$D224,'01. KE30'!$F:$F,'06. BC BH THEO CUSTOMER-USD'!$H224,'01. KE30'!$A:$A,'06. BC BH THEO CUSTOMER-USD'!CG$4)/CU224/'02. Tỷ giá'!D$5," -")</f>
        <v>802.49058867641543</v>
      </c>
      <c r="CH224" s="95" t="str">
        <f>IFERROR(SUMIFS('01. KE30'!$R:$R,'01. KE30'!$C:$C,'06. BC BH THEO CUSTOMER-USD'!$D224,'01. KE30'!$F:$F,'06. BC BH THEO CUSTOMER-USD'!$H224,'01. KE30'!$A:$A,'06. BC BH THEO CUSTOMER-USD'!CH$4)/CV224/'02. Tỷ giá'!E$5," -")</f>
        <v xml:space="preserve"> -</v>
      </c>
      <c r="CI224" s="95">
        <f>IFERROR(SUMIFS('01. KE30'!$R:$R,'01. KE30'!$C:$C,'06. BC BH THEO CUSTOMER-USD'!$D224,'01. KE30'!$F:$F,'06. BC BH THEO CUSTOMER-USD'!$H224,'01. KE30'!$A:$A,'06. BC BH THEO CUSTOMER-USD'!CI$4)/CW224/'02. Tỷ giá'!F$5," -")</f>
        <v>788.21582882186124</v>
      </c>
      <c r="CJ224" s="95" t="str">
        <f>IFERROR(SUMIFS('01. KE30'!$R:$R,'01. KE30'!$C:$C,'06. BC BH THEO CUSTOMER-USD'!$D224,'01. KE30'!$F:$F,'06. BC BH THEO CUSTOMER-USD'!$H224,'01. KE30'!$A:$A,'06. BC BH THEO CUSTOMER-USD'!CJ$4)/CX224/'02. Tỷ giá'!G$5," -")</f>
        <v xml:space="preserve"> -</v>
      </c>
      <c r="CK224" s="95">
        <f>IFERROR(SUMIFS('01. KE30'!$R:$R,'01. KE30'!$C:$C,'06. BC BH THEO CUSTOMER-USD'!$D224,'01. KE30'!$F:$F,'06. BC BH THEO CUSTOMER-USD'!$H224,'01. KE30'!$A:$A,'06. BC BH THEO CUSTOMER-USD'!CK$4)/CY224/'02. Tỷ giá'!H$5," -")</f>
        <v>783.06804968625943</v>
      </c>
      <c r="CL224" s="95" t="str">
        <f>IFERROR(SUMIFS('01. KE30'!$R:$R,'01. KE30'!$C:$C,'06. BC BH THEO CUSTOMER-USD'!$D224,'01. KE30'!$F:$F,'06. BC BH THEO CUSTOMER-USD'!$H224,'01. KE30'!$A:$A,'06. BC BH THEO CUSTOMER-USD'!CL$4)/CZ224/'02. Tỷ giá'!I$5," -")</f>
        <v xml:space="preserve"> -</v>
      </c>
      <c r="CM224" s="95" t="str">
        <f>IFERROR(SUMIFS('01. KE30'!$R:$R,'01. KE30'!$C:$C,'06. BC BH THEO CUSTOMER-USD'!$D224,'01. KE30'!$F:$F,'06. BC BH THEO CUSTOMER-USD'!$H224,'01. KE30'!$A:$A,'06. BC BH THEO CUSTOMER-USD'!CM$4)/DA224/'02. Tỷ giá'!J$5," -")</f>
        <v xml:space="preserve"> -</v>
      </c>
      <c r="CN224" s="95" t="str">
        <f>IFERROR(SUMIFS('01. KE30'!$R:$R,'01. KE30'!$C:$C,'06. BC BH THEO CUSTOMER-USD'!$D224,'01. KE30'!$F:$F,'06. BC BH THEO CUSTOMER-USD'!$H224,'01. KE30'!$A:$A,'06. BC BH THEO CUSTOMER-USD'!CN$4)/DB224/'02. Tỷ giá'!K$5," -")</f>
        <v xml:space="preserve"> -</v>
      </c>
      <c r="CO224" s="95" t="str">
        <f>IFERROR(SUMIFS('01. KE30'!$R:$R,'01. KE30'!$C:$C,'06. BC BH THEO CUSTOMER-USD'!$D224,'01. KE30'!$F:$F,'06. BC BH THEO CUSTOMER-USD'!$H224,'01. KE30'!$A:$A,'06. BC BH THEO CUSTOMER-USD'!CO$4)/DC224/'02. Tỷ giá'!L$5," -")</f>
        <v xml:space="preserve"> -</v>
      </c>
      <c r="CP224" s="95" t="str">
        <f>IFERROR(SUMIFS('01. KE30'!$R:$R,'01. KE30'!$C:$C,'06. BC BH THEO CUSTOMER-USD'!$D224,'01. KE30'!$F:$F,'06. BC BH THEO CUSTOMER-USD'!$H224,'01. KE30'!$A:$A,'06. BC BH THEO CUSTOMER-USD'!CP$4)/DD224/'02. Tỷ giá'!M$5," -")</f>
        <v xml:space="preserve"> -</v>
      </c>
      <c r="CR224" s="112">
        <f t="shared" si="2501"/>
        <v>35.25</v>
      </c>
      <c r="CS224" s="114">
        <f>SUMIFS('01. KE30'!$I:$I,'01. KE30'!$C:$C,'06. BC BH THEO CUSTOMER-USD'!$D224,'01. KE30'!$F:$F,'06. BC BH THEO CUSTOMER-USD'!$H224,'01. KE30'!$A:$A,'06. BC BH THEO CUSTOMER-USD'!CS$4)/1000</f>
        <v>0</v>
      </c>
      <c r="CT224" s="114">
        <f>SUMIFS('01. KE30'!$I:$I,'01. KE30'!$C:$C,'06. BC BH THEO CUSTOMER-USD'!$D224,'01. KE30'!$F:$F,'06. BC BH THEO CUSTOMER-USD'!$H224,'01. KE30'!$A:$A,'06. BC BH THEO CUSTOMER-USD'!CT$4)/1000</f>
        <v>0</v>
      </c>
      <c r="CU224" s="114">
        <f>SUMIFS('01. KE30'!$I:$I,'01. KE30'!$C:$C,'06. BC BH THEO CUSTOMER-USD'!$D224,'01. KE30'!$F:$F,'06. BC BH THEO CUSTOMER-USD'!$H224,'01. KE30'!$A:$A,'06. BC BH THEO CUSTOMER-USD'!CU$4)/1000</f>
        <v>5.25</v>
      </c>
      <c r="CV224" s="114">
        <f>SUMIFS('01. KE30'!$I:$I,'01. KE30'!$C:$C,'06. BC BH THEO CUSTOMER-USD'!$D224,'01. KE30'!$F:$F,'06. BC BH THEO CUSTOMER-USD'!$H224,'01. KE30'!$A:$A,'06. BC BH THEO CUSTOMER-USD'!CV$4)/1000</f>
        <v>0</v>
      </c>
      <c r="CW224" s="114">
        <f>SUMIFS('01. KE30'!$I:$I,'01. KE30'!$C:$C,'06. BC BH THEO CUSTOMER-USD'!$D224,'01. KE30'!$F:$F,'06. BC BH THEO CUSTOMER-USD'!$H224,'01. KE30'!$A:$A,'06. BC BH THEO CUSTOMER-USD'!CW$4)/1000</f>
        <v>20.25</v>
      </c>
      <c r="CX224" s="114">
        <f>SUMIFS('01. KE30'!$I:$I,'01. KE30'!$C:$C,'06. BC BH THEO CUSTOMER-USD'!$D224,'01. KE30'!$F:$F,'06. BC BH THEO CUSTOMER-USD'!$H224,'01. KE30'!$A:$A,'06. BC BH THEO CUSTOMER-USD'!CX$4)/1000</f>
        <v>0</v>
      </c>
      <c r="CY224" s="114">
        <f>SUMIFS('01. KE30'!$I:$I,'01. KE30'!$C:$C,'06. BC BH THEO CUSTOMER-USD'!$D224,'01. KE30'!$F:$F,'06. BC BH THEO CUSTOMER-USD'!$H224,'01. KE30'!$A:$A,'06. BC BH THEO CUSTOMER-USD'!CY$4)/1000</f>
        <v>9.75</v>
      </c>
      <c r="CZ224" s="114">
        <f>SUMIFS('01. KE30'!$I:$I,'01. KE30'!$C:$C,'06. BC BH THEO CUSTOMER-USD'!$D224,'01. KE30'!$F:$F,'06. BC BH THEO CUSTOMER-USD'!$H224,'01. KE30'!$A:$A,'06. BC BH THEO CUSTOMER-USD'!CZ$4)/1000</f>
        <v>0</v>
      </c>
      <c r="DA224" s="114">
        <f>SUMIFS('01. KE30'!$I:$I,'01. KE30'!$C:$C,'06. BC BH THEO CUSTOMER-USD'!$D224,'01. KE30'!$F:$F,'06. BC BH THEO CUSTOMER-USD'!$H224,'01. KE30'!$A:$A,'06. BC BH THEO CUSTOMER-USD'!DA$4)/1000</f>
        <v>0</v>
      </c>
      <c r="DB224" s="114">
        <f>SUMIFS('01. KE30'!$I:$I,'01. KE30'!$C:$C,'06. BC BH THEO CUSTOMER-USD'!$D224,'01. KE30'!$F:$F,'06. BC BH THEO CUSTOMER-USD'!$H224,'01. KE30'!$A:$A,'06. BC BH THEO CUSTOMER-USD'!DB$4)/1000</f>
        <v>0</v>
      </c>
      <c r="DC224" s="114">
        <f>SUMIFS('01. KE30'!$I:$I,'01. KE30'!$C:$C,'06. BC BH THEO CUSTOMER-USD'!$D224,'01. KE30'!$F:$F,'06. BC BH THEO CUSTOMER-USD'!$H224,'01. KE30'!$A:$A,'06. BC BH THEO CUSTOMER-USD'!DC$4)/1000</f>
        <v>0</v>
      </c>
      <c r="DD224" s="114">
        <f>SUMIFS('01. KE30'!$I:$I,'01. KE30'!$C:$C,'06. BC BH THEO CUSTOMER-USD'!$D224,'01. KE30'!$F:$F,'06. BC BH THEO CUSTOMER-USD'!$H224,'01. KE30'!$A:$A,'06. BC BH THEO CUSTOMER-USD'!DD$4)/1000</f>
        <v>0</v>
      </c>
      <c r="DF224" s="112">
        <f t="shared" si="2855"/>
        <v>24729.307476093189</v>
      </c>
      <c r="DG224" s="54" t="str">
        <f t="shared" si="2856"/>
        <v>-</v>
      </c>
      <c r="DH224" s="54" t="str">
        <f t="shared" si="2857"/>
        <v>-</v>
      </c>
      <c r="DI224" s="54">
        <f t="shared" si="2858"/>
        <v>3827.6465354330712</v>
      </c>
      <c r="DJ224" s="54" t="str">
        <f t="shared" si="2859"/>
        <v>-</v>
      </c>
      <c r="DK224" s="54">
        <f t="shared" si="2860"/>
        <v>14138.631090487241</v>
      </c>
      <c r="DL224" s="54" t="str">
        <f t="shared" si="2861"/>
        <v>-</v>
      </c>
      <c r="DM224" s="54">
        <f t="shared" si="2862"/>
        <v>6763.0298501728766</v>
      </c>
      <c r="DN224" s="54" t="str">
        <f t="shared" si="2863"/>
        <v>-</v>
      </c>
      <c r="DO224" s="54" t="str">
        <f t="shared" si="2864"/>
        <v>-</v>
      </c>
      <c r="DP224" s="54" t="str">
        <f t="shared" si="2865"/>
        <v>-</v>
      </c>
      <c r="DQ224" s="54" t="str">
        <f t="shared" si="2866"/>
        <v>-</v>
      </c>
      <c r="DR224" s="54" t="str">
        <f t="shared" si="2867"/>
        <v>-</v>
      </c>
      <c r="DT224" s="112">
        <f t="shared" si="2868"/>
        <v>-3080.0521325417153</v>
      </c>
      <c r="DU224" s="114">
        <f>IFERROR(SUMIFS('01. KE30'!$X:$X,'01. KE30'!$C:$C,'06. BC BH THEO CUSTOMER-USD'!$D224,'01. KE30'!$F:$F,'06. BC BH THEO CUSTOMER-USD'!$H224,'01. KE30'!$A:$A,'06. BC BH THEO CUSTOMER-USD'!DU$4)-SUMIFS('01. KE30'!$AA:$AA,'01. KE30'!$C:$C,'06. BC BH THEO CUSTOMER-USD'!$D224,'01. KE30'!$F:$F,'06. BC BH THEO CUSTOMER-USD'!$H224,'01. KE30'!$A:$A,'06. BC BH THEO CUSTOMER-USD'!DU$4),"-")</f>
        <v>0</v>
      </c>
      <c r="DV224" s="114">
        <f>IFERROR(SUMIFS('01. KE30'!$X:$X,'01. KE30'!$C:$C,'06. BC BH THEO CUSTOMER-USD'!$D224,'01. KE30'!$F:$F,'06. BC BH THEO CUSTOMER-USD'!$H224,'01. KE30'!$A:$A,'06. BC BH THEO CUSTOMER-USD'!DV$4)-SUMIFS('01. KE30'!$AA:$AA,'01. KE30'!$C:$C,'06. BC BH THEO CUSTOMER-USD'!$D224,'01. KE30'!$F:$F,'06. BC BH THEO CUSTOMER-USD'!$H224,'01. KE30'!$A:$A,'06. BC BH THEO CUSTOMER-USD'!DV$4),"-")</f>
        <v>0</v>
      </c>
      <c r="DW224" s="114">
        <f>IFERROR(SUMIFS('01. KE30'!$X:$X,'01. KE30'!$C:$C,'06. BC BH THEO CUSTOMER-USD'!$D224,'01. KE30'!$F:$F,'06. BC BH THEO CUSTOMER-USD'!$H224,'01. KE30'!$A:$A,'06. BC BH THEO CUSTOMER-USD'!DW$4)-SUMIFS('01. KE30'!$AA:$AA,'01. KE30'!$C:$C,'06. BC BH THEO CUSTOMER-USD'!$D224,'01. KE30'!$F:$F,'06. BC BH THEO CUSTOMER-USD'!$H224,'01. KE30'!$A:$A,'06. BC BH THEO CUSTOMER-USD'!DW$4),"-")</f>
        <v>-385.42905511811068</v>
      </c>
      <c r="DX224" s="114">
        <f>IFERROR(SUMIFS('01. KE30'!$X:$X,'01. KE30'!$C:$C,'06. BC BH THEO CUSTOMER-USD'!$D224,'01. KE30'!$F:$F,'06. BC BH THEO CUSTOMER-USD'!$H224,'01. KE30'!$A:$A,'06. BC BH THEO CUSTOMER-USD'!DX$4)-SUMIFS('01. KE30'!$AA:$AA,'01. KE30'!$C:$C,'06. BC BH THEO CUSTOMER-USD'!$D224,'01. KE30'!$F:$F,'06. BC BH THEO CUSTOMER-USD'!$H224,'01. KE30'!$A:$A,'06. BC BH THEO CUSTOMER-USD'!DX$4),"-")</f>
        <v>0</v>
      </c>
      <c r="DY224" s="114">
        <f>IFERROR(SUMIFS('01. KE30'!$X:$X,'01. KE30'!$C:$C,'06. BC BH THEO CUSTOMER-USD'!$D224,'01. KE30'!$F:$F,'06. BC BH THEO CUSTOMER-USD'!$H224,'01. KE30'!$A:$A,'06. BC BH THEO CUSTOMER-USD'!DY$4)-SUMIFS('01. KE30'!$AA:$AA,'01. KE30'!$C:$C,'06. BC BH THEO CUSTOMER-USD'!$D224,'01. KE30'!$F:$F,'06. BC BH THEO CUSTOMER-USD'!$H224,'01. KE30'!$A:$A,'06. BC BH THEO CUSTOMER-USD'!DY$4),"-")</f>
        <v>-1822.739443155453</v>
      </c>
      <c r="DZ224" s="114">
        <f>IFERROR(SUMIFS('01. KE30'!$X:$X,'01. KE30'!$C:$C,'06. BC BH THEO CUSTOMER-USD'!$D224,'01. KE30'!$F:$F,'06. BC BH THEO CUSTOMER-USD'!$H224,'01. KE30'!$A:$A,'06. BC BH THEO CUSTOMER-USD'!DZ$4)-SUMIFS('01. KE30'!$AA:$AA,'01. KE30'!$C:$C,'06. BC BH THEO CUSTOMER-USD'!$D224,'01. KE30'!$F:$F,'06. BC BH THEO CUSTOMER-USD'!$H224,'01. KE30'!$A:$A,'06. BC BH THEO CUSTOMER-USD'!DZ$4),"-")</f>
        <v>0</v>
      </c>
      <c r="EA224" s="114">
        <f>IFERROR(SUMIFS('01. KE30'!$X:$X,'01. KE30'!$C:$C,'06. BC BH THEO CUSTOMER-USD'!$D224,'01. KE30'!$F:$F,'06. BC BH THEO CUSTOMER-USD'!$H224,'01. KE30'!$A:$A,'06. BC BH THEO CUSTOMER-USD'!EA$4)-SUMIFS('01. KE30'!$AA:$AA,'01. KE30'!$C:$C,'06. BC BH THEO CUSTOMER-USD'!$D224,'01. KE30'!$F:$F,'06. BC BH THEO CUSTOMER-USD'!$H224,'01. KE30'!$A:$A,'06. BC BH THEO CUSTOMER-USD'!EA$4),"-")</f>
        <v>-871.88363426815158</v>
      </c>
      <c r="EB224" s="114">
        <f>IFERROR(SUMIFS('01. KE30'!$X:$X,'01. KE30'!$C:$C,'06. BC BH THEO CUSTOMER-USD'!$D224,'01. KE30'!$F:$F,'06. BC BH THEO CUSTOMER-USD'!$H224,'01. KE30'!$A:$A,'06. BC BH THEO CUSTOMER-USD'!EB$4)-SUMIFS('01. KE30'!$AA:$AA,'01. KE30'!$C:$C,'06. BC BH THEO CUSTOMER-USD'!$D224,'01. KE30'!$F:$F,'06. BC BH THEO CUSTOMER-USD'!$H224,'01. KE30'!$A:$A,'06. BC BH THEO CUSTOMER-USD'!EB$4),"-")</f>
        <v>0</v>
      </c>
      <c r="EC224" s="114">
        <f>IFERROR(SUMIFS('01. KE30'!$X:$X,'01. KE30'!$C:$C,'06. BC BH THEO CUSTOMER-USD'!$D224,'01. KE30'!$F:$F,'06. BC BH THEO CUSTOMER-USD'!$H224,'01. KE30'!$A:$A,'06. BC BH THEO CUSTOMER-USD'!EC$4)-SUMIFS('01. KE30'!$AA:$AA,'01. KE30'!$C:$C,'06. BC BH THEO CUSTOMER-USD'!$D224,'01. KE30'!$F:$F,'06. BC BH THEO CUSTOMER-USD'!$H224,'01. KE30'!$A:$A,'06. BC BH THEO CUSTOMER-USD'!EC$4),"-")</f>
        <v>0</v>
      </c>
      <c r="ED224" s="114">
        <f>IFERROR(SUMIFS('01. KE30'!$X:$X,'01. KE30'!$C:$C,'06. BC BH THEO CUSTOMER-USD'!$D224,'01. KE30'!$F:$F,'06. BC BH THEO CUSTOMER-USD'!$H224,'01. KE30'!$A:$A,'06. BC BH THEO CUSTOMER-USD'!ED$4)-SUMIFS('01. KE30'!$AA:$AA,'01. KE30'!$C:$C,'06. BC BH THEO CUSTOMER-USD'!$D224,'01. KE30'!$F:$F,'06. BC BH THEO CUSTOMER-USD'!$H224,'01. KE30'!$A:$A,'06. BC BH THEO CUSTOMER-USD'!ED$4),"-")</f>
        <v>0</v>
      </c>
      <c r="EE224" s="114">
        <f>IFERROR(SUMIFS('01. KE30'!$X:$X,'01. KE30'!$C:$C,'06. BC BH THEO CUSTOMER-USD'!$D224,'01. KE30'!$F:$F,'06. BC BH THEO CUSTOMER-USD'!$H224,'01. KE30'!$A:$A,'06. BC BH THEO CUSTOMER-USD'!EE$4)-SUMIFS('01. KE30'!$AA:$AA,'01. KE30'!$C:$C,'06. BC BH THEO CUSTOMER-USD'!$D224,'01. KE30'!$F:$F,'06. BC BH THEO CUSTOMER-USD'!$H224,'01. KE30'!$A:$A,'06. BC BH THEO CUSTOMER-USD'!EE$4),"-")</f>
        <v>0</v>
      </c>
      <c r="EF224" s="114">
        <f>IFERROR(SUMIFS('01. KE30'!$X:$X,'01. KE30'!$C:$C,'06. BC BH THEO CUSTOMER-USD'!$D224,'01. KE30'!$F:$F,'06. BC BH THEO CUSTOMER-USD'!$H224,'01. KE30'!$A:$A,'06. BC BH THEO CUSTOMER-USD'!EF$4)-SUMIFS('01. KE30'!$AA:$AA,'01. KE30'!$C:$C,'06. BC BH THEO CUSTOMER-USD'!$D224,'01. KE30'!$F:$F,'06. BC BH THEO CUSTOMER-USD'!$H224,'01. KE30'!$A:$A,'06. BC BH THEO CUSTOMER-USD'!EF$4),"-")</f>
        <v>0</v>
      </c>
      <c r="EH224" s="571">
        <f t="shared" si="1737"/>
        <v>-0.12455068284946212</v>
      </c>
      <c r="EI224" s="572" t="str">
        <f t="shared" si="1738"/>
        <v>-</v>
      </c>
      <c r="EJ224" s="572" t="str">
        <f t="shared" si="1739"/>
        <v>-</v>
      </c>
      <c r="EK224" s="572">
        <f t="shared" si="1740"/>
        <v>-0.10069609394444833</v>
      </c>
      <c r="EL224" s="572" t="str">
        <f t="shared" si="1741"/>
        <v>-</v>
      </c>
      <c r="EM224" s="572">
        <f t="shared" si="1742"/>
        <v>-0.12891908923076925</v>
      </c>
      <c r="EN224" s="572" t="str">
        <f t="shared" si="1743"/>
        <v>-</v>
      </c>
      <c r="EO224" s="572">
        <f t="shared" si="1744"/>
        <v>-0.1289190870931709</v>
      </c>
      <c r="EP224" s="572" t="str">
        <f t="shared" si="1745"/>
        <v>-</v>
      </c>
      <c r="EQ224" s="572" t="str">
        <f t="shared" si="1746"/>
        <v>-</v>
      </c>
      <c r="ER224" s="572" t="str">
        <f t="shared" si="1747"/>
        <v>-</v>
      </c>
      <c r="ES224" s="572" t="str">
        <f t="shared" si="1748"/>
        <v>-</v>
      </c>
      <c r="ET224" s="572" t="str">
        <f t="shared" si="1749"/>
        <v>-</v>
      </c>
    </row>
    <row r="225" spans="1:150" ht="15.5" outlineLevel="1" x14ac:dyDescent="0.35">
      <c r="A225" s="10">
        <f>A224+1</f>
        <v>3</v>
      </c>
      <c r="B225" s="10" t="s">
        <v>269</v>
      </c>
      <c r="C225" s="442" t="s">
        <v>489</v>
      </c>
      <c r="D225" s="9" t="s">
        <v>965</v>
      </c>
      <c r="E225" s="8" t="s">
        <v>966</v>
      </c>
      <c r="F225" s="12" t="s">
        <v>245</v>
      </c>
      <c r="G225" s="12" t="str">
        <f>_xlfn.XLOOKUP(F225,'Quy đổi'!$G$5:$G$32,'Quy đổi'!$H$5:$H$32,0)</f>
        <v>Nội địa</v>
      </c>
      <c r="H225" s="80" t="s">
        <v>19</v>
      </c>
      <c r="I225" s="7" t="s">
        <v>18</v>
      </c>
      <c r="J225" s="69" t="s">
        <v>22</v>
      </c>
      <c r="K225" s="5"/>
      <c r="L225" s="92">
        <f t="shared" ref="L225" si="2869">IFERROR(AVERAGE(M225:X225),"-")</f>
        <v>619.89252524986432</v>
      </c>
      <c r="M225" s="106" t="str">
        <f>IFERROR(SUMIFS('01. KE30'!$K:$K,'01. KE30'!$C:$C,'06. BC BH THEO CUSTOMER-USD'!$D225,'01. KE30'!$F:$F,'06. BC BH THEO CUSTOMER-USD'!$H225,'01. KE30'!$A:$A,'06. BC BH THEO CUSTOMER-USD'!M$4)/'06. BC BH THEO CUSTOMER-USD'!CS225/'02. Tỷ giá'!B$5,"-")</f>
        <v>-</v>
      </c>
      <c r="N225" s="106" t="str">
        <f>IFERROR(SUMIFS('01. KE30'!$K:$K,'01. KE30'!$C:$C,'06. BC BH THEO CUSTOMER-USD'!$D225,'01. KE30'!$F:$F,'06. BC BH THEO CUSTOMER-USD'!$H225,'01. KE30'!$A:$A,'06. BC BH THEO CUSTOMER-USD'!N$4)/'06. BC BH THEO CUSTOMER-USD'!CT225/'02. Tỷ giá'!C$5,"-")</f>
        <v>-</v>
      </c>
      <c r="O225" s="106" t="str">
        <f>IFERROR(SUMIFS('01. KE30'!$K:$K,'01. KE30'!$C:$C,'06. BC BH THEO CUSTOMER-USD'!$D225,'01. KE30'!$F:$F,'06. BC BH THEO CUSTOMER-USD'!$H225,'01. KE30'!$A:$A,'06. BC BH THEO CUSTOMER-USD'!O$4)/'06. BC BH THEO CUSTOMER-USD'!CU225/'02. Tỷ giá'!D$5,"-")</f>
        <v>-</v>
      </c>
      <c r="P225" s="106" t="str">
        <f>IFERROR(SUMIFS('01. KE30'!$K:$K,'01. KE30'!$C:$C,'06. BC BH THEO CUSTOMER-USD'!$D225,'01. KE30'!$F:$F,'06. BC BH THEO CUSTOMER-USD'!$H225,'01. KE30'!$A:$A,'06. BC BH THEO CUSTOMER-USD'!P$4)/'06. BC BH THEO CUSTOMER-USD'!CV225/'02. Tỷ giá'!E$5,"-")</f>
        <v>-</v>
      </c>
      <c r="Q225" s="106" t="str">
        <f>IFERROR(SUMIFS('01. KE30'!$K:$K,'01. KE30'!$C:$C,'06. BC BH THEO CUSTOMER-USD'!$D225,'01. KE30'!$F:$F,'06. BC BH THEO CUSTOMER-USD'!$H225,'01. KE30'!$A:$A,'06. BC BH THEO CUSTOMER-USD'!Q$4)/'06. BC BH THEO CUSTOMER-USD'!CW225/'02. Tỷ giá'!F$5,"-")</f>
        <v>-</v>
      </c>
      <c r="R225" s="106" t="str">
        <f>IFERROR(SUMIFS('01. KE30'!$K:$K,'01. KE30'!$C:$C,'06. BC BH THEO CUSTOMER-USD'!$D225,'01. KE30'!$F:$F,'06. BC BH THEO CUSTOMER-USD'!$H225,'01. KE30'!$A:$A,'06. BC BH THEO CUSTOMER-USD'!R$4)/'06. BC BH THEO CUSTOMER-USD'!CX225/'02. Tỷ giá'!G$5,"-")</f>
        <v>-</v>
      </c>
      <c r="S225" s="106">
        <f>IFERROR(SUMIFS('01. KE30'!$K:$K,'01. KE30'!$C:$C,'06. BC BH THEO CUSTOMER-USD'!$D225,'01. KE30'!$F:$F,'06. BC BH THEO CUSTOMER-USD'!$H225,'01. KE30'!$A:$A,'06. BC BH THEO CUSTOMER-USD'!S$4)/'06. BC BH THEO CUSTOMER-USD'!CY225/'02. Tỷ giá'!H$5,"-")</f>
        <v>622.50110129337941</v>
      </c>
      <c r="T225" s="106" t="str">
        <f>IFERROR(SUMIFS('01. KE30'!$K:$K,'01. KE30'!$C:$C,'06. BC BH THEO CUSTOMER-USD'!$D225,'01. KE30'!$F:$F,'06. BC BH THEO CUSTOMER-USD'!$H225,'01. KE30'!$A:$A,'06. BC BH THEO CUSTOMER-USD'!T$4)/'06. BC BH THEO CUSTOMER-USD'!CZ225/'02. Tỷ giá'!I$5,"-")</f>
        <v>-</v>
      </c>
      <c r="U225" s="106">
        <f>IFERROR(SUMIFS('01. KE30'!$K:$K,'01. KE30'!$C:$C,'06. BC BH THEO CUSTOMER-USD'!$D225,'01. KE30'!$F:$F,'06. BC BH THEO CUSTOMER-USD'!$H225,'01. KE30'!$A:$A,'06. BC BH THEO CUSTOMER-USD'!U$4)/'06. BC BH THEO CUSTOMER-USD'!DA225/'02. Tỷ giá'!J$5,"-")</f>
        <v>617.28394920634923</v>
      </c>
      <c r="V225" s="106" t="str">
        <f>IFERROR(SUMIFS('01. KE30'!$K:$K,'01. KE30'!$C:$C,'06. BC BH THEO CUSTOMER-USD'!$D225,'01. KE30'!$F:$F,'06. BC BH THEO CUSTOMER-USD'!$H225,'01. KE30'!$A:$A,'06. BC BH THEO CUSTOMER-USD'!V$4)/'06. BC BH THEO CUSTOMER-USD'!DB225/'02. Tỷ giá'!K$5,"-")</f>
        <v>-</v>
      </c>
      <c r="W225" s="106" t="str">
        <f>IFERROR(SUMIFS('01. KE30'!$K:$K,'01. KE30'!$C:$C,'06. BC BH THEO CUSTOMER-USD'!$D225,'01. KE30'!$F:$F,'06. BC BH THEO CUSTOMER-USD'!$H225,'01. KE30'!$A:$A,'06. BC BH THEO CUSTOMER-USD'!W$4)/'06. BC BH THEO CUSTOMER-USD'!DC225/'02. Tỷ giá'!L$5,"-")</f>
        <v>-</v>
      </c>
      <c r="X225" s="106" t="str">
        <f>IFERROR(SUMIFS('01. KE30'!$K:$K,'01. KE30'!$C:$C,'06. BC BH THEO CUSTOMER-USD'!$D225,'01. KE30'!$F:$F,'06. BC BH THEO CUSTOMER-USD'!$H225,'01. KE30'!$A:$A,'06. BC BH THEO CUSTOMER-USD'!X$4)/'06. BC BH THEO CUSTOMER-USD'!DD225/'02. Tỷ giá'!M$5,"-")</f>
        <v>-</v>
      </c>
      <c r="Z225" s="92">
        <f t="shared" ref="Z225" si="2870">IFERROR(AVERAGE(AA225:AL225),"-")</f>
        <v>619.89252524986432</v>
      </c>
      <c r="AA225" s="147" t="str">
        <f>IFERROR(SUMIFS('01. KE30'!$O:$O,'01. KE30'!$C:$C,'06. BC BH THEO CUSTOMER-USD'!$D225,'01. KE30'!$F:$F,'06. BC BH THEO CUSTOMER-USD'!$H225,'01. KE30'!$A:$A,'06. BC BH THEO CUSTOMER-USD'!M$4)/'06. BC BH THEO CUSTOMER-USD'!CS225/'02. Tỷ giá'!B$5,"-")</f>
        <v>-</v>
      </c>
      <c r="AB225" s="147" t="str">
        <f>IFERROR(SUMIFS('01. KE30'!$O:$O,'01. KE30'!$C:$C,'06. BC BH THEO CUSTOMER-USD'!$D225,'01. KE30'!$F:$F,'06. BC BH THEO CUSTOMER-USD'!$H225,'01. KE30'!$A:$A,'06. BC BH THEO CUSTOMER-USD'!N$4)/'06. BC BH THEO CUSTOMER-USD'!CT225/'02. Tỷ giá'!C$5,"-")</f>
        <v>-</v>
      </c>
      <c r="AC225" s="147" t="str">
        <f>IFERROR(SUMIFS('01. KE30'!$O:$O,'01. KE30'!$C:$C,'06. BC BH THEO CUSTOMER-USD'!$D225,'01. KE30'!$F:$F,'06. BC BH THEO CUSTOMER-USD'!$H225,'01. KE30'!$A:$A,'06. BC BH THEO CUSTOMER-USD'!O$4)/'06. BC BH THEO CUSTOMER-USD'!CU225/'02. Tỷ giá'!D$5,"-")</f>
        <v>-</v>
      </c>
      <c r="AD225" s="147" t="str">
        <f>IFERROR(SUMIFS('01. KE30'!$O:$O,'01. KE30'!$C:$C,'06. BC BH THEO CUSTOMER-USD'!$D225,'01. KE30'!$F:$F,'06. BC BH THEO CUSTOMER-USD'!$H225,'01. KE30'!$A:$A,'06. BC BH THEO CUSTOMER-USD'!P$4)/'06. BC BH THEO CUSTOMER-USD'!CV225/'02. Tỷ giá'!E$5,"-")</f>
        <v>-</v>
      </c>
      <c r="AE225" s="147" t="str">
        <f>IFERROR(SUMIFS('01. KE30'!$O:$O,'01. KE30'!$C:$C,'06. BC BH THEO CUSTOMER-USD'!$D225,'01. KE30'!$F:$F,'06. BC BH THEO CUSTOMER-USD'!$H225,'01. KE30'!$A:$A,'06. BC BH THEO CUSTOMER-USD'!Q$4)/'06. BC BH THEO CUSTOMER-USD'!CW225/'02. Tỷ giá'!F$5,"-")</f>
        <v>-</v>
      </c>
      <c r="AF225" s="147" t="str">
        <f>IFERROR(SUMIFS('01. KE30'!$O:$O,'01. KE30'!$C:$C,'06. BC BH THEO CUSTOMER-USD'!$D225,'01. KE30'!$F:$F,'06. BC BH THEO CUSTOMER-USD'!$H225,'01. KE30'!$A:$A,'06. BC BH THEO CUSTOMER-USD'!R$4)/'06. BC BH THEO CUSTOMER-USD'!CX225/'02. Tỷ giá'!G$5,"-")</f>
        <v>-</v>
      </c>
      <c r="AG225" s="147">
        <f>IFERROR(SUMIFS('01. KE30'!$O:$O,'01. KE30'!$C:$C,'06. BC BH THEO CUSTOMER-USD'!$D225,'01. KE30'!$F:$F,'06. BC BH THEO CUSTOMER-USD'!$H225,'01. KE30'!$A:$A,'06. BC BH THEO CUSTOMER-USD'!S$4)/'06. BC BH THEO CUSTOMER-USD'!CY225/'02. Tỷ giá'!H$5,"-")</f>
        <v>622.50110129337941</v>
      </c>
      <c r="AH225" s="147" t="str">
        <f>IFERROR(SUMIFS('01. KE30'!$O:$O,'01. KE30'!$C:$C,'06. BC BH THEO CUSTOMER-USD'!$D225,'01. KE30'!$F:$F,'06. BC BH THEO CUSTOMER-USD'!$H225,'01. KE30'!$A:$A,'06. BC BH THEO CUSTOMER-USD'!T$4)/'06. BC BH THEO CUSTOMER-USD'!CZ225/'02. Tỷ giá'!I$5,"-")</f>
        <v>-</v>
      </c>
      <c r="AI225" s="147">
        <f>IFERROR(SUMIFS('01. KE30'!$O:$O,'01. KE30'!$C:$C,'06. BC BH THEO CUSTOMER-USD'!$D225,'01. KE30'!$F:$F,'06. BC BH THEO CUSTOMER-USD'!$H225,'01. KE30'!$A:$A,'06. BC BH THEO CUSTOMER-USD'!U$4)/'06. BC BH THEO CUSTOMER-USD'!DA225/'02. Tỷ giá'!J$5,"-")</f>
        <v>617.28394920634923</v>
      </c>
      <c r="AJ225" s="147" t="str">
        <f>IFERROR(SUMIFS('01. KE30'!$O:$O,'01. KE30'!$C:$C,'06. BC BH THEO CUSTOMER-USD'!$D225,'01. KE30'!$F:$F,'06. BC BH THEO CUSTOMER-USD'!$H225,'01. KE30'!$A:$A,'06. BC BH THEO CUSTOMER-USD'!V$4)/'06. BC BH THEO CUSTOMER-USD'!DB225/'02. Tỷ giá'!K$5,"-")</f>
        <v>-</v>
      </c>
      <c r="AK225" s="147" t="str">
        <f>IFERROR(SUMIFS('01. KE30'!$O:$O,'01. KE30'!$C:$C,'06. BC BH THEO CUSTOMER-USD'!$D225,'01. KE30'!$F:$F,'06. BC BH THEO CUSTOMER-USD'!$H225,'01. KE30'!$A:$A,'06. BC BH THEO CUSTOMER-USD'!W$4)/'06. BC BH THEO CUSTOMER-USD'!DC225/'02. Tỷ giá'!L$5,"-")</f>
        <v>-</v>
      </c>
      <c r="AL225" s="147" t="str">
        <f>IFERROR(SUMIFS('01. KE30'!$O:$O,'01. KE30'!$C:$C,'06. BC BH THEO CUSTOMER-USD'!$D225,'01. KE30'!$F:$F,'06. BC BH THEO CUSTOMER-USD'!$H225,'01. KE30'!$A:$A,'06. BC BH THEO CUSTOMER-USD'!X$4)/'06. BC BH THEO CUSTOMER-USD'!DD225/'02. Tỷ giá'!M$5,"-")</f>
        <v>-</v>
      </c>
      <c r="AN225" s="92">
        <f t="shared" ref="AN225" si="2871">IFERROR(AVERAGE(AO225:AZ225),"-")</f>
        <v>748.88888888888891</v>
      </c>
      <c r="AO225" s="4">
        <v>855</v>
      </c>
      <c r="AP225" s="4">
        <v>780</v>
      </c>
      <c r="AQ225" s="4">
        <v>790</v>
      </c>
      <c r="AR225" s="4">
        <v>785</v>
      </c>
      <c r="AS225" s="4">
        <v>765</v>
      </c>
      <c r="AT225" s="4">
        <v>765</v>
      </c>
      <c r="AU225" s="4">
        <v>680</v>
      </c>
      <c r="AV225" s="4">
        <f t="shared" si="2518"/>
        <v>660</v>
      </c>
      <c r="AW225" s="4">
        <v>660</v>
      </c>
      <c r="AX225" s="4"/>
      <c r="AY225" s="4"/>
      <c r="AZ225" s="4"/>
      <c r="BB225" s="95">
        <f t="shared" ref="BB225" si="2872">IF(L225&lt;&gt;"-",Z225-AN225,"-")</f>
        <v>-128.99636363902459</v>
      </c>
      <c r="BC225" s="95" t="str">
        <f t="shared" ref="BC225" si="2873">IF(M225&lt;&gt;"-",AA225-AO225,"-")</f>
        <v>-</v>
      </c>
      <c r="BD225" s="95" t="str">
        <f t="shared" ref="BD225" si="2874">IF(N225&lt;&gt;"-",AB225-AP225,"-")</f>
        <v>-</v>
      </c>
      <c r="BE225" s="95" t="str">
        <f t="shared" ref="BE225" si="2875">IF(O225&lt;&gt;"-",AC225-AQ225,"-")</f>
        <v>-</v>
      </c>
      <c r="BF225" s="95" t="str">
        <f t="shared" ref="BF225" si="2876">IF(P225&lt;&gt;"-",AD225-AR225,"-")</f>
        <v>-</v>
      </c>
      <c r="BG225" s="95" t="str">
        <f t="shared" ref="BG225" si="2877">IF(Q225&lt;&gt;"-",AE225-AS225,"-")</f>
        <v>-</v>
      </c>
      <c r="BH225" s="95" t="str">
        <f t="shared" ref="BH225" si="2878">IF(R225&lt;&gt;"-",AF225-AT225,"-")</f>
        <v>-</v>
      </c>
      <c r="BI225" s="95">
        <f t="shared" ref="BI225" si="2879">IF(S225&lt;&gt;"-",AG225-AU225,"-")</f>
        <v>-57.498898706620594</v>
      </c>
      <c r="BJ225" s="95" t="str">
        <f t="shared" ref="BJ225" si="2880">IF(T225&lt;&gt;"-",AH225-AV225,"-")</f>
        <v>-</v>
      </c>
      <c r="BK225" s="95">
        <f t="shared" ref="BK225" si="2881">IF(U225&lt;&gt;"-",AI225-AW225,"-")</f>
        <v>-42.716050793650766</v>
      </c>
      <c r="BL225" s="95" t="str">
        <f t="shared" ref="BL225" si="2882">IF(V225&lt;&gt;"-",AJ225-AX225,"-")</f>
        <v>-</v>
      </c>
      <c r="BM225" s="95" t="str">
        <f t="shared" ref="BM225" si="2883">IF(W225&lt;&gt;"-",AK225-AY225,"-")</f>
        <v>-</v>
      </c>
      <c r="BN225" s="95" t="str">
        <f t="shared" ref="BN225" si="2884">IF(X225&lt;&gt;"-",AL225-AZ225,"-")</f>
        <v>-</v>
      </c>
      <c r="BP225" s="143">
        <f t="shared" ref="BP225" si="2885">IFERROR(IF(BB225&lt;&gt;"-",BB225/AN225,"-"),"-")</f>
        <v>-0.17225033720344529</v>
      </c>
      <c r="BQ225" s="143" t="str">
        <f t="shared" ref="BQ225" si="2886">IFERROR(IF(BC225&lt;&gt;"-",BC225/AO225,"-"),"-")</f>
        <v>-</v>
      </c>
      <c r="BR225" s="143" t="str">
        <f t="shared" ref="BR225" si="2887">IFERROR(IF(BD225&lt;&gt;"-",BD225/AP225,"-"),"-")</f>
        <v>-</v>
      </c>
      <c r="BS225" s="143" t="str">
        <f t="shared" ref="BS225" si="2888">IFERROR(IF(BE225&lt;&gt;"-",BE225/AQ225,"-"),"-")</f>
        <v>-</v>
      </c>
      <c r="BT225" s="143" t="str">
        <f t="shared" ref="BT225" si="2889">IFERROR(IF(BF225&lt;&gt;"-",BF225/AR225,"-"),"-")</f>
        <v>-</v>
      </c>
      <c r="BU225" s="143" t="str">
        <f t="shared" ref="BU225" si="2890">IFERROR(IF(BG225&lt;&gt;"-",BG225/AS225,"-"),"-")</f>
        <v>-</v>
      </c>
      <c r="BV225" s="143" t="str">
        <f t="shared" ref="BV225" si="2891">IFERROR(IF(BH225&lt;&gt;"-",BH225/AT225,"-"),"-")</f>
        <v>-</v>
      </c>
      <c r="BW225" s="143">
        <f t="shared" ref="BW225" si="2892">IFERROR(IF(BI225&lt;&gt;"-",BI225/AU225,"-"),"-")</f>
        <v>-8.4557203980324402E-2</v>
      </c>
      <c r="BX225" s="143" t="str">
        <f t="shared" ref="BX225" si="2893">IFERROR(IF(BJ225&lt;&gt;"-",BJ225/AV225,"-"),"-")</f>
        <v>-</v>
      </c>
      <c r="BY225" s="143">
        <f t="shared" ref="BY225" si="2894">IFERROR(IF(BK225&lt;&gt;"-",BK225/AW225,"-"),"-")</f>
        <v>-6.4721289081289032E-2</v>
      </c>
      <c r="BZ225" s="143" t="str">
        <f t="shared" ref="BZ225" si="2895">IFERROR(IF(BL225&lt;&gt;"-",BL225/AX225,"-"),"-")</f>
        <v>-</v>
      </c>
      <c r="CA225" s="143" t="str">
        <f t="shared" ref="CA225" si="2896">IFERROR(IF(BM225&lt;&gt;"-",BM225/AY225,"-"),"-")</f>
        <v>-</v>
      </c>
      <c r="CB225" s="143" t="str">
        <f t="shared" ref="CB225" si="2897">IFERROR(IF(BN225&lt;&gt;"-",BN225/AZ225,"-"),"-")</f>
        <v>-</v>
      </c>
      <c r="CD225" s="112">
        <f t="shared" ref="CD225" si="2898">IFERROR(AVERAGE(CE225:CP225),"-")</f>
        <v>779.78662484312963</v>
      </c>
      <c r="CE225" s="95" t="str">
        <f>IFERROR(SUMIFS('01. KE30'!$R:$R,'01. KE30'!$C:$C,'06. BC BH THEO CUSTOMER-USD'!$D225,'01. KE30'!$F:$F,'06. BC BH THEO CUSTOMER-USD'!$H225,'01. KE30'!$A:$A,'06. BC BH THEO CUSTOMER-USD'!CE$4)/CS225/'02. Tỷ giá'!B$5," -")</f>
        <v xml:space="preserve"> -</v>
      </c>
      <c r="CF225" s="95" t="str">
        <f>IFERROR(SUMIFS('01. KE30'!$R:$R,'01. KE30'!$C:$C,'06. BC BH THEO CUSTOMER-USD'!$D225,'01. KE30'!$F:$F,'06. BC BH THEO CUSTOMER-USD'!$H225,'01. KE30'!$A:$A,'06. BC BH THEO CUSTOMER-USD'!CF$4)/CT225/'02. Tỷ giá'!C$5," -")</f>
        <v xml:space="preserve"> -</v>
      </c>
      <c r="CG225" s="95" t="str">
        <f>IFERROR(SUMIFS('01. KE30'!$R:$R,'01. KE30'!$C:$C,'06. BC BH THEO CUSTOMER-USD'!$D225,'01. KE30'!$F:$F,'06. BC BH THEO CUSTOMER-USD'!$H225,'01. KE30'!$A:$A,'06. BC BH THEO CUSTOMER-USD'!CG$4)/CU225/'02. Tỷ giá'!D$5," -")</f>
        <v xml:space="preserve"> -</v>
      </c>
      <c r="CH225" s="95" t="str">
        <f>IFERROR(SUMIFS('01. KE30'!$R:$R,'01. KE30'!$C:$C,'06. BC BH THEO CUSTOMER-USD'!$D225,'01. KE30'!$F:$F,'06. BC BH THEO CUSTOMER-USD'!$H225,'01. KE30'!$A:$A,'06. BC BH THEO CUSTOMER-USD'!CH$4)/CV225/'02. Tỷ giá'!E$5," -")</f>
        <v xml:space="preserve"> -</v>
      </c>
      <c r="CI225" s="95" t="str">
        <f>IFERROR(SUMIFS('01. KE30'!$R:$R,'01. KE30'!$C:$C,'06. BC BH THEO CUSTOMER-USD'!$D225,'01. KE30'!$F:$F,'06. BC BH THEO CUSTOMER-USD'!$H225,'01. KE30'!$A:$A,'06. BC BH THEO CUSTOMER-USD'!CI$4)/CW225/'02. Tỷ giá'!F$5," -")</f>
        <v xml:space="preserve"> -</v>
      </c>
      <c r="CJ225" s="95" t="str">
        <f>IFERROR(SUMIFS('01. KE30'!$R:$R,'01. KE30'!$C:$C,'06. BC BH THEO CUSTOMER-USD'!$D225,'01. KE30'!$F:$F,'06. BC BH THEO CUSTOMER-USD'!$H225,'01. KE30'!$A:$A,'06. BC BH THEO CUSTOMER-USD'!CJ$4)/CX225/'02. Tỷ giá'!G$5," -")</f>
        <v xml:space="preserve"> -</v>
      </c>
      <c r="CK225" s="95">
        <f>IFERROR(SUMIFS('01. KE30'!$R:$R,'01. KE30'!$C:$C,'06. BC BH THEO CUSTOMER-USD'!$D225,'01. KE30'!$F:$F,'06. BC BH THEO CUSTOMER-USD'!$H225,'01. KE30'!$A:$A,'06. BC BH THEO CUSTOMER-USD'!CK$4)/CY225/'02. Tỷ giá'!H$5," -")</f>
        <v>783.06804968625943</v>
      </c>
      <c r="CL225" s="95" t="str">
        <f>IFERROR(SUMIFS('01. KE30'!$R:$R,'01. KE30'!$C:$C,'06. BC BH THEO CUSTOMER-USD'!$D225,'01. KE30'!$F:$F,'06. BC BH THEO CUSTOMER-USD'!$H225,'01. KE30'!$A:$A,'06. BC BH THEO CUSTOMER-USD'!CL$4)/CZ225/'02. Tỷ giá'!I$5," -")</f>
        <v xml:space="preserve"> -</v>
      </c>
      <c r="CM225" s="95">
        <f>IFERROR(SUMIFS('01. KE30'!$R:$R,'01. KE30'!$C:$C,'06. BC BH THEO CUSTOMER-USD'!$D225,'01. KE30'!$F:$F,'06. BC BH THEO CUSTOMER-USD'!$H225,'01. KE30'!$A:$A,'06. BC BH THEO CUSTOMER-USD'!CM$4)/DA225/'02. Tỷ giá'!J$5," -")</f>
        <v>776.50519999999995</v>
      </c>
      <c r="CN225" s="95" t="str">
        <f>IFERROR(SUMIFS('01. KE30'!$R:$R,'01. KE30'!$C:$C,'06. BC BH THEO CUSTOMER-USD'!$D225,'01. KE30'!$F:$F,'06. BC BH THEO CUSTOMER-USD'!$H225,'01. KE30'!$A:$A,'06. BC BH THEO CUSTOMER-USD'!CN$4)/DB225/'02. Tỷ giá'!K$5," -")</f>
        <v xml:space="preserve"> -</v>
      </c>
      <c r="CO225" s="95" t="str">
        <f>IFERROR(SUMIFS('01. KE30'!$R:$R,'01. KE30'!$C:$C,'06. BC BH THEO CUSTOMER-USD'!$D225,'01. KE30'!$F:$F,'06. BC BH THEO CUSTOMER-USD'!$H225,'01. KE30'!$A:$A,'06. BC BH THEO CUSTOMER-USD'!CO$4)/DC225/'02. Tỷ giá'!L$5," -")</f>
        <v xml:space="preserve"> -</v>
      </c>
      <c r="CP225" s="95" t="str">
        <f>IFERROR(SUMIFS('01. KE30'!$R:$R,'01. KE30'!$C:$C,'06. BC BH THEO CUSTOMER-USD'!$D225,'01. KE30'!$F:$F,'06. BC BH THEO CUSTOMER-USD'!$H225,'01. KE30'!$A:$A,'06. BC BH THEO CUSTOMER-USD'!CP$4)/DD225/'02. Tỷ giá'!M$5," -")</f>
        <v xml:space="preserve"> -</v>
      </c>
      <c r="CR225" s="112">
        <f t="shared" ref="CR225" si="2899">SUM(CS225:DD225)</f>
        <v>12</v>
      </c>
      <c r="CS225" s="114">
        <f>SUMIFS('01. KE30'!$I:$I,'01. KE30'!$C:$C,'06. BC BH THEO CUSTOMER-USD'!$D225,'01. KE30'!$F:$F,'06. BC BH THEO CUSTOMER-USD'!$H225,'01. KE30'!$A:$A,'06. BC BH THEO CUSTOMER-USD'!CS$4)/1000</f>
        <v>0</v>
      </c>
      <c r="CT225" s="114">
        <f>SUMIFS('01. KE30'!$I:$I,'01. KE30'!$C:$C,'06. BC BH THEO CUSTOMER-USD'!$D225,'01. KE30'!$F:$F,'06. BC BH THEO CUSTOMER-USD'!$H225,'01. KE30'!$A:$A,'06. BC BH THEO CUSTOMER-USD'!CT$4)/1000</f>
        <v>0</v>
      </c>
      <c r="CU225" s="114">
        <f>SUMIFS('01. KE30'!$I:$I,'01. KE30'!$C:$C,'06. BC BH THEO CUSTOMER-USD'!$D225,'01. KE30'!$F:$F,'06. BC BH THEO CUSTOMER-USD'!$H225,'01. KE30'!$A:$A,'06. BC BH THEO CUSTOMER-USD'!CU$4)/1000</f>
        <v>0</v>
      </c>
      <c r="CV225" s="114">
        <f>SUMIFS('01. KE30'!$I:$I,'01. KE30'!$C:$C,'06. BC BH THEO CUSTOMER-USD'!$D225,'01. KE30'!$F:$F,'06. BC BH THEO CUSTOMER-USD'!$H225,'01. KE30'!$A:$A,'06. BC BH THEO CUSTOMER-USD'!CV$4)/1000</f>
        <v>0</v>
      </c>
      <c r="CW225" s="114">
        <f>SUMIFS('01. KE30'!$I:$I,'01. KE30'!$C:$C,'06. BC BH THEO CUSTOMER-USD'!$D225,'01. KE30'!$F:$F,'06. BC BH THEO CUSTOMER-USD'!$H225,'01. KE30'!$A:$A,'06. BC BH THEO CUSTOMER-USD'!CW$4)/1000</f>
        <v>0</v>
      </c>
      <c r="CX225" s="114">
        <f>SUMIFS('01. KE30'!$I:$I,'01. KE30'!$C:$C,'06. BC BH THEO CUSTOMER-USD'!$D225,'01. KE30'!$F:$F,'06. BC BH THEO CUSTOMER-USD'!$H225,'01. KE30'!$A:$A,'06. BC BH THEO CUSTOMER-USD'!CX$4)/1000</f>
        <v>0</v>
      </c>
      <c r="CY225" s="114">
        <f>SUMIFS('01. KE30'!$I:$I,'01. KE30'!$C:$C,'06. BC BH THEO CUSTOMER-USD'!$D225,'01. KE30'!$F:$F,'06. BC BH THEO CUSTOMER-USD'!$H225,'01. KE30'!$A:$A,'06. BC BH THEO CUSTOMER-USD'!CY$4)/1000</f>
        <v>6</v>
      </c>
      <c r="CZ225" s="114">
        <f>SUMIFS('01. KE30'!$I:$I,'01. KE30'!$C:$C,'06. BC BH THEO CUSTOMER-USD'!$D225,'01. KE30'!$F:$F,'06. BC BH THEO CUSTOMER-USD'!$H225,'01. KE30'!$A:$A,'06. BC BH THEO CUSTOMER-USD'!CZ$4)/1000</f>
        <v>0</v>
      </c>
      <c r="DA225" s="114">
        <f>SUMIFS('01. KE30'!$I:$I,'01. KE30'!$C:$C,'06. BC BH THEO CUSTOMER-USD'!$D225,'01. KE30'!$F:$F,'06. BC BH THEO CUSTOMER-USD'!$H225,'01. KE30'!$A:$A,'06. BC BH THEO CUSTOMER-USD'!DA$4)/1000</f>
        <v>6</v>
      </c>
      <c r="DB225" s="114">
        <f>SUMIFS('01. KE30'!$I:$I,'01. KE30'!$C:$C,'06. BC BH THEO CUSTOMER-USD'!$D225,'01. KE30'!$F:$F,'06. BC BH THEO CUSTOMER-USD'!$H225,'01. KE30'!$A:$A,'06. BC BH THEO CUSTOMER-USD'!DB$4)/1000</f>
        <v>0</v>
      </c>
      <c r="DC225" s="114">
        <f>SUMIFS('01. KE30'!$I:$I,'01. KE30'!$C:$C,'06. BC BH THEO CUSTOMER-USD'!$D225,'01. KE30'!$F:$F,'06. BC BH THEO CUSTOMER-USD'!$H225,'01. KE30'!$A:$A,'06. BC BH THEO CUSTOMER-USD'!DC$4)/1000</f>
        <v>0</v>
      </c>
      <c r="DD225" s="114">
        <f>SUMIFS('01. KE30'!$I:$I,'01. KE30'!$C:$C,'06. BC BH THEO CUSTOMER-USD'!$D225,'01. KE30'!$F:$F,'06. BC BH THEO CUSTOMER-USD'!$H225,'01. KE30'!$A:$A,'06. BC BH THEO CUSTOMER-USD'!DD$4)/1000</f>
        <v>0</v>
      </c>
      <c r="DF225" s="112">
        <f t="shared" ref="DF225" si="2900">SUM(DG225:DR225)</f>
        <v>7438.7103029983718</v>
      </c>
      <c r="DG225" s="54" t="str">
        <f t="shared" ref="DG225" si="2901">IFERROR(M225*CS225,"-")</f>
        <v>-</v>
      </c>
      <c r="DH225" s="54" t="str">
        <f t="shared" ref="DH225" si="2902">IFERROR(N225*CT225,"-")</f>
        <v>-</v>
      </c>
      <c r="DI225" s="54" t="str">
        <f t="shared" ref="DI225" si="2903">IFERROR(O225*CU225,"-")</f>
        <v>-</v>
      </c>
      <c r="DJ225" s="54" t="str">
        <f t="shared" ref="DJ225" si="2904">IFERROR(P225*CV225,"-")</f>
        <v>-</v>
      </c>
      <c r="DK225" s="54" t="str">
        <f t="shared" ref="DK225" si="2905">IFERROR(Q225*CW225,"-")</f>
        <v>-</v>
      </c>
      <c r="DL225" s="54" t="str">
        <f t="shared" ref="DL225" si="2906">IFERROR(R225*CX225,"-")</f>
        <v>-</v>
      </c>
      <c r="DM225" s="54">
        <f t="shared" ref="DM225" si="2907">IFERROR(S225*CY225,"-")</f>
        <v>3735.0066077602764</v>
      </c>
      <c r="DN225" s="54" t="str">
        <f t="shared" ref="DN225" si="2908">IFERROR(T225*CZ225,"-")</f>
        <v>-</v>
      </c>
      <c r="DO225" s="54">
        <f t="shared" ref="DO225" si="2909">IFERROR(U225*DA225,"-")</f>
        <v>3703.7036952380954</v>
      </c>
      <c r="DP225" s="54" t="str">
        <f t="shared" ref="DP225" si="2910">IFERROR(V225*DB225,"-")</f>
        <v>-</v>
      </c>
      <c r="DQ225" s="54" t="str">
        <f t="shared" ref="DQ225" si="2911">IFERROR(W225*DC225,"-")</f>
        <v>-</v>
      </c>
      <c r="DR225" s="54" t="str">
        <f t="shared" ref="DR225" si="2912">IFERROR(X225*DD225,"-")</f>
        <v>-</v>
      </c>
      <c r="DT225" s="112">
        <f t="shared" ref="DT225" si="2913">SUM(DU225:EF225)</f>
        <v>-1918.7291951191855</v>
      </c>
      <c r="DU225" s="114">
        <f>IFERROR(SUMIFS('01. KE30'!$X:$X,'01. KE30'!$C:$C,'06. BC BH THEO CUSTOMER-USD'!$D225,'01. KE30'!$F:$F,'06. BC BH THEO CUSTOMER-USD'!$H225,'01. KE30'!$A:$A,'06. BC BH THEO CUSTOMER-USD'!DU$4)-SUMIFS('01. KE30'!$AA:$AA,'01. KE30'!$C:$C,'06. BC BH THEO CUSTOMER-USD'!$D225,'01. KE30'!$F:$F,'06. BC BH THEO CUSTOMER-USD'!$H225,'01. KE30'!$A:$A,'06. BC BH THEO CUSTOMER-USD'!DU$4),"-")</f>
        <v>0</v>
      </c>
      <c r="DV225" s="114">
        <f>IFERROR(SUMIFS('01. KE30'!$X:$X,'01. KE30'!$C:$C,'06. BC BH THEO CUSTOMER-USD'!$D225,'01. KE30'!$F:$F,'06. BC BH THEO CUSTOMER-USD'!$H225,'01. KE30'!$A:$A,'06. BC BH THEO CUSTOMER-USD'!DV$4)-SUMIFS('01. KE30'!$AA:$AA,'01. KE30'!$C:$C,'06. BC BH THEO CUSTOMER-USD'!$D225,'01. KE30'!$F:$F,'06. BC BH THEO CUSTOMER-USD'!$H225,'01. KE30'!$A:$A,'06. BC BH THEO CUSTOMER-USD'!DV$4),"-")</f>
        <v>0</v>
      </c>
      <c r="DW225" s="114">
        <f>IFERROR(SUMIFS('01. KE30'!$X:$X,'01. KE30'!$C:$C,'06. BC BH THEO CUSTOMER-USD'!$D225,'01. KE30'!$F:$F,'06. BC BH THEO CUSTOMER-USD'!$H225,'01. KE30'!$A:$A,'06. BC BH THEO CUSTOMER-USD'!DW$4)-SUMIFS('01. KE30'!$AA:$AA,'01. KE30'!$C:$C,'06. BC BH THEO CUSTOMER-USD'!$D225,'01. KE30'!$F:$F,'06. BC BH THEO CUSTOMER-USD'!$H225,'01. KE30'!$A:$A,'06. BC BH THEO CUSTOMER-USD'!DW$4),"-")</f>
        <v>0</v>
      </c>
      <c r="DX225" s="114">
        <f>IFERROR(SUMIFS('01. KE30'!$X:$X,'01. KE30'!$C:$C,'06. BC BH THEO CUSTOMER-USD'!$D225,'01. KE30'!$F:$F,'06. BC BH THEO CUSTOMER-USD'!$H225,'01. KE30'!$A:$A,'06. BC BH THEO CUSTOMER-USD'!DX$4)-SUMIFS('01. KE30'!$AA:$AA,'01. KE30'!$C:$C,'06. BC BH THEO CUSTOMER-USD'!$D225,'01. KE30'!$F:$F,'06. BC BH THEO CUSTOMER-USD'!$H225,'01. KE30'!$A:$A,'06. BC BH THEO CUSTOMER-USD'!DX$4),"-")</f>
        <v>0</v>
      </c>
      <c r="DY225" s="114">
        <f>IFERROR(SUMIFS('01. KE30'!$X:$X,'01. KE30'!$C:$C,'06. BC BH THEO CUSTOMER-USD'!$D225,'01. KE30'!$F:$F,'06. BC BH THEO CUSTOMER-USD'!$H225,'01. KE30'!$A:$A,'06. BC BH THEO CUSTOMER-USD'!DY$4)-SUMIFS('01. KE30'!$AA:$AA,'01. KE30'!$C:$C,'06. BC BH THEO CUSTOMER-USD'!$D225,'01. KE30'!$F:$F,'06. BC BH THEO CUSTOMER-USD'!$H225,'01. KE30'!$A:$A,'06. BC BH THEO CUSTOMER-USD'!DY$4),"-")</f>
        <v>0</v>
      </c>
      <c r="DZ225" s="114">
        <f>IFERROR(SUMIFS('01. KE30'!$X:$X,'01. KE30'!$C:$C,'06. BC BH THEO CUSTOMER-USD'!$D225,'01. KE30'!$F:$F,'06. BC BH THEO CUSTOMER-USD'!$H225,'01. KE30'!$A:$A,'06. BC BH THEO CUSTOMER-USD'!DZ$4)-SUMIFS('01. KE30'!$AA:$AA,'01. KE30'!$C:$C,'06. BC BH THEO CUSTOMER-USD'!$D225,'01. KE30'!$F:$F,'06. BC BH THEO CUSTOMER-USD'!$H225,'01. KE30'!$A:$A,'06. BC BH THEO CUSTOMER-USD'!DZ$4),"-")</f>
        <v>0</v>
      </c>
      <c r="EA225" s="114">
        <f>IFERROR(SUMIFS('01. KE30'!$X:$X,'01. KE30'!$C:$C,'06. BC BH THEO CUSTOMER-USD'!$D225,'01. KE30'!$F:$F,'06. BC BH THEO CUSTOMER-USD'!$H225,'01. KE30'!$A:$A,'06. BC BH THEO CUSTOMER-USD'!EA$4)-SUMIFS('01. KE30'!$AA:$AA,'01. KE30'!$C:$C,'06. BC BH THEO CUSTOMER-USD'!$D225,'01. KE30'!$F:$F,'06. BC BH THEO CUSTOMER-USD'!$H225,'01. KE30'!$A:$A,'06. BC BH THEO CUSTOMER-USD'!EA$4),"-")</f>
        <v>-963.40169035728059</v>
      </c>
      <c r="EB225" s="114">
        <f>IFERROR(SUMIFS('01. KE30'!$X:$X,'01. KE30'!$C:$C,'06. BC BH THEO CUSTOMER-USD'!$D225,'01. KE30'!$F:$F,'06. BC BH THEO CUSTOMER-USD'!$H225,'01. KE30'!$A:$A,'06. BC BH THEO CUSTOMER-USD'!EB$4)-SUMIFS('01. KE30'!$AA:$AA,'01. KE30'!$C:$C,'06. BC BH THEO CUSTOMER-USD'!$D225,'01. KE30'!$F:$F,'06. BC BH THEO CUSTOMER-USD'!$H225,'01. KE30'!$A:$A,'06. BC BH THEO CUSTOMER-USD'!EB$4),"-")</f>
        <v>0</v>
      </c>
      <c r="EC225" s="114">
        <f>IFERROR(SUMIFS('01. KE30'!$X:$X,'01. KE30'!$C:$C,'06. BC BH THEO CUSTOMER-USD'!$D225,'01. KE30'!$F:$F,'06. BC BH THEO CUSTOMER-USD'!$H225,'01. KE30'!$A:$A,'06. BC BH THEO CUSTOMER-USD'!EC$4)-SUMIFS('01. KE30'!$AA:$AA,'01. KE30'!$C:$C,'06. BC BH THEO CUSTOMER-USD'!$D225,'01. KE30'!$F:$F,'06. BC BH THEO CUSTOMER-USD'!$H225,'01. KE30'!$A:$A,'06. BC BH THEO CUSTOMER-USD'!EC$4),"-")</f>
        <v>-955.32750476190495</v>
      </c>
      <c r="ED225" s="114">
        <f>IFERROR(SUMIFS('01. KE30'!$X:$X,'01. KE30'!$C:$C,'06. BC BH THEO CUSTOMER-USD'!$D225,'01. KE30'!$F:$F,'06. BC BH THEO CUSTOMER-USD'!$H225,'01. KE30'!$A:$A,'06. BC BH THEO CUSTOMER-USD'!ED$4)-SUMIFS('01. KE30'!$AA:$AA,'01. KE30'!$C:$C,'06. BC BH THEO CUSTOMER-USD'!$D225,'01. KE30'!$F:$F,'06. BC BH THEO CUSTOMER-USD'!$H225,'01. KE30'!$A:$A,'06. BC BH THEO CUSTOMER-USD'!ED$4),"-")</f>
        <v>0</v>
      </c>
      <c r="EE225" s="114">
        <f>IFERROR(SUMIFS('01. KE30'!$X:$X,'01. KE30'!$C:$C,'06. BC BH THEO CUSTOMER-USD'!$D225,'01. KE30'!$F:$F,'06. BC BH THEO CUSTOMER-USD'!$H225,'01. KE30'!$A:$A,'06. BC BH THEO CUSTOMER-USD'!EE$4)-SUMIFS('01. KE30'!$AA:$AA,'01. KE30'!$C:$C,'06. BC BH THEO CUSTOMER-USD'!$D225,'01. KE30'!$F:$F,'06. BC BH THEO CUSTOMER-USD'!$H225,'01. KE30'!$A:$A,'06. BC BH THEO CUSTOMER-USD'!EE$4),"-")</f>
        <v>0</v>
      </c>
      <c r="EF225" s="114">
        <f>IFERROR(SUMIFS('01. KE30'!$X:$X,'01. KE30'!$C:$C,'06. BC BH THEO CUSTOMER-USD'!$D225,'01. KE30'!$F:$F,'06. BC BH THEO CUSTOMER-USD'!$H225,'01. KE30'!$A:$A,'06. BC BH THEO CUSTOMER-USD'!EF$4)-SUMIFS('01. KE30'!$AA:$AA,'01. KE30'!$C:$C,'06. BC BH THEO CUSTOMER-USD'!$D225,'01. KE30'!$F:$F,'06. BC BH THEO CUSTOMER-USD'!$H225,'01. KE30'!$A:$A,'06. BC BH THEO CUSTOMER-USD'!EF$4),"-")</f>
        <v>0</v>
      </c>
      <c r="EH225" s="571">
        <f t="shared" ref="EH225" si="2914">IFERROR(DT225/DF225,"-")</f>
        <v>-0.25793842171078907</v>
      </c>
      <c r="EI225" s="572" t="str">
        <f t="shared" ref="EI225" si="2915">IFERROR(DU225/DG225,"-")</f>
        <v>-</v>
      </c>
      <c r="EJ225" s="572" t="str">
        <f t="shared" ref="EJ225" si="2916">IFERROR(DV225/DH225,"-")</f>
        <v>-</v>
      </c>
      <c r="EK225" s="572" t="str">
        <f t="shared" ref="EK225" si="2917">IFERROR(DW225/DI225,"-")</f>
        <v>-</v>
      </c>
      <c r="EL225" s="572" t="str">
        <f t="shared" ref="EL225" si="2918">IFERROR(DX225/DJ225,"-")</f>
        <v>-</v>
      </c>
      <c r="EM225" s="572" t="str">
        <f t="shared" ref="EM225" si="2919">IFERROR(DY225/DK225,"-")</f>
        <v>-</v>
      </c>
      <c r="EN225" s="572" t="str">
        <f t="shared" ref="EN225" si="2920">IFERROR(DZ225/DL225,"-")</f>
        <v>-</v>
      </c>
      <c r="EO225" s="572">
        <f t="shared" ref="EO225" si="2921">IFERROR(EA225/DM225,"-")</f>
        <v>-0.25793841658957367</v>
      </c>
      <c r="EP225" s="572" t="str">
        <f t="shared" ref="EP225" si="2922">IFERROR(EB225/DN225,"-")</f>
        <v>-</v>
      </c>
      <c r="EQ225" s="572">
        <f t="shared" ref="EQ225" si="2923">IFERROR(EC225/DO225,"-")</f>
        <v>-0.2579384268752879</v>
      </c>
      <c r="ER225" s="572" t="str">
        <f t="shared" ref="ER225" si="2924">IFERROR(ED225/DP225,"-")</f>
        <v>-</v>
      </c>
      <c r="ES225" s="572" t="str">
        <f t="shared" ref="ES225" si="2925">IFERROR(EE225/DQ225,"-")</f>
        <v>-</v>
      </c>
      <c r="ET225" s="572" t="str">
        <f t="shared" ref="ET225" si="2926">IFERROR(EF225/DR225,"-")</f>
        <v>-</v>
      </c>
    </row>
    <row r="226" spans="1:150" ht="15.5" outlineLevel="1" x14ac:dyDescent="0.35">
      <c r="A226" s="10">
        <f>A224+1</f>
        <v>3</v>
      </c>
      <c r="B226" s="10" t="s">
        <v>269</v>
      </c>
      <c r="C226" s="442" t="s">
        <v>489</v>
      </c>
      <c r="D226" s="9" t="s">
        <v>716</v>
      </c>
      <c r="E226" s="8" t="s">
        <v>717</v>
      </c>
      <c r="F226" s="12" t="s">
        <v>245</v>
      </c>
      <c r="G226" s="12" t="str">
        <f>_xlfn.XLOOKUP(F226,'Quy đổi'!$G$5:$G$32,'Quy đổi'!$H$5:$H$32,0)</f>
        <v>Nội địa</v>
      </c>
      <c r="H226" s="80" t="s">
        <v>19</v>
      </c>
      <c r="I226" s="7" t="s">
        <v>18</v>
      </c>
      <c r="J226" s="69" t="s">
        <v>22</v>
      </c>
      <c r="K226" s="5"/>
      <c r="L226" s="92">
        <f t="shared" ref="L226:L227" si="2927">IFERROR(AVERAGE(M226:X226),"-")</f>
        <v>782.8726287262873</v>
      </c>
      <c r="M226" s="106" t="str">
        <f>IFERROR(SUMIFS('01. KE30'!$K:$K,'01. KE30'!$C:$C,'06. BC BH THEO CUSTOMER-USD'!$D226,'01. KE30'!$F:$F,'06. BC BH THEO CUSTOMER-USD'!$H226,'01. KE30'!$A:$A,'06. BC BH THEO CUSTOMER-USD'!M$4)/'06. BC BH THEO CUSTOMER-USD'!CS226/'02. Tỷ giá'!B$5,"-")</f>
        <v>-</v>
      </c>
      <c r="N226" s="106" t="str">
        <f>IFERROR(SUMIFS('01. KE30'!$K:$K,'01. KE30'!$C:$C,'06. BC BH THEO CUSTOMER-USD'!$D226,'01. KE30'!$F:$F,'06. BC BH THEO CUSTOMER-USD'!$H226,'01. KE30'!$A:$A,'06. BC BH THEO CUSTOMER-USD'!N$4)/'06. BC BH THEO CUSTOMER-USD'!CT226/'02. Tỷ giá'!C$5,"-")</f>
        <v>-</v>
      </c>
      <c r="O226" s="106" t="str">
        <f>IFERROR(SUMIFS('01. KE30'!$K:$K,'01. KE30'!$C:$C,'06. BC BH THEO CUSTOMER-USD'!$D226,'01. KE30'!$F:$F,'06. BC BH THEO CUSTOMER-USD'!$H226,'01. KE30'!$A:$A,'06. BC BH THEO CUSTOMER-USD'!O$4)/'06. BC BH THEO CUSTOMER-USD'!CU226/'02. Tỷ giá'!D$5,"-")</f>
        <v>-</v>
      </c>
      <c r="P226" s="106">
        <f>IFERROR(SUMIFS('01. KE30'!$K:$K,'01. KE30'!$C:$C,'06. BC BH THEO CUSTOMER-USD'!$D226,'01. KE30'!$F:$F,'06. BC BH THEO CUSTOMER-USD'!$H226,'01. KE30'!$A:$A,'06. BC BH THEO CUSTOMER-USD'!P$4)/'06. BC BH THEO CUSTOMER-USD'!CV226/'02. Tỷ giá'!E$5,"-")</f>
        <v>782.8726287262873</v>
      </c>
      <c r="Q226" s="106" t="str">
        <f>IFERROR(SUMIFS('01. KE30'!$K:$K,'01. KE30'!$C:$C,'06. BC BH THEO CUSTOMER-USD'!$D226,'01. KE30'!$F:$F,'06. BC BH THEO CUSTOMER-USD'!$H226,'01. KE30'!$A:$A,'06. BC BH THEO CUSTOMER-USD'!Q$4)/'06. BC BH THEO CUSTOMER-USD'!CW226/'02. Tỷ giá'!F$5,"-")</f>
        <v>-</v>
      </c>
      <c r="R226" s="106" t="str">
        <f>IFERROR(SUMIFS('01. KE30'!$K:$K,'01. KE30'!$C:$C,'06. BC BH THEO CUSTOMER-USD'!$D226,'01. KE30'!$F:$F,'06. BC BH THEO CUSTOMER-USD'!$H226,'01. KE30'!$A:$A,'06. BC BH THEO CUSTOMER-USD'!R$4)/'06. BC BH THEO CUSTOMER-USD'!CX226/'02. Tỷ giá'!G$5,"-")</f>
        <v>-</v>
      </c>
      <c r="S226" s="106" t="str">
        <f>IFERROR(SUMIFS('01. KE30'!$K:$K,'01. KE30'!$C:$C,'06. BC BH THEO CUSTOMER-USD'!$D226,'01. KE30'!$F:$F,'06. BC BH THEO CUSTOMER-USD'!$H226,'01. KE30'!$A:$A,'06. BC BH THEO CUSTOMER-USD'!S$4)/'06. BC BH THEO CUSTOMER-USD'!CY226/'02. Tỷ giá'!H$5,"-")</f>
        <v>-</v>
      </c>
      <c r="T226" s="106" t="str">
        <f>IFERROR(SUMIFS('01. KE30'!$K:$K,'01. KE30'!$C:$C,'06. BC BH THEO CUSTOMER-USD'!$D226,'01. KE30'!$F:$F,'06. BC BH THEO CUSTOMER-USD'!$H226,'01. KE30'!$A:$A,'06. BC BH THEO CUSTOMER-USD'!T$4)/'06. BC BH THEO CUSTOMER-USD'!CZ226/'02. Tỷ giá'!I$5,"-")</f>
        <v>-</v>
      </c>
      <c r="U226" s="106" t="str">
        <f>IFERROR(SUMIFS('01. KE30'!$K:$K,'01. KE30'!$C:$C,'06. BC BH THEO CUSTOMER-USD'!$D226,'01. KE30'!$F:$F,'06. BC BH THEO CUSTOMER-USD'!$H226,'01. KE30'!$A:$A,'06. BC BH THEO CUSTOMER-USD'!U$4)/'06. BC BH THEO CUSTOMER-USD'!DA226/'02. Tỷ giá'!J$5,"-")</f>
        <v>-</v>
      </c>
      <c r="V226" s="106" t="str">
        <f>IFERROR(SUMIFS('01. KE30'!$K:$K,'01. KE30'!$C:$C,'06. BC BH THEO CUSTOMER-USD'!$D226,'01. KE30'!$F:$F,'06. BC BH THEO CUSTOMER-USD'!$H226,'01. KE30'!$A:$A,'06. BC BH THEO CUSTOMER-USD'!V$4)/'06. BC BH THEO CUSTOMER-USD'!DB226/'02. Tỷ giá'!K$5,"-")</f>
        <v>-</v>
      </c>
      <c r="W226" s="106" t="str">
        <f>IFERROR(SUMIFS('01. KE30'!$K:$K,'01. KE30'!$C:$C,'06. BC BH THEO CUSTOMER-USD'!$D226,'01. KE30'!$F:$F,'06. BC BH THEO CUSTOMER-USD'!$H226,'01. KE30'!$A:$A,'06. BC BH THEO CUSTOMER-USD'!W$4)/'06. BC BH THEO CUSTOMER-USD'!DC226/'02. Tỷ giá'!L$5,"-")</f>
        <v>-</v>
      </c>
      <c r="X226" s="106" t="str">
        <f>IFERROR(SUMIFS('01. KE30'!$K:$K,'01. KE30'!$C:$C,'06. BC BH THEO CUSTOMER-USD'!$D226,'01. KE30'!$F:$F,'06. BC BH THEO CUSTOMER-USD'!$H226,'01. KE30'!$A:$A,'06. BC BH THEO CUSTOMER-USD'!X$4)/'06. BC BH THEO CUSTOMER-USD'!DD226/'02. Tỷ giá'!M$5,"-")</f>
        <v>-</v>
      </c>
      <c r="Z226" s="92">
        <f t="shared" ref="Z226:Z227" si="2928">IFERROR(AVERAGE(AA226:AL226),"-")</f>
        <v>782.8726287262873</v>
      </c>
      <c r="AA226" s="147" t="str">
        <f>IFERROR(SUMIFS('01. KE30'!$O:$O,'01. KE30'!$C:$C,'06. BC BH THEO CUSTOMER-USD'!$D226,'01. KE30'!$F:$F,'06. BC BH THEO CUSTOMER-USD'!$H226,'01. KE30'!$A:$A,'06. BC BH THEO CUSTOMER-USD'!M$4)/'06. BC BH THEO CUSTOMER-USD'!CS226/'02. Tỷ giá'!B$5,"-")</f>
        <v>-</v>
      </c>
      <c r="AB226" s="147" t="str">
        <f>IFERROR(SUMIFS('01. KE30'!$O:$O,'01. KE30'!$C:$C,'06. BC BH THEO CUSTOMER-USD'!$D226,'01. KE30'!$F:$F,'06. BC BH THEO CUSTOMER-USD'!$H226,'01. KE30'!$A:$A,'06. BC BH THEO CUSTOMER-USD'!N$4)/'06. BC BH THEO CUSTOMER-USD'!CT226/'02. Tỷ giá'!C$5,"-")</f>
        <v>-</v>
      </c>
      <c r="AC226" s="147" t="str">
        <f>IFERROR(SUMIFS('01. KE30'!$O:$O,'01. KE30'!$C:$C,'06. BC BH THEO CUSTOMER-USD'!$D226,'01. KE30'!$F:$F,'06. BC BH THEO CUSTOMER-USD'!$H226,'01. KE30'!$A:$A,'06. BC BH THEO CUSTOMER-USD'!O$4)/'06. BC BH THEO CUSTOMER-USD'!CU226/'02. Tỷ giá'!D$5,"-")</f>
        <v>-</v>
      </c>
      <c r="AD226" s="147">
        <f>IFERROR(SUMIFS('01. KE30'!$O:$O,'01. KE30'!$C:$C,'06. BC BH THEO CUSTOMER-USD'!$D226,'01. KE30'!$F:$F,'06. BC BH THEO CUSTOMER-USD'!$H226,'01. KE30'!$A:$A,'06. BC BH THEO CUSTOMER-USD'!P$4)/'06. BC BH THEO CUSTOMER-USD'!CV226/'02. Tỷ giá'!E$5,"-")</f>
        <v>782.8726287262873</v>
      </c>
      <c r="AE226" s="147" t="str">
        <f>IFERROR(SUMIFS('01. KE30'!$O:$O,'01. KE30'!$C:$C,'06. BC BH THEO CUSTOMER-USD'!$D226,'01. KE30'!$F:$F,'06. BC BH THEO CUSTOMER-USD'!$H226,'01. KE30'!$A:$A,'06. BC BH THEO CUSTOMER-USD'!Q$4)/'06. BC BH THEO CUSTOMER-USD'!CW226/'02. Tỷ giá'!F$5,"-")</f>
        <v>-</v>
      </c>
      <c r="AF226" s="147" t="str">
        <f>IFERROR(SUMIFS('01. KE30'!$O:$O,'01. KE30'!$C:$C,'06. BC BH THEO CUSTOMER-USD'!$D226,'01. KE30'!$F:$F,'06. BC BH THEO CUSTOMER-USD'!$H226,'01. KE30'!$A:$A,'06. BC BH THEO CUSTOMER-USD'!R$4)/'06. BC BH THEO CUSTOMER-USD'!CX226/'02. Tỷ giá'!G$5,"-")</f>
        <v>-</v>
      </c>
      <c r="AG226" s="147" t="str">
        <f>IFERROR(SUMIFS('01. KE30'!$O:$O,'01. KE30'!$C:$C,'06. BC BH THEO CUSTOMER-USD'!$D226,'01. KE30'!$F:$F,'06. BC BH THEO CUSTOMER-USD'!$H226,'01. KE30'!$A:$A,'06. BC BH THEO CUSTOMER-USD'!S$4)/'06. BC BH THEO CUSTOMER-USD'!CY226/'02. Tỷ giá'!H$5,"-")</f>
        <v>-</v>
      </c>
      <c r="AH226" s="147" t="str">
        <f>IFERROR(SUMIFS('01. KE30'!$O:$O,'01. KE30'!$C:$C,'06. BC BH THEO CUSTOMER-USD'!$D226,'01. KE30'!$F:$F,'06. BC BH THEO CUSTOMER-USD'!$H226,'01. KE30'!$A:$A,'06. BC BH THEO CUSTOMER-USD'!T$4)/'06. BC BH THEO CUSTOMER-USD'!CZ226/'02. Tỷ giá'!I$5,"-")</f>
        <v>-</v>
      </c>
      <c r="AI226" s="147" t="str">
        <f>IFERROR(SUMIFS('01. KE30'!$O:$O,'01. KE30'!$C:$C,'06. BC BH THEO CUSTOMER-USD'!$D226,'01. KE30'!$F:$F,'06. BC BH THEO CUSTOMER-USD'!$H226,'01. KE30'!$A:$A,'06. BC BH THEO CUSTOMER-USD'!U$4)/'06. BC BH THEO CUSTOMER-USD'!DA226/'02. Tỷ giá'!J$5,"-")</f>
        <v>-</v>
      </c>
      <c r="AJ226" s="147" t="str">
        <f>IFERROR(SUMIFS('01. KE30'!$O:$O,'01. KE30'!$C:$C,'06. BC BH THEO CUSTOMER-USD'!$D226,'01. KE30'!$F:$F,'06. BC BH THEO CUSTOMER-USD'!$H226,'01. KE30'!$A:$A,'06. BC BH THEO CUSTOMER-USD'!V$4)/'06. BC BH THEO CUSTOMER-USD'!DB226/'02. Tỷ giá'!K$5,"-")</f>
        <v>-</v>
      </c>
      <c r="AK226" s="147" t="str">
        <f>IFERROR(SUMIFS('01. KE30'!$O:$O,'01. KE30'!$C:$C,'06. BC BH THEO CUSTOMER-USD'!$D226,'01. KE30'!$F:$F,'06. BC BH THEO CUSTOMER-USD'!$H226,'01. KE30'!$A:$A,'06. BC BH THEO CUSTOMER-USD'!W$4)/'06. BC BH THEO CUSTOMER-USD'!DC226/'02. Tỷ giá'!L$5,"-")</f>
        <v>-</v>
      </c>
      <c r="AL226" s="147" t="str">
        <f>IFERROR(SUMIFS('01. KE30'!$O:$O,'01. KE30'!$C:$C,'06. BC BH THEO CUSTOMER-USD'!$D226,'01. KE30'!$F:$F,'06. BC BH THEO CUSTOMER-USD'!$H226,'01. KE30'!$A:$A,'06. BC BH THEO CUSTOMER-USD'!X$4)/'06. BC BH THEO CUSTOMER-USD'!DD226/'02. Tỷ giá'!M$5,"-")</f>
        <v>-</v>
      </c>
      <c r="AN226" s="92">
        <f t="shared" ref="AN226:AN227" si="2929">IFERROR(AVERAGE(AO226:AZ226),"-")</f>
        <v>748.88888888888891</v>
      </c>
      <c r="AO226" s="4">
        <v>855</v>
      </c>
      <c r="AP226" s="4">
        <v>780</v>
      </c>
      <c r="AQ226" s="4">
        <v>790</v>
      </c>
      <c r="AR226" s="4">
        <v>785</v>
      </c>
      <c r="AS226" s="4">
        <v>765</v>
      </c>
      <c r="AT226" s="4">
        <v>765</v>
      </c>
      <c r="AU226" s="4">
        <v>680</v>
      </c>
      <c r="AV226" s="4">
        <f t="shared" si="2518"/>
        <v>660</v>
      </c>
      <c r="AW226" s="4">
        <v>660</v>
      </c>
      <c r="AX226" s="4"/>
      <c r="AY226" s="4"/>
      <c r="AZ226" s="4"/>
      <c r="BB226" s="95">
        <f t="shared" ref="BB226:BB227" si="2930">IF(L226&lt;&gt;"-",Z226-AN226,"-")</f>
        <v>33.983739837398389</v>
      </c>
      <c r="BC226" s="95" t="str">
        <f t="shared" ref="BC226:BC227" si="2931">IF(M226&lt;&gt;"-",AA226-AO226,"-")</f>
        <v>-</v>
      </c>
      <c r="BD226" s="95" t="str">
        <f t="shared" ref="BD226:BD227" si="2932">IF(N226&lt;&gt;"-",AB226-AP226,"-")</f>
        <v>-</v>
      </c>
      <c r="BE226" s="95" t="str">
        <f t="shared" ref="BE226:BE227" si="2933">IF(O226&lt;&gt;"-",AC226-AQ226,"-")</f>
        <v>-</v>
      </c>
      <c r="BF226" s="95">
        <f t="shared" ref="BF226:BF227" si="2934">IF(P226&lt;&gt;"-",AD226-AR226,"-")</f>
        <v>-2.1273712737126971</v>
      </c>
      <c r="BG226" s="95" t="str">
        <f t="shared" ref="BG226:BG227" si="2935">IF(Q226&lt;&gt;"-",AE226-AS226,"-")</f>
        <v>-</v>
      </c>
      <c r="BH226" s="95" t="str">
        <f t="shared" ref="BH226:BH227" si="2936">IF(R226&lt;&gt;"-",AF226-AT226,"-")</f>
        <v>-</v>
      </c>
      <c r="BI226" s="95" t="str">
        <f t="shared" ref="BI226:BI227" si="2937">IF(S226&lt;&gt;"-",AG226-AU226,"-")</f>
        <v>-</v>
      </c>
      <c r="BJ226" s="95" t="str">
        <f t="shared" ref="BJ226:BJ227" si="2938">IF(T226&lt;&gt;"-",AH226-AV226,"-")</f>
        <v>-</v>
      </c>
      <c r="BK226" s="95" t="str">
        <f t="shared" ref="BK226:BK227" si="2939">IF(U226&lt;&gt;"-",AI226-AW226,"-")</f>
        <v>-</v>
      </c>
      <c r="BL226" s="95" t="str">
        <f t="shared" ref="BL226:BL227" si="2940">IF(V226&lt;&gt;"-",AJ226-AX226,"-")</f>
        <v>-</v>
      </c>
      <c r="BM226" s="95" t="str">
        <f t="shared" ref="BM226:BM227" si="2941">IF(W226&lt;&gt;"-",AK226-AY226,"-")</f>
        <v>-</v>
      </c>
      <c r="BN226" s="95" t="str">
        <f t="shared" ref="BN226:BN227" si="2942">IF(X226&lt;&gt;"-",AL226-AZ226,"-")</f>
        <v>-</v>
      </c>
      <c r="BP226" s="143">
        <f t="shared" ref="BP226:BP227" si="2943">IFERROR(IF(BB226&lt;&gt;"-",BB226/AN226,"-"),"-")</f>
        <v>4.5378881088514164E-2</v>
      </c>
      <c r="BQ226" s="143" t="str">
        <f t="shared" ref="BQ226:BQ227" si="2944">IFERROR(IF(BC226&lt;&gt;"-",BC226/AO226,"-"),"-")</f>
        <v>-</v>
      </c>
      <c r="BR226" s="143" t="str">
        <f t="shared" ref="BR226:BR227" si="2945">IFERROR(IF(BD226&lt;&gt;"-",BD226/AP226,"-"),"-")</f>
        <v>-</v>
      </c>
      <c r="BS226" s="143" t="str">
        <f t="shared" ref="BS226:BS227" si="2946">IFERROR(IF(BE226&lt;&gt;"-",BE226/AQ226,"-"),"-")</f>
        <v>-</v>
      </c>
      <c r="BT226" s="143">
        <f t="shared" ref="BT226:BT227" si="2947">IFERROR(IF(BF226&lt;&gt;"-",BF226/AR226,"-"),"-")</f>
        <v>-2.7100271002709515E-3</v>
      </c>
      <c r="BU226" s="143" t="str">
        <f t="shared" ref="BU226:BU227" si="2948">IFERROR(IF(BG226&lt;&gt;"-",BG226/AS226,"-"),"-")</f>
        <v>-</v>
      </c>
      <c r="BV226" s="143" t="str">
        <f t="shared" ref="BV226:BV227" si="2949">IFERROR(IF(BH226&lt;&gt;"-",BH226/AT226,"-"),"-")</f>
        <v>-</v>
      </c>
      <c r="BW226" s="143" t="str">
        <f t="shared" ref="BW226:BW227" si="2950">IFERROR(IF(BI226&lt;&gt;"-",BI226/AU226,"-"),"-")</f>
        <v>-</v>
      </c>
      <c r="BX226" s="143" t="str">
        <f t="shared" ref="BX226:BX227" si="2951">IFERROR(IF(BJ226&lt;&gt;"-",BJ226/AV226,"-"),"-")</f>
        <v>-</v>
      </c>
      <c r="BY226" s="143" t="str">
        <f t="shared" ref="BY226:BY227" si="2952">IFERROR(IF(BK226&lt;&gt;"-",BK226/AW226,"-"),"-")</f>
        <v>-</v>
      </c>
      <c r="BZ226" s="143" t="str">
        <f t="shared" ref="BZ226:BZ227" si="2953">IFERROR(IF(BL226&lt;&gt;"-",BL226/AX226,"-"),"-")</f>
        <v>-</v>
      </c>
      <c r="CA226" s="143" t="str">
        <f t="shared" ref="CA226:CA227" si="2954">IFERROR(IF(BM226&lt;&gt;"-",BM226/AY226,"-"),"-")</f>
        <v>-</v>
      </c>
      <c r="CB226" s="143" t="str">
        <f t="shared" ref="CB226:CB227" si="2955">IFERROR(IF(BN226&lt;&gt;"-",BN226/AZ226,"-"),"-")</f>
        <v>-</v>
      </c>
      <c r="CD226" s="112">
        <f t="shared" ref="CD226:CD227" si="2956">IFERROR(AVERAGE(CE226:CP226),"-")</f>
        <v>789.1312427409988</v>
      </c>
      <c r="CE226" s="95" t="str">
        <f>IFERROR(SUMIFS('01. KE30'!$R:$R,'01. KE30'!$C:$C,'06. BC BH THEO CUSTOMER-USD'!$D226,'01. KE30'!$F:$F,'06. BC BH THEO CUSTOMER-USD'!$H226,'01. KE30'!$A:$A,'06. BC BH THEO CUSTOMER-USD'!CE$4)/CS226/'02. Tỷ giá'!B$5," -")</f>
        <v xml:space="preserve"> -</v>
      </c>
      <c r="CF226" s="95" t="str">
        <f>IFERROR(SUMIFS('01. KE30'!$R:$R,'01. KE30'!$C:$C,'06. BC BH THEO CUSTOMER-USD'!$D226,'01. KE30'!$F:$F,'06. BC BH THEO CUSTOMER-USD'!$H226,'01. KE30'!$A:$A,'06. BC BH THEO CUSTOMER-USD'!CF$4)/CT226/'02. Tỷ giá'!C$5," -")</f>
        <v xml:space="preserve"> -</v>
      </c>
      <c r="CG226" s="95" t="str">
        <f>IFERROR(SUMIFS('01. KE30'!$R:$R,'01. KE30'!$C:$C,'06. BC BH THEO CUSTOMER-USD'!$D226,'01. KE30'!$F:$F,'06. BC BH THEO CUSTOMER-USD'!$H226,'01. KE30'!$A:$A,'06. BC BH THEO CUSTOMER-USD'!CG$4)/CU226/'02. Tỷ giá'!D$5," -")</f>
        <v xml:space="preserve"> -</v>
      </c>
      <c r="CH226" s="95">
        <f>IFERROR(SUMIFS('01. KE30'!$R:$R,'01. KE30'!$C:$C,'06. BC BH THEO CUSTOMER-USD'!$D226,'01. KE30'!$F:$F,'06. BC BH THEO CUSTOMER-USD'!$H226,'01. KE30'!$A:$A,'06. BC BH THEO CUSTOMER-USD'!CH$4)/CV226/'02. Tỷ giá'!E$5," -")</f>
        <v>789.1312427409988</v>
      </c>
      <c r="CI226" s="95" t="str">
        <f>IFERROR(SUMIFS('01. KE30'!$R:$R,'01. KE30'!$C:$C,'06. BC BH THEO CUSTOMER-USD'!$D226,'01. KE30'!$F:$F,'06. BC BH THEO CUSTOMER-USD'!$H226,'01. KE30'!$A:$A,'06. BC BH THEO CUSTOMER-USD'!CI$4)/CW226/'02. Tỷ giá'!F$5," -")</f>
        <v xml:space="preserve"> -</v>
      </c>
      <c r="CJ226" s="95" t="str">
        <f>IFERROR(SUMIFS('01. KE30'!$R:$R,'01. KE30'!$C:$C,'06. BC BH THEO CUSTOMER-USD'!$D226,'01. KE30'!$F:$F,'06. BC BH THEO CUSTOMER-USD'!$H226,'01. KE30'!$A:$A,'06. BC BH THEO CUSTOMER-USD'!CJ$4)/CX226/'02. Tỷ giá'!G$5," -")</f>
        <v xml:space="preserve"> -</v>
      </c>
      <c r="CK226" s="95" t="str">
        <f>IFERROR(SUMIFS('01. KE30'!$R:$R,'01. KE30'!$C:$C,'06. BC BH THEO CUSTOMER-USD'!$D226,'01. KE30'!$F:$F,'06. BC BH THEO CUSTOMER-USD'!$H226,'01. KE30'!$A:$A,'06. BC BH THEO CUSTOMER-USD'!CK$4)/CY226/'02. Tỷ giá'!H$5," -")</f>
        <v xml:space="preserve"> -</v>
      </c>
      <c r="CL226" s="95" t="str">
        <f>IFERROR(SUMIFS('01. KE30'!$R:$R,'01. KE30'!$C:$C,'06. BC BH THEO CUSTOMER-USD'!$D226,'01. KE30'!$F:$F,'06. BC BH THEO CUSTOMER-USD'!$H226,'01. KE30'!$A:$A,'06. BC BH THEO CUSTOMER-USD'!CL$4)/CZ226/'02. Tỷ giá'!I$5," -")</f>
        <v xml:space="preserve"> -</v>
      </c>
      <c r="CM226" s="95" t="str">
        <f>IFERROR(SUMIFS('01. KE30'!$R:$R,'01. KE30'!$C:$C,'06. BC BH THEO CUSTOMER-USD'!$D226,'01. KE30'!$F:$F,'06. BC BH THEO CUSTOMER-USD'!$H226,'01. KE30'!$A:$A,'06. BC BH THEO CUSTOMER-USD'!CM$4)/DA226/'02. Tỷ giá'!J$5," -")</f>
        <v xml:space="preserve"> -</v>
      </c>
      <c r="CN226" s="95" t="str">
        <f>IFERROR(SUMIFS('01. KE30'!$R:$R,'01. KE30'!$C:$C,'06. BC BH THEO CUSTOMER-USD'!$D226,'01. KE30'!$F:$F,'06. BC BH THEO CUSTOMER-USD'!$H226,'01. KE30'!$A:$A,'06. BC BH THEO CUSTOMER-USD'!CN$4)/DB226/'02. Tỷ giá'!K$5," -")</f>
        <v xml:space="preserve"> -</v>
      </c>
      <c r="CO226" s="95" t="str">
        <f>IFERROR(SUMIFS('01. KE30'!$R:$R,'01. KE30'!$C:$C,'06. BC BH THEO CUSTOMER-USD'!$D226,'01. KE30'!$F:$F,'06. BC BH THEO CUSTOMER-USD'!$H226,'01. KE30'!$A:$A,'06. BC BH THEO CUSTOMER-USD'!CO$4)/DC226/'02. Tỷ giá'!L$5," -")</f>
        <v xml:space="preserve"> -</v>
      </c>
      <c r="CP226" s="95" t="str">
        <f>IFERROR(SUMIFS('01. KE30'!$R:$R,'01. KE30'!$C:$C,'06. BC BH THEO CUSTOMER-USD'!$D226,'01. KE30'!$F:$F,'06. BC BH THEO CUSTOMER-USD'!$H226,'01. KE30'!$A:$A,'06. BC BH THEO CUSTOMER-USD'!CP$4)/DD226/'02. Tỷ giá'!M$5," -")</f>
        <v xml:space="preserve"> -</v>
      </c>
      <c r="CR226" s="112">
        <f t="shared" ref="CR226:CR227" si="2957">SUM(CS226:DD226)</f>
        <v>0.1</v>
      </c>
      <c r="CS226" s="114">
        <f>SUMIFS('01. KE30'!$I:$I,'01. KE30'!$C:$C,'06. BC BH THEO CUSTOMER-USD'!$D226,'01. KE30'!$F:$F,'06. BC BH THEO CUSTOMER-USD'!$H226,'01. KE30'!$A:$A,'06. BC BH THEO CUSTOMER-USD'!CS$4)/1000</f>
        <v>0</v>
      </c>
      <c r="CT226" s="114">
        <f>SUMIFS('01. KE30'!$I:$I,'01. KE30'!$C:$C,'06. BC BH THEO CUSTOMER-USD'!$D226,'01. KE30'!$F:$F,'06. BC BH THEO CUSTOMER-USD'!$H226,'01. KE30'!$A:$A,'06. BC BH THEO CUSTOMER-USD'!CT$4)/1000</f>
        <v>0</v>
      </c>
      <c r="CU226" s="114">
        <f>SUMIFS('01. KE30'!$I:$I,'01. KE30'!$C:$C,'06. BC BH THEO CUSTOMER-USD'!$D226,'01. KE30'!$F:$F,'06. BC BH THEO CUSTOMER-USD'!$H226,'01. KE30'!$A:$A,'06. BC BH THEO CUSTOMER-USD'!CU$4)/1000</f>
        <v>0</v>
      </c>
      <c r="CV226" s="114">
        <f>SUMIFS('01. KE30'!$I:$I,'01. KE30'!$C:$C,'06. BC BH THEO CUSTOMER-USD'!$D226,'01. KE30'!$F:$F,'06. BC BH THEO CUSTOMER-USD'!$H226,'01. KE30'!$A:$A,'06. BC BH THEO CUSTOMER-USD'!CV$4)/1000</f>
        <v>0.1</v>
      </c>
      <c r="CW226" s="114">
        <f>SUMIFS('01. KE30'!$I:$I,'01. KE30'!$C:$C,'06. BC BH THEO CUSTOMER-USD'!$D226,'01. KE30'!$F:$F,'06. BC BH THEO CUSTOMER-USD'!$H226,'01. KE30'!$A:$A,'06. BC BH THEO CUSTOMER-USD'!CW$4)/1000</f>
        <v>0</v>
      </c>
      <c r="CX226" s="114">
        <f>SUMIFS('01. KE30'!$I:$I,'01. KE30'!$C:$C,'06. BC BH THEO CUSTOMER-USD'!$D226,'01. KE30'!$F:$F,'06. BC BH THEO CUSTOMER-USD'!$H226,'01. KE30'!$A:$A,'06. BC BH THEO CUSTOMER-USD'!CX$4)/1000</f>
        <v>0</v>
      </c>
      <c r="CY226" s="114">
        <f>SUMIFS('01. KE30'!$I:$I,'01. KE30'!$C:$C,'06. BC BH THEO CUSTOMER-USD'!$D226,'01. KE30'!$F:$F,'06. BC BH THEO CUSTOMER-USD'!$H226,'01. KE30'!$A:$A,'06. BC BH THEO CUSTOMER-USD'!CY$4)/1000</f>
        <v>0</v>
      </c>
      <c r="CZ226" s="114">
        <f>SUMIFS('01. KE30'!$I:$I,'01. KE30'!$C:$C,'06. BC BH THEO CUSTOMER-USD'!$D226,'01. KE30'!$F:$F,'06. BC BH THEO CUSTOMER-USD'!$H226,'01. KE30'!$A:$A,'06. BC BH THEO CUSTOMER-USD'!CZ$4)/1000</f>
        <v>0</v>
      </c>
      <c r="DA226" s="114">
        <f>SUMIFS('01. KE30'!$I:$I,'01. KE30'!$C:$C,'06. BC BH THEO CUSTOMER-USD'!$D226,'01. KE30'!$F:$F,'06. BC BH THEO CUSTOMER-USD'!$H226,'01. KE30'!$A:$A,'06. BC BH THEO CUSTOMER-USD'!DA$4)/1000</f>
        <v>0</v>
      </c>
      <c r="DB226" s="114">
        <f>SUMIFS('01. KE30'!$I:$I,'01. KE30'!$C:$C,'06. BC BH THEO CUSTOMER-USD'!$D226,'01. KE30'!$F:$F,'06. BC BH THEO CUSTOMER-USD'!$H226,'01. KE30'!$A:$A,'06. BC BH THEO CUSTOMER-USD'!DB$4)/1000</f>
        <v>0</v>
      </c>
      <c r="DC226" s="114">
        <f>SUMIFS('01. KE30'!$I:$I,'01. KE30'!$C:$C,'06. BC BH THEO CUSTOMER-USD'!$D226,'01. KE30'!$F:$F,'06. BC BH THEO CUSTOMER-USD'!$H226,'01. KE30'!$A:$A,'06. BC BH THEO CUSTOMER-USD'!DC$4)/1000</f>
        <v>0</v>
      </c>
      <c r="DD226" s="114">
        <f>SUMIFS('01. KE30'!$I:$I,'01. KE30'!$C:$C,'06. BC BH THEO CUSTOMER-USD'!$D226,'01. KE30'!$F:$F,'06. BC BH THEO CUSTOMER-USD'!$H226,'01. KE30'!$A:$A,'06. BC BH THEO CUSTOMER-USD'!DD$4)/1000</f>
        <v>0</v>
      </c>
      <c r="DF226" s="112">
        <f t="shared" ref="DF226:DF227" si="2958">SUM(DG226:DR226)</f>
        <v>78.28726287262873</v>
      </c>
      <c r="DG226" s="54" t="str">
        <f t="shared" ref="DG226:DG227" si="2959">IFERROR(M226*CS226,"-")</f>
        <v>-</v>
      </c>
      <c r="DH226" s="54" t="str">
        <f t="shared" ref="DH226:DH227" si="2960">IFERROR(N226*CT226,"-")</f>
        <v>-</v>
      </c>
      <c r="DI226" s="54" t="str">
        <f t="shared" ref="DI226:DI227" si="2961">IFERROR(O226*CU226,"-")</f>
        <v>-</v>
      </c>
      <c r="DJ226" s="54">
        <f t="shared" ref="DJ226:DJ227" si="2962">IFERROR(P226*CV226,"-")</f>
        <v>78.28726287262873</v>
      </c>
      <c r="DK226" s="54" t="str">
        <f t="shared" ref="DK226:DK227" si="2963">IFERROR(Q226*CW226,"-")</f>
        <v>-</v>
      </c>
      <c r="DL226" s="54" t="str">
        <f t="shared" ref="DL226:DL227" si="2964">IFERROR(R226*CX226,"-")</f>
        <v>-</v>
      </c>
      <c r="DM226" s="54" t="str">
        <f t="shared" ref="DM226:DM227" si="2965">IFERROR(S226*CY226,"-")</f>
        <v>-</v>
      </c>
      <c r="DN226" s="54" t="str">
        <f t="shared" ref="DN226:DN227" si="2966">IFERROR(T226*CZ226,"-")</f>
        <v>-</v>
      </c>
      <c r="DO226" s="54" t="str">
        <f t="shared" ref="DO226:DO227" si="2967">IFERROR(U226*DA226,"-")</f>
        <v>-</v>
      </c>
      <c r="DP226" s="54" t="str">
        <f t="shared" ref="DP226:DP227" si="2968">IFERROR(V226*DB226,"-")</f>
        <v>-</v>
      </c>
      <c r="DQ226" s="54" t="str">
        <f t="shared" ref="DQ226:DQ227" si="2969">IFERROR(W226*DC226,"-")</f>
        <v>-</v>
      </c>
      <c r="DR226" s="54" t="str">
        <f t="shared" ref="DR226:DR227" si="2970">IFERROR(X226*DD226,"-")</f>
        <v>-</v>
      </c>
      <c r="DT226" s="112">
        <f t="shared" ref="DT226:DT227" si="2971">SUM(DU226:EF226)</f>
        <v>-0.62586140147115543</v>
      </c>
      <c r="DU226" s="114">
        <f>IFERROR(SUMIFS('01. KE30'!$X:$X,'01. KE30'!$C:$C,'06. BC BH THEO CUSTOMER-USD'!$D226,'01. KE30'!$F:$F,'06. BC BH THEO CUSTOMER-USD'!$H226,'01. KE30'!$A:$A,'06. BC BH THEO CUSTOMER-USD'!DU$4)-SUMIFS('01. KE30'!$AA:$AA,'01. KE30'!$C:$C,'06. BC BH THEO CUSTOMER-USD'!$D226,'01. KE30'!$F:$F,'06. BC BH THEO CUSTOMER-USD'!$H226,'01. KE30'!$A:$A,'06. BC BH THEO CUSTOMER-USD'!DU$4),"-")</f>
        <v>0</v>
      </c>
      <c r="DV226" s="114">
        <f>IFERROR(SUMIFS('01. KE30'!$X:$X,'01. KE30'!$C:$C,'06. BC BH THEO CUSTOMER-USD'!$D226,'01. KE30'!$F:$F,'06. BC BH THEO CUSTOMER-USD'!$H226,'01. KE30'!$A:$A,'06. BC BH THEO CUSTOMER-USD'!DV$4)-SUMIFS('01. KE30'!$AA:$AA,'01. KE30'!$C:$C,'06. BC BH THEO CUSTOMER-USD'!$D226,'01. KE30'!$F:$F,'06. BC BH THEO CUSTOMER-USD'!$H226,'01. KE30'!$A:$A,'06. BC BH THEO CUSTOMER-USD'!DV$4),"-")</f>
        <v>0</v>
      </c>
      <c r="DW226" s="114">
        <f>IFERROR(SUMIFS('01. KE30'!$X:$X,'01. KE30'!$C:$C,'06. BC BH THEO CUSTOMER-USD'!$D226,'01. KE30'!$F:$F,'06. BC BH THEO CUSTOMER-USD'!$H226,'01. KE30'!$A:$A,'06. BC BH THEO CUSTOMER-USD'!DW$4)-SUMIFS('01. KE30'!$AA:$AA,'01. KE30'!$C:$C,'06. BC BH THEO CUSTOMER-USD'!$D226,'01. KE30'!$F:$F,'06. BC BH THEO CUSTOMER-USD'!$H226,'01. KE30'!$A:$A,'06. BC BH THEO CUSTOMER-USD'!DW$4),"-")</f>
        <v>0</v>
      </c>
      <c r="DX226" s="114">
        <f>IFERROR(SUMIFS('01. KE30'!$X:$X,'01. KE30'!$C:$C,'06. BC BH THEO CUSTOMER-USD'!$D226,'01. KE30'!$F:$F,'06. BC BH THEO CUSTOMER-USD'!$H226,'01. KE30'!$A:$A,'06. BC BH THEO CUSTOMER-USD'!DX$4)-SUMIFS('01. KE30'!$AA:$AA,'01. KE30'!$C:$C,'06. BC BH THEO CUSTOMER-USD'!$D226,'01. KE30'!$F:$F,'06. BC BH THEO CUSTOMER-USD'!$H226,'01. KE30'!$A:$A,'06. BC BH THEO CUSTOMER-USD'!DX$4),"-")</f>
        <v>-0.62586140147115543</v>
      </c>
      <c r="DY226" s="114">
        <f>IFERROR(SUMIFS('01. KE30'!$X:$X,'01. KE30'!$C:$C,'06. BC BH THEO CUSTOMER-USD'!$D226,'01. KE30'!$F:$F,'06. BC BH THEO CUSTOMER-USD'!$H226,'01. KE30'!$A:$A,'06. BC BH THEO CUSTOMER-USD'!DY$4)-SUMIFS('01. KE30'!$AA:$AA,'01. KE30'!$C:$C,'06. BC BH THEO CUSTOMER-USD'!$D226,'01. KE30'!$F:$F,'06. BC BH THEO CUSTOMER-USD'!$H226,'01. KE30'!$A:$A,'06. BC BH THEO CUSTOMER-USD'!DY$4),"-")</f>
        <v>0</v>
      </c>
      <c r="DZ226" s="114">
        <f>IFERROR(SUMIFS('01. KE30'!$X:$X,'01. KE30'!$C:$C,'06. BC BH THEO CUSTOMER-USD'!$D226,'01. KE30'!$F:$F,'06. BC BH THEO CUSTOMER-USD'!$H226,'01. KE30'!$A:$A,'06. BC BH THEO CUSTOMER-USD'!DZ$4)-SUMIFS('01. KE30'!$AA:$AA,'01. KE30'!$C:$C,'06. BC BH THEO CUSTOMER-USD'!$D226,'01. KE30'!$F:$F,'06. BC BH THEO CUSTOMER-USD'!$H226,'01. KE30'!$A:$A,'06. BC BH THEO CUSTOMER-USD'!DZ$4),"-")</f>
        <v>0</v>
      </c>
      <c r="EA226" s="114">
        <f>IFERROR(SUMIFS('01. KE30'!$X:$X,'01. KE30'!$C:$C,'06. BC BH THEO CUSTOMER-USD'!$D226,'01. KE30'!$F:$F,'06. BC BH THEO CUSTOMER-USD'!$H226,'01. KE30'!$A:$A,'06. BC BH THEO CUSTOMER-USD'!EA$4)-SUMIFS('01. KE30'!$AA:$AA,'01. KE30'!$C:$C,'06. BC BH THEO CUSTOMER-USD'!$D226,'01. KE30'!$F:$F,'06. BC BH THEO CUSTOMER-USD'!$H226,'01. KE30'!$A:$A,'06. BC BH THEO CUSTOMER-USD'!EA$4),"-")</f>
        <v>0</v>
      </c>
      <c r="EB226" s="114">
        <f>IFERROR(SUMIFS('01. KE30'!$X:$X,'01. KE30'!$C:$C,'06. BC BH THEO CUSTOMER-USD'!$D226,'01. KE30'!$F:$F,'06. BC BH THEO CUSTOMER-USD'!$H226,'01. KE30'!$A:$A,'06. BC BH THEO CUSTOMER-USD'!EB$4)-SUMIFS('01. KE30'!$AA:$AA,'01. KE30'!$C:$C,'06. BC BH THEO CUSTOMER-USD'!$D226,'01. KE30'!$F:$F,'06. BC BH THEO CUSTOMER-USD'!$H226,'01. KE30'!$A:$A,'06. BC BH THEO CUSTOMER-USD'!EB$4),"-")</f>
        <v>0</v>
      </c>
      <c r="EC226" s="114">
        <f>IFERROR(SUMIFS('01. KE30'!$X:$X,'01. KE30'!$C:$C,'06. BC BH THEO CUSTOMER-USD'!$D226,'01. KE30'!$F:$F,'06. BC BH THEO CUSTOMER-USD'!$H226,'01. KE30'!$A:$A,'06. BC BH THEO CUSTOMER-USD'!EC$4)-SUMIFS('01. KE30'!$AA:$AA,'01. KE30'!$C:$C,'06. BC BH THEO CUSTOMER-USD'!$D226,'01. KE30'!$F:$F,'06. BC BH THEO CUSTOMER-USD'!$H226,'01. KE30'!$A:$A,'06. BC BH THEO CUSTOMER-USD'!EC$4),"-")</f>
        <v>0</v>
      </c>
      <c r="ED226" s="114">
        <f>IFERROR(SUMIFS('01. KE30'!$X:$X,'01. KE30'!$C:$C,'06. BC BH THEO CUSTOMER-USD'!$D226,'01. KE30'!$F:$F,'06. BC BH THEO CUSTOMER-USD'!$H226,'01. KE30'!$A:$A,'06. BC BH THEO CUSTOMER-USD'!ED$4)-SUMIFS('01. KE30'!$AA:$AA,'01. KE30'!$C:$C,'06. BC BH THEO CUSTOMER-USD'!$D226,'01. KE30'!$F:$F,'06. BC BH THEO CUSTOMER-USD'!$H226,'01. KE30'!$A:$A,'06. BC BH THEO CUSTOMER-USD'!ED$4),"-")</f>
        <v>0</v>
      </c>
      <c r="EE226" s="114">
        <f>IFERROR(SUMIFS('01. KE30'!$X:$X,'01. KE30'!$C:$C,'06. BC BH THEO CUSTOMER-USD'!$D226,'01. KE30'!$F:$F,'06. BC BH THEO CUSTOMER-USD'!$H226,'01. KE30'!$A:$A,'06. BC BH THEO CUSTOMER-USD'!EE$4)-SUMIFS('01. KE30'!$AA:$AA,'01. KE30'!$C:$C,'06. BC BH THEO CUSTOMER-USD'!$D226,'01. KE30'!$F:$F,'06. BC BH THEO CUSTOMER-USD'!$H226,'01. KE30'!$A:$A,'06. BC BH THEO CUSTOMER-USD'!EE$4),"-")</f>
        <v>0</v>
      </c>
      <c r="EF226" s="114">
        <f>IFERROR(SUMIFS('01. KE30'!$X:$X,'01. KE30'!$C:$C,'06. BC BH THEO CUSTOMER-USD'!$D226,'01. KE30'!$F:$F,'06. BC BH THEO CUSTOMER-USD'!$H226,'01. KE30'!$A:$A,'06. BC BH THEO CUSTOMER-USD'!EF$4)-SUMIFS('01. KE30'!$AA:$AA,'01. KE30'!$C:$C,'06. BC BH THEO CUSTOMER-USD'!$D226,'01. KE30'!$F:$F,'06. BC BH THEO CUSTOMER-USD'!$H226,'01. KE30'!$A:$A,'06. BC BH THEO CUSTOMER-USD'!EF$4),"-")</f>
        <v>0</v>
      </c>
      <c r="EH226" s="571">
        <f t="shared" ref="EH226:EH227" si="2972">IFERROR(DT226/DF226,"-")</f>
        <v>-7.994421806385224E-3</v>
      </c>
      <c r="EI226" s="572" t="str">
        <f t="shared" ref="EI226:EI227" si="2973">IFERROR(DU226/DG226,"-")</f>
        <v>-</v>
      </c>
      <c r="EJ226" s="572" t="str">
        <f t="shared" ref="EJ226:EJ227" si="2974">IFERROR(DV226/DH226,"-")</f>
        <v>-</v>
      </c>
      <c r="EK226" s="572" t="str">
        <f t="shared" ref="EK226:EK227" si="2975">IFERROR(DW226/DI226,"-")</f>
        <v>-</v>
      </c>
      <c r="EL226" s="572">
        <f t="shared" ref="EL226:EL227" si="2976">IFERROR(DX226/DJ226,"-")</f>
        <v>-7.994421806385224E-3</v>
      </c>
      <c r="EM226" s="572" t="str">
        <f t="shared" ref="EM226:EM227" si="2977">IFERROR(DY226/DK226,"-")</f>
        <v>-</v>
      </c>
      <c r="EN226" s="572" t="str">
        <f t="shared" ref="EN226:EN227" si="2978">IFERROR(DZ226/DL226,"-")</f>
        <v>-</v>
      </c>
      <c r="EO226" s="572" t="str">
        <f t="shared" ref="EO226:EO227" si="2979">IFERROR(EA226/DM226,"-")</f>
        <v>-</v>
      </c>
      <c r="EP226" s="572" t="str">
        <f t="shared" ref="EP226:EP227" si="2980">IFERROR(EB226/DN226,"-")</f>
        <v>-</v>
      </c>
      <c r="EQ226" s="572" t="str">
        <f t="shared" ref="EQ226:EQ227" si="2981">IFERROR(EC226/DO226,"-")</f>
        <v>-</v>
      </c>
      <c r="ER226" s="572" t="str">
        <f t="shared" ref="ER226:ER227" si="2982">IFERROR(ED226/DP226,"-")</f>
        <v>-</v>
      </c>
      <c r="ES226" s="572" t="str">
        <f t="shared" ref="ES226:ES227" si="2983">IFERROR(EE226/DQ226,"-")</f>
        <v>-</v>
      </c>
      <c r="ET226" s="572" t="str">
        <f t="shared" ref="ET226:ET227" si="2984">IFERROR(EF226/DR226,"-")</f>
        <v>-</v>
      </c>
    </row>
    <row r="227" spans="1:150" ht="15.5" outlineLevel="1" x14ac:dyDescent="0.35">
      <c r="A227" s="10">
        <f t="shared" ref="A227" si="2985">A226+1</f>
        <v>4</v>
      </c>
      <c r="B227" s="10" t="s">
        <v>269</v>
      </c>
      <c r="C227" s="442" t="s">
        <v>489</v>
      </c>
      <c r="D227" s="9" t="s">
        <v>716</v>
      </c>
      <c r="E227" s="8" t="s">
        <v>717</v>
      </c>
      <c r="F227" s="12" t="s">
        <v>245</v>
      </c>
      <c r="G227" s="12" t="str">
        <f>_xlfn.XLOOKUP(F227,'Quy đổi'!$G$5:$G$32,'Quy đổi'!$H$5:$H$32,0)</f>
        <v>Nội địa</v>
      </c>
      <c r="H227" s="80" t="s">
        <v>729</v>
      </c>
      <c r="I227" s="7" t="s">
        <v>730</v>
      </c>
      <c r="J227" s="69" t="s">
        <v>22</v>
      </c>
      <c r="K227" s="5"/>
      <c r="L227" s="92">
        <f t="shared" si="2927"/>
        <v>782.8726287262873</v>
      </c>
      <c r="M227" s="106" t="str">
        <f>IFERROR(SUMIFS('01. KE30'!$K:$K,'01. KE30'!$C:$C,'06. BC BH THEO CUSTOMER-USD'!$D227,'01. KE30'!$F:$F,'06. BC BH THEO CUSTOMER-USD'!$H227,'01. KE30'!$A:$A,'06. BC BH THEO CUSTOMER-USD'!M$4)/'06. BC BH THEO CUSTOMER-USD'!CS227/'02. Tỷ giá'!B$5,"-")</f>
        <v>-</v>
      </c>
      <c r="N227" s="106" t="str">
        <f>IFERROR(SUMIFS('01. KE30'!$K:$K,'01. KE30'!$C:$C,'06. BC BH THEO CUSTOMER-USD'!$D227,'01. KE30'!$F:$F,'06. BC BH THEO CUSTOMER-USD'!$H227,'01. KE30'!$A:$A,'06. BC BH THEO CUSTOMER-USD'!N$4)/'06. BC BH THEO CUSTOMER-USD'!CT227/'02. Tỷ giá'!C$5,"-")</f>
        <v>-</v>
      </c>
      <c r="O227" s="106" t="str">
        <f>IFERROR(SUMIFS('01. KE30'!$K:$K,'01. KE30'!$C:$C,'06. BC BH THEO CUSTOMER-USD'!$D227,'01. KE30'!$F:$F,'06. BC BH THEO CUSTOMER-USD'!$H227,'01. KE30'!$A:$A,'06. BC BH THEO CUSTOMER-USD'!O$4)/'06. BC BH THEO CUSTOMER-USD'!CU227/'02. Tỷ giá'!D$5,"-")</f>
        <v>-</v>
      </c>
      <c r="P227" s="106">
        <f>IFERROR(SUMIFS('01. KE30'!$K:$K,'01. KE30'!$C:$C,'06. BC BH THEO CUSTOMER-USD'!$D227,'01. KE30'!$F:$F,'06. BC BH THEO CUSTOMER-USD'!$H227,'01. KE30'!$A:$A,'06. BC BH THEO CUSTOMER-USD'!P$4)/'06. BC BH THEO CUSTOMER-USD'!CV227/'02. Tỷ giá'!E$5,"-")</f>
        <v>782.8726287262873</v>
      </c>
      <c r="Q227" s="106" t="str">
        <f>IFERROR(SUMIFS('01. KE30'!$K:$K,'01. KE30'!$C:$C,'06. BC BH THEO CUSTOMER-USD'!$D227,'01. KE30'!$F:$F,'06. BC BH THEO CUSTOMER-USD'!$H227,'01. KE30'!$A:$A,'06. BC BH THEO CUSTOMER-USD'!Q$4)/'06. BC BH THEO CUSTOMER-USD'!CW227/'02. Tỷ giá'!F$5,"-")</f>
        <v>-</v>
      </c>
      <c r="R227" s="106" t="str">
        <f>IFERROR(SUMIFS('01. KE30'!$K:$K,'01. KE30'!$C:$C,'06. BC BH THEO CUSTOMER-USD'!$D227,'01. KE30'!$F:$F,'06. BC BH THEO CUSTOMER-USD'!$H227,'01. KE30'!$A:$A,'06. BC BH THEO CUSTOMER-USD'!R$4)/'06. BC BH THEO CUSTOMER-USD'!CX227/'02. Tỷ giá'!G$5,"-")</f>
        <v>-</v>
      </c>
      <c r="S227" s="106" t="str">
        <f>IFERROR(SUMIFS('01. KE30'!$K:$K,'01. KE30'!$C:$C,'06. BC BH THEO CUSTOMER-USD'!$D227,'01. KE30'!$F:$F,'06. BC BH THEO CUSTOMER-USD'!$H227,'01. KE30'!$A:$A,'06. BC BH THEO CUSTOMER-USD'!S$4)/'06. BC BH THEO CUSTOMER-USD'!CY227/'02. Tỷ giá'!H$5,"-")</f>
        <v>-</v>
      </c>
      <c r="T227" s="106" t="str">
        <f>IFERROR(SUMIFS('01. KE30'!$K:$K,'01. KE30'!$C:$C,'06. BC BH THEO CUSTOMER-USD'!$D227,'01. KE30'!$F:$F,'06. BC BH THEO CUSTOMER-USD'!$H227,'01. KE30'!$A:$A,'06. BC BH THEO CUSTOMER-USD'!T$4)/'06. BC BH THEO CUSTOMER-USD'!CZ227/'02. Tỷ giá'!I$5,"-")</f>
        <v>-</v>
      </c>
      <c r="U227" s="106" t="str">
        <f>IFERROR(SUMIFS('01. KE30'!$K:$K,'01. KE30'!$C:$C,'06. BC BH THEO CUSTOMER-USD'!$D227,'01. KE30'!$F:$F,'06. BC BH THEO CUSTOMER-USD'!$H227,'01. KE30'!$A:$A,'06. BC BH THEO CUSTOMER-USD'!U$4)/'06. BC BH THEO CUSTOMER-USD'!DA227/'02. Tỷ giá'!J$5,"-")</f>
        <v>-</v>
      </c>
      <c r="V227" s="106" t="str">
        <f>IFERROR(SUMIFS('01. KE30'!$K:$K,'01. KE30'!$C:$C,'06. BC BH THEO CUSTOMER-USD'!$D227,'01. KE30'!$F:$F,'06. BC BH THEO CUSTOMER-USD'!$H227,'01. KE30'!$A:$A,'06. BC BH THEO CUSTOMER-USD'!V$4)/'06. BC BH THEO CUSTOMER-USD'!DB227/'02. Tỷ giá'!K$5,"-")</f>
        <v>-</v>
      </c>
      <c r="W227" s="106" t="str">
        <f>IFERROR(SUMIFS('01. KE30'!$K:$K,'01. KE30'!$C:$C,'06. BC BH THEO CUSTOMER-USD'!$D227,'01. KE30'!$F:$F,'06. BC BH THEO CUSTOMER-USD'!$H227,'01. KE30'!$A:$A,'06. BC BH THEO CUSTOMER-USD'!W$4)/'06. BC BH THEO CUSTOMER-USD'!DC227/'02. Tỷ giá'!L$5,"-")</f>
        <v>-</v>
      </c>
      <c r="X227" s="106" t="str">
        <f>IFERROR(SUMIFS('01. KE30'!$K:$K,'01. KE30'!$C:$C,'06. BC BH THEO CUSTOMER-USD'!$D227,'01. KE30'!$F:$F,'06. BC BH THEO CUSTOMER-USD'!$H227,'01. KE30'!$A:$A,'06. BC BH THEO CUSTOMER-USD'!X$4)/'06. BC BH THEO CUSTOMER-USD'!DD227/'02. Tỷ giá'!M$5,"-")</f>
        <v>-</v>
      </c>
      <c r="Z227" s="92">
        <f t="shared" si="2928"/>
        <v>782.8726287262873</v>
      </c>
      <c r="AA227" s="147" t="str">
        <f>IFERROR(SUMIFS('01. KE30'!$O:$O,'01. KE30'!$C:$C,'06. BC BH THEO CUSTOMER-USD'!$D227,'01. KE30'!$F:$F,'06. BC BH THEO CUSTOMER-USD'!$H227,'01. KE30'!$A:$A,'06. BC BH THEO CUSTOMER-USD'!M$4)/'06. BC BH THEO CUSTOMER-USD'!CS227/'02. Tỷ giá'!B$5,"-")</f>
        <v>-</v>
      </c>
      <c r="AB227" s="147" t="str">
        <f>IFERROR(SUMIFS('01. KE30'!$O:$O,'01. KE30'!$C:$C,'06. BC BH THEO CUSTOMER-USD'!$D227,'01. KE30'!$F:$F,'06. BC BH THEO CUSTOMER-USD'!$H227,'01. KE30'!$A:$A,'06. BC BH THEO CUSTOMER-USD'!N$4)/'06. BC BH THEO CUSTOMER-USD'!CT227/'02. Tỷ giá'!C$5,"-")</f>
        <v>-</v>
      </c>
      <c r="AC227" s="147" t="str">
        <f>IFERROR(SUMIFS('01. KE30'!$O:$O,'01. KE30'!$C:$C,'06. BC BH THEO CUSTOMER-USD'!$D227,'01. KE30'!$F:$F,'06. BC BH THEO CUSTOMER-USD'!$H227,'01. KE30'!$A:$A,'06. BC BH THEO CUSTOMER-USD'!O$4)/'06. BC BH THEO CUSTOMER-USD'!CU227/'02. Tỷ giá'!D$5,"-")</f>
        <v>-</v>
      </c>
      <c r="AD227" s="147">
        <f>IFERROR(SUMIFS('01. KE30'!$O:$O,'01. KE30'!$C:$C,'06. BC BH THEO CUSTOMER-USD'!$D227,'01. KE30'!$F:$F,'06. BC BH THEO CUSTOMER-USD'!$H227,'01. KE30'!$A:$A,'06. BC BH THEO CUSTOMER-USD'!P$4)/'06. BC BH THEO CUSTOMER-USD'!CV227/'02. Tỷ giá'!E$5,"-")</f>
        <v>782.8726287262873</v>
      </c>
      <c r="AE227" s="147" t="str">
        <f>IFERROR(SUMIFS('01. KE30'!$O:$O,'01. KE30'!$C:$C,'06. BC BH THEO CUSTOMER-USD'!$D227,'01. KE30'!$F:$F,'06. BC BH THEO CUSTOMER-USD'!$H227,'01. KE30'!$A:$A,'06. BC BH THEO CUSTOMER-USD'!Q$4)/'06. BC BH THEO CUSTOMER-USD'!CW227/'02. Tỷ giá'!F$5,"-")</f>
        <v>-</v>
      </c>
      <c r="AF227" s="147" t="str">
        <f>IFERROR(SUMIFS('01. KE30'!$O:$O,'01. KE30'!$C:$C,'06. BC BH THEO CUSTOMER-USD'!$D227,'01. KE30'!$F:$F,'06. BC BH THEO CUSTOMER-USD'!$H227,'01. KE30'!$A:$A,'06. BC BH THEO CUSTOMER-USD'!R$4)/'06. BC BH THEO CUSTOMER-USD'!CX227/'02. Tỷ giá'!G$5,"-")</f>
        <v>-</v>
      </c>
      <c r="AG227" s="147" t="str">
        <f>IFERROR(SUMIFS('01. KE30'!$O:$O,'01. KE30'!$C:$C,'06. BC BH THEO CUSTOMER-USD'!$D227,'01. KE30'!$F:$F,'06. BC BH THEO CUSTOMER-USD'!$H227,'01. KE30'!$A:$A,'06. BC BH THEO CUSTOMER-USD'!S$4)/'06. BC BH THEO CUSTOMER-USD'!CY227/'02. Tỷ giá'!H$5,"-")</f>
        <v>-</v>
      </c>
      <c r="AH227" s="147" t="str">
        <f>IFERROR(SUMIFS('01. KE30'!$O:$O,'01. KE30'!$C:$C,'06. BC BH THEO CUSTOMER-USD'!$D227,'01. KE30'!$F:$F,'06. BC BH THEO CUSTOMER-USD'!$H227,'01. KE30'!$A:$A,'06. BC BH THEO CUSTOMER-USD'!T$4)/'06. BC BH THEO CUSTOMER-USD'!CZ227/'02. Tỷ giá'!I$5,"-")</f>
        <v>-</v>
      </c>
      <c r="AI227" s="147" t="str">
        <f>IFERROR(SUMIFS('01. KE30'!$O:$O,'01. KE30'!$C:$C,'06. BC BH THEO CUSTOMER-USD'!$D227,'01. KE30'!$F:$F,'06. BC BH THEO CUSTOMER-USD'!$H227,'01. KE30'!$A:$A,'06. BC BH THEO CUSTOMER-USD'!U$4)/'06. BC BH THEO CUSTOMER-USD'!DA227/'02. Tỷ giá'!J$5,"-")</f>
        <v>-</v>
      </c>
      <c r="AJ227" s="147" t="str">
        <f>IFERROR(SUMIFS('01. KE30'!$O:$O,'01. KE30'!$C:$C,'06. BC BH THEO CUSTOMER-USD'!$D227,'01. KE30'!$F:$F,'06. BC BH THEO CUSTOMER-USD'!$H227,'01. KE30'!$A:$A,'06. BC BH THEO CUSTOMER-USD'!V$4)/'06. BC BH THEO CUSTOMER-USD'!DB227/'02. Tỷ giá'!K$5,"-")</f>
        <v>-</v>
      </c>
      <c r="AK227" s="147" t="str">
        <f>IFERROR(SUMIFS('01. KE30'!$O:$O,'01. KE30'!$C:$C,'06. BC BH THEO CUSTOMER-USD'!$D227,'01. KE30'!$F:$F,'06. BC BH THEO CUSTOMER-USD'!$H227,'01. KE30'!$A:$A,'06. BC BH THEO CUSTOMER-USD'!W$4)/'06. BC BH THEO CUSTOMER-USD'!DC227/'02. Tỷ giá'!L$5,"-")</f>
        <v>-</v>
      </c>
      <c r="AL227" s="147" t="str">
        <f>IFERROR(SUMIFS('01. KE30'!$O:$O,'01. KE30'!$C:$C,'06. BC BH THEO CUSTOMER-USD'!$D227,'01. KE30'!$F:$F,'06. BC BH THEO CUSTOMER-USD'!$H227,'01. KE30'!$A:$A,'06. BC BH THEO CUSTOMER-USD'!X$4)/'06. BC BH THEO CUSTOMER-USD'!DD227/'02. Tỷ giá'!M$5,"-")</f>
        <v>-</v>
      </c>
      <c r="AN227" s="92">
        <f t="shared" si="2929"/>
        <v>748.88888888888891</v>
      </c>
      <c r="AO227" s="4">
        <v>855</v>
      </c>
      <c r="AP227" s="4">
        <v>780</v>
      </c>
      <c r="AQ227" s="4">
        <v>790</v>
      </c>
      <c r="AR227" s="4">
        <v>785</v>
      </c>
      <c r="AS227" s="4">
        <v>765</v>
      </c>
      <c r="AT227" s="4">
        <v>765</v>
      </c>
      <c r="AU227" s="4">
        <v>680</v>
      </c>
      <c r="AV227" s="4">
        <f t="shared" si="2518"/>
        <v>660</v>
      </c>
      <c r="AW227" s="4">
        <v>660</v>
      </c>
      <c r="AX227" s="4"/>
      <c r="AY227" s="4"/>
      <c r="AZ227" s="4"/>
      <c r="BB227" s="95">
        <f t="shared" si="2930"/>
        <v>33.983739837398389</v>
      </c>
      <c r="BC227" s="95" t="str">
        <f t="shared" si="2931"/>
        <v>-</v>
      </c>
      <c r="BD227" s="95" t="str">
        <f t="shared" si="2932"/>
        <v>-</v>
      </c>
      <c r="BE227" s="95" t="str">
        <f t="shared" si="2933"/>
        <v>-</v>
      </c>
      <c r="BF227" s="95">
        <f t="shared" si="2934"/>
        <v>-2.1273712737126971</v>
      </c>
      <c r="BG227" s="95" t="str">
        <f t="shared" si="2935"/>
        <v>-</v>
      </c>
      <c r="BH227" s="95" t="str">
        <f t="shared" si="2936"/>
        <v>-</v>
      </c>
      <c r="BI227" s="95" t="str">
        <f t="shared" si="2937"/>
        <v>-</v>
      </c>
      <c r="BJ227" s="95" t="str">
        <f t="shared" si="2938"/>
        <v>-</v>
      </c>
      <c r="BK227" s="95" t="str">
        <f t="shared" si="2939"/>
        <v>-</v>
      </c>
      <c r="BL227" s="95" t="str">
        <f t="shared" si="2940"/>
        <v>-</v>
      </c>
      <c r="BM227" s="95" t="str">
        <f t="shared" si="2941"/>
        <v>-</v>
      </c>
      <c r="BN227" s="95" t="str">
        <f t="shared" si="2942"/>
        <v>-</v>
      </c>
      <c r="BP227" s="143">
        <f t="shared" si="2943"/>
        <v>4.5378881088514164E-2</v>
      </c>
      <c r="BQ227" s="143" t="str">
        <f t="shared" si="2944"/>
        <v>-</v>
      </c>
      <c r="BR227" s="143" t="str">
        <f t="shared" si="2945"/>
        <v>-</v>
      </c>
      <c r="BS227" s="143" t="str">
        <f t="shared" si="2946"/>
        <v>-</v>
      </c>
      <c r="BT227" s="143">
        <f t="shared" si="2947"/>
        <v>-2.7100271002709515E-3</v>
      </c>
      <c r="BU227" s="143" t="str">
        <f t="shared" si="2948"/>
        <v>-</v>
      </c>
      <c r="BV227" s="143" t="str">
        <f t="shared" si="2949"/>
        <v>-</v>
      </c>
      <c r="BW227" s="143" t="str">
        <f t="shared" si="2950"/>
        <v>-</v>
      </c>
      <c r="BX227" s="143" t="str">
        <f t="shared" si="2951"/>
        <v>-</v>
      </c>
      <c r="BY227" s="143" t="str">
        <f t="shared" si="2952"/>
        <v>-</v>
      </c>
      <c r="BZ227" s="143" t="str">
        <f t="shared" si="2953"/>
        <v>-</v>
      </c>
      <c r="CA227" s="143" t="str">
        <f t="shared" si="2954"/>
        <v>-</v>
      </c>
      <c r="CB227" s="143" t="str">
        <f t="shared" si="2955"/>
        <v>-</v>
      </c>
      <c r="CD227" s="112">
        <f t="shared" si="2956"/>
        <v>752.01742160278741</v>
      </c>
      <c r="CE227" s="95" t="str">
        <f>IFERROR(SUMIFS('01. KE30'!$R:$R,'01. KE30'!$C:$C,'06. BC BH THEO CUSTOMER-USD'!$D227,'01. KE30'!$F:$F,'06. BC BH THEO CUSTOMER-USD'!$H227,'01. KE30'!$A:$A,'06. BC BH THEO CUSTOMER-USD'!CE$4)/CS227/'02. Tỷ giá'!B$5," -")</f>
        <v xml:space="preserve"> -</v>
      </c>
      <c r="CF227" s="95" t="str">
        <f>IFERROR(SUMIFS('01. KE30'!$R:$R,'01. KE30'!$C:$C,'06. BC BH THEO CUSTOMER-USD'!$D227,'01. KE30'!$F:$F,'06. BC BH THEO CUSTOMER-USD'!$H227,'01. KE30'!$A:$A,'06. BC BH THEO CUSTOMER-USD'!CF$4)/CT227/'02. Tỷ giá'!C$5," -")</f>
        <v xml:space="preserve"> -</v>
      </c>
      <c r="CG227" s="95" t="str">
        <f>IFERROR(SUMIFS('01. KE30'!$R:$R,'01. KE30'!$C:$C,'06. BC BH THEO CUSTOMER-USD'!$D227,'01. KE30'!$F:$F,'06. BC BH THEO CUSTOMER-USD'!$H227,'01. KE30'!$A:$A,'06. BC BH THEO CUSTOMER-USD'!CG$4)/CU227/'02. Tỷ giá'!D$5," -")</f>
        <v xml:space="preserve"> -</v>
      </c>
      <c r="CH227" s="95">
        <f>IFERROR(SUMIFS('01. KE30'!$R:$R,'01. KE30'!$C:$C,'06. BC BH THEO CUSTOMER-USD'!$D227,'01. KE30'!$F:$F,'06. BC BH THEO CUSTOMER-USD'!$H227,'01. KE30'!$A:$A,'06. BC BH THEO CUSTOMER-USD'!CH$4)/CV227/'02. Tỷ giá'!E$5," -")</f>
        <v>752.01742160278741</v>
      </c>
      <c r="CI227" s="95" t="str">
        <f>IFERROR(SUMIFS('01. KE30'!$R:$R,'01. KE30'!$C:$C,'06. BC BH THEO CUSTOMER-USD'!$D227,'01. KE30'!$F:$F,'06. BC BH THEO CUSTOMER-USD'!$H227,'01. KE30'!$A:$A,'06. BC BH THEO CUSTOMER-USD'!CI$4)/CW227/'02. Tỷ giá'!F$5," -")</f>
        <v xml:space="preserve"> -</v>
      </c>
      <c r="CJ227" s="95" t="str">
        <f>IFERROR(SUMIFS('01. KE30'!$R:$R,'01. KE30'!$C:$C,'06. BC BH THEO CUSTOMER-USD'!$D227,'01. KE30'!$F:$F,'06. BC BH THEO CUSTOMER-USD'!$H227,'01. KE30'!$A:$A,'06. BC BH THEO CUSTOMER-USD'!CJ$4)/CX227/'02. Tỷ giá'!G$5," -")</f>
        <v xml:space="preserve"> -</v>
      </c>
      <c r="CK227" s="95" t="str">
        <f>IFERROR(SUMIFS('01. KE30'!$R:$R,'01. KE30'!$C:$C,'06. BC BH THEO CUSTOMER-USD'!$D227,'01. KE30'!$F:$F,'06. BC BH THEO CUSTOMER-USD'!$H227,'01. KE30'!$A:$A,'06. BC BH THEO CUSTOMER-USD'!CK$4)/CY227/'02. Tỷ giá'!H$5," -")</f>
        <v xml:space="preserve"> -</v>
      </c>
      <c r="CL227" s="95" t="str">
        <f>IFERROR(SUMIFS('01. KE30'!$R:$R,'01. KE30'!$C:$C,'06. BC BH THEO CUSTOMER-USD'!$D227,'01. KE30'!$F:$F,'06. BC BH THEO CUSTOMER-USD'!$H227,'01. KE30'!$A:$A,'06. BC BH THEO CUSTOMER-USD'!CL$4)/CZ227/'02. Tỷ giá'!I$5," -")</f>
        <v xml:space="preserve"> -</v>
      </c>
      <c r="CM227" s="95" t="str">
        <f>IFERROR(SUMIFS('01. KE30'!$R:$R,'01. KE30'!$C:$C,'06. BC BH THEO CUSTOMER-USD'!$D227,'01. KE30'!$F:$F,'06. BC BH THEO CUSTOMER-USD'!$H227,'01. KE30'!$A:$A,'06. BC BH THEO CUSTOMER-USD'!CM$4)/DA227/'02. Tỷ giá'!J$5," -")</f>
        <v xml:space="preserve"> -</v>
      </c>
      <c r="CN227" s="95" t="str">
        <f>IFERROR(SUMIFS('01. KE30'!$R:$R,'01. KE30'!$C:$C,'06. BC BH THEO CUSTOMER-USD'!$D227,'01. KE30'!$F:$F,'06. BC BH THEO CUSTOMER-USD'!$H227,'01. KE30'!$A:$A,'06. BC BH THEO CUSTOMER-USD'!CN$4)/DB227/'02. Tỷ giá'!K$5," -")</f>
        <v xml:space="preserve"> -</v>
      </c>
      <c r="CO227" s="95" t="str">
        <f>IFERROR(SUMIFS('01. KE30'!$R:$R,'01. KE30'!$C:$C,'06. BC BH THEO CUSTOMER-USD'!$D227,'01. KE30'!$F:$F,'06. BC BH THEO CUSTOMER-USD'!$H227,'01. KE30'!$A:$A,'06. BC BH THEO CUSTOMER-USD'!CO$4)/DC227/'02. Tỷ giá'!L$5," -")</f>
        <v xml:space="preserve"> -</v>
      </c>
      <c r="CP227" s="95" t="str">
        <f>IFERROR(SUMIFS('01. KE30'!$R:$R,'01. KE30'!$C:$C,'06. BC BH THEO CUSTOMER-USD'!$D227,'01. KE30'!$F:$F,'06. BC BH THEO CUSTOMER-USD'!$H227,'01. KE30'!$A:$A,'06. BC BH THEO CUSTOMER-USD'!CP$4)/DD227/'02. Tỷ giá'!M$5," -")</f>
        <v xml:space="preserve"> -</v>
      </c>
      <c r="CR227" s="112">
        <f t="shared" si="2957"/>
        <v>0.1</v>
      </c>
      <c r="CS227" s="114">
        <f>SUMIFS('01. KE30'!$I:$I,'01. KE30'!$C:$C,'06. BC BH THEO CUSTOMER-USD'!$D227,'01. KE30'!$F:$F,'06. BC BH THEO CUSTOMER-USD'!$H227,'01. KE30'!$A:$A,'06. BC BH THEO CUSTOMER-USD'!CS$4)/1000</f>
        <v>0</v>
      </c>
      <c r="CT227" s="114">
        <f>SUMIFS('01. KE30'!$I:$I,'01. KE30'!$C:$C,'06. BC BH THEO CUSTOMER-USD'!$D227,'01. KE30'!$F:$F,'06. BC BH THEO CUSTOMER-USD'!$H227,'01. KE30'!$A:$A,'06. BC BH THEO CUSTOMER-USD'!CT$4)/1000</f>
        <v>0</v>
      </c>
      <c r="CU227" s="114">
        <f>SUMIFS('01. KE30'!$I:$I,'01. KE30'!$C:$C,'06. BC BH THEO CUSTOMER-USD'!$D227,'01. KE30'!$F:$F,'06. BC BH THEO CUSTOMER-USD'!$H227,'01. KE30'!$A:$A,'06. BC BH THEO CUSTOMER-USD'!CU$4)/1000</f>
        <v>0</v>
      </c>
      <c r="CV227" s="114">
        <f>SUMIFS('01. KE30'!$I:$I,'01. KE30'!$C:$C,'06. BC BH THEO CUSTOMER-USD'!$D227,'01. KE30'!$F:$F,'06. BC BH THEO CUSTOMER-USD'!$H227,'01. KE30'!$A:$A,'06. BC BH THEO CUSTOMER-USD'!CV$4)/1000</f>
        <v>0.1</v>
      </c>
      <c r="CW227" s="114">
        <f>SUMIFS('01. KE30'!$I:$I,'01. KE30'!$C:$C,'06. BC BH THEO CUSTOMER-USD'!$D227,'01. KE30'!$F:$F,'06. BC BH THEO CUSTOMER-USD'!$H227,'01. KE30'!$A:$A,'06. BC BH THEO CUSTOMER-USD'!CW$4)/1000</f>
        <v>0</v>
      </c>
      <c r="CX227" s="114">
        <f>SUMIFS('01. KE30'!$I:$I,'01. KE30'!$C:$C,'06. BC BH THEO CUSTOMER-USD'!$D227,'01. KE30'!$F:$F,'06. BC BH THEO CUSTOMER-USD'!$H227,'01. KE30'!$A:$A,'06. BC BH THEO CUSTOMER-USD'!CX$4)/1000</f>
        <v>0</v>
      </c>
      <c r="CY227" s="114">
        <f>SUMIFS('01. KE30'!$I:$I,'01. KE30'!$C:$C,'06. BC BH THEO CUSTOMER-USD'!$D227,'01. KE30'!$F:$F,'06. BC BH THEO CUSTOMER-USD'!$H227,'01. KE30'!$A:$A,'06. BC BH THEO CUSTOMER-USD'!CY$4)/1000</f>
        <v>0</v>
      </c>
      <c r="CZ227" s="114">
        <f>SUMIFS('01. KE30'!$I:$I,'01. KE30'!$C:$C,'06. BC BH THEO CUSTOMER-USD'!$D227,'01. KE30'!$F:$F,'06. BC BH THEO CUSTOMER-USD'!$H227,'01. KE30'!$A:$A,'06. BC BH THEO CUSTOMER-USD'!CZ$4)/1000</f>
        <v>0</v>
      </c>
      <c r="DA227" s="114">
        <f>SUMIFS('01. KE30'!$I:$I,'01. KE30'!$C:$C,'06. BC BH THEO CUSTOMER-USD'!$D227,'01. KE30'!$F:$F,'06. BC BH THEO CUSTOMER-USD'!$H227,'01. KE30'!$A:$A,'06. BC BH THEO CUSTOMER-USD'!DA$4)/1000</f>
        <v>0</v>
      </c>
      <c r="DB227" s="114">
        <f>SUMIFS('01. KE30'!$I:$I,'01. KE30'!$C:$C,'06. BC BH THEO CUSTOMER-USD'!$D227,'01. KE30'!$F:$F,'06. BC BH THEO CUSTOMER-USD'!$H227,'01. KE30'!$A:$A,'06. BC BH THEO CUSTOMER-USD'!DB$4)/1000</f>
        <v>0</v>
      </c>
      <c r="DC227" s="114">
        <f>SUMIFS('01. KE30'!$I:$I,'01. KE30'!$C:$C,'06. BC BH THEO CUSTOMER-USD'!$D227,'01. KE30'!$F:$F,'06. BC BH THEO CUSTOMER-USD'!$H227,'01. KE30'!$A:$A,'06. BC BH THEO CUSTOMER-USD'!DC$4)/1000</f>
        <v>0</v>
      </c>
      <c r="DD227" s="114">
        <f>SUMIFS('01. KE30'!$I:$I,'01. KE30'!$C:$C,'06. BC BH THEO CUSTOMER-USD'!$D227,'01. KE30'!$F:$F,'06. BC BH THEO CUSTOMER-USD'!$H227,'01. KE30'!$A:$A,'06. BC BH THEO CUSTOMER-USD'!DD$4)/1000</f>
        <v>0</v>
      </c>
      <c r="DF227" s="112">
        <f t="shared" si="2958"/>
        <v>78.28726287262873</v>
      </c>
      <c r="DG227" s="54" t="str">
        <f t="shared" si="2959"/>
        <v>-</v>
      </c>
      <c r="DH227" s="54" t="str">
        <f t="shared" si="2960"/>
        <v>-</v>
      </c>
      <c r="DI227" s="54" t="str">
        <f t="shared" si="2961"/>
        <v>-</v>
      </c>
      <c r="DJ227" s="54">
        <f t="shared" si="2962"/>
        <v>78.28726287262873</v>
      </c>
      <c r="DK227" s="54" t="str">
        <f t="shared" si="2963"/>
        <v>-</v>
      </c>
      <c r="DL227" s="54" t="str">
        <f t="shared" si="2964"/>
        <v>-</v>
      </c>
      <c r="DM227" s="54" t="str">
        <f t="shared" si="2965"/>
        <v>-</v>
      </c>
      <c r="DN227" s="54" t="str">
        <f t="shared" si="2966"/>
        <v>-</v>
      </c>
      <c r="DO227" s="54" t="str">
        <f t="shared" si="2967"/>
        <v>-</v>
      </c>
      <c r="DP227" s="54" t="str">
        <f t="shared" si="2968"/>
        <v>-</v>
      </c>
      <c r="DQ227" s="54" t="str">
        <f t="shared" si="2969"/>
        <v>-</v>
      </c>
      <c r="DR227" s="54" t="str">
        <f t="shared" si="2970"/>
        <v>-</v>
      </c>
      <c r="DT227" s="112">
        <f t="shared" si="2971"/>
        <v>3.0855207123499895</v>
      </c>
      <c r="DU227" s="114">
        <f>IFERROR(SUMIFS('01. KE30'!$X:$X,'01. KE30'!$C:$C,'06. BC BH THEO CUSTOMER-USD'!$D227,'01. KE30'!$F:$F,'06. BC BH THEO CUSTOMER-USD'!$H227,'01. KE30'!$A:$A,'06. BC BH THEO CUSTOMER-USD'!DU$4)-SUMIFS('01. KE30'!$AA:$AA,'01. KE30'!$C:$C,'06. BC BH THEO CUSTOMER-USD'!$D227,'01. KE30'!$F:$F,'06. BC BH THEO CUSTOMER-USD'!$H227,'01. KE30'!$A:$A,'06. BC BH THEO CUSTOMER-USD'!DU$4),"-")</f>
        <v>0</v>
      </c>
      <c r="DV227" s="114">
        <f>IFERROR(SUMIFS('01. KE30'!$X:$X,'01. KE30'!$C:$C,'06. BC BH THEO CUSTOMER-USD'!$D227,'01. KE30'!$F:$F,'06. BC BH THEO CUSTOMER-USD'!$H227,'01. KE30'!$A:$A,'06. BC BH THEO CUSTOMER-USD'!DV$4)-SUMIFS('01. KE30'!$AA:$AA,'01. KE30'!$C:$C,'06. BC BH THEO CUSTOMER-USD'!$D227,'01. KE30'!$F:$F,'06. BC BH THEO CUSTOMER-USD'!$H227,'01. KE30'!$A:$A,'06. BC BH THEO CUSTOMER-USD'!DV$4),"-")</f>
        <v>0</v>
      </c>
      <c r="DW227" s="114">
        <f>IFERROR(SUMIFS('01. KE30'!$X:$X,'01. KE30'!$C:$C,'06. BC BH THEO CUSTOMER-USD'!$D227,'01. KE30'!$F:$F,'06. BC BH THEO CUSTOMER-USD'!$H227,'01. KE30'!$A:$A,'06. BC BH THEO CUSTOMER-USD'!DW$4)-SUMIFS('01. KE30'!$AA:$AA,'01. KE30'!$C:$C,'06. BC BH THEO CUSTOMER-USD'!$D227,'01. KE30'!$F:$F,'06. BC BH THEO CUSTOMER-USD'!$H227,'01. KE30'!$A:$A,'06. BC BH THEO CUSTOMER-USD'!DW$4),"-")</f>
        <v>0</v>
      </c>
      <c r="DX227" s="114">
        <f>IFERROR(SUMIFS('01. KE30'!$X:$X,'01. KE30'!$C:$C,'06. BC BH THEO CUSTOMER-USD'!$D227,'01. KE30'!$F:$F,'06. BC BH THEO CUSTOMER-USD'!$H227,'01. KE30'!$A:$A,'06. BC BH THEO CUSTOMER-USD'!DX$4)-SUMIFS('01. KE30'!$AA:$AA,'01. KE30'!$C:$C,'06. BC BH THEO CUSTOMER-USD'!$D227,'01. KE30'!$F:$F,'06. BC BH THEO CUSTOMER-USD'!$H227,'01. KE30'!$A:$A,'06. BC BH THEO CUSTOMER-USD'!DX$4),"-")</f>
        <v>3.0855207123499895</v>
      </c>
      <c r="DY227" s="114">
        <f>IFERROR(SUMIFS('01. KE30'!$X:$X,'01. KE30'!$C:$C,'06. BC BH THEO CUSTOMER-USD'!$D227,'01. KE30'!$F:$F,'06. BC BH THEO CUSTOMER-USD'!$H227,'01. KE30'!$A:$A,'06. BC BH THEO CUSTOMER-USD'!DY$4)-SUMIFS('01. KE30'!$AA:$AA,'01. KE30'!$C:$C,'06. BC BH THEO CUSTOMER-USD'!$D227,'01. KE30'!$F:$F,'06. BC BH THEO CUSTOMER-USD'!$H227,'01. KE30'!$A:$A,'06. BC BH THEO CUSTOMER-USD'!DY$4),"-")</f>
        <v>0</v>
      </c>
      <c r="DZ227" s="114">
        <f>IFERROR(SUMIFS('01. KE30'!$X:$X,'01. KE30'!$C:$C,'06. BC BH THEO CUSTOMER-USD'!$D227,'01. KE30'!$F:$F,'06. BC BH THEO CUSTOMER-USD'!$H227,'01. KE30'!$A:$A,'06. BC BH THEO CUSTOMER-USD'!DZ$4)-SUMIFS('01. KE30'!$AA:$AA,'01. KE30'!$C:$C,'06. BC BH THEO CUSTOMER-USD'!$D227,'01. KE30'!$F:$F,'06. BC BH THEO CUSTOMER-USD'!$H227,'01. KE30'!$A:$A,'06. BC BH THEO CUSTOMER-USD'!DZ$4),"-")</f>
        <v>0</v>
      </c>
      <c r="EA227" s="114">
        <f>IFERROR(SUMIFS('01. KE30'!$X:$X,'01. KE30'!$C:$C,'06. BC BH THEO CUSTOMER-USD'!$D227,'01. KE30'!$F:$F,'06. BC BH THEO CUSTOMER-USD'!$H227,'01. KE30'!$A:$A,'06. BC BH THEO CUSTOMER-USD'!EA$4)-SUMIFS('01. KE30'!$AA:$AA,'01. KE30'!$C:$C,'06. BC BH THEO CUSTOMER-USD'!$D227,'01. KE30'!$F:$F,'06. BC BH THEO CUSTOMER-USD'!$H227,'01. KE30'!$A:$A,'06. BC BH THEO CUSTOMER-USD'!EA$4),"-")</f>
        <v>0</v>
      </c>
      <c r="EB227" s="114">
        <f>IFERROR(SUMIFS('01. KE30'!$X:$X,'01. KE30'!$C:$C,'06. BC BH THEO CUSTOMER-USD'!$D227,'01. KE30'!$F:$F,'06. BC BH THEO CUSTOMER-USD'!$H227,'01. KE30'!$A:$A,'06. BC BH THEO CUSTOMER-USD'!EB$4)-SUMIFS('01. KE30'!$AA:$AA,'01. KE30'!$C:$C,'06. BC BH THEO CUSTOMER-USD'!$D227,'01. KE30'!$F:$F,'06. BC BH THEO CUSTOMER-USD'!$H227,'01. KE30'!$A:$A,'06. BC BH THEO CUSTOMER-USD'!EB$4),"-")</f>
        <v>0</v>
      </c>
      <c r="EC227" s="114">
        <f>IFERROR(SUMIFS('01. KE30'!$X:$X,'01. KE30'!$C:$C,'06. BC BH THEO CUSTOMER-USD'!$D227,'01. KE30'!$F:$F,'06. BC BH THEO CUSTOMER-USD'!$H227,'01. KE30'!$A:$A,'06. BC BH THEO CUSTOMER-USD'!EC$4)-SUMIFS('01. KE30'!$AA:$AA,'01. KE30'!$C:$C,'06. BC BH THEO CUSTOMER-USD'!$D227,'01. KE30'!$F:$F,'06. BC BH THEO CUSTOMER-USD'!$H227,'01. KE30'!$A:$A,'06. BC BH THEO CUSTOMER-USD'!EC$4),"-")</f>
        <v>0</v>
      </c>
      <c r="ED227" s="114">
        <f>IFERROR(SUMIFS('01. KE30'!$X:$X,'01. KE30'!$C:$C,'06. BC BH THEO CUSTOMER-USD'!$D227,'01. KE30'!$F:$F,'06. BC BH THEO CUSTOMER-USD'!$H227,'01. KE30'!$A:$A,'06. BC BH THEO CUSTOMER-USD'!ED$4)-SUMIFS('01. KE30'!$AA:$AA,'01. KE30'!$C:$C,'06. BC BH THEO CUSTOMER-USD'!$D227,'01. KE30'!$F:$F,'06. BC BH THEO CUSTOMER-USD'!$H227,'01. KE30'!$A:$A,'06. BC BH THEO CUSTOMER-USD'!ED$4),"-")</f>
        <v>0</v>
      </c>
      <c r="EE227" s="114">
        <f>IFERROR(SUMIFS('01. KE30'!$X:$X,'01. KE30'!$C:$C,'06. BC BH THEO CUSTOMER-USD'!$D227,'01. KE30'!$F:$F,'06. BC BH THEO CUSTOMER-USD'!$H227,'01. KE30'!$A:$A,'06. BC BH THEO CUSTOMER-USD'!EE$4)-SUMIFS('01. KE30'!$AA:$AA,'01. KE30'!$C:$C,'06. BC BH THEO CUSTOMER-USD'!$D227,'01. KE30'!$F:$F,'06. BC BH THEO CUSTOMER-USD'!$H227,'01. KE30'!$A:$A,'06. BC BH THEO CUSTOMER-USD'!EE$4),"-")</f>
        <v>0</v>
      </c>
      <c r="EF227" s="114">
        <f>IFERROR(SUMIFS('01. KE30'!$X:$X,'01. KE30'!$C:$C,'06. BC BH THEO CUSTOMER-USD'!$D227,'01. KE30'!$F:$F,'06. BC BH THEO CUSTOMER-USD'!$H227,'01. KE30'!$A:$A,'06. BC BH THEO CUSTOMER-USD'!EF$4)-SUMIFS('01. KE30'!$AA:$AA,'01. KE30'!$C:$C,'06. BC BH THEO CUSTOMER-USD'!$D227,'01. KE30'!$F:$F,'06. BC BH THEO CUSTOMER-USD'!$H227,'01. KE30'!$A:$A,'06. BC BH THEO CUSTOMER-USD'!EF$4),"-")</f>
        <v>0</v>
      </c>
      <c r="EH227" s="571">
        <f t="shared" si="2972"/>
        <v>3.9412806108319924E-2</v>
      </c>
      <c r="EI227" s="572" t="str">
        <f t="shared" si="2973"/>
        <v>-</v>
      </c>
      <c r="EJ227" s="572" t="str">
        <f t="shared" si="2974"/>
        <v>-</v>
      </c>
      <c r="EK227" s="572" t="str">
        <f t="shared" si="2975"/>
        <v>-</v>
      </c>
      <c r="EL227" s="572">
        <f t="shared" si="2976"/>
        <v>3.9412806108319924E-2</v>
      </c>
      <c r="EM227" s="572" t="str">
        <f t="shared" si="2977"/>
        <v>-</v>
      </c>
      <c r="EN227" s="572" t="str">
        <f t="shared" si="2978"/>
        <v>-</v>
      </c>
      <c r="EO227" s="572" t="str">
        <f t="shared" si="2979"/>
        <v>-</v>
      </c>
      <c r="EP227" s="572" t="str">
        <f t="shared" si="2980"/>
        <v>-</v>
      </c>
      <c r="EQ227" s="572" t="str">
        <f t="shared" si="2981"/>
        <v>-</v>
      </c>
      <c r="ER227" s="572" t="str">
        <f t="shared" si="2982"/>
        <v>-</v>
      </c>
      <c r="ES227" s="572" t="str">
        <f t="shared" si="2983"/>
        <v>-</v>
      </c>
      <c r="ET227" s="572" t="str">
        <f t="shared" si="2984"/>
        <v>-</v>
      </c>
    </row>
    <row r="228" spans="1:150" s="122" customFormat="1" ht="17.5" hidden="1" x14ac:dyDescent="0.35">
      <c r="A228" s="386"/>
      <c r="B228" s="386"/>
      <c r="C228" s="386"/>
      <c r="D228" s="386" t="s">
        <v>370</v>
      </c>
      <c r="E228" s="387"/>
      <c r="H228" s="387"/>
      <c r="V228" s="388"/>
      <c r="CN228" s="388"/>
      <c r="CS228" s="393">
        <f>SUM(CS222,CS207,CS173,CS157,CS127,CS115,CS5)</f>
        <v>3487.9992999999999</v>
      </c>
      <c r="DB228" s="388"/>
      <c r="DC228" s="388"/>
      <c r="DD228" s="388"/>
      <c r="DE228" s="388"/>
      <c r="DF228" s="388"/>
      <c r="DG228" s="388"/>
      <c r="DH228" s="388"/>
      <c r="DI228" s="388"/>
      <c r="DJ228" s="388"/>
      <c r="DK228" s="388"/>
      <c r="DL228" s="388"/>
      <c r="DM228" s="388"/>
      <c r="DN228" s="388"/>
    </row>
    <row r="229" spans="1:150" x14ac:dyDescent="0.3">
      <c r="AH229" s="1289"/>
    </row>
  </sheetData>
  <sheetProtection formatCells="0" formatColumns="0" formatRows="0" insertColumns="0" selectLockedCells="1" autoFilter="0" pivotTables="0"/>
  <autoFilter ref="A4:ET228" xr:uid="{0381D453-CE8F-46A0-9362-4088E0003ED6}">
    <filterColumn colId="8">
      <filters>
        <filter val="Hạt Nhựa PP Thử Nghi"/>
        <filter val="Hạt nhựa rPP15R01"/>
        <filter val="Hạt nhựa rPP20B01"/>
        <filter val="Hạt Nhựa rPP20Gy01"/>
        <filter val="Hạt Nhựa rPP20L03"/>
        <filter val="Hạt Nhựa rPP20L04"/>
        <filter val="Hạt Nhựa rPP20L05"/>
        <filter val="Hạt nhựa rPP20R02"/>
        <filter val="Hạt Nhựa rPP20W01"/>
        <filter val="Hạt Nhựa rPP20W02"/>
        <filter val="Hạt nhựa rPP25W01"/>
        <filter val="Vảy PP Dương Nhạt"/>
        <filter val="Vảy PP Đỏ Nhạt"/>
      </filters>
    </filterColumn>
  </autoFilter>
  <conditionalFormatting sqref="E6:E114">
    <cfRule type="duplicateValues" dxfId="43" priority="111"/>
  </conditionalFormatting>
  <conditionalFormatting sqref="E228">
    <cfRule type="duplicateValues" dxfId="42" priority="3"/>
  </conditionalFormatting>
  <conditionalFormatting sqref="BB128:BN156">
    <cfRule type="cellIs" dxfId="41" priority="73" operator="lessThan">
      <formula>0</formula>
    </cfRule>
  </conditionalFormatting>
  <conditionalFormatting sqref="BB158:BN172">
    <cfRule type="cellIs" dxfId="40" priority="79" operator="lessThan">
      <formula>0</formula>
    </cfRule>
  </conditionalFormatting>
  <conditionalFormatting sqref="BB174:BN206">
    <cfRule type="cellIs" dxfId="39" priority="70" operator="lessThan">
      <formula>0</formula>
    </cfRule>
  </conditionalFormatting>
  <conditionalFormatting sqref="BB208:BN221">
    <cfRule type="cellIs" dxfId="38" priority="69" operator="lessThan">
      <formula>0</formula>
    </cfRule>
  </conditionalFormatting>
  <conditionalFormatting sqref="BB223:BN227">
    <cfRule type="cellIs" dxfId="37" priority="68" operator="lessThan">
      <formula>0</formula>
    </cfRule>
  </conditionalFormatting>
  <conditionalFormatting sqref="BP5:CB227 CD5:CP227 CR5:DD227 DF5:DR227 DT5:EF227 EH5:ET227 BB6:BN114 BB116:BN126">
    <cfRule type="cellIs" dxfId="36" priority="45" operator="lessThan">
      <formula>0</formula>
    </cfRule>
  </conditionalFormatting>
  <dataValidations count="1">
    <dataValidation type="list" allowBlank="1" showInputMessage="1" showErrorMessage="1" sqref="I11 I13:I31 I61 I66:I127 I142:I227" xr:uid="{06123CB1-21CF-43F8-8CE7-69FD7B3BD000}">
      <formula1>#REF!</formula1>
    </dataValidation>
  </dataValidations>
  <hyperlinks>
    <hyperlink ref="A1" location="'00. DM'!A1" display="00. DM" xr:uid="{344E3D16-CECC-4422-90D3-EC3FB0033545}"/>
  </hyperlinks>
  <pageMargins left="0.7" right="0.7" top="0.75" bottom="0.75" header="0.3" footer="0.3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56D62-603B-4F12-A767-62507E6D32DA}">
  <sheetPr>
    <tabColor rgb="FF00B0F0"/>
  </sheetPr>
  <dimension ref="A1:V232"/>
  <sheetViews>
    <sheetView showGridLines="0" topLeftCell="A197" zoomScale="85" zoomScaleNormal="85" workbookViewId="0">
      <selection activeCell="G208" sqref="G208"/>
    </sheetView>
  </sheetViews>
  <sheetFormatPr defaultRowHeight="14.5" outlineLevelRow="1" x14ac:dyDescent="0.35"/>
  <cols>
    <col min="1" max="1" width="5.36328125" customWidth="1"/>
    <col min="2" max="2" width="9.54296875" customWidth="1"/>
    <col min="3" max="3" width="18.1796875" customWidth="1"/>
    <col min="4" max="4" width="10.90625" customWidth="1"/>
    <col min="5" max="5" width="32.1796875" customWidth="1"/>
    <col min="6" max="6" width="12.08984375" bestFit="1" customWidth="1"/>
    <col min="7" max="7" width="8.54296875" customWidth="1"/>
    <col min="8" max="8" width="8.90625" customWidth="1"/>
    <col min="9" max="9" width="10.90625" customWidth="1"/>
    <col min="10" max="10" width="8.54296875" customWidth="1"/>
    <col min="11" max="11" width="9.81640625" customWidth="1"/>
    <col min="12" max="12" width="12" customWidth="1"/>
    <col min="13" max="13" width="9.81640625" customWidth="1"/>
    <col min="14" max="14" width="62.6328125" customWidth="1"/>
    <col min="15" max="15" width="5.54296875" customWidth="1"/>
    <col min="16" max="16" width="58.6328125" style="430" customWidth="1"/>
    <col min="17" max="17" width="63.1796875" customWidth="1"/>
    <col min="21" max="21" width="27.1796875" customWidth="1"/>
  </cols>
  <sheetData>
    <row r="1" spans="1:17" ht="21" x14ac:dyDescent="0.5">
      <c r="A1" s="528" t="s">
        <v>587</v>
      </c>
      <c r="B1" s="297" t="s">
        <v>563</v>
      </c>
      <c r="D1" s="450" t="s">
        <v>685</v>
      </c>
    </row>
    <row r="3" spans="1:17" ht="18.5" x14ac:dyDescent="0.45">
      <c r="B3" s="362" t="s">
        <v>437</v>
      </c>
      <c r="C3" s="363">
        <v>1</v>
      </c>
    </row>
    <row r="4" spans="1:17" hidden="1" outlineLevel="1" x14ac:dyDescent="0.35">
      <c r="L4" s="389" t="s">
        <v>438</v>
      </c>
      <c r="M4" s="390">
        <f>HLOOKUP(C3,'02. Tỷ giá'!$B$4:$M$5,2,0)</f>
        <v>24910</v>
      </c>
    </row>
    <row r="5" spans="1:17" hidden="1" outlineLevel="1" x14ac:dyDescent="0.35"/>
    <row r="6" spans="1:17" s="477" customFormat="1" ht="41" hidden="1" customHeight="1" outlineLevel="1" x14ac:dyDescent="0.35">
      <c r="A6" s="351" t="s">
        <v>174</v>
      </c>
      <c r="B6" s="351" t="s">
        <v>564</v>
      </c>
      <c r="C6" s="351" t="s">
        <v>481</v>
      </c>
      <c r="D6" s="351" t="s">
        <v>422</v>
      </c>
      <c r="E6" s="351" t="s">
        <v>423</v>
      </c>
      <c r="F6" s="351" t="s">
        <v>411</v>
      </c>
      <c r="G6" s="351" t="s">
        <v>424</v>
      </c>
      <c r="H6" s="351" t="s">
        <v>482</v>
      </c>
      <c r="I6" s="351" t="s">
        <v>483</v>
      </c>
      <c r="J6" s="351" t="s">
        <v>484</v>
      </c>
      <c r="K6" s="351" t="s">
        <v>426</v>
      </c>
      <c r="L6" s="351" t="s">
        <v>428</v>
      </c>
      <c r="M6" s="351" t="s">
        <v>425</v>
      </c>
      <c r="N6" s="351" t="s">
        <v>493</v>
      </c>
      <c r="P6" s="404" t="s">
        <v>566</v>
      </c>
      <c r="Q6" s="404" t="s">
        <v>567</v>
      </c>
    </row>
    <row r="7" spans="1:17" s="430" customFormat="1" hidden="1" outlineLevel="1" x14ac:dyDescent="0.35">
      <c r="A7" s="423">
        <v>1</v>
      </c>
      <c r="B7" s="423" t="s">
        <v>134</v>
      </c>
      <c r="C7" s="478" t="s">
        <v>133</v>
      </c>
      <c r="D7" s="424" t="s">
        <v>462</v>
      </c>
      <c r="E7" s="424" t="s">
        <v>468</v>
      </c>
      <c r="F7" s="425" t="str">
        <f>_xlfn.XLOOKUP(D7,'05. BC BH THEO SKU-USD'!$D$5:$D$72,'05. BC BH THEO SKU-USD'!$B$5:$B$72,0)</f>
        <v xml:space="preserve"> rPET</v>
      </c>
      <c r="G7" s="482">
        <v>2.2000000000000002</v>
      </c>
      <c r="H7" s="483">
        <v>1243.9783219590524</v>
      </c>
      <c r="I7" s="483">
        <v>1230</v>
      </c>
      <c r="J7" s="484">
        <v>1713.9379949636875</v>
      </c>
      <c r="K7" s="485">
        <f>G7*H7*$M$4/10^6</f>
        <v>68.172499999999999</v>
      </c>
      <c r="L7" s="427">
        <f>G7*(H7-J7)*$M$4/10^6</f>
        <v>-25.754730000000016</v>
      </c>
      <c r="M7" s="428">
        <f>L7/K7</f>
        <v>-0.37778767098170107</v>
      </c>
      <c r="N7" s="429" t="s">
        <v>565</v>
      </c>
      <c r="P7" s="426"/>
      <c r="Q7" s="715" t="s">
        <v>697</v>
      </c>
    </row>
    <row r="8" spans="1:17" s="430" customFormat="1" hidden="1" outlineLevel="1" x14ac:dyDescent="0.35">
      <c r="A8" s="431">
        <v>3</v>
      </c>
      <c r="B8" s="431" t="s">
        <v>89</v>
      </c>
      <c r="C8" s="479" t="s">
        <v>88</v>
      </c>
      <c r="D8" s="432" t="s">
        <v>463</v>
      </c>
      <c r="E8" s="432" t="s">
        <v>464</v>
      </c>
      <c r="F8" s="425" t="str">
        <f>_xlfn.XLOOKUP(D8,'05. BC BH THEO SKU-USD'!$D$5:$D$72,'05. BC BH THEO SKU-USD'!$B$5:$B$72,0)</f>
        <v>Xơ sợi</v>
      </c>
      <c r="G8" s="485">
        <v>11</v>
      </c>
      <c r="H8" s="486">
        <v>762.74588518667201</v>
      </c>
      <c r="I8" s="486">
        <v>1000</v>
      </c>
      <c r="J8" s="486">
        <v>985.8523010109119</v>
      </c>
      <c r="K8" s="485">
        <f>G8*H8*$M$4/10^6</f>
        <v>209.00000000000003</v>
      </c>
      <c r="L8" s="427">
        <f>G8*(H8-J8)*$M$4/10^6</f>
        <v>-61.13338899999998</v>
      </c>
      <c r="M8" s="428">
        <f>L8/K8</f>
        <v>-0.29250425358851662</v>
      </c>
      <c r="N8" s="425"/>
      <c r="P8" s="425"/>
      <c r="Q8" s="310"/>
    </row>
    <row r="9" spans="1:17" s="430" customFormat="1" hidden="1" outlineLevel="1" x14ac:dyDescent="0.35">
      <c r="A9" s="431">
        <v>4</v>
      </c>
      <c r="B9" s="431" t="s">
        <v>82</v>
      </c>
      <c r="C9" s="479" t="s">
        <v>81</v>
      </c>
      <c r="D9" s="432" t="s">
        <v>208</v>
      </c>
      <c r="E9" s="432" t="s">
        <v>209</v>
      </c>
      <c r="F9" s="425" t="str">
        <f>_xlfn.XLOOKUP(D9,'05. BC BH THEO SKU-USD'!$D$5:$D$72,'05. BC BH THEO SKU-USD'!$B$5:$B$72,0)</f>
        <v>rHDPE ép</v>
      </c>
      <c r="G9" s="485">
        <v>5.5</v>
      </c>
      <c r="H9" s="486">
        <v>893.95813291485706</v>
      </c>
      <c r="I9" s="486">
        <v>870</v>
      </c>
      <c r="J9" s="486">
        <v>1263.128104813693</v>
      </c>
      <c r="K9" s="485">
        <f>G9*H9*$M$4/10^6</f>
        <v>122.47673399999998</v>
      </c>
      <c r="L9" s="427">
        <f>G9*(H9-J9)*$M$4/10^6</f>
        <v>-50.578132000000018</v>
      </c>
      <c r="M9" s="428">
        <f>L9/K9</f>
        <v>-0.41296114248115096</v>
      </c>
      <c r="N9" s="425"/>
      <c r="P9" s="432"/>
      <c r="Q9" s="310" t="s">
        <v>693</v>
      </c>
    </row>
    <row r="10" spans="1:17" s="430" customFormat="1" hidden="1" outlineLevel="1" x14ac:dyDescent="0.35">
      <c r="A10" s="431">
        <v>5</v>
      </c>
      <c r="B10" s="431" t="s">
        <v>456</v>
      </c>
      <c r="C10" s="479" t="s">
        <v>457</v>
      </c>
      <c r="D10" s="432" t="s">
        <v>39</v>
      </c>
      <c r="E10" s="432" t="s">
        <v>38</v>
      </c>
      <c r="F10" s="425" t="str">
        <f>_xlfn.XLOOKUP(D10,'05. BC BH THEO SKU-USD'!$D$5:$D$72,'05. BC BH THEO SKU-USD'!$B$5:$B$72,0)</f>
        <v>Vảy rHDPE ép</v>
      </c>
      <c r="G10" s="485">
        <v>1.5</v>
      </c>
      <c r="H10" s="486">
        <v>631.9044828047638</v>
      </c>
      <c r="I10" s="486">
        <v>825</v>
      </c>
      <c r="J10" s="486">
        <v>991.42001873410948</v>
      </c>
      <c r="K10" s="485">
        <f>G10*H10*$M$4/10^6</f>
        <v>23.611111000000001</v>
      </c>
      <c r="L10" s="427">
        <f>G10*(H10-J10)*$M$4/10^6</f>
        <v>-13.433298000000001</v>
      </c>
      <c r="M10" s="428">
        <f>L10/K10</f>
        <v>-0.56893968267736317</v>
      </c>
      <c r="N10" s="426"/>
      <c r="P10" s="1058"/>
      <c r="Q10" s="310" t="s">
        <v>693</v>
      </c>
    </row>
    <row r="11" spans="1:17" hidden="1" outlineLevel="1" x14ac:dyDescent="0.35">
      <c r="A11" s="431">
        <v>6</v>
      </c>
      <c r="B11" s="322" t="s">
        <v>456</v>
      </c>
      <c r="C11" s="480" t="s">
        <v>457</v>
      </c>
      <c r="D11" s="310" t="s">
        <v>37</v>
      </c>
      <c r="E11" s="310" t="s">
        <v>36</v>
      </c>
      <c r="F11" s="425" t="str">
        <f>_xlfn.XLOOKUP(D11,'05. BC BH THEO SKU-USD'!$D$5:$D$72,'05. BC BH THEO SKU-USD'!$B$5:$B$72,0)</f>
        <v>Vảy rHDPE ép</v>
      </c>
      <c r="G11" s="331">
        <v>6</v>
      </c>
      <c r="H11" s="331">
        <v>631.90448949551717</v>
      </c>
      <c r="I11" s="331">
        <v>825</v>
      </c>
      <c r="J11" s="331">
        <v>1108.2727887060084</v>
      </c>
      <c r="K11" s="331"/>
      <c r="L11" s="310"/>
      <c r="M11" s="354"/>
      <c r="N11" s="310"/>
      <c r="P11" s="426"/>
      <c r="Q11" s="310" t="s">
        <v>693</v>
      </c>
    </row>
    <row r="12" spans="1:17" hidden="1" outlineLevel="1" x14ac:dyDescent="0.35">
      <c r="A12" s="431"/>
      <c r="B12" s="322"/>
      <c r="C12" s="480"/>
      <c r="D12" s="310"/>
      <c r="E12" s="310"/>
      <c r="F12" s="425"/>
      <c r="G12" s="331"/>
      <c r="H12" s="331"/>
      <c r="I12" s="331"/>
      <c r="J12" s="331"/>
      <c r="K12" s="331"/>
      <c r="L12" s="310"/>
      <c r="M12" s="354"/>
      <c r="N12" s="310"/>
      <c r="P12" s="425"/>
      <c r="Q12" s="310"/>
    </row>
    <row r="13" spans="1:17" hidden="1" outlineLevel="1" x14ac:dyDescent="0.35">
      <c r="A13" s="352"/>
      <c r="B13" s="352"/>
      <c r="C13" s="352"/>
      <c r="D13" s="311"/>
      <c r="E13" s="311"/>
      <c r="F13" s="311"/>
      <c r="G13" s="487"/>
      <c r="H13" s="487"/>
      <c r="I13" s="487"/>
      <c r="J13" s="487"/>
      <c r="K13" s="487"/>
      <c r="L13" s="311"/>
      <c r="M13" s="355"/>
      <c r="N13" s="311"/>
      <c r="P13" s="432"/>
      <c r="Q13" s="310"/>
    </row>
    <row r="14" spans="1:17" hidden="1" outlineLevel="1" x14ac:dyDescent="0.35">
      <c r="A14" s="356"/>
      <c r="B14" s="357"/>
      <c r="C14" s="357"/>
      <c r="D14" s="357"/>
      <c r="E14" s="358" t="s">
        <v>436</v>
      </c>
      <c r="F14" s="358"/>
      <c r="G14" s="449">
        <f>SUM(G7:G13)</f>
        <v>26.2</v>
      </c>
      <c r="H14" s="449"/>
      <c r="I14" s="449"/>
      <c r="J14" s="449"/>
      <c r="K14" s="488">
        <f>SUM(K7:K13)</f>
        <v>423.26034499999997</v>
      </c>
      <c r="L14" s="395">
        <f>SUM(L7:L13)</f>
        <v>-150.89954900000001</v>
      </c>
      <c r="M14" s="396"/>
      <c r="N14" s="358"/>
    </row>
    <row r="15" spans="1:17" hidden="1" outlineLevel="1" x14ac:dyDescent="0.35"/>
    <row r="16" spans="1:17" collapsed="1" x14ac:dyDescent="0.35"/>
    <row r="17" spans="1:17" ht="18.5" x14ac:dyDescent="0.45">
      <c r="B17" s="362" t="s">
        <v>437</v>
      </c>
      <c r="C17" s="363">
        <v>2</v>
      </c>
    </row>
    <row r="18" spans="1:17" hidden="1" outlineLevel="1" x14ac:dyDescent="0.35">
      <c r="L18" s="389" t="s">
        <v>438</v>
      </c>
      <c r="M18" s="390">
        <f>HLOOKUP(C17,'02. Tỷ giá'!$B$4:$M$5,2,0)</f>
        <v>25390</v>
      </c>
    </row>
    <row r="19" spans="1:17" hidden="1" outlineLevel="1" x14ac:dyDescent="0.35"/>
    <row r="20" spans="1:17" s="477" customFormat="1" ht="41" hidden="1" customHeight="1" outlineLevel="1" x14ac:dyDescent="0.35">
      <c r="A20" s="351" t="s">
        <v>174</v>
      </c>
      <c r="B20" s="351" t="s">
        <v>564</v>
      </c>
      <c r="C20" s="351" t="s">
        <v>481</v>
      </c>
      <c r="D20" s="351" t="s">
        <v>422</v>
      </c>
      <c r="E20" s="351" t="s">
        <v>423</v>
      </c>
      <c r="F20" s="351" t="s">
        <v>411</v>
      </c>
      <c r="G20" s="351" t="s">
        <v>424</v>
      </c>
      <c r="H20" s="351" t="s">
        <v>482</v>
      </c>
      <c r="I20" s="351" t="s">
        <v>483</v>
      </c>
      <c r="J20" s="351" t="s">
        <v>484</v>
      </c>
      <c r="K20" s="351" t="s">
        <v>426</v>
      </c>
      <c r="L20" s="351" t="s">
        <v>428</v>
      </c>
      <c r="M20" s="351" t="s">
        <v>425</v>
      </c>
      <c r="N20" s="351" t="s">
        <v>493</v>
      </c>
      <c r="P20" s="404" t="s">
        <v>566</v>
      </c>
      <c r="Q20" s="404" t="s">
        <v>567</v>
      </c>
    </row>
    <row r="21" spans="1:17" s="430" customFormat="1" ht="43.5" hidden="1" outlineLevel="1" x14ac:dyDescent="0.35">
      <c r="A21" s="423">
        <v>1</v>
      </c>
      <c r="B21" s="423" t="s">
        <v>71</v>
      </c>
      <c r="C21" s="478" t="s">
        <v>70</v>
      </c>
      <c r="D21" s="424" t="s">
        <v>187</v>
      </c>
      <c r="E21" s="424" t="s">
        <v>188</v>
      </c>
      <c r="F21" s="425" t="str">
        <f>_xlfn.XLOOKUP(D21,'05. BC BH THEO SKU-USD'!$D$5:$D$72,'05. BC BH THEO SKU-USD'!$B$5:$B$72,0)</f>
        <v>rHDPE thổi</v>
      </c>
      <c r="G21" s="482">
        <v>22</v>
      </c>
      <c r="H21" s="489">
        <v>1358.9858211894446</v>
      </c>
      <c r="I21" s="489">
        <v>1300</v>
      </c>
      <c r="J21" s="484">
        <v>2095.3599538114504</v>
      </c>
      <c r="K21" s="485">
        <f t="shared" ref="K21:K30" si="0">G21*H21*$M$18/10^6</f>
        <v>759.1022999999999</v>
      </c>
      <c r="L21" s="427">
        <f t="shared" ref="L21:L30" si="1">G21*(H21-J21)*$M$18/10^6</f>
        <v>-411.32386300000002</v>
      </c>
      <c r="M21" s="428">
        <f t="shared" ref="M21:M30" si="2">L21/K21</f>
        <v>-0.54185564053751389</v>
      </c>
      <c r="N21" s="426"/>
      <c r="P21" s="426"/>
      <c r="Q21" s="715" t="s">
        <v>696</v>
      </c>
    </row>
    <row r="22" spans="1:17" s="430" customFormat="1" hidden="1" outlineLevel="1" x14ac:dyDescent="0.35">
      <c r="A22" s="431">
        <v>2</v>
      </c>
      <c r="B22" s="322" t="s">
        <v>456</v>
      </c>
      <c r="C22" s="480" t="s">
        <v>457</v>
      </c>
      <c r="D22" s="310" t="s">
        <v>37</v>
      </c>
      <c r="E22" s="310" t="s">
        <v>36</v>
      </c>
      <c r="F22" s="425" t="str">
        <f>_xlfn.XLOOKUP(D22,'05. BC BH THEO SKU-USD'!$D$5:$D$72,'05. BC BH THEO SKU-USD'!$B$5:$B$72,0)</f>
        <v>Vảy rHDPE ép</v>
      </c>
      <c r="G22" s="331">
        <v>9.75</v>
      </c>
      <c r="H22" s="331">
        <v>619.95827955686173</v>
      </c>
      <c r="I22" s="331">
        <v>750</v>
      </c>
      <c r="J22" s="331">
        <v>1129.38031730643</v>
      </c>
      <c r="K22" s="485">
        <f t="shared" si="0"/>
        <v>153.47222200000002</v>
      </c>
      <c r="L22" s="427">
        <f t="shared" si="1"/>
        <v>-126.10869900000002</v>
      </c>
      <c r="M22" s="428">
        <f t="shared" si="2"/>
        <v>-0.821703741280295</v>
      </c>
      <c r="N22" s="310"/>
      <c r="P22" s="425" t="s">
        <v>568</v>
      </c>
      <c r="Q22" s="310" t="s">
        <v>693</v>
      </c>
    </row>
    <row r="23" spans="1:17" s="430" customFormat="1" hidden="1" outlineLevel="1" x14ac:dyDescent="0.35">
      <c r="A23" s="431">
        <v>3</v>
      </c>
      <c r="B23" s="322" t="s">
        <v>30</v>
      </c>
      <c r="C23" s="480" t="s">
        <v>29</v>
      </c>
      <c r="D23" s="310" t="s">
        <v>208</v>
      </c>
      <c r="E23" s="310" t="s">
        <v>209</v>
      </c>
      <c r="F23" s="425" t="str">
        <f>_xlfn.XLOOKUP(D23,'05. BC BH THEO SKU-USD'!$D$5:$D$72,'05. BC BH THEO SKU-USD'!$B$5:$B$72,0)</f>
        <v>rHDPE ép</v>
      </c>
      <c r="G23" s="331">
        <v>11</v>
      </c>
      <c r="H23" s="331">
        <v>796.16778259157149</v>
      </c>
      <c r="I23" s="331">
        <v>800</v>
      </c>
      <c r="J23" s="331">
        <v>1239.2480754771027</v>
      </c>
      <c r="K23" s="485">
        <f t="shared" si="0"/>
        <v>222.36170000000001</v>
      </c>
      <c r="L23" s="427">
        <f t="shared" si="1"/>
        <v>-123.74789500000001</v>
      </c>
      <c r="M23" s="428">
        <f t="shared" si="2"/>
        <v>-0.55651623008818518</v>
      </c>
      <c r="N23" s="310"/>
      <c r="P23" s="432"/>
      <c r="Q23" s="310" t="s">
        <v>693</v>
      </c>
    </row>
    <row r="24" spans="1:17" s="430" customFormat="1" hidden="1" outlineLevel="1" x14ac:dyDescent="0.35">
      <c r="A24" s="431">
        <v>4</v>
      </c>
      <c r="B24" s="322">
        <v>1000</v>
      </c>
      <c r="C24" s="480" t="s">
        <v>29</v>
      </c>
      <c r="D24" s="310" t="s">
        <v>210</v>
      </c>
      <c r="E24" s="310" t="s">
        <v>211</v>
      </c>
      <c r="F24" s="425" t="str">
        <f>_xlfn.XLOOKUP(D24,'05. BC BH THEO SKU-USD'!$D$5:$D$72,'05. BC BH THEO SKU-USD'!$B$5:$B$72,0)</f>
        <v>rHDPE ép</v>
      </c>
      <c r="G24" s="331">
        <v>5.5</v>
      </c>
      <c r="H24" s="331">
        <v>796.16778259157149</v>
      </c>
      <c r="I24" s="331">
        <v>800</v>
      </c>
      <c r="J24" s="492">
        <v>1583.9578359411364</v>
      </c>
      <c r="K24" s="485">
        <f t="shared" si="0"/>
        <v>111.18085000000001</v>
      </c>
      <c r="L24" s="427">
        <f t="shared" si="1"/>
        <v>-110.01094199999999</v>
      </c>
      <c r="M24" s="428">
        <f t="shared" si="2"/>
        <v>-0.98947743248949782</v>
      </c>
      <c r="N24" s="490"/>
      <c r="P24" s="1058"/>
      <c r="Q24" s="310" t="s">
        <v>693</v>
      </c>
    </row>
    <row r="25" spans="1:17" hidden="1" outlineLevel="1" x14ac:dyDescent="0.35">
      <c r="A25" s="431">
        <v>5</v>
      </c>
      <c r="B25" s="322" t="s">
        <v>46</v>
      </c>
      <c r="C25" s="480" t="s">
        <v>525</v>
      </c>
      <c r="D25" s="310" t="s">
        <v>540</v>
      </c>
      <c r="E25" s="310" t="s">
        <v>541</v>
      </c>
      <c r="F25" s="425" t="str">
        <f>_xlfn.XLOOKUP(D25,'05. BC BH THEO SKU-USD'!$D$5:$D$72,'05. BC BH THEO SKU-USD'!$B$5:$B$72,0)</f>
        <v>rHDPE ép</v>
      </c>
      <c r="G25" s="331">
        <v>25</v>
      </c>
      <c r="H25" s="331">
        <v>1176.6469743993698</v>
      </c>
      <c r="I25" s="331">
        <v>800</v>
      </c>
      <c r="J25" s="492">
        <v>1286.2336510437178</v>
      </c>
      <c r="K25" s="485">
        <f t="shared" si="0"/>
        <v>746.876667</v>
      </c>
      <c r="L25" s="427">
        <f t="shared" si="1"/>
        <v>-69.560142999999897</v>
      </c>
      <c r="M25" s="428">
        <f t="shared" si="2"/>
        <v>-9.3134711624348943E-2</v>
      </c>
      <c r="N25" s="310"/>
      <c r="P25" s="432"/>
      <c r="Q25" s="310" t="s">
        <v>693</v>
      </c>
    </row>
    <row r="26" spans="1:17" hidden="1" outlineLevel="1" x14ac:dyDescent="0.35">
      <c r="A26" s="431">
        <v>6</v>
      </c>
      <c r="B26" s="431" t="s">
        <v>54</v>
      </c>
      <c r="C26" s="479" t="s">
        <v>53</v>
      </c>
      <c r="D26" s="432" t="s">
        <v>52</v>
      </c>
      <c r="E26" s="432" t="s">
        <v>51</v>
      </c>
      <c r="F26" s="425" t="str">
        <f>_xlfn.XLOOKUP(D26,'05. BC BH THEO SKU-USD'!$D$5:$D$72,'05. BC BH THEO SKU-USD'!$B$5:$B$72,0)</f>
        <v>rHDPE thổi</v>
      </c>
      <c r="G26" s="485">
        <v>11</v>
      </c>
      <c r="H26" s="486">
        <v>669.55494289090188</v>
      </c>
      <c r="I26" s="486">
        <v>950</v>
      </c>
      <c r="J26" s="486">
        <v>914.30952415052445</v>
      </c>
      <c r="K26" s="485">
        <f t="shared" si="0"/>
        <v>187</v>
      </c>
      <c r="L26" s="427">
        <f t="shared" si="1"/>
        <v>-68.357506999999984</v>
      </c>
      <c r="M26" s="428">
        <f t="shared" si="2"/>
        <v>-0.365548165775401</v>
      </c>
      <c r="N26" s="425"/>
      <c r="P26" s="425" t="s">
        <v>570</v>
      </c>
      <c r="Q26" s="425"/>
    </row>
    <row r="27" spans="1:17" hidden="1" outlineLevel="1" x14ac:dyDescent="0.35">
      <c r="A27" s="431">
        <v>7</v>
      </c>
      <c r="B27" s="431" t="s">
        <v>511</v>
      </c>
      <c r="C27" s="479" t="s">
        <v>512</v>
      </c>
      <c r="D27" s="432" t="s">
        <v>87</v>
      </c>
      <c r="E27" s="432" t="s">
        <v>86</v>
      </c>
      <c r="F27" s="425" t="str">
        <f>_xlfn.XLOOKUP(D27,'05. BC BH THEO SKU-USD'!$D$5:$D$72,'05. BC BH THEO SKU-USD'!$B$5:$B$72,0)</f>
        <v>Xơ sợi</v>
      </c>
      <c r="G27" s="485">
        <v>5.5</v>
      </c>
      <c r="H27" s="485">
        <v>752.26467113036631</v>
      </c>
      <c r="I27" s="485">
        <v>950</v>
      </c>
      <c r="J27" s="486">
        <v>896.61034050628382</v>
      </c>
      <c r="K27" s="485">
        <f t="shared" si="0"/>
        <v>105.05</v>
      </c>
      <c r="L27" s="427">
        <f t="shared" si="1"/>
        <v>-20.157150999999999</v>
      </c>
      <c r="M27" s="428">
        <f t="shared" si="2"/>
        <v>-0.19188149452641598</v>
      </c>
      <c r="N27" s="491"/>
      <c r="P27" s="425" t="s">
        <v>569</v>
      </c>
      <c r="Q27" s="491"/>
    </row>
    <row r="28" spans="1:17" hidden="1" outlineLevel="1" x14ac:dyDescent="0.35">
      <c r="A28" s="431">
        <v>8</v>
      </c>
      <c r="B28" s="431" t="s">
        <v>89</v>
      </c>
      <c r="C28" s="479" t="s">
        <v>88</v>
      </c>
      <c r="D28" s="432" t="s">
        <v>463</v>
      </c>
      <c r="E28" s="432" t="s">
        <v>470</v>
      </c>
      <c r="F28" s="425" t="str">
        <f>_xlfn.XLOOKUP(D28,'05. BC BH THEO SKU-USD'!$D$5:$D$72,'05. BC BH THEO SKU-USD'!$B$5:$B$72,0)</f>
        <v>Xơ sợi</v>
      </c>
      <c r="G28" s="485">
        <v>11</v>
      </c>
      <c r="H28" s="486">
        <v>748.32611264277273</v>
      </c>
      <c r="I28" s="486">
        <v>1000</v>
      </c>
      <c r="J28" s="486">
        <v>801.05696229725379</v>
      </c>
      <c r="K28" s="485">
        <f t="shared" si="0"/>
        <v>209.00000000000003</v>
      </c>
      <c r="L28" s="427">
        <f t="shared" si="1"/>
        <v>-14.727199000000017</v>
      </c>
      <c r="M28" s="428">
        <f t="shared" si="2"/>
        <v>-7.0465066985646002E-2</v>
      </c>
      <c r="N28" s="425"/>
      <c r="P28" s="425" t="s">
        <v>569</v>
      </c>
      <c r="Q28" s="425"/>
    </row>
    <row r="29" spans="1:17" hidden="1" outlineLevel="1" x14ac:dyDescent="0.35">
      <c r="A29" s="431">
        <v>9</v>
      </c>
      <c r="B29" s="322" t="s">
        <v>456</v>
      </c>
      <c r="C29" s="480" t="s">
        <v>457</v>
      </c>
      <c r="D29" s="310" t="s">
        <v>39</v>
      </c>
      <c r="E29" s="310" t="s">
        <v>38</v>
      </c>
      <c r="F29" s="425" t="str">
        <f>_xlfn.XLOOKUP(D29,'05. BC BH THEO SKU-USD'!$D$5:$D$72,'05. BC BH THEO SKU-USD'!$B$5:$B$72,0)</f>
        <v>Vảy rHDPE ép</v>
      </c>
      <c r="G29" s="331">
        <v>1.5</v>
      </c>
      <c r="H29" s="331">
        <v>619.95827753708807</v>
      </c>
      <c r="I29" s="331">
        <v>750</v>
      </c>
      <c r="J29" s="331">
        <v>978.18193514507016</v>
      </c>
      <c r="K29" s="485">
        <f t="shared" si="0"/>
        <v>23.611110999999998</v>
      </c>
      <c r="L29" s="427">
        <f t="shared" si="1"/>
        <v>-13.642947999999997</v>
      </c>
      <c r="M29" s="428">
        <f t="shared" si="2"/>
        <v>-0.57781897683679517</v>
      </c>
      <c r="N29" s="310"/>
      <c r="P29" s="425" t="s">
        <v>568</v>
      </c>
      <c r="Q29" s="310" t="s">
        <v>693</v>
      </c>
    </row>
    <row r="30" spans="1:17" hidden="1" outlineLevel="1" x14ac:dyDescent="0.35">
      <c r="A30" s="431">
        <v>10</v>
      </c>
      <c r="B30" s="322" t="s">
        <v>456</v>
      </c>
      <c r="C30" s="480" t="s">
        <v>457</v>
      </c>
      <c r="D30" s="310" t="s">
        <v>43</v>
      </c>
      <c r="E30" s="310" t="s">
        <v>42</v>
      </c>
      <c r="F30" s="425" t="str">
        <f>_xlfn.XLOOKUP(D30,'05. BC BH THEO SKU-USD'!$D$5:$D$72,'05. BC BH THEO SKU-USD'!$B$5:$B$72,0)</f>
        <v>Vảy rHDPE ép</v>
      </c>
      <c r="G30" s="493">
        <v>0.75</v>
      </c>
      <c r="H30" s="331">
        <v>619.95830379414474</v>
      </c>
      <c r="I30" s="331">
        <v>750</v>
      </c>
      <c r="J30" s="331">
        <v>982.78240777208873</v>
      </c>
      <c r="K30" s="485">
        <f t="shared" si="0"/>
        <v>11.805556000000001</v>
      </c>
      <c r="L30" s="427">
        <f t="shared" si="1"/>
        <v>-6.9090779999999983</v>
      </c>
      <c r="M30" s="428">
        <f t="shared" si="2"/>
        <v>-0.585239526202747</v>
      </c>
      <c r="N30" s="310"/>
      <c r="P30" s="425" t="s">
        <v>568</v>
      </c>
      <c r="Q30" s="310" t="s">
        <v>693</v>
      </c>
    </row>
    <row r="31" spans="1:17" hidden="1" outlineLevel="1" x14ac:dyDescent="0.35">
      <c r="A31" s="431">
        <v>11</v>
      </c>
      <c r="B31" s="322" t="s">
        <v>519</v>
      </c>
      <c r="C31" s="480" t="s">
        <v>520</v>
      </c>
      <c r="D31" s="310" t="s">
        <v>536</v>
      </c>
      <c r="E31" s="310" t="s">
        <v>537</v>
      </c>
      <c r="F31" s="425" t="str">
        <f>_xlfn.XLOOKUP(D31,'05. BC BH THEO SKU-USD'!$D$5:$D$72,'05. BC BH THEO SKU-USD'!$B$5:$B$72,0)</f>
        <v>Vảy rHDPE ép</v>
      </c>
      <c r="G31" s="493">
        <v>0.75</v>
      </c>
      <c r="H31" s="331">
        <v>590.78377313903115</v>
      </c>
      <c r="I31" s="331">
        <v>750</v>
      </c>
      <c r="J31" s="331">
        <v>953.87260076145458</v>
      </c>
      <c r="K31" s="485">
        <f t="shared" ref="K31:K36" si="3">G31*H31*$M$18/10^6</f>
        <v>11.25</v>
      </c>
      <c r="L31" s="427">
        <f t="shared" ref="L31:L36" si="4">G31*(H31-J31)*$M$18/10^6</f>
        <v>-6.9141189999999986</v>
      </c>
      <c r="M31" s="428">
        <f t="shared" ref="M31:M36" si="5">L31/K31</f>
        <v>-0.61458835555555547</v>
      </c>
      <c r="N31" s="310"/>
      <c r="P31" s="425" t="s">
        <v>568</v>
      </c>
      <c r="Q31" s="310" t="s">
        <v>693</v>
      </c>
    </row>
    <row r="32" spans="1:17" hidden="1" outlineLevel="1" x14ac:dyDescent="0.35">
      <c r="A32" s="431">
        <v>12</v>
      </c>
      <c r="B32" s="322" t="s">
        <v>519</v>
      </c>
      <c r="C32" s="480" t="s">
        <v>520</v>
      </c>
      <c r="D32" s="310" t="s">
        <v>41</v>
      </c>
      <c r="E32" s="310" t="s">
        <v>40</v>
      </c>
      <c r="F32" s="425" t="str">
        <f>_xlfn.XLOOKUP(D32,'05. BC BH THEO SKU-USD'!$D$5:$D$72,'05. BC BH THEO SKU-USD'!$B$5:$B$72,0)</f>
        <v>Vảy rHDPE ép</v>
      </c>
      <c r="G32" s="493">
        <v>0.75</v>
      </c>
      <c r="H32" s="331">
        <v>590.78377313903115</v>
      </c>
      <c r="I32" s="331">
        <v>750</v>
      </c>
      <c r="J32" s="331">
        <v>968.19745306551135</v>
      </c>
      <c r="K32" s="485">
        <f t="shared" si="3"/>
        <v>11.25</v>
      </c>
      <c r="L32" s="427">
        <f t="shared" si="4"/>
        <v>-7.1868999999999987</v>
      </c>
      <c r="M32" s="428">
        <f t="shared" si="5"/>
        <v>-0.63883555555555549</v>
      </c>
      <c r="N32" s="310"/>
      <c r="P32" s="425" t="s">
        <v>568</v>
      </c>
      <c r="Q32" s="310" t="s">
        <v>693</v>
      </c>
    </row>
    <row r="33" spans="1:22" hidden="1" outlineLevel="1" x14ac:dyDescent="0.35">
      <c r="A33" s="431">
        <v>13</v>
      </c>
      <c r="B33" s="322" t="s">
        <v>519</v>
      </c>
      <c r="C33" s="480" t="s">
        <v>520</v>
      </c>
      <c r="D33" s="310" t="s">
        <v>43</v>
      </c>
      <c r="E33" s="310" t="s">
        <v>42</v>
      </c>
      <c r="F33" s="425" t="str">
        <f>_xlfn.XLOOKUP(D33,'05. BC BH THEO SKU-USD'!$D$5:$D$72,'05. BC BH THEO SKU-USD'!$B$5:$B$72,0)</f>
        <v>Vảy rHDPE ép</v>
      </c>
      <c r="G33" s="493">
        <v>0.75</v>
      </c>
      <c r="H33" s="331">
        <v>590.78377313903115</v>
      </c>
      <c r="I33" s="331">
        <v>750</v>
      </c>
      <c r="J33" s="331">
        <v>982.78240777208873</v>
      </c>
      <c r="K33" s="485">
        <f t="shared" si="3"/>
        <v>11.25</v>
      </c>
      <c r="L33" s="427">
        <f t="shared" si="4"/>
        <v>-7.4646340000000002</v>
      </c>
      <c r="M33" s="428">
        <f t="shared" si="5"/>
        <v>-0.66352302222222226</v>
      </c>
      <c r="N33" s="310"/>
      <c r="P33" s="425" t="s">
        <v>568</v>
      </c>
      <c r="Q33" s="310" t="s">
        <v>693</v>
      </c>
    </row>
    <row r="34" spans="1:22" hidden="1" outlineLevel="1" x14ac:dyDescent="0.35">
      <c r="A34" s="431">
        <v>14</v>
      </c>
      <c r="B34" s="322" t="s">
        <v>65</v>
      </c>
      <c r="C34" s="480" t="s">
        <v>571</v>
      </c>
      <c r="D34" s="310" t="s">
        <v>37</v>
      </c>
      <c r="E34" s="310" t="s">
        <v>36</v>
      </c>
      <c r="F34" s="425" t="str">
        <f>_xlfn.XLOOKUP(D34,'05. BC BH THEO SKU-USD'!$D$5:$D$72,'05. BC BH THEO SKU-USD'!$B$5:$B$72,0)</f>
        <v>Vảy rHDPE ép</v>
      </c>
      <c r="G34" s="493">
        <v>0.75</v>
      </c>
      <c r="H34" s="331">
        <v>711.12863332020481</v>
      </c>
      <c r="I34" s="331">
        <v>750</v>
      </c>
      <c r="J34" s="331">
        <v>1129.3803334646186</v>
      </c>
      <c r="K34" s="485">
        <f t="shared" si="3"/>
        <v>13.541667</v>
      </c>
      <c r="L34" s="427">
        <f t="shared" si="4"/>
        <v>-7.9645579999999994</v>
      </c>
      <c r="M34" s="428">
        <f t="shared" si="5"/>
        <v>-0.58815196090702859</v>
      </c>
      <c r="N34" s="310"/>
      <c r="P34" s="425" t="s">
        <v>568</v>
      </c>
      <c r="Q34" s="310" t="s">
        <v>693</v>
      </c>
    </row>
    <row r="35" spans="1:22" hidden="1" outlineLevel="1" x14ac:dyDescent="0.35">
      <c r="A35" s="431">
        <v>15</v>
      </c>
      <c r="B35" s="322" t="s">
        <v>65</v>
      </c>
      <c r="C35" s="480" t="s">
        <v>571</v>
      </c>
      <c r="D35" s="310" t="s">
        <v>536</v>
      </c>
      <c r="E35" s="310" t="s">
        <v>537</v>
      </c>
      <c r="F35" s="425" t="str">
        <f>_xlfn.XLOOKUP(D35,'05. BC BH THEO SKU-USD'!$D$5:$D$72,'05. BC BH THEO SKU-USD'!$B$5:$B$72,0)</f>
        <v>Vảy rHDPE ép</v>
      </c>
      <c r="G35" s="493">
        <v>0.75</v>
      </c>
      <c r="H35" s="331">
        <v>711.12863332020481</v>
      </c>
      <c r="I35" s="331">
        <v>750</v>
      </c>
      <c r="J35" s="331">
        <v>953.87260076145458</v>
      </c>
      <c r="K35" s="485">
        <f t="shared" si="3"/>
        <v>13.541667</v>
      </c>
      <c r="L35" s="427">
        <f t="shared" si="4"/>
        <v>-4.6224519999999991</v>
      </c>
      <c r="M35" s="428">
        <f t="shared" si="5"/>
        <v>-0.34135029313599269</v>
      </c>
      <c r="N35" s="310"/>
      <c r="P35" s="425" t="s">
        <v>568</v>
      </c>
      <c r="Q35" s="310" t="s">
        <v>693</v>
      </c>
    </row>
    <row r="36" spans="1:22" hidden="1" outlineLevel="1" x14ac:dyDescent="0.35">
      <c r="A36" s="431">
        <v>16</v>
      </c>
      <c r="B36" s="322" t="s">
        <v>65</v>
      </c>
      <c r="C36" s="480" t="s">
        <v>571</v>
      </c>
      <c r="D36" s="310" t="s">
        <v>41</v>
      </c>
      <c r="E36" s="310" t="s">
        <v>40</v>
      </c>
      <c r="F36" s="425" t="str">
        <f>_xlfn.XLOOKUP(D36,'05. BC BH THEO SKU-USD'!$D$5:$D$72,'05. BC BH THEO SKU-USD'!$B$5:$B$72,0)</f>
        <v>Vảy rHDPE ép</v>
      </c>
      <c r="G36" s="493">
        <v>0.75</v>
      </c>
      <c r="H36" s="331">
        <v>711.12858080609169</v>
      </c>
      <c r="I36" s="331">
        <v>750</v>
      </c>
      <c r="J36" s="331">
        <v>968.19745306551135</v>
      </c>
      <c r="K36" s="485">
        <f t="shared" si="3"/>
        <v>13.541666000000001</v>
      </c>
      <c r="L36" s="427">
        <f t="shared" si="4"/>
        <v>-4.8952339999999994</v>
      </c>
      <c r="M36" s="428">
        <f t="shared" si="5"/>
        <v>-0.36149422087356159</v>
      </c>
      <c r="N36" s="310"/>
      <c r="P36" s="425" t="s">
        <v>568</v>
      </c>
      <c r="Q36" s="310" t="s">
        <v>693</v>
      </c>
    </row>
    <row r="37" spans="1:22" hidden="1" outlineLevel="1" x14ac:dyDescent="0.35">
      <c r="A37" s="352"/>
      <c r="B37" s="352"/>
      <c r="C37" s="352"/>
      <c r="D37" s="311"/>
      <c r="E37" s="311"/>
      <c r="F37" s="311"/>
      <c r="G37" s="487"/>
      <c r="H37" s="487"/>
      <c r="I37" s="487"/>
      <c r="J37" s="487"/>
      <c r="K37" s="487"/>
      <c r="L37" s="311"/>
      <c r="M37" s="355"/>
      <c r="N37" s="311"/>
      <c r="P37" s="1059"/>
      <c r="Q37" s="311"/>
    </row>
    <row r="38" spans="1:22" hidden="1" outlineLevel="1" x14ac:dyDescent="0.35">
      <c r="A38" s="356"/>
      <c r="B38" s="357"/>
      <c r="C38" s="357"/>
      <c r="D38" s="357"/>
      <c r="E38" s="358" t="s">
        <v>436</v>
      </c>
      <c r="F38" s="358"/>
      <c r="G38" s="449">
        <f>SUM(G21:G37)</f>
        <v>107.5</v>
      </c>
      <c r="H38" s="449"/>
      <c r="I38" s="449"/>
      <c r="J38" s="449"/>
      <c r="K38" s="488">
        <f>SUM(K21:K37)</f>
        <v>2603.8354059999997</v>
      </c>
      <c r="L38" s="395">
        <f>SUM(L21:L37)</f>
        <v>-1003.5933220000001</v>
      </c>
      <c r="M38" s="396"/>
      <c r="N38" s="358"/>
    </row>
    <row r="39" spans="1:22" collapsed="1" x14ac:dyDescent="0.35"/>
    <row r="41" spans="1:22" ht="18.5" x14ac:dyDescent="0.45">
      <c r="B41" s="362" t="s">
        <v>437</v>
      </c>
      <c r="C41" s="363">
        <v>3</v>
      </c>
    </row>
    <row r="42" spans="1:22" hidden="1" outlineLevel="1" x14ac:dyDescent="0.35">
      <c r="L42" s="389" t="s">
        <v>438</v>
      </c>
      <c r="M42" s="390">
        <f>HLOOKUP(C41,'02. Tỷ giá'!$B$4:$M$5,2,0)</f>
        <v>25400</v>
      </c>
      <c r="Q42" s="430"/>
      <c r="R42" s="430"/>
      <c r="S42" s="430"/>
      <c r="T42" t="s">
        <v>704</v>
      </c>
    </row>
    <row r="43" spans="1:22" hidden="1" outlineLevel="1" x14ac:dyDescent="0.35">
      <c r="Q43" s="430"/>
      <c r="R43" s="430"/>
      <c r="S43" s="430"/>
      <c r="T43" s="721" t="s">
        <v>700</v>
      </c>
      <c r="U43" s="721" t="s">
        <v>701</v>
      </c>
      <c r="V43" s="722">
        <v>17000</v>
      </c>
    </row>
    <row r="44" spans="1:22" s="477" customFormat="1" ht="41" hidden="1" customHeight="1" outlineLevel="1" x14ac:dyDescent="0.35">
      <c r="A44" s="351" t="s">
        <v>174</v>
      </c>
      <c r="B44" s="351" t="s">
        <v>564</v>
      </c>
      <c r="C44" s="351" t="s">
        <v>481</v>
      </c>
      <c r="D44" s="351" t="s">
        <v>422</v>
      </c>
      <c r="E44" s="351" t="s">
        <v>423</v>
      </c>
      <c r="F44" s="351" t="s">
        <v>411</v>
      </c>
      <c r="G44" s="351" t="s">
        <v>424</v>
      </c>
      <c r="H44" s="351" t="s">
        <v>482</v>
      </c>
      <c r="I44" s="351" t="s">
        <v>483</v>
      </c>
      <c r="J44" s="351" t="s">
        <v>484</v>
      </c>
      <c r="K44" s="351" t="s">
        <v>426</v>
      </c>
      <c r="L44" s="351" t="s">
        <v>428</v>
      </c>
      <c r="M44" s="351" t="s">
        <v>425</v>
      </c>
      <c r="N44" s="351" t="s">
        <v>705</v>
      </c>
      <c r="P44" s="404" t="s">
        <v>566</v>
      </c>
      <c r="Q44" s="404" t="s">
        <v>567</v>
      </c>
      <c r="S44" s="430"/>
      <c r="T44" s="721" t="s">
        <v>702</v>
      </c>
      <c r="U44" s="721" t="s">
        <v>703</v>
      </c>
      <c r="V44" s="722">
        <v>17000</v>
      </c>
    </row>
    <row r="45" spans="1:22" s="185" customFormat="1" ht="29.5" hidden="1" customHeight="1" outlineLevel="1" x14ac:dyDescent="0.35">
      <c r="A45" s="505">
        <v>1</v>
      </c>
      <c r="B45" s="505" t="s">
        <v>71</v>
      </c>
      <c r="C45" s="707" t="s">
        <v>70</v>
      </c>
      <c r="D45" s="707" t="s">
        <v>187</v>
      </c>
      <c r="E45" s="714" t="s">
        <v>188</v>
      </c>
      <c r="F45" s="708" t="str">
        <f>_xlfn.XLOOKUP(D45,'05. BC BH THEO SKU-USD'!$D$5:$D$72,'05. BC BH THEO SKU-USD'!$B$5:$B$72,0)</f>
        <v>rHDPE thổi</v>
      </c>
      <c r="G45" s="717">
        <v>33</v>
      </c>
      <c r="H45" s="709">
        <v>1344.6850393700788</v>
      </c>
      <c r="I45" s="709">
        <v>1250</v>
      </c>
      <c r="J45" s="709">
        <v>1677.8938833214029</v>
      </c>
      <c r="K45" s="710">
        <f t="shared" ref="K45:K67" si="6">G45*H45*$M$18/10^6</f>
        <v>1126.6712539370078</v>
      </c>
      <c r="L45" s="711">
        <f>G45*(H45-J45)*$M$42/10^6</f>
        <v>-279.29565299999985</v>
      </c>
      <c r="M45" s="712">
        <f t="shared" ref="M45:M67" si="7">L45/K45</f>
        <v>-0.24789454068703456</v>
      </c>
      <c r="N45" s="716" t="s">
        <v>706</v>
      </c>
      <c r="O45" s="713"/>
      <c r="P45" s="1058"/>
      <c r="Q45" s="716" t="s">
        <v>696</v>
      </c>
    </row>
    <row r="46" spans="1:22" ht="97" hidden="1" customHeight="1" outlineLevel="1" x14ac:dyDescent="0.35">
      <c r="A46" s="505">
        <v>2</v>
      </c>
      <c r="B46" s="505" t="s">
        <v>519</v>
      </c>
      <c r="C46" s="526" t="s">
        <v>520</v>
      </c>
      <c r="D46" s="707" t="s">
        <v>41</v>
      </c>
      <c r="E46" s="714" t="s">
        <v>40</v>
      </c>
      <c r="F46" s="708" t="str">
        <f>_xlfn.XLOOKUP(D46,'05. BC BH THEO SKU-USD'!$D$5:$D$72,'05. BC BH THEO SKU-USD'!$B$5:$B$72,0)</f>
        <v>Vảy rHDPE ép</v>
      </c>
      <c r="G46" s="717">
        <v>24</v>
      </c>
      <c r="H46" s="709">
        <v>590.55118110236219</v>
      </c>
      <c r="I46" s="709">
        <v>750</v>
      </c>
      <c r="J46" s="709">
        <v>969.0921391076115</v>
      </c>
      <c r="K46" s="710">
        <f t="shared" si="6"/>
        <v>359.85826771653547</v>
      </c>
      <c r="L46" s="711">
        <f t="shared" ref="L46:L67" si="8">G46*(H46-J46)*$M$42/10^6</f>
        <v>-230.758568</v>
      </c>
      <c r="M46" s="712">
        <f t="shared" si="7"/>
        <v>-0.64124848225460584</v>
      </c>
      <c r="N46" s="716" t="s">
        <v>741</v>
      </c>
      <c r="O46" s="699"/>
      <c r="P46" s="1060" t="s">
        <v>709</v>
      </c>
      <c r="Q46" s="310" t="s">
        <v>693</v>
      </c>
      <c r="S46">
        <f>4000/25.5</f>
        <v>156.86274509803923</v>
      </c>
    </row>
    <row r="47" spans="1:22" s="430" customFormat="1" ht="41.5" hidden="1" customHeight="1" outlineLevel="1" x14ac:dyDescent="0.35">
      <c r="A47" s="505">
        <v>3</v>
      </c>
      <c r="B47" s="505" t="s">
        <v>456</v>
      </c>
      <c r="C47" s="526" t="s">
        <v>457</v>
      </c>
      <c r="D47" s="707" t="s">
        <v>37</v>
      </c>
      <c r="E47" s="714" t="s">
        <v>36</v>
      </c>
      <c r="F47" s="708" t="str">
        <f>_xlfn.XLOOKUP(D47,'05. BC BH THEO SKU-USD'!$D$5:$D$72,'05. BC BH THEO SKU-USD'!$B$5:$B$72,0)</f>
        <v>Vảy rHDPE ép</v>
      </c>
      <c r="G47" s="717">
        <v>14.25</v>
      </c>
      <c r="H47" s="709">
        <v>619.71420085647185</v>
      </c>
      <c r="I47" s="709">
        <v>750</v>
      </c>
      <c r="J47" s="709">
        <v>1202.3194059953032</v>
      </c>
      <c r="K47" s="710">
        <f t="shared" si="6"/>
        <v>224.21724572637794</v>
      </c>
      <c r="L47" s="711">
        <f t="shared" si="8"/>
        <v>-210.873954</v>
      </c>
      <c r="M47" s="712">
        <f t="shared" si="7"/>
        <v>-0.94048944949283098</v>
      </c>
      <c r="N47" s="716" t="s">
        <v>736</v>
      </c>
      <c r="O47" s="699"/>
      <c r="P47" s="1060" t="s">
        <v>707</v>
      </c>
      <c r="Q47" s="310" t="s">
        <v>693</v>
      </c>
    </row>
    <row r="48" spans="1:22" s="430" customFormat="1" ht="27" hidden="1" customHeight="1" outlineLevel="1" x14ac:dyDescent="0.35">
      <c r="A48" s="505">
        <v>4</v>
      </c>
      <c r="B48" s="505">
        <v>1000</v>
      </c>
      <c r="C48" s="526" t="s">
        <v>29</v>
      </c>
      <c r="D48" s="707" t="s">
        <v>210</v>
      </c>
      <c r="E48" s="714" t="s">
        <v>211</v>
      </c>
      <c r="F48" s="708" t="str">
        <f>_xlfn.XLOOKUP(D48,'05. BC BH THEO SKU-USD'!$D$5:$D$72,'05. BC BH THEO SKU-USD'!$B$5:$B$72,0)</f>
        <v>rHDPE ép</v>
      </c>
      <c r="G48" s="717">
        <v>11</v>
      </c>
      <c r="H48" s="709">
        <v>815.45866141732279</v>
      </c>
      <c r="I48" s="709">
        <v>805</v>
      </c>
      <c r="J48" s="709">
        <v>1352.2708768790264</v>
      </c>
      <c r="K48" s="710">
        <f t="shared" si="6"/>
        <v>227.74944954724407</v>
      </c>
      <c r="L48" s="711">
        <f t="shared" si="8"/>
        <v>-149.985333</v>
      </c>
      <c r="M48" s="712">
        <f t="shared" si="7"/>
        <v>-0.65855409660995567</v>
      </c>
      <c r="N48" s="1300" t="s">
        <v>735</v>
      </c>
      <c r="O48" s="699"/>
      <c r="P48" s="425"/>
      <c r="Q48" s="420" t="s">
        <v>693</v>
      </c>
    </row>
    <row r="49" spans="1:17" ht="27" hidden="1" customHeight="1" outlineLevel="1" x14ac:dyDescent="0.35">
      <c r="A49" s="505">
        <v>5</v>
      </c>
      <c r="B49" s="505" t="s">
        <v>30</v>
      </c>
      <c r="C49" s="526" t="s">
        <v>29</v>
      </c>
      <c r="D49" s="707" t="s">
        <v>208</v>
      </c>
      <c r="E49" s="714" t="s">
        <v>209</v>
      </c>
      <c r="F49" s="708" t="str">
        <f>_xlfn.XLOOKUP(D49,'05. BC BH THEO SKU-USD'!$D$5:$D$72,'05. BC BH THEO SKU-USD'!$B$5:$B$72,0)</f>
        <v>rHDPE ép</v>
      </c>
      <c r="G49" s="717">
        <v>16.5</v>
      </c>
      <c r="H49" s="720">
        <v>815.45866141732279</v>
      </c>
      <c r="I49" s="720">
        <v>805</v>
      </c>
      <c r="J49" s="720">
        <v>1154.3198639942734</v>
      </c>
      <c r="K49" s="710">
        <f t="shared" si="6"/>
        <v>341.62417432086613</v>
      </c>
      <c r="L49" s="711">
        <f t="shared" si="8"/>
        <v>-142.01673</v>
      </c>
      <c r="M49" s="712">
        <f t="shared" si="7"/>
        <v>-0.41571042295915689</v>
      </c>
      <c r="N49" s="1303"/>
      <c r="O49" s="699"/>
      <c r="P49" s="425"/>
      <c r="Q49" s="420" t="s">
        <v>693</v>
      </c>
    </row>
    <row r="50" spans="1:17" s="185" customFormat="1" ht="29" hidden="1" outlineLevel="1" x14ac:dyDescent="0.35">
      <c r="A50" s="505">
        <v>6</v>
      </c>
      <c r="B50" s="505" t="s">
        <v>21</v>
      </c>
      <c r="C50" s="526" t="s">
        <v>20</v>
      </c>
      <c r="D50" s="707" t="s">
        <v>538</v>
      </c>
      <c r="E50" s="714" t="s">
        <v>539</v>
      </c>
      <c r="F50" s="708" t="str">
        <f>_xlfn.XLOOKUP(D50,'05. BC BH THEO SKU-USD'!$D$5:$D$72,'05. BC BH THEO SKU-USD'!$B$5:$B$72,0)</f>
        <v>Hạt rPP</v>
      </c>
      <c r="G50" s="717">
        <v>23.625</v>
      </c>
      <c r="H50" s="709">
        <v>765.52930716993717</v>
      </c>
      <c r="I50" s="709">
        <v>840</v>
      </c>
      <c r="J50" s="709">
        <v>956.03283422905463</v>
      </c>
      <c r="K50" s="710">
        <f t="shared" si="6"/>
        <v>459.19414270118119</v>
      </c>
      <c r="L50" s="711">
        <f t="shared" si="8"/>
        <v>-114.31640399999991</v>
      </c>
      <c r="M50" s="712">
        <f t="shared" si="7"/>
        <v>-0.2489500482901213</v>
      </c>
      <c r="N50" s="714" t="s">
        <v>742</v>
      </c>
      <c r="O50" s="713"/>
      <c r="P50" s="425" t="s">
        <v>698</v>
      </c>
      <c r="Q50" s="714" t="s">
        <v>695</v>
      </c>
    </row>
    <row r="51" spans="1:17" ht="21.5" hidden="1" customHeight="1" outlineLevel="1" x14ac:dyDescent="0.35">
      <c r="A51" s="505">
        <v>7</v>
      </c>
      <c r="B51" s="505" t="s">
        <v>643</v>
      </c>
      <c r="C51" s="526" t="s">
        <v>644</v>
      </c>
      <c r="D51" s="707" t="s">
        <v>43</v>
      </c>
      <c r="E51" s="714" t="s">
        <v>42</v>
      </c>
      <c r="F51" s="708" t="str">
        <f>_xlfn.XLOOKUP(D51,'05. BC BH THEO SKU-USD'!$D$5:$D$72,'05. BC BH THEO SKU-USD'!$B$5:$B$72,0)</f>
        <v>Vảy rHDPE ép</v>
      </c>
      <c r="G51" s="717">
        <v>10</v>
      </c>
      <c r="H51" s="709">
        <v>574.80314960629926</v>
      </c>
      <c r="I51" s="709">
        <v>750</v>
      </c>
      <c r="J51" s="709">
        <v>983.85560236220476</v>
      </c>
      <c r="K51" s="710">
        <f t="shared" si="6"/>
        <v>145.9425196850394</v>
      </c>
      <c r="L51" s="711">
        <f t="shared" si="8"/>
        <v>-103.899323</v>
      </c>
      <c r="M51" s="712">
        <f t="shared" si="7"/>
        <v>-0.71191948189072374</v>
      </c>
      <c r="N51" s="1300" t="s">
        <v>743</v>
      </c>
      <c r="O51" s="699"/>
      <c r="P51" s="1060" t="s">
        <v>708</v>
      </c>
      <c r="Q51" s="310" t="s">
        <v>693</v>
      </c>
    </row>
    <row r="52" spans="1:17" ht="21.5" hidden="1" customHeight="1" outlineLevel="1" x14ac:dyDescent="0.35">
      <c r="A52" s="505">
        <v>8</v>
      </c>
      <c r="B52" s="505" t="s">
        <v>643</v>
      </c>
      <c r="C52" s="526" t="s">
        <v>644</v>
      </c>
      <c r="D52" s="707" t="s">
        <v>39</v>
      </c>
      <c r="E52" s="714" t="s">
        <v>38</v>
      </c>
      <c r="F52" s="708" t="str">
        <f>_xlfn.XLOOKUP(D52,'05. BC BH THEO SKU-USD'!$D$5:$D$72,'05. BC BH THEO SKU-USD'!$B$5:$B$72,0)</f>
        <v>Vảy rHDPE ép</v>
      </c>
      <c r="G52" s="717">
        <v>10</v>
      </c>
      <c r="H52" s="709">
        <v>574.80314960629926</v>
      </c>
      <c r="I52" s="709">
        <v>750</v>
      </c>
      <c r="J52" s="709">
        <v>981.00494488188986</v>
      </c>
      <c r="K52" s="710">
        <f t="shared" si="6"/>
        <v>145.9425196850394</v>
      </c>
      <c r="L52" s="711">
        <f t="shared" si="8"/>
        <v>-103.175256</v>
      </c>
      <c r="M52" s="712">
        <f t="shared" si="7"/>
        <v>-0.70695816560289604</v>
      </c>
      <c r="N52" s="1301"/>
      <c r="O52" s="699"/>
      <c r="P52" s="1060" t="s">
        <v>708</v>
      </c>
      <c r="Q52" s="310" t="s">
        <v>693</v>
      </c>
    </row>
    <row r="53" spans="1:17" ht="21.5" hidden="1" customHeight="1" outlineLevel="1" x14ac:dyDescent="0.35">
      <c r="A53" s="505">
        <v>9</v>
      </c>
      <c r="B53" s="505" t="s">
        <v>637</v>
      </c>
      <c r="C53" s="526" t="s">
        <v>638</v>
      </c>
      <c r="D53" s="707" t="s">
        <v>43</v>
      </c>
      <c r="E53" s="714" t="s">
        <v>42</v>
      </c>
      <c r="F53" s="708" t="str">
        <f>_xlfn.XLOOKUP(D53,'05. BC BH THEO SKU-USD'!$D$5:$D$72,'05. BC BH THEO SKU-USD'!$B$5:$B$72,0)</f>
        <v>Vảy rHDPE ép</v>
      </c>
      <c r="G53" s="717">
        <v>10.55</v>
      </c>
      <c r="H53" s="709">
        <v>674.39486882860012</v>
      </c>
      <c r="I53" s="709">
        <v>750</v>
      </c>
      <c r="J53" s="709">
        <v>983.85560323916843</v>
      </c>
      <c r="K53" s="710">
        <f t="shared" si="6"/>
        <v>180.64644434133857</v>
      </c>
      <c r="L53" s="711">
        <f t="shared" si="8"/>
        <v>-82.926192999999984</v>
      </c>
      <c r="M53" s="712">
        <f t="shared" si="7"/>
        <v>-0.45905245078230089</v>
      </c>
      <c r="N53" s="1303"/>
      <c r="O53" s="699"/>
      <c r="P53" s="1060" t="s">
        <v>707</v>
      </c>
      <c r="Q53" s="310" t="s">
        <v>693</v>
      </c>
    </row>
    <row r="54" spans="1:17" hidden="1" outlineLevel="1" x14ac:dyDescent="0.35">
      <c r="A54" s="505">
        <v>10</v>
      </c>
      <c r="B54" s="505" t="s">
        <v>54</v>
      </c>
      <c r="C54" s="526" t="s">
        <v>53</v>
      </c>
      <c r="D54" s="707" t="s">
        <v>52</v>
      </c>
      <c r="E54" s="714" t="s">
        <v>51</v>
      </c>
      <c r="F54" s="708" t="str">
        <f>_xlfn.XLOOKUP(D54,'05. BC BH THEO SKU-USD'!$D$5:$D$72,'05. BC BH THEO SKU-USD'!$B$5:$B$72,0)</f>
        <v>rHDPE thổi</v>
      </c>
      <c r="G54" s="717">
        <v>11</v>
      </c>
      <c r="H54" s="709">
        <v>669.29133858267721</v>
      </c>
      <c r="I54" s="709">
        <v>950</v>
      </c>
      <c r="J54" s="709">
        <v>914.77604151753758</v>
      </c>
      <c r="K54" s="710">
        <f t="shared" si="6"/>
        <v>186.92637795275593</v>
      </c>
      <c r="L54" s="711">
        <f t="shared" si="8"/>
        <v>-68.588425999999984</v>
      </c>
      <c r="M54" s="712">
        <f t="shared" si="7"/>
        <v>-0.36692748637827421</v>
      </c>
      <c r="N54" s="714" t="s">
        <v>699</v>
      </c>
      <c r="O54" s="699"/>
      <c r="P54" s="432" t="s">
        <v>689</v>
      </c>
      <c r="Q54" s="310"/>
    </row>
    <row r="55" spans="1:17" ht="29" hidden="1" outlineLevel="1" x14ac:dyDescent="0.35">
      <c r="A55" s="505">
        <v>11</v>
      </c>
      <c r="B55" s="505" t="s">
        <v>456</v>
      </c>
      <c r="C55" s="526" t="s">
        <v>457</v>
      </c>
      <c r="D55" s="707" t="s">
        <v>39</v>
      </c>
      <c r="E55" s="714" t="s">
        <v>38</v>
      </c>
      <c r="F55" s="708" t="str">
        <f>_xlfn.XLOOKUP(D55,'05. BC BH THEO SKU-USD'!$D$5:$D$72,'05. BC BH THEO SKU-USD'!$B$5:$B$72,0)</f>
        <v>Vảy rHDPE ép</v>
      </c>
      <c r="G55" s="717">
        <v>7.5</v>
      </c>
      <c r="H55" s="709">
        <v>619.71420472440946</v>
      </c>
      <c r="I55" s="709">
        <v>750</v>
      </c>
      <c r="J55" s="709">
        <v>981.00495013123361</v>
      </c>
      <c r="K55" s="710">
        <f t="shared" si="6"/>
        <v>118.00907743464569</v>
      </c>
      <c r="L55" s="711">
        <f t="shared" si="8"/>
        <v>-68.825886999999994</v>
      </c>
      <c r="M55" s="712">
        <f t="shared" si="7"/>
        <v>-0.58322536279563986</v>
      </c>
      <c r="N55" s="716" t="s">
        <v>736</v>
      </c>
      <c r="O55" s="699"/>
      <c r="P55" s="1060" t="s">
        <v>707</v>
      </c>
      <c r="Q55" s="310"/>
    </row>
    <row r="56" spans="1:17" hidden="1" outlineLevel="1" x14ac:dyDescent="0.35">
      <c r="A56" s="505">
        <v>12</v>
      </c>
      <c r="B56" s="505" t="s">
        <v>89</v>
      </c>
      <c r="C56" s="526" t="s">
        <v>88</v>
      </c>
      <c r="D56" s="707" t="s">
        <v>463</v>
      </c>
      <c r="E56" s="714" t="s">
        <v>470</v>
      </c>
      <c r="F56" s="708" t="str">
        <f>_xlfn.XLOOKUP(D56,'05. BC BH THEO SKU-USD'!$D$5:$D$72,'05. BC BH THEO SKU-USD'!$B$5:$B$72,0)</f>
        <v>Xơ sợi</v>
      </c>
      <c r="G56" s="717">
        <v>33</v>
      </c>
      <c r="H56" s="709">
        <v>748.03149606299212</v>
      </c>
      <c r="I56" s="709">
        <v>1000</v>
      </c>
      <c r="J56" s="709">
        <v>799.29088761632079</v>
      </c>
      <c r="K56" s="710">
        <f t="shared" si="6"/>
        <v>626.75314960629919</v>
      </c>
      <c r="L56" s="711">
        <f t="shared" si="8"/>
        <v>-42.965622000000089</v>
      </c>
      <c r="M56" s="712">
        <f t="shared" si="7"/>
        <v>-6.8552702171483848E-2</v>
      </c>
      <c r="N56" s="714" t="s">
        <v>744</v>
      </c>
      <c r="O56" s="699"/>
      <c r="P56" s="432" t="s">
        <v>690</v>
      </c>
      <c r="Q56" s="310"/>
    </row>
    <row r="57" spans="1:17" hidden="1" outlineLevel="1" x14ac:dyDescent="0.35">
      <c r="A57" s="505">
        <v>13</v>
      </c>
      <c r="B57" s="505" t="s">
        <v>7</v>
      </c>
      <c r="C57" s="526" t="s">
        <v>6</v>
      </c>
      <c r="D57" s="707" t="s">
        <v>5</v>
      </c>
      <c r="E57" s="714" t="s">
        <v>4</v>
      </c>
      <c r="F57" s="708" t="str">
        <f>_xlfn.XLOOKUP(D57,'05. BC BH THEO SKU-USD'!$D$5:$D$72,'05. BC BH THEO SKU-USD'!$B$5:$B$72,0)</f>
        <v>Hạt rPP</v>
      </c>
      <c r="G57" s="717">
        <v>19</v>
      </c>
      <c r="H57" s="709">
        <v>1054.57957830635</v>
      </c>
      <c r="I57" s="709">
        <v>840</v>
      </c>
      <c r="J57" s="709">
        <v>1139.3074948197263</v>
      </c>
      <c r="K57" s="710">
        <f t="shared" si="6"/>
        <v>508.73973437076626</v>
      </c>
      <c r="L57" s="711">
        <f t="shared" si="8"/>
        <v>-40.889692509355442</v>
      </c>
      <c r="M57" s="712">
        <f t="shared" si="7"/>
        <v>-8.0374481776875117E-2</v>
      </c>
      <c r="N57" s="714" t="s">
        <v>745</v>
      </c>
      <c r="O57" s="699"/>
      <c r="P57" s="425"/>
      <c r="Q57" s="706" t="s">
        <v>694</v>
      </c>
    </row>
    <row r="58" spans="1:17" hidden="1" outlineLevel="1" x14ac:dyDescent="0.35">
      <c r="A58" s="753">
        <v>14</v>
      </c>
      <c r="B58" s="747" t="s">
        <v>21</v>
      </c>
      <c r="C58" s="748" t="s">
        <v>20</v>
      </c>
      <c r="D58" s="666" t="s">
        <v>19</v>
      </c>
      <c r="E58" s="666" t="s">
        <v>18</v>
      </c>
      <c r="F58" s="749" t="str">
        <f>_xlfn.XLOOKUP(D58,'05. BC BH THEO SKU-USD'!$D$5:$D$72,'05. BC BH THEO SKU-USD'!$B$5:$B$72,0)</f>
        <v>Vảy PP</v>
      </c>
      <c r="G58" s="667">
        <v>5.25</v>
      </c>
      <c r="H58" s="543">
        <v>729.07553055868027</v>
      </c>
      <c r="I58" s="543">
        <v>790</v>
      </c>
      <c r="J58" s="543">
        <v>802.49058867641543</v>
      </c>
      <c r="K58" s="750">
        <f t="shared" si="6"/>
        <v>97.183945534645673</v>
      </c>
      <c r="L58" s="711">
        <f t="shared" si="8"/>
        <v>-9.7898979999999831</v>
      </c>
      <c r="M58" s="751">
        <f t="shared" si="7"/>
        <v>-0.10073575368999528</v>
      </c>
      <c r="N58" s="752"/>
      <c r="O58" s="699"/>
      <c r="P58" s="723" t="s">
        <v>688</v>
      </c>
      <c r="Q58" s="310"/>
    </row>
    <row r="59" spans="1:17" hidden="1" outlineLevel="1" x14ac:dyDescent="0.35">
      <c r="A59" s="753">
        <v>15</v>
      </c>
      <c r="B59" s="747" t="s">
        <v>7</v>
      </c>
      <c r="C59" s="748" t="s">
        <v>6</v>
      </c>
      <c r="D59" s="666" t="s">
        <v>9</v>
      </c>
      <c r="E59" s="666" t="s">
        <v>8</v>
      </c>
      <c r="F59" s="749" t="str">
        <f>_xlfn.XLOOKUP(D59,'05. BC BH THEO SKU-USD'!$D$5:$D$72,'05. BC BH THEO SKU-USD'!$B$5:$B$72,0)</f>
        <v>Hạt rPP</v>
      </c>
      <c r="G59" s="667">
        <v>5</v>
      </c>
      <c r="H59" s="543">
        <v>1054.57957830635</v>
      </c>
      <c r="I59" s="543">
        <v>840</v>
      </c>
      <c r="J59" s="543">
        <v>1088.6541889763778</v>
      </c>
      <c r="K59" s="750">
        <f t="shared" si="6"/>
        <v>133.87887746599111</v>
      </c>
      <c r="L59" s="711">
        <f t="shared" si="8"/>
        <v>-4.3274755550935335</v>
      </c>
      <c r="M59" s="751">
        <f t="shared" si="7"/>
        <v>-3.2323811171727446E-2</v>
      </c>
      <c r="N59" s="752"/>
      <c r="O59" s="699"/>
      <c r="P59" s="425"/>
      <c r="Q59" s="310"/>
    </row>
    <row r="60" spans="1:17" hidden="1" outlineLevel="1" x14ac:dyDescent="0.35">
      <c r="A60" s="753">
        <v>16</v>
      </c>
      <c r="B60" s="753" t="s">
        <v>185</v>
      </c>
      <c r="C60" s="754" t="s">
        <v>186</v>
      </c>
      <c r="D60" s="755" t="s">
        <v>187</v>
      </c>
      <c r="E60" s="755" t="s">
        <v>188</v>
      </c>
      <c r="F60" s="749" t="str">
        <f>_xlfn.XLOOKUP(D60,'05. BC BH THEO SKU-USD'!$D$5:$D$72,'05. BC BH THEO SKU-USD'!$B$5:$B$72,0)</f>
        <v>rHDPE thổi</v>
      </c>
      <c r="G60" s="756">
        <v>0.3</v>
      </c>
      <c r="H60" s="750">
        <v>1314.8425196850394</v>
      </c>
      <c r="I60" s="750">
        <v>1250</v>
      </c>
      <c r="J60" s="543">
        <v>1677.8938320209975</v>
      </c>
      <c r="K60" s="750">
        <f t="shared" si="6"/>
        <v>10.015155472440945</v>
      </c>
      <c r="L60" s="711">
        <f t="shared" si="8"/>
        <v>-2.7664510000000004</v>
      </c>
      <c r="M60" s="751">
        <f t="shared" si="7"/>
        <v>-0.27622646574110016</v>
      </c>
      <c r="N60" s="757"/>
      <c r="O60" s="699"/>
      <c r="P60" s="425"/>
      <c r="Q60" s="491"/>
    </row>
    <row r="61" spans="1:17" hidden="1" outlineLevel="1" x14ac:dyDescent="0.35">
      <c r="A61" s="753">
        <v>17</v>
      </c>
      <c r="B61" s="753" t="s">
        <v>633</v>
      </c>
      <c r="C61" s="754" t="s">
        <v>634</v>
      </c>
      <c r="D61" s="755" t="s">
        <v>52</v>
      </c>
      <c r="E61" s="755" t="s">
        <v>51</v>
      </c>
      <c r="F61" s="749" t="str">
        <f>_xlfn.XLOOKUP(D61,'05. BC BH THEO SKU-USD'!$D$5:$D$72,'05. BC BH THEO SKU-USD'!$B$5:$B$72,0)</f>
        <v>rHDPE thổi</v>
      </c>
      <c r="G61" s="756">
        <v>0.1</v>
      </c>
      <c r="H61" s="750">
        <v>669.29133858267721</v>
      </c>
      <c r="I61" s="750">
        <v>950</v>
      </c>
      <c r="J61" s="543">
        <v>914.77598425196845</v>
      </c>
      <c r="K61" s="750">
        <f t="shared" si="6"/>
        <v>1.6993307086614176</v>
      </c>
      <c r="L61" s="711">
        <f t="shared" si="8"/>
        <v>-0.62353099999999972</v>
      </c>
      <c r="M61" s="751">
        <f t="shared" si="7"/>
        <v>-0.36692740078307789</v>
      </c>
      <c r="N61" s="757"/>
      <c r="O61" s="699"/>
      <c r="P61" s="1061" t="s">
        <v>689</v>
      </c>
      <c r="Q61" s="425"/>
    </row>
    <row r="62" spans="1:17" hidden="1" outlineLevel="1" x14ac:dyDescent="0.35">
      <c r="A62" s="753">
        <v>18</v>
      </c>
      <c r="B62" s="747" t="s">
        <v>637</v>
      </c>
      <c r="C62" s="748" t="s">
        <v>638</v>
      </c>
      <c r="D62" s="666" t="s">
        <v>37</v>
      </c>
      <c r="E62" s="666" t="s">
        <v>36</v>
      </c>
      <c r="F62" s="749" t="str">
        <f>_xlfn.XLOOKUP(D62,'05. BC BH THEO SKU-USD'!$D$5:$D$72,'05. BC BH THEO SKU-USD'!$B$5:$B$72,0)</f>
        <v>Vảy rHDPE ép</v>
      </c>
      <c r="G62" s="667">
        <v>0.05</v>
      </c>
      <c r="H62" s="543">
        <v>674.39527559055114</v>
      </c>
      <c r="I62" s="543">
        <v>750</v>
      </c>
      <c r="J62" s="543">
        <v>1202.3196850393701</v>
      </c>
      <c r="K62" s="750">
        <f t="shared" si="6"/>
        <v>0.8561448023622048</v>
      </c>
      <c r="L62" s="711">
        <f t="shared" si="8"/>
        <v>-0.67046400000000017</v>
      </c>
      <c r="M62" s="751">
        <f t="shared" si="7"/>
        <v>-0.7831198626098187</v>
      </c>
      <c r="N62" s="752"/>
      <c r="O62" s="699"/>
      <c r="P62" s="1060" t="s">
        <v>707</v>
      </c>
      <c r="Q62" s="310"/>
    </row>
    <row r="63" spans="1:17" hidden="1" outlineLevel="1" x14ac:dyDescent="0.35">
      <c r="A63" s="753">
        <v>19</v>
      </c>
      <c r="B63" s="747" t="s">
        <v>629</v>
      </c>
      <c r="C63" s="748" t="s">
        <v>630</v>
      </c>
      <c r="D63" s="666" t="s">
        <v>645</v>
      </c>
      <c r="E63" s="666" t="s">
        <v>646</v>
      </c>
      <c r="F63" s="749" t="str">
        <f>_xlfn.XLOOKUP(D63,'05. BC BH THEO SKU-USD'!$D$5:$D$72,'05. BC BH THEO SKU-USD'!$B$5:$B$72,0)</f>
        <v xml:space="preserve"> rPET</v>
      </c>
      <c r="G63" s="667">
        <v>1.1000000000000001</v>
      </c>
      <c r="H63" s="543">
        <v>966.16649964209012</v>
      </c>
      <c r="I63" s="543">
        <v>1230</v>
      </c>
      <c r="J63" s="543">
        <v>999.63375089477438</v>
      </c>
      <c r="K63" s="750">
        <f t="shared" si="6"/>
        <v>26.984064168503942</v>
      </c>
      <c r="L63" s="711">
        <f t="shared" si="8"/>
        <v>-0.93507499999999832</v>
      </c>
      <c r="M63" s="751">
        <f t="shared" si="7"/>
        <v>-3.4652860079225085E-2</v>
      </c>
      <c r="N63" s="752"/>
      <c r="O63" s="699"/>
      <c r="P63" s="425" t="s">
        <v>686</v>
      </c>
      <c r="Q63" s="310"/>
    </row>
    <row r="64" spans="1:17" hidden="1" outlineLevel="1" x14ac:dyDescent="0.35">
      <c r="A64" s="753">
        <v>20</v>
      </c>
      <c r="B64" s="747" t="s">
        <v>637</v>
      </c>
      <c r="C64" s="748" t="s">
        <v>638</v>
      </c>
      <c r="D64" s="666" t="s">
        <v>536</v>
      </c>
      <c r="E64" s="666" t="s">
        <v>537</v>
      </c>
      <c r="F64" s="749" t="str">
        <f>_xlfn.XLOOKUP(D64,'05. BC BH THEO SKU-USD'!$D$5:$D$72,'05. BC BH THEO SKU-USD'!$B$5:$B$72,0)</f>
        <v>Vảy rHDPE ép</v>
      </c>
      <c r="G64" s="667">
        <v>0.05</v>
      </c>
      <c r="H64" s="543">
        <v>674.39527559055114</v>
      </c>
      <c r="I64" s="543">
        <v>750</v>
      </c>
      <c r="J64" s="543">
        <v>942.94330708661414</v>
      </c>
      <c r="K64" s="750">
        <f t="shared" si="6"/>
        <v>0.8561448023622048</v>
      </c>
      <c r="L64" s="711">
        <f t="shared" si="8"/>
        <v>-0.34105600000000003</v>
      </c>
      <c r="M64" s="751">
        <f t="shared" si="7"/>
        <v>-0.39836251888580781</v>
      </c>
      <c r="N64" s="752"/>
      <c r="O64" s="699"/>
      <c r="P64" s="1060" t="s">
        <v>707</v>
      </c>
      <c r="Q64" s="310"/>
    </row>
    <row r="65" spans="1:22" hidden="1" outlineLevel="1" x14ac:dyDescent="0.35">
      <c r="A65" s="753">
        <v>21</v>
      </c>
      <c r="B65" s="747" t="s">
        <v>637</v>
      </c>
      <c r="C65" s="748" t="s">
        <v>638</v>
      </c>
      <c r="D65" s="666" t="s">
        <v>41</v>
      </c>
      <c r="E65" s="666" t="s">
        <v>40</v>
      </c>
      <c r="F65" s="749" t="str">
        <f>_xlfn.XLOOKUP(D65,'05. BC BH THEO SKU-USD'!$D$5:$D$72,'05. BC BH THEO SKU-USD'!$B$5:$B$72,0)</f>
        <v>Vảy rHDPE ép</v>
      </c>
      <c r="G65" s="667">
        <v>0.05</v>
      </c>
      <c r="H65" s="543">
        <v>674.39527559055114</v>
      </c>
      <c r="I65" s="543">
        <v>750</v>
      </c>
      <c r="J65" s="543">
        <v>969.09212598425199</v>
      </c>
      <c r="K65" s="750">
        <f t="shared" si="6"/>
        <v>0.8561448023622048</v>
      </c>
      <c r="L65" s="711">
        <f t="shared" si="8"/>
        <v>-0.37426500000000013</v>
      </c>
      <c r="M65" s="751">
        <f t="shared" si="7"/>
        <v>-0.43715151802283764</v>
      </c>
      <c r="N65" s="752"/>
      <c r="O65" s="699"/>
      <c r="P65" s="1060" t="s">
        <v>707</v>
      </c>
      <c r="Q65" s="310"/>
    </row>
    <row r="66" spans="1:22" hidden="1" outlineLevel="1" x14ac:dyDescent="0.35">
      <c r="A66" s="753">
        <v>22</v>
      </c>
      <c r="B66" s="747" t="s">
        <v>637</v>
      </c>
      <c r="C66" s="748" t="s">
        <v>638</v>
      </c>
      <c r="D66" s="666" t="s">
        <v>39</v>
      </c>
      <c r="E66" s="666" t="s">
        <v>38</v>
      </c>
      <c r="F66" s="749" t="str">
        <f>_xlfn.XLOOKUP(D66,'05. BC BH THEO SKU-USD'!$D$5:$D$72,'05. BC BH THEO SKU-USD'!$B$5:$B$72,0)</f>
        <v>Vảy rHDPE ép</v>
      </c>
      <c r="G66" s="667">
        <v>0.05</v>
      </c>
      <c r="H66" s="543">
        <v>674.39527559055114</v>
      </c>
      <c r="I66" s="543">
        <v>750</v>
      </c>
      <c r="J66" s="543">
        <v>981.00472440944884</v>
      </c>
      <c r="K66" s="750">
        <f t="shared" si="6"/>
        <v>0.8561448023622048</v>
      </c>
      <c r="L66" s="711">
        <f t="shared" si="8"/>
        <v>-0.38939400000000013</v>
      </c>
      <c r="M66" s="751">
        <f t="shared" si="7"/>
        <v>-0.45482259417520965</v>
      </c>
      <c r="N66" s="752"/>
      <c r="O66" s="699"/>
      <c r="P66" s="1060" t="s">
        <v>707</v>
      </c>
      <c r="Q66" s="310"/>
    </row>
    <row r="67" spans="1:22" hidden="1" outlineLevel="1" x14ac:dyDescent="0.35">
      <c r="A67" s="753">
        <v>23</v>
      </c>
      <c r="B67" s="747" t="s">
        <v>637</v>
      </c>
      <c r="C67" s="748" t="s">
        <v>638</v>
      </c>
      <c r="D67" s="666" t="s">
        <v>653</v>
      </c>
      <c r="E67" s="666" t="s">
        <v>654</v>
      </c>
      <c r="F67" s="749" t="str">
        <f>_xlfn.XLOOKUP(D67,'05. BC BH THEO SKU-USD'!$D$5:$D$72,'05. BC BH THEO SKU-USD'!$B$5:$B$72,0)</f>
        <v>Vảy rHDPE ép</v>
      </c>
      <c r="G67" s="667">
        <v>0.05</v>
      </c>
      <c r="H67" s="543">
        <v>656.16614173228345</v>
      </c>
      <c r="I67" s="543">
        <v>750</v>
      </c>
      <c r="J67" s="543">
        <v>678.43700787401576</v>
      </c>
      <c r="K67" s="750">
        <f t="shared" si="6"/>
        <v>0.83300291692913386</v>
      </c>
      <c r="L67" s="711">
        <f t="shared" si="8"/>
        <v>-2.8284000000000035E-2</v>
      </c>
      <c r="M67" s="751">
        <f t="shared" si="7"/>
        <v>-3.3954262854527607E-2</v>
      </c>
      <c r="N67" s="752"/>
      <c r="O67" s="699"/>
      <c r="P67" s="1060" t="s">
        <v>707</v>
      </c>
      <c r="Q67" s="310"/>
    </row>
    <row r="68" spans="1:22" hidden="1" outlineLevel="1" x14ac:dyDescent="0.35">
      <c r="A68" s="766"/>
      <c r="B68" s="766"/>
      <c r="C68" s="766"/>
      <c r="D68" s="670"/>
      <c r="E68" s="670"/>
      <c r="F68" s="670"/>
      <c r="G68" s="671"/>
      <c r="H68" s="767"/>
      <c r="I68" s="767"/>
      <c r="J68" s="767"/>
      <c r="K68" s="767"/>
      <c r="L68" s="768"/>
      <c r="M68" s="546"/>
      <c r="N68" s="769"/>
      <c r="P68" s="1059"/>
      <c r="Q68" s="311"/>
    </row>
    <row r="69" spans="1:22" hidden="1" outlineLevel="1" x14ac:dyDescent="0.35">
      <c r="A69" s="356"/>
      <c r="B69" s="357"/>
      <c r="C69" s="357"/>
      <c r="D69" s="357"/>
      <c r="E69" s="358" t="s">
        <v>436</v>
      </c>
      <c r="F69" s="358"/>
      <c r="G69" s="385">
        <f>SUM(G45:G68)</f>
        <v>235.42500000000007</v>
      </c>
      <c r="H69" s="449"/>
      <c r="I69" s="449"/>
      <c r="J69" s="449"/>
      <c r="K69" s="449">
        <f>SUM(K45:K68)</f>
        <v>4926.2933125017171</v>
      </c>
      <c r="L69" s="395">
        <f>SUM(L45:L68)</f>
        <v>-1658.762935064449</v>
      </c>
      <c r="M69" s="396">
        <f>L69/K69</f>
        <v>-0.33671623466977046</v>
      </c>
      <c r="N69" s="719"/>
    </row>
    <row r="70" spans="1:22" collapsed="1" x14ac:dyDescent="0.35"/>
    <row r="73" spans="1:22" ht="18.5" x14ac:dyDescent="0.45">
      <c r="B73" s="362" t="s">
        <v>437</v>
      </c>
      <c r="C73" s="363">
        <v>4</v>
      </c>
    </row>
    <row r="74" spans="1:22" hidden="1" outlineLevel="1" x14ac:dyDescent="0.35">
      <c r="L74" s="389" t="s">
        <v>438</v>
      </c>
      <c r="M74" s="390">
        <f>HLOOKUP(C73,'02. Tỷ giá'!$B$4:$M$5,2,0)</f>
        <v>25830</v>
      </c>
      <c r="Q74" s="430"/>
      <c r="R74" s="430"/>
      <c r="S74" s="430"/>
      <c r="T74" t="s">
        <v>704</v>
      </c>
    </row>
    <row r="75" spans="1:22" hidden="1" outlineLevel="1" x14ac:dyDescent="0.35">
      <c r="I75" s="343"/>
      <c r="Q75" s="430"/>
      <c r="R75" s="430"/>
      <c r="S75" s="430"/>
      <c r="T75" s="721" t="s">
        <v>700</v>
      </c>
      <c r="U75" s="721" t="s">
        <v>701</v>
      </c>
      <c r="V75" s="722">
        <v>17000</v>
      </c>
    </row>
    <row r="76" spans="1:22" s="477" customFormat="1" ht="41" hidden="1" customHeight="1" outlineLevel="1" x14ac:dyDescent="0.35">
      <c r="A76" s="351" t="s">
        <v>174</v>
      </c>
      <c r="B76" s="351" t="s">
        <v>564</v>
      </c>
      <c r="C76" s="351" t="s">
        <v>481</v>
      </c>
      <c r="D76" s="351" t="s">
        <v>422</v>
      </c>
      <c r="E76" s="351" t="s">
        <v>423</v>
      </c>
      <c r="F76" s="351" t="s">
        <v>411</v>
      </c>
      <c r="G76" s="351" t="s">
        <v>424</v>
      </c>
      <c r="H76" s="351" t="s">
        <v>482</v>
      </c>
      <c r="I76" s="351" t="s">
        <v>483</v>
      </c>
      <c r="J76" s="351" t="s">
        <v>484</v>
      </c>
      <c r="K76" s="351" t="s">
        <v>426</v>
      </c>
      <c r="L76" s="351" t="s">
        <v>428</v>
      </c>
      <c r="M76" s="351" t="s">
        <v>425</v>
      </c>
      <c r="N76" s="351" t="s">
        <v>705</v>
      </c>
      <c r="P76" s="404" t="s">
        <v>566</v>
      </c>
      <c r="Q76" s="404" t="s">
        <v>567</v>
      </c>
      <c r="S76" s="430"/>
      <c r="T76" s="721" t="s">
        <v>702</v>
      </c>
      <c r="U76" s="721" t="s">
        <v>703</v>
      </c>
      <c r="V76" s="722">
        <v>17000</v>
      </c>
    </row>
    <row r="77" spans="1:22" ht="43.5" hidden="1" outlineLevel="1" x14ac:dyDescent="0.35">
      <c r="A77" s="505">
        <v>1</v>
      </c>
      <c r="B77" s="505" t="s">
        <v>456</v>
      </c>
      <c r="C77" s="526" t="s">
        <v>457</v>
      </c>
      <c r="D77" s="707" t="s">
        <v>37</v>
      </c>
      <c r="E77" s="707" t="s">
        <v>36</v>
      </c>
      <c r="F77" s="708" t="str">
        <f>_xlfn.XLOOKUP(D77,'05. BC BH THEO SKU-USD'!$D$5:$D$72,'05. BC BH THEO SKU-USD'!$B$5:$B$72,0)</f>
        <v>Vảy rHDPE ép</v>
      </c>
      <c r="G77" s="717">
        <v>23.25</v>
      </c>
      <c r="H77" s="709">
        <v>604.07841011743449</v>
      </c>
      <c r="I77" s="709">
        <v>750</v>
      </c>
      <c r="J77" s="709">
        <v>1080.6671828623048</v>
      </c>
      <c r="K77" s="710">
        <f>G77*H77*$M$74/10^6</f>
        <v>362.77777900000001</v>
      </c>
      <c r="L77" s="711">
        <f>G77*(H77-J77)*$M$74/10^6</f>
        <v>-286.21419600000002</v>
      </c>
      <c r="M77" s="712">
        <f>L77/K77</f>
        <v>-0.78895183930215307</v>
      </c>
      <c r="N77" s="894" t="s">
        <v>793</v>
      </c>
      <c r="O77" s="699"/>
      <c r="P77" s="1060" t="s">
        <v>752</v>
      </c>
      <c r="Q77" s="707" t="s">
        <v>693</v>
      </c>
    </row>
    <row r="78" spans="1:22" s="185" customFormat="1" ht="43.25" hidden="1" customHeight="1" outlineLevel="1" x14ac:dyDescent="0.35">
      <c r="A78" s="505">
        <v>2</v>
      </c>
      <c r="B78" s="505" t="s">
        <v>71</v>
      </c>
      <c r="C78" s="707" t="s">
        <v>70</v>
      </c>
      <c r="D78" s="707" t="s">
        <v>187</v>
      </c>
      <c r="E78" s="707" t="s">
        <v>188</v>
      </c>
      <c r="F78" s="708" t="str">
        <f>_xlfn.XLOOKUP(D78,'05. BC BH THEO SKU-USD'!$D$5:$D$72,'05. BC BH THEO SKU-USD'!$B$5:$B$72,0)</f>
        <v>rHDPE thổi</v>
      </c>
      <c r="G78" s="726">
        <v>33</v>
      </c>
      <c r="H78" s="727">
        <v>1246.1285327138985</v>
      </c>
      <c r="I78" s="727">
        <v>1250</v>
      </c>
      <c r="J78" s="709">
        <v>1565.7895470383276</v>
      </c>
      <c r="K78" s="710">
        <f>G78*H78*$M$74/10^6</f>
        <v>1062.1874999999998</v>
      </c>
      <c r="L78" s="711">
        <f t="shared" ref="L78:L95" si="9">G78*(H78-J78)*$M$74/10^6</f>
        <v>-272.47585200000003</v>
      </c>
      <c r="M78" s="712">
        <f t="shared" ref="M78:M95" si="10">L78/K78</f>
        <v>-0.25652330873786416</v>
      </c>
      <c r="N78" s="714" t="s">
        <v>706</v>
      </c>
      <c r="O78" s="713"/>
      <c r="P78" s="1058" t="s">
        <v>754</v>
      </c>
      <c r="Q78" s="716" t="s">
        <v>791</v>
      </c>
    </row>
    <row r="79" spans="1:22" ht="46" hidden="1" customHeight="1" outlineLevel="1" x14ac:dyDescent="0.35">
      <c r="A79" s="505">
        <v>3</v>
      </c>
      <c r="B79" s="505" t="s">
        <v>637</v>
      </c>
      <c r="C79" s="526" t="s">
        <v>638</v>
      </c>
      <c r="D79" s="707" t="s">
        <v>204</v>
      </c>
      <c r="E79" s="707" t="s">
        <v>205</v>
      </c>
      <c r="F79" s="708" t="str">
        <f>_xlfn.XLOOKUP(D79,'05. BC BH THEO SKU-USD'!$D$5:$D$72,'05. BC BH THEO SKU-USD'!$B$5:$B$72,0)</f>
        <v>rHDPE ép</v>
      </c>
      <c r="G79" s="717">
        <v>26.875</v>
      </c>
      <c r="H79" s="709">
        <v>699.01492585689982</v>
      </c>
      <c r="I79" s="709">
        <v>805</v>
      </c>
      <c r="J79" s="709">
        <v>1008.4639335908308</v>
      </c>
      <c r="K79" s="710">
        <f t="shared" ref="K79:K95" si="11">G79*H79*$M$74/10^6</f>
        <v>485.24305500000003</v>
      </c>
      <c r="L79" s="711">
        <f t="shared" si="9"/>
        <v>-214.8136989999999</v>
      </c>
      <c r="M79" s="712">
        <f>L79/K79</f>
        <v>-0.44269299021703645</v>
      </c>
      <c r="N79" s="714" t="s">
        <v>793</v>
      </c>
      <c r="O79" s="699"/>
      <c r="P79" s="425" t="s">
        <v>751</v>
      </c>
      <c r="Q79" s="707" t="s">
        <v>693</v>
      </c>
    </row>
    <row r="80" spans="1:22" hidden="1" outlineLevel="1" x14ac:dyDescent="0.35">
      <c r="A80" s="505">
        <v>4</v>
      </c>
      <c r="B80" s="505" t="s">
        <v>54</v>
      </c>
      <c r="C80" s="526" t="s">
        <v>53</v>
      </c>
      <c r="D80" s="707" t="s">
        <v>52</v>
      </c>
      <c r="E80" s="707" t="s">
        <v>51</v>
      </c>
      <c r="F80" s="708" t="str">
        <f>_xlfn.XLOOKUP(D80,'05. BC BH THEO SKU-USD'!$D$5:$D$72,'05. BC BH THEO SKU-USD'!$B$5:$B$72,0)</f>
        <v>rHDPE thổi</v>
      </c>
      <c r="G80" s="726">
        <v>28</v>
      </c>
      <c r="H80" s="727">
        <v>658.14943863724352</v>
      </c>
      <c r="I80" s="727">
        <v>950</v>
      </c>
      <c r="J80" s="727">
        <v>890.40678612908584</v>
      </c>
      <c r="K80" s="710">
        <f t="shared" si="11"/>
        <v>476</v>
      </c>
      <c r="L80" s="711">
        <f t="shared" si="9"/>
        <v>-167.97780400000005</v>
      </c>
      <c r="M80" s="712">
        <f t="shared" si="10"/>
        <v>-0.35289454621848748</v>
      </c>
      <c r="N80" s="714" t="s">
        <v>794</v>
      </c>
      <c r="O80" s="699"/>
      <c r="P80" s="1060" t="s">
        <v>699</v>
      </c>
      <c r="Q80" s="310"/>
    </row>
    <row r="81" spans="1:17" ht="51" hidden="1" customHeight="1" outlineLevel="1" x14ac:dyDescent="0.35">
      <c r="A81" s="505">
        <v>5</v>
      </c>
      <c r="B81" s="505" t="s">
        <v>30</v>
      </c>
      <c r="C81" s="526" t="s">
        <v>29</v>
      </c>
      <c r="D81" s="707" t="s">
        <v>208</v>
      </c>
      <c r="E81" s="707" t="s">
        <v>209</v>
      </c>
      <c r="F81" s="708" t="str">
        <f>_xlfn.XLOOKUP(D81,'05. BC BH THEO SKU-USD'!$D$5:$D$72,'05. BC BH THEO SKU-USD'!$B$5:$B$72,0)</f>
        <v>rHDPE ép</v>
      </c>
      <c r="G81" s="726">
        <v>16.5</v>
      </c>
      <c r="H81" s="728">
        <v>774.29345722028654</v>
      </c>
      <c r="I81" s="728">
        <v>805</v>
      </c>
      <c r="J81" s="728">
        <v>1144.8862821009163</v>
      </c>
      <c r="K81" s="710">
        <f t="shared" si="11"/>
        <v>330</v>
      </c>
      <c r="L81" s="711">
        <f t="shared" si="9"/>
        <v>-157.94480900000002</v>
      </c>
      <c r="M81" s="712">
        <f>L81/K81</f>
        <v>-0.47862063333333338</v>
      </c>
      <c r="N81" s="714" t="s">
        <v>743</v>
      </c>
      <c r="O81" s="699"/>
      <c r="P81" s="425" t="s">
        <v>755</v>
      </c>
      <c r="Q81" s="707" t="s">
        <v>693</v>
      </c>
    </row>
    <row r="82" spans="1:17" ht="60" hidden="1" customHeight="1" outlineLevel="1" x14ac:dyDescent="0.35">
      <c r="A82" s="505">
        <v>6</v>
      </c>
      <c r="B82" s="505" t="s">
        <v>456</v>
      </c>
      <c r="C82" s="526" t="s">
        <v>457</v>
      </c>
      <c r="D82" s="707" t="s">
        <v>39</v>
      </c>
      <c r="E82" s="707" t="s">
        <v>38</v>
      </c>
      <c r="F82" s="708" t="str">
        <f>_xlfn.XLOOKUP(D82,'05. BC BH THEO SKU-USD'!$D$5:$D$72,'05. BC BH THEO SKU-USD'!$B$5:$B$72,0)</f>
        <v>Vảy rHDPE ép</v>
      </c>
      <c r="G82" s="717">
        <v>9.75</v>
      </c>
      <c r="H82" s="709">
        <v>594.01470363421583</v>
      </c>
      <c r="I82" s="709">
        <v>750</v>
      </c>
      <c r="J82" s="709">
        <v>971.39538004903864</v>
      </c>
      <c r="K82" s="710">
        <f t="shared" si="11"/>
        <v>149.59814800000001</v>
      </c>
      <c r="L82" s="711">
        <f t="shared" si="9"/>
        <v>-95.040493000000012</v>
      </c>
      <c r="M82" s="712">
        <f t="shared" si="10"/>
        <v>-0.63530527797710445</v>
      </c>
      <c r="N82" s="714" t="s">
        <v>795</v>
      </c>
      <c r="O82" s="699"/>
      <c r="P82" s="1060" t="s">
        <v>753</v>
      </c>
      <c r="Q82" s="707" t="s">
        <v>693</v>
      </c>
    </row>
    <row r="83" spans="1:17" ht="35.5" hidden="1" customHeight="1" outlineLevel="1" x14ac:dyDescent="0.35">
      <c r="A83" s="505">
        <v>7</v>
      </c>
      <c r="B83" s="505" t="s">
        <v>519</v>
      </c>
      <c r="C83" s="526" t="s">
        <v>520</v>
      </c>
      <c r="D83" s="707" t="s">
        <v>41</v>
      </c>
      <c r="E83" s="707" t="s">
        <v>40</v>
      </c>
      <c r="F83" s="708" t="str">
        <f>_xlfn.XLOOKUP(D83,'05. BC BH THEO SKU-USD'!$D$5:$D$72,'05. BC BH THEO SKU-USD'!$B$5:$B$72,0)</f>
        <v>Vảy rHDPE ép</v>
      </c>
      <c r="G83" s="717">
        <v>9</v>
      </c>
      <c r="H83" s="709">
        <v>600.07742934572207</v>
      </c>
      <c r="I83" s="709">
        <v>750</v>
      </c>
      <c r="J83" s="709">
        <v>963.76568159332385</v>
      </c>
      <c r="K83" s="710">
        <f t="shared" si="11"/>
        <v>139.5</v>
      </c>
      <c r="L83" s="711">
        <f t="shared" si="9"/>
        <v>-84.546607999999992</v>
      </c>
      <c r="M83" s="712">
        <f>L83/K83</f>
        <v>-0.60606887455197123</v>
      </c>
      <c r="N83" s="714" t="s">
        <v>796</v>
      </c>
      <c r="O83" s="699"/>
      <c r="P83" s="1060" t="s">
        <v>737</v>
      </c>
      <c r="Q83" s="707" t="s">
        <v>693</v>
      </c>
    </row>
    <row r="84" spans="1:17" ht="41.5" hidden="1" customHeight="1" outlineLevel="1" x14ac:dyDescent="0.35">
      <c r="A84" s="505">
        <v>8</v>
      </c>
      <c r="B84" s="505" t="s">
        <v>637</v>
      </c>
      <c r="C84" s="526" t="s">
        <v>638</v>
      </c>
      <c r="D84" s="707" t="s">
        <v>37</v>
      </c>
      <c r="E84" s="707" t="s">
        <v>36</v>
      </c>
      <c r="F84" s="708" t="str">
        <f>_xlfn.XLOOKUP(D84,'05. BC BH THEO SKU-USD'!$D$5:$D$72,'05. BC BH THEO SKU-USD'!$B$5:$B$72,0)</f>
        <v>Vảy rHDPE ép</v>
      </c>
      <c r="G84" s="726">
        <v>6</v>
      </c>
      <c r="H84" s="727">
        <v>627.32108659181824</v>
      </c>
      <c r="I84" s="727">
        <v>750</v>
      </c>
      <c r="J84" s="727">
        <v>1080.6671828623048</v>
      </c>
      <c r="K84" s="710">
        <f t="shared" si="11"/>
        <v>97.222222000000002</v>
      </c>
      <c r="L84" s="711">
        <f t="shared" si="9"/>
        <v>-70.259578000000005</v>
      </c>
      <c r="M84" s="712">
        <f>L84/K84</f>
        <v>-0.72266994679467422</v>
      </c>
      <c r="N84" s="714" t="s">
        <v>743</v>
      </c>
      <c r="O84" s="699"/>
      <c r="P84" s="425" t="s">
        <v>738</v>
      </c>
      <c r="Q84" s="707" t="s">
        <v>693</v>
      </c>
    </row>
    <row r="85" spans="1:17" ht="69" hidden="1" customHeight="1" outlineLevel="1" x14ac:dyDescent="0.35">
      <c r="A85" s="505">
        <v>9</v>
      </c>
      <c r="B85" s="505" t="s">
        <v>456</v>
      </c>
      <c r="C85" s="526" t="s">
        <v>457</v>
      </c>
      <c r="D85" s="707" t="s">
        <v>536</v>
      </c>
      <c r="E85" s="707" t="s">
        <v>537</v>
      </c>
      <c r="F85" s="708" t="str">
        <f>_xlfn.XLOOKUP(D85,'05. BC BH THEO SKU-USD'!$D$5:$D$72,'05. BC BH THEO SKU-USD'!$B$5:$B$72,0)</f>
        <v>Vảy rHDPE ép</v>
      </c>
      <c r="G85" s="717">
        <v>4.5</v>
      </c>
      <c r="H85" s="709">
        <v>595.05887211253059</v>
      </c>
      <c r="I85" s="709">
        <v>750</v>
      </c>
      <c r="J85" s="709">
        <v>931.25800318320648</v>
      </c>
      <c r="K85" s="710">
        <f t="shared" si="11"/>
        <v>69.166667999999987</v>
      </c>
      <c r="L85" s="711">
        <f t="shared" si="9"/>
        <v>-39.078106000000005</v>
      </c>
      <c r="M85" s="712">
        <f t="shared" si="10"/>
        <v>-0.5649846541689707</v>
      </c>
      <c r="N85" s="714" t="s">
        <v>798</v>
      </c>
      <c r="O85" s="699"/>
      <c r="P85" s="1060" t="s">
        <v>753</v>
      </c>
      <c r="Q85" s="707" t="s">
        <v>693</v>
      </c>
    </row>
    <row r="86" spans="1:17" ht="43.5" hidden="1" outlineLevel="1" x14ac:dyDescent="0.35">
      <c r="A86" s="505">
        <v>10</v>
      </c>
      <c r="B86" s="322" t="s">
        <v>21</v>
      </c>
      <c r="C86" s="526" t="s">
        <v>20</v>
      </c>
      <c r="D86" s="707" t="s">
        <v>538</v>
      </c>
      <c r="E86" s="707" t="s">
        <v>539</v>
      </c>
      <c r="F86" s="708" t="str">
        <f>_xlfn.XLOOKUP(D86,'05. BC BH THEO SKU-USD'!$D$5:$D$72,'05. BC BH THEO SKU-USD'!$B$5:$B$72,0)</f>
        <v>Hạt rPP</v>
      </c>
      <c r="G86" s="726">
        <v>6.375</v>
      </c>
      <c r="H86" s="727">
        <v>752.78530360653747</v>
      </c>
      <c r="I86" s="727">
        <v>835</v>
      </c>
      <c r="J86" s="727">
        <v>995.00187804118934</v>
      </c>
      <c r="K86" s="710">
        <f t="shared" si="11"/>
        <v>123.958333</v>
      </c>
      <c r="L86" s="711">
        <f t="shared" si="9"/>
        <v>-39.884894999999993</v>
      </c>
      <c r="M86" s="712">
        <f>L86/K86</f>
        <v>-0.32176049834422987</v>
      </c>
      <c r="N86" s="714" t="s">
        <v>797</v>
      </c>
      <c r="O86" s="699"/>
      <c r="P86" s="1060" t="s">
        <v>749</v>
      </c>
      <c r="Q86" s="706" t="s">
        <v>792</v>
      </c>
    </row>
    <row r="87" spans="1:17" ht="25.5" hidden="1" customHeight="1" outlineLevel="1" x14ac:dyDescent="0.35">
      <c r="A87" s="505">
        <v>11</v>
      </c>
      <c r="B87" s="505" t="s">
        <v>519</v>
      </c>
      <c r="C87" s="526" t="s">
        <v>520</v>
      </c>
      <c r="D87" s="707" t="s">
        <v>43</v>
      </c>
      <c r="E87" s="707" t="s">
        <v>42</v>
      </c>
      <c r="F87" s="708" t="str">
        <f>_xlfn.XLOOKUP(D87,'05. BC BH THEO SKU-USD'!$D$5:$D$72,'05. BC BH THEO SKU-USD'!$B$5:$B$72,0)</f>
        <v>Vảy rHDPE ép</v>
      </c>
      <c r="G87" s="717">
        <v>3</v>
      </c>
      <c r="H87" s="709">
        <v>600.07742934572207</v>
      </c>
      <c r="I87" s="709">
        <v>750</v>
      </c>
      <c r="J87" s="709">
        <v>968.6637888759841</v>
      </c>
      <c r="K87" s="710">
        <f t="shared" si="11"/>
        <v>46.5</v>
      </c>
      <c r="L87" s="711">
        <f t="shared" si="9"/>
        <v>-28.561757</v>
      </c>
      <c r="M87" s="712">
        <f t="shared" si="10"/>
        <v>-0.61423133333333335</v>
      </c>
      <c r="N87" s="1300" t="s">
        <v>743</v>
      </c>
      <c r="O87" s="699"/>
      <c r="P87" s="1060" t="s">
        <v>737</v>
      </c>
      <c r="Q87" s="707" t="s">
        <v>693</v>
      </c>
    </row>
    <row r="88" spans="1:17" s="185" customFormat="1" ht="25.5" hidden="1" customHeight="1" outlineLevel="1" x14ac:dyDescent="0.35">
      <c r="A88" s="505">
        <v>12</v>
      </c>
      <c r="B88" s="505" t="s">
        <v>637</v>
      </c>
      <c r="C88" s="526" t="s">
        <v>638</v>
      </c>
      <c r="D88" s="707" t="s">
        <v>210</v>
      </c>
      <c r="E88" s="707" t="s">
        <v>211</v>
      </c>
      <c r="F88" s="708" t="str">
        <f>_xlfn.XLOOKUP(D88,'05. BC BH THEO SKU-USD'!$D$5:$D$72,'05. BC BH THEO SKU-USD'!$B$5:$B$72,0)</f>
        <v>rHDPE ép</v>
      </c>
      <c r="G88" s="726">
        <v>1.5</v>
      </c>
      <c r="H88" s="727">
        <v>699.01492092169599</v>
      </c>
      <c r="I88" s="727">
        <v>805</v>
      </c>
      <c r="J88" s="727">
        <v>1329.7591947348044</v>
      </c>
      <c r="K88" s="710">
        <f t="shared" si="11"/>
        <v>27.083333111111109</v>
      </c>
      <c r="L88" s="711">
        <f t="shared" si="9"/>
        <v>-24.438186888888886</v>
      </c>
      <c r="M88" s="712">
        <f>L88/K88</f>
        <v>-0.90233306176273276</v>
      </c>
      <c r="N88" s="1303"/>
      <c r="O88" s="713"/>
      <c r="P88" s="425" t="s">
        <v>750</v>
      </c>
      <c r="Q88" s="707" t="s">
        <v>693</v>
      </c>
    </row>
    <row r="89" spans="1:17" hidden="1" outlineLevel="1" x14ac:dyDescent="0.35">
      <c r="A89" s="746">
        <v>13</v>
      </c>
      <c r="B89" s="747" t="s">
        <v>714</v>
      </c>
      <c r="C89" s="748" t="s">
        <v>715</v>
      </c>
      <c r="D89" s="666" t="s">
        <v>41</v>
      </c>
      <c r="E89" s="666" t="s">
        <v>40</v>
      </c>
      <c r="F89" s="749" t="str">
        <f>_xlfn.XLOOKUP(D89,'05. BC BH THEO SKU-USD'!$D$5:$D$72,'05. BC BH THEO SKU-USD'!$B$5:$B$72,0)</f>
        <v>Vảy rHDPE ép</v>
      </c>
      <c r="G89" s="667">
        <v>0.75</v>
      </c>
      <c r="H89" s="543">
        <v>609.39765130984642</v>
      </c>
      <c r="I89" s="543">
        <v>750</v>
      </c>
      <c r="J89" s="543">
        <v>963.76569879984515</v>
      </c>
      <c r="K89" s="710">
        <f t="shared" si="11"/>
        <v>11.805555999999999</v>
      </c>
      <c r="L89" s="711">
        <f t="shared" si="9"/>
        <v>-6.8649950000000004</v>
      </c>
      <c r="M89" s="751">
        <f>L89/K89</f>
        <v>-0.58150543693156009</v>
      </c>
      <c r="N89" s="893"/>
      <c r="O89" s="699"/>
      <c r="P89" s="425"/>
      <c r="Q89" s="310"/>
    </row>
    <row r="90" spans="1:17" hidden="1" outlineLevel="1" x14ac:dyDescent="0.35">
      <c r="A90" s="746">
        <v>14</v>
      </c>
      <c r="B90" s="753" t="s">
        <v>714</v>
      </c>
      <c r="C90" s="754" t="s">
        <v>715</v>
      </c>
      <c r="D90" s="755" t="s">
        <v>39</v>
      </c>
      <c r="E90" s="755" t="s">
        <v>38</v>
      </c>
      <c r="F90" s="749" t="str">
        <f>_xlfn.XLOOKUP(D90,'05. BC BH THEO SKU-USD'!$D$5:$D$72,'05. BC BH THEO SKU-USD'!$B$5:$B$72,0)</f>
        <v>Vảy rHDPE ép</v>
      </c>
      <c r="G90" s="756">
        <v>0.75</v>
      </c>
      <c r="H90" s="750">
        <v>609.39765130984642</v>
      </c>
      <c r="I90" s="750">
        <v>750</v>
      </c>
      <c r="J90" s="543">
        <v>971.39538004903864</v>
      </c>
      <c r="K90" s="710">
        <f t="shared" si="11"/>
        <v>11.805555999999999</v>
      </c>
      <c r="L90" s="711">
        <f t="shared" si="9"/>
        <v>-7.0128010000000023</v>
      </c>
      <c r="M90" s="751">
        <f>L90/K90</f>
        <v>-0.59402547410727646</v>
      </c>
      <c r="N90" s="757"/>
      <c r="O90" s="699"/>
      <c r="P90" s="425"/>
      <c r="Q90" s="491"/>
    </row>
    <row r="91" spans="1:17" s="430" customFormat="1" hidden="1" outlineLevel="1" x14ac:dyDescent="0.35">
      <c r="A91" s="746">
        <v>15</v>
      </c>
      <c r="B91" s="746" t="s">
        <v>722</v>
      </c>
      <c r="C91" s="758" t="s">
        <v>723</v>
      </c>
      <c r="D91" s="759" t="s">
        <v>52</v>
      </c>
      <c r="E91" s="759" t="s">
        <v>51</v>
      </c>
      <c r="F91" s="760" t="str">
        <f>_xlfn.XLOOKUP(D91,'05. BC BH THEO SKU-USD'!$D$5:$D$72,'05. BC BH THEO SKU-USD'!$B$5:$B$72,0)</f>
        <v>rHDPE thổi</v>
      </c>
      <c r="G91" s="761">
        <v>1</v>
      </c>
      <c r="H91" s="762">
        <v>646.53503677893923</v>
      </c>
      <c r="I91" s="762">
        <v>950</v>
      </c>
      <c r="J91" s="762">
        <v>890.40677506775069</v>
      </c>
      <c r="K91" s="710">
        <f t="shared" si="11"/>
        <v>16.7</v>
      </c>
      <c r="L91" s="711">
        <f t="shared" si="9"/>
        <v>-6.299207</v>
      </c>
      <c r="M91" s="763">
        <f>L91/K91</f>
        <v>-0.37719802395209584</v>
      </c>
      <c r="N91" s="764"/>
      <c r="O91" s="699"/>
      <c r="P91" s="425"/>
      <c r="Q91" s="420"/>
    </row>
    <row r="92" spans="1:17" s="430" customFormat="1" hidden="1" outlineLevel="1" x14ac:dyDescent="0.35">
      <c r="A92" s="746">
        <v>16</v>
      </c>
      <c r="B92" s="746" t="s">
        <v>633</v>
      </c>
      <c r="C92" s="758" t="s">
        <v>634</v>
      </c>
      <c r="D92" s="759" t="s">
        <v>52</v>
      </c>
      <c r="E92" s="759" t="s">
        <v>51</v>
      </c>
      <c r="F92" s="760" t="str">
        <f>_xlfn.XLOOKUP(D92,'05. BC BH THEO SKU-USD'!$D$5:$D$72,'05. BC BH THEO SKU-USD'!$B$5:$B$72,0)</f>
        <v>rHDPE thổi</v>
      </c>
      <c r="G92" s="761">
        <v>1</v>
      </c>
      <c r="H92" s="762">
        <v>658.14943863724352</v>
      </c>
      <c r="I92" s="762">
        <v>950</v>
      </c>
      <c r="J92" s="762">
        <v>890.40677506775069</v>
      </c>
      <c r="K92" s="710">
        <f t="shared" si="11"/>
        <v>17</v>
      </c>
      <c r="L92" s="711">
        <f t="shared" si="9"/>
        <v>-5.9992070000000002</v>
      </c>
      <c r="M92" s="763">
        <f>L92/K92</f>
        <v>-0.35289452941176469</v>
      </c>
      <c r="N92" s="765"/>
      <c r="O92" s="699"/>
      <c r="P92" s="1060"/>
      <c r="Q92" s="310"/>
    </row>
    <row r="93" spans="1:17" hidden="1" outlineLevel="1" x14ac:dyDescent="0.35">
      <c r="A93" s="746">
        <v>17</v>
      </c>
      <c r="B93" s="747" t="s">
        <v>718</v>
      </c>
      <c r="C93" s="748" t="s">
        <v>719</v>
      </c>
      <c r="D93" s="666" t="s">
        <v>41</v>
      </c>
      <c r="E93" s="666" t="s">
        <v>40</v>
      </c>
      <c r="F93" s="749" t="str">
        <f>_xlfn.XLOOKUP(D93,'05. BC BH THEO SKU-USD'!$D$5:$D$72,'05. BC BH THEO SKU-USD'!$B$5:$B$72,0)</f>
        <v>Vảy rHDPE ép</v>
      </c>
      <c r="G93" s="667">
        <v>0.05</v>
      </c>
      <c r="H93" s="543">
        <v>580.72009291521488</v>
      </c>
      <c r="I93" s="543">
        <v>750</v>
      </c>
      <c r="J93" s="543">
        <v>963.76538908246221</v>
      </c>
      <c r="K93" s="710">
        <f t="shared" si="11"/>
        <v>0.75</v>
      </c>
      <c r="L93" s="711">
        <f t="shared" si="9"/>
        <v>-0.49470299999999995</v>
      </c>
      <c r="M93" s="751">
        <f t="shared" si="10"/>
        <v>-0.65960399999999997</v>
      </c>
      <c r="N93" s="752"/>
      <c r="O93" s="699"/>
      <c r="P93" s="723"/>
      <c r="Q93" s="310"/>
    </row>
    <row r="94" spans="1:17" hidden="1" outlineLevel="1" x14ac:dyDescent="0.35">
      <c r="A94" s="746">
        <v>18</v>
      </c>
      <c r="B94" s="753" t="s">
        <v>716</v>
      </c>
      <c r="C94" s="754" t="s">
        <v>717</v>
      </c>
      <c r="D94" s="755" t="s">
        <v>11</v>
      </c>
      <c r="E94" s="755" t="s">
        <v>10</v>
      </c>
      <c r="F94" s="749" t="str">
        <f>_xlfn.XLOOKUP(D94,'05. BC BH THEO SKU-USD'!$D$5:$D$72,'05. BC BH THEO SKU-USD'!$B$5:$B$72,0)</f>
        <v>Hạt rPP</v>
      </c>
      <c r="G94" s="756">
        <v>0.1</v>
      </c>
      <c r="H94" s="750">
        <v>737.9945799457995</v>
      </c>
      <c r="I94" s="750">
        <v>835</v>
      </c>
      <c r="J94" s="543">
        <v>829.53813395276813</v>
      </c>
      <c r="K94" s="710">
        <f t="shared" si="11"/>
        <v>1.9062400000000002</v>
      </c>
      <c r="L94" s="711">
        <f t="shared" si="9"/>
        <v>-0.23645699999999997</v>
      </c>
      <c r="M94" s="751">
        <f t="shared" si="10"/>
        <v>-0.12404366711431926</v>
      </c>
      <c r="N94" s="757"/>
      <c r="O94" s="699"/>
      <c r="P94" s="1061"/>
      <c r="Q94" s="425"/>
    </row>
    <row r="95" spans="1:17" hidden="1" outlineLevel="1" x14ac:dyDescent="0.35">
      <c r="A95" s="746">
        <v>19</v>
      </c>
      <c r="B95" s="747" t="s">
        <v>716</v>
      </c>
      <c r="C95" s="748" t="s">
        <v>717</v>
      </c>
      <c r="D95" s="666" t="s">
        <v>19</v>
      </c>
      <c r="E95" s="666" t="s">
        <v>18</v>
      </c>
      <c r="F95" s="749" t="str">
        <f>_xlfn.XLOOKUP(D95,'05. BC BH THEO SKU-USD'!$D$5:$D$72,'05. BC BH THEO SKU-USD'!$B$5:$B$72,0)</f>
        <v>Vảy PP</v>
      </c>
      <c r="G95" s="667">
        <v>0.1</v>
      </c>
      <c r="H95" s="543">
        <v>782.8726287262873</v>
      </c>
      <c r="I95" s="543">
        <v>785</v>
      </c>
      <c r="J95" s="543">
        <v>789.1312427409988</v>
      </c>
      <c r="K95" s="710">
        <f t="shared" si="11"/>
        <v>2.02216</v>
      </c>
      <c r="L95" s="711">
        <f t="shared" si="9"/>
        <v>-1.6165999999999799E-2</v>
      </c>
      <c r="M95" s="751">
        <f t="shared" si="10"/>
        <v>-7.9944218063851512E-3</v>
      </c>
      <c r="N95" s="752"/>
      <c r="O95" s="699"/>
      <c r="P95" s="425"/>
      <c r="Q95" s="310"/>
    </row>
    <row r="96" spans="1:17" hidden="1" outlineLevel="1" x14ac:dyDescent="0.35">
      <c r="A96" s="352"/>
      <c r="B96" s="352"/>
      <c r="C96" s="352"/>
      <c r="D96" s="311"/>
      <c r="E96" s="311"/>
      <c r="F96" s="311"/>
      <c r="G96" s="729"/>
      <c r="H96" s="730"/>
      <c r="I96" s="730"/>
      <c r="J96" s="730"/>
      <c r="K96" s="487"/>
      <c r="L96" s="731"/>
      <c r="M96" s="355"/>
      <c r="N96" s="718"/>
      <c r="P96" s="1059"/>
      <c r="Q96" s="311"/>
    </row>
    <row r="97" spans="1:22" hidden="1" outlineLevel="1" x14ac:dyDescent="0.35">
      <c r="A97" s="356"/>
      <c r="B97" s="357"/>
      <c r="C97" s="357"/>
      <c r="D97" s="357"/>
      <c r="E97" s="358" t="s">
        <v>436</v>
      </c>
      <c r="F97" s="358"/>
      <c r="G97" s="385">
        <f>SUM(G77:G96)</f>
        <v>171.5</v>
      </c>
      <c r="H97" s="449"/>
      <c r="I97" s="449"/>
      <c r="J97" s="449"/>
      <c r="K97" s="385">
        <f>SUM(K77:K96)</f>
        <v>3431.2265501111101</v>
      </c>
      <c r="L97" s="395">
        <f>SUM(L77:L96)</f>
        <v>-1508.1595198888888</v>
      </c>
      <c r="M97" s="396">
        <f>L97/K97</f>
        <v>-0.4395394760045942</v>
      </c>
      <c r="N97" s="719"/>
    </row>
    <row r="98" spans="1:22" collapsed="1" x14ac:dyDescent="0.35"/>
    <row r="99" spans="1:22" x14ac:dyDescent="0.35">
      <c r="I99" s="252"/>
      <c r="J99" s="252"/>
    </row>
    <row r="100" spans="1:22" ht="18.5" x14ac:dyDescent="0.45">
      <c r="B100" s="362" t="s">
        <v>437</v>
      </c>
      <c r="C100" s="363">
        <v>5</v>
      </c>
    </row>
    <row r="101" spans="1:22" hidden="1" outlineLevel="1" x14ac:dyDescent="0.35">
      <c r="K101" s="343"/>
      <c r="L101" s="389" t="s">
        <v>438</v>
      </c>
      <c r="M101" s="390">
        <f>HLOOKUP(C100,'02. Tỷ giá'!$B$4:$M$5,2,0)</f>
        <v>25860</v>
      </c>
      <c r="Q101" s="430"/>
      <c r="R101" s="430"/>
      <c r="S101" s="430"/>
      <c r="T101" t="s">
        <v>704</v>
      </c>
    </row>
    <row r="102" spans="1:22" hidden="1" outlineLevel="1" x14ac:dyDescent="0.35">
      <c r="I102" s="343"/>
      <c r="Q102" s="430"/>
      <c r="R102" s="430"/>
      <c r="S102" s="430"/>
      <c r="T102" s="721" t="s">
        <v>700</v>
      </c>
      <c r="U102" s="721" t="s">
        <v>701</v>
      </c>
      <c r="V102" s="722">
        <v>17000</v>
      </c>
    </row>
    <row r="103" spans="1:22" s="477" customFormat="1" ht="41" hidden="1" customHeight="1" outlineLevel="1" x14ac:dyDescent="0.35">
      <c r="A103" s="351" t="s">
        <v>174</v>
      </c>
      <c r="B103" s="351" t="s">
        <v>564</v>
      </c>
      <c r="C103" s="351" t="s">
        <v>481</v>
      </c>
      <c r="D103" s="351" t="s">
        <v>422</v>
      </c>
      <c r="E103" s="351" t="s">
        <v>423</v>
      </c>
      <c r="F103" s="351" t="s">
        <v>411</v>
      </c>
      <c r="G103" s="351" t="s">
        <v>424</v>
      </c>
      <c r="H103" s="351" t="s">
        <v>482</v>
      </c>
      <c r="I103" s="351" t="s">
        <v>483</v>
      </c>
      <c r="J103" s="351" t="s">
        <v>484</v>
      </c>
      <c r="K103" s="351" t="s">
        <v>426</v>
      </c>
      <c r="L103" s="351" t="s">
        <v>428</v>
      </c>
      <c r="M103" s="351" t="s">
        <v>425</v>
      </c>
      <c r="N103" s="351" t="s">
        <v>705</v>
      </c>
      <c r="P103" s="404" t="s">
        <v>566</v>
      </c>
      <c r="Q103" s="404" t="s">
        <v>567</v>
      </c>
      <c r="S103" s="430"/>
      <c r="T103" s="721" t="s">
        <v>702</v>
      </c>
      <c r="U103" s="721" t="s">
        <v>703</v>
      </c>
      <c r="V103" s="722">
        <v>17000</v>
      </c>
    </row>
    <row r="104" spans="1:22" s="185" customFormat="1" ht="54.5" hidden="1" customHeight="1" outlineLevel="1" x14ac:dyDescent="0.35">
      <c r="A104" s="504">
        <f>COUNTA(B$104:B104)</f>
        <v>1</v>
      </c>
      <c r="B104" s="504">
        <v>1000</v>
      </c>
      <c r="C104" s="525" t="s">
        <v>29</v>
      </c>
      <c r="D104" s="1062" t="s">
        <v>210</v>
      </c>
      <c r="E104" s="1062" t="s">
        <v>211</v>
      </c>
      <c r="F104" s="1063" t="s">
        <v>266</v>
      </c>
      <c r="G104" s="1064">
        <v>5.5</v>
      </c>
      <c r="H104" s="531">
        <v>773.3952049497293</v>
      </c>
      <c r="I104" s="531">
        <v>765</v>
      </c>
      <c r="J104" s="531">
        <v>1328.2165858117132</v>
      </c>
      <c r="K104" s="1065">
        <f>G104*H104*$M$101/10^6</f>
        <v>110</v>
      </c>
      <c r="L104" s="1066">
        <f>G104*(H104-J104)*$M$101/10^6</f>
        <v>-78.91224499999997</v>
      </c>
      <c r="M104" s="1067">
        <f t="shared" ref="M104:M118" si="12">L104/K104</f>
        <v>-0.71738404545454515</v>
      </c>
      <c r="N104" s="894" t="s">
        <v>874</v>
      </c>
      <c r="O104" s="713">
        <f>H104-I104</f>
        <v>8.3952049497293046</v>
      </c>
      <c r="P104" s="1060" t="s">
        <v>754</v>
      </c>
      <c r="Q104" s="714" t="s">
        <v>873</v>
      </c>
    </row>
    <row r="105" spans="1:22" s="185" customFormat="1" ht="61" hidden="1" customHeight="1" outlineLevel="1" x14ac:dyDescent="0.35">
      <c r="A105" s="505">
        <f>COUNTA(B$104:B105)</f>
        <v>2</v>
      </c>
      <c r="B105" s="505" t="s">
        <v>456</v>
      </c>
      <c r="C105" s="526" t="s">
        <v>457</v>
      </c>
      <c r="D105" s="707" t="s">
        <v>39</v>
      </c>
      <c r="E105" s="707" t="s">
        <v>38</v>
      </c>
      <c r="F105" s="708" t="s">
        <v>295</v>
      </c>
      <c r="G105" s="726">
        <v>3</v>
      </c>
      <c r="H105" s="727">
        <v>580.04640371229698</v>
      </c>
      <c r="I105" s="727">
        <v>720</v>
      </c>
      <c r="J105" s="727">
        <v>970.8144238205723</v>
      </c>
      <c r="K105" s="710">
        <f>G105*H105*$M$101/10^6</f>
        <v>45</v>
      </c>
      <c r="L105" s="711">
        <f>G105*(H105-J105)*$M$101/10^6</f>
        <v>-30.315783</v>
      </c>
      <c r="M105" s="712">
        <f t="shared" si="12"/>
        <v>-0.67368406666666669</v>
      </c>
      <c r="N105" s="714" t="s">
        <v>882</v>
      </c>
      <c r="O105" s="713">
        <f t="shared" ref="O105:O119" si="13">H105-I105</f>
        <v>-139.95359628770302</v>
      </c>
      <c r="P105" s="1060" t="s">
        <v>859</v>
      </c>
      <c r="Q105" s="707" t="s">
        <v>693</v>
      </c>
    </row>
    <row r="106" spans="1:22" s="185" customFormat="1" ht="13.5" hidden="1" customHeight="1" outlineLevel="1" x14ac:dyDescent="0.35">
      <c r="A106" s="505">
        <f>COUNTA(B$104:B106)</f>
        <v>3</v>
      </c>
      <c r="B106" s="505" t="s">
        <v>456</v>
      </c>
      <c r="C106" s="526" t="s">
        <v>457</v>
      </c>
      <c r="D106" s="707" t="s">
        <v>37</v>
      </c>
      <c r="E106" s="707" t="s">
        <v>36</v>
      </c>
      <c r="F106" s="708" t="s">
        <v>295</v>
      </c>
      <c r="G106" s="717">
        <v>14.25</v>
      </c>
      <c r="H106" s="709">
        <v>602.28340185343484</v>
      </c>
      <c r="I106" s="709">
        <v>720</v>
      </c>
      <c r="J106" s="709">
        <v>974.34563981492795</v>
      </c>
      <c r="K106" s="710">
        <f t="shared" ref="K106:K118" si="14">G106*H106*$M$101/10^6</f>
        <v>221.944445</v>
      </c>
      <c r="L106" s="711">
        <f t="shared" ref="L106:L118" si="15">G106*(H106-J106)*$M$101/10^6</f>
        <v>-137.10679500000001</v>
      </c>
      <c r="M106" s="712">
        <f t="shared" si="12"/>
        <v>-0.61775276691426095</v>
      </c>
      <c r="N106" s="1304" t="s">
        <v>872</v>
      </c>
      <c r="O106" s="713">
        <f t="shared" si="13"/>
        <v>-117.71659814656516</v>
      </c>
      <c r="P106" s="1060" t="s">
        <v>858</v>
      </c>
      <c r="Q106" s="707" t="s">
        <v>693</v>
      </c>
    </row>
    <row r="107" spans="1:22" s="185" customFormat="1" ht="13.5" hidden="1" customHeight="1" outlineLevel="1" x14ac:dyDescent="0.35">
      <c r="A107" s="505">
        <f>COUNTA(B$104:B107)</f>
        <v>4</v>
      </c>
      <c r="B107" s="505" t="s">
        <v>519</v>
      </c>
      <c r="C107" s="526" t="s">
        <v>520</v>
      </c>
      <c r="D107" s="707" t="s">
        <v>43</v>
      </c>
      <c r="E107" s="707" t="s">
        <v>42</v>
      </c>
      <c r="F107" s="708" t="s">
        <v>295</v>
      </c>
      <c r="G107" s="726">
        <v>10.5</v>
      </c>
      <c r="H107" s="727">
        <v>599.38128383604021</v>
      </c>
      <c r="I107" s="727">
        <v>720</v>
      </c>
      <c r="J107" s="727">
        <v>969.10524803889064</v>
      </c>
      <c r="K107" s="710">
        <f t="shared" si="14"/>
        <v>162.75</v>
      </c>
      <c r="L107" s="711">
        <f t="shared" si="15"/>
        <v>-100.39114799999997</v>
      </c>
      <c r="M107" s="712">
        <f t="shared" si="12"/>
        <v>-0.61684269124423952</v>
      </c>
      <c r="N107" s="1304"/>
      <c r="O107" s="713">
        <f t="shared" si="13"/>
        <v>-120.61871616395979</v>
      </c>
      <c r="P107" s="1060" t="s">
        <v>857</v>
      </c>
      <c r="Q107" s="707" t="s">
        <v>693</v>
      </c>
    </row>
    <row r="108" spans="1:22" s="185" customFormat="1" ht="13.5" hidden="1" customHeight="1" outlineLevel="1" x14ac:dyDescent="0.35">
      <c r="A108" s="505">
        <f>COUNTA(B$104:B108)</f>
        <v>5</v>
      </c>
      <c r="B108" s="505" t="s">
        <v>519</v>
      </c>
      <c r="C108" s="526" t="s">
        <v>520</v>
      </c>
      <c r="D108" s="707" t="s">
        <v>41</v>
      </c>
      <c r="E108" s="707" t="s">
        <v>40</v>
      </c>
      <c r="F108" s="708" t="s">
        <v>295</v>
      </c>
      <c r="G108" s="726">
        <v>15.75</v>
      </c>
      <c r="H108" s="727">
        <v>599.38128383604021</v>
      </c>
      <c r="I108" s="727">
        <v>720</v>
      </c>
      <c r="J108" s="727">
        <v>964.40629028100034</v>
      </c>
      <c r="K108" s="710">
        <f t="shared" si="14"/>
        <v>244.125</v>
      </c>
      <c r="L108" s="711">
        <f t="shared" si="15"/>
        <v>-148.67286000000004</v>
      </c>
      <c r="M108" s="712">
        <f t="shared" si="12"/>
        <v>-0.60900301075268837</v>
      </c>
      <c r="N108" s="1304"/>
      <c r="O108" s="713">
        <f t="shared" si="13"/>
        <v>-120.61871616395979</v>
      </c>
      <c r="P108" s="1060" t="s">
        <v>857</v>
      </c>
      <c r="Q108" s="707" t="s">
        <v>693</v>
      </c>
    </row>
    <row r="109" spans="1:22" s="185" customFormat="1" ht="13.5" hidden="1" customHeight="1" outlineLevel="1" x14ac:dyDescent="0.35">
      <c r="A109" s="505">
        <f>COUNTA(B$104:B109)</f>
        <v>6</v>
      </c>
      <c r="B109" s="505" t="s">
        <v>637</v>
      </c>
      <c r="C109" s="526" t="s">
        <v>638</v>
      </c>
      <c r="D109" s="707" t="s">
        <v>37</v>
      </c>
      <c r="E109" s="707" t="s">
        <v>36</v>
      </c>
      <c r="F109" s="708" t="s">
        <v>295</v>
      </c>
      <c r="G109" s="726">
        <v>15</v>
      </c>
      <c r="H109" s="727">
        <v>623.72890951276099</v>
      </c>
      <c r="I109" s="727">
        <v>720</v>
      </c>
      <c r="J109" s="727">
        <v>974.34564578499612</v>
      </c>
      <c r="K109" s="710">
        <f t="shared" si="14"/>
        <v>241.94444399999998</v>
      </c>
      <c r="L109" s="711">
        <f t="shared" si="15"/>
        <v>-136.004232</v>
      </c>
      <c r="M109" s="712">
        <f t="shared" si="12"/>
        <v>-0.56213000700276472</v>
      </c>
      <c r="N109" s="1304"/>
      <c r="O109" s="713">
        <f t="shared" si="13"/>
        <v>-96.271090487239007</v>
      </c>
      <c r="P109" s="1060" t="s">
        <v>856</v>
      </c>
      <c r="Q109" s="707" t="s">
        <v>693</v>
      </c>
    </row>
    <row r="110" spans="1:22" s="185" customFormat="1" hidden="1" outlineLevel="1" x14ac:dyDescent="0.35">
      <c r="A110" s="505">
        <f>COUNTA(B$104:B110)</f>
        <v>7</v>
      </c>
      <c r="B110" s="505" t="s">
        <v>637</v>
      </c>
      <c r="C110" s="526" t="s">
        <v>638</v>
      </c>
      <c r="D110" s="707" t="s">
        <v>39</v>
      </c>
      <c r="E110" s="707" t="s">
        <v>38</v>
      </c>
      <c r="F110" s="708" t="s">
        <v>295</v>
      </c>
      <c r="G110" s="726">
        <v>25.5</v>
      </c>
      <c r="H110" s="727">
        <v>624.90837844805355</v>
      </c>
      <c r="I110" s="727">
        <v>720</v>
      </c>
      <c r="J110" s="727">
        <v>970.81442761172536</v>
      </c>
      <c r="K110" s="710">
        <f t="shared" si="14"/>
        <v>412.08333199999993</v>
      </c>
      <c r="L110" s="711">
        <f t="shared" si="15"/>
        <v>-228.10082600000013</v>
      </c>
      <c r="M110" s="712">
        <f t="shared" si="12"/>
        <v>-0.55353082322679381</v>
      </c>
      <c r="N110" s="1304"/>
      <c r="O110" s="713">
        <f t="shared" si="13"/>
        <v>-95.091621551946446</v>
      </c>
      <c r="P110" s="1060" t="s">
        <v>856</v>
      </c>
      <c r="Q110" s="707" t="s">
        <v>693</v>
      </c>
    </row>
    <row r="111" spans="1:22" s="185" customFormat="1" hidden="1" outlineLevel="1" x14ac:dyDescent="0.35">
      <c r="A111" s="505">
        <f>COUNTA(B$104:B111)</f>
        <v>8</v>
      </c>
      <c r="B111" s="505" t="s">
        <v>637</v>
      </c>
      <c r="C111" s="526" t="s">
        <v>638</v>
      </c>
      <c r="D111" s="707" t="s">
        <v>43</v>
      </c>
      <c r="E111" s="707" t="s">
        <v>42</v>
      </c>
      <c r="F111" s="708" t="s">
        <v>295</v>
      </c>
      <c r="G111" s="726">
        <v>5.25</v>
      </c>
      <c r="H111" s="727">
        <v>623.72891393216219</v>
      </c>
      <c r="I111" s="727">
        <v>720</v>
      </c>
      <c r="J111" s="727">
        <v>969.10524803889064</v>
      </c>
      <c r="K111" s="710">
        <f t="shared" si="14"/>
        <v>84.680555999999996</v>
      </c>
      <c r="L111" s="711">
        <f t="shared" si="15"/>
        <v>-46.890017999999984</v>
      </c>
      <c r="M111" s="712">
        <f t="shared" si="12"/>
        <v>-0.55372827263911661</v>
      </c>
      <c r="N111" s="1304"/>
      <c r="O111" s="713">
        <f t="shared" si="13"/>
        <v>-96.271086067837814</v>
      </c>
      <c r="P111" s="1060" t="s">
        <v>856</v>
      </c>
      <c r="Q111" s="707" t="s">
        <v>693</v>
      </c>
    </row>
    <row r="112" spans="1:22" s="185" customFormat="1" hidden="1" outlineLevel="1" x14ac:dyDescent="0.35">
      <c r="A112" s="505">
        <f>COUNTA(B$104:B112)</f>
        <v>9</v>
      </c>
      <c r="B112" s="505" t="s">
        <v>21</v>
      </c>
      <c r="C112" s="526" t="s">
        <v>20</v>
      </c>
      <c r="D112" s="707" t="s">
        <v>37</v>
      </c>
      <c r="E112" s="707" t="s">
        <v>36</v>
      </c>
      <c r="F112" s="708" t="s">
        <v>295</v>
      </c>
      <c r="G112" s="726">
        <v>5.25</v>
      </c>
      <c r="H112" s="727">
        <v>644.49600412477446</v>
      </c>
      <c r="I112" s="727">
        <v>720</v>
      </c>
      <c r="J112" s="727">
        <v>974.34564136559504</v>
      </c>
      <c r="K112" s="710">
        <f t="shared" si="14"/>
        <v>87.5</v>
      </c>
      <c r="L112" s="711">
        <f t="shared" si="15"/>
        <v>-44.782036000000005</v>
      </c>
      <c r="M112" s="712">
        <f t="shared" si="12"/>
        <v>-0.51179469714285719</v>
      </c>
      <c r="N112" s="1304"/>
      <c r="O112" s="713">
        <f t="shared" si="13"/>
        <v>-75.503995875225542</v>
      </c>
      <c r="P112" s="1060" t="s">
        <v>856</v>
      </c>
      <c r="Q112" s="707" t="s">
        <v>693</v>
      </c>
    </row>
    <row r="113" spans="1:22" s="185" customFormat="1" ht="47" hidden="1" customHeight="1" outlineLevel="1" x14ac:dyDescent="0.35">
      <c r="A113" s="505">
        <f>COUNTA(B$104:B113)</f>
        <v>10</v>
      </c>
      <c r="B113" s="505" t="s">
        <v>637</v>
      </c>
      <c r="C113" s="526" t="s">
        <v>638</v>
      </c>
      <c r="D113" s="707" t="s">
        <v>204</v>
      </c>
      <c r="E113" s="707" t="s">
        <v>205</v>
      </c>
      <c r="F113" s="708" t="s">
        <v>266</v>
      </c>
      <c r="G113" s="717">
        <v>35.75</v>
      </c>
      <c r="H113" s="709">
        <v>694.74265409764246</v>
      </c>
      <c r="I113" s="709">
        <v>765</v>
      </c>
      <c r="J113" s="709">
        <v>1031.4601939437207</v>
      </c>
      <c r="K113" s="710">
        <f t="shared" si="14"/>
        <v>642.28611000000001</v>
      </c>
      <c r="L113" s="711">
        <f t="shared" si="15"/>
        <v>-311.2936820000001</v>
      </c>
      <c r="M113" s="712">
        <f t="shared" si="12"/>
        <v>-0.48466513155640262</v>
      </c>
      <c r="N113" s="714" t="s">
        <v>881</v>
      </c>
      <c r="O113" s="713">
        <f t="shared" si="13"/>
        <v>-70.257345902357542</v>
      </c>
      <c r="P113" s="1060" t="s">
        <v>854</v>
      </c>
      <c r="Q113" s="707" t="s">
        <v>693</v>
      </c>
    </row>
    <row r="114" spans="1:22" s="185" customFormat="1" ht="29" hidden="1" customHeight="1" outlineLevel="1" x14ac:dyDescent="0.35">
      <c r="A114" s="505">
        <f>COUNTA(B$104:B114)</f>
        <v>11</v>
      </c>
      <c r="B114" s="505" t="s">
        <v>30</v>
      </c>
      <c r="C114" s="526" t="s">
        <v>29</v>
      </c>
      <c r="D114" s="707" t="s">
        <v>208</v>
      </c>
      <c r="E114" s="707" t="s">
        <v>209</v>
      </c>
      <c r="F114" s="708" t="s">
        <v>266</v>
      </c>
      <c r="G114" s="726">
        <v>16.5</v>
      </c>
      <c r="H114" s="727">
        <v>773.3952049497293</v>
      </c>
      <c r="I114" s="727">
        <v>765</v>
      </c>
      <c r="J114" s="727">
        <v>1113.3477114532798</v>
      </c>
      <c r="K114" s="710">
        <f t="shared" si="14"/>
        <v>330</v>
      </c>
      <c r="L114" s="711">
        <f t="shared" si="15"/>
        <v>-145.05433499999995</v>
      </c>
      <c r="M114" s="712">
        <f t="shared" si="12"/>
        <v>-0.43955859090909077</v>
      </c>
      <c r="N114" s="1304" t="s">
        <v>796</v>
      </c>
      <c r="O114" s="713">
        <f t="shared" si="13"/>
        <v>8.3952049497293046</v>
      </c>
      <c r="P114" s="1060" t="s">
        <v>754</v>
      </c>
      <c r="Q114" s="707" t="s">
        <v>693</v>
      </c>
    </row>
    <row r="115" spans="1:22" s="185" customFormat="1" hidden="1" outlineLevel="1" x14ac:dyDescent="0.35">
      <c r="A115" s="505">
        <f>COUNTA(B$104:B115)</f>
        <v>12</v>
      </c>
      <c r="B115" s="505">
        <v>1000</v>
      </c>
      <c r="C115" s="526" t="s">
        <v>29</v>
      </c>
      <c r="D115" s="707" t="s">
        <v>206</v>
      </c>
      <c r="E115" s="707" t="s">
        <v>207</v>
      </c>
      <c r="F115" s="708" t="s">
        <v>266</v>
      </c>
      <c r="G115" s="726">
        <v>5.5</v>
      </c>
      <c r="H115" s="728">
        <v>773.3952049497293</v>
      </c>
      <c r="I115" s="728">
        <v>765</v>
      </c>
      <c r="J115" s="728">
        <v>1065.608556563313</v>
      </c>
      <c r="K115" s="710">
        <f t="shared" si="14"/>
        <v>110</v>
      </c>
      <c r="L115" s="711">
        <f t="shared" si="15"/>
        <v>-41.561504999999997</v>
      </c>
      <c r="M115" s="712">
        <f t="shared" si="12"/>
        <v>-0.37783186363636362</v>
      </c>
      <c r="N115" s="1304"/>
      <c r="O115" s="713">
        <f t="shared" si="13"/>
        <v>8.3952049497293046</v>
      </c>
      <c r="P115" s="1060" t="s">
        <v>754</v>
      </c>
      <c r="Q115" s="707" t="s">
        <v>693</v>
      </c>
    </row>
    <row r="116" spans="1:22" s="185" customFormat="1" hidden="1" outlineLevel="1" x14ac:dyDescent="0.35">
      <c r="A116" s="505">
        <f>COUNTA(B$104:B116)</f>
        <v>13</v>
      </c>
      <c r="B116" s="505" t="s">
        <v>71</v>
      </c>
      <c r="C116" s="526" t="s">
        <v>70</v>
      </c>
      <c r="D116" s="707" t="s">
        <v>187</v>
      </c>
      <c r="E116" s="707" t="s">
        <v>188</v>
      </c>
      <c r="F116" s="708" t="s">
        <v>265</v>
      </c>
      <c r="G116" s="717">
        <v>33</v>
      </c>
      <c r="H116" s="709">
        <v>1251.7723640113431</v>
      </c>
      <c r="I116" s="709">
        <v>1250</v>
      </c>
      <c r="J116" s="709">
        <v>1409.4805948112212</v>
      </c>
      <c r="K116" s="710">
        <f t="shared" si="14"/>
        <v>1068.2375</v>
      </c>
      <c r="L116" s="711">
        <f t="shared" si="15"/>
        <v>-134.58504999999991</v>
      </c>
      <c r="M116" s="712">
        <f t="shared" si="12"/>
        <v>-0.12598794743678246</v>
      </c>
      <c r="N116" s="714" t="s">
        <v>706</v>
      </c>
      <c r="O116" s="713">
        <f t="shared" si="13"/>
        <v>1.7723640113431429</v>
      </c>
      <c r="P116" s="1060" t="s">
        <v>754</v>
      </c>
      <c r="Q116" s="707" t="s">
        <v>868</v>
      </c>
    </row>
    <row r="117" spans="1:22" s="185" customFormat="1" hidden="1" outlineLevel="1" x14ac:dyDescent="0.35">
      <c r="A117" s="505">
        <f>COUNTA(B$104:B117)</f>
        <v>14</v>
      </c>
      <c r="B117" s="505" t="s">
        <v>21</v>
      </c>
      <c r="C117" s="526" t="s">
        <v>20</v>
      </c>
      <c r="D117" s="707" t="s">
        <v>19</v>
      </c>
      <c r="E117" s="707" t="s">
        <v>18</v>
      </c>
      <c r="F117" s="708" t="s">
        <v>269</v>
      </c>
      <c r="G117" s="726">
        <v>20.25</v>
      </c>
      <c r="H117" s="727">
        <v>698.20400446850567</v>
      </c>
      <c r="I117" s="727">
        <v>765</v>
      </c>
      <c r="J117" s="727">
        <v>788.21582882186124</v>
      </c>
      <c r="K117" s="710">
        <f t="shared" si="14"/>
        <v>365.62500000000006</v>
      </c>
      <c r="L117" s="711">
        <f t="shared" si="15"/>
        <v>-47.136041999999939</v>
      </c>
      <c r="M117" s="712">
        <f t="shared" si="12"/>
        <v>-0.12891908923076906</v>
      </c>
      <c r="N117" s="714" t="s">
        <v>880</v>
      </c>
      <c r="O117" s="713">
        <f t="shared" si="13"/>
        <v>-66.795995531494327</v>
      </c>
      <c r="P117" s="1060" t="s">
        <v>855</v>
      </c>
      <c r="Q117" s="714"/>
    </row>
    <row r="118" spans="1:22" ht="29" hidden="1" outlineLevel="1" x14ac:dyDescent="0.35">
      <c r="A118" s="1068">
        <f>COUNTA(B$104:B118)</f>
        <v>15</v>
      </c>
      <c r="B118" s="766" t="s">
        <v>134</v>
      </c>
      <c r="C118" s="1069" t="s">
        <v>133</v>
      </c>
      <c r="D118" s="670" t="s">
        <v>462</v>
      </c>
      <c r="E118" s="670" t="s">
        <v>468</v>
      </c>
      <c r="F118" s="1070" t="s">
        <v>283</v>
      </c>
      <c r="G118" s="1071">
        <v>0.55000000000000004</v>
      </c>
      <c r="H118" s="767">
        <v>1356.2258313998452</v>
      </c>
      <c r="I118" s="767">
        <v>1250</v>
      </c>
      <c r="J118" s="767">
        <v>1442.3975954439989</v>
      </c>
      <c r="K118" s="767">
        <f t="shared" si="14"/>
        <v>19.2896</v>
      </c>
      <c r="L118" s="1072">
        <f t="shared" si="15"/>
        <v>-1.2256209999999972</v>
      </c>
      <c r="M118" s="1073">
        <f t="shared" si="12"/>
        <v>-6.3537916804910277E-2</v>
      </c>
      <c r="N118" s="769"/>
      <c r="O118" s="699">
        <f t="shared" si="13"/>
        <v>106.22583139984522</v>
      </c>
      <c r="P118" s="425" t="s">
        <v>754</v>
      </c>
      <c r="Q118" s="706" t="s">
        <v>869</v>
      </c>
    </row>
    <row r="119" spans="1:22" hidden="1" outlineLevel="1" x14ac:dyDescent="0.35">
      <c r="A119" s="356"/>
      <c r="B119" s="357"/>
      <c r="C119" s="357"/>
      <c r="D119" s="357"/>
      <c r="E119" s="358" t="s">
        <v>436</v>
      </c>
      <c r="F119" s="358"/>
      <c r="G119" s="385">
        <f>SUBTOTAL(9,G104:G118)</f>
        <v>211.55</v>
      </c>
      <c r="H119" s="449"/>
      <c r="I119" s="449"/>
      <c r="J119" s="449"/>
      <c r="K119" s="385">
        <f>SUBTOTAL(9,K104:K118)</f>
        <v>4145.4659869999996</v>
      </c>
      <c r="L119" s="395">
        <f>SUBTOTAL(9,L104:L118)</f>
        <v>-1632.0321779999999</v>
      </c>
      <c r="M119" s="396">
        <f>L119/K119</f>
        <v>-0.3936908861676785</v>
      </c>
      <c r="N119" s="719"/>
      <c r="O119" s="699">
        <f t="shared" si="13"/>
        <v>0</v>
      </c>
    </row>
    <row r="120" spans="1:22" collapsed="1" x14ac:dyDescent="0.35"/>
    <row r="122" spans="1:22" ht="18.5" x14ac:dyDescent="0.45">
      <c r="B122" s="362" t="s">
        <v>437</v>
      </c>
      <c r="C122" s="363">
        <v>6</v>
      </c>
    </row>
    <row r="123" spans="1:22" hidden="1" outlineLevel="1" x14ac:dyDescent="0.35">
      <c r="K123" s="343"/>
      <c r="L123" s="389" t="s">
        <v>438</v>
      </c>
      <c r="M123" s="390">
        <f>HLOOKUP(C122,'02. Tỷ giá'!$B$4:$M$5,2,0)</f>
        <v>25920</v>
      </c>
      <c r="Q123" s="430"/>
      <c r="R123" s="430"/>
      <c r="S123" s="430"/>
      <c r="T123" t="s">
        <v>704</v>
      </c>
    </row>
    <row r="124" spans="1:22" hidden="1" outlineLevel="1" x14ac:dyDescent="0.35">
      <c r="I124" s="343"/>
      <c r="Q124" s="430"/>
      <c r="R124" s="430"/>
      <c r="S124" s="430"/>
      <c r="T124" s="721" t="s">
        <v>700</v>
      </c>
      <c r="U124" s="721" t="s">
        <v>701</v>
      </c>
      <c r="V124" s="722">
        <v>17000</v>
      </c>
    </row>
    <row r="125" spans="1:22" s="477" customFormat="1" ht="41" hidden="1" customHeight="1" outlineLevel="1" x14ac:dyDescent="0.35">
      <c r="A125" s="351" t="s">
        <v>174</v>
      </c>
      <c r="B125" s="351" t="s">
        <v>564</v>
      </c>
      <c r="C125" s="351" t="s">
        <v>481</v>
      </c>
      <c r="D125" s="351" t="s">
        <v>422</v>
      </c>
      <c r="E125" s="351" t="s">
        <v>423</v>
      </c>
      <c r="F125" s="351" t="s">
        <v>411</v>
      </c>
      <c r="G125" s="351" t="s">
        <v>424</v>
      </c>
      <c r="H125" s="351" t="s">
        <v>482</v>
      </c>
      <c r="I125" s="351" t="s">
        <v>483</v>
      </c>
      <c r="J125" s="351" t="s">
        <v>484</v>
      </c>
      <c r="K125" s="351" t="s">
        <v>426</v>
      </c>
      <c r="L125" s="351" t="s">
        <v>428</v>
      </c>
      <c r="M125" s="351" t="s">
        <v>425</v>
      </c>
      <c r="N125" s="351" t="s">
        <v>705</v>
      </c>
      <c r="P125" s="404" t="s">
        <v>566</v>
      </c>
      <c r="Q125" s="404" t="s">
        <v>567</v>
      </c>
      <c r="S125" s="430"/>
      <c r="T125" s="721" t="s">
        <v>702</v>
      </c>
      <c r="U125" s="721" t="s">
        <v>703</v>
      </c>
      <c r="V125" s="722">
        <v>17000</v>
      </c>
    </row>
    <row r="126" spans="1:22" s="185" customFormat="1" ht="26" hidden="1" customHeight="1" outlineLevel="1" x14ac:dyDescent="0.35">
      <c r="A126" s="505">
        <v>1</v>
      </c>
      <c r="B126" s="505" t="s">
        <v>903</v>
      </c>
      <c r="C126" s="526" t="s">
        <v>904</v>
      </c>
      <c r="D126" s="707" t="s">
        <v>463</v>
      </c>
      <c r="E126" s="707" t="s">
        <v>470</v>
      </c>
      <c r="F126" s="708" t="s">
        <v>95</v>
      </c>
      <c r="G126" s="726">
        <v>63</v>
      </c>
      <c r="H126" s="727">
        <f>SUMIFS('01. KE30'!X:X,'01. KE30'!F:F,'06.1. BC bán lỗ'!D126,'01. KE30'!C:C,'06.1. BC bán lỗ'!B126,'01. KE30'!A:A,6)/'06.1. BC bán lỗ'!G126</f>
        <v>601.64554673721341</v>
      </c>
      <c r="I126" s="727">
        <v>850</v>
      </c>
      <c r="J126" s="727">
        <f>SUMIFS('01. KE30'!AA:AA,'01. KE30'!F:F,'06.1. BC bán lỗ'!D126,'01. KE30'!C:C,'06.1. BC bán lỗ'!B126,'01. KE30'!A:A,6)/G126</f>
        <v>954.79248420047031</v>
      </c>
      <c r="K126" s="710">
        <f t="shared" ref="K126:K143" si="16">G126*H126*$M$123/10^6</f>
        <v>982.46311200000002</v>
      </c>
      <c r="L126" s="1170">
        <f t="shared" ref="L126:L143" si="17">G126*(H126-J126)*$M$123/10^6</f>
        <v>-576.67482299999995</v>
      </c>
      <c r="M126" s="712">
        <f t="shared" ref="M126:M143" si="18">L126/K126</f>
        <v>-0.58696842248464987</v>
      </c>
      <c r="N126" s="1305" t="s">
        <v>952</v>
      </c>
      <c r="O126" s="713">
        <f t="shared" ref="O126:O139" si="19">H126-I126</f>
        <v>-248.35445326278659</v>
      </c>
      <c r="P126" s="1060" t="s">
        <v>933</v>
      </c>
      <c r="Q126" s="714" t="s">
        <v>957</v>
      </c>
    </row>
    <row r="127" spans="1:22" s="185" customFormat="1" ht="26" hidden="1" customHeight="1" outlineLevel="1" x14ac:dyDescent="0.35">
      <c r="A127" s="505">
        <f>+A126+1</f>
        <v>2</v>
      </c>
      <c r="B127" s="505" t="s">
        <v>899</v>
      </c>
      <c r="C127" s="526" t="s">
        <v>900</v>
      </c>
      <c r="D127" s="707" t="s">
        <v>87</v>
      </c>
      <c r="E127" s="707" t="s">
        <v>86</v>
      </c>
      <c r="F127" s="708" t="s">
        <v>95</v>
      </c>
      <c r="G127" s="717">
        <v>46.9</v>
      </c>
      <c r="H127" s="709">
        <f>SUMIFS('01. KE30'!X:X,'01. KE30'!F:F,'06.1. BC bán lỗ'!D127,'01. KE30'!C:C,'06.1. BC bán lỗ'!B127,'01. KE30'!A:A,6)/'06.1. BC bán lỗ'!G127</f>
        <v>675.15432098765427</v>
      </c>
      <c r="I127" s="709">
        <v>800</v>
      </c>
      <c r="J127" s="709">
        <f>SUMIFS('01. KE30'!AA:AA,'01. KE30'!F:F,'06.1. BC bán lỗ'!D127,'01. KE30'!C:C,'06.1. BC bán lỗ'!B127,'01. KE30'!A:A,6)/G127</f>
        <v>956.82665952644197</v>
      </c>
      <c r="K127" s="710">
        <f>G127*H127*$M$123/10^6</f>
        <v>820.74999999999989</v>
      </c>
      <c r="L127" s="1170">
        <f>G127*(H127-J127)*$M$123/10^6</f>
        <v>-342.41441500000019</v>
      </c>
      <c r="M127" s="712">
        <f>L127/K127</f>
        <v>-0.4171969722814502</v>
      </c>
      <c r="N127" s="1303"/>
      <c r="O127" s="713">
        <f>H127-I127</f>
        <v>-124.84567901234573</v>
      </c>
      <c r="P127" s="1060" t="s">
        <v>932</v>
      </c>
      <c r="Q127" s="714" t="s">
        <v>957</v>
      </c>
    </row>
    <row r="128" spans="1:22" s="185" customFormat="1" ht="43.5" hidden="1" outlineLevel="1" x14ac:dyDescent="0.35">
      <c r="A128" s="505">
        <f t="shared" ref="A128:A142" si="20">+A127+1</f>
        <v>3</v>
      </c>
      <c r="B128" s="505" t="s">
        <v>637</v>
      </c>
      <c r="C128" s="526" t="s">
        <v>638</v>
      </c>
      <c r="D128" s="707" t="s">
        <v>204</v>
      </c>
      <c r="E128" s="707" t="s">
        <v>205</v>
      </c>
      <c r="F128" s="708" t="s">
        <v>266</v>
      </c>
      <c r="G128" s="717">
        <v>33</v>
      </c>
      <c r="H128" s="709">
        <f>SUMIFS('01. KE30'!X:X,'01. KE30'!F:F,'06.1. BC bán lỗ'!D128,'01. KE30'!C:C,'06.1. BC bán lỗ'!B128,'01. KE30'!A:A,6)/'06.1. BC bán lỗ'!G128</f>
        <v>696.58779110549949</v>
      </c>
      <c r="I128" s="709">
        <v>765</v>
      </c>
      <c r="J128" s="709">
        <f>SUMIFS('01. KE30'!AA:AA,'01. KE30'!F:F,'06.1. BC bán lỗ'!D128,'01. KE30'!C:C,'06.1. BC bán lỗ'!B128,'01. KE30'!A:A,6)/G128</f>
        <v>1066.5405338103255</v>
      </c>
      <c r="K128" s="710">
        <f t="shared" si="16"/>
        <v>595.83333300000004</v>
      </c>
      <c r="L128" s="1170">
        <f t="shared" si="17"/>
        <v>-316.44277800000003</v>
      </c>
      <c r="M128" s="712">
        <f t="shared" si="18"/>
        <v>-0.53109277456284909</v>
      </c>
      <c r="N128" s="714" t="s">
        <v>881</v>
      </c>
      <c r="O128" s="713">
        <f t="shared" si="19"/>
        <v>-68.412208894500509</v>
      </c>
      <c r="P128" s="1060" t="s">
        <v>931</v>
      </c>
      <c r="Q128" s="707"/>
    </row>
    <row r="129" spans="1:17" s="185" customFormat="1" ht="20" hidden="1" customHeight="1" outlineLevel="1" x14ac:dyDescent="0.35">
      <c r="A129" s="505">
        <f t="shared" si="20"/>
        <v>4</v>
      </c>
      <c r="B129" s="505" t="s">
        <v>519</v>
      </c>
      <c r="C129" s="526" t="s">
        <v>520</v>
      </c>
      <c r="D129" s="707" t="s">
        <v>41</v>
      </c>
      <c r="E129" s="707" t="s">
        <v>40</v>
      </c>
      <c r="F129" s="708" t="s">
        <v>295</v>
      </c>
      <c r="G129" s="717">
        <v>26.25</v>
      </c>
      <c r="H129" s="709">
        <f>SUMIFS('01. KE30'!X:X,'01. KE30'!F:F,'06.1. BC bán lỗ'!D129,'01. KE30'!C:C,'06.1. BC bán lỗ'!B129,'01. KE30'!A:A,6)/'06.1. BC bán lỗ'!G129</f>
        <v>597.99382716049388</v>
      </c>
      <c r="I129" s="709">
        <v>720</v>
      </c>
      <c r="J129" s="709">
        <f>SUMIFS('01. KE30'!AA:AA,'01. KE30'!F:F,'06.1. BC bán lỗ'!D129,'01. KE30'!C:C,'06.1. BC bán lỗ'!B129,'01. KE30'!A:A,6)/G129</f>
        <v>977.9313492063493</v>
      </c>
      <c r="K129" s="710">
        <f t="shared" si="16"/>
        <v>406.875</v>
      </c>
      <c r="L129" s="1170">
        <f t="shared" si="17"/>
        <v>-258.50949000000003</v>
      </c>
      <c r="M129" s="712">
        <f t="shared" si="18"/>
        <v>-0.63535358525345631</v>
      </c>
      <c r="N129" s="1300" t="s">
        <v>954</v>
      </c>
      <c r="O129" s="713">
        <f t="shared" si="19"/>
        <v>-122.00617283950612</v>
      </c>
      <c r="P129" s="1060" t="s">
        <v>927</v>
      </c>
      <c r="Q129" s="707"/>
    </row>
    <row r="130" spans="1:17" s="185" customFormat="1" ht="20" hidden="1" customHeight="1" outlineLevel="1" x14ac:dyDescent="0.35">
      <c r="A130" s="505">
        <f t="shared" si="20"/>
        <v>5</v>
      </c>
      <c r="B130" s="505" t="s">
        <v>637</v>
      </c>
      <c r="C130" s="526" t="s">
        <v>638</v>
      </c>
      <c r="D130" s="707" t="s">
        <v>657</v>
      </c>
      <c r="E130" s="707" t="s">
        <v>658</v>
      </c>
      <c r="F130" s="708" t="s">
        <v>295</v>
      </c>
      <c r="G130" s="726">
        <v>28</v>
      </c>
      <c r="H130" s="727">
        <f>SUMIFS('01. KE30'!X:X,'01. KE30'!F:F,'06.1. BC bán lỗ'!D130,'01. KE30'!C:C,'06.1. BC bán lỗ'!B130,'01. KE30'!A:A,6)/'06.1. BC bán lỗ'!G130</f>
        <v>500.11430913800706</v>
      </c>
      <c r="I130" s="727">
        <v>720</v>
      </c>
      <c r="J130" s="727">
        <f>SUMIFS('01. KE30'!AA:AA,'01. KE30'!F:F,'06.1. BC bán lỗ'!D130,'01. KE30'!C:C,'06.1. BC bán lỗ'!B130,'01. KE30'!A:A,6)/G130</f>
        <v>810.16626570767198</v>
      </c>
      <c r="K130" s="710">
        <f t="shared" ref="K130:K135" si="21">G130*H130*$M$123/10^6</f>
        <v>362.96296100000001</v>
      </c>
      <c r="L130" s="1170">
        <f t="shared" ref="L130:L135" si="22">G130*(H130-J130)*$M$123/10^6</f>
        <v>-225.02330799999999</v>
      </c>
      <c r="M130" s="712">
        <f t="shared" ref="M130:M135" si="23">L130/K130</f>
        <v>-0.61996217845489743</v>
      </c>
      <c r="N130" s="1301"/>
      <c r="O130" s="713">
        <f t="shared" ref="O130:O137" si="24">H130-I130</f>
        <v>-219.88569086199294</v>
      </c>
      <c r="P130" s="1060" t="s">
        <v>930</v>
      </c>
      <c r="Q130" s="707"/>
    </row>
    <row r="131" spans="1:17" s="185" customFormat="1" ht="20" hidden="1" customHeight="1" outlineLevel="1" x14ac:dyDescent="0.35">
      <c r="A131" s="505">
        <f t="shared" si="20"/>
        <v>6</v>
      </c>
      <c r="B131" s="505" t="s">
        <v>722</v>
      </c>
      <c r="C131" s="526" t="s">
        <v>723</v>
      </c>
      <c r="D131" s="707" t="s">
        <v>52</v>
      </c>
      <c r="E131" s="707" t="s">
        <v>51</v>
      </c>
      <c r="F131" s="708" t="s">
        <v>265</v>
      </c>
      <c r="G131" s="726">
        <v>28.125</v>
      </c>
      <c r="H131" s="727">
        <f>SUMIFS('01. KE30'!X:X,'01. KE30'!F:F,'06.1. BC bán lỗ'!D131,'01. KE30'!C:C,'06.1. BC bán lỗ'!B131,'01. KE30'!A:A,6)/'06.1. BC bán lỗ'!G131</f>
        <v>608.96062002743474</v>
      </c>
      <c r="I131" s="727">
        <v>950</v>
      </c>
      <c r="J131" s="727">
        <f>SUMIFS('01. KE30'!AA:AA,'01. KE30'!F:F,'06.1. BC bán lỗ'!D131,'01. KE30'!C:C,'06.1. BC bán lỗ'!B131,'01. KE30'!A:A,6)/G131</f>
        <v>827.38068861454053</v>
      </c>
      <c r="K131" s="710">
        <f t="shared" si="21"/>
        <v>443.93229199999996</v>
      </c>
      <c r="L131" s="1170">
        <f t="shared" si="22"/>
        <v>-159.22823000000011</v>
      </c>
      <c r="M131" s="712">
        <f t="shared" si="23"/>
        <v>-0.35867683624150531</v>
      </c>
      <c r="N131" s="1303"/>
      <c r="O131" s="713">
        <f t="shared" si="24"/>
        <v>-341.03937997256526</v>
      </c>
      <c r="P131" s="1060" t="s">
        <v>926</v>
      </c>
      <c r="Q131" s="707"/>
    </row>
    <row r="132" spans="1:17" s="185" customFormat="1" ht="43.5" hidden="1" outlineLevel="1" x14ac:dyDescent="0.35">
      <c r="A132" s="505">
        <f t="shared" si="20"/>
        <v>7</v>
      </c>
      <c r="B132" s="505" t="s">
        <v>886</v>
      </c>
      <c r="C132" s="526" t="s">
        <v>887</v>
      </c>
      <c r="D132" s="707" t="s">
        <v>87</v>
      </c>
      <c r="E132" s="707" t="s">
        <v>86</v>
      </c>
      <c r="F132" s="708" t="s">
        <v>95</v>
      </c>
      <c r="G132" s="726">
        <v>21</v>
      </c>
      <c r="H132" s="727">
        <f>SUMIFS('01. KE30'!X:X,'01. KE30'!F:F,'06.1. BC bán lỗ'!D132,'01. KE30'!C:C,'06.1. BC bán lỗ'!B132,'01. KE30'!A:A,6)/'06.1. BC bán lỗ'!G132</f>
        <v>675.09757128159902</v>
      </c>
      <c r="I132" s="727">
        <v>800</v>
      </c>
      <c r="J132" s="727">
        <f>SUMIFS('01. KE30'!AA:AA,'01. KE30'!F:F,'06.1. BC bán lỗ'!D132,'01. KE30'!C:C,'06.1. BC bán lỗ'!B132,'01. KE30'!A:A,6)/G132</f>
        <v>956.82665895061723</v>
      </c>
      <c r="K132" s="710">
        <f t="shared" si="21"/>
        <v>367.46911</v>
      </c>
      <c r="L132" s="1170">
        <f t="shared" si="22"/>
        <v>-153.35077699999999</v>
      </c>
      <c r="M132" s="712">
        <f t="shared" si="23"/>
        <v>-0.41731610311408213</v>
      </c>
      <c r="N132" s="714" t="s">
        <v>953</v>
      </c>
      <c r="O132" s="713">
        <f t="shared" si="24"/>
        <v>-124.90242871840098</v>
      </c>
      <c r="P132" s="714" t="s">
        <v>932</v>
      </c>
      <c r="Q132" s="714" t="s">
        <v>957</v>
      </c>
    </row>
    <row r="133" spans="1:17" s="185" customFormat="1" ht="29" hidden="1" outlineLevel="1" x14ac:dyDescent="0.35">
      <c r="A133" s="505">
        <f t="shared" si="20"/>
        <v>8</v>
      </c>
      <c r="B133" s="505" t="s">
        <v>30</v>
      </c>
      <c r="C133" s="526" t="s">
        <v>29</v>
      </c>
      <c r="D133" s="707" t="s">
        <v>208</v>
      </c>
      <c r="E133" s="707" t="s">
        <v>209</v>
      </c>
      <c r="F133" s="708" t="s">
        <v>266</v>
      </c>
      <c r="G133" s="726">
        <v>16.5</v>
      </c>
      <c r="H133" s="727">
        <f>SUMIFS('01. KE30'!X:X,'01. KE30'!F:F,'06.1. BC bán lỗ'!D133,'01. KE30'!C:C,'06.1. BC bán lỗ'!B133,'01. KE30'!A:A,6)/'06.1. BC bán lỗ'!G133</f>
        <v>771.60493827160496</v>
      </c>
      <c r="I133" s="727">
        <v>765</v>
      </c>
      <c r="J133" s="727">
        <f>SUMIFS('01. KE30'!AA:AA,'01. KE30'!F:F,'06.1. BC bán lỗ'!D133,'01. KE30'!C:C,'06.1. BC bán lỗ'!B133,'01. KE30'!A:A,6)/G133</f>
        <v>1117.8922208193042</v>
      </c>
      <c r="K133" s="710">
        <f t="shared" si="21"/>
        <v>330</v>
      </c>
      <c r="L133" s="1170">
        <f t="shared" si="22"/>
        <v>-148.100145</v>
      </c>
      <c r="M133" s="712">
        <f t="shared" si="23"/>
        <v>-0.44878831818181819</v>
      </c>
      <c r="N133" s="714" t="s">
        <v>796</v>
      </c>
      <c r="O133" s="713">
        <f t="shared" si="24"/>
        <v>6.6049382716049649</v>
      </c>
      <c r="P133" s="1060" t="s">
        <v>754</v>
      </c>
      <c r="Q133" s="707"/>
    </row>
    <row r="134" spans="1:17" s="185" customFormat="1" ht="43.5" hidden="1" outlineLevel="1" x14ac:dyDescent="0.35">
      <c r="A134" s="505">
        <f t="shared" si="20"/>
        <v>9</v>
      </c>
      <c r="B134" s="505" t="s">
        <v>456</v>
      </c>
      <c r="C134" s="526" t="s">
        <v>457</v>
      </c>
      <c r="D134" s="707" t="s">
        <v>37</v>
      </c>
      <c r="E134" s="707" t="s">
        <v>36</v>
      </c>
      <c r="F134" s="708" t="s">
        <v>295</v>
      </c>
      <c r="G134" s="717">
        <v>12</v>
      </c>
      <c r="H134" s="709">
        <f>SUMIFS('01. KE30'!X:X,'01. KE30'!F:F,'06.1. BC bán lỗ'!D134,'01. KE30'!C:C,'06.1. BC bán lỗ'!B134,'01. KE30'!A:A,6)/'06.1. BC bán lỗ'!G134</f>
        <v>607.28166152263373</v>
      </c>
      <c r="I134" s="709">
        <v>720</v>
      </c>
      <c r="J134" s="709">
        <f>SUMIFS('01. KE30'!AA:AA,'01. KE30'!F:F,'06.1. BC bán lỗ'!D134,'01. KE30'!C:C,'06.1. BC bán lỗ'!B134,'01. KE30'!A:A,6)/G134</f>
        <v>942.66224279835387</v>
      </c>
      <c r="K134" s="710">
        <f t="shared" si="21"/>
        <v>188.88888799999998</v>
      </c>
      <c r="L134" s="1170">
        <f t="shared" si="22"/>
        <v>-104.316776</v>
      </c>
      <c r="M134" s="712">
        <f t="shared" si="23"/>
        <v>-0.55226528730477786</v>
      </c>
      <c r="N134" s="714" t="s">
        <v>954</v>
      </c>
      <c r="O134" s="713">
        <f t="shared" si="24"/>
        <v>-112.71833847736627</v>
      </c>
      <c r="P134" s="1060" t="s">
        <v>929</v>
      </c>
      <c r="Q134" s="707"/>
    </row>
    <row r="135" spans="1:17" s="185" customFormat="1" hidden="1" outlineLevel="1" x14ac:dyDescent="0.35">
      <c r="A135" s="505">
        <f t="shared" si="20"/>
        <v>10</v>
      </c>
      <c r="B135" s="505" t="s">
        <v>71</v>
      </c>
      <c r="C135" s="526" t="s">
        <v>70</v>
      </c>
      <c r="D135" s="707" t="s">
        <v>187</v>
      </c>
      <c r="E135" s="707" t="s">
        <v>188</v>
      </c>
      <c r="F135" s="708" t="s">
        <v>265</v>
      </c>
      <c r="G135" s="726">
        <v>33</v>
      </c>
      <c r="H135" s="727">
        <f>SUMIFS('01. KE30'!X:X,'01. KE30'!F:F,'06.1. BC bán lỗ'!D135,'01. KE30'!C:C,'06.1. BC bán lỗ'!B135,'01. KE30'!A:A,6)/'06.1. BC bán lỗ'!G135</f>
        <v>1261.0918209876543</v>
      </c>
      <c r="I135" s="727">
        <v>1250</v>
      </c>
      <c r="J135" s="727">
        <f>SUMIFS('01. KE30'!AA:AA,'01. KE30'!F:F,'06.1. BC bán lỗ'!D135,'01. KE30'!C:C,'06.1. BC bán lỗ'!B135,'01. KE30'!A:A,6)/G135</f>
        <v>1375.2042590254396</v>
      </c>
      <c r="K135" s="710">
        <f t="shared" si="21"/>
        <v>1078.6875</v>
      </c>
      <c r="L135" s="1170">
        <f t="shared" si="22"/>
        <v>-97.607215000000025</v>
      </c>
      <c r="M135" s="712">
        <f t="shared" si="23"/>
        <v>-9.0487017787820867E-2</v>
      </c>
      <c r="N135" s="714" t="s">
        <v>956</v>
      </c>
      <c r="O135" s="713">
        <f t="shared" si="24"/>
        <v>11.091820987654273</v>
      </c>
      <c r="P135" s="1060" t="s">
        <v>754</v>
      </c>
      <c r="Q135" s="707"/>
    </row>
    <row r="136" spans="1:17" s="185" customFormat="1" ht="43.5" hidden="1" outlineLevel="1" x14ac:dyDescent="0.35">
      <c r="A136" s="505">
        <f t="shared" si="20"/>
        <v>11</v>
      </c>
      <c r="B136" s="505" t="s">
        <v>21</v>
      </c>
      <c r="C136" s="526" t="s">
        <v>20</v>
      </c>
      <c r="D136" s="707" t="s">
        <v>210</v>
      </c>
      <c r="E136" s="707" t="s">
        <v>211</v>
      </c>
      <c r="F136" s="708" t="s">
        <v>266</v>
      </c>
      <c r="G136" s="717">
        <v>5.5</v>
      </c>
      <c r="H136" s="709">
        <f>SUMIFS('01. KE30'!X:X,'01. KE30'!F:F,'06.1. BC bán lỗ'!D136,'01. KE30'!C:C,'06.1. BC bán lỗ'!B136,'01. KE30'!A:A,6)/'06.1. BC bán lỗ'!G136</f>
        <v>696.5877946127946</v>
      </c>
      <c r="I136" s="709">
        <v>765</v>
      </c>
      <c r="J136" s="709">
        <f>SUMIFS('01. KE30'!AA:AA,'01. KE30'!F:F,'06.1. BC bán lỗ'!D136,'01. KE30'!C:C,'06.1. BC bán lỗ'!B136,'01. KE30'!A:A,6)/G136</f>
        <v>1325.1421296296296</v>
      </c>
      <c r="K136" s="710">
        <f t="shared" ref="K136" si="25">G136*H136*$M$123/10^6</f>
        <v>99.305555999999996</v>
      </c>
      <c r="L136" s="1170">
        <f t="shared" ref="L136" si="26">G136*(H136-J136)*$M$123/10^6</f>
        <v>-89.606706000000003</v>
      </c>
      <c r="M136" s="712">
        <f t="shared" ref="M136" si="27">L136/K136</f>
        <v>-0.90233325917836871</v>
      </c>
      <c r="N136" s="714" t="s">
        <v>881</v>
      </c>
      <c r="O136" s="713">
        <f t="shared" si="24"/>
        <v>-68.412205387205404</v>
      </c>
      <c r="P136" s="1060" t="s">
        <v>931</v>
      </c>
      <c r="Q136" s="707"/>
    </row>
    <row r="137" spans="1:17" s="185" customFormat="1" ht="43.5" hidden="1" outlineLevel="1" x14ac:dyDescent="0.35">
      <c r="A137" s="505">
        <f t="shared" si="20"/>
        <v>12</v>
      </c>
      <c r="B137" s="505" t="s">
        <v>89</v>
      </c>
      <c r="C137" s="526" t="s">
        <v>88</v>
      </c>
      <c r="D137" s="707" t="s">
        <v>463</v>
      </c>
      <c r="E137" s="707" t="s">
        <v>470</v>
      </c>
      <c r="F137" s="708" t="s">
        <v>95</v>
      </c>
      <c r="G137" s="726">
        <v>10.5</v>
      </c>
      <c r="H137" s="727">
        <f>SUMIFS('01. KE30'!X:X,'01. KE30'!F:F,'06.1. BC bán lỗ'!D137,'01. KE30'!C:C,'06.1. BC bán lỗ'!B137,'01. KE30'!A:A,6)/'06.1. BC bán lỗ'!G137</f>
        <v>636.57407407407402</v>
      </c>
      <c r="I137" s="727">
        <v>850</v>
      </c>
      <c r="J137" s="727">
        <f>SUMIFS('01. KE30'!AA:AA,'01. KE30'!F:F,'06.1. BC bán lỗ'!D137,'01. KE30'!C:C,'06.1. BC bán lỗ'!B137,'01. KE30'!A:A,6)/G137</f>
        <v>954.79248236331568</v>
      </c>
      <c r="K137" s="710">
        <f>G137*H137*$M$123/10^6</f>
        <v>173.25</v>
      </c>
      <c r="L137" s="1170">
        <f>G137*(H137-J137)*$M$123/10^6</f>
        <v>-86.606322000000006</v>
      </c>
      <c r="M137" s="712">
        <f>L137/K137</f>
        <v>-0.49989219047619049</v>
      </c>
      <c r="N137" s="714" t="s">
        <v>952</v>
      </c>
      <c r="O137" s="713">
        <f t="shared" si="24"/>
        <v>-213.42592592592598</v>
      </c>
      <c r="P137" s="1060" t="s">
        <v>933</v>
      </c>
      <c r="Q137" s="714" t="s">
        <v>957</v>
      </c>
    </row>
    <row r="138" spans="1:17" s="185" customFormat="1" ht="24" hidden="1" customHeight="1" outlineLevel="1" x14ac:dyDescent="0.35">
      <c r="A138" s="505">
        <f t="shared" si="20"/>
        <v>13</v>
      </c>
      <c r="B138" s="505" t="s">
        <v>519</v>
      </c>
      <c r="C138" s="526" t="s">
        <v>520</v>
      </c>
      <c r="D138" s="707" t="s">
        <v>43</v>
      </c>
      <c r="E138" s="707" t="s">
        <v>42</v>
      </c>
      <c r="F138" s="708" t="s">
        <v>295</v>
      </c>
      <c r="G138" s="717">
        <v>5.25</v>
      </c>
      <c r="H138" s="709">
        <f>SUMIFS('01. KE30'!X:X,'01. KE30'!F:F,'06.1. BC bán lỗ'!D138,'01. KE30'!C:C,'06.1. BC bán lỗ'!B138,'01. KE30'!A:A,6)/'06.1. BC bán lỗ'!G138</f>
        <v>597.99382716049388</v>
      </c>
      <c r="I138" s="709">
        <v>720</v>
      </c>
      <c r="J138" s="709">
        <f>SUMIFS('01. KE30'!AA:AA,'01. KE30'!F:F,'06.1. BC bán lỗ'!D138,'01. KE30'!C:C,'06.1. BC bán lỗ'!B138,'01. KE30'!A:A,6)/G138</f>
        <v>968.27519841269839</v>
      </c>
      <c r="K138" s="710">
        <f t="shared" si="16"/>
        <v>81.375000000000014</v>
      </c>
      <c r="L138" s="1170">
        <f t="shared" si="17"/>
        <v>-50.387888999999994</v>
      </c>
      <c r="M138" s="712">
        <f t="shared" si="18"/>
        <v>-0.61920600921658964</v>
      </c>
      <c r="N138" s="1300" t="s">
        <v>955</v>
      </c>
      <c r="O138" s="713">
        <f t="shared" si="19"/>
        <v>-122.00617283950612</v>
      </c>
      <c r="P138" s="1060" t="s">
        <v>927</v>
      </c>
      <c r="Q138" s="707"/>
    </row>
    <row r="139" spans="1:17" s="185" customFormat="1" ht="24" hidden="1" customHeight="1" outlineLevel="1" x14ac:dyDescent="0.35">
      <c r="A139" s="505">
        <f t="shared" si="20"/>
        <v>14</v>
      </c>
      <c r="B139" s="505" t="s">
        <v>637</v>
      </c>
      <c r="C139" s="526" t="s">
        <v>638</v>
      </c>
      <c r="D139" s="707" t="s">
        <v>37</v>
      </c>
      <c r="E139" s="707" t="s">
        <v>36</v>
      </c>
      <c r="F139" s="708" t="s">
        <v>295</v>
      </c>
      <c r="G139" s="717">
        <v>6</v>
      </c>
      <c r="H139" s="709">
        <f>SUMIFS('01. KE30'!X:X,'01. KE30'!F:F,'06.1. BC bán lỗ'!D139,'01. KE30'!C:C,'06.1. BC bán lỗ'!B139,'01. KE30'!A:A,6)/'06.1. BC bán lỗ'!G139</f>
        <v>622.28509516460906</v>
      </c>
      <c r="I139" s="709">
        <v>720</v>
      </c>
      <c r="J139" s="709">
        <f>SUMIFS('01. KE30'!AA:AA,'01. KE30'!F:F,'06.1. BC bán lỗ'!D139,'01. KE30'!C:C,'06.1. BC bán lỗ'!B139,'01. KE30'!A:A,6)/G139</f>
        <v>942.66224279835387</v>
      </c>
      <c r="K139" s="710">
        <f t="shared" si="16"/>
        <v>96.777777999999998</v>
      </c>
      <c r="L139" s="1170">
        <f t="shared" si="17"/>
        <v>-49.825053999999994</v>
      </c>
      <c r="M139" s="712">
        <f t="shared" si="18"/>
        <v>-0.51483982200955258</v>
      </c>
      <c r="N139" s="1303"/>
      <c r="O139" s="713">
        <f t="shared" si="19"/>
        <v>-97.714904835390939</v>
      </c>
      <c r="P139" s="1060" t="s">
        <v>927</v>
      </c>
      <c r="Q139" s="707"/>
    </row>
    <row r="140" spans="1:17" s="185" customFormat="1" ht="43.5" hidden="1" outlineLevel="1" x14ac:dyDescent="0.35">
      <c r="A140" s="505">
        <f t="shared" si="20"/>
        <v>15</v>
      </c>
      <c r="B140" s="505" t="s">
        <v>511</v>
      </c>
      <c r="C140" s="526" t="s">
        <v>512</v>
      </c>
      <c r="D140" s="707" t="s">
        <v>87</v>
      </c>
      <c r="E140" s="707" t="s">
        <v>86</v>
      </c>
      <c r="F140" s="708" t="s">
        <v>95</v>
      </c>
      <c r="G140" s="726">
        <v>5.5</v>
      </c>
      <c r="H140" s="727">
        <f>SUMIFS('01. KE30'!X:X,'01. KE30'!F:F,'06.1. BC bán lỗ'!D140,'01. KE30'!C:C,'06.1. BC bán lỗ'!B140,'01. KE30'!A:A,6)/'06.1. BC bán lỗ'!G140</f>
        <v>636.57407407407402</v>
      </c>
      <c r="I140" s="727">
        <v>800</v>
      </c>
      <c r="J140" s="727">
        <f>SUMIFS('01. KE30'!AA:AA,'01. KE30'!F:F,'06.1. BC bán lỗ'!D140,'01. KE30'!C:C,'06.1. BC bán lỗ'!B140,'01. KE30'!A:A,6)/G140</f>
        <v>956.82666245791233</v>
      </c>
      <c r="K140" s="710">
        <f>G140*H140*$M$123/10^6</f>
        <v>90.749999999999986</v>
      </c>
      <c r="L140" s="1170">
        <f>G140*(H140-J140)*$M$123/10^6</f>
        <v>-45.655208999999985</v>
      </c>
      <c r="M140" s="712">
        <f>L140/K140</f>
        <v>-0.50308770247933876</v>
      </c>
      <c r="N140" s="714" t="s">
        <v>953</v>
      </c>
      <c r="O140" s="713">
        <f>H140-I140</f>
        <v>-163.42592592592598</v>
      </c>
      <c r="P140" s="1060" t="s">
        <v>932</v>
      </c>
      <c r="Q140" s="714" t="s">
        <v>957</v>
      </c>
    </row>
    <row r="141" spans="1:17" s="185" customFormat="1" ht="43.5" hidden="1" outlineLevel="1" x14ac:dyDescent="0.35">
      <c r="A141" s="505">
        <f t="shared" si="20"/>
        <v>16</v>
      </c>
      <c r="B141" s="505" t="s">
        <v>21</v>
      </c>
      <c r="C141" s="526" t="s">
        <v>20</v>
      </c>
      <c r="D141" s="707" t="s">
        <v>37</v>
      </c>
      <c r="E141" s="707" t="s">
        <v>36</v>
      </c>
      <c r="F141" s="708" t="s">
        <v>295</v>
      </c>
      <c r="G141" s="726">
        <v>4.5</v>
      </c>
      <c r="H141" s="728">
        <f>SUMIFS('01. KE30'!X:X,'01. KE30'!F:F,'06.1. BC bán lỗ'!D141,'01. KE30'!C:C,'06.1. BC bán lỗ'!B141,'01. KE30'!A:A,6)/'06.1. BC bán lỗ'!G141</f>
        <v>643.00411522633749</v>
      </c>
      <c r="I141" s="728">
        <v>720</v>
      </c>
      <c r="J141" s="728">
        <f>SUMIFS('01. KE30'!AA:AA,'01. KE30'!F:F,'06.1. BC bán lỗ'!D141,'01. KE30'!C:C,'06.1. BC bán lỗ'!B141,'01. KE30'!A:A,6)/G141</f>
        <v>942.66224279835399</v>
      </c>
      <c r="K141" s="710">
        <f t="shared" si="16"/>
        <v>75</v>
      </c>
      <c r="L141" s="1170">
        <f t="shared" si="17"/>
        <v>-34.952123999999998</v>
      </c>
      <c r="M141" s="712">
        <f t="shared" si="18"/>
        <v>-0.46602832</v>
      </c>
      <c r="N141" s="714" t="s">
        <v>955</v>
      </c>
      <c r="O141" s="713">
        <f t="shared" ref="O141:O143" si="28">H141-I141</f>
        <v>-76.99588477366251</v>
      </c>
      <c r="P141" s="1060" t="s">
        <v>928</v>
      </c>
      <c r="Q141" s="707"/>
    </row>
    <row r="142" spans="1:17" ht="29" hidden="1" outlineLevel="1" x14ac:dyDescent="0.35">
      <c r="A142" s="746">
        <f t="shared" si="20"/>
        <v>17</v>
      </c>
      <c r="B142" s="753" t="s">
        <v>7</v>
      </c>
      <c r="C142" s="754" t="s">
        <v>6</v>
      </c>
      <c r="D142" s="755" t="s">
        <v>5</v>
      </c>
      <c r="E142" s="755" t="s">
        <v>4</v>
      </c>
      <c r="F142" s="749" t="s">
        <v>23</v>
      </c>
      <c r="G142" s="756">
        <v>20</v>
      </c>
      <c r="H142" s="750">
        <f>SUMIFS('01. KE30'!X:X,'01. KE30'!F:F,'06.1. BC bán lỗ'!D142,'01. KE30'!C:C,'06.1. BC bán lỗ'!B142,'01. KE30'!A:A,6)/'06.1. BC bán lỗ'!G142</f>
        <v>1052.855491255144</v>
      </c>
      <c r="I142" s="750">
        <v>815</v>
      </c>
      <c r="J142" s="543">
        <f>SUMIFS('01. KE30'!AA:AA,'01. KE30'!F:F,'06.1. BC bán lỗ'!D142,'01. KE30'!C:C,'06.1. BC bán lỗ'!B142,'01. KE30'!A:A,6)/G142</f>
        <v>1078.7446219135802</v>
      </c>
      <c r="K142" s="710">
        <f>G142*H142*$M$123/10^6</f>
        <v>545.80028666666669</v>
      </c>
      <c r="L142" s="1170">
        <f>G142*(H142-J142)*$M$123/10^6</f>
        <v>-13.420925333333335</v>
      </c>
      <c r="M142" s="751">
        <f>L142/K142</f>
        <v>-2.4589443540416856E-2</v>
      </c>
      <c r="N142" s="757"/>
      <c r="O142" s="699">
        <f>H142-I142</f>
        <v>237.85549125514399</v>
      </c>
      <c r="P142" s="425" t="s">
        <v>754</v>
      </c>
      <c r="Q142" s="491" t="s">
        <v>947</v>
      </c>
    </row>
    <row r="143" spans="1:17" ht="29" hidden="1" outlineLevel="1" x14ac:dyDescent="0.35">
      <c r="A143" s="746" t="e">
        <f>+#REF!+1</f>
        <v>#REF!</v>
      </c>
      <c r="B143" s="753" t="s">
        <v>7</v>
      </c>
      <c r="C143" s="754" t="s">
        <v>6</v>
      </c>
      <c r="D143" s="755" t="s">
        <v>9</v>
      </c>
      <c r="E143" s="755" t="s">
        <v>8</v>
      </c>
      <c r="F143" s="749" t="s">
        <v>23</v>
      </c>
      <c r="G143" s="756">
        <v>4</v>
      </c>
      <c r="H143" s="750">
        <f>SUMIFS('01. KE30'!X:X,'01. KE30'!F:F,'06.1. BC bán lỗ'!D143,'01. KE30'!C:C,'06.1. BC bán lỗ'!B143,'01. KE30'!A:A,6)/'06.1. BC bán lỗ'!G143</f>
        <v>1052.855491255144</v>
      </c>
      <c r="I143" s="750">
        <v>815</v>
      </c>
      <c r="J143" s="543">
        <f>SUMIFS('01. KE30'!AA:AA,'01. KE30'!F:F,'06.1. BC bán lỗ'!D143,'01. KE30'!C:C,'06.1. BC bán lỗ'!B143,'01. KE30'!A:A,6)/G143</f>
        <v>1067.295167824074</v>
      </c>
      <c r="K143" s="710">
        <f t="shared" si="16"/>
        <v>109.16005733333333</v>
      </c>
      <c r="L143" s="1170">
        <f t="shared" si="17"/>
        <v>-1.497105666666668</v>
      </c>
      <c r="M143" s="751">
        <f t="shared" si="18"/>
        <v>-1.3714775378828139E-2</v>
      </c>
      <c r="N143" s="757"/>
      <c r="O143" s="699">
        <f t="shared" si="28"/>
        <v>237.85549125514399</v>
      </c>
      <c r="P143" s="425" t="s">
        <v>754</v>
      </c>
      <c r="Q143" s="491" t="s">
        <v>948</v>
      </c>
    </row>
    <row r="144" spans="1:17" hidden="1" outlineLevel="1" x14ac:dyDescent="0.35">
      <c r="A144" s="356"/>
      <c r="B144" s="357"/>
      <c r="C144" s="357"/>
      <c r="D144" s="357"/>
      <c r="E144" s="358" t="s">
        <v>436</v>
      </c>
      <c r="F144" s="358"/>
      <c r="G144" s="385">
        <f>SUBTOTAL(9,G126:G143)</f>
        <v>369.02499999999998</v>
      </c>
      <c r="H144" s="449"/>
      <c r="I144" s="449"/>
      <c r="J144" s="449"/>
      <c r="K144" s="385">
        <f>SUBTOTAL(9,K126:K143)</f>
        <v>6849.2808740000009</v>
      </c>
      <c r="L144" s="1171">
        <f>SUBTOTAL(9,L126:L143)</f>
        <v>-2753.6192920000003</v>
      </c>
      <c r="M144" s="396">
        <f>L144/K144</f>
        <v>-0.40203042372707926</v>
      </c>
      <c r="N144" s="719"/>
      <c r="O144" s="699"/>
    </row>
    <row r="145" spans="1:22" collapsed="1" x14ac:dyDescent="0.35"/>
    <row r="147" spans="1:22" ht="18.5" x14ac:dyDescent="0.45">
      <c r="B147" s="362" t="s">
        <v>437</v>
      </c>
      <c r="C147" s="363">
        <v>7</v>
      </c>
    </row>
    <row r="148" spans="1:22" outlineLevel="1" x14ac:dyDescent="0.35">
      <c r="I148" s="259"/>
      <c r="K148" s="343"/>
      <c r="L148" s="389" t="s">
        <v>438</v>
      </c>
      <c r="M148" s="390">
        <f>HLOOKUP(C147,'02. Tỷ giá'!$B$4:$M$5,2,0)</f>
        <v>26030</v>
      </c>
      <c r="Q148" s="430"/>
      <c r="R148" s="430"/>
      <c r="S148" s="430"/>
      <c r="T148" t="s">
        <v>704</v>
      </c>
    </row>
    <row r="149" spans="1:22" outlineLevel="1" x14ac:dyDescent="0.35">
      <c r="I149" s="343"/>
      <c r="Q149" s="430"/>
      <c r="R149" s="430"/>
      <c r="S149" s="430"/>
      <c r="T149" s="721" t="s">
        <v>700</v>
      </c>
      <c r="U149" s="721" t="s">
        <v>701</v>
      </c>
      <c r="V149" s="722">
        <v>17000</v>
      </c>
    </row>
    <row r="150" spans="1:22" s="477" customFormat="1" ht="41" customHeight="1" outlineLevel="1" x14ac:dyDescent="0.35">
      <c r="A150" s="351" t="s">
        <v>174</v>
      </c>
      <c r="B150" s="351" t="s">
        <v>564</v>
      </c>
      <c r="C150" s="351" t="s">
        <v>481</v>
      </c>
      <c r="D150" s="351" t="s">
        <v>422</v>
      </c>
      <c r="E150" s="351" t="s">
        <v>423</v>
      </c>
      <c r="F150" s="351" t="s">
        <v>411</v>
      </c>
      <c r="G150" s="351" t="s">
        <v>424</v>
      </c>
      <c r="H150" s="351" t="s">
        <v>482</v>
      </c>
      <c r="I150" s="351" t="s">
        <v>483</v>
      </c>
      <c r="J150" s="351" t="s">
        <v>484</v>
      </c>
      <c r="K150" s="351" t="s">
        <v>426</v>
      </c>
      <c r="L150" s="351" t="s">
        <v>428</v>
      </c>
      <c r="M150" s="351" t="s">
        <v>425</v>
      </c>
      <c r="N150" s="351" t="s">
        <v>705</v>
      </c>
      <c r="P150" s="404" t="s">
        <v>566</v>
      </c>
      <c r="Q150" s="404" t="s">
        <v>567</v>
      </c>
      <c r="S150" s="430"/>
      <c r="T150" s="721" t="s">
        <v>702</v>
      </c>
      <c r="U150" s="721" t="s">
        <v>703</v>
      </c>
      <c r="V150" s="722">
        <v>17000</v>
      </c>
    </row>
    <row r="151" spans="1:22" s="185" customFormat="1" ht="30.65" customHeight="1" outlineLevel="1" x14ac:dyDescent="0.35">
      <c r="A151" s="505">
        <v>1</v>
      </c>
      <c r="B151" s="505" t="s">
        <v>959</v>
      </c>
      <c r="C151" s="526" t="s">
        <v>976</v>
      </c>
      <c r="D151" s="526" t="s">
        <v>463</v>
      </c>
      <c r="E151" s="707" t="s">
        <v>470</v>
      </c>
      <c r="F151" s="708" t="s">
        <v>95</v>
      </c>
      <c r="G151" s="717">
        <f>SUMIFS('06. BC BH THEO CUSTOMER-USD'!CY:CY,'06. BC BH THEO CUSTOMER-USD'!H:H,'06.1. BC bán lỗ'!D151,'06. BC BH THEO CUSTOMER-USD'!D:D,'06.1. BC bán lỗ'!B151)</f>
        <v>286.64999999999998</v>
      </c>
      <c r="H151" s="709">
        <f>SUMIFS('01. KE30'!X:X,'01. KE30'!C:C,'06.1. BC bán lỗ'!B151,'01. KE30'!F:F,'06.1. BC bán lỗ'!D151,'01. KE30'!A:A,7)/SUMIFS('01. KE30'!I:I,'01. KE30'!C:C,'06.1. BC bán lỗ'!B151,'01. KE30'!F:F,'06.1. BC bán lỗ'!D151,'01. KE30'!A:A,7)*1000</f>
        <v>672.6670691326857</v>
      </c>
      <c r="I151" s="709">
        <f>_xlfn.XLOOKUP('06.1. BC bán lỗ'!D151,'06. BC BH THEO CUSTOMER-USD'!H:H,'06. BC BH THEO CUSTOMER-USD'!AU:AU)</f>
        <v>850</v>
      </c>
      <c r="J151" s="709">
        <f>SUMIFS('06. BC BH THEO CUSTOMER-USD'!CK:CK,'06. BC BH THEO CUSTOMER-USD'!H:H,'06.1. BC bán lỗ'!D151,'06. BC BH THEO CUSTOMER-USD'!D:D,'06.1. BC bán lỗ'!B151)</f>
        <v>1020.9466420255072</v>
      </c>
      <c r="K151" s="710">
        <f>G151*H151*$M$148/10^6</f>
        <v>5019.1049999999987</v>
      </c>
      <c r="L151" s="1170">
        <f>G151*(H151-J151)*$M$148/10^6</f>
        <v>-2598.687859000001</v>
      </c>
      <c r="M151" s="712">
        <f>L151/K151</f>
        <v>-0.51775921384390278</v>
      </c>
      <c r="N151" s="1305" t="s">
        <v>1001</v>
      </c>
      <c r="O151" s="713">
        <f>H151-I151</f>
        <v>-177.3329308673143</v>
      </c>
      <c r="P151" s="1060" t="s">
        <v>977</v>
      </c>
      <c r="Q151" s="714" t="s">
        <v>993</v>
      </c>
    </row>
    <row r="152" spans="1:22" s="185" customFormat="1" ht="26" customHeight="1" outlineLevel="1" x14ac:dyDescent="0.35">
      <c r="A152" s="505">
        <f>IF(B152&lt;&gt;0,SUBTOTAL(3,$B$151:B152),"")</f>
        <v>2</v>
      </c>
      <c r="B152" s="505" t="s">
        <v>899</v>
      </c>
      <c r="C152" s="526" t="s">
        <v>900</v>
      </c>
      <c r="D152" s="526" t="s">
        <v>87</v>
      </c>
      <c r="E152" s="707" t="s">
        <v>86</v>
      </c>
      <c r="F152" s="708" t="s">
        <v>95</v>
      </c>
      <c r="G152" s="726">
        <f>SUMIFS('06. BC BH THEO CUSTOMER-USD'!CY:CY,'06. BC BH THEO CUSTOMER-USD'!H:H,'06.1. BC bán lỗ'!D152,'06. BC BH THEO CUSTOMER-USD'!D:D,'06.1. BC bán lỗ'!B152)</f>
        <v>249.55</v>
      </c>
      <c r="H152" s="727">
        <f>SUMIFS('01. KE30'!X:X,'01. KE30'!C:C,'06.1. BC bán lỗ'!B152,'01. KE30'!F:F,'06.1. BC bán lỗ'!D152,'01. KE30'!A:A,7)/SUMIFS('01. KE30'!I:I,'01. KE30'!C:C,'06.1. BC bán lỗ'!B152,'01. KE30'!F:F,'06.1. BC bán lỗ'!D152,'01. KE30'!A:A,7)*1000</f>
        <v>668.4217530856348</v>
      </c>
      <c r="I152" s="727">
        <f>_xlfn.XLOOKUP('06.1. BC bán lỗ'!D152,'06. BC BH THEO CUSTOMER-USD'!H:H,'06. BC BH THEO CUSTOMER-USD'!AU:AU)</f>
        <v>800</v>
      </c>
      <c r="J152" s="727">
        <f>SUMIFS('06. BC BH THEO CUSTOMER-USD'!CK:CK,'06. BC BH THEO CUSTOMER-USD'!H:H,'06.1. BC bán lỗ'!D152,'06. BC BH THEO CUSTOMER-USD'!D:D,'06.1. BC bán lỗ'!B152)</f>
        <v>966.00889114813117</v>
      </c>
      <c r="K152" s="710">
        <f t="shared" ref="K152:K170" si="29">G152*H152*$M$148/10^6</f>
        <v>4341.9250000000002</v>
      </c>
      <c r="L152" s="1170">
        <f t="shared" ref="L152:L171" si="30">G152*(H152-J152)*$M$148/10^6</f>
        <v>-1933.0625140000002</v>
      </c>
      <c r="M152" s="712">
        <f t="shared" ref="M152" si="31">L152/K152</f>
        <v>-0.4452086376434416</v>
      </c>
      <c r="N152" s="1301"/>
      <c r="O152" s="713">
        <f t="shared" ref="O152" si="32">H152-I152</f>
        <v>-131.5782469143652</v>
      </c>
      <c r="P152" s="1060"/>
      <c r="Q152" s="714" t="s">
        <v>992</v>
      </c>
    </row>
    <row r="153" spans="1:22" s="185" customFormat="1" ht="29" outlineLevel="1" x14ac:dyDescent="0.35">
      <c r="A153" s="505">
        <f>IF(B153&lt;&gt;0,SUBTOTAL(3,$B$151:B153),"")</f>
        <v>3</v>
      </c>
      <c r="B153" s="505" t="s">
        <v>89</v>
      </c>
      <c r="C153" s="526" t="s">
        <v>88</v>
      </c>
      <c r="D153" s="526" t="s">
        <v>463</v>
      </c>
      <c r="E153" s="707" t="s">
        <v>470</v>
      </c>
      <c r="F153" s="708" t="s">
        <v>95</v>
      </c>
      <c r="G153" s="717">
        <f>SUMIFS('06. BC BH THEO CUSTOMER-USD'!CY:CY,'06. BC BH THEO CUSTOMER-USD'!H:H,'06.1. BC bán lỗ'!D153,'06. BC BH THEO CUSTOMER-USD'!D:D,'06.1. BC bán lỗ'!B153)</f>
        <v>31.6</v>
      </c>
      <c r="H153" s="709">
        <f>SUMIFS('01. KE30'!X:X,'01. KE30'!C:C,'06.1. BC bán lỗ'!B153,'01. KE30'!F:F,'06.1. BC bán lỗ'!D153,'01. KE30'!A:A,7)/SUMIFS('01. KE30'!I:I,'01. KE30'!C:C,'06.1. BC bán lỗ'!B153,'01. KE30'!F:F,'06.1. BC bán lỗ'!D153,'01. KE30'!A:A,7)*1000</f>
        <v>633.8839800230503</v>
      </c>
      <c r="I153" s="709">
        <f>_xlfn.XLOOKUP('06.1. BC bán lỗ'!D153,'06. BC BH THEO CUSTOMER-USD'!H:H,'06. BC BH THEO CUSTOMER-USD'!AU:AU)</f>
        <v>850</v>
      </c>
      <c r="J153" s="709">
        <f>SUMIFS('06. BC BH THEO CUSTOMER-USD'!CK:CK,'06. BC BH THEO CUSTOMER-USD'!H:H,'06.1. BC bán lỗ'!D153,'06. BC BH THEO CUSTOMER-USD'!D:D,'06.1. BC bán lỗ'!B153)</f>
        <v>1020.9466401960736</v>
      </c>
      <c r="K153" s="710">
        <f t="shared" si="29"/>
        <v>521.4</v>
      </c>
      <c r="L153" s="1170">
        <f t="shared" si="30"/>
        <v>-318.37761699999999</v>
      </c>
      <c r="M153" s="712">
        <f t="shared" ref="M153:M171" si="33">L153/K153</f>
        <v>-0.6106206693517453</v>
      </c>
      <c r="N153" s="1303"/>
      <c r="O153" s="713">
        <f t="shared" ref="O153:O171" si="34">H153-I153</f>
        <v>-216.1160199769497</v>
      </c>
      <c r="P153" s="1060" t="s">
        <v>978</v>
      </c>
      <c r="Q153" s="714" t="s">
        <v>993</v>
      </c>
    </row>
    <row r="154" spans="1:22" s="185" customFormat="1" ht="48.5" customHeight="1" outlineLevel="1" x14ac:dyDescent="0.35">
      <c r="A154" s="505">
        <f>IF(B154&lt;&gt;0,SUBTOTAL(3,$B$151:B154),"")</f>
        <v>4</v>
      </c>
      <c r="B154" s="505" t="s">
        <v>722</v>
      </c>
      <c r="C154" s="526" t="s">
        <v>723</v>
      </c>
      <c r="D154" s="526" t="s">
        <v>52</v>
      </c>
      <c r="E154" s="707" t="s">
        <v>51</v>
      </c>
      <c r="F154" s="708" t="s">
        <v>265</v>
      </c>
      <c r="G154" s="726">
        <f>SUMIFS('06. BC BH THEO CUSTOMER-USD'!CY:CY,'06. BC BH THEO CUSTOMER-USD'!H:H,'06.1. BC bán lỗ'!D154,'06. BC BH THEO CUSTOMER-USD'!D:D,'06.1. BC bán lỗ'!B154)</f>
        <v>22</v>
      </c>
      <c r="H154" s="727">
        <f>SUMIFS('01. KE30'!X:X,'01. KE30'!C:C,'06.1. BC bán lỗ'!B154,'01. KE30'!F:F,'06.1. BC bán lỗ'!D154,'01. KE30'!A:A,7)/SUMIFS('01. KE30'!I:I,'01. KE30'!C:C,'06.1. BC bán lỗ'!B154,'01. KE30'!F:F,'06.1. BC bán lỗ'!D154,'01. KE30'!A:A,7)*1000</f>
        <v>604.71536339189049</v>
      </c>
      <c r="I154" s="727">
        <f>_xlfn.XLOOKUP('06.1. BC bán lỗ'!D154,'06. BC BH THEO CUSTOMER-USD'!H:H,'06. BC BH THEO CUSTOMER-USD'!AU:AU)</f>
        <v>950</v>
      </c>
      <c r="J154" s="727">
        <f>SUMIFS('06. BC BH THEO CUSTOMER-USD'!CK:CK,'06. BC BH THEO CUSTOMER-USD'!H:H,'06.1. BC bán lỗ'!D154,'06. BC BH THEO CUSTOMER-USD'!D:D,'06.1. BC bán lỗ'!B154)</f>
        <v>823.97296126846652</v>
      </c>
      <c r="K154" s="710">
        <f t="shared" si="29"/>
        <v>346.29629999999997</v>
      </c>
      <c r="L154" s="1170">
        <f t="shared" si="30"/>
        <v>-125.56005600000002</v>
      </c>
      <c r="M154" s="712">
        <f t="shared" ref="M154:M166" si="35">L154/K154</f>
        <v>-0.36257983697775581</v>
      </c>
      <c r="N154" s="716" t="s">
        <v>954</v>
      </c>
      <c r="O154" s="713">
        <f t="shared" ref="O154:O166" si="36">H154-I154</f>
        <v>-345.28463660810951</v>
      </c>
      <c r="P154" s="1060" t="s">
        <v>981</v>
      </c>
      <c r="Q154" s="707"/>
    </row>
    <row r="155" spans="1:22" s="185" customFormat="1" ht="43.5" outlineLevel="1" x14ac:dyDescent="0.35">
      <c r="A155" s="505">
        <f>IF(B155&lt;&gt;0,SUBTOTAL(3,$B$151:B155),"")</f>
        <v>5</v>
      </c>
      <c r="B155" s="505" t="s">
        <v>30</v>
      </c>
      <c r="C155" s="526" t="s">
        <v>29</v>
      </c>
      <c r="D155" s="526" t="s">
        <v>208</v>
      </c>
      <c r="E155" s="707" t="s">
        <v>209</v>
      </c>
      <c r="F155" s="708" t="s">
        <v>266</v>
      </c>
      <c r="G155" s="726">
        <f>SUMIFS('06. BC BH THEO CUSTOMER-USD'!CY:CY,'06. BC BH THEO CUSTOMER-USD'!H:H,'06.1. BC bán lỗ'!D155,'06. BC BH THEO CUSTOMER-USD'!D:D,'06.1. BC bán lỗ'!B155)</f>
        <v>11</v>
      </c>
      <c r="H155" s="727">
        <f>SUMIFS('01. KE30'!X:X,'01. KE30'!C:C,'06.1. BC bán lỗ'!B155,'01. KE30'!F:F,'06.1. BC bán lỗ'!D155,'01. KE30'!A:A,7)/SUMIFS('01. KE30'!I:I,'01. KE30'!C:C,'06.1. BC bán lỗ'!B155,'01. KE30'!F:F,'06.1. BC bán lỗ'!D155,'01. KE30'!A:A,7)*1000</f>
        <v>768.34421820975797</v>
      </c>
      <c r="I155" s="727">
        <f>_xlfn.XLOOKUP('06.1. BC bán lỗ'!D155,'06. BC BH THEO CUSTOMER-USD'!H:H,'06. BC BH THEO CUSTOMER-USD'!AU:AU)</f>
        <v>780</v>
      </c>
      <c r="J155" s="727">
        <f>SUMIFS('06. BC BH THEO CUSTOMER-USD'!CK:CK,'06. BC BH THEO CUSTOMER-USD'!H:H,'06.1. BC bán lỗ'!D155,'06. BC BH THEO CUSTOMER-USD'!D:D,'06.1. BC bán lỗ'!B155)</f>
        <v>1113.1677924073622</v>
      </c>
      <c r="K155" s="710">
        <f t="shared" si="29"/>
        <v>220</v>
      </c>
      <c r="L155" s="1170">
        <f t="shared" si="30"/>
        <v>-98.733334000000013</v>
      </c>
      <c r="M155" s="712">
        <f t="shared" si="35"/>
        <v>-0.44878788181818186</v>
      </c>
      <c r="N155" s="714" t="s">
        <v>994</v>
      </c>
      <c r="O155" s="713">
        <f t="shared" si="36"/>
        <v>-11.655781790242031</v>
      </c>
      <c r="P155" s="714" t="s">
        <v>754</v>
      </c>
      <c r="Q155" s="714" t="s">
        <v>994</v>
      </c>
    </row>
    <row r="156" spans="1:22" s="185" customFormat="1" ht="43.5" outlineLevel="1" x14ac:dyDescent="0.35">
      <c r="A156" s="505">
        <f>IF(B156&lt;&gt;0,SUBTOTAL(3,$B$151:B156),"")</f>
        <v>6</v>
      </c>
      <c r="B156" s="505" t="s">
        <v>519</v>
      </c>
      <c r="C156" s="526" t="s">
        <v>520</v>
      </c>
      <c r="D156" s="526" t="s">
        <v>41</v>
      </c>
      <c r="E156" s="707" t="s">
        <v>40</v>
      </c>
      <c r="F156" s="708" t="s">
        <v>295</v>
      </c>
      <c r="G156" s="726">
        <f>SUMIFS('06. BC BH THEO CUSTOMER-USD'!CY:CY,'06. BC BH THEO CUSTOMER-USD'!H:H,'06.1. BC bán lỗ'!D156,'06. BC BH THEO CUSTOMER-USD'!D:D,'06.1. BC bán lỗ'!B156)</f>
        <v>10.5</v>
      </c>
      <c r="H156" s="727">
        <f>SUMIFS('01. KE30'!X:X,'01. KE30'!C:C,'06.1. BC bán lỗ'!B156,'01. KE30'!F:F,'06.1. BC bán lỗ'!D156,'01. KE30'!A:A,7)/SUMIFS('01. KE30'!I:I,'01. KE30'!C:C,'06.1. BC bán lỗ'!B156,'01. KE30'!F:F,'06.1. BC bán lỗ'!D156,'01. KE30'!A:A,7)*1000</f>
        <v>614.67537456780644</v>
      </c>
      <c r="I156" s="727">
        <f>_xlfn.XLOOKUP('06.1. BC bán lỗ'!D156,'06. BC BH THEO CUSTOMER-USD'!H:H,'06. BC BH THEO CUSTOMER-USD'!AU:AU)</f>
        <v>720</v>
      </c>
      <c r="J156" s="727">
        <f>SUMIFS('06. BC BH THEO CUSTOMER-USD'!CK:CK,'06. BC BH THEO CUSTOMER-USD'!H:H,'06.1. BC bán lỗ'!D156,'06. BC BH THEO CUSTOMER-USD'!D:D,'06.1. BC bán lỗ'!B156)</f>
        <v>971.73628962918247</v>
      </c>
      <c r="K156" s="710">
        <f t="shared" si="29"/>
        <v>168</v>
      </c>
      <c r="L156" s="1170">
        <f t="shared" si="30"/>
        <v>-97.590103999999982</v>
      </c>
      <c r="M156" s="712">
        <f t="shared" si="35"/>
        <v>-0.58089347619047604</v>
      </c>
      <c r="N156" s="1234" t="s">
        <v>954</v>
      </c>
      <c r="O156" s="713">
        <f t="shared" si="36"/>
        <v>-105.32462543219356</v>
      </c>
      <c r="P156" s="1060" t="s">
        <v>929</v>
      </c>
      <c r="Q156" s="714" t="s">
        <v>796</v>
      </c>
    </row>
    <row r="157" spans="1:22" s="185" customFormat="1" ht="29" outlineLevel="1" x14ac:dyDescent="0.35">
      <c r="A157" s="505">
        <f>IF(B157&lt;&gt;0,SUBTOTAL(3,$B$151:B157),"")</f>
        <v>7</v>
      </c>
      <c r="B157" s="505">
        <v>1000</v>
      </c>
      <c r="C157" s="526" t="s">
        <v>29</v>
      </c>
      <c r="D157" s="526" t="s">
        <v>206</v>
      </c>
      <c r="E157" s="707" t="s">
        <v>207</v>
      </c>
      <c r="F157" s="708" t="s">
        <v>266</v>
      </c>
      <c r="G157" s="726">
        <f>SUMIFS('06. BC BH THEO CUSTOMER-USD'!CY:CY,'06. BC BH THEO CUSTOMER-USD'!H:H,'06.1. BC bán lỗ'!D157,'06. BC BH THEO CUSTOMER-USD'!D:D,'06.1. BC bán lỗ'!B157)</f>
        <v>11</v>
      </c>
      <c r="H157" s="727">
        <f>SUMIFS('01. KE30'!X:X,'01. KE30'!C:C,'06.1. BC bán lỗ'!B157,'01. KE30'!F:F,'06.1. BC bán lỗ'!D157,'01. KE30'!A:A,7)/SUMIFS('01. KE30'!I:I,'01. KE30'!C:C,'06.1. BC bán lỗ'!B157,'01. KE30'!F:F,'06.1. BC bán lỗ'!D157,'01. KE30'!A:A,7)*1000</f>
        <v>768.34421820975797</v>
      </c>
      <c r="I157" s="727">
        <f>_xlfn.XLOOKUP('06.1. BC bán lỗ'!D157,'06. BC BH THEO CUSTOMER-USD'!H:H,'06. BC BH THEO CUSTOMER-USD'!AU:AU)</f>
        <v>780</v>
      </c>
      <c r="J157" s="727">
        <f>SUMIFS('06. BC BH THEO CUSTOMER-USD'!CK:CK,'06. BC BH THEO CUSTOMER-USD'!H:H,'06.1. BC bán lỗ'!D157,'06. BC BH THEO CUSTOMER-USD'!D:D,'06.1. BC bán lỗ'!B157)</f>
        <v>1058.6489994062795</v>
      </c>
      <c r="K157" s="710">
        <f t="shared" si="29"/>
        <v>220</v>
      </c>
      <c r="L157" s="1170">
        <f t="shared" si="30"/>
        <v>-83.122968</v>
      </c>
      <c r="M157" s="712">
        <f t="shared" si="35"/>
        <v>-0.37783167272727275</v>
      </c>
      <c r="N157" s="714" t="s">
        <v>796</v>
      </c>
      <c r="O157" s="713">
        <f t="shared" si="36"/>
        <v>-11.655781790242031</v>
      </c>
      <c r="P157" s="714" t="s">
        <v>754</v>
      </c>
      <c r="Q157" s="714" t="s">
        <v>796</v>
      </c>
    </row>
    <row r="158" spans="1:22" s="185" customFormat="1" ht="29" outlineLevel="1" x14ac:dyDescent="0.35">
      <c r="A158" s="505">
        <f>IF(B158&lt;&gt;0,SUBTOTAL(3,$B$151:B158),"")</f>
        <v>8</v>
      </c>
      <c r="B158" s="505" t="s">
        <v>21</v>
      </c>
      <c r="C158" s="526" t="s">
        <v>20</v>
      </c>
      <c r="D158" s="526" t="s">
        <v>538</v>
      </c>
      <c r="E158" s="707" t="s">
        <v>539</v>
      </c>
      <c r="F158" s="708" t="s">
        <v>23</v>
      </c>
      <c r="G158" s="726">
        <f>SUMIFS('06. BC BH THEO CUSTOMER-USD'!CY:CY,'06. BC BH THEO CUSTOMER-USD'!H:H,'06.1. BC bán lỗ'!D158,'06. BC BH THEO CUSTOMER-USD'!D:D,'06.1. BC bán lỗ'!B158)</f>
        <v>11</v>
      </c>
      <c r="H158" s="727">
        <f>SUMIFS('01. KE30'!X:X,'01. KE30'!C:C,'06.1. BC bán lỗ'!B158,'01. KE30'!F:F,'06.1. BC bán lỗ'!D158,'01. KE30'!A:A,7)/SUMIFS('01. KE30'!I:I,'01. KE30'!C:C,'06.1. BC bán lỗ'!B158,'01. KE30'!F:F,'06.1. BC bán lỗ'!D158,'01. KE30'!A:A,7)*1000</f>
        <v>729.21557643278732</v>
      </c>
      <c r="I158" s="727">
        <f>_xlfn.XLOOKUP('06.1. BC bán lỗ'!D158,'06. BC BH THEO CUSTOMER-USD'!H:H,'06. BC BH THEO CUSTOMER-USD'!AU:AU)</f>
        <v>790</v>
      </c>
      <c r="J158" s="727">
        <f>SUMIFS('06. BC BH THEO CUSTOMER-USD'!CK:CK,'06. BC BH THEO CUSTOMER-USD'!H:H,'06.1. BC bán lỗ'!D158,'06. BC BH THEO CUSTOMER-USD'!D:D,'06.1. BC bán lỗ'!B158)</f>
        <v>997.98415464673633</v>
      </c>
      <c r="K158" s="710">
        <f t="shared" si="29"/>
        <v>208.79629599999998</v>
      </c>
      <c r="L158" s="1170">
        <f t="shared" si="30"/>
        <v>-76.95650700000003</v>
      </c>
      <c r="M158" s="712">
        <f t="shared" si="35"/>
        <v>-0.36857218482458154</v>
      </c>
      <c r="N158" s="1234" t="s">
        <v>1002</v>
      </c>
      <c r="O158" s="713">
        <f t="shared" si="36"/>
        <v>-60.784423567212684</v>
      </c>
      <c r="P158" s="1060" t="s">
        <v>979</v>
      </c>
      <c r="Q158" s="714"/>
    </row>
    <row r="159" spans="1:22" s="185" customFormat="1" ht="29" outlineLevel="1" x14ac:dyDescent="0.35">
      <c r="A159" s="505">
        <f>IF(B159&lt;&gt;0,SUBTOTAL(3,$B$151:B159),"")</f>
        <v>9</v>
      </c>
      <c r="B159" s="505">
        <v>1000</v>
      </c>
      <c r="C159" s="526" t="s">
        <v>29</v>
      </c>
      <c r="D159" s="526" t="s">
        <v>210</v>
      </c>
      <c r="E159" s="707" t="s">
        <v>211</v>
      </c>
      <c r="F159" s="708" t="s">
        <v>266</v>
      </c>
      <c r="G159" s="717">
        <f>SUMIFS('06. BC BH THEO CUSTOMER-USD'!CY:CY,'06. BC BH THEO CUSTOMER-USD'!H:H,'06.1. BC bán lỗ'!D159,'06. BC BH THEO CUSTOMER-USD'!D:D,'06.1. BC bán lỗ'!B159)</f>
        <v>5.5</v>
      </c>
      <c r="H159" s="709">
        <f>SUMIFS('01. KE30'!X:X,'01. KE30'!C:C,'06.1. BC bán lỗ'!B159,'01. KE30'!F:F,'06.1. BC bán lỗ'!D159,'01. KE30'!A:A,7)/SUMIFS('01. KE30'!I:I,'01. KE30'!C:C,'06.1. BC bán lỗ'!B159,'01. KE30'!F:F,'06.1. BC bán lỗ'!D159,'01. KE30'!A:A,7)*1000</f>
        <v>768.34421820975797</v>
      </c>
      <c r="I159" s="709">
        <f>_xlfn.XLOOKUP('06.1. BC bán lỗ'!D159,'06. BC BH THEO CUSTOMER-USD'!H:H,'06. BC BH THEO CUSTOMER-USD'!AU:AU)</f>
        <v>780</v>
      </c>
      <c r="J159" s="709">
        <f>SUMIFS('06. BC BH THEO CUSTOMER-USD'!CK:CK,'06. BC BH THEO CUSTOMER-USD'!H:H,'06.1. BC bán lỗ'!D159,'06. BC BH THEO CUSTOMER-USD'!D:D,'06.1. BC bán lỗ'!B159)</f>
        <v>1167.9457758530368</v>
      </c>
      <c r="K159" s="710">
        <f t="shared" si="29"/>
        <v>110</v>
      </c>
      <c r="L159" s="1170">
        <f t="shared" si="30"/>
        <v>-57.208957000000012</v>
      </c>
      <c r="M159" s="712">
        <f t="shared" si="35"/>
        <v>-0.52008142727272744</v>
      </c>
      <c r="N159" s="714" t="s">
        <v>796</v>
      </c>
      <c r="O159" s="713">
        <f t="shared" si="36"/>
        <v>-11.655781790242031</v>
      </c>
      <c r="P159" s="714" t="s">
        <v>754</v>
      </c>
      <c r="Q159" s="714" t="s">
        <v>796</v>
      </c>
    </row>
    <row r="160" spans="1:22" s="185" customFormat="1" ht="43.5" outlineLevel="1" x14ac:dyDescent="0.35">
      <c r="A160" s="505">
        <f>IF(B160&lt;&gt;0,SUBTOTAL(3,$B$151:B160),"")</f>
        <v>10</v>
      </c>
      <c r="B160" s="505" t="s">
        <v>456</v>
      </c>
      <c r="C160" s="526" t="s">
        <v>457</v>
      </c>
      <c r="D160" s="526" t="s">
        <v>37</v>
      </c>
      <c r="E160" s="707" t="s">
        <v>36</v>
      </c>
      <c r="F160" s="708" t="s">
        <v>295</v>
      </c>
      <c r="G160" s="726">
        <f>SUMIFS('06. BC BH THEO CUSTOMER-USD'!CY:CY,'06. BC BH THEO CUSTOMER-USD'!H:H,'06.1. BC bán lỗ'!D160,'06. BC BH THEO CUSTOMER-USD'!D:D,'06.1. BC bán lỗ'!B160)</f>
        <v>9</v>
      </c>
      <c r="H160" s="727">
        <f>SUMIFS('01. KE30'!X:X,'01. KE30'!C:C,'06.1. BC bán lỗ'!B160,'01. KE30'!F:F,'06.1. BC bán lỗ'!D160,'01. KE30'!A:A,7)/SUMIFS('01. KE30'!I:I,'01. KE30'!C:C,'06.1. BC bán lỗ'!B160,'01. KE30'!F:F,'06.1. BC bán lỗ'!D160,'01. KE30'!A:A,7)*1000</f>
        <v>604.19363981730487</v>
      </c>
      <c r="I160" s="727">
        <f>_xlfn.XLOOKUP('06.1. BC bán lỗ'!D160,'06. BC BH THEO CUSTOMER-USD'!H:H,'06. BC BH THEO CUSTOMER-USD'!AU:AU)</f>
        <v>720</v>
      </c>
      <c r="J160" s="727">
        <f>SUMIFS('06. BC BH THEO CUSTOMER-USD'!CK:CK,'06. BC BH THEO CUSTOMER-USD'!H:H,'06.1. BC bán lỗ'!D160,'06. BC BH THEO CUSTOMER-USD'!D:D,'06.1. BC bán lỗ'!B160)</f>
        <v>762.75091561019337</v>
      </c>
      <c r="K160" s="710">
        <f t="shared" si="29"/>
        <v>141.544444</v>
      </c>
      <c r="L160" s="1170">
        <f t="shared" si="30"/>
        <v>-37.145212999999991</v>
      </c>
      <c r="M160" s="712">
        <f t="shared" si="35"/>
        <v>-0.26242791274802696</v>
      </c>
      <c r="N160" s="714" t="s">
        <v>955</v>
      </c>
      <c r="O160" s="713">
        <f t="shared" si="36"/>
        <v>-115.80636018269513</v>
      </c>
      <c r="P160" s="1060" t="s">
        <v>929</v>
      </c>
      <c r="Q160" s="714"/>
    </row>
    <row r="161" spans="1:22" s="185" customFormat="1" ht="29" outlineLevel="1" x14ac:dyDescent="0.35">
      <c r="A161" s="505">
        <f>IF(B161&lt;&gt;0,SUBTOTAL(3,$B$151:B161),"")</f>
        <v>11</v>
      </c>
      <c r="B161" s="505" t="s">
        <v>965</v>
      </c>
      <c r="C161" s="526" t="s">
        <v>966</v>
      </c>
      <c r="D161" s="526" t="s">
        <v>19</v>
      </c>
      <c r="E161" s="707" t="s">
        <v>18</v>
      </c>
      <c r="F161" s="708" t="s">
        <v>269</v>
      </c>
      <c r="G161" s="726">
        <f>SUMIFS('06. BC BH THEO CUSTOMER-USD'!CY:CY,'06. BC BH THEO CUSTOMER-USD'!H:H,'06.1. BC bán lỗ'!D161,'06. BC BH THEO CUSTOMER-USD'!D:D,'06.1. BC bán lỗ'!B161)</f>
        <v>6</v>
      </c>
      <c r="H161" s="727">
        <f>SUMIFS('01. KE30'!X:X,'01. KE30'!C:C,'06.1. BC bán lỗ'!B161,'01. KE30'!F:F,'06.1. BC bán lỗ'!D161,'01. KE30'!A:A,7)/SUMIFS('01. KE30'!I:I,'01. KE30'!C:C,'06.1. BC bán lỗ'!B161,'01. KE30'!F:F,'06.1. BC bán lỗ'!D161,'01. KE30'!A:A,7)*1000</f>
        <v>622.50110129337941</v>
      </c>
      <c r="I161" s="727">
        <f>_xlfn.XLOOKUP('06.1. BC bán lỗ'!D161,'06. BC BH THEO CUSTOMER-USD'!H:H,'06. BC BH THEO CUSTOMER-USD'!AU:AU)</f>
        <v>680</v>
      </c>
      <c r="J161" s="727">
        <f>SUMIFS('06. BC BH THEO CUSTOMER-USD'!CK:CK,'06. BC BH THEO CUSTOMER-USD'!H:H,'06.1. BC bán lỗ'!D161,'06. BC BH THEO CUSTOMER-USD'!D:D,'06.1. BC bán lỗ'!B161)</f>
        <v>783.06804968625943</v>
      </c>
      <c r="K161" s="710">
        <f t="shared" si="29"/>
        <v>97.222222000000002</v>
      </c>
      <c r="L161" s="1170">
        <f t="shared" si="30"/>
        <v>-25.077345999999999</v>
      </c>
      <c r="M161" s="712">
        <f t="shared" si="35"/>
        <v>-0.2579384165895735</v>
      </c>
      <c r="N161" s="714" t="s">
        <v>1002</v>
      </c>
      <c r="O161" s="713">
        <f t="shared" si="36"/>
        <v>-57.498898706620594</v>
      </c>
      <c r="P161" s="1060" t="s">
        <v>980</v>
      </c>
      <c r="Q161" s="714"/>
    </row>
    <row r="162" spans="1:22" s="185" customFormat="1" ht="28.75" customHeight="1" outlineLevel="1" x14ac:dyDescent="0.35">
      <c r="A162" s="505">
        <f>IF(B162&lt;&gt;0,SUBTOTAL(3,$B$151:B162),"")</f>
        <v>12</v>
      </c>
      <c r="B162" s="505" t="s">
        <v>21</v>
      </c>
      <c r="C162" s="526" t="s">
        <v>20</v>
      </c>
      <c r="D162" s="526" t="s">
        <v>19</v>
      </c>
      <c r="E162" s="707" t="s">
        <v>18</v>
      </c>
      <c r="F162" s="708" t="s">
        <v>269</v>
      </c>
      <c r="G162" s="717">
        <f>SUMIFS('06. BC BH THEO CUSTOMER-USD'!CY:CY,'06. BC BH THEO CUSTOMER-USD'!H:H,'06.1. BC bán lỗ'!D162,'06. BC BH THEO CUSTOMER-USD'!D:D,'06.1. BC bán lỗ'!B162)</f>
        <v>9.75</v>
      </c>
      <c r="H162" s="709">
        <f>SUMIFS('01. KE30'!X:X,'01. KE30'!C:C,'06.1. BC bán lỗ'!B162,'01. KE30'!F:F,'06.1. BC bán lỗ'!D162,'01. KE30'!A:A,7)/SUMIFS('01. KE30'!I:I,'01. KE30'!C:C,'06.1. BC bán lỗ'!B162,'01. KE30'!F:F,'06.1. BC bán lỗ'!D162,'01. KE30'!A:A,7)*1000</f>
        <v>693.64408719721825</v>
      </c>
      <c r="I162" s="709">
        <f>_xlfn.XLOOKUP('06.1. BC bán lỗ'!D162,'06. BC BH THEO CUSTOMER-USD'!H:H,'06. BC BH THEO CUSTOMER-USD'!AU:AU)</f>
        <v>680</v>
      </c>
      <c r="J162" s="709">
        <f>SUMIFS('06. BC BH THEO CUSTOMER-USD'!CK:CK,'06. BC BH THEO CUSTOMER-USD'!H:H,'06.1. BC bán lỗ'!D162,'06. BC BH THEO CUSTOMER-USD'!D:D,'06.1. BC bán lỗ'!B162)</f>
        <v>783.06804968625943</v>
      </c>
      <c r="K162" s="710">
        <f t="shared" si="29"/>
        <v>176.04166699999999</v>
      </c>
      <c r="L162" s="1170">
        <f t="shared" si="30"/>
        <v>-22.695130999999982</v>
      </c>
      <c r="M162" s="712">
        <f t="shared" si="35"/>
        <v>-0.12891908709317088</v>
      </c>
      <c r="N162" s="716" t="s">
        <v>1002</v>
      </c>
      <c r="O162" s="713">
        <f t="shared" si="36"/>
        <v>13.644087197218255</v>
      </c>
      <c r="P162" s="1060" t="s">
        <v>754</v>
      </c>
      <c r="Q162" s="714" t="s">
        <v>995</v>
      </c>
    </row>
    <row r="163" spans="1:22" s="185" customFormat="1" ht="29" outlineLevel="1" x14ac:dyDescent="0.35">
      <c r="A163" s="505">
        <f>IF(B163&lt;&gt;0,SUBTOTAL(3,$B$151:B163),"")</f>
        <v>13</v>
      </c>
      <c r="B163" s="505">
        <v>1000</v>
      </c>
      <c r="C163" s="526" t="s">
        <v>29</v>
      </c>
      <c r="D163" s="526" t="s">
        <v>204</v>
      </c>
      <c r="E163" s="707" t="s">
        <v>205</v>
      </c>
      <c r="F163" s="708" t="s">
        <v>266</v>
      </c>
      <c r="G163" s="726">
        <f>SUMIFS('06. BC BH THEO CUSTOMER-USD'!CY:CY,'06. BC BH THEO CUSTOMER-USD'!H:H,'06.1. BC bán lỗ'!D163,'06. BC BH THEO CUSTOMER-USD'!D:D,'06.1. BC bán lỗ'!B163)</f>
        <v>2.75</v>
      </c>
      <c r="H163" s="727">
        <f>SUMIFS('01. KE30'!X:X,'01. KE30'!C:C,'06.1. BC bán lỗ'!B163,'01. KE30'!F:F,'06.1. BC bán lỗ'!D163,'01. KE30'!A:A,7)/SUMIFS('01. KE30'!I:I,'01. KE30'!C:C,'06.1. BC bán lỗ'!B163,'01. KE30'!F:F,'06.1. BC bán lỗ'!D163,'01. KE30'!A:A,7)*1000</f>
        <v>768.34421820975797</v>
      </c>
      <c r="I163" s="727">
        <f>_xlfn.XLOOKUP('06.1. BC bán lỗ'!D163,'06. BC BH THEO CUSTOMER-USD'!H:H,'06. BC BH THEO CUSTOMER-USD'!AU:AU)</f>
        <v>780</v>
      </c>
      <c r="J163" s="727">
        <f>SUMIFS('06. BC BH THEO CUSTOMER-USD'!CK:CK,'06. BC BH THEO CUSTOMER-USD'!H:H,'06.1. BC bán lỗ'!D163,'06. BC BH THEO CUSTOMER-USD'!D:D,'06.1. BC bán lỗ'!B163)</f>
        <v>1062.9810079279152</v>
      </c>
      <c r="K163" s="710">
        <f t="shared" si="29"/>
        <v>55</v>
      </c>
      <c r="L163" s="1170">
        <f t="shared" si="30"/>
        <v>-21.090837999999991</v>
      </c>
      <c r="M163" s="712">
        <f t="shared" si="35"/>
        <v>-0.38346978181818164</v>
      </c>
      <c r="N163" s="714" t="s">
        <v>796</v>
      </c>
      <c r="O163" s="713">
        <f t="shared" si="36"/>
        <v>-11.655781790242031</v>
      </c>
      <c r="P163" s="714" t="s">
        <v>754</v>
      </c>
      <c r="Q163" s="714" t="s">
        <v>796</v>
      </c>
    </row>
    <row r="164" spans="1:22" s="185" customFormat="1" ht="43.5" customHeight="1" outlineLevel="1" x14ac:dyDescent="0.35">
      <c r="A164" s="505">
        <f>IF(B164&lt;&gt;0,SUBTOTAL(3,$B$151:B164),"")</f>
        <v>14</v>
      </c>
      <c r="B164" s="505" t="s">
        <v>637</v>
      </c>
      <c r="C164" s="526" t="s">
        <v>638</v>
      </c>
      <c r="D164" s="526" t="s">
        <v>37</v>
      </c>
      <c r="E164" s="707" t="s">
        <v>36</v>
      </c>
      <c r="F164" s="708" t="s">
        <v>295</v>
      </c>
      <c r="G164" s="726">
        <f>SUMIFS('06. BC BH THEO CUSTOMER-USD'!CY:CY,'06. BC BH THEO CUSTOMER-USD'!H:H,'06.1. BC bán lỗ'!D164,'06. BC BH THEO CUSTOMER-USD'!D:D,'06.1. BC bán lỗ'!B164)</f>
        <v>7.5</v>
      </c>
      <c r="H164" s="727">
        <f>SUMIFS('01. KE30'!X:X,'01. KE30'!C:C,'06.1. BC bán lỗ'!B164,'01. KE30'!F:F,'06.1. BC bán lỗ'!D164,'01. KE30'!A:A,7)/SUMIFS('01. KE30'!I:I,'01. KE30'!C:C,'06.1. BC bán lỗ'!B164,'01. KE30'!F:F,'06.1. BC bán lỗ'!D164,'01. KE30'!A:A,7)*1000</f>
        <v>660.91831476501477</v>
      </c>
      <c r="I164" s="727">
        <f>_xlfn.XLOOKUP('06.1. BC bán lỗ'!D164,'06. BC BH THEO CUSTOMER-USD'!H:H,'06. BC BH THEO CUSTOMER-USD'!AU:AU)</f>
        <v>720</v>
      </c>
      <c r="J164" s="727">
        <f>SUMIFS('06. BC BH THEO CUSTOMER-USD'!CK:CK,'06. BC BH THEO CUSTOMER-USD'!H:H,'06.1. BC bán lỗ'!D164,'06. BC BH THEO CUSTOMER-USD'!D:D,'06.1. BC bán lỗ'!B164)</f>
        <v>762.75090792675121</v>
      </c>
      <c r="K164" s="710">
        <f t="shared" si="29"/>
        <v>129.02777800000001</v>
      </c>
      <c r="L164" s="1170">
        <f t="shared" si="30"/>
        <v>-19.880267999999997</v>
      </c>
      <c r="M164" s="712">
        <f t="shared" si="35"/>
        <v>-0.15407742664529181</v>
      </c>
      <c r="N164" s="1300" t="s">
        <v>955</v>
      </c>
      <c r="O164" s="713">
        <f t="shared" si="36"/>
        <v>-59.08168523498523</v>
      </c>
      <c r="P164" s="1060" t="s">
        <v>929</v>
      </c>
      <c r="Q164" s="714"/>
    </row>
    <row r="165" spans="1:22" s="185" customFormat="1" ht="29" outlineLevel="1" x14ac:dyDescent="0.35">
      <c r="A165" s="505">
        <f>IF(B165&lt;&gt;0,SUBTOTAL(3,$B$151:B165),"")</f>
        <v>15</v>
      </c>
      <c r="B165" s="505" t="s">
        <v>456</v>
      </c>
      <c r="C165" s="526" t="s">
        <v>457</v>
      </c>
      <c r="D165" s="526" t="s">
        <v>536</v>
      </c>
      <c r="E165" s="707" t="s">
        <v>537</v>
      </c>
      <c r="F165" s="708" t="s">
        <v>295</v>
      </c>
      <c r="G165" s="1235">
        <f>SUMIFS('06. BC BH THEO CUSTOMER-USD'!CY:CY,'06. BC BH THEO CUSTOMER-USD'!H:H,'06.1. BC bán lỗ'!D165,'06. BC BH THEO CUSTOMER-USD'!D:D,'06.1. BC bán lỗ'!B165)</f>
        <v>0.75</v>
      </c>
      <c r="H165" s="709">
        <f>SUMIFS('01. KE30'!X:X,'01. KE30'!C:C,'06.1. BC bán lỗ'!B165,'01. KE30'!F:F,'06.1. BC bán lỗ'!D165,'01. KE30'!A:A,7)/SUMIFS('01. KE30'!I:I,'01. KE30'!C:C,'06.1. BC bán lỗ'!B165,'01. KE30'!F:F,'06.1. BC bán lỗ'!D165,'01. KE30'!A:A,7)*1000</f>
        <v>586.92959405813804</v>
      </c>
      <c r="I165" s="709">
        <f>_xlfn.XLOOKUP('06.1. BC bán lỗ'!D165,'06. BC BH THEO CUSTOMER-USD'!H:H,'06. BC BH THEO CUSTOMER-USD'!AU:AU)</f>
        <v>720</v>
      </c>
      <c r="J165" s="709">
        <f>SUMIFS('06. BC BH THEO CUSTOMER-USD'!CK:CK,'06. BC BH THEO CUSTOMER-USD'!H:H,'06.1. BC bán lỗ'!D165,'06. BC BH THEO CUSTOMER-USD'!D:D,'06.1. BC bán lỗ'!B165)</f>
        <v>1010.7129722115508</v>
      </c>
      <c r="K165" s="720">
        <f t="shared" si="29"/>
        <v>11.458333</v>
      </c>
      <c r="L165" s="1236">
        <f t="shared" si="30"/>
        <v>-8.2733109999999996</v>
      </c>
      <c r="M165" s="1237">
        <f t="shared" si="35"/>
        <v>-0.72203443555009261</v>
      </c>
      <c r="N165" s="1303"/>
      <c r="O165" s="713">
        <f t="shared" si="36"/>
        <v>-133.07040594186196</v>
      </c>
      <c r="P165" s="1060" t="s">
        <v>929</v>
      </c>
      <c r="Q165" s="714"/>
    </row>
    <row r="166" spans="1:22" s="185" customFormat="1" ht="29" outlineLevel="1" x14ac:dyDescent="0.35">
      <c r="A166" s="505">
        <f>IF(B166&lt;&gt;0,SUBTOTAL(3,$B$151:B166),"")</f>
        <v>16</v>
      </c>
      <c r="B166" s="505" t="s">
        <v>7</v>
      </c>
      <c r="C166" s="526" t="s">
        <v>6</v>
      </c>
      <c r="D166" s="526" t="s">
        <v>5</v>
      </c>
      <c r="E166" s="707" t="s">
        <v>4</v>
      </c>
      <c r="F166" s="708" t="s">
        <v>23</v>
      </c>
      <c r="G166" s="1235">
        <f>SUMIFS('06. BC BH THEO CUSTOMER-USD'!CY:CY,'06. BC BH THEO CUSTOMER-USD'!H:H,'06.1. BC bán lỗ'!D166,'06. BC BH THEO CUSTOMER-USD'!D:D,'06.1. BC bán lỗ'!B166)</f>
        <v>12</v>
      </c>
      <c r="H166" s="709">
        <f>SUMIFS('01. KE30'!X:X,'01. KE30'!C:C,'06.1. BC bán lỗ'!B166,'01. KE30'!F:F,'06.1. BC bán lỗ'!D166,'01. KE30'!A:A,7)/SUMIFS('01. KE30'!I:I,'01. KE30'!C:C,'06.1. BC bán lỗ'!B166,'01. KE30'!F:F,'06.1. BC bán lỗ'!D166,'01. KE30'!A:A,7)*1000</f>
        <v>1050.0267719938531</v>
      </c>
      <c r="I166" s="709">
        <f>_xlfn.XLOOKUP('06.1. BC bán lỗ'!D166,'06. BC BH THEO CUSTOMER-USD'!H:H,'06. BC BH THEO CUSTOMER-USD'!AU:AU)</f>
        <v>790</v>
      </c>
      <c r="J166" s="709">
        <f>SUMIFS('06. BC BH THEO CUSTOMER-USD'!CK:CK,'06. BC BH THEO CUSTOMER-USD'!H:H,'06.1. BC bán lỗ'!D166,'06. BC BH THEO CUSTOMER-USD'!D:D,'06.1. BC bán lỗ'!B166)</f>
        <v>1074.1859457036753</v>
      </c>
      <c r="K166" s="720">
        <f t="shared" si="29"/>
        <v>327.98636249999998</v>
      </c>
      <c r="L166" s="1236">
        <f t="shared" si="30"/>
        <v>-7.5463595000000616</v>
      </c>
      <c r="M166" s="1237">
        <f t="shared" si="35"/>
        <v>-2.3008150224538868E-2</v>
      </c>
      <c r="N166" s="714" t="s">
        <v>1002</v>
      </c>
      <c r="O166" s="713">
        <f t="shared" si="36"/>
        <v>260.02677199385312</v>
      </c>
      <c r="P166" s="1060" t="s">
        <v>754</v>
      </c>
      <c r="Q166" s="714" t="s">
        <v>996</v>
      </c>
    </row>
    <row r="167" spans="1:22" s="185" customFormat="1" ht="20" hidden="1" customHeight="1" outlineLevel="1" x14ac:dyDescent="0.35">
      <c r="A167" s="1192">
        <f>IF(B167&lt;&gt;0,SUBTOTAL(3,$B$151:B167),"")</f>
        <v>17</v>
      </c>
      <c r="B167" s="1192" t="s">
        <v>71</v>
      </c>
      <c r="C167" s="1193" t="s">
        <v>70</v>
      </c>
      <c r="D167" s="1193" t="s">
        <v>187</v>
      </c>
      <c r="E167" s="1194" t="s">
        <v>188</v>
      </c>
      <c r="F167" s="1195" t="s">
        <v>265</v>
      </c>
      <c r="G167" s="1196">
        <f>SUMIFS('06. BC BH THEO CUSTOMER-USD'!CY:CY,'06. BC BH THEO CUSTOMER-USD'!H:H,'06.1. BC bán lỗ'!D167,'06. BC BH THEO CUSTOMER-USD'!D:D,'06.1. BC bán lỗ'!B167)</f>
        <v>33</v>
      </c>
      <c r="H167" s="1197">
        <f>SUMIFS('01. KE30'!X:X,'01. KE30'!C:C,'06.1. BC bán lỗ'!B167,'01. KE30'!F:F,'06.1. BC bán lỗ'!D167,'01. KE30'!A:A,7)/SUMIFS('01. KE30'!I:I,'01. KE30'!C:C,'06.1. BC bán lỗ'!B167,'01. KE30'!F:F,'06.1. BC bán lỗ'!D167,'01. KE30'!A:A,7)*1000</f>
        <v>1261.5251632731465</v>
      </c>
      <c r="I167" s="1197">
        <f>_xlfn.XLOOKUP('06.1. BC bán lỗ'!D167,'06. BC BH THEO CUSTOMER-USD'!H:H,'06. BC BH THEO CUSTOMER-USD'!AU:AU)</f>
        <v>1250</v>
      </c>
      <c r="J167" s="1197">
        <f>SUMIFS('06. BC BH THEO CUSTOMER-USD'!CK:CK,'06. BC BH THEO CUSTOMER-USD'!H:H,'06.1. BC bán lỗ'!D167,'06. BC BH THEO CUSTOMER-USD'!D:D,'06.1. BC bán lỗ'!B167)</f>
        <v>1268.9907740485919</v>
      </c>
      <c r="K167" s="1198">
        <f t="shared" si="29"/>
        <v>1083.6375</v>
      </c>
      <c r="L167" s="1199">
        <f t="shared" si="30"/>
        <v>-6.4128849999998305</v>
      </c>
      <c r="M167" s="1200">
        <f t="shared" si="33"/>
        <v>-5.9179245827131587E-3</v>
      </c>
      <c r="N167" s="1201"/>
      <c r="O167" s="713">
        <f t="shared" si="34"/>
        <v>11.525163273146518</v>
      </c>
      <c r="P167" s="1060" t="s">
        <v>754</v>
      </c>
      <c r="Q167" s="707" t="s">
        <v>997</v>
      </c>
    </row>
    <row r="168" spans="1:22" s="185" customFormat="1" ht="29" hidden="1" outlineLevel="1" x14ac:dyDescent="0.35">
      <c r="A168" s="1192">
        <f>IF(B168&lt;&gt;0,SUBTOTAL(3,$B$151:B168),"")</f>
        <v>18</v>
      </c>
      <c r="B168" s="1192" t="s">
        <v>963</v>
      </c>
      <c r="C168" s="1193" t="s">
        <v>964</v>
      </c>
      <c r="D168" s="1193" t="s">
        <v>52</v>
      </c>
      <c r="E168" s="1194" t="s">
        <v>51</v>
      </c>
      <c r="F168" s="1195" t="s">
        <v>265</v>
      </c>
      <c r="G168" s="1196">
        <f>SUMIFS('06. BC BH THEO CUSTOMER-USD'!CY:CY,'06. BC BH THEO CUSTOMER-USD'!H:H,'06.1. BC bán lỗ'!D168,'06. BC BH THEO CUSTOMER-USD'!D:D,'06.1. BC bán lỗ'!B168)</f>
        <v>1.375</v>
      </c>
      <c r="H168" s="1197">
        <f>SUMIFS('01. KE30'!X:X,'01. KE30'!C:C,'06.1. BC bán lỗ'!B168,'01. KE30'!F:F,'06.1. BC bán lỗ'!D168,'01. KE30'!A:A,7)/SUMIFS('01. KE30'!I:I,'01. KE30'!C:C,'06.1. BC bán lỗ'!B168,'01. KE30'!F:F,'06.1. BC bán lỗ'!D168,'01. KE30'!A:A,7)*1000</f>
        <v>691.50979638878221</v>
      </c>
      <c r="I168" s="1197">
        <f>_xlfn.XLOOKUP('06.1. BC bán lỗ'!D168,'06. BC BH THEO CUSTOMER-USD'!H:H,'06. BC BH THEO CUSTOMER-USD'!AU:AU)</f>
        <v>950</v>
      </c>
      <c r="J168" s="1197">
        <f>SUMIFS('06. BC BH THEO CUSTOMER-USD'!CK:CK,'06. BC BH THEO CUSTOMER-USD'!H:H,'06.1. BC bán lỗ'!D168,'06. BC BH THEO CUSTOMER-USD'!D:D,'06.1. BC bán lỗ'!B168)</f>
        <v>823.97295428351902</v>
      </c>
      <c r="K168" s="1198">
        <f t="shared" si="29"/>
        <v>24.750000000000004</v>
      </c>
      <c r="L168" s="1199">
        <f t="shared" si="30"/>
        <v>-4.7410219999999983</v>
      </c>
      <c r="M168" s="1200">
        <f t="shared" si="33"/>
        <v>-0.19155644444444433</v>
      </c>
      <c r="N168" s="1202"/>
      <c r="O168" s="713">
        <f t="shared" si="34"/>
        <v>-258.49020361121779</v>
      </c>
      <c r="P168" s="1060" t="s">
        <v>982</v>
      </c>
      <c r="Q168" s="707"/>
    </row>
    <row r="169" spans="1:22" s="185" customFormat="1" hidden="1" outlineLevel="1" x14ac:dyDescent="0.35">
      <c r="A169" s="1192">
        <f>IF(B169&lt;&gt;0,SUBTOTAL(3,$B$151:B169),"")</f>
        <v>19</v>
      </c>
      <c r="B169" s="1192" t="s">
        <v>7</v>
      </c>
      <c r="C169" s="1193" t="s">
        <v>6</v>
      </c>
      <c r="D169" s="1193" t="s">
        <v>9</v>
      </c>
      <c r="E169" s="1194" t="s">
        <v>8</v>
      </c>
      <c r="F169" s="1195" t="s">
        <v>23</v>
      </c>
      <c r="G169" s="1196">
        <f>SUMIFS('06. BC BH THEO CUSTOMER-USD'!CY:CY,'06. BC BH THEO CUSTOMER-USD'!H:H,'06.1. BC bán lỗ'!D169,'06. BC BH THEO CUSTOMER-USD'!D:D,'06.1. BC bán lỗ'!B169)</f>
        <v>12</v>
      </c>
      <c r="H169" s="1197">
        <f>SUMIFS('01. KE30'!X:X,'01. KE30'!C:C,'06.1. BC bán lỗ'!B169,'01. KE30'!F:F,'06.1. BC bán lỗ'!D169,'01. KE30'!A:A,7)/SUMIFS('01. KE30'!I:I,'01. KE30'!C:C,'06.1. BC bán lỗ'!B169,'01. KE30'!F:F,'06.1. BC bán lỗ'!D169,'01. KE30'!A:A,7)*1000</f>
        <v>1050.0267719938531</v>
      </c>
      <c r="I169" s="1197">
        <f>_xlfn.XLOOKUP('06.1. BC bán lỗ'!D169,'06. BC BH THEO CUSTOMER-USD'!H:H,'06. BC BH THEO CUSTOMER-USD'!AU:AU)</f>
        <v>790</v>
      </c>
      <c r="J169" s="1197">
        <f>SUMIFS('06. BC BH THEO CUSTOMER-USD'!CK:CK,'06. BC BH THEO CUSTOMER-USD'!H:H,'06.1. BC bán lỗ'!D169,'06. BC BH THEO CUSTOMER-USD'!D:D,'06.1. BC bán lỗ'!B169)</f>
        <v>1059.7878665642208</v>
      </c>
      <c r="K169" s="1198">
        <f t="shared" si="29"/>
        <v>327.98636249999998</v>
      </c>
      <c r="L169" s="1199">
        <f t="shared" si="30"/>
        <v>-3.0489755000000649</v>
      </c>
      <c r="M169" s="1200">
        <f t="shared" ref="M169" si="37">L169/K169</f>
        <v>-9.29604352071213E-3</v>
      </c>
      <c r="N169" s="1201"/>
      <c r="O169" s="713">
        <f>H169-I169</f>
        <v>260.02677199385312</v>
      </c>
      <c r="P169" s="1060" t="s">
        <v>754</v>
      </c>
      <c r="Q169" s="714" t="s">
        <v>999</v>
      </c>
    </row>
    <row r="170" spans="1:22" s="185" customFormat="1" ht="24" hidden="1" customHeight="1" outlineLevel="1" x14ac:dyDescent="0.35">
      <c r="A170" s="1192">
        <f>IF(B170&lt;&gt;0,SUBTOTAL(3,$B$151:B170),"")</f>
        <v>20</v>
      </c>
      <c r="B170" s="1192" t="s">
        <v>961</v>
      </c>
      <c r="C170" s="1193" t="s">
        <v>962</v>
      </c>
      <c r="D170" s="1193" t="s">
        <v>231</v>
      </c>
      <c r="E170" s="1194" t="s">
        <v>232</v>
      </c>
      <c r="F170" s="1195" t="s">
        <v>23</v>
      </c>
      <c r="G170" s="1196">
        <f>SUMIFS('06. BC BH THEO CUSTOMER-USD'!CY:CY,'06. BC BH THEO CUSTOMER-USD'!H:H,'06.1. BC bán lỗ'!D170,'06. BC BH THEO CUSTOMER-USD'!D:D,'06.1. BC bán lỗ'!B170)</f>
        <v>0.1</v>
      </c>
      <c r="H170" s="1197">
        <f>SUMIFS('01. KE30'!X:X,'01. KE30'!C:C,'06.1. BC bán lỗ'!B170,'01. KE30'!F:F,'06.1. BC bán lỗ'!D170,'01. KE30'!A:A,7)/SUMIFS('01. KE30'!I:I,'01. KE30'!C:C,'06.1. BC bán lỗ'!B170,'01. KE30'!F:F,'06.1. BC bán lỗ'!D170,'01. KE30'!A:A,7)*1000</f>
        <v>806.76142912024579</v>
      </c>
      <c r="I170" s="1197">
        <f>_xlfn.XLOOKUP('06.1. BC bán lỗ'!D170,'06. BC BH THEO CUSTOMER-USD'!H:H,'06. BC BH THEO CUSTOMER-USD'!AU:AU)</f>
        <v>790</v>
      </c>
      <c r="J170" s="1197">
        <f>SUMIFS('06. BC BH THEO CUSTOMER-USD'!CK:CK,'06. BC BH THEO CUSTOMER-USD'!H:H,'06.1. BC bán lỗ'!D170,'06. BC BH THEO CUSTOMER-USD'!D:D,'06.1. BC bán lỗ'!B170)</f>
        <v>1387.7322320399539</v>
      </c>
      <c r="K170" s="1198">
        <f t="shared" si="29"/>
        <v>2.1</v>
      </c>
      <c r="L170" s="1199">
        <f t="shared" si="30"/>
        <v>-1.5122670000000005</v>
      </c>
      <c r="M170" s="1200">
        <f t="shared" ref="M170" si="38">L170/K170</f>
        <v>-0.72012714285714308</v>
      </c>
      <c r="N170" s="1201"/>
      <c r="O170" s="713">
        <f>H170-I170</f>
        <v>16.761429120245793</v>
      </c>
      <c r="P170" s="1060" t="s">
        <v>754</v>
      </c>
      <c r="Q170" s="714" t="s">
        <v>998</v>
      </c>
    </row>
    <row r="171" spans="1:22" s="185" customFormat="1" hidden="1" outlineLevel="1" x14ac:dyDescent="0.35">
      <c r="A171" s="1192">
        <f>IF(B171&lt;&gt;0,SUBTOTAL(3,$B$151:B171),"")</f>
        <v>21</v>
      </c>
      <c r="B171" s="1192" t="s">
        <v>637</v>
      </c>
      <c r="C171" s="1193" t="s">
        <v>638</v>
      </c>
      <c r="D171" s="1193" t="s">
        <v>216</v>
      </c>
      <c r="E171" s="1194" t="s">
        <v>217</v>
      </c>
      <c r="F171" s="1195" t="s">
        <v>266</v>
      </c>
      <c r="G171" s="1196">
        <f>SUMIFS('06. BC BH THEO CUSTOMER-USD'!CY:CY,'06. BC BH THEO CUSTOMER-USD'!H:H,'06.1. BC bán lỗ'!D171,'06. BC BH THEO CUSTOMER-USD'!D:D,'06.1. BC bán lỗ'!B171)</f>
        <v>0.3</v>
      </c>
      <c r="H171" s="1197">
        <f>SUMIFS('01. KE30'!X:X,'01. KE30'!C:C,'06.1. BC bán lỗ'!B171,'01. KE30'!F:F,'06.1. BC bán lỗ'!D171,'01. KE30'!A:A,7)/SUMIFS('01. KE30'!I:I,'01. KE30'!C:C,'06.1. BC bán lỗ'!B171,'01. KE30'!F:F,'06.1. BC bán lỗ'!D171,'01. KE30'!A:A,7)*1000</f>
        <v>586.92969650403381</v>
      </c>
      <c r="I171" s="1197">
        <f>_xlfn.XLOOKUP('06.1. BC bán lỗ'!D171,'06. BC BH THEO CUSTOMER-USD'!H:H,'06. BC BH THEO CUSTOMER-USD'!AU:AU)</f>
        <v>780</v>
      </c>
      <c r="J171" s="1197">
        <f>SUMIFS('06. BC BH THEO CUSTOMER-USD'!CK:CK,'06. BC BH THEO CUSTOMER-USD'!H:H,'06.1. BC bán lỗ'!D171,'06. BC BH THEO CUSTOMER-USD'!D:D,'06.1. BC bán lỗ'!B171)</f>
        <v>716.58867972851851</v>
      </c>
      <c r="K171" s="1198">
        <f>SUMIFS('06. BC BH THEO CUSTOMER-USD'!DM:DM,'06. BC BH THEO CUSTOMER-USD'!H:H,'06.1. BC bán lỗ'!D171,'06. BC BH THEO CUSTOMER-USD'!D:D,'06.1. BC bán lỗ'!B171)</f>
        <v>176.07890895121014</v>
      </c>
      <c r="L171" s="1199">
        <f t="shared" si="30"/>
        <v>-1.0125070000000009</v>
      </c>
      <c r="M171" s="1200">
        <f t="shared" si="33"/>
        <v>-5.7503025548650884E-3</v>
      </c>
      <c r="N171" s="1203"/>
      <c r="O171" s="713">
        <f t="shared" si="34"/>
        <v>-193.07030349596619</v>
      </c>
      <c r="P171" s="1060" t="s">
        <v>983</v>
      </c>
      <c r="Q171" s="707"/>
    </row>
    <row r="172" spans="1:22" outlineLevel="1" x14ac:dyDescent="0.35">
      <c r="A172" s="356"/>
      <c r="B172" s="357"/>
      <c r="C172" s="357"/>
      <c r="D172" s="357"/>
      <c r="E172" s="358" t="s">
        <v>436</v>
      </c>
      <c r="F172" s="358"/>
      <c r="G172" s="385">
        <f>SUBTOTAL(9,G151:G171)</f>
        <v>733.32500000000005</v>
      </c>
      <c r="H172" s="449"/>
      <c r="I172" s="449"/>
      <c r="J172" s="449"/>
      <c r="K172" s="385">
        <f>SUBTOTAL(9,K151:K171)</f>
        <v>13708.35617395121</v>
      </c>
      <c r="L172" s="1171">
        <f>SUBTOTAL(9,L151:L171)</f>
        <v>-5547.7360390000013</v>
      </c>
      <c r="M172" s="396">
        <f>L172/K172</f>
        <v>-0.40469739541360028</v>
      </c>
      <c r="N172" s="719"/>
      <c r="O172" s="699"/>
    </row>
    <row r="173" spans="1:22" outlineLevel="1" x14ac:dyDescent="0.35">
      <c r="I173" s="343"/>
      <c r="Q173" s="430"/>
      <c r="R173" s="430"/>
      <c r="S173" s="430"/>
      <c r="T173" s="721" t="s">
        <v>700</v>
      </c>
      <c r="U173" s="721" t="s">
        <v>701</v>
      </c>
      <c r="V173" s="722">
        <v>17000</v>
      </c>
    </row>
    <row r="176" spans="1:22" ht="18.5" x14ac:dyDescent="0.45">
      <c r="B176" s="362" t="s">
        <v>437</v>
      </c>
      <c r="C176" s="363">
        <v>8</v>
      </c>
    </row>
    <row r="177" spans="1:22" outlineLevel="1" x14ac:dyDescent="0.35">
      <c r="I177" s="259"/>
      <c r="K177" s="343"/>
      <c r="L177" s="389" t="s">
        <v>438</v>
      </c>
      <c r="M177" s="390">
        <f>HLOOKUP(C176,'02. Tỷ giá'!$B$4:$M$5,2,0)</f>
        <v>26180</v>
      </c>
      <c r="Q177" s="430"/>
      <c r="R177" s="430"/>
      <c r="S177" s="430"/>
      <c r="T177" t="s">
        <v>704</v>
      </c>
    </row>
    <row r="178" spans="1:22" outlineLevel="1" x14ac:dyDescent="0.35">
      <c r="I178" s="343"/>
      <c r="Q178" s="430"/>
      <c r="R178" s="430"/>
      <c r="S178" s="430"/>
      <c r="T178" s="721" t="s">
        <v>700</v>
      </c>
      <c r="U178" s="721" t="s">
        <v>701</v>
      </c>
      <c r="V178" s="722">
        <v>17000</v>
      </c>
    </row>
    <row r="179" spans="1:22" s="477" customFormat="1" ht="41" customHeight="1" outlineLevel="1" x14ac:dyDescent="0.35">
      <c r="A179" s="351" t="s">
        <v>174</v>
      </c>
      <c r="B179" s="351" t="s">
        <v>564</v>
      </c>
      <c r="C179" s="351" t="s">
        <v>481</v>
      </c>
      <c r="D179" s="351" t="s">
        <v>422</v>
      </c>
      <c r="E179" s="351" t="s">
        <v>423</v>
      </c>
      <c r="F179" s="351" t="s">
        <v>411</v>
      </c>
      <c r="G179" s="351" t="s">
        <v>424</v>
      </c>
      <c r="H179" s="351" t="s">
        <v>482</v>
      </c>
      <c r="I179" s="351" t="s">
        <v>483</v>
      </c>
      <c r="J179" s="351" t="s">
        <v>484</v>
      </c>
      <c r="K179" s="351" t="s">
        <v>426</v>
      </c>
      <c r="L179" s="351" t="s">
        <v>428</v>
      </c>
      <c r="M179" s="351" t="s">
        <v>425</v>
      </c>
      <c r="N179" s="351" t="s">
        <v>705</v>
      </c>
      <c r="P179" s="404" t="s">
        <v>566</v>
      </c>
      <c r="Q179" s="404" t="s">
        <v>567</v>
      </c>
      <c r="S179" s="430"/>
      <c r="T179" s="721" t="s">
        <v>702</v>
      </c>
      <c r="U179" s="721" t="s">
        <v>703</v>
      </c>
      <c r="V179" s="722">
        <v>17000</v>
      </c>
    </row>
    <row r="180" spans="1:22" s="185" customFormat="1" ht="34" customHeight="1" outlineLevel="1" x14ac:dyDescent="0.35">
      <c r="A180" s="505">
        <f>SUBTOTAL(3,$B$180:B180)</f>
        <v>1</v>
      </c>
      <c r="B180" s="505" t="s">
        <v>959</v>
      </c>
      <c r="C180" s="526" t="s">
        <v>976</v>
      </c>
      <c r="D180" s="526" t="s">
        <v>87</v>
      </c>
      <c r="E180" s="707" t="s">
        <v>86</v>
      </c>
      <c r="F180" s="708" t="s">
        <v>95</v>
      </c>
      <c r="G180" s="717">
        <f>SUMIFS('06. BC BH THEO CUSTOMER-USD'!CZ:CZ,'06. BC BH THEO CUSTOMER-USD'!H:H,'06.1. BC bán lỗ'!D180,'06. BC BH THEO CUSTOMER-USD'!D:D,'06.1. BC bán lỗ'!B180)</f>
        <v>259.35000000000002</v>
      </c>
      <c r="H180" s="709">
        <f>SUMIFS('01. KE30'!X:X,'01. KE30'!C:C,'06.1. BC bán lỗ'!B180,'01. KE30'!F:F,'06.1. BC bán lỗ'!D180,'01. KE30'!A:A,8)/SUMIFS('01. KE30'!I:I,'01. KE30'!C:C,'06.1. BC bán lỗ'!B180,'01. KE30'!F:F,'06.1. BC bán lỗ'!D180,'01. KE30'!A:A,8)*1000</f>
        <v>679.90832696715051</v>
      </c>
      <c r="I180" s="709">
        <f>_xlfn.XLOOKUP('06.1. BC bán lỗ'!D180,'06. BC BH THEO CUSTOMER-USD'!H:H,'06. BC BH THEO CUSTOMER-USD'!AV:AV)</f>
        <v>780</v>
      </c>
      <c r="J180" s="709">
        <f>SUMIFS('06. BC BH THEO CUSTOMER-USD'!CL:CL,'06. BC BH THEO CUSTOMER-USD'!H:H,'06.1. BC bán lỗ'!D180,'06. BC BH THEO CUSTOMER-USD'!D:D,'06.1. BC bán lỗ'!B180)</f>
        <v>1074.8428266411458</v>
      </c>
      <c r="K180" s="710">
        <f>G180*H180*$M$177/10^6</f>
        <v>4616.4300000000012</v>
      </c>
      <c r="L180" s="1170">
        <f>G180*(H180-J180)*$M$177/10^6</f>
        <v>-2681.5195519999988</v>
      </c>
      <c r="M180" s="712">
        <f t="shared" ref="M180:M200" si="39">L180/K180</f>
        <v>-0.58086433716096597</v>
      </c>
      <c r="N180" s="716" t="s">
        <v>1062</v>
      </c>
      <c r="O180" s="713">
        <f t="shared" ref="O180:O200" si="40">H180-I180</f>
        <v>-100.09167303284949</v>
      </c>
      <c r="P180" s="1060" t="s">
        <v>1042</v>
      </c>
      <c r="Q180" s="714" t="s">
        <v>1058</v>
      </c>
    </row>
    <row r="181" spans="1:22" s="185" customFormat="1" ht="34" customHeight="1" outlineLevel="1" x14ac:dyDescent="0.35">
      <c r="A181" s="505">
        <f>SUBTOTAL(3,$B$180:B181)</f>
        <v>2</v>
      </c>
      <c r="B181" s="505" t="s">
        <v>637</v>
      </c>
      <c r="C181" s="526" t="s">
        <v>638</v>
      </c>
      <c r="D181" s="526" t="s">
        <v>210</v>
      </c>
      <c r="E181" s="707" t="s">
        <v>211</v>
      </c>
      <c r="F181" s="708" t="s">
        <v>266</v>
      </c>
      <c r="G181" s="726">
        <f>SUMIFS('06. BC BH THEO CUSTOMER-USD'!CZ:CZ,'06. BC BH THEO CUSTOMER-USD'!H:H,'06.1. BC bán lỗ'!D181,'06. BC BH THEO CUSTOMER-USD'!D:D,'06.1. BC bán lỗ'!B181)</f>
        <v>37.125</v>
      </c>
      <c r="H181" s="727">
        <f>SUMIFS('01. KE30'!X:X,'01. KE30'!C:C,'06.1. BC bán lỗ'!B181,'01. KE30'!F:F,'06.1. BC bán lỗ'!D181,'01. KE30'!A:A,8)/SUMIFS('01. KE30'!I:I,'01. KE30'!C:C,'06.1. BC bán lỗ'!B181,'01. KE30'!F:F,'06.1. BC bán lỗ'!D181,'01. KE30'!A:A,8)*1000</f>
        <v>707.52655765703901</v>
      </c>
      <c r="I181" s="727">
        <f>_xlfn.XLOOKUP('06.1. BC bán lỗ'!D181,'06. BC BH THEO CUSTOMER-USD'!H:H,'06. BC BH THEO CUSTOMER-USD'!AV:AV)</f>
        <v>760</v>
      </c>
      <c r="J181" s="727">
        <f>SUMIFS('06. BC BH THEO CUSTOMER-USD'!CL:CL,'06. BC BH THEO CUSTOMER-USD'!H:H,'06.1. BC bán lỗ'!D181,'06. BC BH THEO CUSTOMER-USD'!D:D,'06.1. BC bán lỗ'!B181)</f>
        <v>1493.0734829836433</v>
      </c>
      <c r="K181" s="710">
        <f t="shared" ref="K181:K201" si="41">G181*H181*$M$177/10^6</f>
        <v>687.66805600000009</v>
      </c>
      <c r="L181" s="1170">
        <f t="shared" ref="L181:L201" si="42">G181*(H181-J181)*$M$177/10^6</f>
        <v>-763.49858699999982</v>
      </c>
      <c r="M181" s="712">
        <f t="shared" ref="M181:M187" si="43">L181/K181</f>
        <v>-1.1102719987330627</v>
      </c>
      <c r="N181" s="714" t="s">
        <v>736</v>
      </c>
      <c r="O181" s="713">
        <f t="shared" ref="O181:O187" si="44">H181-I181</f>
        <v>-52.473442342960993</v>
      </c>
      <c r="P181" s="1060" t="s">
        <v>1039</v>
      </c>
      <c r="Q181" s="714" t="s">
        <v>1059</v>
      </c>
    </row>
    <row r="182" spans="1:22" s="185" customFormat="1" ht="34" customHeight="1" outlineLevel="1" x14ac:dyDescent="0.35">
      <c r="A182" s="505">
        <f>SUBTOTAL(3,$B$180:B182)</f>
        <v>3</v>
      </c>
      <c r="B182" s="505" t="s">
        <v>899</v>
      </c>
      <c r="C182" s="526" t="s">
        <v>900</v>
      </c>
      <c r="D182" s="526" t="s">
        <v>87</v>
      </c>
      <c r="E182" s="707" t="s">
        <v>86</v>
      </c>
      <c r="F182" s="708" t="s">
        <v>95</v>
      </c>
      <c r="G182" s="726">
        <f>SUMIFS('06. BC BH THEO CUSTOMER-USD'!CZ:CZ,'06. BC BH THEO CUSTOMER-USD'!H:H,'06.1. BC bán lỗ'!D182,'06. BC BH THEO CUSTOMER-USD'!D:D,'06.1. BC bán lỗ'!B182)</f>
        <v>51.5</v>
      </c>
      <c r="H182" s="727">
        <f>SUMIFS('01. KE30'!X:X,'01. KE30'!C:C,'06.1. BC bán lỗ'!B182,'01. KE30'!F:F,'06.1. BC bán lỗ'!D182,'01. KE30'!A:A,8)/SUMIFS('01. KE30'!I:I,'01. KE30'!C:C,'06.1. BC bán lỗ'!B182,'01. KE30'!F:F,'06.1. BC bán lỗ'!D182,'01. KE30'!A:A,8)*1000</f>
        <v>649.35064935064918</v>
      </c>
      <c r="I182" s="727">
        <f>_xlfn.XLOOKUP('06.1. BC bán lỗ'!D182,'06. BC BH THEO CUSTOMER-USD'!H:H,'06. BC BH THEO CUSTOMER-USD'!AV:AV)</f>
        <v>780</v>
      </c>
      <c r="J182" s="727">
        <f>SUMIFS('06. BC BH THEO CUSTOMER-USD'!CL:CL,'06. BC BH THEO CUSTOMER-USD'!H:H,'06.1. BC bán lỗ'!D182,'06. BC BH THEO CUSTOMER-USD'!D:D,'06.1. BC bán lỗ'!B182)</f>
        <v>1074.8428274752089</v>
      </c>
      <c r="K182" s="710">
        <f t="shared" si="41"/>
        <v>875.49999999999977</v>
      </c>
      <c r="L182" s="1170">
        <f t="shared" si="42"/>
        <v>-573.67833900000016</v>
      </c>
      <c r="M182" s="712">
        <f t="shared" si="43"/>
        <v>-0.65525795431182221</v>
      </c>
      <c r="N182" s="716" t="s">
        <v>1062</v>
      </c>
      <c r="O182" s="713">
        <f t="shared" si="44"/>
        <v>-130.64935064935082</v>
      </c>
      <c r="P182" s="1060" t="s">
        <v>1043</v>
      </c>
      <c r="Q182" s="714" t="s">
        <v>1058</v>
      </c>
    </row>
    <row r="183" spans="1:22" s="185" customFormat="1" ht="34" customHeight="1" outlineLevel="1" x14ac:dyDescent="0.35">
      <c r="A183" s="505">
        <f>SUBTOTAL(3,$B$180:B183)</f>
        <v>4</v>
      </c>
      <c r="B183" s="505" t="s">
        <v>637</v>
      </c>
      <c r="C183" s="526" t="s">
        <v>638</v>
      </c>
      <c r="D183" s="526" t="s">
        <v>204</v>
      </c>
      <c r="E183" s="707" t="s">
        <v>205</v>
      </c>
      <c r="F183" s="708" t="s">
        <v>266</v>
      </c>
      <c r="G183" s="717">
        <f>SUMIFS('06. BC BH THEO CUSTOMER-USD'!CZ:CZ,'06. BC BH THEO CUSTOMER-USD'!H:H,'06.1. BC bán lỗ'!D183,'06. BC BH THEO CUSTOMER-USD'!D:D,'06.1. BC bán lỗ'!B183)</f>
        <v>22</v>
      </c>
      <c r="H183" s="709">
        <f>SUMIFS('01. KE30'!X:X,'01. KE30'!C:C,'06.1. BC bán lỗ'!B183,'01. KE30'!F:F,'06.1. BC bán lỗ'!D183,'01. KE30'!A:A,8)/SUMIFS('01. KE30'!I:I,'01. KE30'!C:C,'06.1. BC bán lỗ'!B183,'01. KE30'!F:F,'06.1. BC bán lỗ'!D183,'01. KE30'!A:A,8)*1000</f>
        <v>689.66981040350015</v>
      </c>
      <c r="I183" s="709">
        <f>_xlfn.XLOOKUP('06.1. BC bán lỗ'!D183,'06. BC BH THEO CUSTOMER-USD'!H:H,'06. BC BH THEO CUSTOMER-USD'!AV:AV)</f>
        <v>760</v>
      </c>
      <c r="J183" s="709">
        <f>SUMIFS('06. BC BH THEO CUSTOMER-USD'!CL:CL,'06. BC BH THEO CUSTOMER-USD'!H:H,'06.1. BC bán lỗ'!D183,'06. BC BH THEO CUSTOMER-USD'!D:D,'06.1. BC bán lỗ'!B183)</f>
        <v>1063.3400166678241</v>
      </c>
      <c r="K183" s="710">
        <f t="shared" si="41"/>
        <v>397.22222399999993</v>
      </c>
      <c r="L183" s="1170">
        <f t="shared" si="42"/>
        <v>-215.21909200000005</v>
      </c>
      <c r="M183" s="712">
        <f t="shared" si="43"/>
        <v>-0.54181029911357648</v>
      </c>
      <c r="N183" s="714" t="s">
        <v>736</v>
      </c>
      <c r="O183" s="713">
        <f t="shared" si="44"/>
        <v>-70.330189596499849</v>
      </c>
      <c r="P183" s="1060" t="s">
        <v>1039</v>
      </c>
      <c r="Q183" s="714" t="s">
        <v>796</v>
      </c>
    </row>
    <row r="184" spans="1:22" s="185" customFormat="1" ht="34" customHeight="1" outlineLevel="1" x14ac:dyDescent="0.35">
      <c r="A184" s="505">
        <f>SUBTOTAL(3,$B$180:B184)</f>
        <v>5</v>
      </c>
      <c r="B184" s="505" t="s">
        <v>30</v>
      </c>
      <c r="C184" s="526" t="s">
        <v>29</v>
      </c>
      <c r="D184" s="526" t="s">
        <v>208</v>
      </c>
      <c r="E184" s="707" t="s">
        <v>209</v>
      </c>
      <c r="F184" s="708" t="s">
        <v>266</v>
      </c>
      <c r="G184" s="726">
        <f>SUMIFS('06. BC BH THEO CUSTOMER-USD'!CZ:CZ,'06. BC BH THEO CUSTOMER-USD'!H:H,'06.1. BC bán lỗ'!D184,'06. BC BH THEO CUSTOMER-USD'!D:D,'06.1. BC bán lỗ'!B184)</f>
        <v>16.5</v>
      </c>
      <c r="H184" s="727">
        <f>SUMIFS('01. KE30'!X:X,'01. KE30'!C:C,'06.1. BC bán lỗ'!B184,'01. KE30'!F:F,'06.1. BC bán lỗ'!D184,'01. KE30'!A:A,8)/SUMIFS('01. KE30'!I:I,'01. KE30'!C:C,'06.1. BC bán lỗ'!B184,'01. KE30'!F:F,'06.1. BC bán lỗ'!D184,'01. KE30'!A:A,8)*1000</f>
        <v>763.94194041252877</v>
      </c>
      <c r="I184" s="727">
        <f>_xlfn.XLOOKUP('06.1. BC bán lỗ'!D184,'06. BC BH THEO CUSTOMER-USD'!H:H,'06. BC BH THEO CUSTOMER-USD'!AV:AV)</f>
        <v>760</v>
      </c>
      <c r="J184" s="727">
        <f>SUMIFS('06. BC BH THEO CUSTOMER-USD'!CL:CL,'06. BC BH THEO CUSTOMER-USD'!H:H,'06.1. BC bán lỗ'!D184,'06. BC BH THEO CUSTOMER-USD'!D:D,'06.1. BC bán lỗ'!B184)</f>
        <v>1106.7892909229809</v>
      </c>
      <c r="K184" s="710">
        <f t="shared" si="41"/>
        <v>330.00000000000006</v>
      </c>
      <c r="L184" s="1170">
        <f t="shared" si="42"/>
        <v>-148.09977000000001</v>
      </c>
      <c r="M184" s="712">
        <f t="shared" si="43"/>
        <v>-0.44878718181818178</v>
      </c>
      <c r="N184" s="714" t="s">
        <v>736</v>
      </c>
      <c r="O184" s="713">
        <f t="shared" si="44"/>
        <v>3.9419404125287656</v>
      </c>
      <c r="P184" s="1060" t="s">
        <v>754</v>
      </c>
      <c r="Q184" s="714" t="s">
        <v>796</v>
      </c>
    </row>
    <row r="185" spans="1:22" s="185" customFormat="1" ht="31" customHeight="1" outlineLevel="1" x14ac:dyDescent="0.35">
      <c r="A185" s="505">
        <f>SUBTOTAL(3,$B$180:B185)</f>
        <v>6</v>
      </c>
      <c r="B185" s="505" t="s">
        <v>21</v>
      </c>
      <c r="C185" s="526" t="s">
        <v>20</v>
      </c>
      <c r="D185" s="526" t="s">
        <v>538</v>
      </c>
      <c r="E185" s="707" t="s">
        <v>539</v>
      </c>
      <c r="F185" s="708" t="s">
        <v>23</v>
      </c>
      <c r="G185" s="1235">
        <f>SUMIFS('06. BC BH THEO CUSTOMER-USD'!CZ:CZ,'06. BC BH THEO CUSTOMER-USD'!H:H,'06.1. BC bán lỗ'!D185,'06. BC BH THEO CUSTOMER-USD'!D:D,'06.1. BC bán lỗ'!B185)</f>
        <v>16.5</v>
      </c>
      <c r="H185" s="709">
        <f>SUMIFS('01. KE30'!X:X,'01. KE30'!C:C,'06.1. BC bán lỗ'!B185,'01. KE30'!F:F,'06.1. BC bán lỗ'!D185,'01. KE30'!A:A,8)/SUMIFS('01. KE30'!I:I,'01. KE30'!C:C,'06.1. BC bán lỗ'!B185,'01. KE30'!F:F,'06.1. BC bán lỗ'!D185,'01. KE30'!A:A,8)*1000</f>
        <v>742.72132786999089</v>
      </c>
      <c r="I185" s="709">
        <f>_xlfn.XLOOKUP('06.1. BC bán lỗ'!D185,'06. BC BH THEO CUSTOMER-USD'!H:H,'06. BC BH THEO CUSTOMER-USD'!AV:AV)</f>
        <v>770</v>
      </c>
      <c r="J185" s="709">
        <f>SUMIFS('06. BC BH THEO CUSTOMER-USD'!CL:CL,'06. BC BH THEO CUSTOMER-USD'!H:H,'06.1. BC bán lỗ'!D185,'06. BC BH THEO CUSTOMER-USD'!D:D,'06.1. BC bán lỗ'!B185)</f>
        <v>1078.9918096164085</v>
      </c>
      <c r="K185" s="720">
        <f t="shared" si="41"/>
        <v>320.83333199999993</v>
      </c>
      <c r="L185" s="1236">
        <f t="shared" si="42"/>
        <v>-145.25876000000002</v>
      </c>
      <c r="M185" s="1237">
        <f t="shared" si="43"/>
        <v>-0.45275457850495426</v>
      </c>
      <c r="N185" s="1300" t="s">
        <v>1063</v>
      </c>
      <c r="O185" s="713">
        <f t="shared" si="44"/>
        <v>-27.278672130009113</v>
      </c>
      <c r="P185" s="1060" t="s">
        <v>1040</v>
      </c>
      <c r="Q185" s="714" t="s">
        <v>1060</v>
      </c>
    </row>
    <row r="186" spans="1:22" s="185" customFormat="1" ht="31" customHeight="1" outlineLevel="1" x14ac:dyDescent="0.35">
      <c r="A186" s="505">
        <f>SUBTOTAL(3,$B$180:B186)</f>
        <v>7</v>
      </c>
      <c r="B186" s="505" t="s">
        <v>722</v>
      </c>
      <c r="C186" s="526" t="s">
        <v>723</v>
      </c>
      <c r="D186" s="526" t="s">
        <v>52</v>
      </c>
      <c r="E186" s="707" t="s">
        <v>51</v>
      </c>
      <c r="F186" s="708" t="s">
        <v>265</v>
      </c>
      <c r="G186" s="726">
        <f>SUMIFS('06. BC BH THEO CUSTOMER-USD'!CZ:CZ,'06. BC BH THEO CUSTOMER-USD'!H:H,'06.1. BC bán lỗ'!D186,'06. BC BH THEO CUSTOMER-USD'!D:D,'06.1. BC bán lỗ'!B186)</f>
        <v>23.375</v>
      </c>
      <c r="H186" s="727">
        <f>SUMIFS('01. KE30'!X:X,'01. KE30'!C:C,'06.1. BC bán lỗ'!B186,'01. KE30'!F:F,'06.1. BC bán lỗ'!D186,'01. KE30'!A:A,8)/SUMIFS('01. KE30'!I:I,'01. KE30'!C:C,'06.1. BC bán lỗ'!B186,'01. KE30'!F:F,'06.1. BC bán lỗ'!D186,'01. KE30'!A:A,8)*1000</f>
        <v>601.25060808961405</v>
      </c>
      <c r="I186" s="727">
        <f>_xlfn.XLOOKUP('06.1. BC bán lỗ'!D186,'06. BC BH THEO CUSTOMER-USD'!H:H,'06. BC BH THEO CUSTOMER-USD'!AV:AV)</f>
        <v>930</v>
      </c>
      <c r="J186" s="727">
        <f>SUMIFS('06. BC BH THEO CUSTOMER-USD'!CL:CL,'06. BC BH THEO CUSTOMER-USD'!H:H,'06.1. BC bán lỗ'!D186,'06. BC BH THEO CUSTOMER-USD'!D:D,'06.1. BC bán lỗ'!B186)</f>
        <v>823.03076275721764</v>
      </c>
      <c r="K186" s="710">
        <f t="shared" si="41"/>
        <v>367.939819</v>
      </c>
      <c r="L186" s="1170">
        <f t="shared" si="42"/>
        <v>-135.72002900000004</v>
      </c>
      <c r="M186" s="712">
        <f t="shared" si="43"/>
        <v>-0.36886474904745237</v>
      </c>
      <c r="N186" s="1301"/>
      <c r="O186" s="713">
        <f t="shared" si="44"/>
        <v>-328.74939191038595</v>
      </c>
      <c r="P186" s="1060" t="s">
        <v>981</v>
      </c>
      <c r="Q186" s="714" t="s">
        <v>1061</v>
      </c>
    </row>
    <row r="187" spans="1:22" s="185" customFormat="1" ht="31" customHeight="1" outlineLevel="1" x14ac:dyDescent="0.35">
      <c r="A187" s="505">
        <f>SUBTOTAL(3,$B$180:B187)</f>
        <v>8</v>
      </c>
      <c r="B187" s="505" t="s">
        <v>1013</v>
      </c>
      <c r="C187" s="526" t="s">
        <v>1014</v>
      </c>
      <c r="D187" s="526" t="s">
        <v>52</v>
      </c>
      <c r="E187" s="707" t="s">
        <v>51</v>
      </c>
      <c r="F187" s="708" t="s">
        <v>265</v>
      </c>
      <c r="G187" s="726">
        <f>SUMIFS('06. BC BH THEO CUSTOMER-USD'!CZ:CZ,'06. BC BH THEO CUSTOMER-USD'!H:H,'06.1. BC bán lỗ'!D187,'06. BC BH THEO CUSTOMER-USD'!D:D,'06.1. BC bán lỗ'!B187)</f>
        <v>27</v>
      </c>
      <c r="H187" s="727">
        <f>SUMIFS('01. KE30'!X:X,'01. KE30'!C:C,'06.1. BC bán lỗ'!B187,'01. KE30'!F:F,'06.1. BC bán lỗ'!D187,'01. KE30'!A:A,8)/SUMIFS('01. KE30'!I:I,'01. KE30'!C:C,'06.1. BC bán lỗ'!B187,'01. KE30'!F:F,'06.1. BC bán lỗ'!D187,'01. KE30'!A:A,8)*1000</f>
        <v>645.02161106866993</v>
      </c>
      <c r="I187" s="727">
        <f>_xlfn.XLOOKUP('06.1. BC bán lỗ'!D187,'06. BC BH THEO CUSTOMER-USD'!H:H,'06. BC BH THEO CUSTOMER-USD'!AV:AV)</f>
        <v>930</v>
      </c>
      <c r="J187" s="727">
        <f>SUMIFS('06. BC BH THEO CUSTOMER-USD'!CL:CL,'06. BC BH THEO CUSTOMER-USD'!H:H,'06.1. BC bán lỗ'!D187,'06. BC BH THEO CUSTOMER-USD'!D:D,'06.1. BC bán lỗ'!B187)</f>
        <v>823.03075998075997</v>
      </c>
      <c r="K187" s="710">
        <f t="shared" si="41"/>
        <v>455.93997600000006</v>
      </c>
      <c r="L187" s="1170">
        <f t="shared" si="42"/>
        <v>-125.82754699999998</v>
      </c>
      <c r="M187" s="712">
        <f t="shared" si="43"/>
        <v>-0.27597392995432357</v>
      </c>
      <c r="N187" s="1302"/>
      <c r="O187" s="713">
        <f t="shared" si="44"/>
        <v>-284.97838893133007</v>
      </c>
      <c r="P187" s="714" t="s">
        <v>1034</v>
      </c>
      <c r="Q187" s="714" t="s">
        <v>1061</v>
      </c>
    </row>
    <row r="188" spans="1:22" s="185" customFormat="1" ht="38" customHeight="1" outlineLevel="1" x14ac:dyDescent="0.35">
      <c r="A188" s="505">
        <f>SUBTOTAL(3,$B$180:B188)</f>
        <v>9</v>
      </c>
      <c r="B188" s="505" t="s">
        <v>1005</v>
      </c>
      <c r="C188" s="526" t="s">
        <v>1006</v>
      </c>
      <c r="D188" s="526" t="s">
        <v>87</v>
      </c>
      <c r="E188" s="707" t="s">
        <v>86</v>
      </c>
      <c r="F188" s="708" t="s">
        <v>95</v>
      </c>
      <c r="G188" s="726">
        <f>SUMIFS('06. BC BH THEO CUSTOMER-USD'!CZ:CZ,'06. BC BH THEO CUSTOMER-USD'!H:H,'06.1. BC bán lỗ'!D188,'06. BC BH THEO CUSTOMER-USD'!D:D,'06.1. BC bán lỗ'!B188)</f>
        <v>10.5</v>
      </c>
      <c r="H188" s="727">
        <f>SUMIFS('01. KE30'!X:X,'01. KE30'!C:C,'06.1. BC bán lỗ'!B188,'01. KE30'!F:F,'06.1. BC bán lỗ'!D188,'01. KE30'!A:A,8)/SUMIFS('01. KE30'!I:I,'01. KE30'!C:C,'06.1. BC bán lỗ'!B188,'01. KE30'!F:F,'06.1. BC bán lỗ'!D188,'01. KE30'!A:A,8)*1000</f>
        <v>679.90832696715051</v>
      </c>
      <c r="I188" s="727">
        <f>_xlfn.XLOOKUP('06.1. BC bán lỗ'!D188,'06. BC BH THEO CUSTOMER-USD'!H:H,'06. BC BH THEO CUSTOMER-USD'!AV:AV)</f>
        <v>780</v>
      </c>
      <c r="J188" s="727">
        <f>SUMIFS('06. BC BH THEO CUSTOMER-USD'!CL:CL,'06. BC BH THEO CUSTOMER-USD'!H:H,'06.1. BC bán lỗ'!D188,'06. BC BH THEO CUSTOMER-USD'!D:D,'06.1. BC bán lỗ'!B188)</f>
        <v>1074.842828040307</v>
      </c>
      <c r="K188" s="710">
        <f t="shared" si="41"/>
        <v>186.9</v>
      </c>
      <c r="L188" s="1170">
        <f t="shared" si="42"/>
        <v>-108.563545</v>
      </c>
      <c r="M188" s="712">
        <f t="shared" si="39"/>
        <v>-0.58086433921883363</v>
      </c>
      <c r="N188" s="716" t="s">
        <v>1062</v>
      </c>
      <c r="O188" s="713">
        <f t="shared" si="40"/>
        <v>-100.09167303284949</v>
      </c>
      <c r="P188" s="1060" t="s">
        <v>1042</v>
      </c>
      <c r="Q188" s="714" t="s">
        <v>1058</v>
      </c>
    </row>
    <row r="189" spans="1:22" s="185" customFormat="1" ht="30.5" customHeight="1" outlineLevel="1" x14ac:dyDescent="0.35">
      <c r="A189" s="505">
        <f>SUBTOTAL(3,$B$180:B189)</f>
        <v>10</v>
      </c>
      <c r="B189" s="505" t="s">
        <v>456</v>
      </c>
      <c r="C189" s="526" t="s">
        <v>457</v>
      </c>
      <c r="D189" s="526" t="s">
        <v>39</v>
      </c>
      <c r="E189" s="707" t="s">
        <v>38</v>
      </c>
      <c r="F189" s="708" t="s">
        <v>295</v>
      </c>
      <c r="G189" s="726">
        <f>SUMIFS('06. BC BH THEO CUSTOMER-USD'!CZ:CZ,'06. BC BH THEO CUSTOMER-USD'!H:H,'06.1. BC bán lỗ'!D189,'06. BC BH THEO CUSTOMER-USD'!D:D,'06.1. BC bán lỗ'!B189)</f>
        <v>7.5</v>
      </c>
      <c r="H189" s="727">
        <f>SUMIFS('01. KE30'!X:X,'01. KE30'!C:C,'06.1. BC bán lỗ'!B189,'01. KE30'!F:F,'06.1. BC bán lỗ'!D189,'01. KE30'!A:A,8)/SUMIFS('01. KE30'!I:I,'01. KE30'!C:C,'06.1. BC bán lỗ'!B189,'01. KE30'!F:F,'06.1. BC bán lỗ'!D189,'01. KE30'!A:A,8)*1000</f>
        <v>592.05500381970978</v>
      </c>
      <c r="I189" s="727">
        <f>_xlfn.XLOOKUP('06.1. BC bán lỗ'!D189,'06. BC BH THEO CUSTOMER-USD'!H:H,'06. BC BH THEO CUSTOMER-USD'!AV:AV)</f>
        <v>700</v>
      </c>
      <c r="J189" s="727">
        <f>SUMIFS('06. BC BH THEO CUSTOMER-USD'!CL:CL,'06. BC BH THEO CUSTOMER-USD'!H:H,'06.1. BC bán lỗ'!D189,'06. BC BH THEO CUSTOMER-USD'!D:D,'06.1. BC bán lỗ'!B189)</f>
        <v>1012.7128698752229</v>
      </c>
      <c r="K189" s="710">
        <f t="shared" si="41"/>
        <v>116.25</v>
      </c>
      <c r="L189" s="1170">
        <f t="shared" si="42"/>
        <v>-82.596171999999981</v>
      </c>
      <c r="M189" s="712">
        <f>L189/K189</f>
        <v>-0.71050470537634391</v>
      </c>
      <c r="N189" s="1300" t="s">
        <v>1064</v>
      </c>
      <c r="O189" s="713">
        <f>H189-I189</f>
        <v>-107.94499618029022</v>
      </c>
      <c r="P189" s="714" t="s">
        <v>1036</v>
      </c>
      <c r="Q189" s="714" t="s">
        <v>796</v>
      </c>
    </row>
    <row r="190" spans="1:22" s="185" customFormat="1" ht="30.5" customHeight="1" outlineLevel="1" x14ac:dyDescent="0.35">
      <c r="A190" s="505">
        <f>SUBTOTAL(3,$B$180:B190)</f>
        <v>11</v>
      </c>
      <c r="B190" s="505" t="s">
        <v>519</v>
      </c>
      <c r="C190" s="526" t="s">
        <v>520</v>
      </c>
      <c r="D190" s="526" t="s">
        <v>43</v>
      </c>
      <c r="E190" s="707" t="s">
        <v>42</v>
      </c>
      <c r="F190" s="708" t="s">
        <v>295</v>
      </c>
      <c r="G190" s="1235">
        <f>SUMIFS('06. BC BH THEO CUSTOMER-USD'!CZ:CZ,'06. BC BH THEO CUSTOMER-USD'!H:H,'06.1. BC bán lỗ'!D190,'06. BC BH THEO CUSTOMER-USD'!D:D,'06.1. BC bán lỗ'!B190)</f>
        <v>5.25</v>
      </c>
      <c r="H190" s="709">
        <f>SUMIFS('01. KE30'!X:X,'01. KE30'!C:C,'06.1. BC bán lỗ'!B190,'01. KE30'!F:F,'06.1. BC bán lỗ'!D190,'01. KE30'!A:A,8)/SUMIFS('01. KE30'!I:I,'01. KE30'!C:C,'06.1. BC bán lỗ'!B190,'01. KE30'!F:F,'06.1. BC bán lỗ'!D190,'01. KE30'!A:A,8)*1000</f>
        <v>601.25060205900536</v>
      </c>
      <c r="I190" s="709">
        <f>_xlfn.XLOOKUP('06.1. BC bán lỗ'!D190,'06. BC BH THEO CUSTOMER-USD'!H:H,'06. BC BH THEO CUSTOMER-USD'!AV:AV)</f>
        <v>700</v>
      </c>
      <c r="J190" s="709">
        <f>SUMIFS('06. BC BH THEO CUSTOMER-USD'!CL:CL,'06. BC BH THEO CUSTOMER-USD'!H:H,'06.1. BC bán lỗ'!D190,'06. BC BH THEO CUSTOMER-USD'!D:D,'06.1. BC bán lỗ'!B190)</f>
        <v>965.88302957546648</v>
      </c>
      <c r="K190" s="720">
        <f t="shared" si="41"/>
        <v>82.638888999999992</v>
      </c>
      <c r="L190" s="1236">
        <f t="shared" si="42"/>
        <v>-50.116903999999991</v>
      </c>
      <c r="M190" s="1237">
        <f t="shared" ref="M190" si="45">L190/K190</f>
        <v>-0.60645665262997417</v>
      </c>
      <c r="N190" s="1301"/>
      <c r="O190" s="713">
        <f t="shared" ref="O190" si="46">H190-I190</f>
        <v>-98.749397940994641</v>
      </c>
      <c r="P190" s="714" t="s">
        <v>1038</v>
      </c>
      <c r="Q190" s="714" t="s">
        <v>796</v>
      </c>
    </row>
    <row r="191" spans="1:22" s="185" customFormat="1" ht="30.5" customHeight="1" outlineLevel="1" x14ac:dyDescent="0.35">
      <c r="A191" s="505">
        <f>SUBTOTAL(3,$B$180:B191)</f>
        <v>12</v>
      </c>
      <c r="B191" s="505" t="s">
        <v>637</v>
      </c>
      <c r="C191" s="526" t="s">
        <v>638</v>
      </c>
      <c r="D191" s="526" t="s">
        <v>206</v>
      </c>
      <c r="E191" s="707" t="s">
        <v>207</v>
      </c>
      <c r="F191" s="708" t="s">
        <v>266</v>
      </c>
      <c r="G191" s="726">
        <f>SUMIFS('06. BC BH THEO CUSTOMER-USD'!CZ:CZ,'06. BC BH THEO CUSTOMER-USD'!H:H,'06.1. BC bán lỗ'!D191,'06. BC BH THEO CUSTOMER-USD'!D:D,'06.1. BC bán lỗ'!B191)</f>
        <v>9.625</v>
      </c>
      <c r="H191" s="727">
        <f>SUMIFS('01. KE30'!X:X,'01. KE30'!C:C,'06.1. BC bán lỗ'!B191,'01. KE30'!F:F,'06.1. BC bán lỗ'!D191,'01. KE30'!A:A,8)/SUMIFS('01. KE30'!I:I,'01. KE30'!C:C,'06.1. BC bán lỗ'!B191,'01. KE30'!F:F,'06.1. BC bán lỗ'!D191,'01. KE30'!A:A,8)*1000</f>
        <v>689.66980643497072</v>
      </c>
      <c r="I191" s="727">
        <f>_xlfn.XLOOKUP('06.1. BC bán lỗ'!D191,'06. BC BH THEO CUSTOMER-USD'!H:H,'06. BC BH THEO CUSTOMER-USD'!AV:AV)</f>
        <v>760</v>
      </c>
      <c r="J191" s="727">
        <f>SUMIFS('06. BC BH THEO CUSTOMER-USD'!CL:CL,'06. BC BH THEO CUSTOMER-USD'!H:H,'06.1. BC bán lỗ'!D191,'06. BC BH THEO CUSTOMER-USD'!D:D,'06.1. BC bán lỗ'!B191)</f>
        <v>1052.5812070282659</v>
      </c>
      <c r="K191" s="710">
        <f t="shared" si="41"/>
        <v>173.78472199999999</v>
      </c>
      <c r="L191" s="1170">
        <f t="shared" si="42"/>
        <v>-91.447322</v>
      </c>
      <c r="M191" s="712">
        <f t="shared" ref="M191:M199" si="47">L191/K191</f>
        <v>-0.52621036502852081</v>
      </c>
      <c r="N191" s="1301"/>
      <c r="O191" s="713">
        <f t="shared" ref="O191:O199" si="48">H191-I191</f>
        <v>-70.330193565029276</v>
      </c>
      <c r="P191" s="1060" t="s">
        <v>1039</v>
      </c>
      <c r="Q191" s="714" t="s">
        <v>796</v>
      </c>
    </row>
    <row r="192" spans="1:22" s="185" customFormat="1" ht="30.5" customHeight="1" outlineLevel="1" x14ac:dyDescent="0.35">
      <c r="A192" s="505">
        <f>SUBTOTAL(3,$B$180:B192)</f>
        <v>13</v>
      </c>
      <c r="B192" s="505" t="s">
        <v>637</v>
      </c>
      <c r="C192" s="526" t="s">
        <v>638</v>
      </c>
      <c r="D192" s="526" t="s">
        <v>39</v>
      </c>
      <c r="E192" s="707" t="s">
        <v>38</v>
      </c>
      <c r="F192" s="708" t="s">
        <v>295</v>
      </c>
      <c r="G192" s="1235">
        <f>SUMIFS('06. BC BH THEO CUSTOMER-USD'!CZ:CZ,'06. BC BH THEO CUSTOMER-USD'!H:H,'06.1. BC bán lỗ'!D192,'06. BC BH THEO CUSTOMER-USD'!D:D,'06.1. BC bán lỗ'!B192)</f>
        <v>5.25</v>
      </c>
      <c r="H192" s="709">
        <f>SUMIFS('01. KE30'!X:X,'01. KE30'!C:C,'06.1. BC bán lỗ'!B192,'01. KE30'!F:F,'06.1. BC bán lỗ'!D192,'01. KE30'!A:A,8)/SUMIFS('01. KE30'!I:I,'01. KE30'!C:C,'06.1. BC bán lỗ'!B192,'01. KE30'!F:F,'06.1. BC bán lỗ'!D192,'01. KE30'!A:A,8)*1000</f>
        <v>616.10503110335037</v>
      </c>
      <c r="I192" s="709">
        <f>_xlfn.XLOOKUP('06.1. BC bán lỗ'!D192,'06. BC BH THEO CUSTOMER-USD'!H:H,'06. BC BH THEO CUSTOMER-USD'!AV:AV)</f>
        <v>700</v>
      </c>
      <c r="J192" s="709">
        <f>SUMIFS('06. BC BH THEO CUSTOMER-USD'!CL:CL,'06. BC BH THEO CUSTOMER-USD'!H:H,'06.1. BC bán lỗ'!D192,'06. BC BH THEO CUSTOMER-USD'!D:D,'06.1. BC bán lỗ'!B192)</f>
        <v>1012.7128669649678</v>
      </c>
      <c r="K192" s="720">
        <f t="shared" si="41"/>
        <v>84.680555999999996</v>
      </c>
      <c r="L192" s="1236">
        <f t="shared" si="42"/>
        <v>-54.511764000000007</v>
      </c>
      <c r="M192" s="1237">
        <f t="shared" si="47"/>
        <v>-0.64373412947359498</v>
      </c>
      <c r="N192" s="1301"/>
      <c r="O192" s="713">
        <f t="shared" si="48"/>
        <v>-83.89496889664963</v>
      </c>
      <c r="P192" s="714" t="s">
        <v>1035</v>
      </c>
      <c r="Q192" s="714" t="s">
        <v>796</v>
      </c>
    </row>
    <row r="193" spans="1:22" s="185" customFormat="1" ht="30.5" customHeight="1" outlineLevel="1" x14ac:dyDescent="0.35">
      <c r="A193" s="505">
        <f>SUBTOTAL(3,$B$180:B193)</f>
        <v>14</v>
      </c>
      <c r="B193" s="505" t="s">
        <v>456</v>
      </c>
      <c r="C193" s="526" t="s">
        <v>457</v>
      </c>
      <c r="D193" s="526" t="s">
        <v>37</v>
      </c>
      <c r="E193" s="707" t="s">
        <v>36</v>
      </c>
      <c r="F193" s="708" t="s">
        <v>295</v>
      </c>
      <c r="G193" s="726">
        <f>SUMIFS('06. BC BH THEO CUSTOMER-USD'!CZ:CZ,'06. BC BH THEO CUSTOMER-USD'!H:H,'06.1. BC bán lỗ'!D193,'06. BC BH THEO CUSTOMER-USD'!D:D,'06.1. BC bán lỗ'!B193)</f>
        <v>23.25</v>
      </c>
      <c r="H193" s="727">
        <f>SUMIFS('01. KE30'!X:X,'01. KE30'!C:C,'06.1. BC bán lỗ'!B193,'01. KE30'!F:F,'06.1. BC bán lỗ'!D193,'01. KE30'!A:A,8)/SUMIFS('01. KE30'!I:I,'01. KE30'!C:C,'06.1. BC bán lỗ'!B193,'01. KE30'!F:F,'06.1. BC bán lỗ'!D193,'01. KE30'!A:A,8)*1000</f>
        <v>592.54786958771774</v>
      </c>
      <c r="I193" s="727">
        <f>_xlfn.XLOOKUP('06.1. BC bán lỗ'!D193,'06. BC BH THEO CUSTOMER-USD'!H:H,'06. BC BH THEO CUSTOMER-USD'!AV:AV)</f>
        <v>700</v>
      </c>
      <c r="J193" s="727">
        <f>SUMIFS('06. BC BH THEO CUSTOMER-USD'!CL:CL,'06. BC BH THEO CUSTOMER-USD'!H:H,'06.1. BC bán lỗ'!D193,'06. BC BH THEO CUSTOMER-USD'!D:D,'06.1. BC bán lỗ'!B193)</f>
        <v>668.93641867304109</v>
      </c>
      <c r="K193" s="710">
        <f t="shared" si="41"/>
        <v>360.67500000000001</v>
      </c>
      <c r="L193" s="1170">
        <f t="shared" si="42"/>
        <v>-46.496564000000042</v>
      </c>
      <c r="M193" s="712">
        <f t="shared" si="47"/>
        <v>-0.12891540583627931</v>
      </c>
      <c r="N193" s="1301"/>
      <c r="O193" s="713">
        <f t="shared" si="48"/>
        <v>-107.45213041228226</v>
      </c>
      <c r="P193" s="714" t="s">
        <v>1036</v>
      </c>
      <c r="Q193" s="714"/>
    </row>
    <row r="194" spans="1:22" s="185" customFormat="1" ht="30.5" customHeight="1" outlineLevel="1" x14ac:dyDescent="0.35">
      <c r="A194" s="505">
        <f>SUBTOTAL(3,$B$180:B194)</f>
        <v>15</v>
      </c>
      <c r="B194" s="505" t="s">
        <v>456</v>
      </c>
      <c r="C194" s="526" t="s">
        <v>457</v>
      </c>
      <c r="D194" s="526" t="s">
        <v>536</v>
      </c>
      <c r="E194" s="707" t="s">
        <v>537</v>
      </c>
      <c r="F194" s="708" t="s">
        <v>295</v>
      </c>
      <c r="G194" s="1235">
        <f>SUMIFS('06. BC BH THEO CUSTOMER-USD'!CZ:CZ,'06. BC BH THEO CUSTOMER-USD'!H:H,'06.1. BC bán lỗ'!D194,'06. BC BH THEO CUSTOMER-USD'!D:D,'06.1. BC bán lỗ'!B194)</f>
        <v>3.7749999999999999</v>
      </c>
      <c r="H194" s="709">
        <f>SUMIFS('01. KE30'!X:X,'01. KE30'!C:C,'06.1. BC bán lỗ'!B194,'01. KE30'!F:F,'06.1. BC bán lỗ'!D194,'01. KE30'!A:A,8)/SUMIFS('01. KE30'!I:I,'01. KE30'!C:C,'06.1. BC bán lỗ'!B194,'01. KE30'!F:F,'06.1. BC bán lỗ'!D194,'01. KE30'!A:A,8)*1000</f>
        <v>572.95645530939657</v>
      </c>
      <c r="I194" s="709">
        <f>_xlfn.XLOOKUP('06.1. BC bán lỗ'!D194,'06. BC BH THEO CUSTOMER-USD'!H:H,'06. BC BH THEO CUSTOMER-USD'!AV:AV)</f>
        <v>700</v>
      </c>
      <c r="J194" s="709">
        <f>SUMIFS('06. BC BH THEO CUSTOMER-USD'!CL:CL,'06. BC BH THEO CUSTOMER-USD'!H:H,'06.1. BC bán lỗ'!D194,'06. BC BH THEO CUSTOMER-USD'!D:D,'06.1. BC bán lỗ'!B194)</f>
        <v>1033.5272059455933</v>
      </c>
      <c r="K194" s="720">
        <f t="shared" si="41"/>
        <v>56.625000000000007</v>
      </c>
      <c r="L194" s="1236">
        <f t="shared" si="42"/>
        <v>-45.517977000000009</v>
      </c>
      <c r="M194" s="1237">
        <f t="shared" si="47"/>
        <v>-0.80384948344370866</v>
      </c>
      <c r="N194" s="1303"/>
      <c r="O194" s="713">
        <f t="shared" si="48"/>
        <v>-127.04354469060343</v>
      </c>
      <c r="P194" s="714" t="s">
        <v>1037</v>
      </c>
      <c r="Q194" s="714" t="s">
        <v>796</v>
      </c>
    </row>
    <row r="195" spans="1:22" s="185" customFormat="1" ht="31.5" customHeight="1" outlineLevel="1" x14ac:dyDescent="0.35">
      <c r="A195" s="505">
        <f>SUBTOTAL(3,$B$180:B195)</f>
        <v>16</v>
      </c>
      <c r="B195" s="505">
        <v>1000</v>
      </c>
      <c r="C195" s="526" t="s">
        <v>29</v>
      </c>
      <c r="D195" s="526" t="s">
        <v>206</v>
      </c>
      <c r="E195" s="707" t="s">
        <v>207</v>
      </c>
      <c r="F195" s="708" t="s">
        <v>266</v>
      </c>
      <c r="G195" s="717">
        <f>SUMIFS('06. BC BH THEO CUSTOMER-USD'!CZ:CZ,'06. BC BH THEO CUSTOMER-USD'!H:H,'06.1. BC bán lỗ'!D195,'06. BC BH THEO CUSTOMER-USD'!D:D,'06.1. BC bán lỗ'!B195)</f>
        <v>5.5</v>
      </c>
      <c r="H195" s="709">
        <f>SUMIFS('01. KE30'!X:X,'01. KE30'!C:C,'06.1. BC bán lỗ'!B195,'01. KE30'!F:F,'06.1. BC bán lỗ'!D195,'01. KE30'!A:A,8)/SUMIFS('01. KE30'!I:I,'01. KE30'!C:C,'06.1. BC bán lỗ'!B195,'01. KE30'!F:F,'06.1. BC bán lỗ'!D195,'01. KE30'!A:A,8)*1000</f>
        <v>763.94194041252877</v>
      </c>
      <c r="I195" s="709">
        <f>_xlfn.XLOOKUP('06.1. BC bán lỗ'!D195,'06. BC BH THEO CUSTOMER-USD'!H:H,'06. BC BH THEO CUSTOMER-USD'!AV:AV)</f>
        <v>760</v>
      </c>
      <c r="J195" s="709">
        <f>SUMIFS('06. BC BH THEO CUSTOMER-USD'!CL:CL,'06. BC BH THEO CUSTOMER-USD'!H:H,'06.1. BC bán lỗ'!D195,'06. BC BH THEO CUSTOMER-USD'!D:D,'06.1. BC bán lỗ'!B195)</f>
        <v>1052.5812070282659</v>
      </c>
      <c r="K195" s="710">
        <f t="shared" si="41"/>
        <v>110.00000000000001</v>
      </c>
      <c r="L195" s="1170">
        <f t="shared" si="42"/>
        <v>-41.561167999999995</v>
      </c>
      <c r="M195" s="712">
        <f t="shared" si="47"/>
        <v>-0.37782879999999991</v>
      </c>
      <c r="N195" s="714" t="s">
        <v>736</v>
      </c>
      <c r="O195" s="713">
        <f t="shared" si="48"/>
        <v>3.9419404125287656</v>
      </c>
      <c r="P195" s="1060" t="s">
        <v>754</v>
      </c>
      <c r="Q195" s="714" t="s">
        <v>796</v>
      </c>
    </row>
    <row r="196" spans="1:22" s="185" customFormat="1" ht="31.5" customHeight="1" outlineLevel="1" x14ac:dyDescent="0.35">
      <c r="A196" s="505">
        <f>SUBTOTAL(3,$B$180:B196)</f>
        <v>17</v>
      </c>
      <c r="B196" s="505" t="s">
        <v>965</v>
      </c>
      <c r="C196" s="526" t="s">
        <v>966</v>
      </c>
      <c r="D196" s="526" t="s">
        <v>536</v>
      </c>
      <c r="E196" s="707" t="s">
        <v>537</v>
      </c>
      <c r="F196" s="708" t="s">
        <v>295</v>
      </c>
      <c r="G196" s="1235">
        <f>SUMIFS('06. BC BH THEO CUSTOMER-USD'!CZ:CZ,'06. BC BH THEO CUSTOMER-USD'!H:H,'06.1. BC bán lỗ'!D196,'06. BC BH THEO CUSTOMER-USD'!D:D,'06.1. BC bán lỗ'!B196)</f>
        <v>3</v>
      </c>
      <c r="H196" s="709">
        <f>SUMIFS('01. KE30'!X:X,'01. KE30'!C:C,'06.1. BC bán lỗ'!B196,'01. KE30'!F:F,'06.1. BC bán lỗ'!D196,'01. KE30'!A:A,8)/SUMIFS('01. KE30'!I:I,'01. KE30'!C:C,'06.1. BC bán lỗ'!B196,'01. KE30'!F:F,'06.1. BC bán lỗ'!D196,'01. KE30'!A:A,8)*1000</f>
        <v>572.95645530939646</v>
      </c>
      <c r="I196" s="709">
        <f>_xlfn.XLOOKUP('06.1. BC bán lỗ'!D196,'06. BC BH THEO CUSTOMER-USD'!H:H,'06. BC BH THEO CUSTOMER-USD'!AV:AV)</f>
        <v>700</v>
      </c>
      <c r="J196" s="709">
        <f>SUMIFS('06. BC BH THEO CUSTOMER-USD'!CL:CL,'06. BC BH THEO CUSTOMER-USD'!H:H,'06.1. BC bán lỗ'!D196,'06. BC BH THEO CUSTOMER-USD'!D:D,'06.1. BC bán lỗ'!B196)</f>
        <v>1033.5271963330788</v>
      </c>
      <c r="K196" s="720">
        <f t="shared" si="41"/>
        <v>45</v>
      </c>
      <c r="L196" s="1236">
        <f t="shared" si="42"/>
        <v>-36.173226000000007</v>
      </c>
      <c r="M196" s="1237">
        <f t="shared" si="47"/>
        <v>-0.80384946666666679</v>
      </c>
      <c r="N196" s="1300" t="s">
        <v>1064</v>
      </c>
      <c r="O196" s="713">
        <f t="shared" si="48"/>
        <v>-127.04354469060354</v>
      </c>
      <c r="P196" s="714" t="s">
        <v>1037</v>
      </c>
      <c r="Q196" s="714" t="s">
        <v>796</v>
      </c>
    </row>
    <row r="197" spans="1:22" s="185" customFormat="1" ht="31.5" customHeight="1" outlineLevel="1" x14ac:dyDescent="0.35">
      <c r="A197" s="505">
        <f>SUBTOTAL(3,$B$180:B197)</f>
        <v>18</v>
      </c>
      <c r="B197" s="505" t="s">
        <v>519</v>
      </c>
      <c r="C197" s="526" t="s">
        <v>520</v>
      </c>
      <c r="D197" s="526" t="s">
        <v>41</v>
      </c>
      <c r="E197" s="707" t="s">
        <v>40</v>
      </c>
      <c r="F197" s="708" t="s">
        <v>295</v>
      </c>
      <c r="G197" s="1235">
        <f>SUMIFS('06. BC BH THEO CUSTOMER-USD'!CZ:CZ,'06. BC BH THEO CUSTOMER-USD'!H:H,'06.1. BC bán lỗ'!D197,'06. BC BH THEO CUSTOMER-USD'!D:D,'06.1. BC bán lỗ'!B197)</f>
        <v>2.25</v>
      </c>
      <c r="H197" s="709">
        <f>SUMIFS('01. KE30'!X:X,'01. KE30'!C:C,'06.1. BC bán lỗ'!B197,'01. KE30'!F:F,'06.1. BC bán lỗ'!D197,'01. KE30'!A:A,8)/SUMIFS('01. KE30'!I:I,'01. KE30'!C:C,'06.1. BC bán lỗ'!B197,'01. KE30'!F:F,'06.1. BC bán lỗ'!D197,'01. KE30'!A:A,8)*1000</f>
        <v>601.25060690943042</v>
      </c>
      <c r="I197" s="709">
        <f>_xlfn.XLOOKUP('06.1. BC bán lỗ'!D197,'06. BC BH THEO CUSTOMER-USD'!H:H,'06. BC BH THEO CUSTOMER-USD'!AV:AV)</f>
        <v>700</v>
      </c>
      <c r="J197" s="709">
        <f>SUMIFS('06. BC BH THEO CUSTOMER-USD'!CL:CL,'06. BC BH THEO CUSTOMER-USD'!H:H,'06.1. BC bán lỗ'!D197,'06. BC BH THEO CUSTOMER-USD'!D:D,'06.1. BC bán lỗ'!B197)</f>
        <v>992.18653764536123</v>
      </c>
      <c r="K197" s="720">
        <f t="shared" si="41"/>
        <v>35.416666999999997</v>
      </c>
      <c r="L197" s="1236">
        <f t="shared" si="42"/>
        <v>-23.028081000000004</v>
      </c>
      <c r="M197" s="1237">
        <f t="shared" si="47"/>
        <v>-0.65020463388042715</v>
      </c>
      <c r="N197" s="1303"/>
      <c r="O197" s="713">
        <f t="shared" si="48"/>
        <v>-98.749393090569583</v>
      </c>
      <c r="P197" s="714" t="s">
        <v>1038</v>
      </c>
      <c r="Q197" s="714" t="s">
        <v>796</v>
      </c>
    </row>
    <row r="198" spans="1:22" s="185" customFormat="1" ht="31.5" hidden="1" customHeight="1" outlineLevel="1" x14ac:dyDescent="0.35">
      <c r="A198" s="505">
        <f>SUBTOTAL(3,$B$180:B198)</f>
        <v>19</v>
      </c>
      <c r="B198" s="505" t="s">
        <v>1011</v>
      </c>
      <c r="C198" s="526" t="s">
        <v>1012</v>
      </c>
      <c r="D198" s="526" t="s">
        <v>110</v>
      </c>
      <c r="E198" s="707" t="s">
        <v>109</v>
      </c>
      <c r="F198" s="708" t="s">
        <v>283</v>
      </c>
      <c r="G198" s="717">
        <f>SUMIFS('06. BC BH THEO CUSTOMER-USD'!CZ:CZ,'06. BC BH THEO CUSTOMER-USD'!H:H,'06.1. BC bán lỗ'!D198,'06. BC BH THEO CUSTOMER-USD'!D:D,'06.1. BC bán lỗ'!B198)</f>
        <v>0.3</v>
      </c>
      <c r="H198" s="709">
        <f>SUMIFS('01. KE30'!X:X,'01. KE30'!C:C,'06.1. BC bán lỗ'!B198,'01. KE30'!F:F,'06.1. BC bán lỗ'!D198,'01. KE30'!A:A,8)/SUMIFS('01. KE30'!I:I,'01. KE30'!C:C,'06.1. BC bán lỗ'!B198,'01. KE30'!F:F,'06.1. BC bán lỗ'!D198,'01. KE30'!A:A,8)*1000</f>
        <v>711.25897631779981</v>
      </c>
      <c r="I198" s="709">
        <f>_xlfn.XLOOKUP('06.1. BC bán lỗ'!D198,'06. BC BH THEO CUSTOMER-USD'!H:H,'06. BC BH THEO CUSTOMER-USD'!AV:AV)</f>
        <v>1220</v>
      </c>
      <c r="J198" s="709">
        <f>SUMIFS('06. BC BH THEO CUSTOMER-USD'!CL:CL,'06. BC BH THEO CUSTOMER-USD'!H:H,'06.1. BC bán lỗ'!D198,'06. BC BH THEO CUSTOMER-USD'!D:D,'06.1. BC bán lỗ'!B198)</f>
        <v>1060.8792971734149</v>
      </c>
      <c r="K198" s="710">
        <f t="shared" si="41"/>
        <v>5.5862280000000002</v>
      </c>
      <c r="L198" s="1170">
        <f t="shared" si="42"/>
        <v>-2.745918000000001</v>
      </c>
      <c r="M198" s="712">
        <f t="shared" si="47"/>
        <v>-0.49155136525039811</v>
      </c>
      <c r="N198" s="716" t="s">
        <v>1041</v>
      </c>
      <c r="O198" s="713">
        <f t="shared" si="48"/>
        <v>-508.74102368220019</v>
      </c>
      <c r="P198" s="1060" t="s">
        <v>1041</v>
      </c>
      <c r="Q198" s="714"/>
    </row>
    <row r="199" spans="1:22" s="185" customFormat="1" ht="31.5" hidden="1" customHeight="1" outlineLevel="1" x14ac:dyDescent="0.35">
      <c r="A199" s="505">
        <f>SUBTOTAL(3,$B$180:B199)</f>
        <v>20</v>
      </c>
      <c r="B199" s="505" t="s">
        <v>637</v>
      </c>
      <c r="C199" s="526" t="s">
        <v>638</v>
      </c>
      <c r="D199" s="526" t="s">
        <v>37</v>
      </c>
      <c r="E199" s="707" t="s">
        <v>36</v>
      </c>
      <c r="F199" s="708" t="s">
        <v>295</v>
      </c>
      <c r="G199" s="1235">
        <f>SUMIFS('06. BC BH THEO CUSTOMER-USD'!CZ:CZ,'06. BC BH THEO CUSTOMER-USD'!H:H,'06.1. BC bán lỗ'!D199,'06. BC BH THEO CUSTOMER-USD'!D:D,'06.1. BC bán lỗ'!B199)</f>
        <v>5.25</v>
      </c>
      <c r="H199" s="709">
        <f>SUMIFS('01. KE30'!X:X,'01. KE30'!C:C,'06.1. BC bán lỗ'!B199,'01. KE30'!F:F,'06.1. BC bán lỗ'!D199,'01. KE30'!A:A,8)/SUMIFS('01. KE30'!I:I,'01. KE30'!C:C,'06.1. BC bán lỗ'!B199,'01. KE30'!F:F,'06.1. BC bán lỗ'!D199,'01. KE30'!A:A,8)*1000</f>
        <v>616.10503110335037</v>
      </c>
      <c r="I199" s="709">
        <f>_xlfn.XLOOKUP('06.1. BC bán lỗ'!D199,'06. BC BH THEO CUSTOMER-USD'!H:H,'06. BC BH THEO CUSTOMER-USD'!AV:AV)</f>
        <v>700</v>
      </c>
      <c r="J199" s="709">
        <f>SUMIFS('06. BC BH THEO CUSTOMER-USD'!CL:CL,'06. BC BH THEO CUSTOMER-USD'!H:H,'06.1. BC bán lỗ'!D199,'06. BC BH THEO CUSTOMER-USD'!D:D,'06.1. BC bán lỗ'!B199)</f>
        <v>668.93641820364508</v>
      </c>
      <c r="K199" s="720">
        <f t="shared" si="41"/>
        <v>84.680555999999996</v>
      </c>
      <c r="L199" s="1236">
        <f t="shared" si="42"/>
        <v>-7.2614100000000059</v>
      </c>
      <c r="M199" s="1237">
        <f t="shared" si="47"/>
        <v>-8.5750617886826419E-2</v>
      </c>
      <c r="N199" s="1234"/>
      <c r="O199" s="713">
        <f t="shared" si="48"/>
        <v>-83.89496889664963</v>
      </c>
      <c r="P199" s="714" t="s">
        <v>1035</v>
      </c>
      <c r="Q199" s="707"/>
    </row>
    <row r="200" spans="1:22" s="185" customFormat="1" ht="31.5" hidden="1" customHeight="1" outlineLevel="1" x14ac:dyDescent="0.35">
      <c r="A200" s="746">
        <f>SUBTOTAL(3,$B$180:B200)</f>
        <v>21</v>
      </c>
      <c r="B200" s="746" t="s">
        <v>71</v>
      </c>
      <c r="C200" s="758" t="s">
        <v>70</v>
      </c>
      <c r="D200" s="758" t="s">
        <v>187</v>
      </c>
      <c r="E200" s="759" t="s">
        <v>188</v>
      </c>
      <c r="F200" s="760" t="s">
        <v>265</v>
      </c>
      <c r="G200" s="761">
        <f>SUMIFS('06. BC BH THEO CUSTOMER-USD'!CZ:CZ,'06. BC BH THEO CUSTOMER-USD'!H:H,'06.1. BC bán lỗ'!D200,'06. BC BH THEO CUSTOMER-USD'!D:D,'06.1. BC bán lỗ'!B200)</f>
        <v>33</v>
      </c>
      <c r="H200" s="762">
        <f>SUMIFS('01. KE30'!X:X,'01. KE30'!C:C,'06.1. BC bán lỗ'!B200,'01. KE30'!F:F,'06.1. BC bán lỗ'!D200,'01. KE30'!A:A,8)/SUMIFS('01. KE30'!I:I,'01. KE30'!C:C,'06.1. BC bán lỗ'!B200,'01. KE30'!F:F,'06.1. BC bán lỗ'!D200,'01. KE30'!A:A,8)*1000</f>
        <v>1254.2971734148205</v>
      </c>
      <c r="I200" s="762">
        <f>_xlfn.XLOOKUP('06.1. BC bán lỗ'!D200,'06. BC BH THEO CUSTOMER-USD'!H:H,'06. BC BH THEO CUSTOMER-USD'!AV:AV)</f>
        <v>1230</v>
      </c>
      <c r="J200" s="762">
        <f>SUMIFS('06. BC BH THEO CUSTOMER-USD'!CL:CL,'06. BC BH THEO CUSTOMER-USD'!H:H,'06.1. BC bán lỗ'!D200,'06. BC BH THEO CUSTOMER-USD'!D:D,'06.1. BC bán lỗ'!B200)</f>
        <v>1255.8825612889784</v>
      </c>
      <c r="K200" s="1239">
        <f t="shared" si="41"/>
        <v>1083.6375</v>
      </c>
      <c r="L200" s="1240">
        <f t="shared" si="42"/>
        <v>-1.3696800000000273</v>
      </c>
      <c r="M200" s="763">
        <f t="shared" si="39"/>
        <v>-1.2639651174862693E-3</v>
      </c>
      <c r="N200" s="764"/>
      <c r="O200" s="713">
        <f t="shared" si="40"/>
        <v>24.297173414820463</v>
      </c>
      <c r="P200" s="1060" t="s">
        <v>754</v>
      </c>
      <c r="Q200" s="714"/>
    </row>
    <row r="201" spans="1:22" s="185" customFormat="1" ht="31.5" hidden="1" customHeight="1" outlineLevel="1" x14ac:dyDescent="0.35">
      <c r="A201" s="746">
        <f>SUBTOTAL(3,$B$180:B201)</f>
        <v>22</v>
      </c>
      <c r="B201" s="746" t="s">
        <v>1007</v>
      </c>
      <c r="C201" s="758" t="s">
        <v>1008</v>
      </c>
      <c r="D201" s="758" t="s">
        <v>231</v>
      </c>
      <c r="E201" s="759" t="s">
        <v>232</v>
      </c>
      <c r="F201" s="760" t="s">
        <v>23</v>
      </c>
      <c r="G201" s="761">
        <f>SUMIFS('06. BC BH THEO CUSTOMER-USD'!CZ:CZ,'06. BC BH THEO CUSTOMER-USD'!H:H,'06.1. BC bán lỗ'!D201,'06. BC BH THEO CUSTOMER-USD'!D:D,'06.1. BC bán lỗ'!B201)</f>
        <v>0.05</v>
      </c>
      <c r="H201" s="762">
        <f>SUMIFS('01. KE30'!X:X,'01. KE30'!C:C,'06.1. BC bán lỗ'!B201,'01. KE30'!F:F,'06.1. BC bán lỗ'!D201,'01. KE30'!A:A,8)/SUMIFS('01. KE30'!I:I,'01. KE30'!C:C,'06.1. BC bán lỗ'!B201,'01. KE30'!F:F,'06.1. BC bán lỗ'!D201,'01. KE30'!A:A,8)*1000</f>
        <v>1353.7051184110007</v>
      </c>
      <c r="I201" s="762">
        <f>_xlfn.XLOOKUP('06.1. BC bán lỗ'!D201,'06. BC BH THEO CUSTOMER-USD'!H:H,'06. BC BH THEO CUSTOMER-USD'!AV:AV)</f>
        <v>770</v>
      </c>
      <c r="J201" s="762">
        <f>SUMIFS('06. BC BH THEO CUSTOMER-USD'!CL:CL,'06. BC BH THEO CUSTOMER-USD'!H:H,'06.1. BC bán lỗ'!D201,'06. BC BH THEO CUSTOMER-USD'!D:D,'06.1. BC bán lỗ'!B201)</f>
        <v>1379.7815126050421</v>
      </c>
      <c r="K201" s="1239">
        <f t="shared" si="41"/>
        <v>1.772</v>
      </c>
      <c r="L201" s="1241">
        <f t="shared" si="42"/>
        <v>-3.4134000000000088E-2</v>
      </c>
      <c r="M201" s="763">
        <f>L201/K201</f>
        <v>-1.9262979683972961E-2</v>
      </c>
      <c r="N201" s="764"/>
      <c r="O201" s="713">
        <f t="shared" ref="O201" si="49">H201-I201</f>
        <v>583.70511841100074</v>
      </c>
      <c r="P201" s="1060" t="s">
        <v>754</v>
      </c>
      <c r="Q201" s="707"/>
    </row>
    <row r="202" spans="1:22" outlineLevel="1" x14ac:dyDescent="0.35">
      <c r="A202" s="356"/>
      <c r="B202" s="357"/>
      <c r="C202" s="357"/>
      <c r="D202" s="357"/>
      <c r="E202" s="358" t="s">
        <v>436</v>
      </c>
      <c r="F202" s="358"/>
      <c r="G202" s="385">
        <f>SUBTOTAL(9,G180:G201)</f>
        <v>567.84999999999991</v>
      </c>
      <c r="H202" s="449"/>
      <c r="I202" s="449"/>
      <c r="J202" s="449"/>
      <c r="K202" s="385">
        <f>SUBTOTAL(9,K180:K201)</f>
        <v>10479.180525000002</v>
      </c>
      <c r="L202" s="1171">
        <f>SUBTOTAL(9,L180:L201)</f>
        <v>-5380.2455409999993</v>
      </c>
      <c r="M202" s="396">
        <f>L202/K202</f>
        <v>-0.51342235475039677</v>
      </c>
      <c r="N202" s="719"/>
      <c r="O202" s="699"/>
    </row>
    <row r="204" spans="1:22" ht="18.5" x14ac:dyDescent="0.45">
      <c r="B204" s="362" t="s">
        <v>437</v>
      </c>
      <c r="C204" s="363">
        <v>9</v>
      </c>
    </row>
    <row r="205" spans="1:22" outlineLevel="1" x14ac:dyDescent="0.35">
      <c r="I205" s="259"/>
      <c r="K205" s="343"/>
      <c r="L205" s="389" t="s">
        <v>438</v>
      </c>
      <c r="M205" s="390">
        <f>HLOOKUP(C204,'02. Tỷ giá'!$B$4:$M$5,2,0)</f>
        <v>26250</v>
      </c>
      <c r="Q205" s="430"/>
      <c r="R205" s="430"/>
      <c r="S205" s="430"/>
      <c r="T205" t="s">
        <v>704</v>
      </c>
    </row>
    <row r="206" spans="1:22" outlineLevel="1" x14ac:dyDescent="0.35">
      <c r="I206" s="343"/>
      <c r="Q206" s="430"/>
      <c r="R206" s="430"/>
      <c r="S206" s="430"/>
      <c r="T206" s="721" t="s">
        <v>700</v>
      </c>
      <c r="U206" s="721" t="s">
        <v>701</v>
      </c>
      <c r="V206" s="722">
        <v>17000</v>
      </c>
    </row>
    <row r="207" spans="1:22" s="477" customFormat="1" ht="41" customHeight="1" outlineLevel="1" x14ac:dyDescent="0.35">
      <c r="A207" s="351" t="s">
        <v>174</v>
      </c>
      <c r="B207" s="351" t="s">
        <v>564</v>
      </c>
      <c r="C207" s="351" t="s">
        <v>481</v>
      </c>
      <c r="D207" s="351" t="s">
        <v>422</v>
      </c>
      <c r="E207" s="351" t="s">
        <v>423</v>
      </c>
      <c r="F207" s="351" t="s">
        <v>411</v>
      </c>
      <c r="G207" s="351" t="s">
        <v>424</v>
      </c>
      <c r="H207" s="351" t="s">
        <v>482</v>
      </c>
      <c r="I207" s="351" t="s">
        <v>483</v>
      </c>
      <c r="J207" s="351" t="s">
        <v>484</v>
      </c>
      <c r="K207" s="351" t="s">
        <v>426</v>
      </c>
      <c r="L207" s="351" t="s">
        <v>428</v>
      </c>
      <c r="M207" s="351" t="s">
        <v>425</v>
      </c>
      <c r="N207" s="351" t="s">
        <v>705</v>
      </c>
      <c r="P207" s="404" t="s">
        <v>566</v>
      </c>
      <c r="Q207" s="404" t="s">
        <v>567</v>
      </c>
      <c r="S207" s="430"/>
      <c r="T207" s="721" t="s">
        <v>702</v>
      </c>
      <c r="U207" s="721" t="s">
        <v>703</v>
      </c>
      <c r="V207" s="722">
        <v>17000</v>
      </c>
    </row>
    <row r="208" spans="1:22" s="185" customFormat="1" ht="34" customHeight="1" outlineLevel="1" x14ac:dyDescent="0.35">
      <c r="A208" s="505">
        <f>SUBTOTAL(3,$B$208:B208)</f>
        <v>1</v>
      </c>
      <c r="B208" s="505" t="s">
        <v>176</v>
      </c>
      <c r="C208" s="526" t="s">
        <v>177</v>
      </c>
      <c r="D208" s="526" t="s">
        <v>127</v>
      </c>
      <c r="E208" s="707" t="s">
        <v>114</v>
      </c>
      <c r="F208" s="708" t="s">
        <v>283</v>
      </c>
      <c r="G208" s="717">
        <f>SUMIFS('06. BC BH THEO CUSTOMER-USD'!DA:DA,'06. BC BH THEO CUSTOMER-USD'!H:H,'06.1. BC bán lỗ'!D208,'06. BC BH THEO CUSTOMER-USD'!D:D,'06.1. BC bán lỗ'!B208)</f>
        <v>126.5</v>
      </c>
      <c r="H208" s="709">
        <f>SUMIFS('01. KE30'!X:X,'01. KE30'!C:C,'06.1. BC bán lỗ'!B208,'01. KE30'!F:F,'06.1. BC bán lỗ'!D208,'01. KE30'!A:A,9)/SUMIFS('01. KE30'!I:I,'01. KE30'!C:C,'06.1. BC bán lỗ'!B208,'01. KE30'!F:F,'06.1. BC bán lỗ'!D208,'01. KE30'!A:A,9)*1000</f>
        <v>1106.8080810882559</v>
      </c>
      <c r="I208" s="709">
        <f>_xlfn.XLOOKUP('06.1. BC bán lỗ'!D208,'06. BC BH THEO CUSTOMER-USD'!H:H,'06. BC BH THEO CUSTOMER-USD'!AW:AW)</f>
        <v>1310</v>
      </c>
      <c r="J208" s="709">
        <f>SUMIFS('06. BC BH THEO CUSTOMER-USD'!CM:CM,'06. BC BH THEO CUSTOMER-USD'!H:H,'06.1. BC bán lỗ'!D208,'06. BC BH THEO CUSTOMER-USD'!D:D,'06.1. BC bán lỗ'!B208)</f>
        <v>1122.0759462450592</v>
      </c>
      <c r="K208" s="710">
        <f>G208*H208*$M$205/10^6</f>
        <v>3675.2945842636896</v>
      </c>
      <c r="L208" s="1170">
        <f>G208*(H208-J208)*$M$205/10^6</f>
        <v>-50.69885473630989</v>
      </c>
      <c r="M208" s="712">
        <f t="shared" ref="M208:M216" si="50">L208/K208</f>
        <v>-1.3794500977794933E-2</v>
      </c>
      <c r="N208" s="716"/>
      <c r="O208" s="713">
        <f t="shared" ref="O208:O216" si="51">H208-I208</f>
        <v>-203.1919189117441</v>
      </c>
      <c r="P208" s="1060" t="s">
        <v>1093</v>
      </c>
      <c r="Q208" s="714"/>
    </row>
    <row r="209" spans="1:17" s="185" customFormat="1" ht="34" customHeight="1" outlineLevel="1" x14ac:dyDescent="0.35">
      <c r="A209" s="505">
        <f>SUBTOTAL(3,$B$208:B209)</f>
        <v>2</v>
      </c>
      <c r="B209" s="505" t="s">
        <v>517</v>
      </c>
      <c r="C209" s="526" t="s">
        <v>518</v>
      </c>
      <c r="D209" s="526" t="s">
        <v>1086</v>
      </c>
      <c r="E209" s="707" t="s">
        <v>1087</v>
      </c>
      <c r="F209" s="708" t="s">
        <v>283</v>
      </c>
      <c r="G209" s="726">
        <f>SUMIFS('06. BC BH THEO CUSTOMER-USD'!DA:DA,'06. BC BH THEO CUSTOMER-USD'!H:H,'06.1. BC bán lỗ'!D209,'06. BC BH THEO CUSTOMER-USD'!D:D,'06.1. BC bán lỗ'!B209)</f>
        <v>24.2</v>
      </c>
      <c r="H209" s="727">
        <f>SUMIFS('01. KE30'!X:X,'01. KE30'!C:C,'06.1. BC bán lỗ'!B209,'01. KE30'!F:F,'06.1. BC bán lỗ'!D209,'01. KE30'!A:A,9)/SUMIFS('01. KE30'!I:I,'01. KE30'!C:C,'06.1. BC bán lỗ'!B209,'01. KE30'!F:F,'06.1. BC bán lỗ'!D209,'01. KE30'!A:A,9)*1000</f>
        <v>793.65079260133803</v>
      </c>
      <c r="I209" s="727">
        <f>_xlfn.XLOOKUP('06.1. BC bán lỗ'!D209,'06. BC BH THEO CUSTOMER-USD'!H:H,'06. BC BH THEO CUSTOMER-USD'!AW:AW)</f>
        <v>722</v>
      </c>
      <c r="J209" s="727">
        <f>SUMIFS('06. BC BH THEO CUSTOMER-USD'!CM:CM,'06. BC BH THEO CUSTOMER-USD'!H:H,'06.1. BC bán lỗ'!D209,'06. BC BH THEO CUSTOMER-USD'!D:D,'06.1. BC bán lỗ'!B209)</f>
        <v>1138.9406343959072</v>
      </c>
      <c r="K209" s="710">
        <f t="shared" ref="K209:K231" si="52">G209*H209*$M$205/10^6</f>
        <v>504.16666600000002</v>
      </c>
      <c r="L209" s="1170">
        <f t="shared" ref="L209:L231" si="53">G209*(H209-J209)*$M$205/10^6</f>
        <v>-219.34537200000003</v>
      </c>
      <c r="M209" s="712">
        <f t="shared" si="50"/>
        <v>-0.43506520123644987</v>
      </c>
      <c r="N209" s="714"/>
      <c r="O209" s="713">
        <f t="shared" si="51"/>
        <v>71.650792601338026</v>
      </c>
      <c r="P209" s="1060" t="s">
        <v>1097</v>
      </c>
      <c r="Q209" s="714"/>
    </row>
    <row r="210" spans="1:17" s="185" customFormat="1" ht="34" customHeight="1" outlineLevel="1" x14ac:dyDescent="0.35">
      <c r="A210" s="505">
        <f>SUBTOTAL(3,$B$208:B210)</f>
        <v>3</v>
      </c>
      <c r="B210" s="505" t="s">
        <v>1068</v>
      </c>
      <c r="C210" s="526" t="s">
        <v>1069</v>
      </c>
      <c r="D210" s="526" t="s">
        <v>1086</v>
      </c>
      <c r="E210" s="707" t="s">
        <v>1087</v>
      </c>
      <c r="F210" s="708" t="s">
        <v>283</v>
      </c>
      <c r="G210" s="726">
        <f>SUMIFS('06. BC BH THEO CUSTOMER-USD'!DA:DA,'06. BC BH THEO CUSTOMER-USD'!H:H,'06.1. BC bán lỗ'!D210,'06. BC BH THEO CUSTOMER-USD'!D:D,'06.1. BC bán lỗ'!B210)</f>
        <v>19.8</v>
      </c>
      <c r="H210" s="727">
        <f>SUMIFS('01. KE30'!X:X,'01. KE30'!C:C,'06.1. BC bán lỗ'!B210,'01. KE30'!F:F,'06.1. BC bán lỗ'!D210,'01. KE30'!A:A,9)/SUMIFS('01. KE30'!I:I,'01. KE30'!C:C,'06.1. BC bán lỗ'!B210,'01. KE30'!F:F,'06.1. BC bán lỗ'!D210,'01. KE30'!A:A,9)*1000</f>
        <v>733.42953342953342</v>
      </c>
      <c r="I210" s="727">
        <f>_xlfn.XLOOKUP('06.1. BC bán lỗ'!D210,'06. BC BH THEO CUSTOMER-USD'!H:H,'06. BC BH THEO CUSTOMER-USD'!AW:AW)</f>
        <v>722</v>
      </c>
      <c r="J210" s="727">
        <f>SUMIFS('06. BC BH THEO CUSTOMER-USD'!CM:CM,'06. BC BH THEO CUSTOMER-USD'!H:H,'06.1. BC bán lỗ'!D210,'06. BC BH THEO CUSTOMER-USD'!D:D,'06.1. BC bán lỗ'!B210)</f>
        <v>1138.940632996633</v>
      </c>
      <c r="K210" s="710">
        <f t="shared" si="52"/>
        <v>381.2</v>
      </c>
      <c r="L210" s="1170">
        <f t="shared" si="53"/>
        <v>-210.76439400000001</v>
      </c>
      <c r="M210" s="712">
        <f t="shared" si="50"/>
        <v>-0.55289715110178383</v>
      </c>
      <c r="N210" s="716"/>
      <c r="O210" s="713">
        <f t="shared" si="51"/>
        <v>11.429533429533421</v>
      </c>
      <c r="P210" s="1060" t="s">
        <v>1097</v>
      </c>
      <c r="Q210" s="714"/>
    </row>
    <row r="211" spans="1:17" s="185" customFormat="1" ht="34" customHeight="1" outlineLevel="1" x14ac:dyDescent="0.35">
      <c r="A211" s="505">
        <f>SUBTOTAL(3,$B$208:B211)</f>
        <v>4</v>
      </c>
      <c r="B211" s="505" t="s">
        <v>959</v>
      </c>
      <c r="C211" s="526" t="s">
        <v>976</v>
      </c>
      <c r="D211" s="526" t="s">
        <v>87</v>
      </c>
      <c r="E211" s="707" t="s">
        <v>86</v>
      </c>
      <c r="F211" s="708" t="s">
        <v>95</v>
      </c>
      <c r="G211" s="717">
        <f>SUMIFS('06. BC BH THEO CUSTOMER-USD'!DA:DA,'06. BC BH THEO CUSTOMER-USD'!H:H,'06.1. BC bán lỗ'!D211,'06. BC BH THEO CUSTOMER-USD'!D:D,'06.1. BC bán lỗ'!B211)</f>
        <v>177.45</v>
      </c>
      <c r="H211" s="709">
        <f>SUMIFS('01. KE30'!X:X,'01. KE30'!C:C,'06.1. BC bán lỗ'!B211,'01. KE30'!F:F,'06.1. BC bán lỗ'!D211,'01. KE30'!A:A,9)/SUMIFS('01. KE30'!I:I,'01. KE30'!C:C,'06.1. BC bán lỗ'!B211,'01. KE30'!F:F,'06.1. BC bán lỗ'!D211,'01. KE30'!A:A,9)*1000</f>
        <v>678.09523809523807</v>
      </c>
      <c r="I211" s="709">
        <f>_xlfn.XLOOKUP('06.1. BC bán lỗ'!D211,'06. BC BH THEO CUSTOMER-USD'!H:H,'06. BC BH THEO CUSTOMER-USD'!AW:AW)</f>
        <v>780</v>
      </c>
      <c r="J211" s="709">
        <f>SUMIFS('06. BC BH THEO CUSTOMER-USD'!CM:CM,'06. BC BH THEO CUSTOMER-USD'!H:H,'06.1. BC bán lỗ'!D211,'06. BC BH THEO CUSTOMER-USD'!D:D,'06.1. BC bán lỗ'!B211)</f>
        <v>1025.4386659689517</v>
      </c>
      <c r="K211" s="710">
        <f t="shared" si="52"/>
        <v>3158.6099999999997</v>
      </c>
      <c r="L211" s="1170">
        <f t="shared" si="53"/>
        <v>-1617.947396</v>
      </c>
      <c r="M211" s="712">
        <f t="shared" si="50"/>
        <v>-0.51223398773511142</v>
      </c>
      <c r="N211" s="714"/>
      <c r="O211" s="713">
        <f t="shared" si="51"/>
        <v>-101.90476190476193</v>
      </c>
      <c r="P211" s="1060" t="s">
        <v>1042</v>
      </c>
      <c r="Q211" s="714"/>
    </row>
    <row r="212" spans="1:17" s="185" customFormat="1" ht="34" customHeight="1" outlineLevel="1" x14ac:dyDescent="0.35">
      <c r="A212" s="505">
        <f>SUBTOTAL(3,$B$208:B212)</f>
        <v>5</v>
      </c>
      <c r="B212" s="505" t="s">
        <v>1005</v>
      </c>
      <c r="C212" s="526" t="s">
        <v>1006</v>
      </c>
      <c r="D212" s="526" t="s">
        <v>87</v>
      </c>
      <c r="E212" s="707" t="s">
        <v>86</v>
      </c>
      <c r="F212" s="708" t="s">
        <v>95</v>
      </c>
      <c r="G212" s="726">
        <f>SUMIFS('06. BC BH THEO CUSTOMER-USD'!DA:DA,'06. BC BH THEO CUSTOMER-USD'!H:H,'06.1. BC bán lỗ'!D212,'06. BC BH THEO CUSTOMER-USD'!D:D,'06.1. BC bán lỗ'!B212)</f>
        <v>25.2</v>
      </c>
      <c r="H212" s="727">
        <f>SUMIFS('01. KE30'!X:X,'01. KE30'!C:C,'06.1. BC bán lỗ'!B212,'01. KE30'!F:F,'06.1. BC bán lỗ'!D212,'01. KE30'!A:A,9)/SUMIFS('01. KE30'!I:I,'01. KE30'!C:C,'06.1. BC bán lỗ'!B212,'01. KE30'!F:F,'06.1. BC bán lỗ'!D212,'01. KE30'!A:A,9)*1000</f>
        <v>678.09523809523807</v>
      </c>
      <c r="I212" s="727">
        <f>_xlfn.XLOOKUP('06.1. BC bán lỗ'!D212,'06. BC BH THEO CUSTOMER-USD'!H:H,'06. BC BH THEO CUSTOMER-USD'!AW:AW)</f>
        <v>780</v>
      </c>
      <c r="J212" s="727">
        <f>SUMIFS('06. BC BH THEO CUSTOMER-USD'!CM:CM,'06. BC BH THEO CUSTOMER-USD'!H:H,'06.1. BC bán lỗ'!D212,'06. BC BH THEO CUSTOMER-USD'!D:D,'06.1. BC bán lỗ'!B212)</f>
        <v>1025.4386681783826</v>
      </c>
      <c r="K212" s="710">
        <f t="shared" si="52"/>
        <v>448.56</v>
      </c>
      <c r="L212" s="1170">
        <f t="shared" si="53"/>
        <v>-229.7676790000001</v>
      </c>
      <c r="M212" s="712">
        <f t="shared" si="50"/>
        <v>-0.51223399099340128</v>
      </c>
      <c r="N212" s="714"/>
      <c r="O212" s="713">
        <f t="shared" si="51"/>
        <v>-101.90476190476193</v>
      </c>
      <c r="P212" s="1060" t="s">
        <v>1042</v>
      </c>
      <c r="Q212" s="714"/>
    </row>
    <row r="213" spans="1:17" s="185" customFormat="1" ht="31" customHeight="1" outlineLevel="1" x14ac:dyDescent="0.35">
      <c r="A213" s="505">
        <f>SUBTOTAL(3,$B$208:B213)</f>
        <v>6</v>
      </c>
      <c r="B213" s="505" t="s">
        <v>722</v>
      </c>
      <c r="C213" s="526" t="s">
        <v>723</v>
      </c>
      <c r="D213" s="526" t="s">
        <v>52</v>
      </c>
      <c r="E213" s="707" t="s">
        <v>51</v>
      </c>
      <c r="F213" s="708" t="s">
        <v>265</v>
      </c>
      <c r="G213" s="1235">
        <f>SUMIFS('06. BC BH THEO CUSTOMER-USD'!DA:DA,'06. BC BH THEO CUSTOMER-USD'!H:H,'06.1. BC bán lỗ'!D213,'06. BC BH THEO CUSTOMER-USD'!D:D,'06.1. BC bán lỗ'!B213)</f>
        <v>48.125</v>
      </c>
      <c r="H213" s="709">
        <f>SUMIFS('01. KE30'!X:X,'01. KE30'!C:C,'06.1. BC bán lỗ'!B213,'01. KE30'!F:F,'06.1. BC bán lỗ'!D213,'01. KE30'!A:A,9)/SUMIFS('01. KE30'!I:I,'01. KE30'!C:C,'06.1. BC bán lỗ'!B213,'01. KE30'!F:F,'06.1. BC bán lỗ'!D213,'01. KE30'!A:A,9)*1000</f>
        <v>599.64727015460733</v>
      </c>
      <c r="I213" s="709">
        <f>_xlfn.XLOOKUP('06.1. BC bán lỗ'!D213,'06. BC BH THEO CUSTOMER-USD'!H:H,'06. BC BH THEO CUSTOMER-USD'!AW:AW)</f>
        <v>910</v>
      </c>
      <c r="J213" s="709">
        <f>SUMIFS('06. BC BH THEO CUSTOMER-USD'!CM:CM,'06. BC BH THEO CUSTOMER-USD'!H:H,'06.1. BC bán lỗ'!D213,'06. BC BH THEO CUSTOMER-USD'!D:D,'06.1. BC bán lỗ'!B213)</f>
        <v>822.4793307111936</v>
      </c>
      <c r="K213" s="720">
        <f t="shared" si="52"/>
        <v>757.52315299999998</v>
      </c>
      <c r="L213" s="1236">
        <f t="shared" si="53"/>
        <v>-281.49956400000002</v>
      </c>
      <c r="M213" s="1237">
        <f t="shared" si="50"/>
        <v>-0.37160522801868739</v>
      </c>
      <c r="N213" s="1300"/>
      <c r="O213" s="713">
        <f t="shared" si="51"/>
        <v>-310.35272984539267</v>
      </c>
      <c r="P213" s="1060" t="s">
        <v>1094</v>
      </c>
      <c r="Q213" s="714"/>
    </row>
    <row r="214" spans="1:17" s="185" customFormat="1" ht="31" customHeight="1" outlineLevel="1" x14ac:dyDescent="0.35">
      <c r="A214" s="505">
        <f>SUBTOTAL(3,$B$208:B214)</f>
        <v>7</v>
      </c>
      <c r="B214" s="505" t="s">
        <v>30</v>
      </c>
      <c r="C214" s="526" t="s">
        <v>29</v>
      </c>
      <c r="D214" s="526" t="s">
        <v>208</v>
      </c>
      <c r="E214" s="707" t="s">
        <v>209</v>
      </c>
      <c r="F214" s="708" t="s">
        <v>266</v>
      </c>
      <c r="G214" s="726">
        <f>SUMIFS('06. BC BH THEO CUSTOMER-USD'!DA:DA,'06. BC BH THEO CUSTOMER-USD'!H:H,'06.1. BC bán lỗ'!D214,'06. BC BH THEO CUSTOMER-USD'!D:D,'06.1. BC bán lỗ'!B214)</f>
        <v>11</v>
      </c>
      <c r="H214" s="727">
        <f>SUMIFS('01. KE30'!X:X,'01. KE30'!C:C,'06.1. BC bán lỗ'!B214,'01. KE30'!F:F,'06.1. BC bán lỗ'!D214,'01. KE30'!A:A,9)/SUMIFS('01. KE30'!I:I,'01. KE30'!C:C,'06.1. BC bán lỗ'!B214,'01. KE30'!F:F,'06.1. BC bán lỗ'!D214,'01. KE30'!A:A,9)*1000</f>
        <v>761.90476190476193</v>
      </c>
      <c r="I214" s="727">
        <f>_xlfn.XLOOKUP('06.1. BC bán lỗ'!D214,'06. BC BH THEO CUSTOMER-USD'!H:H,'06. BC BH THEO CUSTOMER-USD'!AW:AW)</f>
        <v>760</v>
      </c>
      <c r="J214" s="727">
        <f>SUMIFS('06. BC BH THEO CUSTOMER-USD'!CM:CM,'06. BC BH THEO CUSTOMER-USD'!H:H,'06.1. BC bán lỗ'!D214,'06. BC BH THEO CUSTOMER-USD'!D:D,'06.1. BC bán lỗ'!B214)</f>
        <v>1132.6406787878786</v>
      </c>
      <c r="K214" s="710">
        <f t="shared" si="52"/>
        <v>220.00000000000003</v>
      </c>
      <c r="L214" s="1170">
        <f t="shared" si="53"/>
        <v>-107.04999599999995</v>
      </c>
      <c r="M214" s="712">
        <f t="shared" si="50"/>
        <v>-0.48659089090909063</v>
      </c>
      <c r="N214" s="1301"/>
      <c r="O214" s="713">
        <f t="shared" si="51"/>
        <v>1.9047619047619264</v>
      </c>
      <c r="P214" s="1060"/>
      <c r="Q214" s="714"/>
    </row>
    <row r="215" spans="1:17" s="185" customFormat="1" ht="31" customHeight="1" outlineLevel="1" x14ac:dyDescent="0.35">
      <c r="A215" s="505">
        <f>SUBTOTAL(3,$B$208:B215)</f>
        <v>8</v>
      </c>
      <c r="B215" s="505">
        <v>1000</v>
      </c>
      <c r="C215" s="526" t="s">
        <v>29</v>
      </c>
      <c r="D215" s="526" t="s">
        <v>206</v>
      </c>
      <c r="E215" s="707" t="s">
        <v>207</v>
      </c>
      <c r="F215" s="708" t="s">
        <v>266</v>
      </c>
      <c r="G215" s="726">
        <f>SUMIFS('06. BC BH THEO CUSTOMER-USD'!DA:DA,'06. BC BH THEO CUSTOMER-USD'!H:H,'06.1. BC bán lỗ'!D215,'06. BC BH THEO CUSTOMER-USD'!D:D,'06.1. BC bán lỗ'!B215)</f>
        <v>5.5</v>
      </c>
      <c r="H215" s="727">
        <f>SUMIFS('01. KE30'!X:X,'01. KE30'!C:C,'06.1. BC bán lỗ'!B215,'01. KE30'!F:F,'06.1. BC bán lỗ'!D215,'01. KE30'!A:A,9)/SUMIFS('01. KE30'!I:I,'01. KE30'!C:C,'06.1. BC bán lỗ'!B215,'01. KE30'!F:F,'06.1. BC bán lỗ'!D215,'01. KE30'!A:A,9)*1000</f>
        <v>761.90476190476193</v>
      </c>
      <c r="I215" s="727">
        <f>_xlfn.XLOOKUP('06.1. BC bán lỗ'!D215,'06. BC BH THEO CUSTOMER-USD'!H:H,'06. BC BH THEO CUSTOMER-USD'!AW:AW)</f>
        <v>760</v>
      </c>
      <c r="J215" s="727">
        <f>SUMIFS('06. BC BH THEO CUSTOMER-USD'!CM:CM,'06. BC BH THEO CUSTOMER-USD'!H:H,'06.1. BC bán lỗ'!D215,'06. BC BH THEO CUSTOMER-USD'!D:D,'06.1. BC bán lỗ'!B215)</f>
        <v>814.0248242424243</v>
      </c>
      <c r="K215" s="710">
        <f t="shared" si="52"/>
        <v>110.00000000000001</v>
      </c>
      <c r="L215" s="1170">
        <f t="shared" si="53"/>
        <v>-7.5248340000000056</v>
      </c>
      <c r="M215" s="712">
        <f t="shared" si="50"/>
        <v>-6.8407581818181865E-2</v>
      </c>
      <c r="N215" s="1302"/>
      <c r="O215" s="713">
        <f t="shared" si="51"/>
        <v>1.9047619047619264</v>
      </c>
      <c r="P215" s="714"/>
      <c r="Q215" s="714"/>
    </row>
    <row r="216" spans="1:17" s="185" customFormat="1" ht="38" customHeight="1" outlineLevel="1" x14ac:dyDescent="0.35">
      <c r="A216" s="505">
        <f>SUBTOTAL(3,$B$208:B216)</f>
        <v>9</v>
      </c>
      <c r="B216" s="505">
        <v>1000</v>
      </c>
      <c r="C216" s="526" t="s">
        <v>29</v>
      </c>
      <c r="D216" s="526" t="s">
        <v>210</v>
      </c>
      <c r="E216" s="707" t="s">
        <v>211</v>
      </c>
      <c r="F216" s="708" t="s">
        <v>266</v>
      </c>
      <c r="G216" s="726">
        <f>SUMIFS('06. BC BH THEO CUSTOMER-USD'!DA:DA,'06. BC BH THEO CUSTOMER-USD'!H:H,'06.1. BC bán lỗ'!D216,'06. BC BH THEO CUSTOMER-USD'!D:D,'06.1. BC bán lỗ'!B216)</f>
        <v>2.75</v>
      </c>
      <c r="H216" s="727">
        <f>SUMIFS('01. KE30'!X:X,'01. KE30'!C:C,'06.1. BC bán lỗ'!B216,'01. KE30'!F:F,'06.1. BC bán lỗ'!D216,'01. KE30'!A:A,9)/SUMIFS('01. KE30'!I:I,'01. KE30'!C:C,'06.1. BC bán lỗ'!B216,'01. KE30'!F:F,'06.1. BC bán lỗ'!D216,'01. KE30'!A:A,9)*1000</f>
        <v>761.90476190476193</v>
      </c>
      <c r="I216" s="727">
        <f>_xlfn.XLOOKUP('06.1. BC bán lỗ'!D216,'06. BC BH THEO CUSTOMER-USD'!H:H,'06. BC BH THEO CUSTOMER-USD'!AW:AW)</f>
        <v>760</v>
      </c>
      <c r="J216" s="727">
        <f>SUMIFS('06. BC BH THEO CUSTOMER-USD'!CM:CM,'06. BC BH THEO CUSTOMER-USD'!H:H,'06.1. BC bán lỗ'!D216,'06. BC BH THEO CUSTOMER-USD'!D:D,'06.1. BC bán lỗ'!B216)</f>
        <v>891.00220952380948</v>
      </c>
      <c r="K216" s="710">
        <f t="shared" si="52"/>
        <v>55.000000000000007</v>
      </c>
      <c r="L216" s="1170">
        <f t="shared" si="53"/>
        <v>-9.3192219999999946</v>
      </c>
      <c r="M216" s="712">
        <f t="shared" si="50"/>
        <v>-0.16944039999999988</v>
      </c>
      <c r="N216" s="716"/>
      <c r="O216" s="713">
        <f t="shared" si="51"/>
        <v>1.9047619047619264</v>
      </c>
      <c r="P216" s="1060"/>
      <c r="Q216" s="714"/>
    </row>
    <row r="217" spans="1:17" s="185" customFormat="1" ht="30.5" customHeight="1" outlineLevel="1" x14ac:dyDescent="0.35">
      <c r="A217" s="505">
        <f>SUBTOTAL(3,$B$208:B217)</f>
        <v>10</v>
      </c>
      <c r="B217" s="505" t="s">
        <v>637</v>
      </c>
      <c r="C217" s="526" t="s">
        <v>638</v>
      </c>
      <c r="D217" s="526" t="s">
        <v>206</v>
      </c>
      <c r="E217" s="707" t="s">
        <v>207</v>
      </c>
      <c r="F217" s="708" t="s">
        <v>266</v>
      </c>
      <c r="G217" s="726">
        <f>SUMIFS('06. BC BH THEO CUSTOMER-USD'!DA:DA,'06. BC BH THEO CUSTOMER-USD'!H:H,'06.1. BC bán lỗ'!D217,'06. BC BH THEO CUSTOMER-USD'!D:D,'06.1. BC bán lỗ'!B217)</f>
        <v>22</v>
      </c>
      <c r="H217" s="727">
        <f>SUMIFS('01. KE30'!X:X,'01. KE30'!C:C,'06.1. BC bán lỗ'!B217,'01. KE30'!F:F,'06.1. BC bán lỗ'!D217,'01. KE30'!A:A,9)/SUMIFS('01. KE30'!I:I,'01. KE30'!C:C,'06.1. BC bán lỗ'!B217,'01. KE30'!F:F,'06.1. BC bán lỗ'!D217,'01. KE30'!A:A,9)*1000</f>
        <v>687.83068744588752</v>
      </c>
      <c r="I217" s="727">
        <f>_xlfn.XLOOKUP('06.1. BC bán lỗ'!D217,'06. BC BH THEO CUSTOMER-USD'!H:H,'06. BC BH THEO CUSTOMER-USD'!AW:AW)</f>
        <v>760</v>
      </c>
      <c r="J217" s="727">
        <f>SUMIFS('06. BC BH THEO CUSTOMER-USD'!CM:CM,'06. BC BH THEO CUSTOMER-USD'!H:H,'06.1. BC bán lỗ'!D217,'06. BC BH THEO CUSTOMER-USD'!D:D,'06.1. BC bán lỗ'!B217)</f>
        <v>814.02482251082245</v>
      </c>
      <c r="K217" s="710">
        <f t="shared" si="52"/>
        <v>397.22222200000004</v>
      </c>
      <c r="L217" s="1170">
        <f t="shared" si="53"/>
        <v>-72.877112999999923</v>
      </c>
      <c r="M217" s="712">
        <f>L217/K217</f>
        <v>-0.1834668580047365</v>
      </c>
      <c r="N217" s="1234"/>
      <c r="O217" s="713">
        <f>H217-I217</f>
        <v>-72.16931255411248</v>
      </c>
      <c r="P217" s="714" t="s">
        <v>1096</v>
      </c>
      <c r="Q217" s="714"/>
    </row>
    <row r="218" spans="1:17" s="185" customFormat="1" ht="30.5" customHeight="1" outlineLevel="1" x14ac:dyDescent="0.35">
      <c r="A218" s="505">
        <f>SUBTOTAL(3,$B$208:B218)</f>
        <v>11</v>
      </c>
      <c r="B218" s="505" t="s">
        <v>637</v>
      </c>
      <c r="C218" s="526" t="s">
        <v>638</v>
      </c>
      <c r="D218" s="526" t="s">
        <v>210</v>
      </c>
      <c r="E218" s="707" t="s">
        <v>211</v>
      </c>
      <c r="F218" s="708" t="s">
        <v>266</v>
      </c>
      <c r="G218" s="1235">
        <f>SUMIFS('06. BC BH THEO CUSTOMER-USD'!DA:DA,'06. BC BH THEO CUSTOMER-USD'!H:H,'06.1. BC bán lỗ'!D218,'06. BC BH THEO CUSTOMER-USD'!D:D,'06.1. BC bán lỗ'!B218)</f>
        <v>28.875</v>
      </c>
      <c r="H218" s="709">
        <f>SUMIFS('01. KE30'!X:X,'01. KE30'!C:C,'06.1. BC bán lỗ'!B218,'01. KE30'!F:F,'06.1. BC bán lỗ'!D218,'01. KE30'!A:A,9)/SUMIFS('01. KE30'!I:I,'01. KE30'!C:C,'06.1. BC bán lỗ'!B218,'01. KE30'!F:F,'06.1. BC bán lỗ'!D218,'01. KE30'!A:A,9)*1000</f>
        <v>687.83068431251297</v>
      </c>
      <c r="I218" s="709">
        <f>_xlfn.XLOOKUP('06.1. BC bán lỗ'!D218,'06. BC BH THEO CUSTOMER-USD'!H:H,'06. BC BH THEO CUSTOMER-USD'!AW:AW)</f>
        <v>760</v>
      </c>
      <c r="J218" s="709">
        <f>SUMIFS('06. BC BH THEO CUSTOMER-USD'!CM:CM,'06. BC BH THEO CUSTOMER-USD'!H:H,'06.1. BC bán lỗ'!D218,'06. BC BH THEO CUSTOMER-USD'!D:D,'06.1. BC bán lỗ'!B218)</f>
        <v>891.00221612038752</v>
      </c>
      <c r="K218" s="720">
        <f t="shared" si="52"/>
        <v>521.35416400000008</v>
      </c>
      <c r="L218" s="1236">
        <f t="shared" si="53"/>
        <v>-153.99767199999991</v>
      </c>
      <c r="M218" s="1237">
        <f t="shared" ref="M218:M230" si="54">L218/K218</f>
        <v>-0.29538015160074543</v>
      </c>
      <c r="N218" s="1290"/>
      <c r="O218" s="713">
        <f t="shared" ref="O218:O231" si="55">H218-I218</f>
        <v>-72.169315687487028</v>
      </c>
      <c r="P218" s="714" t="s">
        <v>1095</v>
      </c>
      <c r="Q218" s="714"/>
    </row>
    <row r="219" spans="1:17" s="185" customFormat="1" ht="30.5" customHeight="1" outlineLevel="1" x14ac:dyDescent="0.35">
      <c r="A219" s="505">
        <f>SUBTOTAL(3,$B$208:B219)</f>
        <v>12</v>
      </c>
      <c r="B219" s="505" t="s">
        <v>637</v>
      </c>
      <c r="C219" s="526" t="s">
        <v>638</v>
      </c>
      <c r="D219" s="526" t="s">
        <v>204</v>
      </c>
      <c r="E219" s="707" t="s">
        <v>205</v>
      </c>
      <c r="F219" s="708" t="s">
        <v>266</v>
      </c>
      <c r="G219" s="726">
        <f>SUMIFS('06. BC BH THEO CUSTOMER-USD'!DA:DA,'06. BC BH THEO CUSTOMER-USD'!H:H,'06.1. BC bán lỗ'!D219,'06. BC BH THEO CUSTOMER-USD'!D:D,'06.1. BC bán lỗ'!B219)</f>
        <v>23.375</v>
      </c>
      <c r="H219" s="727">
        <f>SUMIFS('01. KE30'!X:X,'01. KE30'!C:C,'06.1. BC bán lỗ'!B219,'01. KE30'!F:F,'06.1. BC bán lỗ'!D219,'01. KE30'!A:A,9)/SUMIFS('01. KE30'!I:I,'01. KE30'!C:C,'06.1. BC bán lỗ'!B219,'01. KE30'!F:F,'06.1. BC bán lỗ'!D219,'01. KE30'!A:A,9)*1000</f>
        <v>687.83068764960535</v>
      </c>
      <c r="I219" s="727">
        <f>_xlfn.XLOOKUP('06.1. BC bán lỗ'!D219,'06. BC BH THEO CUSTOMER-USD'!H:H,'06. BC BH THEO CUSTOMER-USD'!AW:AW)</f>
        <v>760</v>
      </c>
      <c r="J219" s="727">
        <f>SUMIFS('06. BC BH THEO CUSTOMER-USD'!CM:CM,'06. BC BH THEO CUSTOMER-USD'!H:H,'06.1. BC bán lỗ'!D219,'06. BC BH THEO CUSTOMER-USD'!D:D,'06.1. BC bán lỗ'!B219)</f>
        <v>1093.9134419149477</v>
      </c>
      <c r="K219" s="710">
        <f t="shared" si="52"/>
        <v>422.04861099999999</v>
      </c>
      <c r="L219" s="1170">
        <f t="shared" si="53"/>
        <v>-249.16983999999991</v>
      </c>
      <c r="M219" s="712">
        <f t="shared" si="54"/>
        <v>-0.59038185058734838</v>
      </c>
      <c r="N219" s="1290"/>
      <c r="O219" s="713">
        <f t="shared" si="55"/>
        <v>-72.169312350394648</v>
      </c>
      <c r="P219" s="714" t="s">
        <v>1096</v>
      </c>
      <c r="Q219" s="714"/>
    </row>
    <row r="220" spans="1:17" s="185" customFormat="1" ht="30.5" customHeight="1" outlineLevel="1" x14ac:dyDescent="0.35">
      <c r="A220" s="505">
        <f>SUBTOTAL(3,$B$208:B220)</f>
        <v>13</v>
      </c>
      <c r="B220" s="505" t="s">
        <v>456</v>
      </c>
      <c r="C220" s="526" t="s">
        <v>457</v>
      </c>
      <c r="D220" s="526" t="s">
        <v>39</v>
      </c>
      <c r="E220" s="707" t="s">
        <v>38</v>
      </c>
      <c r="F220" s="708" t="s">
        <v>295</v>
      </c>
      <c r="G220" s="1235">
        <f>SUMIFS('06. BC BH THEO CUSTOMER-USD'!DA:DA,'06. BC BH THEO CUSTOMER-USD'!H:H,'06.1. BC bán lỗ'!D220,'06. BC BH THEO CUSTOMER-USD'!D:D,'06.1. BC bán lỗ'!B220)</f>
        <v>14.25</v>
      </c>
      <c r="H220" s="709">
        <f>SUMIFS('01. KE30'!X:X,'01. KE30'!C:C,'06.1. BC bán lỗ'!B220,'01. KE30'!F:F,'06.1. BC bán lỗ'!D220,'01. KE30'!A:A,9)/SUMIFS('01. KE30'!I:I,'01. KE30'!C:C,'06.1. BC bán lỗ'!B220,'01. KE30'!F:F,'06.1. BC bán lỗ'!D220,'01. KE30'!A:A,9)*1000</f>
        <v>591.03759398496231</v>
      </c>
      <c r="I220" s="709">
        <f>_xlfn.XLOOKUP('06.1. BC bán lỗ'!D220,'06. BC BH THEO CUSTOMER-USD'!H:H,'06. BC BH THEO CUSTOMER-USD'!AW:AW)</f>
        <v>700</v>
      </c>
      <c r="J220" s="709">
        <f>SUMIFS('06. BC BH THEO CUSTOMER-USD'!CM:CM,'06. BC BH THEO CUSTOMER-USD'!H:H,'06.1. BC bán lỗ'!D220,'06. BC BH THEO CUSTOMER-USD'!D:D,'06.1. BC bán lỗ'!B220)</f>
        <v>961.01439197994978</v>
      </c>
      <c r="K220" s="720">
        <f t="shared" si="52"/>
        <v>221.08500000000001</v>
      </c>
      <c r="L220" s="1236">
        <f t="shared" si="53"/>
        <v>-138.39444599999999</v>
      </c>
      <c r="M220" s="1237">
        <f t="shared" si="54"/>
        <v>-0.6259784517267114</v>
      </c>
      <c r="N220" s="1290"/>
      <c r="O220" s="713">
        <f t="shared" si="55"/>
        <v>-108.96240601503769</v>
      </c>
      <c r="P220" s="1060" t="s">
        <v>929</v>
      </c>
      <c r="Q220" s="714"/>
    </row>
    <row r="221" spans="1:17" s="185" customFormat="1" ht="30.5" customHeight="1" outlineLevel="1" x14ac:dyDescent="0.35">
      <c r="A221" s="505">
        <f>SUBTOTAL(3,$B$208:B221)</f>
        <v>14</v>
      </c>
      <c r="B221" s="505" t="s">
        <v>456</v>
      </c>
      <c r="C221" s="526" t="s">
        <v>457</v>
      </c>
      <c r="D221" s="526" t="s">
        <v>37</v>
      </c>
      <c r="E221" s="707" t="s">
        <v>36</v>
      </c>
      <c r="F221" s="708" t="s">
        <v>295</v>
      </c>
      <c r="G221" s="726">
        <f>SUMIFS('06. BC BH THEO CUSTOMER-USD'!DA:DA,'06. BC BH THEO CUSTOMER-USD'!H:H,'06.1. BC bán lỗ'!D221,'06. BC BH THEO CUSTOMER-USD'!D:D,'06.1. BC bán lỗ'!B221)</f>
        <v>12.75</v>
      </c>
      <c r="H221" s="727">
        <f>SUMIFS('01. KE30'!X:X,'01. KE30'!C:C,'06.1. BC bán lỗ'!B221,'01. KE30'!F:F,'06.1. BC bán lỗ'!D221,'01. KE30'!A:A,9)/SUMIFS('01. KE30'!I:I,'01. KE30'!C:C,'06.1. BC bán lỗ'!B221,'01. KE30'!F:F,'06.1. BC bán lỗ'!D221,'01. KE30'!A:A,9)*1000</f>
        <v>590.47619047619048</v>
      </c>
      <c r="I221" s="727">
        <f>_xlfn.XLOOKUP('06.1. BC bán lỗ'!D221,'06. BC BH THEO CUSTOMER-USD'!H:H,'06. BC BH THEO CUSTOMER-USD'!AW:AW)</f>
        <v>700</v>
      </c>
      <c r="J221" s="727">
        <f>SUMIFS('06. BC BH THEO CUSTOMER-USD'!CM:CM,'06. BC BH THEO CUSTOMER-USD'!H:H,'06.1. BC bán lỗ'!D221,'06. BC BH THEO CUSTOMER-USD'!D:D,'06.1. BC bán lỗ'!B221)</f>
        <v>716.63116788048558</v>
      </c>
      <c r="K221" s="710">
        <f t="shared" si="52"/>
        <v>197.625</v>
      </c>
      <c r="L221" s="1170">
        <f t="shared" si="53"/>
        <v>-42.222494000000012</v>
      </c>
      <c r="M221" s="712">
        <f t="shared" si="54"/>
        <v>-0.21364955850727393</v>
      </c>
      <c r="N221" s="1290"/>
      <c r="O221" s="713">
        <f t="shared" si="55"/>
        <v>-109.52380952380952</v>
      </c>
      <c r="P221" s="1060" t="s">
        <v>929</v>
      </c>
      <c r="Q221" s="714"/>
    </row>
    <row r="222" spans="1:17" s="185" customFormat="1" ht="30.5" customHeight="1" outlineLevel="1" x14ac:dyDescent="0.35">
      <c r="A222" s="505">
        <f>SUBTOTAL(3,$B$208:B222)</f>
        <v>15</v>
      </c>
      <c r="B222" s="505" t="s">
        <v>456</v>
      </c>
      <c r="C222" s="526" t="s">
        <v>457</v>
      </c>
      <c r="D222" s="526" t="s">
        <v>536</v>
      </c>
      <c r="E222" s="707" t="s">
        <v>537</v>
      </c>
      <c r="F222" s="708" t="s">
        <v>295</v>
      </c>
      <c r="G222" s="1235">
        <f>SUMIFS('06. BC BH THEO CUSTOMER-USD'!DA:DA,'06. BC BH THEO CUSTOMER-USD'!H:H,'06.1. BC bán lỗ'!D222,'06. BC BH THEO CUSTOMER-USD'!D:D,'06.1. BC bán lỗ'!B222)</f>
        <v>21</v>
      </c>
      <c r="H222" s="709">
        <f>SUMIFS('01. KE30'!X:X,'01. KE30'!C:C,'06.1. BC bán lỗ'!B222,'01. KE30'!F:F,'06.1. BC bán lỗ'!D222,'01. KE30'!A:A,9)/SUMIFS('01. KE30'!I:I,'01. KE30'!C:C,'06.1. BC bán lỗ'!B222,'01. KE30'!F:F,'06.1. BC bán lỗ'!D222,'01. KE30'!A:A,9)*1000</f>
        <v>571.42857142857144</v>
      </c>
      <c r="I222" s="709">
        <f>_xlfn.XLOOKUP('06.1. BC bán lỗ'!D222,'06. BC BH THEO CUSTOMER-USD'!H:H,'06. BC BH THEO CUSTOMER-USD'!AW:AW)</f>
        <v>700</v>
      </c>
      <c r="J222" s="709">
        <f>SUMIFS('06. BC BH THEO CUSTOMER-USD'!CM:CM,'06. BC BH THEO CUSTOMER-USD'!H:H,'06.1. BC bán lỗ'!D222,'06. BC BH THEO CUSTOMER-USD'!D:D,'06.1. BC bán lỗ'!B222)</f>
        <v>1047.4107047619048</v>
      </c>
      <c r="K222" s="720">
        <f t="shared" si="52"/>
        <v>315</v>
      </c>
      <c r="L222" s="1236">
        <f t="shared" si="53"/>
        <v>-262.38515100000001</v>
      </c>
      <c r="M222" s="1237">
        <f t="shared" si="54"/>
        <v>-0.83296873333333332</v>
      </c>
      <c r="N222" s="716"/>
      <c r="O222" s="713">
        <f t="shared" si="55"/>
        <v>-128.57142857142856</v>
      </c>
      <c r="P222" s="714" t="s">
        <v>1100</v>
      </c>
      <c r="Q222" s="714"/>
    </row>
    <row r="223" spans="1:17" s="185" customFormat="1" ht="31.5" customHeight="1" outlineLevel="1" x14ac:dyDescent="0.35">
      <c r="A223" s="505">
        <f>SUBTOTAL(3,$B$208:B223)</f>
        <v>16</v>
      </c>
      <c r="B223" s="505" t="s">
        <v>519</v>
      </c>
      <c r="C223" s="526" t="s">
        <v>520</v>
      </c>
      <c r="D223" s="526" t="s">
        <v>536</v>
      </c>
      <c r="E223" s="707" t="s">
        <v>537</v>
      </c>
      <c r="F223" s="708" t="s">
        <v>295</v>
      </c>
      <c r="G223" s="717">
        <f>SUMIFS('06. BC BH THEO CUSTOMER-USD'!DA:DA,'06. BC BH THEO CUSTOMER-USD'!H:H,'06.1. BC bán lỗ'!D223,'06. BC BH THEO CUSTOMER-USD'!D:D,'06.1. BC bán lỗ'!B223)</f>
        <v>190.5</v>
      </c>
      <c r="H223" s="709">
        <f>SUMIFS('01. KE30'!X:X,'01. KE30'!C:C,'06.1. BC bán lỗ'!B223,'01. KE30'!F:F,'06.1. BC bán lỗ'!D223,'01. KE30'!A:A,9)/SUMIFS('01. KE30'!I:I,'01. KE30'!C:C,'06.1. BC bán lỗ'!B223,'01. KE30'!F:F,'06.1. BC bán lỗ'!D223,'01. KE30'!A:A,9)*1000</f>
        <v>556.19047619047615</v>
      </c>
      <c r="I223" s="709">
        <f>_xlfn.XLOOKUP('06.1. BC bán lỗ'!D223,'06. BC BH THEO CUSTOMER-USD'!H:H,'06. BC BH THEO CUSTOMER-USD'!AW:AW)</f>
        <v>700</v>
      </c>
      <c r="J223" s="709">
        <f>SUMIFS('06. BC BH THEO CUSTOMER-USD'!CM:CM,'06. BC BH THEO CUSTOMER-USD'!H:H,'06.1. BC bán lỗ'!D223,'06. BC BH THEO CUSTOMER-USD'!D:D,'06.1. BC bán lỗ'!B223)</f>
        <v>1047.4107064616924</v>
      </c>
      <c r="K223" s="710">
        <f t="shared" si="52"/>
        <v>2781.3</v>
      </c>
      <c r="L223" s="1170">
        <f t="shared" si="53"/>
        <v>-2456.4081640000004</v>
      </c>
      <c r="M223" s="712">
        <f t="shared" si="54"/>
        <v>-0.88318705785064544</v>
      </c>
      <c r="N223" s="714"/>
      <c r="O223" s="713">
        <f t="shared" si="55"/>
        <v>-143.80952380952385</v>
      </c>
      <c r="P223" s="714" t="s">
        <v>1100</v>
      </c>
      <c r="Q223" s="714"/>
    </row>
    <row r="224" spans="1:17" s="185" customFormat="1" ht="31.5" customHeight="1" outlineLevel="1" x14ac:dyDescent="0.35">
      <c r="A224" s="505">
        <f>SUBTOTAL(3,$B$208:B224)</f>
        <v>17</v>
      </c>
      <c r="B224" s="505" t="s">
        <v>21</v>
      </c>
      <c r="C224" s="526" t="s">
        <v>20</v>
      </c>
      <c r="D224" s="526" t="s">
        <v>37</v>
      </c>
      <c r="E224" s="707" t="s">
        <v>36</v>
      </c>
      <c r="F224" s="708" t="s">
        <v>295</v>
      </c>
      <c r="G224" s="1235">
        <f>SUMIFS('06. BC BH THEO CUSTOMER-USD'!DA:DA,'06. BC BH THEO CUSTOMER-USD'!H:H,'06.1. BC bán lỗ'!D224,'06. BC BH THEO CUSTOMER-USD'!D:D,'06.1. BC bán lỗ'!B224)</f>
        <v>10.5</v>
      </c>
      <c r="H224" s="709">
        <f>SUMIFS('01. KE30'!X:X,'01. KE30'!C:C,'06.1. BC bán lỗ'!B224,'01. KE30'!F:F,'06.1. BC bán lỗ'!D224,'01. KE30'!A:A,9)/SUMIFS('01. KE30'!I:I,'01. KE30'!C:C,'06.1. BC bán lỗ'!B224,'01. KE30'!F:F,'06.1. BC bán lỗ'!D224,'01. KE30'!A:A,9)*1000</f>
        <v>617.28395464852599</v>
      </c>
      <c r="I224" s="709">
        <f>_xlfn.XLOOKUP('06.1. BC bán lỗ'!D224,'06. BC BH THEO CUSTOMER-USD'!H:H,'06. BC BH THEO CUSTOMER-USD'!AW:AW)</f>
        <v>700</v>
      </c>
      <c r="J224" s="709">
        <f>SUMIFS('06. BC BH THEO CUSTOMER-USD'!CM:CM,'06. BC BH THEO CUSTOMER-USD'!H:H,'06.1. BC bán lỗ'!D224,'06. BC BH THEO CUSTOMER-USD'!D:D,'06.1. BC bán lỗ'!B224)</f>
        <v>716.63116916099773</v>
      </c>
      <c r="K224" s="720">
        <f t="shared" si="52"/>
        <v>170.13888999999998</v>
      </c>
      <c r="L224" s="1236">
        <f t="shared" si="53"/>
        <v>-27.382576000000018</v>
      </c>
      <c r="M224" s="1237">
        <f t="shared" si="54"/>
        <v>-0.16094248645915124</v>
      </c>
      <c r="N224" s="1300"/>
      <c r="O224" s="713">
        <f t="shared" si="55"/>
        <v>-82.716045351474008</v>
      </c>
      <c r="P224" s="1060" t="s">
        <v>1099</v>
      </c>
      <c r="Q224" s="714"/>
    </row>
    <row r="225" spans="1:17" s="185" customFormat="1" ht="31.5" customHeight="1" outlineLevel="1" x14ac:dyDescent="0.35">
      <c r="A225" s="505">
        <f>SUBTOTAL(3,$B$208:B225)</f>
        <v>18</v>
      </c>
      <c r="B225" s="505" t="s">
        <v>21</v>
      </c>
      <c r="C225" s="526" t="s">
        <v>20</v>
      </c>
      <c r="D225" s="526" t="s">
        <v>41</v>
      </c>
      <c r="E225" s="707" t="s">
        <v>40</v>
      </c>
      <c r="F225" s="708" t="s">
        <v>295</v>
      </c>
      <c r="G225" s="1235">
        <f>SUMIFS('06. BC BH THEO CUSTOMER-USD'!DA:DA,'06. BC BH THEO CUSTOMER-USD'!H:H,'06.1. BC bán lỗ'!D225,'06. BC BH THEO CUSTOMER-USD'!D:D,'06.1. BC bán lỗ'!B225)</f>
        <v>5.25</v>
      </c>
      <c r="H225" s="709">
        <f>SUMIFS('01. KE30'!X:X,'01. KE30'!C:C,'06.1. BC bán lỗ'!B225,'01. KE30'!F:F,'06.1. BC bán lỗ'!D225,'01. KE30'!A:A,9)/SUMIFS('01. KE30'!I:I,'01. KE30'!C:C,'06.1. BC bán lỗ'!B225,'01. KE30'!F:F,'06.1. BC bán lỗ'!D225,'01. KE30'!A:A,9)*1000</f>
        <v>617.28394739229032</v>
      </c>
      <c r="I225" s="709">
        <f>_xlfn.XLOOKUP('06.1. BC bán lỗ'!D225,'06. BC BH THEO CUSTOMER-USD'!H:H,'06. BC BH THEO CUSTOMER-USD'!AW:AW)</f>
        <v>700</v>
      </c>
      <c r="J225" s="709">
        <f>SUMIFS('06. BC BH THEO CUSTOMER-USD'!CM:CM,'06. BC BH THEO CUSTOMER-USD'!H:H,'06.1. BC bán lỗ'!D225,'06. BC BH THEO CUSTOMER-USD'!D:D,'06.1. BC bán lỗ'!B225)</f>
        <v>995.71441632653068</v>
      </c>
      <c r="K225" s="720">
        <f t="shared" si="52"/>
        <v>85.069444000000018</v>
      </c>
      <c r="L225" s="1236">
        <f t="shared" si="53"/>
        <v>-52.152448999999997</v>
      </c>
      <c r="M225" s="1237">
        <f t="shared" si="54"/>
        <v>-0.61305736287638113</v>
      </c>
      <c r="N225" s="1303"/>
      <c r="O225" s="713">
        <f t="shared" si="55"/>
        <v>-82.716052607709685</v>
      </c>
      <c r="P225" s="1060" t="s">
        <v>1099</v>
      </c>
      <c r="Q225" s="714"/>
    </row>
    <row r="226" spans="1:17" s="185" customFormat="1" ht="31.5" customHeight="1" outlineLevel="1" x14ac:dyDescent="0.35">
      <c r="A226" s="505">
        <f>SUBTOTAL(3,$B$208:B226)</f>
        <v>19</v>
      </c>
      <c r="B226" s="505" t="s">
        <v>965</v>
      </c>
      <c r="C226" s="526" t="s">
        <v>966</v>
      </c>
      <c r="D226" s="526" t="s">
        <v>536</v>
      </c>
      <c r="E226" s="707" t="s">
        <v>537</v>
      </c>
      <c r="F226" s="708" t="s">
        <v>295</v>
      </c>
      <c r="G226" s="717">
        <f>SUMIFS('06. BC BH THEO CUSTOMER-USD'!DA:DA,'06. BC BH THEO CUSTOMER-USD'!H:H,'06.1. BC bán lỗ'!D226,'06. BC BH THEO CUSTOMER-USD'!D:D,'06.1. BC bán lỗ'!B226)</f>
        <v>6</v>
      </c>
      <c r="H226" s="709">
        <f>SUMIFS('01. KE30'!X:X,'01. KE30'!C:C,'06.1. BC bán lỗ'!B226,'01. KE30'!F:F,'06.1. BC bán lỗ'!D226,'01. KE30'!A:A,9)/SUMIFS('01. KE30'!I:I,'01. KE30'!C:C,'06.1. BC bán lỗ'!B226,'01. KE30'!F:F,'06.1. BC bán lỗ'!D226,'01. KE30'!A:A,9)*1000</f>
        <v>571.42857142857144</v>
      </c>
      <c r="I226" s="709">
        <f>_xlfn.XLOOKUP('06.1. BC bán lỗ'!D226,'06. BC BH THEO CUSTOMER-USD'!H:H,'06. BC BH THEO CUSTOMER-USD'!AW:AW)</f>
        <v>700</v>
      </c>
      <c r="J226" s="709">
        <f>SUMIFS('06. BC BH THEO CUSTOMER-USD'!CM:CM,'06. BC BH THEO CUSTOMER-USD'!H:H,'06.1. BC bán lỗ'!D226,'06. BC BH THEO CUSTOMER-USD'!D:D,'06.1. BC bán lỗ'!B226)</f>
        <v>1047.4107047619048</v>
      </c>
      <c r="K226" s="710">
        <f t="shared" si="52"/>
        <v>90</v>
      </c>
      <c r="L226" s="1170">
        <f t="shared" si="53"/>
        <v>-74.967185999999984</v>
      </c>
      <c r="M226" s="712">
        <f t="shared" si="54"/>
        <v>-0.8329687333333331</v>
      </c>
      <c r="N226" s="716"/>
      <c r="O226" s="713">
        <f t="shared" si="55"/>
        <v>-128.57142857142856</v>
      </c>
      <c r="P226" s="714" t="s">
        <v>1100</v>
      </c>
      <c r="Q226" s="714"/>
    </row>
    <row r="227" spans="1:17" s="185" customFormat="1" ht="31.5" customHeight="1" outlineLevel="1" x14ac:dyDescent="0.35">
      <c r="A227" s="505">
        <f>SUBTOTAL(3,$B$208:B227)</f>
        <v>20</v>
      </c>
      <c r="B227" s="505" t="s">
        <v>21</v>
      </c>
      <c r="C227" s="526" t="s">
        <v>20</v>
      </c>
      <c r="D227" s="526" t="s">
        <v>538</v>
      </c>
      <c r="E227" s="707" t="s">
        <v>539</v>
      </c>
      <c r="F227" s="708" t="s">
        <v>23</v>
      </c>
      <c r="G227" s="1235">
        <f>SUMIFS('06. BC BH THEO CUSTOMER-USD'!DA:DA,'06. BC BH THEO CUSTOMER-USD'!H:H,'06.1. BC bán lỗ'!D227,'06. BC BH THEO CUSTOMER-USD'!D:D,'06.1. BC bán lỗ'!B227)</f>
        <v>16.5</v>
      </c>
      <c r="H227" s="709">
        <f>SUMIFS('01. KE30'!X:X,'01. KE30'!C:C,'06.1. BC bán lỗ'!B227,'01. KE30'!F:F,'06.1. BC bán lỗ'!D227,'01. KE30'!A:A,9)/SUMIFS('01. KE30'!I:I,'01. KE30'!C:C,'06.1. BC bán lỗ'!B227,'01. KE30'!F:F,'06.1. BC bán lỗ'!D227,'01. KE30'!A:A,9)*1000</f>
        <v>740.74073997113999</v>
      </c>
      <c r="I227" s="709">
        <f>_xlfn.XLOOKUP('06.1. BC bán lỗ'!D227,'06. BC BH THEO CUSTOMER-USD'!H:H,'06. BC BH THEO CUSTOMER-USD'!AW:AW)</f>
        <v>755</v>
      </c>
      <c r="J227" s="709">
        <f>SUMIFS('06. BC BH THEO CUSTOMER-USD'!CM:CM,'06. BC BH THEO CUSTOMER-USD'!H:H,'06.1. BC bán lỗ'!D227,'06. BC BH THEO CUSTOMER-USD'!D:D,'06.1. BC bán lỗ'!B227)</f>
        <v>1076.6619636363637</v>
      </c>
      <c r="K227" s="720">
        <f t="shared" si="52"/>
        <v>320.83333299999998</v>
      </c>
      <c r="L227" s="1236">
        <f t="shared" si="53"/>
        <v>-145.49588</v>
      </c>
      <c r="M227" s="1237">
        <f t="shared" si="54"/>
        <v>-0.45349365241921419</v>
      </c>
      <c r="N227" s="1234"/>
      <c r="O227" s="713">
        <f t="shared" si="55"/>
        <v>-14.259260028860012</v>
      </c>
      <c r="P227" s="714" t="s">
        <v>1098</v>
      </c>
      <c r="Q227" s="707"/>
    </row>
    <row r="228" spans="1:17" s="185" customFormat="1" ht="31.5" customHeight="1" outlineLevel="1" x14ac:dyDescent="0.35">
      <c r="A228" s="505">
        <f>SUBTOTAL(3,$B$208:B228)</f>
        <v>21</v>
      </c>
      <c r="B228" s="505" t="s">
        <v>17</v>
      </c>
      <c r="C228" s="526" t="s">
        <v>16</v>
      </c>
      <c r="D228" s="526" t="s">
        <v>1081</v>
      </c>
      <c r="E228" s="707" t="s">
        <v>1082</v>
      </c>
      <c r="F228" s="708" t="s">
        <v>23</v>
      </c>
      <c r="G228" s="1235">
        <f>SUMIFS('06. BC BH THEO CUSTOMER-USD'!DA:DA,'06. BC BH THEO CUSTOMER-USD'!H:H,'06.1. BC bán lỗ'!D228,'06. BC BH THEO CUSTOMER-USD'!D:D,'06.1. BC bán lỗ'!B228)</f>
        <v>5</v>
      </c>
      <c r="H228" s="709">
        <f>SUMIFS('01. KE30'!X:X,'01. KE30'!C:C,'06.1. BC bán lỗ'!B228,'01. KE30'!F:F,'06.1. BC bán lỗ'!D228,'01. KE30'!A:A,9)/SUMIFS('01. KE30'!I:I,'01. KE30'!C:C,'06.1. BC bán lỗ'!B228,'01. KE30'!F:F,'06.1. BC bán lỗ'!D228,'01. KE30'!A:A,9)*1000</f>
        <v>761.90476190476193</v>
      </c>
      <c r="I228" s="709">
        <f>_xlfn.XLOOKUP('06.1. BC bán lỗ'!D228,'06. BC BH THEO CUSTOMER-USD'!H:H,'06. BC BH THEO CUSTOMER-USD'!AW:AW)</f>
        <v>755</v>
      </c>
      <c r="J228" s="709">
        <f>SUMIFS('06. BC BH THEO CUSTOMER-USD'!CM:CM,'06. BC BH THEO CUSTOMER-USD'!H:H,'06.1. BC bán lỗ'!D228,'06. BC BH THEO CUSTOMER-USD'!D:D,'06.1. BC bán lỗ'!B228)</f>
        <v>1337.2532952380952</v>
      </c>
      <c r="K228" s="720">
        <f t="shared" si="52"/>
        <v>100</v>
      </c>
      <c r="L228" s="1236">
        <f t="shared" si="53"/>
        <v>-75.514494999999997</v>
      </c>
      <c r="M228" s="1237">
        <f t="shared" ref="M228:M229" si="56">L228/K228</f>
        <v>-0.75514494999999993</v>
      </c>
      <c r="N228" s="1234"/>
      <c r="O228" s="713">
        <f t="shared" si="55"/>
        <v>6.9047619047619264</v>
      </c>
      <c r="P228" s="714" t="s">
        <v>754</v>
      </c>
      <c r="Q228" s="707"/>
    </row>
    <row r="229" spans="1:17" s="185" customFormat="1" ht="31.5" customHeight="1" outlineLevel="1" x14ac:dyDescent="0.35">
      <c r="A229" s="505">
        <f>SUBTOTAL(3,$B$208:B229)</f>
        <v>22</v>
      </c>
      <c r="B229" s="505" t="s">
        <v>7</v>
      </c>
      <c r="C229" s="526" t="s">
        <v>6</v>
      </c>
      <c r="D229" s="526" t="s">
        <v>9</v>
      </c>
      <c r="E229" s="707" t="s">
        <v>8</v>
      </c>
      <c r="F229" s="708" t="s">
        <v>23</v>
      </c>
      <c r="G229" s="1235">
        <f>SUMIFS('06. BC BH THEO CUSTOMER-USD'!DA:DA,'06. BC BH THEO CUSTOMER-USD'!H:H,'06.1. BC bán lỗ'!D229,'06. BC BH THEO CUSTOMER-USD'!D:D,'06.1. BC bán lỗ'!B229)</f>
        <v>8</v>
      </c>
      <c r="H229" s="709">
        <f>SUMIFS('01. KE30'!X:X,'01. KE30'!C:C,'06.1. BC bán lỗ'!B229,'01. KE30'!F:F,'06.1. BC bán lỗ'!D229,'01. KE30'!A:A,9)/SUMIFS('01. KE30'!I:I,'01. KE30'!C:C,'06.1. BC bán lỗ'!B229,'01. KE30'!F:F,'06.1. BC bán lỗ'!D229,'01. KE30'!A:A,9)*1000</f>
        <v>1050.3010222222222</v>
      </c>
      <c r="I229" s="709">
        <f>_xlfn.XLOOKUP('06.1. BC bán lỗ'!D229,'06. BC BH THEO CUSTOMER-USD'!H:H,'06. BC BH THEO CUSTOMER-USD'!AW:AW)</f>
        <v>755</v>
      </c>
      <c r="J229" s="709">
        <f>SUMIFS('06. BC BH THEO CUSTOMER-USD'!CM:CM,'06. BC BH THEO CUSTOMER-USD'!H:H,'06.1. BC bán lỗ'!D229,'06. BC BH THEO CUSTOMER-USD'!D:D,'06.1. BC bán lỗ'!B229)</f>
        <v>1080.217119047619</v>
      </c>
      <c r="K229" s="720">
        <f t="shared" si="52"/>
        <v>220.56321466666665</v>
      </c>
      <c r="L229" s="1236">
        <f t="shared" si="53"/>
        <v>-6.282380333333335</v>
      </c>
      <c r="M229" s="1237">
        <f t="shared" si="56"/>
        <v>-2.8483354954849507E-2</v>
      </c>
      <c r="N229" s="1234"/>
      <c r="O229" s="713">
        <f t="shared" si="55"/>
        <v>295.30102222222217</v>
      </c>
      <c r="P229" s="714" t="s">
        <v>754</v>
      </c>
      <c r="Q229" s="707"/>
    </row>
    <row r="230" spans="1:17" s="185" customFormat="1" ht="31.5" customHeight="1" outlineLevel="1" x14ac:dyDescent="0.35">
      <c r="A230" s="505">
        <f>SUBTOTAL(3,$B$208:B230)</f>
        <v>23</v>
      </c>
      <c r="B230" s="505" t="s">
        <v>7</v>
      </c>
      <c r="C230" s="526" t="s">
        <v>6</v>
      </c>
      <c r="D230" s="526" t="s">
        <v>5</v>
      </c>
      <c r="E230" s="707" t="s">
        <v>4</v>
      </c>
      <c r="F230" s="708" t="s">
        <v>23</v>
      </c>
      <c r="G230" s="1235">
        <f>SUMIFS('06. BC BH THEO CUSTOMER-USD'!DA:DA,'06. BC BH THEO CUSTOMER-USD'!H:H,'06.1. BC bán lỗ'!D230,'06. BC BH THEO CUSTOMER-USD'!D:D,'06.1. BC bán lỗ'!B230)</f>
        <v>16</v>
      </c>
      <c r="H230" s="709">
        <f>SUMIFS('01. KE30'!X:X,'01. KE30'!C:C,'06.1. BC bán lỗ'!B230,'01. KE30'!F:F,'06.1. BC bán lỗ'!D230,'01. KE30'!A:A,9)/SUMIFS('01. KE30'!I:I,'01. KE30'!C:C,'06.1. BC bán lỗ'!B230,'01. KE30'!F:F,'06.1. BC bán lỗ'!D230,'01. KE30'!A:A,9)*1000</f>
        <v>1050.3010222222222</v>
      </c>
      <c r="I230" s="709">
        <f>_xlfn.XLOOKUP('06.1. BC bán lỗ'!D230,'06. BC BH THEO CUSTOMER-USD'!H:H,'06. BC BH THEO CUSTOMER-USD'!AW:AW)</f>
        <v>755</v>
      </c>
      <c r="J230" s="709">
        <f>SUMIFS('06. BC BH THEO CUSTOMER-USD'!CM:CM,'06. BC BH THEO CUSTOMER-USD'!H:H,'06.1. BC bán lỗ'!D230,'06. BC BH THEO CUSTOMER-USD'!D:D,'06.1. BC bán lỗ'!B230)</f>
        <v>1075.2856309523809</v>
      </c>
      <c r="K230" s="720">
        <f t="shared" si="52"/>
        <v>441.12642933333331</v>
      </c>
      <c r="L230" s="1236">
        <f t="shared" si="53"/>
        <v>-10.493535666666652</v>
      </c>
      <c r="M230" s="1237">
        <f t="shared" si="54"/>
        <v>-2.3788045714071927E-2</v>
      </c>
      <c r="N230" s="714"/>
      <c r="O230" s="713">
        <f t="shared" si="55"/>
        <v>295.30102222222217</v>
      </c>
      <c r="P230" s="714" t="s">
        <v>754</v>
      </c>
      <c r="Q230" s="714"/>
    </row>
    <row r="231" spans="1:17" s="185" customFormat="1" ht="31.5" customHeight="1" outlineLevel="1" x14ac:dyDescent="0.35">
      <c r="A231" s="505">
        <f>SUBTOTAL(3,$B$208:B231)</f>
        <v>24</v>
      </c>
      <c r="B231" s="505" t="s">
        <v>965</v>
      </c>
      <c r="C231" s="526" t="s">
        <v>966</v>
      </c>
      <c r="D231" s="526" t="s">
        <v>19</v>
      </c>
      <c r="E231" s="707" t="s">
        <v>18</v>
      </c>
      <c r="F231" s="708" t="s">
        <v>269</v>
      </c>
      <c r="G231" s="1235">
        <f>SUMIFS('06. BC BH THEO CUSTOMER-USD'!DA:DA,'06. BC BH THEO CUSTOMER-USD'!H:H,'06.1. BC bán lỗ'!D231,'06. BC BH THEO CUSTOMER-USD'!D:D,'06.1. BC bán lỗ'!B231)</f>
        <v>6</v>
      </c>
      <c r="H231" s="709">
        <f>SUMIFS('01. KE30'!X:X,'01. KE30'!C:C,'06.1. BC bán lỗ'!B231,'01. KE30'!F:F,'06.1. BC bán lỗ'!D231,'01. KE30'!A:A,9)/SUMIFS('01. KE30'!I:I,'01. KE30'!C:C,'06.1. BC bán lỗ'!B231,'01. KE30'!F:F,'06.1. BC bán lỗ'!D231,'01. KE30'!A:A,9)*1000</f>
        <v>617.28394920634923</v>
      </c>
      <c r="I231" s="709">
        <f>_xlfn.XLOOKUP('06.1. BC bán lỗ'!D231,'06. BC BH THEO CUSTOMER-USD'!H:H,'06. BC BH THEO CUSTOMER-USD'!AW:AW)</f>
        <v>660</v>
      </c>
      <c r="J231" s="709">
        <f>SUMIFS('06. BC BH THEO CUSTOMER-USD'!CM:CM,'06. BC BH THEO CUSTOMER-USD'!H:H,'06.1. BC bán lỗ'!D231,'06. BC BH THEO CUSTOMER-USD'!D:D,'06.1. BC bán lỗ'!B231)</f>
        <v>776.50519999999995</v>
      </c>
      <c r="K231" s="720">
        <f t="shared" si="52"/>
        <v>97.222222000000002</v>
      </c>
      <c r="L231" s="1291">
        <f t="shared" si="53"/>
        <v>-25.077346999999989</v>
      </c>
      <c r="M231" s="1237">
        <f>L231/K231</f>
        <v>-0.25793842687528773</v>
      </c>
      <c r="N231" s="714"/>
      <c r="O231" s="713">
        <f t="shared" si="55"/>
        <v>-42.716050793650766</v>
      </c>
      <c r="P231" s="1060"/>
      <c r="Q231" s="707"/>
    </row>
    <row r="232" spans="1:17" outlineLevel="1" x14ac:dyDescent="0.35">
      <c r="A232" s="356"/>
      <c r="B232" s="357"/>
      <c r="C232" s="357"/>
      <c r="D232" s="357"/>
      <c r="E232" s="358" t="s">
        <v>436</v>
      </c>
      <c r="F232" s="358"/>
      <c r="G232" s="385">
        <f>SUBTOTAL(9,G208:G231)</f>
        <v>826.52499999999998</v>
      </c>
      <c r="H232" s="449"/>
      <c r="I232" s="449"/>
      <c r="J232" s="449"/>
      <c r="K232" s="385">
        <f>SUBTOTAL(9,K208:K231)</f>
        <v>15690.942933263692</v>
      </c>
      <c r="L232" s="1171">
        <f>SUBTOTAL(9,L208:L231)</f>
        <v>-6526.7380407363107</v>
      </c>
      <c r="M232" s="396">
        <f>L232/K232</f>
        <v>-0.41595575667413121</v>
      </c>
      <c r="N232" s="719"/>
      <c r="O232" s="699"/>
    </row>
  </sheetData>
  <autoFilter ref="A207:V231" xr:uid="{9BB56D62-603B-4F12-A767-62507E6D32DA}"/>
  <sortState xmlns:xlrd2="http://schemas.microsoft.com/office/spreadsheetml/2017/richdata2" ref="A21:N30">
    <sortCondition ref="L21:L30"/>
  </sortState>
  <mergeCells count="15">
    <mergeCell ref="N213:N215"/>
    <mergeCell ref="N224:N225"/>
    <mergeCell ref="N114:N115"/>
    <mergeCell ref="N48:N49"/>
    <mergeCell ref="N51:N53"/>
    <mergeCell ref="N87:N88"/>
    <mergeCell ref="N106:N112"/>
    <mergeCell ref="N196:N197"/>
    <mergeCell ref="N185:N187"/>
    <mergeCell ref="N151:N153"/>
    <mergeCell ref="N164:N165"/>
    <mergeCell ref="N126:N127"/>
    <mergeCell ref="N129:N131"/>
    <mergeCell ref="N138:N139"/>
    <mergeCell ref="N189:N194"/>
  </mergeCells>
  <hyperlinks>
    <hyperlink ref="A1" location="'00. DM'!A1" display="00. DM" xr:uid="{1DDF4C83-A431-47B3-8AEC-F29D535DCBB0}"/>
  </hyperlinks>
  <pageMargins left="0.7" right="0.7" top="0.75" bottom="0.75" header="0.3" footer="0.3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F598F-BEB5-4E78-B737-B63572317E61}">
  <sheetPr>
    <tabColor rgb="FF00B0F0"/>
  </sheetPr>
  <dimension ref="A1:T106"/>
  <sheetViews>
    <sheetView zoomScale="85" zoomScaleNormal="85" workbookViewId="0">
      <pane xSplit="4" ySplit="5" topLeftCell="E6" activePane="bottomRight" state="frozen"/>
      <selection pane="topRight"/>
      <selection pane="bottomLeft"/>
      <selection pane="bottomRight" activeCell="L66" sqref="L66"/>
    </sheetView>
  </sheetViews>
  <sheetFormatPr defaultRowHeight="14.5" outlineLevelRow="1" x14ac:dyDescent="0.35"/>
  <cols>
    <col min="1" max="1" width="5.6328125" customWidth="1"/>
    <col min="2" max="2" width="23.54296875" customWidth="1"/>
    <col min="3" max="3" width="19.54296875" customWidth="1"/>
    <col min="4" max="4" width="12.6328125" customWidth="1"/>
    <col min="5" max="5" width="11.90625" customWidth="1"/>
    <col min="6" max="6" width="11.6328125" customWidth="1"/>
    <col min="7" max="8" width="12.453125" customWidth="1"/>
    <col min="9" max="10" width="10.81640625" bestFit="1" customWidth="1"/>
    <col min="11" max="20" width="11.6328125" customWidth="1"/>
  </cols>
  <sheetData>
    <row r="1" spans="1:20" ht="21" x14ac:dyDescent="0.5">
      <c r="A1" s="528" t="s">
        <v>587</v>
      </c>
      <c r="B1" s="528"/>
      <c r="C1" s="297" t="s">
        <v>584</v>
      </c>
      <c r="J1" s="481"/>
    </row>
    <row r="2" spans="1:20" x14ac:dyDescent="0.35">
      <c r="F2" s="343"/>
      <c r="G2" s="343"/>
    </row>
    <row r="3" spans="1:20" ht="18.5" x14ac:dyDescent="0.45">
      <c r="A3" s="835"/>
      <c r="B3" s="835"/>
      <c r="C3" s="835" t="s">
        <v>806</v>
      </c>
      <c r="D3" s="502"/>
    </row>
    <row r="4" spans="1:20" x14ac:dyDescent="0.35">
      <c r="E4" s="501">
        <f>SUM(E6:E25)</f>
        <v>31122.724999999999</v>
      </c>
      <c r="F4" s="501">
        <f t="shared" ref="F4:G4" si="0">SUM(F6:F25)</f>
        <v>2593.5604166666672</v>
      </c>
      <c r="G4" s="501">
        <f t="shared" si="0"/>
        <v>3920.6508888888893</v>
      </c>
      <c r="H4" s="500">
        <f>SUM(H6:H25)</f>
        <v>28953.532999999996</v>
      </c>
      <c r="I4" s="503">
        <f t="shared" ref="I4:T4" si="1">SUM(I6:I25)</f>
        <v>3269.0499999999993</v>
      </c>
      <c r="J4" s="503">
        <f t="shared" si="1"/>
        <v>4033.1</v>
      </c>
      <c r="K4" s="503">
        <f t="shared" si="1"/>
        <v>3243.4749999999999</v>
      </c>
      <c r="L4" s="503">
        <f t="shared" si="1"/>
        <v>3191.6499999999996</v>
      </c>
      <c r="M4" s="503">
        <f t="shared" si="1"/>
        <v>3232.625</v>
      </c>
      <c r="N4" s="503">
        <f t="shared" si="1"/>
        <v>2985.1079999999997</v>
      </c>
      <c r="O4" s="503">
        <f t="shared" si="1"/>
        <v>3309.9</v>
      </c>
      <c r="P4" s="503">
        <f t="shared" si="1"/>
        <v>3938.5250000000001</v>
      </c>
      <c r="Q4" s="503">
        <f t="shared" si="1"/>
        <v>1750.1</v>
      </c>
      <c r="R4" s="503">
        <f t="shared" si="1"/>
        <v>0</v>
      </c>
      <c r="S4" s="503">
        <f t="shared" si="1"/>
        <v>0</v>
      </c>
      <c r="T4" s="503">
        <f t="shared" si="1"/>
        <v>0</v>
      </c>
    </row>
    <row r="5" spans="1:20" x14ac:dyDescent="0.35">
      <c r="A5" s="351" t="s">
        <v>174</v>
      </c>
      <c r="B5" s="351"/>
      <c r="C5" s="351" t="s">
        <v>479</v>
      </c>
      <c r="D5" s="351" t="s">
        <v>411</v>
      </c>
      <c r="E5" s="842">
        <v>2024</v>
      </c>
      <c r="F5" s="842" t="s">
        <v>380</v>
      </c>
      <c r="G5" s="404" t="s">
        <v>382</v>
      </c>
      <c r="H5" s="404">
        <v>2025</v>
      </c>
      <c r="I5" s="404">
        <v>1</v>
      </c>
      <c r="J5" s="404">
        <v>2</v>
      </c>
      <c r="K5" s="404">
        <v>3</v>
      </c>
      <c r="L5" s="404">
        <v>4</v>
      </c>
      <c r="M5" s="404">
        <v>5</v>
      </c>
      <c r="N5" s="404">
        <v>6</v>
      </c>
      <c r="O5" s="404">
        <v>7</v>
      </c>
      <c r="P5" s="404">
        <v>8</v>
      </c>
      <c r="Q5" s="404">
        <v>9</v>
      </c>
      <c r="R5" s="404">
        <v>10</v>
      </c>
      <c r="S5" s="404">
        <v>11</v>
      </c>
      <c r="T5" s="404">
        <v>12</v>
      </c>
    </row>
    <row r="6" spans="1:20" x14ac:dyDescent="0.35">
      <c r="A6" s="504">
        <v>1</v>
      </c>
      <c r="B6" s="849" t="str">
        <f>C6&amp;"_"&amp;D6</f>
        <v>Niagara_rPET</v>
      </c>
      <c r="C6" s="309" t="s">
        <v>501</v>
      </c>
      <c r="D6" s="506" t="s">
        <v>283</v>
      </c>
      <c r="E6" s="839">
        <v>10802</v>
      </c>
      <c r="F6" s="839">
        <f>E6/12</f>
        <v>900.16666666666663</v>
      </c>
      <c r="G6" s="507">
        <f>IFERROR(H6/(12-COUNTIF(I6:T6,0)),0)</f>
        <v>1346.8888888888889</v>
      </c>
      <c r="H6" s="507">
        <f t="shared" ref="H6:H22" si="2">SUM(I6:T6)</f>
        <v>12122</v>
      </c>
      <c r="I6" s="508">
        <f>SUMIFS('06. BC BH THEO CUSTOMER-USD'!CS$5:CS$228,'06. BC BH THEO CUSTOMER-USD'!$C$5:$C$228,'06.2. KH chính'!$C6,'06. BC BH THEO CUSTOMER-USD'!$B$5:$B$228,'06.2. KH chính'!$D6)</f>
        <v>2376</v>
      </c>
      <c r="J6" s="508">
        <f>SUMIFS('06. BC BH THEO CUSTOMER-USD'!CT$5:CT$228,'06. BC BH THEO CUSTOMER-USD'!$C$5:$C$228,'06.2. KH chính'!$C6,'06. BC BH THEO CUSTOMER-USD'!$B$5:$B$228,'06.2. KH chính'!$D6)</f>
        <v>1672</v>
      </c>
      <c r="K6" s="508">
        <f>SUMIFS('06. BC BH THEO CUSTOMER-USD'!CU$5:CU$228,'06. BC BH THEO CUSTOMER-USD'!$C$5:$C$228,'06.2. KH chính'!$C6,'06. BC BH THEO CUSTOMER-USD'!$B$5:$B$228,'06.2. KH chính'!$D6)</f>
        <v>1078</v>
      </c>
      <c r="L6" s="508">
        <f>SUMIFS('06. BC BH THEO CUSTOMER-USD'!CV$5:CV$228,'06. BC BH THEO CUSTOMER-USD'!$C$5:$C$228,'06.2. KH chính'!$C6,'06. BC BH THEO CUSTOMER-USD'!$B$5:$B$228,'06.2. KH chính'!$D6)</f>
        <v>1408</v>
      </c>
      <c r="M6" s="508">
        <f>SUMIFS('06. BC BH THEO CUSTOMER-USD'!CW$5:CW$228,'06. BC BH THEO CUSTOMER-USD'!$C$5:$C$228,'06.2. KH chính'!$C6,'06. BC BH THEO CUSTOMER-USD'!$B$5:$B$228,'06.2. KH chính'!$D6)</f>
        <v>1320</v>
      </c>
      <c r="N6" s="508">
        <f>SUMIFS('06. BC BH THEO CUSTOMER-USD'!CX$5:CX$228,'06. BC BH THEO CUSTOMER-USD'!$C$5:$C$228,'06.2. KH chính'!$C6,'06. BC BH THEO CUSTOMER-USD'!$B$5:$B$228,'06.2. KH chính'!$D6)</f>
        <v>748</v>
      </c>
      <c r="O6" s="508">
        <f>SUMIFS('06. BC BH THEO CUSTOMER-USD'!CY$5:CY$228,'06. BC BH THEO CUSTOMER-USD'!$C$5:$C$228,'06.2. KH chính'!$C6,'06. BC BH THEO CUSTOMER-USD'!$B$5:$B$228,'06.2. KH chính'!$D6)</f>
        <v>1672</v>
      </c>
      <c r="P6" s="508">
        <f>SUMIFS('06. BC BH THEO CUSTOMER-USD'!CZ$5:CZ$228,'06. BC BH THEO CUSTOMER-USD'!$C$5:$C$228,'06.2. KH chính'!$C6,'06. BC BH THEO CUSTOMER-USD'!$B$5:$B$228,'06.2. KH chính'!$D6)</f>
        <v>1210</v>
      </c>
      <c r="Q6" s="508">
        <f>SUMIFS('06. BC BH THEO CUSTOMER-USD'!DA$5:DA$228,'06. BC BH THEO CUSTOMER-USD'!$C$5:$C$228,'06.2. KH chính'!$C6,'06. BC BH THEO CUSTOMER-USD'!$B$5:$B$228,'06.2. KH chính'!$D6)</f>
        <v>638</v>
      </c>
      <c r="R6" s="508">
        <f>SUMIFS('06. BC BH THEO CUSTOMER-USD'!DB$5:DB$228,'06. BC BH THEO CUSTOMER-USD'!$C$5:$C$228,'06.2. KH chính'!$C6,'06. BC BH THEO CUSTOMER-USD'!$B$5:$B$228,'06.2. KH chính'!$D6)</f>
        <v>0</v>
      </c>
      <c r="S6" s="508">
        <f>SUMIFS('06. BC BH THEO CUSTOMER-USD'!DC$5:DC$228,'06. BC BH THEO CUSTOMER-USD'!$C$5:$C$228,'06.2. KH chính'!$C6,'06. BC BH THEO CUSTOMER-USD'!$B$5:$B$228,'06.2. KH chính'!$D6)</f>
        <v>0</v>
      </c>
      <c r="T6" s="508">
        <f>SUMIFS('06. BC BH THEO CUSTOMER-USD'!DD$5:DD$228,'06. BC BH THEO CUSTOMER-USD'!$C$5:$C$228,'06.2. KH chính'!$C6,'06. BC BH THEO CUSTOMER-USD'!$B$5:$B$228,'06.2. KH chính'!$D6)</f>
        <v>0</v>
      </c>
    </row>
    <row r="7" spans="1:20" x14ac:dyDescent="0.35">
      <c r="A7" s="505">
        <v>2</v>
      </c>
      <c r="B7" s="850" t="str">
        <f t="shared" ref="B7:B23" si="3">C7&amp;"_"&amp;D7</f>
        <v>La vie_rPET</v>
      </c>
      <c r="C7" s="310" t="s">
        <v>507</v>
      </c>
      <c r="D7" s="498" t="s">
        <v>283</v>
      </c>
      <c r="E7" s="840">
        <v>3540</v>
      </c>
      <c r="F7" s="840">
        <f t="shared" ref="F7:F23" si="4">E7/12</f>
        <v>295</v>
      </c>
      <c r="G7" s="509">
        <f t="shared" ref="G7:G23" si="5">IFERROR(H7/(12-COUNTIF(I7:T7,0)),0)</f>
        <v>106.28749999999999</v>
      </c>
      <c r="H7" s="509">
        <f t="shared" si="2"/>
        <v>425.15</v>
      </c>
      <c r="I7" s="510">
        <f>SUMIFS('06. BC BH THEO CUSTOMER-USD'!CS$5:CS$228,'06. BC BH THEO CUSTOMER-USD'!$C$5:$C$228,'06.2. KH chính'!$C7,'06. BC BH THEO CUSTOMER-USD'!$B$5:$B$228,'06.2. KH chính'!$D7)</f>
        <v>2.2000000000000002</v>
      </c>
      <c r="J7" s="510">
        <f>SUMIFS('06. BC BH THEO CUSTOMER-USD'!CT$5:CT$228,'06. BC BH THEO CUSTOMER-USD'!$C$5:$C$228,'06.2. KH chính'!$C7,'06. BC BH THEO CUSTOMER-USD'!$B$5:$B$228,'06.2. KH chính'!$D7)</f>
        <v>0</v>
      </c>
      <c r="K7" s="510">
        <f>SUMIFS('06. BC BH THEO CUSTOMER-USD'!CU$5:CU$228,'06. BC BH THEO CUSTOMER-USD'!$C$5:$C$228,'06.2. KH chính'!$C7,'06. BC BH THEO CUSTOMER-USD'!$B$5:$B$228,'06.2. KH chính'!$D7)</f>
        <v>0</v>
      </c>
      <c r="L7" s="510">
        <f>SUMIFS('06. BC BH THEO CUSTOMER-USD'!CV$5:CV$228,'06. BC BH THEO CUSTOMER-USD'!$C$5:$C$228,'06.2. KH chính'!$C7,'06. BC BH THEO CUSTOMER-USD'!$B$5:$B$228,'06.2. KH chính'!$D7)</f>
        <v>0</v>
      </c>
      <c r="M7" s="510">
        <f>SUMIFS('06. BC BH THEO CUSTOMER-USD'!CW$5:CW$228,'06. BC BH THEO CUSTOMER-USD'!$C$5:$C$228,'06.2. KH chính'!$C7,'06. BC BH THEO CUSTOMER-USD'!$B$5:$B$228,'06.2. KH chính'!$D7)</f>
        <v>0.55000000000000004</v>
      </c>
      <c r="N7" s="510">
        <f>SUMIFS('06. BC BH THEO CUSTOMER-USD'!CX$5:CX$228,'06. BC BH THEO CUSTOMER-USD'!$C$5:$C$228,'06.2. KH chính'!$C7,'06. BC BH THEO CUSTOMER-USD'!$B$5:$B$228,'06.2. KH chính'!$D7)</f>
        <v>0</v>
      </c>
      <c r="O7" s="510">
        <f>SUMIFS('06. BC BH THEO CUSTOMER-USD'!CY$5:CY$228,'06. BC BH THEO CUSTOMER-USD'!$C$5:$C$228,'06.2. KH chính'!$C7,'06. BC BH THEO CUSTOMER-USD'!$B$5:$B$228,'06.2. KH chính'!$D7)</f>
        <v>0</v>
      </c>
      <c r="P7" s="510">
        <f>SUMIFS('06. BC BH THEO CUSTOMER-USD'!CZ$5:CZ$228,'06. BC BH THEO CUSTOMER-USD'!$C$5:$C$228,'06.2. KH chính'!$C7,'06. BC BH THEO CUSTOMER-USD'!$B$5:$B$228,'06.2. KH chính'!$D7)</f>
        <v>184.8</v>
      </c>
      <c r="Q7" s="510">
        <f>SUMIFS('06. BC BH THEO CUSTOMER-USD'!DA$5:DA$228,'06. BC BH THEO CUSTOMER-USD'!$C$5:$C$228,'06.2. KH chính'!$C7,'06. BC BH THEO CUSTOMER-USD'!$B$5:$B$228,'06.2. KH chính'!$D7)</f>
        <v>237.6</v>
      </c>
      <c r="R7" s="510">
        <f>SUMIFS('06. BC BH THEO CUSTOMER-USD'!DB$5:DB$228,'06. BC BH THEO CUSTOMER-USD'!$C$5:$C$228,'06.2. KH chính'!$C7,'06. BC BH THEO CUSTOMER-USD'!$B$5:$B$228,'06.2. KH chính'!$D7)</f>
        <v>0</v>
      </c>
      <c r="S7" s="510">
        <f>SUMIFS('06. BC BH THEO CUSTOMER-USD'!DC$5:DC$228,'06. BC BH THEO CUSTOMER-USD'!$C$5:$C$228,'06.2. KH chính'!$C7,'06. BC BH THEO CUSTOMER-USD'!$B$5:$B$228,'06.2. KH chính'!$D7)</f>
        <v>0</v>
      </c>
      <c r="T7" s="510">
        <f>SUMIFS('06. BC BH THEO CUSTOMER-USD'!DD$5:DD$228,'06. BC BH THEO CUSTOMER-USD'!$C$5:$C$228,'06.2. KH chính'!$C7,'06. BC BH THEO CUSTOMER-USD'!$B$5:$B$228,'06.2. KH chính'!$D7)</f>
        <v>0</v>
      </c>
    </row>
    <row r="8" spans="1:20" x14ac:dyDescent="0.35">
      <c r="A8" s="505">
        <v>3</v>
      </c>
      <c r="B8" s="850" t="str">
        <f t="shared" si="3"/>
        <v>Premium Water_rPET</v>
      </c>
      <c r="C8" s="310" t="s">
        <v>505</v>
      </c>
      <c r="D8" s="498" t="s">
        <v>283</v>
      </c>
      <c r="E8" s="840">
        <v>2418.5</v>
      </c>
      <c r="F8" s="840">
        <f t="shared" si="4"/>
        <v>201.54166666666666</v>
      </c>
      <c r="G8" s="509">
        <f t="shared" si="5"/>
        <v>220</v>
      </c>
      <c r="H8" s="509">
        <f t="shared" si="2"/>
        <v>440</v>
      </c>
      <c r="I8" s="510">
        <f>SUMIFS('06. BC BH THEO CUSTOMER-USD'!CS$5:CS$228,'06. BC BH THEO CUSTOMER-USD'!$C$5:$C$228,'06.2. KH chính'!$C8,'06. BC BH THEO CUSTOMER-USD'!$B$5:$B$228,'06.2. KH chính'!$D8)</f>
        <v>0</v>
      </c>
      <c r="J8" s="510">
        <f>SUMIFS('06. BC BH THEO CUSTOMER-USD'!CT$5:CT$228,'06. BC BH THEO CUSTOMER-USD'!$C$5:$C$228,'06.2. KH chính'!$C8,'06. BC BH THEO CUSTOMER-USD'!$B$5:$B$228,'06.2. KH chính'!$D8)</f>
        <v>0</v>
      </c>
      <c r="K8" s="510">
        <f>SUMIFS('06. BC BH THEO CUSTOMER-USD'!CU$5:CU$228,'06. BC BH THEO CUSTOMER-USD'!$C$5:$C$228,'06.2. KH chính'!$C8,'06. BC BH THEO CUSTOMER-USD'!$B$5:$B$228,'06.2. KH chính'!$D8)</f>
        <v>0</v>
      </c>
      <c r="L8" s="510">
        <f>SUMIFS('06. BC BH THEO CUSTOMER-USD'!CV$5:CV$228,'06. BC BH THEO CUSTOMER-USD'!$C$5:$C$228,'06.2. KH chính'!$C8,'06. BC BH THEO CUSTOMER-USD'!$B$5:$B$228,'06.2. KH chính'!$D8)</f>
        <v>0</v>
      </c>
      <c r="M8" s="510">
        <f>SUMIFS('06. BC BH THEO CUSTOMER-USD'!CW$5:CW$228,'06. BC BH THEO CUSTOMER-USD'!$C$5:$C$228,'06.2. KH chính'!$C8,'06. BC BH THEO CUSTOMER-USD'!$B$5:$B$228,'06.2. KH chính'!$D8)</f>
        <v>0</v>
      </c>
      <c r="N8" s="510">
        <f>SUMIFS('06. BC BH THEO CUSTOMER-USD'!CX$5:CX$228,'06. BC BH THEO CUSTOMER-USD'!$C$5:$C$228,'06.2. KH chính'!$C8,'06. BC BH THEO CUSTOMER-USD'!$B$5:$B$228,'06.2. KH chính'!$D8)</f>
        <v>220</v>
      </c>
      <c r="O8" s="510">
        <f>SUMIFS('06. BC BH THEO CUSTOMER-USD'!CY$5:CY$228,'06. BC BH THEO CUSTOMER-USD'!$C$5:$C$228,'06.2. KH chính'!$C8,'06. BC BH THEO CUSTOMER-USD'!$B$5:$B$228,'06.2. KH chính'!$D8)</f>
        <v>0</v>
      </c>
      <c r="P8" s="510">
        <f>SUMIFS('06. BC BH THEO CUSTOMER-USD'!CZ$5:CZ$228,'06. BC BH THEO CUSTOMER-USD'!$C$5:$C$228,'06.2. KH chính'!$C8,'06. BC BH THEO CUSTOMER-USD'!$B$5:$B$228,'06.2. KH chính'!$D8)</f>
        <v>220</v>
      </c>
      <c r="Q8" s="510">
        <f>SUMIFS('06. BC BH THEO CUSTOMER-USD'!DA$5:DA$228,'06. BC BH THEO CUSTOMER-USD'!$C$5:$C$228,'06.2. KH chính'!$C8,'06. BC BH THEO CUSTOMER-USD'!$B$5:$B$228,'06.2. KH chính'!$D8)</f>
        <v>0</v>
      </c>
      <c r="R8" s="510">
        <f>SUMIFS('06. BC BH THEO CUSTOMER-USD'!DB$5:DB$228,'06. BC BH THEO CUSTOMER-USD'!$C$5:$C$228,'06.2. KH chính'!$C8,'06. BC BH THEO CUSTOMER-USD'!$B$5:$B$228,'06.2. KH chính'!$D8)</f>
        <v>0</v>
      </c>
      <c r="S8" s="510">
        <f>SUMIFS('06. BC BH THEO CUSTOMER-USD'!DC$5:DC$228,'06. BC BH THEO CUSTOMER-USD'!$C$5:$C$228,'06.2. KH chính'!$C8,'06. BC BH THEO CUSTOMER-USD'!$B$5:$B$228,'06.2. KH chính'!$D8)</f>
        <v>0</v>
      </c>
      <c r="T8" s="510">
        <f>SUMIFS('06. BC BH THEO CUSTOMER-USD'!DD$5:DD$228,'06. BC BH THEO CUSTOMER-USD'!$C$5:$C$228,'06.2. KH chính'!$C8,'06. BC BH THEO CUSTOMER-USD'!$B$5:$B$228,'06.2. KH chính'!$D8)</f>
        <v>0</v>
      </c>
    </row>
    <row r="9" spans="1:20" x14ac:dyDescent="0.35">
      <c r="A9" s="505">
        <v>4</v>
      </c>
      <c r="B9" s="850" t="str">
        <f t="shared" si="3"/>
        <v>Suntory_rPET</v>
      </c>
      <c r="C9" s="310" t="s">
        <v>119</v>
      </c>
      <c r="D9" s="499" t="s">
        <v>283</v>
      </c>
      <c r="E9" s="840">
        <v>2326.4</v>
      </c>
      <c r="F9" s="840">
        <f t="shared" si="4"/>
        <v>193.86666666666667</v>
      </c>
      <c r="G9" s="509">
        <f t="shared" si="5"/>
        <v>362.2258888888889</v>
      </c>
      <c r="H9" s="509">
        <f t="shared" si="2"/>
        <v>3260.0329999999999</v>
      </c>
      <c r="I9" s="510">
        <f>SUMIFS('06. BC BH THEO CUSTOMER-USD'!CS$5:CS$228,'06. BC BH THEO CUSTOMER-USD'!$C$5:$C$228,'06.2. KH chính'!$C9,'06. BC BH THEO CUSTOMER-USD'!$B$5:$B$228,'06.2. KH chính'!$D9)</f>
        <v>205.7</v>
      </c>
      <c r="J9" s="510">
        <f>SUMIFS('06. BC BH THEO CUSTOMER-USD'!CT$5:CT$228,'06. BC BH THEO CUSTOMER-USD'!$C$5:$C$228,'06.2. KH chính'!$C9,'06. BC BH THEO CUSTOMER-USD'!$B$5:$B$228,'06.2. KH chính'!$D9)</f>
        <v>638</v>
      </c>
      <c r="K9" s="510">
        <f>SUMIFS('06. BC BH THEO CUSTOMER-USD'!CU$5:CU$228,'06. BC BH THEO CUSTOMER-USD'!$C$5:$C$228,'06.2. KH chính'!$C9,'06. BC BH THEO CUSTOMER-USD'!$B$5:$B$228,'06.2. KH chính'!$D9)</f>
        <v>174.9</v>
      </c>
      <c r="L9" s="510">
        <f>SUMIFS('06. BC BH THEO CUSTOMER-USD'!CV$5:CV$228,'06. BC BH THEO CUSTOMER-USD'!$C$5:$C$228,'06.2. KH chính'!$C9,'06. BC BH THEO CUSTOMER-USD'!$B$5:$B$228,'06.2. KH chính'!$D9)</f>
        <v>399.3</v>
      </c>
      <c r="M9" s="510">
        <f>SUMIFS('06. BC BH THEO CUSTOMER-USD'!CW$5:CW$228,'06. BC BH THEO CUSTOMER-USD'!$C$5:$C$228,'06.2. KH chính'!$C9,'06. BC BH THEO CUSTOMER-USD'!$B$5:$B$228,'06.2. KH chính'!$D9)</f>
        <v>374</v>
      </c>
      <c r="N9" s="510">
        <f>SUMIFS('06. BC BH THEO CUSTOMER-USD'!CX$5:CX$228,'06. BC BH THEO CUSTOMER-USD'!$C$5:$C$228,'06.2. KH chính'!$C9,'06. BC BH THEO CUSTOMER-USD'!$B$5:$B$228,'06.2. KH chính'!$D9)</f>
        <v>373.63299999999998</v>
      </c>
      <c r="O9" s="510">
        <f>SUMIFS('06. BC BH THEO CUSTOMER-USD'!CY$5:CY$228,'06. BC BH THEO CUSTOMER-USD'!$C$5:$C$228,'06.2. KH chính'!$C9,'06. BC BH THEO CUSTOMER-USD'!$B$5:$B$228,'06.2. KH chính'!$D9)</f>
        <v>198</v>
      </c>
      <c r="P9" s="510">
        <f>SUMIFS('06. BC BH THEO CUSTOMER-USD'!CZ$5:CZ$228,'06. BC BH THEO CUSTOMER-USD'!$C$5:$C$228,'06.2. KH chính'!$C9,'06. BC BH THEO CUSTOMER-USD'!$B$5:$B$228,'06.2. KH chính'!$D9)</f>
        <v>660</v>
      </c>
      <c r="Q9" s="510">
        <f>SUMIFS('06. BC BH THEO CUSTOMER-USD'!DA$5:DA$228,'06. BC BH THEO CUSTOMER-USD'!$C$5:$C$228,'06.2. KH chính'!$C9,'06. BC BH THEO CUSTOMER-USD'!$B$5:$B$228,'06.2. KH chính'!$D9)</f>
        <v>236.5</v>
      </c>
      <c r="R9" s="510">
        <f>SUMIFS('06. BC BH THEO CUSTOMER-USD'!DB$5:DB$228,'06. BC BH THEO CUSTOMER-USD'!$C$5:$C$228,'06.2. KH chính'!$C9,'06. BC BH THEO CUSTOMER-USD'!$B$5:$B$228,'06.2. KH chính'!$D9)</f>
        <v>0</v>
      </c>
      <c r="S9" s="510">
        <f>SUMIFS('06. BC BH THEO CUSTOMER-USD'!DC$5:DC$228,'06. BC BH THEO CUSTOMER-USD'!$C$5:$C$228,'06.2. KH chính'!$C9,'06. BC BH THEO CUSTOMER-USD'!$B$5:$B$228,'06.2. KH chính'!$D9)</f>
        <v>0</v>
      </c>
      <c r="T9" s="510">
        <f>SUMIFS('06. BC BH THEO CUSTOMER-USD'!DD$5:DD$228,'06. BC BH THEO CUSTOMER-USD'!$C$5:$C$228,'06.2. KH chính'!$C9,'06. BC BH THEO CUSTOMER-USD'!$B$5:$B$228,'06.2. KH chính'!$D9)</f>
        <v>0</v>
      </c>
    </row>
    <row r="10" spans="1:20" x14ac:dyDescent="0.35">
      <c r="A10" s="505">
        <v>5</v>
      </c>
      <c r="B10" s="850" t="str">
        <f t="shared" si="3"/>
        <v>Plascene_rPET</v>
      </c>
      <c r="C10" s="310" t="s">
        <v>572</v>
      </c>
      <c r="D10" s="499" t="s">
        <v>283</v>
      </c>
      <c r="E10" s="840">
        <v>1508.1</v>
      </c>
      <c r="F10" s="840">
        <f t="shared" si="4"/>
        <v>125.675</v>
      </c>
      <c r="G10" s="509">
        <f t="shared" si="5"/>
        <v>111.2375</v>
      </c>
      <c r="H10" s="509">
        <f t="shared" si="2"/>
        <v>889.9</v>
      </c>
      <c r="I10" s="510">
        <f>SUMIFS('06. BC BH THEO CUSTOMER-USD'!CS$5:CS$228,'06. BC BH THEO CUSTOMER-USD'!$C$5:$C$228,'06.2. KH chính'!$C10,'06. BC BH THEO CUSTOMER-USD'!$B$5:$B$228,'06.2. KH chính'!$D10)</f>
        <v>66</v>
      </c>
      <c r="J10" s="510">
        <f>SUMIFS('06. BC BH THEO CUSTOMER-USD'!CT$5:CT$228,'06. BC BH THEO CUSTOMER-USD'!$C$5:$C$228,'06.2. KH chính'!$C10,'06. BC BH THEO CUSTOMER-USD'!$B$5:$B$228,'06.2. KH chính'!$D10)</f>
        <v>77</v>
      </c>
      <c r="K10" s="510">
        <f>SUMIFS('06. BC BH THEO CUSTOMER-USD'!CU$5:CU$228,'06. BC BH THEO CUSTOMER-USD'!$C$5:$C$228,'06.2. KH chính'!$C10,'06. BC BH THEO CUSTOMER-USD'!$B$5:$B$228,'06.2. KH chính'!$D10)</f>
        <v>154</v>
      </c>
      <c r="L10" s="510">
        <f>SUMIFS('06. BC BH THEO CUSTOMER-USD'!CV$5:CV$228,'06. BC BH THEO CUSTOMER-USD'!$C$5:$C$228,'06.2. KH chính'!$C10,'06. BC BH THEO CUSTOMER-USD'!$B$5:$B$228,'06.2. KH chính'!$D10)</f>
        <v>100.1</v>
      </c>
      <c r="M10" s="510">
        <f>SUMIFS('06. BC BH THEO CUSTOMER-USD'!CW$5:CW$228,'06. BC BH THEO CUSTOMER-USD'!$C$5:$C$228,'06.2. KH chính'!$C10,'06. BC BH THEO CUSTOMER-USD'!$B$5:$B$228,'06.2. KH chính'!$D10)</f>
        <v>152.9</v>
      </c>
      <c r="N10" s="510">
        <f>SUMIFS('06. BC BH THEO CUSTOMER-USD'!CX$5:CX$228,'06. BC BH THEO CUSTOMER-USD'!$C$5:$C$228,'06.2. KH chính'!$C10,'06. BC BH THEO CUSTOMER-USD'!$B$5:$B$228,'06.2. KH chính'!$D10)</f>
        <v>110</v>
      </c>
      <c r="O10" s="510">
        <f>SUMIFS('06. BC BH THEO CUSTOMER-USD'!CY$5:CY$228,'06. BC BH THEO CUSTOMER-USD'!$C$5:$C$228,'06.2. KH chính'!$C10,'06. BC BH THEO CUSTOMER-USD'!$B$5:$B$228,'06.2. KH chính'!$D10)</f>
        <v>163.9</v>
      </c>
      <c r="P10" s="510">
        <f>SUMIFS('06. BC BH THEO CUSTOMER-USD'!CZ$5:CZ$228,'06. BC BH THEO CUSTOMER-USD'!$C$5:$C$228,'06.2. KH chính'!$C10,'06. BC BH THEO CUSTOMER-USD'!$B$5:$B$228,'06.2. KH chính'!$D10)</f>
        <v>66</v>
      </c>
      <c r="Q10" s="510">
        <f>SUMIFS('06. BC BH THEO CUSTOMER-USD'!DA$5:DA$228,'06. BC BH THEO CUSTOMER-USD'!$C$5:$C$228,'06.2. KH chính'!$C10,'06. BC BH THEO CUSTOMER-USD'!$B$5:$B$228,'06.2. KH chính'!$D10)</f>
        <v>0</v>
      </c>
      <c r="R10" s="510">
        <f>SUMIFS('06. BC BH THEO CUSTOMER-USD'!DB$5:DB$228,'06. BC BH THEO CUSTOMER-USD'!$C$5:$C$228,'06.2. KH chính'!$C10,'06. BC BH THEO CUSTOMER-USD'!$B$5:$B$228,'06.2. KH chính'!$D10)</f>
        <v>0</v>
      </c>
      <c r="S10" s="510">
        <f>SUMIFS('06. BC BH THEO CUSTOMER-USD'!DC$5:DC$228,'06. BC BH THEO CUSTOMER-USD'!$C$5:$C$228,'06.2. KH chính'!$C10,'06. BC BH THEO CUSTOMER-USD'!$B$5:$B$228,'06.2. KH chính'!$D10)</f>
        <v>0</v>
      </c>
      <c r="T10" s="510">
        <f>SUMIFS('06. BC BH THEO CUSTOMER-USD'!DD$5:DD$228,'06. BC BH THEO CUSTOMER-USD'!$C$5:$C$228,'06.2. KH chính'!$C10,'06. BC BH THEO CUSTOMER-USD'!$B$5:$B$228,'06.2. KH chính'!$D10)</f>
        <v>0</v>
      </c>
    </row>
    <row r="11" spans="1:20" x14ac:dyDescent="0.35">
      <c r="A11" s="505">
        <v>6</v>
      </c>
      <c r="B11" s="850" t="str">
        <f t="shared" si="3"/>
        <v>Milkyway_rPET</v>
      </c>
      <c r="C11" s="310" t="s">
        <v>506</v>
      </c>
      <c r="D11" s="499" t="s">
        <v>283</v>
      </c>
      <c r="E11" s="840">
        <v>946</v>
      </c>
      <c r="F11" s="840">
        <f t="shared" si="4"/>
        <v>78.833333333333329</v>
      </c>
      <c r="G11" s="509">
        <f t="shared" si="5"/>
        <v>220</v>
      </c>
      <c r="H11" s="509">
        <f t="shared" si="2"/>
        <v>220</v>
      </c>
      <c r="I11" s="510">
        <f>SUMIFS('06. BC BH THEO CUSTOMER-USD'!CS$5:CS$228,'06. BC BH THEO CUSTOMER-USD'!$C$5:$C$228,'06.2. KH chính'!$C11,'06. BC BH THEO CUSTOMER-USD'!$B$5:$B$228,'06.2. KH chính'!$D11)</f>
        <v>0</v>
      </c>
      <c r="J11" s="510">
        <f>SUMIFS('06. BC BH THEO CUSTOMER-USD'!CT$5:CT$228,'06. BC BH THEO CUSTOMER-USD'!$C$5:$C$228,'06.2. KH chính'!$C11,'06. BC BH THEO CUSTOMER-USD'!$B$5:$B$228,'06.2. KH chính'!$D11)</f>
        <v>0</v>
      </c>
      <c r="K11" s="510">
        <f>SUMIFS('06. BC BH THEO CUSTOMER-USD'!CU$5:CU$228,'06. BC BH THEO CUSTOMER-USD'!$C$5:$C$228,'06.2. KH chính'!$C11,'06. BC BH THEO CUSTOMER-USD'!$B$5:$B$228,'06.2. KH chính'!$D11)</f>
        <v>220</v>
      </c>
      <c r="L11" s="510">
        <f>SUMIFS('06. BC BH THEO CUSTOMER-USD'!CV$5:CV$228,'06. BC BH THEO CUSTOMER-USD'!$C$5:$C$228,'06.2. KH chính'!$C11,'06. BC BH THEO CUSTOMER-USD'!$B$5:$B$228,'06.2. KH chính'!$D11)</f>
        <v>0</v>
      </c>
      <c r="M11" s="510">
        <f>SUMIFS('06. BC BH THEO CUSTOMER-USD'!CW$5:CW$228,'06. BC BH THEO CUSTOMER-USD'!$C$5:$C$228,'06.2. KH chính'!$C11,'06. BC BH THEO CUSTOMER-USD'!$B$5:$B$228,'06.2. KH chính'!$D11)</f>
        <v>0</v>
      </c>
      <c r="N11" s="510">
        <f>SUMIFS('06. BC BH THEO CUSTOMER-USD'!CX$5:CX$228,'06. BC BH THEO CUSTOMER-USD'!$C$5:$C$228,'06.2. KH chính'!$C11,'06. BC BH THEO CUSTOMER-USD'!$B$5:$B$228,'06.2. KH chính'!$D11)</f>
        <v>0</v>
      </c>
      <c r="O11" s="510">
        <f>SUMIFS('06. BC BH THEO CUSTOMER-USD'!CY$5:CY$228,'06. BC BH THEO CUSTOMER-USD'!$C$5:$C$228,'06.2. KH chính'!$C11,'06. BC BH THEO CUSTOMER-USD'!$B$5:$B$228,'06.2. KH chính'!$D11)</f>
        <v>0</v>
      </c>
      <c r="P11" s="510">
        <f>SUMIFS('06. BC BH THEO CUSTOMER-USD'!CZ$5:CZ$228,'06. BC BH THEO CUSTOMER-USD'!$C$5:$C$228,'06.2. KH chính'!$C11,'06. BC BH THEO CUSTOMER-USD'!$B$5:$B$228,'06.2. KH chính'!$D11)</f>
        <v>0</v>
      </c>
      <c r="Q11" s="510">
        <f>SUMIFS('06. BC BH THEO CUSTOMER-USD'!DA$5:DA$228,'06. BC BH THEO CUSTOMER-USD'!$C$5:$C$228,'06.2. KH chính'!$C11,'06. BC BH THEO CUSTOMER-USD'!$B$5:$B$228,'06.2. KH chính'!$D11)</f>
        <v>0</v>
      </c>
      <c r="R11" s="510">
        <f>SUMIFS('06. BC BH THEO CUSTOMER-USD'!DB$5:DB$228,'06. BC BH THEO CUSTOMER-USD'!$C$5:$C$228,'06.2. KH chính'!$C11,'06. BC BH THEO CUSTOMER-USD'!$B$5:$B$228,'06.2. KH chính'!$D11)</f>
        <v>0</v>
      </c>
      <c r="S11" s="510">
        <f>SUMIFS('06. BC BH THEO CUSTOMER-USD'!DC$5:DC$228,'06. BC BH THEO CUSTOMER-USD'!$C$5:$C$228,'06.2. KH chính'!$C11,'06. BC BH THEO CUSTOMER-USD'!$B$5:$B$228,'06.2. KH chính'!$D11)</f>
        <v>0</v>
      </c>
      <c r="T11" s="510">
        <f>SUMIFS('06. BC BH THEO CUSTOMER-USD'!DD$5:DD$228,'06. BC BH THEO CUSTOMER-USD'!$C$5:$C$228,'06.2. KH chính'!$C11,'06. BC BH THEO CUSTOMER-USD'!$B$5:$B$228,'06.2. KH chính'!$D11)</f>
        <v>0</v>
      </c>
    </row>
    <row r="12" spans="1:20" x14ac:dyDescent="0.35">
      <c r="A12" s="505">
        <v>7</v>
      </c>
      <c r="B12" s="850" t="str">
        <f t="shared" si="3"/>
        <v>Coca_Cola_rPET</v>
      </c>
      <c r="C12" s="310" t="s">
        <v>504</v>
      </c>
      <c r="D12" s="498" t="s">
        <v>283</v>
      </c>
      <c r="E12" s="840">
        <v>908.6</v>
      </c>
      <c r="F12" s="840">
        <f t="shared" si="4"/>
        <v>75.716666666666669</v>
      </c>
      <c r="G12" s="509">
        <f t="shared" si="5"/>
        <v>114.76666666666667</v>
      </c>
      <c r="H12" s="509">
        <f t="shared" si="2"/>
        <v>688.6</v>
      </c>
      <c r="I12" s="510">
        <f>SUMIFS('06. BC BH THEO CUSTOMER-USD'!CS$5:CS$228,'06. BC BH THEO CUSTOMER-USD'!$C$5:$C$228,'06.2. KH chính'!$C12,'06. BC BH THEO CUSTOMER-USD'!$B$5:$B$228,'06.2. KH chính'!$D12)</f>
        <v>160.6</v>
      </c>
      <c r="J12" s="510">
        <f>SUMIFS('06. BC BH THEO CUSTOMER-USD'!CT$5:CT$228,'06. BC BH THEO CUSTOMER-USD'!$C$5:$C$228,'06.2. KH chính'!$C12,'06. BC BH THEO CUSTOMER-USD'!$B$5:$B$228,'06.2. KH chính'!$D12)</f>
        <v>88</v>
      </c>
      <c r="K12" s="510">
        <f>SUMIFS('06. BC BH THEO CUSTOMER-USD'!CU$5:CU$228,'06. BC BH THEO CUSTOMER-USD'!$C$5:$C$228,'06.2. KH chính'!$C12,'06. BC BH THEO CUSTOMER-USD'!$B$5:$B$228,'06.2. KH chính'!$D12)</f>
        <v>154</v>
      </c>
      <c r="L12" s="510">
        <f>SUMIFS('06. BC BH THEO CUSTOMER-USD'!CV$5:CV$228,'06. BC BH THEO CUSTOMER-USD'!$C$5:$C$228,'06.2. KH chính'!$C12,'06. BC BH THEO CUSTOMER-USD'!$B$5:$B$228,'06.2. KH chính'!$D12)</f>
        <v>66</v>
      </c>
      <c r="M12" s="510">
        <f>SUMIFS('06. BC BH THEO CUSTOMER-USD'!CW$5:CW$228,'06. BC BH THEO CUSTOMER-USD'!$C$5:$C$228,'06.2. KH chính'!$C12,'06. BC BH THEO CUSTOMER-USD'!$B$5:$B$228,'06.2. KH chính'!$D12)</f>
        <v>0</v>
      </c>
      <c r="N12" s="510">
        <f>SUMIFS('06. BC BH THEO CUSTOMER-USD'!CX$5:CX$228,'06. BC BH THEO CUSTOMER-USD'!$C$5:$C$228,'06.2. KH chính'!$C12,'06. BC BH THEO CUSTOMER-USD'!$B$5:$B$228,'06.2. KH chính'!$D12)</f>
        <v>88</v>
      </c>
      <c r="O12" s="510">
        <f>SUMIFS('06. BC BH THEO CUSTOMER-USD'!CY$5:CY$228,'06. BC BH THEO CUSTOMER-USD'!$C$5:$C$228,'06.2. KH chính'!$C12,'06. BC BH THEO CUSTOMER-USD'!$B$5:$B$228,'06.2. KH chính'!$D12)</f>
        <v>0</v>
      </c>
      <c r="P12" s="510">
        <f>SUMIFS('06. BC BH THEO CUSTOMER-USD'!CZ$5:CZ$228,'06. BC BH THEO CUSTOMER-USD'!$C$5:$C$228,'06.2. KH chính'!$C12,'06. BC BH THEO CUSTOMER-USD'!$B$5:$B$228,'06.2. KH chính'!$D12)</f>
        <v>132</v>
      </c>
      <c r="Q12" s="510">
        <f>SUMIFS('06. BC BH THEO CUSTOMER-USD'!DA$5:DA$228,'06. BC BH THEO CUSTOMER-USD'!$C$5:$C$228,'06.2. KH chính'!$C12,'06. BC BH THEO CUSTOMER-USD'!$B$5:$B$228,'06.2. KH chính'!$D12)</f>
        <v>0</v>
      </c>
      <c r="R12" s="510">
        <f>SUMIFS('06. BC BH THEO CUSTOMER-USD'!DB$5:DB$228,'06. BC BH THEO CUSTOMER-USD'!$C$5:$C$228,'06.2. KH chính'!$C12,'06. BC BH THEO CUSTOMER-USD'!$B$5:$B$228,'06.2. KH chính'!$D12)</f>
        <v>0</v>
      </c>
      <c r="S12" s="510">
        <f>SUMIFS('06. BC BH THEO CUSTOMER-USD'!DC$5:DC$228,'06. BC BH THEO CUSTOMER-USD'!$C$5:$C$228,'06.2. KH chính'!$C12,'06. BC BH THEO CUSTOMER-USD'!$B$5:$B$228,'06.2. KH chính'!$D12)</f>
        <v>0</v>
      </c>
      <c r="T12" s="510">
        <f>SUMIFS('06. BC BH THEO CUSTOMER-USD'!DD$5:DD$228,'06. BC BH THEO CUSTOMER-USD'!$C$5:$C$228,'06.2. KH chính'!$C12,'06. BC BH THEO CUSTOMER-USD'!$B$5:$B$228,'06.2. KH chính'!$D12)</f>
        <v>0</v>
      </c>
    </row>
    <row r="13" spans="1:20" x14ac:dyDescent="0.35">
      <c r="A13" s="505">
        <v>8</v>
      </c>
      <c r="B13" s="850" t="str">
        <f t="shared" si="3"/>
        <v>Unilever_rPET</v>
      </c>
      <c r="C13" s="310" t="s">
        <v>502</v>
      </c>
      <c r="D13" s="498" t="s">
        <v>283</v>
      </c>
      <c r="E13" s="840">
        <v>3810.4</v>
      </c>
      <c r="F13" s="840">
        <f t="shared" si="4"/>
        <v>317.53333333333336</v>
      </c>
      <c r="G13" s="509">
        <f t="shared" si="5"/>
        <v>293.68888888888887</v>
      </c>
      <c r="H13" s="509">
        <f t="shared" si="2"/>
        <v>2643.2</v>
      </c>
      <c r="I13" s="510">
        <f>SUMIFS('06. BC BH THEO CUSTOMER-USD'!CS$5:CS$228,'06. BC BH THEO CUSTOMER-USD'!$C$5:$C$228,'06.2. KH chính'!$C13,'06. BC BH THEO CUSTOMER-USD'!$B$5:$B$228,'06.2. KH chính'!$D13)</f>
        <v>277.2</v>
      </c>
      <c r="J13" s="510">
        <f>SUMIFS('06. BC BH THEO CUSTOMER-USD'!CT$5:CT$228,'06. BC BH THEO CUSTOMER-USD'!$C$5:$C$228,'06.2. KH chính'!$C13,'06. BC BH THEO CUSTOMER-USD'!$B$5:$B$228,'06.2. KH chính'!$D13)</f>
        <v>396</v>
      </c>
      <c r="K13" s="510">
        <f>SUMIFS('06. BC BH THEO CUSTOMER-USD'!CU$5:CU$228,'06. BC BH THEO CUSTOMER-USD'!$C$5:$C$228,'06.2. KH chính'!$C13,'06. BC BH THEO CUSTOMER-USD'!$B$5:$B$228,'06.2. KH chính'!$D13)</f>
        <v>294.7</v>
      </c>
      <c r="L13" s="510">
        <f>SUMIFS('06. BC BH THEO CUSTOMER-USD'!CV$5:CV$228,'06. BC BH THEO CUSTOMER-USD'!$C$5:$C$228,'06.2. KH chính'!$C13,'06. BC BH THEO CUSTOMER-USD'!$B$5:$B$228,'06.2. KH chính'!$D13)</f>
        <v>187</v>
      </c>
      <c r="M13" s="510">
        <f>SUMIFS('06. BC BH THEO CUSTOMER-USD'!CW$5:CW$228,'06. BC BH THEO CUSTOMER-USD'!$C$5:$C$228,'06.2. KH chính'!$C13,'06. BC BH THEO CUSTOMER-USD'!$B$5:$B$228,'06.2. KH chính'!$D13)</f>
        <v>272.79999999999995</v>
      </c>
      <c r="N13" s="510">
        <f>SUMIFS('06. BC BH THEO CUSTOMER-USD'!CX$5:CX$228,'06. BC BH THEO CUSTOMER-USD'!$C$5:$C$228,'06.2. KH chính'!$C13,'06. BC BH THEO CUSTOMER-USD'!$B$5:$B$228,'06.2. KH chính'!$D13)</f>
        <v>297</v>
      </c>
      <c r="O13" s="510">
        <f>SUMIFS('06. BC BH THEO CUSTOMER-USD'!CY$5:CY$228,'06. BC BH THEO CUSTOMER-USD'!$C$5:$C$228,'06.2. KH chính'!$C13,'06. BC BH THEO CUSTOMER-USD'!$B$5:$B$228,'06.2. KH chính'!$D13)</f>
        <v>176</v>
      </c>
      <c r="P13" s="510">
        <f>SUMIFS('06. BC BH THEO CUSTOMER-USD'!CZ$5:CZ$228,'06. BC BH THEO CUSTOMER-USD'!$C$5:$C$228,'06.2. KH chính'!$C13,'06. BC BH THEO CUSTOMER-USD'!$B$5:$B$228,'06.2. KH chính'!$D13)</f>
        <v>346.5</v>
      </c>
      <c r="Q13" s="510">
        <f>SUMIFS('06. BC BH THEO CUSTOMER-USD'!DA$5:DA$228,'06. BC BH THEO CUSTOMER-USD'!$C$5:$C$228,'06.2. KH chính'!$C13,'06. BC BH THEO CUSTOMER-USD'!$B$5:$B$228,'06.2. KH chính'!$D13)</f>
        <v>396</v>
      </c>
      <c r="R13" s="510">
        <f>SUMIFS('06. BC BH THEO CUSTOMER-USD'!DB$5:DB$228,'06. BC BH THEO CUSTOMER-USD'!$C$5:$C$228,'06.2. KH chính'!$C13,'06. BC BH THEO CUSTOMER-USD'!$B$5:$B$228,'06.2. KH chính'!$D13)</f>
        <v>0</v>
      </c>
      <c r="S13" s="510">
        <f>SUMIFS('06. BC BH THEO CUSTOMER-USD'!DC$5:DC$228,'06. BC BH THEO CUSTOMER-USD'!$C$5:$C$228,'06.2. KH chính'!$C13,'06. BC BH THEO CUSTOMER-USD'!$B$5:$B$228,'06.2. KH chính'!$D13)</f>
        <v>0</v>
      </c>
      <c r="T13" s="510">
        <f>SUMIFS('06. BC BH THEO CUSTOMER-USD'!DD$5:DD$228,'06. BC BH THEO CUSTOMER-USD'!$C$5:$C$228,'06.2. KH chính'!$C13,'06. BC BH THEO CUSTOMER-USD'!$B$5:$B$228,'06.2. KH chính'!$D13)</f>
        <v>0</v>
      </c>
    </row>
    <row r="14" spans="1:20" x14ac:dyDescent="0.35">
      <c r="A14" s="505"/>
      <c r="B14" s="850" t="str">
        <f t="shared" si="3"/>
        <v>Unilever_rHDPE thổi</v>
      </c>
      <c r="C14" s="310" t="s">
        <v>502</v>
      </c>
      <c r="D14" s="499" t="s">
        <v>265</v>
      </c>
      <c r="E14" s="840">
        <v>859.44999999999993</v>
      </c>
      <c r="F14" s="840">
        <f t="shared" si="4"/>
        <v>71.620833333333323</v>
      </c>
      <c r="G14" s="509">
        <f t="shared" si="5"/>
        <v>131.44166666666666</v>
      </c>
      <c r="H14" s="509">
        <f t="shared" si="2"/>
        <v>1182.9749999999999</v>
      </c>
      <c r="I14" s="510">
        <f>SUMIFS('06. BC BH THEO CUSTOMER-USD'!CS$5:CS$228,'06. BC BH THEO CUSTOMER-USD'!$C$5:$C$228,'06.2. KH chính'!$C14,'06. BC BH THEO CUSTOMER-USD'!$B$5:$B$228,'06.2. KH chính'!$D14)</f>
        <v>93.35</v>
      </c>
      <c r="J14" s="510">
        <f>SUMIFS('06. BC BH THEO CUSTOMER-USD'!CT$5:CT$228,'06. BC BH THEO CUSTOMER-USD'!$C$5:$C$228,'06.2. KH chính'!$C14,'06. BC BH THEO CUSTOMER-USD'!$B$5:$B$228,'06.2. KH chính'!$D14)</f>
        <v>150.5</v>
      </c>
      <c r="K14" s="510">
        <f>SUMIFS('06. BC BH THEO CUSTOMER-USD'!CU$5:CU$228,'06. BC BH THEO CUSTOMER-USD'!$C$5:$C$228,'06.2. KH chính'!$C14,'06. BC BH THEO CUSTOMER-USD'!$B$5:$B$228,'06.2. KH chính'!$D14)</f>
        <v>181.5</v>
      </c>
      <c r="L14" s="510">
        <f>SUMIFS('06. BC BH THEO CUSTOMER-USD'!CV$5:CV$228,'06. BC BH THEO CUSTOMER-USD'!$C$5:$C$228,'06.2. KH chính'!$C14,'06. BC BH THEO CUSTOMER-USD'!$B$5:$B$228,'06.2. KH chính'!$D14)</f>
        <v>66</v>
      </c>
      <c r="M14" s="510">
        <f>SUMIFS('06. BC BH THEO CUSTOMER-USD'!CW$5:CW$228,'06. BC BH THEO CUSTOMER-USD'!$C$5:$C$228,'06.2. KH chính'!$C14,'06. BC BH THEO CUSTOMER-USD'!$B$5:$B$228,'06.2. KH chính'!$D14)</f>
        <v>126.5</v>
      </c>
      <c r="N14" s="510">
        <f>SUMIFS('06. BC BH THEO CUSTOMER-USD'!CX$5:CX$228,'06. BC BH THEO CUSTOMER-USD'!$C$5:$C$228,'06.2. KH chính'!$C14,'06. BC BH THEO CUSTOMER-USD'!$B$5:$B$228,'06.2. KH chính'!$D14)</f>
        <v>165</v>
      </c>
      <c r="O14" s="510">
        <f>SUMIFS('06. BC BH THEO CUSTOMER-USD'!CY$5:CY$228,'06. BC BH THEO CUSTOMER-USD'!$C$5:$C$228,'06.2. KH chính'!$C14,'06. BC BH THEO CUSTOMER-USD'!$B$5:$B$228,'06.2. KH chính'!$D14)</f>
        <v>119.625</v>
      </c>
      <c r="P14" s="510">
        <f>SUMIFS('06. BC BH THEO CUSTOMER-USD'!CZ$5:CZ$228,'06. BC BH THEO CUSTOMER-USD'!$C$5:$C$228,'06.2. KH chính'!$C14,'06. BC BH THEO CUSTOMER-USD'!$B$5:$B$228,'06.2. KH chính'!$D14)</f>
        <v>143</v>
      </c>
      <c r="Q14" s="510">
        <f>SUMIFS('06. BC BH THEO CUSTOMER-USD'!DA$5:DA$228,'06. BC BH THEO CUSTOMER-USD'!$C$5:$C$228,'06.2. KH chính'!$C14,'06. BC BH THEO CUSTOMER-USD'!$B$5:$B$228,'06.2. KH chính'!$D14)</f>
        <v>137.5</v>
      </c>
      <c r="R14" s="510">
        <f>SUMIFS('06. BC BH THEO CUSTOMER-USD'!DB$5:DB$228,'06. BC BH THEO CUSTOMER-USD'!$C$5:$C$228,'06.2. KH chính'!$C14,'06. BC BH THEO CUSTOMER-USD'!$B$5:$B$228,'06.2. KH chính'!$D14)</f>
        <v>0</v>
      </c>
      <c r="S14" s="510">
        <f>SUMIFS('06. BC BH THEO CUSTOMER-USD'!DC$5:DC$228,'06. BC BH THEO CUSTOMER-USD'!$C$5:$C$228,'06.2. KH chính'!$C14,'06. BC BH THEO CUSTOMER-USD'!$B$5:$B$228,'06.2. KH chính'!$D14)</f>
        <v>0</v>
      </c>
      <c r="T14" s="510">
        <f>SUMIFS('06. BC BH THEO CUSTOMER-USD'!DD$5:DD$228,'06. BC BH THEO CUSTOMER-USD'!$C$5:$C$228,'06.2. KH chính'!$C14,'06. BC BH THEO CUSTOMER-USD'!$B$5:$B$228,'06.2. KH chính'!$D14)</f>
        <v>0</v>
      </c>
    </row>
    <row r="15" spans="1:20" x14ac:dyDescent="0.35">
      <c r="A15" s="505"/>
      <c r="B15" s="850" t="str">
        <f t="shared" si="3"/>
        <v>Unilever_rHDPE ép</v>
      </c>
      <c r="C15" s="310" t="s">
        <v>502</v>
      </c>
      <c r="D15" s="498" t="s">
        <v>266</v>
      </c>
      <c r="E15" s="840">
        <v>0</v>
      </c>
      <c r="F15" s="840">
        <f t="shared" si="4"/>
        <v>0</v>
      </c>
      <c r="G15" s="509">
        <f t="shared" si="5"/>
        <v>5.5</v>
      </c>
      <c r="H15" s="509">
        <f t="shared" si="2"/>
        <v>5.5</v>
      </c>
      <c r="I15" s="510">
        <f>SUMIFS('06. BC BH THEO CUSTOMER-USD'!CS$5:CS$228,'06. BC BH THEO CUSTOMER-USD'!$C$5:$C$228,'06.2. KH chính'!$C15,'06. BC BH THEO CUSTOMER-USD'!$B$5:$B$228,'06.2. KH chính'!$D15)</f>
        <v>5.5</v>
      </c>
      <c r="J15" s="510">
        <f>SUMIFS('06. BC BH THEO CUSTOMER-USD'!CT$5:CT$228,'06. BC BH THEO CUSTOMER-USD'!$C$5:$C$228,'06.2. KH chính'!$C15,'06. BC BH THEO CUSTOMER-USD'!$B$5:$B$228,'06.2. KH chính'!$D15)</f>
        <v>0</v>
      </c>
      <c r="K15" s="510">
        <f>SUMIFS('06. BC BH THEO CUSTOMER-USD'!CU$5:CU$228,'06. BC BH THEO CUSTOMER-USD'!$C$5:$C$228,'06.2. KH chính'!$C15,'06. BC BH THEO CUSTOMER-USD'!$B$5:$B$228,'06.2. KH chính'!$D15)</f>
        <v>0</v>
      </c>
      <c r="L15" s="510">
        <f>SUMIFS('06. BC BH THEO CUSTOMER-USD'!CV$5:CV$228,'06. BC BH THEO CUSTOMER-USD'!$C$5:$C$228,'06.2. KH chính'!$C15,'06. BC BH THEO CUSTOMER-USD'!$B$5:$B$228,'06.2. KH chính'!$D15)</f>
        <v>0</v>
      </c>
      <c r="M15" s="510">
        <f>SUMIFS('06. BC BH THEO CUSTOMER-USD'!CW$5:CW$228,'06. BC BH THEO CUSTOMER-USD'!$C$5:$C$228,'06.2. KH chính'!$C15,'06. BC BH THEO CUSTOMER-USD'!$B$5:$B$228,'06.2. KH chính'!$D15)</f>
        <v>0</v>
      </c>
      <c r="N15" s="510">
        <f>SUMIFS('06. BC BH THEO CUSTOMER-USD'!CX$5:CX$228,'06. BC BH THEO CUSTOMER-USD'!$C$5:$C$228,'06.2. KH chính'!$C15,'06. BC BH THEO CUSTOMER-USD'!$B$5:$B$228,'06.2. KH chính'!$D15)</f>
        <v>0</v>
      </c>
      <c r="O15" s="510">
        <f>SUMIFS('06. BC BH THEO CUSTOMER-USD'!CY$5:CY$228,'06. BC BH THEO CUSTOMER-USD'!$C$5:$C$228,'06.2. KH chính'!$C15,'06. BC BH THEO CUSTOMER-USD'!$B$5:$B$228,'06.2. KH chính'!$D15)</f>
        <v>0</v>
      </c>
      <c r="P15" s="510">
        <f>SUMIFS('06. BC BH THEO CUSTOMER-USD'!CZ$5:CZ$228,'06. BC BH THEO CUSTOMER-USD'!$C$5:$C$228,'06.2. KH chính'!$C15,'06. BC BH THEO CUSTOMER-USD'!$B$5:$B$228,'06.2. KH chính'!$D15)</f>
        <v>0</v>
      </c>
      <c r="Q15" s="510">
        <f>SUMIFS('06. BC BH THEO CUSTOMER-USD'!DA$5:DA$228,'06. BC BH THEO CUSTOMER-USD'!$C$5:$C$228,'06.2. KH chính'!$C15,'06. BC BH THEO CUSTOMER-USD'!$B$5:$B$228,'06.2. KH chính'!$D15)</f>
        <v>0</v>
      </c>
      <c r="R15" s="510">
        <f>SUMIFS('06. BC BH THEO CUSTOMER-USD'!DB$5:DB$228,'06. BC BH THEO CUSTOMER-USD'!$C$5:$C$228,'06.2. KH chính'!$C15,'06. BC BH THEO CUSTOMER-USD'!$B$5:$B$228,'06.2. KH chính'!$D15)</f>
        <v>0</v>
      </c>
      <c r="S15" s="510">
        <f>SUMIFS('06. BC BH THEO CUSTOMER-USD'!DC$5:DC$228,'06. BC BH THEO CUSTOMER-USD'!$C$5:$C$228,'06.2. KH chính'!$C15,'06. BC BH THEO CUSTOMER-USD'!$B$5:$B$228,'06.2. KH chính'!$D15)</f>
        <v>0</v>
      </c>
      <c r="T15" s="510">
        <f>SUMIFS('06. BC BH THEO CUSTOMER-USD'!DD$5:DD$228,'06. BC BH THEO CUSTOMER-USD'!$C$5:$C$228,'06.2. KH chính'!$C15,'06. BC BH THEO CUSTOMER-USD'!$B$5:$B$228,'06.2. KH chính'!$D15)</f>
        <v>0</v>
      </c>
    </row>
    <row r="16" spans="1:20" x14ac:dyDescent="0.35">
      <c r="A16" s="505">
        <v>9</v>
      </c>
      <c r="B16" s="850" t="str">
        <f t="shared" si="3"/>
        <v>Outeirinho_rPET</v>
      </c>
      <c r="C16" s="310" t="s">
        <v>45</v>
      </c>
      <c r="D16" s="498" t="s">
        <v>283</v>
      </c>
      <c r="E16" s="840">
        <v>1650</v>
      </c>
      <c r="F16" s="840">
        <f t="shared" si="4"/>
        <v>137.5</v>
      </c>
      <c r="G16" s="509">
        <f t="shared" si="5"/>
        <v>880</v>
      </c>
      <c r="H16" s="509">
        <f t="shared" si="2"/>
        <v>6160</v>
      </c>
      <c r="I16" s="510">
        <f>SUMIFS('06. BC BH THEO CUSTOMER-USD'!CS$5:CS$228,'06. BC BH THEO CUSTOMER-USD'!$C$5:$C$228,'06.2. KH chính'!$C16,'06. BC BH THEO CUSTOMER-USD'!$B$5:$B$228,'06.2. KH chính'!$D16)</f>
        <v>0</v>
      </c>
      <c r="J16" s="510">
        <f>SUMIFS('06. BC BH THEO CUSTOMER-USD'!CT$5:CT$228,'06. BC BH THEO CUSTOMER-USD'!$C$5:$C$228,'06.2. KH chính'!$C16,'06. BC BH THEO CUSTOMER-USD'!$B$5:$B$228,'06.2. KH chính'!$D16)</f>
        <v>880</v>
      </c>
      <c r="K16" s="510">
        <f>SUMIFS('06. BC BH THEO CUSTOMER-USD'!CU$5:CU$228,'06. BC BH THEO CUSTOMER-USD'!$C$5:$C$228,'06.2. KH chính'!$C16,'06. BC BH THEO CUSTOMER-USD'!$B$5:$B$228,'06.2. KH chính'!$D16)</f>
        <v>880</v>
      </c>
      <c r="L16" s="510">
        <f>SUMIFS('06. BC BH THEO CUSTOMER-USD'!CV$5:CV$228,'06. BC BH THEO CUSTOMER-USD'!$C$5:$C$228,'06.2. KH chính'!$C16,'06. BC BH THEO CUSTOMER-USD'!$B$5:$B$228,'06.2. KH chính'!$D16)</f>
        <v>880</v>
      </c>
      <c r="M16" s="510">
        <f>SUMIFS('06. BC BH THEO CUSTOMER-USD'!CW$5:CW$228,'06. BC BH THEO CUSTOMER-USD'!$C$5:$C$228,'06.2. KH chính'!$C16,'06. BC BH THEO CUSTOMER-USD'!$B$5:$B$228,'06.2. KH chính'!$D16)</f>
        <v>880</v>
      </c>
      <c r="N16" s="510">
        <f>SUMIFS('06. BC BH THEO CUSTOMER-USD'!CX$5:CX$228,'06. BC BH THEO CUSTOMER-USD'!$C$5:$C$228,'06.2. KH chính'!$C16,'06. BC BH THEO CUSTOMER-USD'!$B$5:$B$228,'06.2. KH chính'!$D16)</f>
        <v>880</v>
      </c>
      <c r="O16" s="510">
        <f>SUMIFS('06. BC BH THEO CUSTOMER-USD'!CY$5:CY$228,'06. BC BH THEO CUSTOMER-USD'!$C$5:$C$228,'06.2. KH chính'!$C16,'06. BC BH THEO CUSTOMER-USD'!$B$5:$B$228,'06.2. KH chính'!$D16)</f>
        <v>880</v>
      </c>
      <c r="P16" s="510">
        <f>SUMIFS('06. BC BH THEO CUSTOMER-USD'!CZ$5:CZ$228,'06. BC BH THEO CUSTOMER-USD'!$C$5:$C$228,'06.2. KH chính'!$C16,'06. BC BH THEO CUSTOMER-USD'!$B$5:$B$228,'06.2. KH chính'!$D16)</f>
        <v>880</v>
      </c>
      <c r="Q16" s="510">
        <f>SUMIFS('06. BC BH THEO CUSTOMER-USD'!DA$5:DA$228,'06. BC BH THEO CUSTOMER-USD'!$C$5:$C$228,'06.2. KH chính'!$C16,'06. BC BH THEO CUSTOMER-USD'!$B$5:$B$228,'06.2. KH chính'!$D16)</f>
        <v>0</v>
      </c>
      <c r="R16" s="510">
        <f>SUMIFS('06. BC BH THEO CUSTOMER-USD'!DB$5:DB$228,'06. BC BH THEO CUSTOMER-USD'!$C$5:$C$228,'06.2. KH chính'!$C16,'06. BC BH THEO CUSTOMER-USD'!$B$5:$B$228,'06.2. KH chính'!$D16)</f>
        <v>0</v>
      </c>
      <c r="S16" s="510">
        <f>SUMIFS('06. BC BH THEO CUSTOMER-USD'!DC$5:DC$228,'06. BC BH THEO CUSTOMER-USD'!$C$5:$C$228,'06.2. KH chính'!$C16,'06. BC BH THEO CUSTOMER-USD'!$B$5:$B$228,'06.2. KH chính'!$D16)</f>
        <v>0</v>
      </c>
      <c r="T16" s="510">
        <f>SUMIFS('06. BC BH THEO CUSTOMER-USD'!DD$5:DD$228,'06. BC BH THEO CUSTOMER-USD'!$C$5:$C$228,'06.2. KH chính'!$C16,'06. BC BH THEO CUSTOMER-USD'!$B$5:$B$228,'06.2. KH chính'!$D16)</f>
        <v>0</v>
      </c>
    </row>
    <row r="17" spans="1:20" x14ac:dyDescent="0.35">
      <c r="A17" s="505"/>
      <c r="B17" s="850" t="str">
        <f t="shared" si="3"/>
        <v>Outeirinho_rHDPE ép</v>
      </c>
      <c r="C17" s="310" t="s">
        <v>45</v>
      </c>
      <c r="D17" s="498" t="s">
        <v>266</v>
      </c>
      <c r="E17" s="840">
        <v>0</v>
      </c>
      <c r="F17" s="840">
        <f t="shared" si="4"/>
        <v>0</v>
      </c>
      <c r="G17" s="509">
        <f t="shared" si="5"/>
        <v>25</v>
      </c>
      <c r="H17" s="509">
        <f t="shared" si="2"/>
        <v>25</v>
      </c>
      <c r="I17" s="510">
        <f>SUMIFS('06. BC BH THEO CUSTOMER-USD'!CS$5:CS$228,'06. BC BH THEO CUSTOMER-USD'!$C$5:$C$228,'06.2. KH chính'!$C17,'06. BC BH THEO CUSTOMER-USD'!$B$5:$B$228,'06.2. KH chính'!$D17)</f>
        <v>0</v>
      </c>
      <c r="J17" s="510">
        <f>SUMIFS('06. BC BH THEO CUSTOMER-USD'!CT$5:CT$228,'06. BC BH THEO CUSTOMER-USD'!$C$5:$C$228,'06.2. KH chính'!$C17,'06. BC BH THEO CUSTOMER-USD'!$B$5:$B$228,'06.2. KH chính'!$D17)</f>
        <v>25</v>
      </c>
      <c r="K17" s="510">
        <f>SUMIFS('06. BC BH THEO CUSTOMER-USD'!CU$5:CU$228,'06. BC BH THEO CUSTOMER-USD'!$C$5:$C$228,'06.2. KH chính'!$C17,'06. BC BH THEO CUSTOMER-USD'!$B$5:$B$228,'06.2. KH chính'!$D17)</f>
        <v>0</v>
      </c>
      <c r="L17" s="510">
        <f>SUMIFS('06. BC BH THEO CUSTOMER-USD'!CV$5:CV$228,'06. BC BH THEO CUSTOMER-USD'!$C$5:$C$228,'06.2. KH chính'!$C17,'06. BC BH THEO CUSTOMER-USD'!$B$5:$B$228,'06.2. KH chính'!$D17)</f>
        <v>0</v>
      </c>
      <c r="M17" s="510">
        <f>SUMIFS('06. BC BH THEO CUSTOMER-USD'!CW$5:CW$228,'06. BC BH THEO CUSTOMER-USD'!$C$5:$C$228,'06.2. KH chính'!$C17,'06. BC BH THEO CUSTOMER-USD'!$B$5:$B$228,'06.2. KH chính'!$D17)</f>
        <v>0</v>
      </c>
      <c r="N17" s="510">
        <f>SUMIFS('06. BC BH THEO CUSTOMER-USD'!CX$5:CX$228,'06. BC BH THEO CUSTOMER-USD'!$C$5:$C$228,'06.2. KH chính'!$C17,'06. BC BH THEO CUSTOMER-USD'!$B$5:$B$228,'06.2. KH chính'!$D17)</f>
        <v>0</v>
      </c>
      <c r="O17" s="510">
        <f>SUMIFS('06. BC BH THEO CUSTOMER-USD'!CY$5:CY$228,'06. BC BH THEO CUSTOMER-USD'!$C$5:$C$228,'06.2. KH chính'!$C17,'06. BC BH THEO CUSTOMER-USD'!$B$5:$B$228,'06.2. KH chính'!$D17)</f>
        <v>0</v>
      </c>
      <c r="P17" s="510">
        <f>SUMIFS('06. BC BH THEO CUSTOMER-USD'!CZ$5:CZ$228,'06. BC BH THEO CUSTOMER-USD'!$C$5:$C$228,'06.2. KH chính'!$C17,'06. BC BH THEO CUSTOMER-USD'!$B$5:$B$228,'06.2. KH chính'!$D17)</f>
        <v>0</v>
      </c>
      <c r="Q17" s="510">
        <f>SUMIFS('06. BC BH THEO CUSTOMER-USD'!DA$5:DA$228,'06. BC BH THEO CUSTOMER-USD'!$C$5:$C$228,'06.2. KH chính'!$C17,'06. BC BH THEO CUSTOMER-USD'!$B$5:$B$228,'06.2. KH chính'!$D17)</f>
        <v>0</v>
      </c>
      <c r="R17" s="510">
        <f>SUMIFS('06. BC BH THEO CUSTOMER-USD'!DB$5:DB$228,'06. BC BH THEO CUSTOMER-USD'!$C$5:$C$228,'06.2. KH chính'!$C17,'06. BC BH THEO CUSTOMER-USD'!$B$5:$B$228,'06.2. KH chính'!$D17)</f>
        <v>0</v>
      </c>
      <c r="S17" s="510">
        <f>SUMIFS('06. BC BH THEO CUSTOMER-USD'!DC$5:DC$228,'06. BC BH THEO CUSTOMER-USD'!$C$5:$C$228,'06.2. KH chính'!$C17,'06. BC BH THEO CUSTOMER-USD'!$B$5:$B$228,'06.2. KH chính'!$D17)</f>
        <v>0</v>
      </c>
      <c r="T17" s="510">
        <f>SUMIFS('06. BC BH THEO CUSTOMER-USD'!DD$5:DD$228,'06. BC BH THEO CUSTOMER-USD'!$C$5:$C$228,'06.2. KH chính'!$C17,'06. BC BH THEO CUSTOMER-USD'!$B$5:$B$228,'06.2. KH chính'!$D17)</f>
        <v>0</v>
      </c>
    </row>
    <row r="18" spans="1:20" x14ac:dyDescent="0.35">
      <c r="A18" s="505">
        <v>10</v>
      </c>
      <c r="B18" s="850" t="str">
        <f t="shared" si="3"/>
        <v>CPSX Nhựa Duy Tân_rPET</v>
      </c>
      <c r="C18" s="310" t="s">
        <v>29</v>
      </c>
      <c r="D18" s="498" t="s">
        <v>283</v>
      </c>
      <c r="E18" s="840">
        <v>394.9</v>
      </c>
      <c r="F18" s="840">
        <f t="shared" si="4"/>
        <v>32.908333333333331</v>
      </c>
      <c r="G18" s="509">
        <f t="shared" si="5"/>
        <v>14.299999999999999</v>
      </c>
      <c r="H18" s="509">
        <f t="shared" si="2"/>
        <v>100.1</v>
      </c>
      <c r="I18" s="510">
        <f>SUMIFS('06. BC BH THEO CUSTOMER-USD'!CS$5:CS$228,'06. BC BH THEO CUSTOMER-USD'!$C$5:$C$228,'06.2. KH chính'!$C18,'06. BC BH THEO CUSTOMER-USD'!$B$5:$B$228,'06.2. KH chính'!$D18)</f>
        <v>11</v>
      </c>
      <c r="J18" s="510">
        <f>SUMIFS('06. BC BH THEO CUSTOMER-USD'!CT$5:CT$228,'06. BC BH THEO CUSTOMER-USD'!$C$5:$C$228,'06.2. KH chính'!$C18,'06. BC BH THEO CUSTOMER-USD'!$B$5:$B$228,'06.2. KH chính'!$D18)</f>
        <v>23.1</v>
      </c>
      <c r="K18" s="510">
        <f>SUMIFS('06. BC BH THEO CUSTOMER-USD'!CU$5:CU$228,'06. BC BH THEO CUSTOMER-USD'!$C$5:$C$228,'06.2. KH chính'!$C18,'06. BC BH THEO CUSTOMER-USD'!$B$5:$B$228,'06.2. KH chính'!$D18)</f>
        <v>11</v>
      </c>
      <c r="L18" s="510">
        <f>SUMIFS('06. BC BH THEO CUSTOMER-USD'!CV$5:CV$228,'06. BC BH THEO CUSTOMER-USD'!$C$5:$C$228,'06.2. KH chính'!$C18,'06. BC BH THEO CUSTOMER-USD'!$B$5:$B$228,'06.2. KH chính'!$D18)</f>
        <v>0</v>
      </c>
      <c r="M18" s="510">
        <f>SUMIFS('06. BC BH THEO CUSTOMER-USD'!CW$5:CW$228,'06. BC BH THEO CUSTOMER-USD'!$C$5:$C$228,'06.2. KH chính'!$C18,'06. BC BH THEO CUSTOMER-USD'!$B$5:$B$228,'06.2. KH chính'!$D18)</f>
        <v>11</v>
      </c>
      <c r="N18" s="510">
        <f>SUMIFS('06. BC BH THEO CUSTOMER-USD'!CX$5:CX$228,'06. BC BH THEO CUSTOMER-USD'!$C$5:$C$228,'06.2. KH chính'!$C18,'06. BC BH THEO CUSTOMER-USD'!$B$5:$B$228,'06.2. KH chính'!$D18)</f>
        <v>22</v>
      </c>
      <c r="O18" s="510">
        <f>SUMIFS('06. BC BH THEO CUSTOMER-USD'!CY$5:CY$228,'06. BC BH THEO CUSTOMER-USD'!$C$5:$C$228,'06.2. KH chính'!$C18,'06. BC BH THEO CUSTOMER-USD'!$B$5:$B$228,'06.2. KH chính'!$D18)</f>
        <v>0</v>
      </c>
      <c r="P18" s="510">
        <f>SUMIFS('06. BC BH THEO CUSTOMER-USD'!CZ$5:CZ$228,'06. BC BH THEO CUSTOMER-USD'!$C$5:$C$228,'06.2. KH chính'!$C18,'06. BC BH THEO CUSTOMER-USD'!$B$5:$B$228,'06.2. KH chính'!$D18)</f>
        <v>5.5</v>
      </c>
      <c r="Q18" s="510">
        <f>SUMIFS('06. BC BH THEO CUSTOMER-USD'!DA$5:DA$228,'06. BC BH THEO CUSTOMER-USD'!$C$5:$C$228,'06.2. KH chính'!$C18,'06. BC BH THEO CUSTOMER-USD'!$B$5:$B$228,'06.2. KH chính'!$D18)</f>
        <v>16.5</v>
      </c>
      <c r="R18" s="510">
        <f>SUMIFS('06. BC BH THEO CUSTOMER-USD'!DB$5:DB$228,'06. BC BH THEO CUSTOMER-USD'!$C$5:$C$228,'06.2. KH chính'!$C18,'06. BC BH THEO CUSTOMER-USD'!$B$5:$B$228,'06.2. KH chính'!$D18)</f>
        <v>0</v>
      </c>
      <c r="S18" s="510">
        <f>SUMIFS('06. BC BH THEO CUSTOMER-USD'!DC$5:DC$228,'06. BC BH THEO CUSTOMER-USD'!$C$5:$C$228,'06.2. KH chính'!$C18,'06. BC BH THEO CUSTOMER-USD'!$B$5:$B$228,'06.2. KH chính'!$D18)</f>
        <v>0</v>
      </c>
      <c r="T18" s="510">
        <f>SUMIFS('06. BC BH THEO CUSTOMER-USD'!DD$5:DD$228,'06. BC BH THEO CUSTOMER-USD'!$C$5:$C$228,'06.2. KH chính'!$C18,'06. BC BH THEO CUSTOMER-USD'!$B$5:$B$228,'06.2. KH chính'!$D18)</f>
        <v>0</v>
      </c>
    </row>
    <row r="19" spans="1:20" x14ac:dyDescent="0.35">
      <c r="A19" s="505"/>
      <c r="B19" s="850" t="str">
        <f t="shared" si="3"/>
        <v>CPSX Nhựa Duy Tân_rHDPE thổi</v>
      </c>
      <c r="C19" s="310" t="s">
        <v>29</v>
      </c>
      <c r="D19" s="511" t="s">
        <v>265</v>
      </c>
      <c r="E19" s="840">
        <v>498.6</v>
      </c>
      <c r="F19" s="840">
        <f t="shared" si="4"/>
        <v>41.550000000000004</v>
      </c>
      <c r="G19" s="509">
        <f t="shared" si="5"/>
        <v>2.125</v>
      </c>
      <c r="H19" s="509">
        <f t="shared" si="2"/>
        <v>6.375</v>
      </c>
      <c r="I19" s="510">
        <f>SUMIFS('06. BC BH THEO CUSTOMER-USD'!CS$5:CS$228,'06. BC BH THEO CUSTOMER-USD'!$C$5:$C$228,'06.2. KH chính'!$C19,'06. BC BH THEO CUSTOMER-USD'!$B$5:$B$228,'06.2. KH chính'!$D19)</f>
        <v>0</v>
      </c>
      <c r="J19" s="510">
        <f>SUMIFS('06. BC BH THEO CUSTOMER-USD'!CT$5:CT$228,'06. BC BH THEO CUSTOMER-USD'!$C$5:$C$228,'06.2. KH chính'!$C19,'06. BC BH THEO CUSTOMER-USD'!$B$5:$B$228,'06.2. KH chính'!$D19)</f>
        <v>0</v>
      </c>
      <c r="K19" s="510">
        <f>SUMIFS('06. BC BH THEO CUSTOMER-USD'!CU$5:CU$228,'06. BC BH THEO CUSTOMER-USD'!$C$5:$C$228,'06.2. KH chính'!$C19,'06. BC BH THEO CUSTOMER-USD'!$B$5:$B$228,'06.2. KH chính'!$D19)</f>
        <v>0.5</v>
      </c>
      <c r="L19" s="510">
        <f>SUMIFS('06. BC BH THEO CUSTOMER-USD'!CV$5:CV$228,'06. BC BH THEO CUSTOMER-USD'!$C$5:$C$228,'06.2. KH chính'!$C19,'06. BC BH THEO CUSTOMER-USD'!$B$5:$B$228,'06.2. KH chính'!$D19)</f>
        <v>0</v>
      </c>
      <c r="M19" s="510">
        <f>SUMIFS('06. BC BH THEO CUSTOMER-USD'!CW$5:CW$228,'06. BC BH THEO CUSTOMER-USD'!$C$5:$C$228,'06.2. KH chính'!$C19,'06. BC BH THEO CUSTOMER-USD'!$B$5:$B$228,'06.2. KH chính'!$D19)</f>
        <v>2.5000000000000001E-2</v>
      </c>
      <c r="N19" s="510">
        <f>SUMIFS('06. BC BH THEO CUSTOMER-USD'!CX$5:CX$228,'06. BC BH THEO CUSTOMER-USD'!$C$5:$C$228,'06.2. KH chính'!$C19,'06. BC BH THEO CUSTOMER-USD'!$B$5:$B$228,'06.2. KH chính'!$D19)</f>
        <v>5.85</v>
      </c>
      <c r="O19" s="510">
        <f>SUMIFS('06. BC BH THEO CUSTOMER-USD'!CY$5:CY$228,'06. BC BH THEO CUSTOMER-USD'!$C$5:$C$228,'06.2. KH chính'!$C19,'06. BC BH THEO CUSTOMER-USD'!$B$5:$B$228,'06.2. KH chính'!$D19)</f>
        <v>0</v>
      </c>
      <c r="P19" s="510">
        <f>SUMIFS('06. BC BH THEO CUSTOMER-USD'!CZ$5:CZ$228,'06. BC BH THEO CUSTOMER-USD'!$C$5:$C$228,'06.2. KH chính'!$C19,'06. BC BH THEO CUSTOMER-USD'!$B$5:$B$228,'06.2. KH chính'!$D19)</f>
        <v>0</v>
      </c>
      <c r="Q19" s="510">
        <f>SUMIFS('06. BC BH THEO CUSTOMER-USD'!DA$5:DA$228,'06. BC BH THEO CUSTOMER-USD'!$C$5:$C$228,'06.2. KH chính'!$C19,'06. BC BH THEO CUSTOMER-USD'!$B$5:$B$228,'06.2. KH chính'!$D19)</f>
        <v>0</v>
      </c>
      <c r="R19" s="510">
        <f>SUMIFS('06. BC BH THEO CUSTOMER-USD'!DB$5:DB$228,'06. BC BH THEO CUSTOMER-USD'!$C$5:$C$228,'06.2. KH chính'!$C19,'06. BC BH THEO CUSTOMER-USD'!$B$5:$B$228,'06.2. KH chính'!$D19)</f>
        <v>0</v>
      </c>
      <c r="S19" s="510">
        <f>SUMIFS('06. BC BH THEO CUSTOMER-USD'!DC$5:DC$228,'06. BC BH THEO CUSTOMER-USD'!$C$5:$C$228,'06.2. KH chính'!$C19,'06. BC BH THEO CUSTOMER-USD'!$B$5:$B$228,'06.2. KH chính'!$D19)</f>
        <v>0</v>
      </c>
      <c r="T19" s="510">
        <f>SUMIFS('06. BC BH THEO CUSTOMER-USD'!DD$5:DD$228,'06. BC BH THEO CUSTOMER-USD'!$C$5:$C$228,'06.2. KH chính'!$C19,'06. BC BH THEO CUSTOMER-USD'!$B$5:$B$228,'06.2. KH chính'!$D19)</f>
        <v>0</v>
      </c>
    </row>
    <row r="20" spans="1:20" x14ac:dyDescent="0.35">
      <c r="A20" s="505"/>
      <c r="B20" s="850" t="str">
        <f t="shared" si="3"/>
        <v>CPSX Nhựa Duy Tân_rHDPE ép</v>
      </c>
      <c r="C20" s="310" t="s">
        <v>29</v>
      </c>
      <c r="D20" s="498" t="s">
        <v>266</v>
      </c>
      <c r="E20" s="840">
        <v>163.72499999999999</v>
      </c>
      <c r="F20" s="840">
        <f t="shared" si="4"/>
        <v>13.643749999999999</v>
      </c>
      <c r="G20" s="509">
        <f t="shared" si="5"/>
        <v>23.027777777777779</v>
      </c>
      <c r="H20" s="509">
        <f t="shared" si="2"/>
        <v>207.25</v>
      </c>
      <c r="I20" s="310"/>
      <c r="J20" s="510">
        <f>SUMIFS('06. BC BH THEO CUSTOMER-USD'!CT$5:CT$228,'06. BC BH THEO CUSTOMER-USD'!$C$5:$C$228,'06.2. KH chính'!$C20,'06. BC BH THEO CUSTOMER-USD'!$B$5:$B$228,'06.2. KH chính'!$D20)</f>
        <v>34</v>
      </c>
      <c r="K20" s="510">
        <f>SUMIFS('06. BC BH THEO CUSTOMER-USD'!CU$5:CU$228,'06. BC BH THEO CUSTOMER-USD'!$C$5:$C$228,'06.2. KH chính'!$C20,'06. BC BH THEO CUSTOMER-USD'!$B$5:$B$228,'06.2. KH chính'!$D20)</f>
        <v>27.5</v>
      </c>
      <c r="L20" s="510">
        <f>SUMIFS('06. BC BH THEO CUSTOMER-USD'!CV$5:CV$228,'06. BC BH THEO CUSTOMER-USD'!$C$5:$C$228,'06.2. KH chính'!$C20,'06. BC BH THEO CUSTOMER-USD'!$B$5:$B$228,'06.2. KH chính'!$D20)</f>
        <v>27.5</v>
      </c>
      <c r="M20" s="510">
        <f>SUMIFS('06. BC BH THEO CUSTOMER-USD'!CW$5:CW$228,'06. BC BH THEO CUSTOMER-USD'!$C$5:$C$228,'06.2. KH chính'!$C20,'06. BC BH THEO CUSTOMER-USD'!$B$5:$B$228,'06.2. KH chính'!$D20)</f>
        <v>27.5</v>
      </c>
      <c r="N20" s="510">
        <f>SUMIFS('06. BC BH THEO CUSTOMER-USD'!CX$5:CX$228,'06. BC BH THEO CUSTOMER-USD'!$C$5:$C$228,'06.2. KH chính'!$C20,'06. BC BH THEO CUSTOMER-USD'!$B$5:$B$228,'06.2. KH chính'!$D20)</f>
        <v>17.875</v>
      </c>
      <c r="O20" s="510">
        <f>SUMIFS('06. BC BH THEO CUSTOMER-USD'!CY$5:CY$228,'06. BC BH THEO CUSTOMER-USD'!$C$5:$C$228,'06.2. KH chính'!$C20,'06. BC BH THEO CUSTOMER-USD'!$B$5:$B$228,'06.2. KH chính'!$D20)</f>
        <v>31.625</v>
      </c>
      <c r="P20" s="510">
        <f>SUMIFS('06. BC BH THEO CUSTOMER-USD'!CZ$5:CZ$228,'06. BC BH THEO CUSTOMER-USD'!$C$5:$C$228,'06.2. KH chính'!$C20,'06. BC BH THEO CUSTOMER-USD'!$B$5:$B$228,'06.2. KH chính'!$D20)</f>
        <v>22</v>
      </c>
      <c r="Q20" s="510">
        <f>SUMIFS('06. BC BH THEO CUSTOMER-USD'!DA$5:DA$228,'06. BC BH THEO CUSTOMER-USD'!$C$5:$C$228,'06.2. KH chính'!$C20,'06. BC BH THEO CUSTOMER-USD'!$B$5:$B$228,'06.2. KH chính'!$D20)</f>
        <v>19.25</v>
      </c>
      <c r="R20" s="510">
        <f>SUMIFS('06. BC BH THEO CUSTOMER-USD'!DB$5:DB$228,'06. BC BH THEO CUSTOMER-USD'!$C$5:$C$228,'06.2. KH chính'!$C20,'06. BC BH THEO CUSTOMER-USD'!$B$5:$B$228,'06.2. KH chính'!$D20)</f>
        <v>0</v>
      </c>
      <c r="S20" s="510">
        <f>SUMIFS('06. BC BH THEO CUSTOMER-USD'!DC$5:DC$228,'06. BC BH THEO CUSTOMER-USD'!$C$5:$C$228,'06.2. KH chính'!$C20,'06. BC BH THEO CUSTOMER-USD'!$B$5:$B$228,'06.2. KH chính'!$D20)</f>
        <v>0</v>
      </c>
      <c r="T20" s="510">
        <f>SUMIFS('06. BC BH THEO CUSTOMER-USD'!DD$5:DD$228,'06. BC BH THEO CUSTOMER-USD'!$C$5:$C$228,'06.2. KH chính'!$C20,'06. BC BH THEO CUSTOMER-USD'!$B$5:$B$228,'06.2. KH chính'!$D20)</f>
        <v>0</v>
      </c>
    </row>
    <row r="21" spans="1:20" x14ac:dyDescent="0.35">
      <c r="A21" s="505"/>
      <c r="B21" s="850" t="str">
        <f t="shared" si="3"/>
        <v>CPSX Nhựa Duy Tân_rPP</v>
      </c>
      <c r="C21" s="310" t="s">
        <v>29</v>
      </c>
      <c r="D21" s="499" t="s">
        <v>23</v>
      </c>
      <c r="E21" s="840">
        <v>59.924999999999997</v>
      </c>
      <c r="F21" s="840">
        <f t="shared" si="4"/>
        <v>4.9937499999999995</v>
      </c>
      <c r="G21" s="509">
        <f t="shared" si="5"/>
        <v>0</v>
      </c>
      <c r="H21" s="509">
        <f t="shared" si="2"/>
        <v>0</v>
      </c>
      <c r="I21" s="510">
        <f>SUMIFS('06. BC BH THEO CUSTOMER-USD'!CS$5:CS$228,'06. BC BH THEO CUSTOMER-USD'!$C$5:$C$228,'06.2. KH chính'!$C21,'06. BC BH THEO CUSTOMER-USD'!$B$5:$B$228,'06.2. KH chính'!$D21)</f>
        <v>0</v>
      </c>
      <c r="J21" s="510">
        <f>SUMIFS('06. BC BH THEO CUSTOMER-USD'!CT$5:CT$228,'06. BC BH THEO CUSTOMER-USD'!$C$5:$C$228,'06.2. KH chính'!$C21,'06. BC BH THEO CUSTOMER-USD'!$B$5:$B$228,'06.2. KH chính'!$D21)</f>
        <v>0</v>
      </c>
      <c r="K21" s="510">
        <f>SUMIFS('06. BC BH THEO CUSTOMER-USD'!CU$5:CU$228,'06. BC BH THEO CUSTOMER-USD'!$C$5:$C$228,'06.2. KH chính'!$C21,'06. BC BH THEO CUSTOMER-USD'!$B$5:$B$228,'06.2. KH chính'!$D21)</f>
        <v>0</v>
      </c>
      <c r="L21" s="510">
        <f>SUMIFS('06. BC BH THEO CUSTOMER-USD'!CV$5:CV$228,'06. BC BH THEO CUSTOMER-USD'!$C$5:$C$228,'06.2. KH chính'!$C21,'06. BC BH THEO CUSTOMER-USD'!$B$5:$B$228,'06.2. KH chính'!$D21)</f>
        <v>0</v>
      </c>
      <c r="M21" s="510">
        <f>SUMIFS('06. BC BH THEO CUSTOMER-USD'!CW$5:CW$228,'06. BC BH THEO CUSTOMER-USD'!$C$5:$C$228,'06.2. KH chính'!$C21,'06. BC BH THEO CUSTOMER-USD'!$B$5:$B$228,'06.2. KH chính'!$D21)</f>
        <v>0</v>
      </c>
      <c r="N21" s="510">
        <f>SUMIFS('06. BC BH THEO CUSTOMER-USD'!CX$5:CX$228,'06. BC BH THEO CUSTOMER-USD'!$C$5:$C$228,'06.2. KH chính'!$C21,'06. BC BH THEO CUSTOMER-USD'!$B$5:$B$228,'06.2. KH chính'!$D21)</f>
        <v>0</v>
      </c>
      <c r="O21" s="510">
        <f>SUMIFS('06. BC BH THEO CUSTOMER-USD'!CY$5:CY$228,'06. BC BH THEO CUSTOMER-USD'!$C$5:$C$228,'06.2. KH chính'!$C21,'06. BC BH THEO CUSTOMER-USD'!$B$5:$B$228,'06.2. KH chính'!$D21)</f>
        <v>0</v>
      </c>
      <c r="P21" s="510">
        <f>SUMIFS('06. BC BH THEO CUSTOMER-USD'!CZ$5:CZ$228,'06. BC BH THEO CUSTOMER-USD'!$C$5:$C$228,'06.2. KH chính'!$C21,'06. BC BH THEO CUSTOMER-USD'!$B$5:$B$228,'06.2. KH chính'!$D21)</f>
        <v>0</v>
      </c>
      <c r="Q21" s="510">
        <f>SUMIFS('06. BC BH THEO CUSTOMER-USD'!DA$5:DA$228,'06. BC BH THEO CUSTOMER-USD'!$C$5:$C$228,'06.2. KH chính'!$C21,'06. BC BH THEO CUSTOMER-USD'!$B$5:$B$228,'06.2. KH chính'!$D21)</f>
        <v>0</v>
      </c>
      <c r="R21" s="510">
        <f>SUMIFS('06. BC BH THEO CUSTOMER-USD'!DB$5:DB$228,'06. BC BH THEO CUSTOMER-USD'!$C$5:$C$228,'06.2. KH chính'!$C21,'06. BC BH THEO CUSTOMER-USD'!$B$5:$B$228,'06.2. KH chính'!$D21)</f>
        <v>0</v>
      </c>
      <c r="S21" s="510">
        <f>SUMIFS('06. BC BH THEO CUSTOMER-USD'!DC$5:DC$228,'06. BC BH THEO CUSTOMER-USD'!$C$5:$C$228,'06.2. KH chính'!$C21,'06. BC BH THEO CUSTOMER-USD'!$B$5:$B$228,'06.2. KH chính'!$D21)</f>
        <v>0</v>
      </c>
      <c r="T21" s="510">
        <f>SUMIFS('06. BC BH THEO CUSTOMER-USD'!DD$5:DD$228,'06. BC BH THEO CUSTOMER-USD'!$C$5:$C$228,'06.2. KH chính'!$C21,'06. BC BH THEO CUSTOMER-USD'!$B$5:$B$228,'06.2. KH chính'!$D21)</f>
        <v>0</v>
      </c>
    </row>
    <row r="22" spans="1:20" x14ac:dyDescent="0.35">
      <c r="A22" s="505">
        <v>11</v>
      </c>
      <c r="B22" s="850" t="str">
        <f t="shared" si="3"/>
        <v>Dynaplast_rHDPE thổi</v>
      </c>
      <c r="C22" s="310" t="s">
        <v>503</v>
      </c>
      <c r="D22" s="499" t="s">
        <v>265</v>
      </c>
      <c r="E22" s="840">
        <v>196.125</v>
      </c>
      <c r="F22" s="840">
        <f t="shared" si="4"/>
        <v>16.34375</v>
      </c>
      <c r="G22" s="509">
        <f t="shared" si="5"/>
        <v>33.605555555555554</v>
      </c>
      <c r="H22" s="509">
        <f t="shared" si="2"/>
        <v>302.45</v>
      </c>
      <c r="I22" s="510">
        <f>SUMIFS('06. BC BH THEO CUSTOMER-USD'!CS$5:CS$228,'06. BC BH THEO CUSTOMER-USD'!$C$5:$C$228,'06.2. KH chính'!$C22,'06. BC BH THEO CUSTOMER-USD'!$B$5:$B$228,'06.2. KH chính'!$D22)</f>
        <v>49.5</v>
      </c>
      <c r="J22" s="510">
        <f>SUMIFS('06. BC BH THEO CUSTOMER-USD'!CT$5:CT$228,'06. BC BH THEO CUSTOMER-USD'!$C$5:$C$228,'06.2. KH chính'!$C22,'06. BC BH THEO CUSTOMER-USD'!$B$5:$B$228,'06.2. KH chính'!$D22)</f>
        <v>27.5</v>
      </c>
      <c r="K22" s="510">
        <f>SUMIFS('06. BC BH THEO CUSTOMER-USD'!CU$5:CU$228,'06. BC BH THEO CUSTOMER-USD'!$C$5:$C$228,'06.2. KH chính'!$C22,'06. BC BH THEO CUSTOMER-USD'!$B$5:$B$228,'06.2. KH chính'!$D22)</f>
        <v>34.375</v>
      </c>
      <c r="L22" s="510">
        <f>SUMIFS('06. BC BH THEO CUSTOMER-USD'!CV$5:CV$228,'06. BC BH THEO CUSTOMER-USD'!$C$5:$C$228,'06.2. KH chính'!$C22,'06. BC BH THEO CUSTOMER-USD'!$B$5:$B$228,'06.2. KH chính'!$D22)</f>
        <v>24.75</v>
      </c>
      <c r="M22" s="510">
        <f>SUMIFS('06. BC BH THEO CUSTOMER-USD'!CW$5:CW$228,'06. BC BH THEO CUSTOMER-USD'!$C$5:$C$228,'06.2. KH chính'!$C22,'06. BC BH THEO CUSTOMER-USD'!$B$5:$B$228,'06.2. KH chính'!$D22)</f>
        <v>34.35</v>
      </c>
      <c r="N22" s="510">
        <f>SUMIFS('06. BC BH THEO CUSTOMER-USD'!CX$5:CX$228,'06. BC BH THEO CUSTOMER-USD'!$C$5:$C$228,'06.2. KH chính'!$C22,'06. BC BH THEO CUSTOMER-USD'!$B$5:$B$228,'06.2. KH chính'!$D22)</f>
        <v>24.75</v>
      </c>
      <c r="O22" s="510">
        <f>SUMIFS('06. BC BH THEO CUSTOMER-USD'!CY$5:CY$228,'06. BC BH THEO CUSTOMER-USD'!$C$5:$C$228,'06.2. KH chính'!$C22,'06. BC BH THEO CUSTOMER-USD'!$B$5:$B$228,'06.2. KH chính'!$D22)</f>
        <v>35.75</v>
      </c>
      <c r="P22" s="510">
        <f>SUMIFS('06. BC BH THEO CUSTOMER-USD'!CZ$5:CZ$228,'06. BC BH THEO CUSTOMER-USD'!$C$5:$C$228,'06.2. KH chính'!$C22,'06. BC BH THEO CUSTOMER-USD'!$B$5:$B$228,'06.2. KH chính'!$D22)</f>
        <v>35.725000000000001</v>
      </c>
      <c r="Q22" s="510">
        <f>SUMIFS('06. BC BH THEO CUSTOMER-USD'!DA$5:DA$228,'06. BC BH THEO CUSTOMER-USD'!$C$5:$C$228,'06.2. KH chính'!$C22,'06. BC BH THEO CUSTOMER-USD'!$B$5:$B$228,'06.2. KH chính'!$D22)</f>
        <v>35.75</v>
      </c>
      <c r="R22" s="510">
        <f>SUMIFS('06. BC BH THEO CUSTOMER-USD'!DB$5:DB$228,'06. BC BH THEO CUSTOMER-USD'!$C$5:$C$228,'06.2. KH chính'!$C22,'06. BC BH THEO CUSTOMER-USD'!$B$5:$B$228,'06.2. KH chính'!$D22)</f>
        <v>0</v>
      </c>
      <c r="S22" s="510">
        <f>SUMIFS('06. BC BH THEO CUSTOMER-USD'!DC$5:DC$228,'06. BC BH THEO CUSTOMER-USD'!$C$5:$C$228,'06.2. KH chính'!$C22,'06. BC BH THEO CUSTOMER-USD'!$B$5:$B$228,'06.2. KH chính'!$D22)</f>
        <v>0</v>
      </c>
      <c r="T22" s="510">
        <f>SUMIFS('06. BC BH THEO CUSTOMER-USD'!DD$5:DD$228,'06. BC BH THEO CUSTOMER-USD'!$C$5:$C$228,'06.2. KH chính'!$C22,'06. BC BH THEO CUSTOMER-USD'!$B$5:$B$228,'06.2. KH chính'!$D22)</f>
        <v>0</v>
      </c>
    </row>
    <row r="23" spans="1:20" x14ac:dyDescent="0.35">
      <c r="A23" s="505">
        <v>12</v>
      </c>
      <c r="B23" s="850" t="str">
        <f t="shared" si="3"/>
        <v>Motul_rHDPE thổi</v>
      </c>
      <c r="C23" s="310" t="s">
        <v>804</v>
      </c>
      <c r="D23" s="499" t="s">
        <v>265</v>
      </c>
      <c r="E23" s="840">
        <v>160</v>
      </c>
      <c r="F23" s="840">
        <f t="shared" si="4"/>
        <v>13.333333333333334</v>
      </c>
      <c r="G23" s="509">
        <f t="shared" si="5"/>
        <v>30.555555555555557</v>
      </c>
      <c r="H23" s="509">
        <f t="shared" ref="H23" si="6">SUM(I23:T23)</f>
        <v>275</v>
      </c>
      <c r="I23" s="510">
        <f>SUMIFS('06. BC BH THEO CUSTOMER-USD'!CS$5:CS$228,'06. BC BH THEO CUSTOMER-USD'!$C$5:$C$228,'06.2. KH chính'!$C23,'06. BC BH THEO CUSTOMER-USD'!$B$5:$B$228,'06.2. KH chính'!$D23)</f>
        <v>22</v>
      </c>
      <c r="J23" s="510">
        <f>SUMIFS('06. BC BH THEO CUSTOMER-USD'!CT$5:CT$228,'06. BC BH THEO CUSTOMER-USD'!$C$5:$C$228,'06.2. KH chính'!$C23,'06. BC BH THEO CUSTOMER-USD'!$B$5:$B$228,'06.2. KH chính'!$D23)</f>
        <v>22</v>
      </c>
      <c r="K23" s="510">
        <f>SUMIFS('06. BC BH THEO CUSTOMER-USD'!CU$5:CU$228,'06. BC BH THEO CUSTOMER-USD'!$C$5:$C$228,'06.2. KH chính'!$C23,'06. BC BH THEO CUSTOMER-USD'!$B$5:$B$228,'06.2. KH chính'!$D23)</f>
        <v>33</v>
      </c>
      <c r="L23" s="510">
        <f>SUMIFS('06. BC BH THEO CUSTOMER-USD'!CV$5:CV$228,'06. BC BH THEO CUSTOMER-USD'!$C$5:$C$228,'06.2. KH chính'!$C23,'06. BC BH THEO CUSTOMER-USD'!$B$5:$B$228,'06.2. KH chính'!$D23)</f>
        <v>33</v>
      </c>
      <c r="M23" s="510">
        <f>SUMIFS('06. BC BH THEO CUSTOMER-USD'!CW$5:CW$228,'06. BC BH THEO CUSTOMER-USD'!$C$5:$C$228,'06.2. KH chính'!$C23,'06. BC BH THEO CUSTOMER-USD'!$B$5:$B$228,'06.2. KH chính'!$D23)</f>
        <v>33</v>
      </c>
      <c r="N23" s="510">
        <f>SUMIFS('06. BC BH THEO CUSTOMER-USD'!CX$5:CX$228,'06. BC BH THEO CUSTOMER-USD'!$C$5:$C$228,'06.2. KH chính'!$C23,'06. BC BH THEO CUSTOMER-USD'!$B$5:$B$228,'06.2. KH chính'!$D23)</f>
        <v>33</v>
      </c>
      <c r="O23" s="510">
        <f>SUMIFS('06. BC BH THEO CUSTOMER-USD'!CY$5:CY$228,'06. BC BH THEO CUSTOMER-USD'!$C$5:$C$228,'06.2. KH chính'!$C23,'06. BC BH THEO CUSTOMER-USD'!$B$5:$B$228,'06.2. KH chính'!$D23)</f>
        <v>33</v>
      </c>
      <c r="P23" s="510">
        <f>SUMIFS('06. BC BH THEO CUSTOMER-USD'!CZ$5:CZ$228,'06. BC BH THEO CUSTOMER-USD'!$C$5:$C$228,'06.2. KH chính'!$C23,'06. BC BH THEO CUSTOMER-USD'!$B$5:$B$228,'06.2. KH chính'!$D23)</f>
        <v>33</v>
      </c>
      <c r="Q23" s="510">
        <f>SUMIFS('06. BC BH THEO CUSTOMER-USD'!DA$5:DA$228,'06. BC BH THEO CUSTOMER-USD'!$C$5:$C$228,'06.2. KH chính'!$C23,'06. BC BH THEO CUSTOMER-USD'!$B$5:$B$228,'06.2. KH chính'!$D23)</f>
        <v>33</v>
      </c>
      <c r="R23" s="510">
        <f>SUMIFS('06. BC BH THEO CUSTOMER-USD'!DB$5:DB$228,'06. BC BH THEO CUSTOMER-USD'!$C$5:$C$228,'06.2. KH chính'!$C23,'06. BC BH THEO CUSTOMER-USD'!$B$5:$B$228,'06.2. KH chính'!$D23)</f>
        <v>0</v>
      </c>
      <c r="S23" s="510">
        <f>SUMIFS('06. BC BH THEO CUSTOMER-USD'!DC$5:DC$228,'06. BC BH THEO CUSTOMER-USD'!$C$5:$C$228,'06.2. KH chính'!$C23,'06. BC BH THEO CUSTOMER-USD'!$B$5:$B$228,'06.2. KH chính'!$D23)</f>
        <v>0</v>
      </c>
      <c r="T23" s="510">
        <f>SUMIFS('06. BC BH THEO CUSTOMER-USD'!DD$5:DD$228,'06. BC BH THEO CUSTOMER-USD'!$C$5:$C$228,'06.2. KH chính'!$C23,'06. BC BH THEO CUSTOMER-USD'!$B$5:$B$228,'06.2. KH chính'!$D23)</f>
        <v>0</v>
      </c>
    </row>
    <row r="24" spans="1:20" x14ac:dyDescent="0.35">
      <c r="A24" s="505">
        <v>13</v>
      </c>
      <c r="B24" s="850" t="str">
        <f t="shared" ref="B24" si="7">C24&amp;"_"&amp;D24</f>
        <v>CS Fiber_Xơ sợi</v>
      </c>
      <c r="C24" s="310" t="s">
        <v>508</v>
      </c>
      <c r="D24" s="499" t="s">
        <v>95</v>
      </c>
      <c r="E24" s="840">
        <v>880</v>
      </c>
      <c r="F24" s="840">
        <f t="shared" ref="F24" si="8">E24/12</f>
        <v>73.333333333333329</v>
      </c>
      <c r="G24" s="509">
        <f t="shared" ref="G24" si="9">IFERROR(H24/(12-COUNTIF(I24:T24,0)),0)</f>
        <v>0</v>
      </c>
      <c r="H24" s="509">
        <f t="shared" ref="H24" si="10">SUM(I24:T24)</f>
        <v>0</v>
      </c>
      <c r="I24" s="510">
        <f>SUMIFS('06. BC BH THEO CUSTOMER-USD'!CS$5:CS$228,'06. BC BH THEO CUSTOMER-USD'!$C$5:$C$228,'06.2. KH chính'!$C24,'06. BC BH THEO CUSTOMER-USD'!$B$5:$B$228,'06.2. KH chính'!$D24)</f>
        <v>0</v>
      </c>
      <c r="J24" s="510">
        <f>SUMIFS('06. BC BH THEO CUSTOMER-USD'!CT$5:CT$228,'06. BC BH THEO CUSTOMER-USD'!$C$5:$C$228,'06.2. KH chính'!$C24,'06. BC BH THEO CUSTOMER-USD'!$B$5:$B$228,'06.2. KH chính'!$D24)</f>
        <v>0</v>
      </c>
      <c r="K24" s="510">
        <f>SUMIFS('06. BC BH THEO CUSTOMER-USD'!CU$5:CU$228,'06. BC BH THEO CUSTOMER-USD'!$C$5:$C$228,'06.2. KH chính'!$C24,'06. BC BH THEO CUSTOMER-USD'!$B$5:$B$228,'06.2. KH chính'!$D24)</f>
        <v>0</v>
      </c>
      <c r="L24" s="510">
        <f>SUMIFS('06. BC BH THEO CUSTOMER-USD'!CV$5:CV$228,'06. BC BH THEO CUSTOMER-USD'!$C$5:$C$228,'06.2. KH chính'!$C24,'06. BC BH THEO CUSTOMER-USD'!$B$5:$B$228,'06.2. KH chính'!$D24)</f>
        <v>0</v>
      </c>
      <c r="M24" s="510">
        <f>SUMIFS('06. BC BH THEO CUSTOMER-USD'!CW$5:CW$228,'06. BC BH THEO CUSTOMER-USD'!$C$5:$C$228,'06.2. KH chính'!$C24,'06. BC BH THEO CUSTOMER-USD'!$B$5:$B$228,'06.2. KH chính'!$D24)</f>
        <v>0</v>
      </c>
      <c r="N24" s="510">
        <f>SUMIFS('06. BC BH THEO CUSTOMER-USD'!CX$5:CX$228,'06. BC BH THEO CUSTOMER-USD'!$C$5:$C$228,'06.2. KH chính'!$C24,'06. BC BH THEO CUSTOMER-USD'!$B$5:$B$228,'06.2. KH chính'!$D24)</f>
        <v>0</v>
      </c>
      <c r="O24" s="510">
        <f>SUMIFS('06. BC BH THEO CUSTOMER-USD'!CY$5:CY$228,'06. BC BH THEO CUSTOMER-USD'!$C$5:$C$228,'06.2. KH chính'!$C24,'06. BC BH THEO CUSTOMER-USD'!$B$5:$B$228,'06.2. KH chính'!$D24)</f>
        <v>0</v>
      </c>
      <c r="P24" s="510">
        <f>SUMIFS('06. BC BH THEO CUSTOMER-USD'!CZ$5:CZ$228,'06. BC BH THEO CUSTOMER-USD'!$C$5:$C$228,'06.2. KH chính'!$C24,'06. BC BH THEO CUSTOMER-USD'!$B$5:$B$228,'06.2. KH chính'!$D24)</f>
        <v>0</v>
      </c>
      <c r="Q24" s="510">
        <f>SUMIFS('06. BC BH THEO CUSTOMER-USD'!DA$5:DA$228,'06. BC BH THEO CUSTOMER-USD'!$C$5:$C$228,'06.2. KH chính'!$C24,'06. BC BH THEO CUSTOMER-USD'!$B$5:$B$228,'06.2. KH chính'!$D24)</f>
        <v>0</v>
      </c>
      <c r="R24" s="510">
        <f>SUMIFS('06. BC BH THEO CUSTOMER-USD'!DB$5:DB$228,'06. BC BH THEO CUSTOMER-USD'!$C$5:$C$228,'06.2. KH chính'!$C24,'06. BC BH THEO CUSTOMER-USD'!$B$5:$B$228,'06.2. KH chính'!$D24)</f>
        <v>0</v>
      </c>
      <c r="S24" s="510">
        <f>SUMIFS('06. BC BH THEO CUSTOMER-USD'!DC$5:DC$228,'06. BC BH THEO CUSTOMER-USD'!$C$5:$C$228,'06.2. KH chính'!$C24,'06. BC BH THEO CUSTOMER-USD'!$B$5:$B$228,'06.2. KH chính'!$D24)</f>
        <v>0</v>
      </c>
      <c r="T24" s="510">
        <f>SUMIFS('06. BC BH THEO CUSTOMER-USD'!DD$5:DD$228,'06. BC BH THEO CUSTOMER-USD'!$C$5:$C$228,'06.2. KH chính'!$C24,'06. BC BH THEO CUSTOMER-USD'!$B$5:$B$228,'06.2. KH chính'!$D24)</f>
        <v>0</v>
      </c>
    </row>
    <row r="25" spans="1:20" x14ac:dyDescent="0.35">
      <c r="A25" s="512"/>
      <c r="B25" s="852"/>
      <c r="C25" s="311"/>
      <c r="D25" s="513"/>
      <c r="E25" s="841"/>
      <c r="F25" s="841"/>
      <c r="G25" s="514"/>
      <c r="H25" s="514"/>
      <c r="I25" s="515"/>
      <c r="J25" s="515"/>
      <c r="K25" s="515"/>
      <c r="L25" s="515"/>
      <c r="M25" s="515"/>
      <c r="N25" s="515"/>
      <c r="O25" s="515"/>
      <c r="P25" s="515"/>
      <c r="Q25" s="515"/>
      <c r="R25" s="515"/>
      <c r="S25" s="515"/>
      <c r="T25" s="515"/>
    </row>
    <row r="26" spans="1:20" x14ac:dyDescent="0.35">
      <c r="G26" s="851"/>
    </row>
    <row r="27" spans="1:20" x14ac:dyDescent="0.35">
      <c r="H27" s="254"/>
    </row>
    <row r="28" spans="1:20" x14ac:dyDescent="0.35">
      <c r="D28" s="517"/>
      <c r="E28" s="516">
        <v>2024</v>
      </c>
      <c r="F28" s="516" t="s">
        <v>380</v>
      </c>
      <c r="G28" s="404" t="s">
        <v>382</v>
      </c>
      <c r="H28" s="404">
        <v>2025</v>
      </c>
    </row>
    <row r="29" spans="1:20" x14ac:dyDescent="0.35">
      <c r="D29" s="518" t="s">
        <v>283</v>
      </c>
      <c r="E29" s="519">
        <f>SUMIF($D$6:$D$25,D29,$E$6:$E$25)</f>
        <v>28304.9</v>
      </c>
      <c r="F29" s="519">
        <f>SUMIF($D$6:$D$25,$D29,$F$6:$F$25)</f>
        <v>2358.7416666666663</v>
      </c>
      <c r="G29" s="519">
        <f>SUMIF($D$6:$D$25,$D29,$G$6:$G$25)</f>
        <v>3669.3953333333338</v>
      </c>
      <c r="H29" s="519">
        <f>SUMIF($D$6:$D$25,$D29,$H$6:$H$25)</f>
        <v>26948.982999999997</v>
      </c>
    </row>
    <row r="30" spans="1:20" x14ac:dyDescent="0.35">
      <c r="D30" s="520" t="s">
        <v>265</v>
      </c>
      <c r="E30" s="521">
        <f>SUMIF($D$6:$D$25,D30,$E$6:$E$25)</f>
        <v>1714.175</v>
      </c>
      <c r="F30" s="521">
        <f>SUMIF($D$6:$D$25,$D30,$F$6:$F$25)</f>
        <v>142.84791666666666</v>
      </c>
      <c r="G30" s="521">
        <f>SUMIF($D$6:$D$25,$D30,$G$6:$G$25)</f>
        <v>197.72777777777776</v>
      </c>
      <c r="H30" s="521">
        <f>SUMIF($D$6:$D$25,$D30,$H$6:$H$25)</f>
        <v>1766.8</v>
      </c>
    </row>
    <row r="31" spans="1:20" x14ac:dyDescent="0.35">
      <c r="D31" s="520" t="s">
        <v>266</v>
      </c>
      <c r="E31" s="521">
        <f>SUMIF($D$6:$D$25,D31,$E$6:$E$25)</f>
        <v>163.72499999999999</v>
      </c>
      <c r="F31" s="521">
        <f>SUMIF($D$6:$D$25,$D31,$F$6:$F$25)</f>
        <v>13.643749999999999</v>
      </c>
      <c r="G31" s="521">
        <f>SUMIF($D$6:$D$25,$D31,$G$6:$G$25)</f>
        <v>53.527777777777779</v>
      </c>
      <c r="H31" s="521">
        <f>SUMIF($D$6:$D$25,$D31,$H$6:$H$25)</f>
        <v>237.75</v>
      </c>
    </row>
    <row r="32" spans="1:20" x14ac:dyDescent="0.35">
      <c r="D32" s="520" t="s">
        <v>23</v>
      </c>
      <c r="E32" s="521">
        <f>SUMIF($D$6:$D$25,D32,$E$6:$E$25)</f>
        <v>59.924999999999997</v>
      </c>
      <c r="F32" s="521">
        <f>SUMIF($D$6:$D$25,$D32,$F$6:$F$25)</f>
        <v>4.9937499999999995</v>
      </c>
      <c r="G32" s="521">
        <f>SUMIF($D$6:$D$25,$D32,$G$6:$G$25)</f>
        <v>0</v>
      </c>
      <c r="H32" s="521">
        <f>SUMIF($D$6:$D$25,$D32,$H$6:$H$25)</f>
        <v>0</v>
      </c>
    </row>
    <row r="33" spans="1:20" x14ac:dyDescent="0.35">
      <c r="D33" s="522" t="s">
        <v>95</v>
      </c>
      <c r="E33" s="523">
        <f>SUMIF($D$6:$D$25,D33,$E$6:$E$25)</f>
        <v>880</v>
      </c>
      <c r="F33" s="523">
        <f>SUMIF($D$6:$D$25,$D33,$F$6:$F$25)</f>
        <v>73.333333333333329</v>
      </c>
      <c r="G33" s="523">
        <f>SUMIF($D$6:$D$25,$D33,$G$6:$G$25)</f>
        <v>0</v>
      </c>
      <c r="H33" s="523">
        <f>SUMIF($D$6:$D$25,$D33,$H$6:$H$25)</f>
        <v>0</v>
      </c>
    </row>
    <row r="36" spans="1:20" ht="18.5" x14ac:dyDescent="0.45">
      <c r="A36" s="835"/>
      <c r="B36" s="835"/>
      <c r="C36" s="835" t="s">
        <v>805</v>
      </c>
      <c r="D36" s="502"/>
    </row>
    <row r="37" spans="1:20" x14ac:dyDescent="0.35">
      <c r="E37" s="501">
        <f>SUM(E39:E57)</f>
        <v>38965807.75222408</v>
      </c>
      <c r="F37" s="501">
        <f t="shared" ref="F37:G37" si="11">SUM(F39:F57)</f>
        <v>3247150.6460186737</v>
      </c>
      <c r="G37" s="501">
        <f t="shared" si="11"/>
        <v>4893562.6020034142</v>
      </c>
      <c r="H37" s="500">
        <f>SUM(H39:H57)</f>
        <v>36545803.697784431</v>
      </c>
      <c r="I37" s="503">
        <f t="shared" ref="I37:T37" si="12">SUM(I39:I57)</f>
        <v>4153743.7926535532</v>
      </c>
      <c r="J37" s="503">
        <f t="shared" si="12"/>
        <v>5224616.3469476169</v>
      </c>
      <c r="K37" s="503">
        <f t="shared" si="12"/>
        <v>4100282.7602362209</v>
      </c>
      <c r="L37" s="503">
        <f t="shared" si="12"/>
        <v>3984006.0809910954</v>
      </c>
      <c r="M37" s="503">
        <f t="shared" si="12"/>
        <v>4047860.5087780366</v>
      </c>
      <c r="N37" s="503">
        <f t="shared" si="12"/>
        <v>3751559.8878086419</v>
      </c>
      <c r="O37" s="503">
        <f t="shared" si="12"/>
        <v>4122086.9924318097</v>
      </c>
      <c r="P37" s="503">
        <f t="shared" si="12"/>
        <v>4939840.4336898392</v>
      </c>
      <c r="Q37" s="503">
        <f t="shared" si="12"/>
        <v>2221806.894247619</v>
      </c>
      <c r="R37" s="503">
        <f t="shared" si="12"/>
        <v>0</v>
      </c>
      <c r="S37" s="503">
        <f t="shared" si="12"/>
        <v>0</v>
      </c>
      <c r="T37" s="503">
        <f t="shared" si="12"/>
        <v>0</v>
      </c>
    </row>
    <row r="38" spans="1:20" x14ac:dyDescent="0.35">
      <c r="A38" s="351" t="s">
        <v>174</v>
      </c>
      <c r="B38" s="351"/>
      <c r="C38" s="351" t="s">
        <v>479</v>
      </c>
      <c r="D38" s="351" t="s">
        <v>411</v>
      </c>
      <c r="E38" s="842">
        <v>2024</v>
      </c>
      <c r="F38" s="842" t="s">
        <v>380</v>
      </c>
      <c r="G38" s="404" t="s">
        <v>382</v>
      </c>
      <c r="H38" s="404">
        <v>2025</v>
      </c>
      <c r="I38" s="404">
        <v>1</v>
      </c>
      <c r="J38" s="404">
        <v>2</v>
      </c>
      <c r="K38" s="404">
        <v>3</v>
      </c>
      <c r="L38" s="404">
        <v>4</v>
      </c>
      <c r="M38" s="404">
        <v>5</v>
      </c>
      <c r="N38" s="404">
        <v>6</v>
      </c>
      <c r="O38" s="404">
        <v>7</v>
      </c>
      <c r="P38" s="404">
        <v>8</v>
      </c>
      <c r="Q38" s="404">
        <v>9</v>
      </c>
      <c r="R38" s="404">
        <v>10</v>
      </c>
      <c r="S38" s="404">
        <v>11</v>
      </c>
      <c r="T38" s="404">
        <v>12</v>
      </c>
    </row>
    <row r="39" spans="1:20" outlineLevel="1" x14ac:dyDescent="0.35">
      <c r="A39" s="504">
        <v>1</v>
      </c>
      <c r="B39" s="849" t="str">
        <f>C39&amp;"_"&amp;D39</f>
        <v>Niagara_rPET</v>
      </c>
      <c r="C39" s="309" t="s">
        <v>501</v>
      </c>
      <c r="D39" s="506" t="s">
        <v>283</v>
      </c>
      <c r="E39" s="839">
        <v>13194470.440144477</v>
      </c>
      <c r="F39" s="839">
        <f>E39/12</f>
        <v>1099539.203345373</v>
      </c>
      <c r="G39" s="507">
        <f>IFERROR(H39/(12-COUNTIF(I39:T39,0)),0)</f>
        <v>1649968.0123921051</v>
      </c>
      <c r="H39" s="507">
        <f t="shared" ref="H39:H57" si="13">SUM(I39:T39)</f>
        <v>14849712.111528946</v>
      </c>
      <c r="I39" s="508">
        <f>SUMIFS('06. BC BH THEO CUSTOMER-USD'!DG:DG,'06. BC BH THEO CUSTOMER-USD'!$C:$C,'06.2. KH chính'!$C39,'06. BC BH THEO CUSTOMER-USD'!$B:$B,'06.2. KH chính'!$D39)</f>
        <v>2922025.1493376154</v>
      </c>
      <c r="J39" s="508">
        <f>SUMIFS('06. BC BH THEO CUSTOMER-USD'!DH:DH,'06. BC BH THEO CUSTOMER-USD'!$C:$C,'06.2. KH chính'!$C39,'06. BC BH THEO CUSTOMER-USD'!$B:$B,'06.2. KH chính'!$D39)</f>
        <v>2123530.5044899569</v>
      </c>
      <c r="K39" s="508">
        <f>SUMIFS('06. BC BH THEO CUSTOMER-USD'!DI:DI,'06. BC BH THEO CUSTOMER-USD'!$C:$C,'06.2. KH chính'!$C39,'06. BC BH THEO CUSTOMER-USD'!$B:$B,'06.2. KH chính'!$D39)</f>
        <v>1347647.4431102362</v>
      </c>
      <c r="L39" s="508">
        <f>SUMIFS('06. BC BH THEO CUSTOMER-USD'!DJ:DJ,'06. BC BH THEO CUSTOMER-USD'!$C:$C,'06.2. KH chính'!$C39,'06. BC BH THEO CUSTOMER-USD'!$B:$B,'06.2. KH chính'!$D39)</f>
        <v>1712080.3551296941</v>
      </c>
      <c r="M39" s="508">
        <f>SUMIFS('06. BC BH THEO CUSTOMER-USD'!DK:DK,'06. BC BH THEO CUSTOMER-USD'!$C:$C,'06.2. KH chính'!$C39,'06. BC BH THEO CUSTOMER-USD'!$B:$B,'06.2. KH chính'!$D39)</f>
        <v>1606621.6778808972</v>
      </c>
      <c r="N39" s="508">
        <f>SUMIFS('06. BC BH THEO CUSTOMER-USD'!DL:DL,'06. BC BH THEO CUSTOMER-USD'!$C:$C,'06.2. KH chính'!$C39,'06. BC BH THEO CUSTOMER-USD'!$B:$B,'06.2. KH chính'!$D39)</f>
        <v>915520.83333333326</v>
      </c>
      <c r="O39" s="508">
        <f>SUMIFS('06. BC BH THEO CUSTOMER-USD'!DM:DM,'06. BC BH THEO CUSTOMER-USD'!$C:$C,'06.2. KH chính'!$C39,'06. BC BH THEO CUSTOMER-USD'!$B:$B,'06.2. KH chính'!$D39)</f>
        <v>2044096.9281598157</v>
      </c>
      <c r="P39" s="508">
        <f>SUMIFS('06. BC BH THEO CUSTOMER-USD'!DN:DN,'06. BC BH THEO CUSTOMER-USD'!$C:$C,'06.2. KH chính'!$C39,'06. BC BH THEO CUSTOMER-USD'!$B:$B,'06.2. KH chính'!$D39)</f>
        <v>1408209.3042016805</v>
      </c>
      <c r="Q39" s="508">
        <f>SUMIFS('06. BC BH THEO CUSTOMER-USD'!DO:DO,'06. BC BH THEO CUSTOMER-USD'!$C:$C,'06.2. KH chính'!$C39,'06. BC BH THEO CUSTOMER-USD'!$B:$B,'06.2. KH chính'!$D39)</f>
        <v>769979.91588571435</v>
      </c>
      <c r="R39" s="508">
        <f>SUMIFS('06. BC BH THEO CUSTOMER-USD'!DP:DP,'06. BC BH THEO CUSTOMER-USD'!$C:$C,'06.2. KH chính'!$C39,'06. BC BH THEO CUSTOMER-USD'!$B:$B,'06.2. KH chính'!$D39)</f>
        <v>0</v>
      </c>
      <c r="S39" s="508">
        <f>SUMIFS('06. BC BH THEO CUSTOMER-USD'!DQ:DQ,'06. BC BH THEO CUSTOMER-USD'!$C:$C,'06.2. KH chính'!$C39,'06. BC BH THEO CUSTOMER-USD'!$B:$B,'06.2. KH chính'!$D39)</f>
        <v>0</v>
      </c>
      <c r="T39" s="508">
        <f>SUMIFS('06. BC BH THEO CUSTOMER-USD'!DR:DR,'06. BC BH THEO CUSTOMER-USD'!$C:$C,'06.2. KH chính'!$C39,'06. BC BH THEO CUSTOMER-USD'!$B:$B,'06.2. KH chính'!$D39)</f>
        <v>0</v>
      </c>
    </row>
    <row r="40" spans="1:20" outlineLevel="1" x14ac:dyDescent="0.35">
      <c r="A40" s="505">
        <v>2</v>
      </c>
      <c r="B40" s="850" t="str">
        <f t="shared" ref="B40:B57" si="14">C40&amp;"_"&amp;D40</f>
        <v>La vie_rPET</v>
      </c>
      <c r="C40" s="310" t="s">
        <v>507</v>
      </c>
      <c r="D40" s="498" t="s">
        <v>283</v>
      </c>
      <c r="E40" s="840">
        <v>4478556.0349069079</v>
      </c>
      <c r="F40" s="840">
        <f t="shared" ref="F40:F57" si="15">E40/12</f>
        <v>373213.00290890899</v>
      </c>
      <c r="G40" s="509">
        <f t="shared" ref="G40:G57" si="16">IFERROR(H40/(12-COUNTIF(I40:T40,0)),0)</f>
        <v>148788.0362347773</v>
      </c>
      <c r="H40" s="509">
        <f t="shared" si="13"/>
        <v>595152.14493910922</v>
      </c>
      <c r="I40" s="510">
        <f>SUMIFS('06. BC BH THEO CUSTOMER-USD'!DG:DG,'06. BC BH THEO CUSTOMER-USD'!$C:$C,'06.2. KH chính'!$C40,'06. BC BH THEO CUSTOMER-USD'!$B:$B,'06.2. KH chính'!$D40)</f>
        <v>2736.7523083099154</v>
      </c>
      <c r="J40" s="510">
        <f>SUMIFS('06. BC BH THEO CUSTOMER-USD'!DH:DH,'06. BC BH THEO CUSTOMER-USD'!$C:$C,'06.2. KH chính'!$C40,'06. BC BH THEO CUSTOMER-USD'!$B:$B,'06.2. KH chính'!$D40)</f>
        <v>0</v>
      </c>
      <c r="K40" s="510">
        <f>SUMIFS('06. BC BH THEO CUSTOMER-USD'!DI:DI,'06. BC BH THEO CUSTOMER-USD'!$C:$C,'06.2. KH chính'!$C40,'06. BC BH THEO CUSTOMER-USD'!$B:$B,'06.2. KH chính'!$D40)</f>
        <v>0</v>
      </c>
      <c r="L40" s="510">
        <f>SUMIFS('06. BC BH THEO CUSTOMER-USD'!DJ:DJ,'06. BC BH THEO CUSTOMER-USD'!$C:$C,'06.2. KH chính'!$C40,'06. BC BH THEO CUSTOMER-USD'!$B:$B,'06.2. KH chính'!$D40)</f>
        <v>0</v>
      </c>
      <c r="M40" s="510">
        <f>SUMIFS('06. BC BH THEO CUSTOMER-USD'!DK:DK,'06. BC BH THEO CUSTOMER-USD'!$C:$C,'06.2. KH chính'!$C40,'06. BC BH THEO CUSTOMER-USD'!$B:$B,'06.2. KH chính'!$D40)</f>
        <v>745.92420726991497</v>
      </c>
      <c r="N40" s="510">
        <f>SUMIFS('06. BC BH THEO CUSTOMER-USD'!DL:DL,'06. BC BH THEO CUSTOMER-USD'!$C:$C,'06.2. KH chính'!$C40,'06. BC BH THEO CUSTOMER-USD'!$B:$B,'06.2. KH chính'!$D40)</f>
        <v>0</v>
      </c>
      <c r="O40" s="510">
        <f>SUMIFS('06. BC BH THEO CUSTOMER-USD'!DM:DM,'06. BC BH THEO CUSTOMER-USD'!$C:$C,'06.2. KH chính'!$C40,'06. BC BH THEO CUSTOMER-USD'!$B:$B,'06.2. KH chính'!$D40)</f>
        <v>0</v>
      </c>
      <c r="P40" s="510">
        <f>SUMIFS('06. BC BH THEO CUSTOMER-USD'!DN:DN,'06. BC BH THEO CUSTOMER-USD'!$C:$C,'06.2. KH chính'!$C40,'06. BC BH THEO CUSTOMER-USD'!$B:$B,'06.2. KH chính'!$D40)</f>
        <v>259244.25882352941</v>
      </c>
      <c r="Q40" s="510">
        <f>SUMIFS('06. BC BH THEO CUSTOMER-USD'!DO:DO,'06. BC BH THEO CUSTOMER-USD'!$C:$C,'06.2. KH chính'!$C40,'06. BC BH THEO CUSTOMER-USD'!$B:$B,'06.2. KH chính'!$D40)</f>
        <v>332425.2096</v>
      </c>
      <c r="R40" s="510">
        <f>SUMIFS('06. BC BH THEO CUSTOMER-USD'!DP:DP,'06. BC BH THEO CUSTOMER-USD'!$C:$C,'06.2. KH chính'!$C40,'06. BC BH THEO CUSTOMER-USD'!$B:$B,'06.2. KH chính'!$D40)</f>
        <v>0</v>
      </c>
      <c r="S40" s="510">
        <f>SUMIFS('06. BC BH THEO CUSTOMER-USD'!DQ:DQ,'06. BC BH THEO CUSTOMER-USD'!$C:$C,'06.2. KH chính'!$C40,'06. BC BH THEO CUSTOMER-USD'!$B:$B,'06.2. KH chính'!$D40)</f>
        <v>0</v>
      </c>
      <c r="T40" s="510">
        <f>SUMIFS('06. BC BH THEO CUSTOMER-USD'!DR:DR,'06. BC BH THEO CUSTOMER-USD'!$C:$C,'06.2. KH chính'!$C40,'06. BC BH THEO CUSTOMER-USD'!$B:$B,'06.2. KH chính'!$D40)</f>
        <v>0</v>
      </c>
    </row>
    <row r="41" spans="1:20" outlineLevel="1" x14ac:dyDescent="0.35">
      <c r="A41" s="505">
        <v>3</v>
      </c>
      <c r="B41" s="850" t="str">
        <f t="shared" si="14"/>
        <v>Premium Water_rPET</v>
      </c>
      <c r="C41" s="310" t="s">
        <v>505</v>
      </c>
      <c r="D41" s="498" t="s">
        <v>283</v>
      </c>
      <c r="E41" s="840">
        <v>2575606.6706471536</v>
      </c>
      <c r="F41" s="840">
        <f t="shared" si="15"/>
        <v>214633.88922059615</v>
      </c>
      <c r="G41" s="509">
        <f t="shared" si="16"/>
        <v>228420.66798941803</v>
      </c>
      <c r="H41" s="509">
        <f t="shared" si="13"/>
        <v>456841.33597883605</v>
      </c>
      <c r="I41" s="510">
        <f>SUMIFS('06. BC BH THEO CUSTOMER-USD'!DG:DG,'06. BC BH THEO CUSTOMER-USD'!$C:$C,'06.2. KH chính'!$C41,'06. BC BH THEO CUSTOMER-USD'!$B:$B,'06.2. KH chính'!$D41)</f>
        <v>0</v>
      </c>
      <c r="J41" s="510">
        <f>SUMIFS('06. BC BH THEO CUSTOMER-USD'!DH:DH,'06. BC BH THEO CUSTOMER-USD'!$C:$C,'06.2. KH chính'!$C41,'06. BC BH THEO CUSTOMER-USD'!$B:$B,'06.2. KH chính'!$D41)</f>
        <v>0</v>
      </c>
      <c r="K41" s="510">
        <f>SUMIFS('06. BC BH THEO CUSTOMER-USD'!DI:DI,'06. BC BH THEO CUSTOMER-USD'!$C:$C,'06.2. KH chính'!$C41,'06. BC BH THEO CUSTOMER-USD'!$B:$B,'06.2. KH chính'!$D41)</f>
        <v>0</v>
      </c>
      <c r="L41" s="510">
        <f>SUMIFS('06. BC BH THEO CUSTOMER-USD'!DJ:DJ,'06. BC BH THEO CUSTOMER-USD'!$C:$C,'06.2. KH chính'!$C41,'06. BC BH THEO CUSTOMER-USD'!$B:$B,'06.2. KH chính'!$D41)</f>
        <v>0</v>
      </c>
      <c r="M41" s="510">
        <f>SUMIFS('06. BC BH THEO CUSTOMER-USD'!DK:DK,'06. BC BH THEO CUSTOMER-USD'!$C:$C,'06.2. KH chính'!$C41,'06. BC BH THEO CUSTOMER-USD'!$B:$B,'06.2. KH chính'!$D41)</f>
        <v>0</v>
      </c>
      <c r="N41" s="510">
        <f>SUMIFS('06. BC BH THEO CUSTOMER-USD'!DL:DL,'06. BC BH THEO CUSTOMER-USD'!$C:$C,'06.2. KH chính'!$C41,'06. BC BH THEO CUSTOMER-USD'!$B:$B,'06.2. KH chính'!$D41)</f>
        <v>233469.90740740745</v>
      </c>
      <c r="O41" s="510">
        <f>SUMIFS('06. BC BH THEO CUSTOMER-USD'!DM:DM,'06. BC BH THEO CUSTOMER-USD'!$C:$C,'06.2. KH chính'!$C41,'06. BC BH THEO CUSTOMER-USD'!$B:$B,'06.2. KH chính'!$D41)</f>
        <v>0</v>
      </c>
      <c r="P41" s="510">
        <f>SUMIFS('06. BC BH THEO CUSTOMER-USD'!DN:DN,'06. BC BH THEO CUSTOMER-USD'!$C:$C,'06.2. KH chính'!$C41,'06. BC BH THEO CUSTOMER-USD'!$B:$B,'06.2. KH chính'!$D41)</f>
        <v>223371.42857142858</v>
      </c>
      <c r="Q41" s="510">
        <f>SUMIFS('06. BC BH THEO CUSTOMER-USD'!DO:DO,'06. BC BH THEO CUSTOMER-USD'!$C:$C,'06.2. KH chính'!$C41,'06. BC BH THEO CUSTOMER-USD'!$B:$B,'06.2. KH chính'!$D41)</f>
        <v>0</v>
      </c>
      <c r="R41" s="510">
        <f>SUMIFS('06. BC BH THEO CUSTOMER-USD'!DP:DP,'06. BC BH THEO CUSTOMER-USD'!$C:$C,'06.2. KH chính'!$C41,'06. BC BH THEO CUSTOMER-USD'!$B:$B,'06.2. KH chính'!$D41)</f>
        <v>0</v>
      </c>
      <c r="S41" s="510">
        <f>SUMIFS('06. BC BH THEO CUSTOMER-USD'!DQ:DQ,'06. BC BH THEO CUSTOMER-USD'!$C:$C,'06.2. KH chính'!$C41,'06. BC BH THEO CUSTOMER-USD'!$B:$B,'06.2. KH chính'!$D41)</f>
        <v>0</v>
      </c>
      <c r="T41" s="510">
        <f>SUMIFS('06. BC BH THEO CUSTOMER-USD'!DR:DR,'06. BC BH THEO CUSTOMER-USD'!$C:$C,'06.2. KH chính'!$C41,'06. BC BH THEO CUSTOMER-USD'!$B:$B,'06.2. KH chính'!$D41)</f>
        <v>0</v>
      </c>
    </row>
    <row r="42" spans="1:20" outlineLevel="1" x14ac:dyDescent="0.35">
      <c r="A42" s="505">
        <v>4</v>
      </c>
      <c r="B42" s="850" t="str">
        <f t="shared" si="14"/>
        <v>Suntory_rPET</v>
      </c>
      <c r="C42" s="310" t="s">
        <v>119</v>
      </c>
      <c r="D42" s="499" t="s">
        <v>283</v>
      </c>
      <c r="E42" s="840">
        <v>3430002.8213067651</v>
      </c>
      <c r="F42" s="840">
        <f t="shared" si="15"/>
        <v>285833.5684422304</v>
      </c>
      <c r="G42" s="509">
        <f t="shared" si="16"/>
        <v>508399.03075695504</v>
      </c>
      <c r="H42" s="509">
        <f t="shared" si="13"/>
        <v>4575591.2768125953</v>
      </c>
      <c r="I42" s="510">
        <f>SUMIFS('06. BC BH THEO CUSTOMER-USD'!DG:DG,'06. BC BH THEO CUSTOMER-USD'!$C:$C,'06.2. KH chính'!$C42,'06. BC BH THEO CUSTOMER-USD'!$B:$B,'06.2. KH chính'!$D42)</f>
        <v>308418.50341228425</v>
      </c>
      <c r="J42" s="510">
        <f>SUMIFS('06. BC BH THEO CUSTOMER-USD'!DH:DH,'06. BC BH THEO CUSTOMER-USD'!$C:$C,'06.2. KH chính'!$C42,'06. BC BH THEO CUSTOMER-USD'!$B:$B,'06.2. KH chính'!$D42)</f>
        <v>906978.68924773543</v>
      </c>
      <c r="K42" s="510">
        <f>SUMIFS('06. BC BH THEO CUSTOMER-USD'!DI:DI,'06. BC BH THEO CUSTOMER-USD'!$C:$C,'06.2. KH chính'!$C42,'06. BC BH THEO CUSTOMER-USD'!$B:$B,'06.2. KH chính'!$D42)</f>
        <v>242714.22755905511</v>
      </c>
      <c r="L42" s="510">
        <f>SUMIFS('06. BC BH THEO CUSTOMER-USD'!DJ:DJ,'06. BC BH THEO CUSTOMER-USD'!$C:$C,'06.2. KH chính'!$C42,'06. BC BH THEO CUSTOMER-USD'!$B:$B,'06.2. KH chính'!$D42)</f>
        <v>544988.86747967487</v>
      </c>
      <c r="M42" s="510">
        <f>SUMIFS('06. BC BH THEO CUSTOMER-USD'!DK:DK,'06. BC BH THEO CUSTOMER-USD'!$C:$C,'06.2. KH chính'!$C42,'06. BC BH THEO CUSTOMER-USD'!$B:$B,'06.2. KH chính'!$D42)</f>
        <v>521507.55073472543</v>
      </c>
      <c r="N42" s="510">
        <f>SUMIFS('06. BC BH THEO CUSTOMER-USD'!DL:DL,'06. BC BH THEO CUSTOMER-USD'!$C:$C,'06.2. KH chính'!$C42,'06. BC BH THEO CUSTOMER-USD'!$B:$B,'06.2. KH chính'!$D42)</f>
        <v>529949.909066358</v>
      </c>
      <c r="O42" s="510">
        <f>SUMIFS('06. BC BH THEO CUSTOMER-USD'!DM:DM,'06. BC BH THEO CUSTOMER-USD'!$C:$C,'06.2. KH chính'!$C42,'06. BC BH THEO CUSTOMER-USD'!$B:$B,'06.2. KH chính'!$D42)</f>
        <v>279431.27160968113</v>
      </c>
      <c r="P42" s="510">
        <f>SUMIFS('06. BC BH THEO CUSTOMER-USD'!DN:DN,'06. BC BH THEO CUSTOMER-USD'!$C:$C,'06.2. KH chính'!$C42,'06. BC BH THEO CUSTOMER-USD'!$B:$B,'06.2. KH chính'!$D42)</f>
        <v>932168.06722689082</v>
      </c>
      <c r="Q42" s="510">
        <f>SUMIFS('06. BC BH THEO CUSTOMER-USD'!DO:DO,'06. BC BH THEO CUSTOMER-USD'!$C:$C,'06.2. KH chính'!$C42,'06. BC BH THEO CUSTOMER-USD'!$B:$B,'06.2. KH chính'!$D42)</f>
        <v>309434.19047619053</v>
      </c>
      <c r="R42" s="510">
        <f>SUMIFS('06. BC BH THEO CUSTOMER-USD'!DP:DP,'06. BC BH THEO CUSTOMER-USD'!$C:$C,'06.2. KH chính'!$C42,'06. BC BH THEO CUSTOMER-USD'!$B:$B,'06.2. KH chính'!$D42)</f>
        <v>0</v>
      </c>
      <c r="S42" s="510">
        <f>SUMIFS('06. BC BH THEO CUSTOMER-USD'!DQ:DQ,'06. BC BH THEO CUSTOMER-USD'!$C:$C,'06.2. KH chính'!$C42,'06. BC BH THEO CUSTOMER-USD'!$B:$B,'06.2. KH chính'!$D42)</f>
        <v>0</v>
      </c>
      <c r="T42" s="510">
        <f>SUMIFS('06. BC BH THEO CUSTOMER-USD'!DR:DR,'06. BC BH THEO CUSTOMER-USD'!$C:$C,'06.2. KH chính'!$C42,'06. BC BH THEO CUSTOMER-USD'!$B:$B,'06.2. KH chính'!$D42)</f>
        <v>0</v>
      </c>
    </row>
    <row r="43" spans="1:20" outlineLevel="1" x14ac:dyDescent="0.35">
      <c r="A43" s="505">
        <v>5</v>
      </c>
      <c r="B43" s="850" t="str">
        <f t="shared" si="14"/>
        <v>Plascene_rPET</v>
      </c>
      <c r="C43" s="310" t="s">
        <v>572</v>
      </c>
      <c r="D43" s="499" t="s">
        <v>283</v>
      </c>
      <c r="E43" s="840">
        <v>1903967.5590293147</v>
      </c>
      <c r="F43" s="840">
        <f t="shared" si="15"/>
        <v>158663.96325244289</v>
      </c>
      <c r="G43" s="509">
        <f t="shared" si="16"/>
        <v>139176.06486452173</v>
      </c>
      <c r="H43" s="509">
        <f t="shared" si="13"/>
        <v>1113408.5189161738</v>
      </c>
      <c r="I43" s="510">
        <f>SUMIFS('06. BC BH THEO CUSTOMER-USD'!DG:DG,'06. BC BH THEO CUSTOMER-USD'!$C:$C,'06.2. KH chính'!$C43,'06. BC BH THEO CUSTOMER-USD'!$B:$B,'06.2. KH chính'!$D43)</f>
        <v>86524.346688077087</v>
      </c>
      <c r="J43" s="510">
        <f>SUMIFS('06. BC BH THEO CUSTOMER-USD'!DH:DH,'06. BC BH THEO CUSTOMER-USD'!$C:$C,'06.2. KH chính'!$C43,'06. BC BH THEO CUSTOMER-USD'!$B:$B,'06.2. KH chính'!$D43)</f>
        <v>94926.352107128798</v>
      </c>
      <c r="K43" s="510">
        <f>SUMIFS('06. BC BH THEO CUSTOMER-USD'!DI:DI,'06. BC BH THEO CUSTOMER-USD'!$C:$C,'06.2. KH chính'!$C43,'06. BC BH THEO CUSTOMER-USD'!$B:$B,'06.2. KH chính'!$D43)</f>
        <v>190317.82519685038</v>
      </c>
      <c r="L43" s="510">
        <f>SUMIFS('06. BC BH THEO CUSTOMER-USD'!DJ:DJ,'06. BC BH THEO CUSTOMER-USD'!$C:$C,'06.2. KH chính'!$C43,'06. BC BH THEO CUSTOMER-USD'!$B:$B,'06.2. KH chính'!$D43)</f>
        <v>125298.28385598143</v>
      </c>
      <c r="M43" s="510">
        <f>SUMIFS('06. BC BH THEO CUSTOMER-USD'!DK:DK,'06. BC BH THEO CUSTOMER-USD'!$C:$C,'06.2. KH chính'!$C43,'06. BC BH THEO CUSTOMER-USD'!$B:$B,'06.2. KH chính'!$D43)</f>
        <v>191187.43542150038</v>
      </c>
      <c r="N43" s="510">
        <f>SUMIFS('06. BC BH THEO CUSTOMER-USD'!DL:DL,'06. BC BH THEO CUSTOMER-USD'!$C:$C,'06.2. KH chính'!$C43,'06. BC BH THEO CUSTOMER-USD'!$B:$B,'06.2. KH chính'!$D43)</f>
        <v>138359.375</v>
      </c>
      <c r="O43" s="510">
        <f>SUMIFS('06. BC BH THEO CUSTOMER-USD'!DM:DM,'06. BC BH THEO CUSTOMER-USD'!$C:$C,'06.2. KH chính'!$C43,'06. BC BH THEO CUSTOMER-USD'!$B:$B,'06.2. KH chính'!$D43)</f>
        <v>205253.76619285438</v>
      </c>
      <c r="P43" s="510">
        <f>SUMIFS('06. BC BH THEO CUSTOMER-USD'!DN:DN,'06. BC BH THEO CUSTOMER-USD'!$C:$C,'06.2. KH chính'!$C43,'06. BC BH THEO CUSTOMER-USD'!$B:$B,'06.2. KH chính'!$D43)</f>
        <v>81541.134453781502</v>
      </c>
      <c r="Q43" s="510">
        <f>SUMIFS('06. BC BH THEO CUSTOMER-USD'!DO:DO,'06. BC BH THEO CUSTOMER-USD'!$C:$C,'06.2. KH chính'!$C43,'06. BC BH THEO CUSTOMER-USD'!$B:$B,'06.2. KH chính'!$D43)</f>
        <v>0</v>
      </c>
      <c r="R43" s="510">
        <f>SUMIFS('06. BC BH THEO CUSTOMER-USD'!DP:DP,'06. BC BH THEO CUSTOMER-USD'!$C:$C,'06.2. KH chính'!$C43,'06. BC BH THEO CUSTOMER-USD'!$B:$B,'06.2. KH chính'!$D43)</f>
        <v>0</v>
      </c>
      <c r="S43" s="510">
        <f>SUMIFS('06. BC BH THEO CUSTOMER-USD'!DQ:DQ,'06. BC BH THEO CUSTOMER-USD'!$C:$C,'06.2. KH chính'!$C43,'06. BC BH THEO CUSTOMER-USD'!$B:$B,'06.2. KH chính'!$D43)</f>
        <v>0</v>
      </c>
      <c r="T43" s="510">
        <f>SUMIFS('06. BC BH THEO CUSTOMER-USD'!DR:DR,'06. BC BH THEO CUSTOMER-USD'!$C:$C,'06.2. KH chính'!$C43,'06. BC BH THEO CUSTOMER-USD'!$B:$B,'06.2. KH chính'!$D43)</f>
        <v>0</v>
      </c>
    </row>
    <row r="44" spans="1:20" outlineLevel="1" x14ac:dyDescent="0.35">
      <c r="A44" s="505">
        <v>6</v>
      </c>
      <c r="B44" s="850" t="str">
        <f t="shared" si="14"/>
        <v>Milkyway_rPET</v>
      </c>
      <c r="C44" s="310" t="s">
        <v>506</v>
      </c>
      <c r="D44" s="499" t="s">
        <v>283</v>
      </c>
      <c r="E44" s="840">
        <v>1047126.7683870967</v>
      </c>
      <c r="F44" s="840">
        <f t="shared" si="15"/>
        <v>87260.564032258058</v>
      </c>
      <c r="G44" s="509">
        <f t="shared" si="16"/>
        <v>248525.68503937009</v>
      </c>
      <c r="H44" s="509">
        <f t="shared" si="13"/>
        <v>248525.68503937009</v>
      </c>
      <c r="I44" s="510">
        <f>SUMIFS('06. BC BH THEO CUSTOMER-USD'!DG:DG,'06. BC BH THEO CUSTOMER-USD'!$C:$C,'06.2. KH chính'!$C44,'06. BC BH THEO CUSTOMER-USD'!$B:$B,'06.2. KH chính'!$D44)</f>
        <v>0</v>
      </c>
      <c r="J44" s="510">
        <f>SUMIFS('06. BC BH THEO CUSTOMER-USD'!DH:DH,'06. BC BH THEO CUSTOMER-USD'!$C:$C,'06.2. KH chính'!$C44,'06. BC BH THEO CUSTOMER-USD'!$B:$B,'06.2. KH chính'!$D44)</f>
        <v>0</v>
      </c>
      <c r="K44" s="510">
        <f>SUMIFS('06. BC BH THEO CUSTOMER-USD'!DI:DI,'06. BC BH THEO CUSTOMER-USD'!$C:$C,'06.2. KH chính'!$C44,'06. BC BH THEO CUSTOMER-USD'!$B:$B,'06.2. KH chính'!$D44)</f>
        <v>248525.68503937009</v>
      </c>
      <c r="L44" s="510">
        <f>SUMIFS('06. BC BH THEO CUSTOMER-USD'!DJ:DJ,'06. BC BH THEO CUSTOMER-USD'!$C:$C,'06.2. KH chính'!$C44,'06. BC BH THEO CUSTOMER-USD'!$B:$B,'06.2. KH chính'!$D44)</f>
        <v>0</v>
      </c>
      <c r="M44" s="510">
        <f>SUMIFS('06. BC BH THEO CUSTOMER-USD'!DK:DK,'06. BC BH THEO CUSTOMER-USD'!$C:$C,'06.2. KH chính'!$C44,'06. BC BH THEO CUSTOMER-USD'!$B:$B,'06.2. KH chính'!$D44)</f>
        <v>0</v>
      </c>
      <c r="N44" s="510">
        <f>SUMIFS('06. BC BH THEO CUSTOMER-USD'!DL:DL,'06. BC BH THEO CUSTOMER-USD'!$C:$C,'06.2. KH chính'!$C44,'06. BC BH THEO CUSTOMER-USD'!$B:$B,'06.2. KH chính'!$D44)</f>
        <v>0</v>
      </c>
      <c r="O44" s="510">
        <f>SUMIFS('06. BC BH THEO CUSTOMER-USD'!DM:DM,'06. BC BH THEO CUSTOMER-USD'!$C:$C,'06.2. KH chính'!$C44,'06. BC BH THEO CUSTOMER-USD'!$B:$B,'06.2. KH chính'!$D44)</f>
        <v>0</v>
      </c>
      <c r="P44" s="510">
        <f>SUMIFS('06. BC BH THEO CUSTOMER-USD'!DN:DN,'06. BC BH THEO CUSTOMER-USD'!$C:$C,'06.2. KH chính'!$C44,'06. BC BH THEO CUSTOMER-USD'!$B:$B,'06.2. KH chính'!$D44)</f>
        <v>0</v>
      </c>
      <c r="Q44" s="510">
        <f>SUMIFS('06. BC BH THEO CUSTOMER-USD'!DO:DO,'06. BC BH THEO CUSTOMER-USD'!$C:$C,'06.2. KH chính'!$C44,'06. BC BH THEO CUSTOMER-USD'!$B:$B,'06.2. KH chính'!$D44)</f>
        <v>0</v>
      </c>
      <c r="R44" s="510">
        <f>SUMIFS('06. BC BH THEO CUSTOMER-USD'!DP:DP,'06. BC BH THEO CUSTOMER-USD'!$C:$C,'06.2. KH chính'!$C44,'06. BC BH THEO CUSTOMER-USD'!$B:$B,'06.2. KH chính'!$D44)</f>
        <v>0</v>
      </c>
      <c r="S44" s="510">
        <f>SUMIFS('06. BC BH THEO CUSTOMER-USD'!DQ:DQ,'06. BC BH THEO CUSTOMER-USD'!$C:$C,'06.2. KH chính'!$C44,'06. BC BH THEO CUSTOMER-USD'!$B:$B,'06.2. KH chính'!$D44)</f>
        <v>0</v>
      </c>
      <c r="T44" s="510">
        <f>SUMIFS('06. BC BH THEO CUSTOMER-USD'!DR:DR,'06. BC BH THEO CUSTOMER-USD'!$C:$C,'06.2. KH chính'!$C44,'06. BC BH THEO CUSTOMER-USD'!$B:$B,'06.2. KH chính'!$D44)</f>
        <v>0</v>
      </c>
    </row>
    <row r="45" spans="1:20" outlineLevel="1" x14ac:dyDescent="0.35">
      <c r="A45" s="505">
        <v>7</v>
      </c>
      <c r="B45" s="850" t="str">
        <f t="shared" si="14"/>
        <v>Coca_Cola_rPET</v>
      </c>
      <c r="C45" s="310" t="s">
        <v>504</v>
      </c>
      <c r="D45" s="498" t="s">
        <v>283</v>
      </c>
      <c r="E45" s="840">
        <v>1223848.0296976636</v>
      </c>
      <c r="F45" s="840">
        <f t="shared" si="15"/>
        <v>101987.33580813864</v>
      </c>
      <c r="G45" s="509">
        <f t="shared" si="16"/>
        <v>159763.57268119973</v>
      </c>
      <c r="H45" s="509">
        <f t="shared" si="13"/>
        <v>958581.43608719832</v>
      </c>
      <c r="I45" s="510">
        <f>SUMIFS('06. BC BH THEO CUSTOMER-USD'!DG:DG,'06. BC BH THEO CUSTOMER-USD'!$C:$C,'06.2. KH chính'!$C45,'06. BC BH THEO CUSTOMER-USD'!$B:$B,'06.2. KH chính'!$D45)</f>
        <v>220079.3095142513</v>
      </c>
      <c r="J45" s="510">
        <f>SUMIFS('06. BC BH THEO CUSTOMER-USD'!DH:DH,'06. BC BH THEO CUSTOMER-USD'!$C:$C,'06.2. KH chính'!$C45,'06. BC BH THEO CUSTOMER-USD'!$B:$B,'06.2. KH chính'!$D45)</f>
        <v>125945.01772351319</v>
      </c>
      <c r="K45" s="510">
        <f>SUMIFS('06. BC BH THEO CUSTOMER-USD'!DI:DI,'06. BC BH THEO CUSTOMER-USD'!$C:$C,'06.2. KH chính'!$C45,'06. BC BH THEO CUSTOMER-USD'!$B:$B,'06.2. KH chính'!$D45)</f>
        <v>210301.56850393701</v>
      </c>
      <c r="L45" s="510">
        <f>SUMIFS('06. BC BH THEO CUSTOMER-USD'!DJ:DJ,'06. BC BH THEO CUSTOMER-USD'!$C:$C,'06.2. KH chính'!$C45,'06. BC BH THEO CUSTOMER-USD'!$B:$B,'06.2. KH chính'!$D45)</f>
        <v>89868.288037166087</v>
      </c>
      <c r="M45" s="510">
        <f>SUMIFS('06. BC BH THEO CUSTOMER-USD'!DK:DK,'06. BC BH THEO CUSTOMER-USD'!$C:$C,'06.2. KH chính'!$C45,'06. BC BH THEO CUSTOMER-USD'!$B:$B,'06.2. KH chính'!$D45)</f>
        <v>0</v>
      </c>
      <c r="N45" s="510">
        <f>SUMIFS('06. BC BH THEO CUSTOMER-USD'!DL:DL,'06. BC BH THEO CUSTOMER-USD'!$C:$C,'06.2. KH chính'!$C45,'06. BC BH THEO CUSTOMER-USD'!$B:$B,'06.2. KH chính'!$D45)</f>
        <v>125131.7901234568</v>
      </c>
      <c r="O45" s="510">
        <f>SUMIFS('06. BC BH THEO CUSTOMER-USD'!DM:DM,'06. BC BH THEO CUSTOMER-USD'!$C:$C,'06.2. KH chính'!$C45,'06. BC BH THEO CUSTOMER-USD'!$B:$B,'06.2. KH chính'!$D45)</f>
        <v>0</v>
      </c>
      <c r="P45" s="510">
        <f>SUMIFS('06. BC BH THEO CUSTOMER-USD'!DN:DN,'06. BC BH THEO CUSTOMER-USD'!$C:$C,'06.2. KH chính'!$C45,'06. BC BH THEO CUSTOMER-USD'!$B:$B,'06.2. KH chính'!$D45)</f>
        <v>187255.46218487393</v>
      </c>
      <c r="Q45" s="510">
        <f>SUMIFS('06. BC BH THEO CUSTOMER-USD'!DO:DO,'06. BC BH THEO CUSTOMER-USD'!$C:$C,'06.2. KH chính'!$C45,'06. BC BH THEO CUSTOMER-USD'!$B:$B,'06.2. KH chính'!$D45)</f>
        <v>0</v>
      </c>
      <c r="R45" s="510">
        <f>SUMIFS('06. BC BH THEO CUSTOMER-USD'!DP:DP,'06. BC BH THEO CUSTOMER-USD'!$C:$C,'06.2. KH chính'!$C45,'06. BC BH THEO CUSTOMER-USD'!$B:$B,'06.2. KH chính'!$D45)</f>
        <v>0</v>
      </c>
      <c r="S45" s="510">
        <f>SUMIFS('06. BC BH THEO CUSTOMER-USD'!DQ:DQ,'06. BC BH THEO CUSTOMER-USD'!$C:$C,'06.2. KH chính'!$C45,'06. BC BH THEO CUSTOMER-USD'!$B:$B,'06.2. KH chính'!$D45)</f>
        <v>0</v>
      </c>
      <c r="T45" s="510">
        <f>SUMIFS('06. BC BH THEO CUSTOMER-USD'!DR:DR,'06. BC BH THEO CUSTOMER-USD'!$C:$C,'06.2. KH chính'!$C45,'06. BC BH THEO CUSTOMER-USD'!$B:$B,'06.2. KH chính'!$D45)</f>
        <v>0</v>
      </c>
    </row>
    <row r="46" spans="1:20" outlineLevel="1" x14ac:dyDescent="0.35">
      <c r="A46" s="505">
        <v>8</v>
      </c>
      <c r="B46" s="850" t="str">
        <f t="shared" si="14"/>
        <v>Unilever_rPET</v>
      </c>
      <c r="C46" s="310" t="s">
        <v>502</v>
      </c>
      <c r="D46" s="498" t="s">
        <v>283</v>
      </c>
      <c r="E46" s="840">
        <v>4932908.8058813624</v>
      </c>
      <c r="F46" s="840">
        <f t="shared" si="15"/>
        <v>411075.73382344685</v>
      </c>
      <c r="G46" s="509">
        <f t="shared" si="16"/>
        <v>372656.55710515729</v>
      </c>
      <c r="H46" s="509">
        <f t="shared" si="13"/>
        <v>3353909.0139464159</v>
      </c>
      <c r="I46" s="510">
        <f>SUMIFS('06. BC BH THEO CUSTOMER-USD'!DG:DG,'06. BC BH THEO CUSTOMER-USD'!$C:$C,'06.2. KH chính'!$C46,'06. BC BH THEO CUSTOMER-USD'!$B:$B,'06.2. KH chính'!$D46)</f>
        <v>361793.13528703334</v>
      </c>
      <c r="J46" s="510">
        <f>SUMIFS('06. BC BH THEO CUSTOMER-USD'!DH:DH,'06. BC BH THEO CUSTOMER-USD'!$C:$C,'06.2. KH chính'!$C46,'06. BC BH THEO CUSTOMER-USD'!$B:$B,'06.2. KH chính'!$D46)</f>
        <v>512531.98109491926</v>
      </c>
      <c r="K46" s="510">
        <f>SUMIFS('06. BC BH THEO CUSTOMER-USD'!DI:DI,'06. BC BH THEO CUSTOMER-USD'!$C:$C,'06.2. KH chính'!$C46,'06. BC BH THEO CUSTOMER-USD'!$B:$B,'06.2. KH chính'!$D46)</f>
        <v>382177.61023622047</v>
      </c>
      <c r="L46" s="510">
        <f>SUMIFS('06. BC BH THEO CUSTOMER-USD'!DJ:DJ,'06. BC BH THEO CUSTOMER-USD'!$C:$C,'06.2. KH chính'!$C46,'06. BC BH THEO CUSTOMER-USD'!$B:$B,'06.2. KH chính'!$D46)</f>
        <v>232124.69996128534</v>
      </c>
      <c r="M46" s="510">
        <f>SUMIFS('06. BC BH THEO CUSTOMER-USD'!DK:DK,'06. BC BH THEO CUSTOMER-USD'!$C:$C,'06.2. KH chính'!$C46,'06. BC BH THEO CUSTOMER-USD'!$B:$B,'06.2. KH chính'!$D46)</f>
        <v>340675.69992266042</v>
      </c>
      <c r="N46" s="510">
        <f>SUMIFS('06. BC BH THEO CUSTOMER-USD'!DL:DL,'06. BC BH THEO CUSTOMER-USD'!$C:$C,'06.2. KH chính'!$C46,'06. BC BH THEO CUSTOMER-USD'!$B:$B,'06.2. KH chính'!$D46)</f>
        <v>367388.32947530865</v>
      </c>
      <c r="O46" s="510">
        <f>SUMIFS('06. BC BH THEO CUSTOMER-USD'!DM:DM,'06. BC BH THEO CUSTOMER-USD'!$C:$C,'06.2. KH chính'!$C46,'06. BC BH THEO CUSTOMER-USD'!$B:$B,'06.2. KH chính'!$D46)</f>
        <v>218789.70418747599</v>
      </c>
      <c r="P46" s="510">
        <f>SUMIFS('06. BC BH THEO CUSTOMER-USD'!DN:DN,'06. BC BH THEO CUSTOMER-USD'!$C:$C,'06.2. KH chính'!$C46,'06. BC BH THEO CUSTOMER-USD'!$B:$B,'06.2. KH chính'!$D46)</f>
        <v>439510.59663865546</v>
      </c>
      <c r="Q46" s="510">
        <f>SUMIFS('06. BC BH THEO CUSTOMER-USD'!DO:DO,'06. BC BH THEO CUSTOMER-USD'!$C:$C,'06.2. KH chính'!$C46,'06. BC BH THEO CUSTOMER-USD'!$B:$B,'06.2. KH chính'!$D46)</f>
        <v>498917.25714285712</v>
      </c>
      <c r="R46" s="510">
        <f>SUMIFS('06. BC BH THEO CUSTOMER-USD'!DP:DP,'06. BC BH THEO CUSTOMER-USD'!$C:$C,'06.2. KH chính'!$C46,'06. BC BH THEO CUSTOMER-USD'!$B:$B,'06.2. KH chính'!$D46)</f>
        <v>0</v>
      </c>
      <c r="S46" s="510">
        <f>SUMIFS('06. BC BH THEO CUSTOMER-USD'!DQ:DQ,'06. BC BH THEO CUSTOMER-USD'!$C:$C,'06.2. KH chính'!$C46,'06. BC BH THEO CUSTOMER-USD'!$B:$B,'06.2. KH chính'!$D46)</f>
        <v>0</v>
      </c>
      <c r="T46" s="510">
        <f>SUMIFS('06. BC BH THEO CUSTOMER-USD'!DR:DR,'06. BC BH THEO CUSTOMER-USD'!$C:$C,'06.2. KH chính'!$C46,'06. BC BH THEO CUSTOMER-USD'!$B:$B,'06.2. KH chính'!$D46)</f>
        <v>0</v>
      </c>
    </row>
    <row r="47" spans="1:20" outlineLevel="1" x14ac:dyDescent="0.35">
      <c r="A47" s="505"/>
      <c r="B47" s="850" t="str">
        <f t="shared" si="14"/>
        <v>Unilever_rHDPE thổi</v>
      </c>
      <c r="C47" s="310" t="s">
        <v>502</v>
      </c>
      <c r="D47" s="499" t="s">
        <v>265</v>
      </c>
      <c r="E47" s="840">
        <v>1196809.213905693</v>
      </c>
      <c r="F47" s="840">
        <f t="shared" si="15"/>
        <v>99734.101158807753</v>
      </c>
      <c r="G47" s="509">
        <f t="shared" si="16"/>
        <v>177994.80552752101</v>
      </c>
      <c r="H47" s="509">
        <f t="shared" si="13"/>
        <v>1601953.2497476891</v>
      </c>
      <c r="I47" s="510">
        <f>SUMIFS('06. BC BH THEO CUSTOMER-USD'!DG:DG,'06. BC BH THEO CUSTOMER-USD'!$C:$C,'06.2. KH chính'!$C47,'06. BC BH THEO CUSTOMER-USD'!$B:$B,'06.2. KH chính'!$D47)</f>
        <v>130528.81975110398</v>
      </c>
      <c r="J47" s="510">
        <f>SUMIFS('06. BC BH THEO CUSTOMER-USD'!DH:DH,'06. BC BH THEO CUSTOMER-USD'!$C:$C,'06.2. KH chính'!$C47,'06. BC BH THEO CUSTOMER-USD'!$B:$B,'06.2. KH chính'!$D47)</f>
        <v>208307.01063410792</v>
      </c>
      <c r="K47" s="510">
        <f>SUMIFS('06. BC BH THEO CUSTOMER-USD'!DI:DI,'06. BC BH THEO CUSTOMER-USD'!$C:$C,'06.2. KH chính'!$C47,'06. BC BH THEO CUSTOMER-USD'!$B:$B,'06.2. KH chính'!$D47)</f>
        <v>251625</v>
      </c>
      <c r="L47" s="510">
        <f>SUMIFS('06. BC BH THEO CUSTOMER-USD'!DJ:DJ,'06. BC BH THEO CUSTOMER-USD'!$C:$C,'06.2. KH chính'!$C47,'06. BC BH THEO CUSTOMER-USD'!$B:$B,'06.2. KH chính'!$D47)</f>
        <v>87386.759581881517</v>
      </c>
      <c r="M47" s="510">
        <f>SUMIFS('06. BC BH THEO CUSTOMER-USD'!DK:DK,'06. BC BH THEO CUSTOMER-USD'!$C:$C,'06.2. KH chính'!$C47,'06. BC BH THEO CUSTOMER-USD'!$B:$B,'06.2. KH chính'!$D47)</f>
        <v>167478.82830626451</v>
      </c>
      <c r="N47" s="510">
        <f>SUMIFS('06. BC BH THEO CUSTOMER-USD'!DL:DL,'06. BC BH THEO CUSTOMER-USD'!$C:$C,'06.2. KH chính'!$C47,'06. BC BH THEO CUSTOMER-USD'!$B:$B,'06.2. KH chính'!$D47)</f>
        <v>218252.60416666666</v>
      </c>
      <c r="O47" s="510">
        <f>SUMIFS('06. BC BH THEO CUSTOMER-USD'!DM:DM,'06. BC BH THEO CUSTOMER-USD'!$C:$C,'06.2. KH chính'!$C47,'06. BC BH THEO CUSTOMER-USD'!$B:$B,'06.2. KH chính'!$D47)</f>
        <v>160569.07756434882</v>
      </c>
      <c r="P47" s="510">
        <f>SUMIFS('06. BC BH THEO CUSTOMER-USD'!DN:DN,'06. BC BH THEO CUSTOMER-USD'!$C:$C,'06.2. KH chính'!$C47,'06. BC BH THEO CUSTOMER-USD'!$B:$B,'06.2. KH chính'!$D47)</f>
        <v>192724.02517188693</v>
      </c>
      <c r="Q47" s="510">
        <f>SUMIFS('06. BC BH THEO CUSTOMER-USD'!DO:DO,'06. BC BH THEO CUSTOMER-USD'!$C:$C,'06.2. KH chính'!$C47,'06. BC BH THEO CUSTOMER-USD'!$B:$B,'06.2. KH chính'!$D47)</f>
        <v>185081.12457142855</v>
      </c>
      <c r="R47" s="510">
        <f>SUMIFS('06. BC BH THEO CUSTOMER-USD'!DP:DP,'06. BC BH THEO CUSTOMER-USD'!$C:$C,'06.2. KH chính'!$C47,'06. BC BH THEO CUSTOMER-USD'!$B:$B,'06.2. KH chính'!$D47)</f>
        <v>0</v>
      </c>
      <c r="S47" s="510">
        <f>SUMIFS('06. BC BH THEO CUSTOMER-USD'!DQ:DQ,'06. BC BH THEO CUSTOMER-USD'!$C:$C,'06.2. KH chính'!$C47,'06. BC BH THEO CUSTOMER-USD'!$B:$B,'06.2. KH chính'!$D47)</f>
        <v>0</v>
      </c>
      <c r="T47" s="510">
        <f>SUMIFS('06. BC BH THEO CUSTOMER-USD'!DR:DR,'06. BC BH THEO CUSTOMER-USD'!$C:$C,'06.2. KH chính'!$C47,'06. BC BH THEO CUSTOMER-USD'!$B:$B,'06.2. KH chính'!$D47)</f>
        <v>0</v>
      </c>
    </row>
    <row r="48" spans="1:20" outlineLevel="1" x14ac:dyDescent="0.35">
      <c r="A48" s="505"/>
      <c r="B48" s="850" t="str">
        <f t="shared" si="14"/>
        <v>Unilever_rHDPE ép</v>
      </c>
      <c r="C48" s="310" t="s">
        <v>502</v>
      </c>
      <c r="D48" s="498" t="s">
        <v>266</v>
      </c>
      <c r="E48" s="840">
        <v>0</v>
      </c>
      <c r="F48" s="840">
        <f t="shared" si="15"/>
        <v>0</v>
      </c>
      <c r="G48" s="509">
        <f t="shared" si="16"/>
        <v>4916.7697310317135</v>
      </c>
      <c r="H48" s="509">
        <f t="shared" si="13"/>
        <v>4916.7697310317135</v>
      </c>
      <c r="I48" s="510">
        <f>SUMIFS('06. BC BH THEO CUSTOMER-USD'!DG:DG,'06. BC BH THEO CUSTOMER-USD'!$C:$C,'06.2. KH chính'!$C48,'06. BC BH THEO CUSTOMER-USD'!$B:$B,'06.2. KH chính'!$D48)</f>
        <v>4916.7697310317135</v>
      </c>
      <c r="J48" s="510">
        <f>SUMIFS('06. BC BH THEO CUSTOMER-USD'!DH:DH,'06. BC BH THEO CUSTOMER-USD'!$C:$C,'06.2. KH chính'!$C48,'06. BC BH THEO CUSTOMER-USD'!$B:$B,'06.2. KH chính'!$D48)</f>
        <v>0</v>
      </c>
      <c r="K48" s="510">
        <f>SUMIFS('06. BC BH THEO CUSTOMER-USD'!DI:DI,'06. BC BH THEO CUSTOMER-USD'!$C:$C,'06.2. KH chính'!$C48,'06. BC BH THEO CUSTOMER-USD'!$B:$B,'06.2. KH chính'!$D48)</f>
        <v>0</v>
      </c>
      <c r="L48" s="510">
        <f>SUMIFS('06. BC BH THEO CUSTOMER-USD'!DJ:DJ,'06. BC BH THEO CUSTOMER-USD'!$C:$C,'06.2. KH chính'!$C48,'06. BC BH THEO CUSTOMER-USD'!$B:$B,'06.2. KH chính'!$D48)</f>
        <v>0</v>
      </c>
      <c r="M48" s="510">
        <f>SUMIFS('06. BC BH THEO CUSTOMER-USD'!DK:DK,'06. BC BH THEO CUSTOMER-USD'!$C:$C,'06.2. KH chính'!$C48,'06. BC BH THEO CUSTOMER-USD'!$B:$B,'06.2. KH chính'!$D48)</f>
        <v>0</v>
      </c>
      <c r="N48" s="510">
        <f>SUMIFS('06. BC BH THEO CUSTOMER-USD'!DL:DL,'06. BC BH THEO CUSTOMER-USD'!$C:$C,'06.2. KH chính'!$C48,'06. BC BH THEO CUSTOMER-USD'!$B:$B,'06.2. KH chính'!$D48)</f>
        <v>0</v>
      </c>
      <c r="O48" s="510">
        <f>SUMIFS('06. BC BH THEO CUSTOMER-USD'!DM:DM,'06. BC BH THEO CUSTOMER-USD'!$C:$C,'06.2. KH chính'!$C48,'06. BC BH THEO CUSTOMER-USD'!$B:$B,'06.2. KH chính'!$D48)</f>
        <v>0</v>
      </c>
      <c r="P48" s="510">
        <f>SUMIFS('06. BC BH THEO CUSTOMER-USD'!DN:DN,'06. BC BH THEO CUSTOMER-USD'!$C:$C,'06.2. KH chính'!$C48,'06. BC BH THEO CUSTOMER-USD'!$B:$B,'06.2. KH chính'!$D48)</f>
        <v>0</v>
      </c>
      <c r="Q48" s="510">
        <f>SUMIFS('06. BC BH THEO CUSTOMER-USD'!DO:DO,'06. BC BH THEO CUSTOMER-USD'!$C:$C,'06.2. KH chính'!$C48,'06. BC BH THEO CUSTOMER-USD'!$B:$B,'06.2. KH chính'!$D48)</f>
        <v>0</v>
      </c>
      <c r="R48" s="510">
        <f>SUMIFS('06. BC BH THEO CUSTOMER-USD'!DP:DP,'06. BC BH THEO CUSTOMER-USD'!$C:$C,'06.2. KH chính'!$C48,'06. BC BH THEO CUSTOMER-USD'!$B:$B,'06.2. KH chính'!$D48)</f>
        <v>0</v>
      </c>
      <c r="S48" s="510">
        <f>SUMIFS('06. BC BH THEO CUSTOMER-USD'!DQ:DQ,'06. BC BH THEO CUSTOMER-USD'!$C:$C,'06.2. KH chính'!$C48,'06. BC BH THEO CUSTOMER-USD'!$B:$B,'06.2. KH chính'!$D48)</f>
        <v>0</v>
      </c>
      <c r="T48" s="510">
        <f>SUMIFS('06. BC BH THEO CUSTOMER-USD'!DR:DR,'06. BC BH THEO CUSTOMER-USD'!$C:$C,'06.2. KH chính'!$C48,'06. BC BH THEO CUSTOMER-USD'!$B:$B,'06.2. KH chính'!$D48)</f>
        <v>0</v>
      </c>
    </row>
    <row r="49" spans="1:20" outlineLevel="1" x14ac:dyDescent="0.35">
      <c r="A49" s="505">
        <v>9</v>
      </c>
      <c r="B49" s="850" t="str">
        <f t="shared" si="14"/>
        <v>Outeirinho_rPET</v>
      </c>
      <c r="C49" s="310" t="s">
        <v>45</v>
      </c>
      <c r="D49" s="498" t="s">
        <v>283</v>
      </c>
      <c r="E49" s="840">
        <v>2264587.077626837</v>
      </c>
      <c r="F49" s="840">
        <f t="shared" si="15"/>
        <v>188715.58980223641</v>
      </c>
      <c r="G49" s="509">
        <f t="shared" si="16"/>
        <v>1097573.1495238289</v>
      </c>
      <c r="H49" s="509">
        <f t="shared" si="13"/>
        <v>7683012.0466668028</v>
      </c>
      <c r="I49" s="510">
        <f>SUMIFS('06. BC BH THEO CUSTOMER-USD'!DG:DG,'06. BC BH THEO CUSTOMER-USD'!$C:$C,'06.2. KH chính'!$C49,'06. BC BH THEO CUSTOMER-USD'!$B:$B,'06.2. KH chính'!$D49)</f>
        <v>0</v>
      </c>
      <c r="J49" s="510">
        <f>SUMIFS('06. BC BH THEO CUSTOMER-USD'!DH:DH,'06. BC BH THEO CUSTOMER-USD'!$C:$C,'06.2. KH chính'!$C49,'06. BC BH THEO CUSTOMER-USD'!$B:$B,'06.2. KH chính'!$D49)</f>
        <v>1097563.0169358016</v>
      </c>
      <c r="K49" s="510">
        <f>SUMIFS('06. BC BH THEO CUSTOMER-USD'!DI:DI,'06. BC BH THEO CUSTOMER-USD'!$C:$C,'06.2. KH chính'!$C49,'06. BC BH THEO CUSTOMER-USD'!$B:$B,'06.2. KH chính'!$D49)</f>
        <v>1097033.4645669293</v>
      </c>
      <c r="L49" s="510">
        <f>SUMIFS('06. BC BH THEO CUSTOMER-USD'!DJ:DJ,'06. BC BH THEO CUSTOMER-USD'!$C:$C,'06.2. KH chính'!$C49,'06. BC BH THEO CUSTOMER-USD'!$B:$B,'06.2. KH chính'!$D49)</f>
        <v>1094996.1285327137</v>
      </c>
      <c r="M49" s="510">
        <f>SUMIFS('06. BC BH THEO CUSTOMER-USD'!DK:DK,'06. BC BH THEO CUSTOMER-USD'!$C:$C,'06.2. KH chính'!$C49,'06. BC BH THEO CUSTOMER-USD'!$B:$B,'06.2. KH chính'!$D49)</f>
        <v>1096490.7192575408</v>
      </c>
      <c r="N49" s="510">
        <f>SUMIFS('06. BC BH THEO CUSTOMER-USD'!DL:DL,'06. BC BH THEO CUSTOMER-USD'!$C:$C,'06.2. KH chính'!$C49,'06. BC BH THEO CUSTOMER-USD'!$B:$B,'06.2. KH chính'!$D49)</f>
        <v>1098939.0432098764</v>
      </c>
      <c r="O49" s="510">
        <f>SUMIFS('06. BC BH THEO CUSTOMER-USD'!DM:DM,'06. BC BH THEO CUSTOMER-USD'!$C:$C,'06.2. KH chính'!$C49,'06. BC BH THEO CUSTOMER-USD'!$B:$B,'06.2. KH chính'!$D49)</f>
        <v>1097464.4640799079</v>
      </c>
      <c r="P49" s="510">
        <f>SUMIFS('06. BC BH THEO CUSTOMER-USD'!DN:DN,'06. BC BH THEO CUSTOMER-USD'!$C:$C,'06.2. KH chính'!$C49,'06. BC BH THEO CUSTOMER-USD'!$B:$B,'06.2. KH chính'!$D49)</f>
        <v>1100525.2100840337</v>
      </c>
      <c r="Q49" s="510">
        <f>SUMIFS('06. BC BH THEO CUSTOMER-USD'!DO:DO,'06. BC BH THEO CUSTOMER-USD'!$C:$C,'06.2. KH chính'!$C49,'06. BC BH THEO CUSTOMER-USD'!$B:$B,'06.2. KH chính'!$D49)</f>
        <v>0</v>
      </c>
      <c r="R49" s="510">
        <f>SUMIFS('06. BC BH THEO CUSTOMER-USD'!DP:DP,'06. BC BH THEO CUSTOMER-USD'!$C:$C,'06.2. KH chính'!$C49,'06. BC BH THEO CUSTOMER-USD'!$B:$B,'06.2. KH chính'!$D49)</f>
        <v>0</v>
      </c>
      <c r="S49" s="510">
        <f>SUMIFS('06. BC BH THEO CUSTOMER-USD'!DQ:DQ,'06. BC BH THEO CUSTOMER-USD'!$C:$C,'06.2. KH chính'!$C49,'06. BC BH THEO CUSTOMER-USD'!$B:$B,'06.2. KH chính'!$D49)</f>
        <v>0</v>
      </c>
      <c r="T49" s="510">
        <f>SUMIFS('06. BC BH THEO CUSTOMER-USD'!DR:DR,'06. BC BH THEO CUSTOMER-USD'!$C:$C,'06.2. KH chính'!$C49,'06. BC BH THEO CUSTOMER-USD'!$B:$B,'06.2. KH chính'!$D49)</f>
        <v>0</v>
      </c>
    </row>
    <row r="50" spans="1:20" outlineLevel="1" x14ac:dyDescent="0.35">
      <c r="A50" s="505"/>
      <c r="B50" s="850" t="str">
        <f t="shared" si="14"/>
        <v>Outeirinho_rHDPE ép</v>
      </c>
      <c r="C50" s="310" t="s">
        <v>45</v>
      </c>
      <c r="D50" s="498" t="s">
        <v>266</v>
      </c>
      <c r="E50" s="840">
        <v>0</v>
      </c>
      <c r="F50" s="840">
        <f t="shared" si="15"/>
        <v>0</v>
      </c>
      <c r="G50" s="509">
        <f t="shared" si="16"/>
        <v>29952.737298148877</v>
      </c>
      <c r="H50" s="509">
        <f t="shared" si="13"/>
        <v>29952.737298148877</v>
      </c>
      <c r="I50" s="510">
        <f>SUMIFS('06. BC BH THEO CUSTOMER-USD'!DG:DG,'06. BC BH THEO CUSTOMER-USD'!$C:$C,'06.2. KH chính'!$C50,'06. BC BH THEO CUSTOMER-USD'!$B:$B,'06.2. KH chính'!$D50)</f>
        <v>0</v>
      </c>
      <c r="J50" s="510">
        <f>SUMIFS('06. BC BH THEO CUSTOMER-USD'!DH:DH,'06. BC BH THEO CUSTOMER-USD'!$C:$C,'06.2. KH chính'!$C50,'06. BC BH THEO CUSTOMER-USD'!$B:$B,'06.2. KH chính'!$D50)</f>
        <v>29952.737298148877</v>
      </c>
      <c r="K50" s="510">
        <f>SUMIFS('06. BC BH THEO CUSTOMER-USD'!DI:DI,'06. BC BH THEO CUSTOMER-USD'!$C:$C,'06.2. KH chính'!$C50,'06. BC BH THEO CUSTOMER-USD'!$B:$B,'06.2. KH chính'!$D50)</f>
        <v>0</v>
      </c>
      <c r="L50" s="510">
        <f>SUMIFS('06. BC BH THEO CUSTOMER-USD'!DJ:DJ,'06. BC BH THEO CUSTOMER-USD'!$C:$C,'06.2. KH chính'!$C50,'06. BC BH THEO CUSTOMER-USD'!$B:$B,'06.2. KH chính'!$D50)</f>
        <v>0</v>
      </c>
      <c r="M50" s="510">
        <f>SUMIFS('06. BC BH THEO CUSTOMER-USD'!DK:DK,'06. BC BH THEO CUSTOMER-USD'!$C:$C,'06.2. KH chính'!$C50,'06. BC BH THEO CUSTOMER-USD'!$B:$B,'06.2. KH chính'!$D50)</f>
        <v>0</v>
      </c>
      <c r="N50" s="510">
        <f>SUMIFS('06. BC BH THEO CUSTOMER-USD'!DL:DL,'06. BC BH THEO CUSTOMER-USD'!$C:$C,'06.2. KH chính'!$C50,'06. BC BH THEO CUSTOMER-USD'!$B:$B,'06.2. KH chính'!$D50)</f>
        <v>0</v>
      </c>
      <c r="O50" s="510">
        <f>SUMIFS('06. BC BH THEO CUSTOMER-USD'!DM:DM,'06. BC BH THEO CUSTOMER-USD'!$C:$C,'06.2. KH chính'!$C50,'06. BC BH THEO CUSTOMER-USD'!$B:$B,'06.2. KH chính'!$D50)</f>
        <v>0</v>
      </c>
      <c r="P50" s="510">
        <f>SUMIFS('06. BC BH THEO CUSTOMER-USD'!DN:DN,'06. BC BH THEO CUSTOMER-USD'!$C:$C,'06.2. KH chính'!$C50,'06. BC BH THEO CUSTOMER-USD'!$B:$B,'06.2. KH chính'!$D50)</f>
        <v>0</v>
      </c>
      <c r="Q50" s="510">
        <f>SUMIFS('06. BC BH THEO CUSTOMER-USD'!DO:DO,'06. BC BH THEO CUSTOMER-USD'!$C:$C,'06.2. KH chính'!$C50,'06. BC BH THEO CUSTOMER-USD'!$B:$B,'06.2. KH chính'!$D50)</f>
        <v>0</v>
      </c>
      <c r="R50" s="510">
        <f>SUMIFS('06. BC BH THEO CUSTOMER-USD'!DP:DP,'06. BC BH THEO CUSTOMER-USD'!$C:$C,'06.2. KH chính'!$C50,'06. BC BH THEO CUSTOMER-USD'!$B:$B,'06.2. KH chính'!$D50)</f>
        <v>0</v>
      </c>
      <c r="S50" s="510">
        <f>SUMIFS('06. BC BH THEO CUSTOMER-USD'!DQ:DQ,'06. BC BH THEO CUSTOMER-USD'!$C:$C,'06.2. KH chính'!$C50,'06. BC BH THEO CUSTOMER-USD'!$B:$B,'06.2. KH chính'!$D50)</f>
        <v>0</v>
      </c>
      <c r="T50" s="510">
        <f>SUMIFS('06. BC BH THEO CUSTOMER-USD'!DR:DR,'06. BC BH THEO CUSTOMER-USD'!$C:$C,'06.2. KH chính'!$C50,'06. BC BH THEO CUSTOMER-USD'!$B:$B,'06.2. KH chính'!$D50)</f>
        <v>0</v>
      </c>
    </row>
    <row r="51" spans="1:20" outlineLevel="1" x14ac:dyDescent="0.35">
      <c r="A51" s="505">
        <v>10</v>
      </c>
      <c r="B51" s="850" t="str">
        <f t="shared" si="14"/>
        <v>CPSX Nhựa Duy Tân_rPET</v>
      </c>
      <c r="C51" s="310" t="s">
        <v>29</v>
      </c>
      <c r="D51" s="498" t="s">
        <v>283</v>
      </c>
      <c r="E51" s="840">
        <v>507665.0653041522</v>
      </c>
      <c r="F51" s="840">
        <f t="shared" si="15"/>
        <v>42305.422108679348</v>
      </c>
      <c r="G51" s="509">
        <f t="shared" si="16"/>
        <v>17956.302995471797</v>
      </c>
      <c r="H51" s="509">
        <f t="shared" si="13"/>
        <v>125694.12096830258</v>
      </c>
      <c r="I51" s="510">
        <f>SUMIFS('06. BC BH THEO CUSTOMER-USD'!DG:DG,'06. BC BH THEO CUSTOMER-USD'!$C:$C,'06.2. KH chính'!$C51,'06. BC BH THEO CUSTOMER-USD'!$B:$B,'06.2. KH chính'!$D51)</f>
        <v>14904.41489361702</v>
      </c>
      <c r="J51" s="510">
        <f>SUMIFS('06. BC BH THEO CUSTOMER-USD'!DH:DH,'06. BC BH THEO CUSTOMER-USD'!$C:$C,'06.2. KH chính'!$C51,'06. BC BH THEO CUSTOMER-USD'!$B:$B,'06.2. KH chính'!$D51)</f>
        <v>28588.319810949193</v>
      </c>
      <c r="K51" s="510">
        <f>SUMIFS('06. BC BH THEO CUSTOMER-USD'!DI:DI,'06. BC BH THEO CUSTOMER-USD'!$C:$C,'06.2. KH chính'!$C51,'06. BC BH THEO CUSTOMER-USD'!$B:$B,'06.2. KH chính'!$D51)</f>
        <v>13476.732283464567</v>
      </c>
      <c r="L51" s="510">
        <f>SUMIFS('06. BC BH THEO CUSTOMER-USD'!DJ:DJ,'06. BC BH THEO CUSTOMER-USD'!$C:$C,'06.2. KH chính'!$C51,'06. BC BH THEO CUSTOMER-USD'!$B:$B,'06.2. KH chính'!$D51)</f>
        <v>0</v>
      </c>
      <c r="M51" s="510">
        <f>SUMIFS('06. BC BH THEO CUSTOMER-USD'!DK:DK,'06. BC BH THEO CUSTOMER-USD'!$C:$C,'06.2. KH chính'!$C51,'06. BC BH THEO CUSTOMER-USD'!$B:$B,'06.2. KH chính'!$D51)</f>
        <v>13696.829079659705</v>
      </c>
      <c r="N51" s="510">
        <f>SUMIFS('06. BC BH THEO CUSTOMER-USD'!DL:DL,'06. BC BH THEO CUSTOMER-USD'!$C:$C,'06.2. KH chính'!$C51,'06. BC BH THEO CUSTOMER-USD'!$B:$B,'06.2. KH chính'!$D51)</f>
        <v>27765.239197530864</v>
      </c>
      <c r="O51" s="510">
        <f>SUMIFS('06. BC BH THEO CUSTOMER-USD'!DM:DM,'06. BC BH THEO CUSTOMER-USD'!$C:$C,'06.2. KH chính'!$C51,'06. BC BH THEO CUSTOMER-USD'!$B:$B,'06.2. KH chính'!$D51)</f>
        <v>0</v>
      </c>
      <c r="P51" s="510">
        <f>SUMIFS('06. BC BH THEO CUSTOMER-USD'!DN:DN,'06. BC BH THEO CUSTOMER-USD'!$C:$C,'06.2. KH chính'!$C51,'06. BC BH THEO CUSTOMER-USD'!$B:$B,'06.2. KH chính'!$D51)</f>
        <v>6864.4957983193281</v>
      </c>
      <c r="Q51" s="510">
        <f>SUMIFS('06. BC BH THEO CUSTOMER-USD'!DO:DO,'06. BC BH THEO CUSTOMER-USD'!$C:$C,'06.2. KH chính'!$C51,'06. BC BH THEO CUSTOMER-USD'!$B:$B,'06.2. KH chính'!$D51)</f>
        <v>20398.089904761906</v>
      </c>
      <c r="R51" s="510">
        <f>SUMIFS('06. BC BH THEO CUSTOMER-USD'!DP:DP,'06. BC BH THEO CUSTOMER-USD'!$C:$C,'06.2. KH chính'!$C51,'06. BC BH THEO CUSTOMER-USD'!$B:$B,'06.2. KH chính'!$D51)</f>
        <v>0</v>
      </c>
      <c r="S51" s="510">
        <f>SUMIFS('06. BC BH THEO CUSTOMER-USD'!DQ:DQ,'06. BC BH THEO CUSTOMER-USD'!$C:$C,'06.2. KH chính'!$C51,'06. BC BH THEO CUSTOMER-USD'!$B:$B,'06.2. KH chính'!$D51)</f>
        <v>0</v>
      </c>
      <c r="T51" s="510">
        <f>SUMIFS('06. BC BH THEO CUSTOMER-USD'!DR:DR,'06. BC BH THEO CUSTOMER-USD'!$C:$C,'06.2. KH chính'!$C51,'06. BC BH THEO CUSTOMER-USD'!$B:$B,'06.2. KH chính'!$D51)</f>
        <v>0</v>
      </c>
    </row>
    <row r="52" spans="1:20" outlineLevel="1" x14ac:dyDescent="0.35">
      <c r="A52" s="505"/>
      <c r="B52" s="850" t="str">
        <f t="shared" si="14"/>
        <v>CPSX Nhựa Duy Tân_rHDPE thổi</v>
      </c>
      <c r="C52" s="310" t="s">
        <v>29</v>
      </c>
      <c r="D52" s="511" t="s">
        <v>265</v>
      </c>
      <c r="E52" s="840">
        <v>730981.37449510535</v>
      </c>
      <c r="F52" s="840">
        <f t="shared" si="15"/>
        <v>60915.114541258779</v>
      </c>
      <c r="G52" s="509">
        <f t="shared" si="16"/>
        <v>2747.50290991473</v>
      </c>
      <c r="H52" s="509">
        <f t="shared" si="13"/>
        <v>8242.5087297441896</v>
      </c>
      <c r="I52" s="510">
        <f>SUMIFS('06. BC BH THEO CUSTOMER-USD'!DG:DG,'06. BC BH THEO CUSTOMER-USD'!$C:$C,'06.2. KH chính'!$C52,'06. BC BH THEO CUSTOMER-USD'!$B:$B,'06.2. KH chính'!$D52)</f>
        <v>0</v>
      </c>
      <c r="J52" s="510">
        <f>SUMIFS('06. BC BH THEO CUSTOMER-USD'!DH:DH,'06. BC BH THEO CUSTOMER-USD'!$C:$C,'06.2. KH chính'!$C52,'06. BC BH THEO CUSTOMER-USD'!$B:$B,'06.2. KH chính'!$D52)</f>
        <v>0</v>
      </c>
      <c r="K52" s="510">
        <f>SUMIFS('06. BC BH THEO CUSTOMER-USD'!DI:DI,'06. BC BH THEO CUSTOMER-USD'!$C:$C,'06.2. KH chính'!$C52,'06. BC BH THEO CUSTOMER-USD'!$B:$B,'06.2. KH chính'!$D52)</f>
        <v>672.34251968503941</v>
      </c>
      <c r="L52" s="510">
        <f>SUMIFS('06. BC BH THEO CUSTOMER-USD'!DJ:DJ,'06. BC BH THEO CUSTOMER-USD'!$C:$C,'06.2. KH chính'!$C52,'06. BC BH THEO CUSTOMER-USD'!$B:$B,'06.2. KH chính'!$D52)</f>
        <v>0</v>
      </c>
      <c r="M52" s="510">
        <f>SUMIFS('06. BC BH THEO CUSTOMER-USD'!DK:DK,'06. BC BH THEO CUSTOMER-USD'!$C:$C,'06.2. KH chính'!$C52,'06. BC BH THEO CUSTOMER-USD'!$B:$B,'06.2. KH chính'!$D52)</f>
        <v>32.236078886310906</v>
      </c>
      <c r="N52" s="510">
        <f>SUMIFS('06. BC BH THEO CUSTOMER-USD'!DL:DL,'06. BC BH THEO CUSTOMER-USD'!$C:$C,'06.2. KH chính'!$C52,'06. BC BH THEO CUSTOMER-USD'!$B:$B,'06.2. KH chính'!$D52)</f>
        <v>7537.9301311728395</v>
      </c>
      <c r="O52" s="510">
        <f>SUMIFS('06. BC BH THEO CUSTOMER-USD'!DM:DM,'06. BC BH THEO CUSTOMER-USD'!$C:$C,'06.2. KH chính'!$C52,'06. BC BH THEO CUSTOMER-USD'!$B:$B,'06.2. KH chính'!$D52)</f>
        <v>0</v>
      </c>
      <c r="P52" s="510">
        <f>SUMIFS('06. BC BH THEO CUSTOMER-USD'!DN:DN,'06. BC BH THEO CUSTOMER-USD'!$C:$C,'06.2. KH chính'!$C52,'06. BC BH THEO CUSTOMER-USD'!$B:$B,'06.2. KH chính'!$D52)</f>
        <v>0</v>
      </c>
      <c r="Q52" s="510">
        <f>SUMIFS('06. BC BH THEO CUSTOMER-USD'!DO:DO,'06. BC BH THEO CUSTOMER-USD'!$C:$C,'06.2. KH chính'!$C52,'06. BC BH THEO CUSTOMER-USD'!$B:$B,'06.2. KH chính'!$D52)</f>
        <v>0</v>
      </c>
      <c r="R52" s="510">
        <f>SUMIFS('06. BC BH THEO CUSTOMER-USD'!DP:DP,'06. BC BH THEO CUSTOMER-USD'!$C:$C,'06.2. KH chính'!$C52,'06. BC BH THEO CUSTOMER-USD'!$B:$B,'06.2. KH chính'!$D52)</f>
        <v>0</v>
      </c>
      <c r="S52" s="510">
        <f>SUMIFS('06. BC BH THEO CUSTOMER-USD'!DQ:DQ,'06. BC BH THEO CUSTOMER-USD'!$C:$C,'06.2. KH chính'!$C52,'06. BC BH THEO CUSTOMER-USD'!$B:$B,'06.2. KH chính'!$D52)</f>
        <v>0</v>
      </c>
      <c r="T52" s="510">
        <f>SUMIFS('06. BC BH THEO CUSTOMER-USD'!DR:DR,'06. BC BH THEO CUSTOMER-USD'!$C:$C,'06.2. KH chính'!$C52,'06. BC BH THEO CUSTOMER-USD'!$B:$B,'06.2. KH chính'!$D52)</f>
        <v>0</v>
      </c>
    </row>
    <row r="53" spans="1:20" outlineLevel="1" x14ac:dyDescent="0.35">
      <c r="A53" s="505"/>
      <c r="B53" s="850" t="str">
        <f t="shared" si="14"/>
        <v>CPSX Nhựa Duy Tân_rHDPE ép</v>
      </c>
      <c r="C53" s="310" t="s">
        <v>29</v>
      </c>
      <c r="D53" s="498" t="s">
        <v>266</v>
      </c>
      <c r="E53" s="840">
        <v>146251.18593801034</v>
      </c>
      <c r="F53" s="840">
        <f t="shared" si="15"/>
        <v>12187.598828167529</v>
      </c>
      <c r="G53" s="509">
        <f t="shared" si="16"/>
        <v>20202.621191874507</v>
      </c>
      <c r="H53" s="509">
        <f t="shared" si="13"/>
        <v>161620.96953499605</v>
      </c>
      <c r="I53" s="510">
        <f>SUMIFS('06. BC BH THEO CUSTOMER-USD'!DG:DG,'06. BC BH THEO CUSTOMER-USD'!$C:$C,'06.2. KH chính'!$C53,'06. BC BH THEO CUSTOMER-USD'!$B:$B,'06.2. KH chính'!$D53)</f>
        <v>0</v>
      </c>
      <c r="J53" s="510">
        <f>SUMIFS('06. BC BH THEO CUSTOMER-USD'!DH:DH,'06. BC BH THEO CUSTOMER-USD'!$C:$C,'06.2. KH chính'!$C53,'06. BC BH THEO CUSTOMER-USD'!$B:$B,'06.2. KH chính'!$D53)</f>
        <v>27069.704608113429</v>
      </c>
      <c r="K53" s="510">
        <f>SUMIFS('06. BC BH THEO CUSTOMER-USD'!DI:DI,'06. BC BH THEO CUSTOMER-USD'!$C:$C,'06.2. KH chính'!$C53,'06. BC BH THEO CUSTOMER-USD'!$B:$B,'06.2. KH chính'!$D53)</f>
        <v>22425.113188976378</v>
      </c>
      <c r="L53" s="510">
        <f>SUMIFS('06. BC BH THEO CUSTOMER-USD'!DJ:DJ,'06. BC BH THEO CUSTOMER-USD'!$C:$C,'06.2. KH chính'!$C53,'06. BC BH THEO CUSTOMER-USD'!$B:$B,'06.2. KH chính'!$D53)</f>
        <v>21293.070073557879</v>
      </c>
      <c r="M53" s="510">
        <f>SUMIFS('06. BC BH THEO CUSTOMER-USD'!DK:DK,'06. BC BH THEO CUSTOMER-USD'!$C:$C,'06.2. KH chính'!$C53,'06. BC BH THEO CUSTOMER-USD'!$B:$B,'06.2. KH chính'!$D53)</f>
        <v>21268.368136117555</v>
      </c>
      <c r="N53" s="510">
        <f>SUMIFS('06. BC BH THEO CUSTOMER-USD'!DL:DL,'06. BC BH THEO CUSTOMER-USD'!$C:$C,'06.2. KH chính'!$C53,'06. BC BH THEO CUSTOMER-USD'!$B:$B,'06.2. KH chính'!$D53)</f>
        <v>13792.438271604939</v>
      </c>
      <c r="O53" s="510">
        <f>SUMIFS('06. BC BH THEO CUSTOMER-USD'!DM:DM,'06. BC BH THEO CUSTOMER-USD'!$C:$C,'06.2. KH chính'!$C53,'06. BC BH THEO CUSTOMER-USD'!$B:$B,'06.2. KH chính'!$D53)</f>
        <v>24298.885900883593</v>
      </c>
      <c r="P53" s="510">
        <f>SUMIFS('06. BC BH THEO CUSTOMER-USD'!DN:DN,'06. BC BH THEO CUSTOMER-USD'!$C:$C,'06.2. KH chính'!$C53,'06. BC BH THEO CUSTOMER-USD'!$B:$B,'06.2. KH chính'!$D53)</f>
        <v>16806.722689075632</v>
      </c>
      <c r="Q53" s="510">
        <f>SUMIFS('06. BC BH THEO CUSTOMER-USD'!DO:DO,'06. BC BH THEO CUSTOMER-USD'!$C:$C,'06.2. KH chính'!$C53,'06. BC BH THEO CUSTOMER-USD'!$B:$B,'06.2. KH chính'!$D53)</f>
        <v>14666.666666666668</v>
      </c>
      <c r="R53" s="510">
        <f>SUMIFS('06. BC BH THEO CUSTOMER-USD'!DP:DP,'06. BC BH THEO CUSTOMER-USD'!$C:$C,'06.2. KH chính'!$C53,'06. BC BH THEO CUSTOMER-USD'!$B:$B,'06.2. KH chính'!$D53)</f>
        <v>0</v>
      </c>
      <c r="S53" s="510">
        <f>SUMIFS('06. BC BH THEO CUSTOMER-USD'!DQ:DQ,'06. BC BH THEO CUSTOMER-USD'!$C:$C,'06.2. KH chính'!$C53,'06. BC BH THEO CUSTOMER-USD'!$B:$B,'06.2. KH chính'!$D53)</f>
        <v>0</v>
      </c>
      <c r="T53" s="510">
        <f>SUMIFS('06. BC BH THEO CUSTOMER-USD'!DR:DR,'06. BC BH THEO CUSTOMER-USD'!$C:$C,'06.2. KH chính'!$C53,'06. BC BH THEO CUSTOMER-USD'!$B:$B,'06.2. KH chính'!$D53)</f>
        <v>0</v>
      </c>
    </row>
    <row r="54" spans="1:20" outlineLevel="1" x14ac:dyDescent="0.35">
      <c r="A54" s="505"/>
      <c r="B54" s="850" t="str">
        <f t="shared" si="14"/>
        <v>CPSX Nhựa Duy Tân_rPP</v>
      </c>
      <c r="C54" s="310" t="s">
        <v>29</v>
      </c>
      <c r="D54" s="499" t="s">
        <v>23</v>
      </c>
      <c r="E54" s="840">
        <v>53563.355382340873</v>
      </c>
      <c r="F54" s="840">
        <f t="shared" si="15"/>
        <v>4463.6129485284064</v>
      </c>
      <c r="G54" s="509">
        <f t="shared" si="16"/>
        <v>0</v>
      </c>
      <c r="H54" s="509">
        <f t="shared" si="13"/>
        <v>0</v>
      </c>
      <c r="I54" s="510">
        <f>SUMIFS('06. BC BH THEO CUSTOMER-USD'!DG:DG,'06. BC BH THEO CUSTOMER-USD'!$C:$C,'06.2. KH chính'!$C54,'06. BC BH THEO CUSTOMER-USD'!$B:$B,'06.2. KH chính'!$D54)</f>
        <v>0</v>
      </c>
      <c r="J54" s="510">
        <f>SUMIFS('06. BC BH THEO CUSTOMER-USD'!DH:DH,'06. BC BH THEO CUSTOMER-USD'!$C:$C,'06.2. KH chính'!$C54,'06. BC BH THEO CUSTOMER-USD'!$B:$B,'06.2. KH chính'!$D54)</f>
        <v>0</v>
      </c>
      <c r="K54" s="510">
        <f>SUMIFS('06. BC BH THEO CUSTOMER-USD'!DI:DI,'06. BC BH THEO CUSTOMER-USD'!$C:$C,'06.2. KH chính'!$C54,'06. BC BH THEO CUSTOMER-USD'!$B:$B,'06.2. KH chính'!$D54)</f>
        <v>0</v>
      </c>
      <c r="L54" s="510">
        <f>SUMIFS('06. BC BH THEO CUSTOMER-USD'!DJ:DJ,'06. BC BH THEO CUSTOMER-USD'!$C:$C,'06.2. KH chính'!$C54,'06. BC BH THEO CUSTOMER-USD'!$B:$B,'06.2. KH chính'!$D54)</f>
        <v>0</v>
      </c>
      <c r="M54" s="510">
        <f>SUMIFS('06. BC BH THEO CUSTOMER-USD'!DK:DK,'06. BC BH THEO CUSTOMER-USD'!$C:$C,'06.2. KH chính'!$C54,'06. BC BH THEO CUSTOMER-USD'!$B:$B,'06.2. KH chính'!$D54)</f>
        <v>0</v>
      </c>
      <c r="N54" s="510">
        <f>SUMIFS('06. BC BH THEO CUSTOMER-USD'!DL:DL,'06. BC BH THEO CUSTOMER-USD'!$C:$C,'06.2. KH chính'!$C54,'06. BC BH THEO CUSTOMER-USD'!$B:$B,'06.2. KH chính'!$D54)</f>
        <v>0</v>
      </c>
      <c r="O54" s="510">
        <f>SUMIFS('06. BC BH THEO CUSTOMER-USD'!DM:DM,'06. BC BH THEO CUSTOMER-USD'!$C:$C,'06.2. KH chính'!$C54,'06. BC BH THEO CUSTOMER-USD'!$B:$B,'06.2. KH chính'!$D54)</f>
        <v>0</v>
      </c>
      <c r="P54" s="510">
        <f>SUMIFS('06. BC BH THEO CUSTOMER-USD'!DN:DN,'06. BC BH THEO CUSTOMER-USD'!$C:$C,'06.2. KH chính'!$C54,'06. BC BH THEO CUSTOMER-USD'!$B:$B,'06.2. KH chính'!$D54)</f>
        <v>0</v>
      </c>
      <c r="Q54" s="510">
        <f>SUMIFS('06. BC BH THEO CUSTOMER-USD'!DO:DO,'06. BC BH THEO CUSTOMER-USD'!$C:$C,'06.2. KH chính'!$C54,'06. BC BH THEO CUSTOMER-USD'!$B:$B,'06.2. KH chính'!$D54)</f>
        <v>0</v>
      </c>
      <c r="R54" s="510">
        <f>SUMIFS('06. BC BH THEO CUSTOMER-USD'!DP:DP,'06. BC BH THEO CUSTOMER-USD'!$C:$C,'06.2. KH chính'!$C54,'06. BC BH THEO CUSTOMER-USD'!$B:$B,'06.2. KH chính'!$D54)</f>
        <v>0</v>
      </c>
      <c r="S54" s="510">
        <f>SUMIFS('06. BC BH THEO CUSTOMER-USD'!DQ:DQ,'06. BC BH THEO CUSTOMER-USD'!$C:$C,'06.2. KH chính'!$C54,'06. BC BH THEO CUSTOMER-USD'!$B:$B,'06.2. KH chính'!$D54)</f>
        <v>0</v>
      </c>
      <c r="T54" s="510">
        <f>SUMIFS('06. BC BH THEO CUSTOMER-USD'!DR:DR,'06. BC BH THEO CUSTOMER-USD'!$C:$C,'06.2. KH chính'!$C54,'06. BC BH THEO CUSTOMER-USD'!$B:$B,'06.2. KH chính'!$D54)</f>
        <v>0</v>
      </c>
    </row>
    <row r="55" spans="1:20" outlineLevel="1" x14ac:dyDescent="0.35">
      <c r="A55" s="505">
        <v>11</v>
      </c>
      <c r="B55" s="850" t="str">
        <f t="shared" si="14"/>
        <v>Dynaplast_rHDPE thổi</v>
      </c>
      <c r="C55" s="310" t="s">
        <v>503</v>
      </c>
      <c r="D55" s="499" t="s">
        <v>265</v>
      </c>
      <c r="E55" s="840">
        <v>290178.85707350879</v>
      </c>
      <c r="F55" s="840">
        <f>E55/12</f>
        <v>24181.5714227924</v>
      </c>
      <c r="G55" s="509">
        <f t="shared" si="16"/>
        <v>47344.358749014755</v>
      </c>
      <c r="H55" s="509">
        <f t="shared" si="13"/>
        <v>426099.22874113277</v>
      </c>
      <c r="I55" s="510">
        <f>SUMIFS('06. BC BH THEO CUSTOMER-USD'!DG:DG,'06. BC BH THEO CUSTOMER-USD'!$C:$C,'06.2. KH chính'!$C55,'06. BC BH THEO CUSTOMER-USD'!$B:$B,'06.2. KH chính'!$D55)</f>
        <v>71342.794058611005</v>
      </c>
      <c r="J55" s="510">
        <f>SUMIFS('06. BC BH THEO CUSTOMER-USD'!DH:DH,'06. BC BH THEO CUSTOMER-USD'!$C:$C,'06.2. KH chính'!$C55,'06. BC BH THEO CUSTOMER-USD'!$B:$B,'06.2. KH chính'!$D55)</f>
        <v>39325.324931075229</v>
      </c>
      <c r="K55" s="510">
        <f>SUMIFS('06. BC BH THEO CUSTOMER-USD'!DI:DI,'06. BC BH THEO CUSTOMER-USD'!$C:$C,'06.2. KH chính'!$C55,'06. BC BH THEO CUSTOMER-USD'!$B:$B,'06.2. KH chính'!$D55)</f>
        <v>48991.14173228346</v>
      </c>
      <c r="L55" s="510">
        <f>SUMIFS('06. BC BH THEO CUSTOMER-USD'!DJ:DJ,'06. BC BH THEO CUSTOMER-USD'!$C:$C,'06.2. KH chính'!$C55,'06. BC BH THEO CUSTOMER-USD'!$B:$B,'06.2. KH chính'!$D55)</f>
        <v>34847.386759581881</v>
      </c>
      <c r="M55" s="510">
        <f>SUMIFS('06. BC BH THEO CUSTOMER-USD'!DK:DK,'06. BC BH THEO CUSTOMER-USD'!$C:$C,'06.2. KH chính'!$C55,'06. BC BH THEO CUSTOMER-USD'!$B:$B,'06.2. KH chính'!$D55)</f>
        <v>46846.751740139211</v>
      </c>
      <c r="N55" s="510">
        <f>SUMIFS('06. BC BH THEO CUSTOMER-USD'!DL:DL,'06. BC BH THEO CUSTOMER-USD'!$C:$C,'06.2. KH chính'!$C55,'06. BC BH THEO CUSTOMER-USD'!$B:$B,'06.2. KH chính'!$D55)</f>
        <v>33836.458333333328</v>
      </c>
      <c r="O55" s="510">
        <f>SUMIFS('06. BC BH THEO CUSTOMER-USD'!DM:DM,'06. BC BH THEO CUSTOMER-USD'!$C:$C,'06.2. KH chính'!$C55,'06. BC BH THEO CUSTOMER-USD'!$B:$B,'06.2. KH chính'!$D55)</f>
        <v>50552.56434882828</v>
      </c>
      <c r="P55" s="510">
        <f>SUMIFS('06. BC BH THEO CUSTOMER-USD'!DN:DN,'06. BC BH THEO CUSTOMER-USD'!$C:$C,'06.2. KH chính'!$C55,'06. BC BH THEO CUSTOMER-USD'!$B:$B,'06.2. KH chính'!$D55)</f>
        <v>50227.921122994645</v>
      </c>
      <c r="Q55" s="510">
        <f>SUMIFS('06. BC BH THEO CUSTOMER-USD'!DO:DO,'06. BC BH THEO CUSTOMER-USD'!$C:$C,'06.2. KH chính'!$C55,'06. BC BH THEO CUSTOMER-USD'!$B:$B,'06.2. KH chính'!$D55)</f>
        <v>50128.885714285723</v>
      </c>
      <c r="R55" s="510">
        <f>SUMIFS('06. BC BH THEO CUSTOMER-USD'!DP:DP,'06. BC BH THEO CUSTOMER-USD'!$C:$C,'06.2. KH chính'!$C55,'06. BC BH THEO CUSTOMER-USD'!$B:$B,'06.2. KH chính'!$D55)</f>
        <v>0</v>
      </c>
      <c r="S55" s="510">
        <f>SUMIFS('06. BC BH THEO CUSTOMER-USD'!DQ:DQ,'06. BC BH THEO CUSTOMER-USD'!$C:$C,'06.2. KH chính'!$C55,'06. BC BH THEO CUSTOMER-USD'!$B:$B,'06.2. KH chính'!$D55)</f>
        <v>0</v>
      </c>
      <c r="T55" s="510">
        <f>SUMIFS('06. BC BH THEO CUSTOMER-USD'!DR:DR,'06. BC BH THEO CUSTOMER-USD'!$C:$C,'06.2. KH chính'!$C55,'06. BC BH THEO CUSTOMER-USD'!$B:$B,'06.2. KH chính'!$D55)</f>
        <v>0</v>
      </c>
    </row>
    <row r="56" spans="1:20" outlineLevel="1" x14ac:dyDescent="0.35">
      <c r="A56" s="505">
        <v>12</v>
      </c>
      <c r="B56" s="850" t="str">
        <f t="shared" si="14"/>
        <v>Motul_rHDPE thổi</v>
      </c>
      <c r="C56" s="310" t="s">
        <v>804</v>
      </c>
      <c r="D56" s="499" t="s">
        <v>265</v>
      </c>
      <c r="E56" s="840">
        <v>218259</v>
      </c>
      <c r="F56" s="840">
        <f>E56/12</f>
        <v>18188.25</v>
      </c>
      <c r="G56" s="509">
        <f t="shared" ref="G56" si="17">IFERROR(H56/(12-COUNTIF(I56:T56,0)),0)</f>
        <v>39176.727013104552</v>
      </c>
      <c r="H56" s="509">
        <f t="shared" ref="H56" si="18">SUM(I56:T56)</f>
        <v>352590.54311794095</v>
      </c>
      <c r="I56" s="510">
        <f>SUMIFS('06. BC BH THEO CUSTOMER-USD'!DG:DG,'06. BC BH THEO CUSTOMER-USD'!$C:$C,'06.2. KH chính'!$C56,'06. BC BH THEO CUSTOMER-USD'!$B:$B,'06.2. KH chính'!$D56)</f>
        <v>30473.797671617824</v>
      </c>
      <c r="J56" s="510">
        <f>SUMIFS('06. BC BH THEO CUSTOMER-USD'!DH:DH,'06. BC BH THEO CUSTOMER-USD'!$C:$C,'06.2. KH chính'!$C56,'06. BC BH THEO CUSTOMER-USD'!$B:$B,'06.2. KH chính'!$D56)</f>
        <v>29897.688066167779</v>
      </c>
      <c r="K56" s="510">
        <f>SUMIFS('06. BC BH THEO CUSTOMER-USD'!DI:DI,'06. BC BH THEO CUSTOMER-USD'!$C:$C,'06.2. KH chính'!$C56,'06. BC BH THEO CUSTOMER-USD'!$B:$B,'06.2. KH chính'!$D56)</f>
        <v>44374.606299212603</v>
      </c>
      <c r="L56" s="510">
        <f>SUMIFS('06. BC BH THEO CUSTOMER-USD'!DJ:DJ,'06. BC BH THEO CUSTOMER-USD'!$C:$C,'06.2. KH chính'!$C56,'06. BC BH THEO CUSTOMER-USD'!$B:$B,'06.2. KH chính'!$D56)</f>
        <v>41122.241579558649</v>
      </c>
      <c r="M56" s="510">
        <f>SUMIFS('06. BC BH THEO CUSTOMER-USD'!DK:DK,'06. BC BH THEO CUSTOMER-USD'!$C:$C,'06.2. KH chính'!$C56,'06. BC BH THEO CUSTOMER-USD'!$B:$B,'06.2. KH chính'!$D56)</f>
        <v>41308.488012374321</v>
      </c>
      <c r="N56" s="510">
        <f>SUMIFS('06. BC BH THEO CUSTOMER-USD'!DL:DL,'06. BC BH THEO CUSTOMER-USD'!$C:$C,'06.2. KH chính'!$C56,'06. BC BH THEO CUSTOMER-USD'!$B:$B,'06.2. KH chính'!$D56)</f>
        <v>41616.030092592591</v>
      </c>
      <c r="O56" s="510">
        <f>SUMIFS('06. BC BH THEO CUSTOMER-USD'!DM:DM,'06. BC BH THEO CUSTOMER-USD'!$C:$C,'06.2. KH chính'!$C56,'06. BC BH THEO CUSTOMER-USD'!$B:$B,'06.2. KH chính'!$D56)</f>
        <v>41630.330388013826</v>
      </c>
      <c r="P56" s="510">
        <f>SUMIFS('06. BC BH THEO CUSTOMER-USD'!DN:DN,'06. BC BH THEO CUSTOMER-USD'!$C:$C,'06.2. KH chính'!$C56,'06. BC BH THEO CUSTOMER-USD'!$B:$B,'06.2. KH chính'!$D56)</f>
        <v>41391.806722689078</v>
      </c>
      <c r="Q56" s="510">
        <f>SUMIFS('06. BC BH THEO CUSTOMER-USD'!DO:DO,'06. BC BH THEO CUSTOMER-USD'!$C:$C,'06.2. KH chính'!$C56,'06. BC BH THEO CUSTOMER-USD'!$B:$B,'06.2. KH chính'!$D56)</f>
        <v>40775.554285714286</v>
      </c>
      <c r="R56" s="510">
        <f>SUMIFS('06. BC BH THEO CUSTOMER-USD'!DP:DP,'06. BC BH THEO CUSTOMER-USD'!$C:$C,'06.2. KH chính'!$C56,'06. BC BH THEO CUSTOMER-USD'!$B:$B,'06.2. KH chính'!$D56)</f>
        <v>0</v>
      </c>
      <c r="S56" s="510">
        <f>SUMIFS('06. BC BH THEO CUSTOMER-USD'!DQ:DQ,'06. BC BH THEO CUSTOMER-USD'!$C:$C,'06.2. KH chính'!$C56,'06. BC BH THEO CUSTOMER-USD'!$B:$B,'06.2. KH chính'!$D56)</f>
        <v>0</v>
      </c>
      <c r="T56" s="510">
        <f>SUMIFS('06. BC BH THEO CUSTOMER-USD'!DR:DR,'06. BC BH THEO CUSTOMER-USD'!$C:$C,'06.2. KH chính'!$C56,'06. BC BH THEO CUSTOMER-USD'!$B:$B,'06.2. KH chính'!$D56)</f>
        <v>0</v>
      </c>
    </row>
    <row r="57" spans="1:20" outlineLevel="1" x14ac:dyDescent="0.35">
      <c r="A57" s="505">
        <v>13</v>
      </c>
      <c r="B57" s="850" t="str">
        <f t="shared" si="14"/>
        <v>CS Fiber_Xơ sợi</v>
      </c>
      <c r="C57" s="310" t="s">
        <v>508</v>
      </c>
      <c r="D57" s="499" t="s">
        <v>95</v>
      </c>
      <c r="E57" s="840">
        <v>771025.49249769212</v>
      </c>
      <c r="F57" s="840">
        <f t="shared" si="15"/>
        <v>64252.124374807674</v>
      </c>
      <c r="G57" s="509">
        <f t="shared" si="16"/>
        <v>0</v>
      </c>
      <c r="H57" s="509">
        <f t="shared" si="13"/>
        <v>0</v>
      </c>
      <c r="I57" s="510">
        <f>SUMIFS('06. BC BH THEO CUSTOMER-USD'!DG:DG,'06. BC BH THEO CUSTOMER-USD'!$C:$C,'06.2. KH chính'!$C57,'06. BC BH THEO CUSTOMER-USD'!$B:$B,'06.2. KH chính'!$D57)</f>
        <v>0</v>
      </c>
      <c r="J57" s="510">
        <f>SUMIFS('06. BC BH THEO CUSTOMER-USD'!DH:DH,'06. BC BH THEO CUSTOMER-USD'!$C:$C,'06.2. KH chính'!$C57,'06. BC BH THEO CUSTOMER-USD'!$B:$B,'06.2. KH chính'!$D57)</f>
        <v>0</v>
      </c>
      <c r="K57" s="510">
        <f>SUMIFS('06. BC BH THEO CUSTOMER-USD'!DI:DI,'06. BC BH THEO CUSTOMER-USD'!$C:$C,'06.2. KH chính'!$C57,'06. BC BH THEO CUSTOMER-USD'!$B:$B,'06.2. KH chính'!$D57)</f>
        <v>0</v>
      </c>
      <c r="L57" s="510">
        <f>SUMIFS('06. BC BH THEO CUSTOMER-USD'!DJ:DJ,'06. BC BH THEO CUSTOMER-USD'!$C:$C,'06.2. KH chính'!$C57,'06. BC BH THEO CUSTOMER-USD'!$B:$B,'06.2. KH chính'!$D57)</f>
        <v>0</v>
      </c>
      <c r="M57" s="510">
        <f>SUMIFS('06. BC BH THEO CUSTOMER-USD'!DK:DK,'06. BC BH THEO CUSTOMER-USD'!$C:$C,'06.2. KH chính'!$C57,'06. BC BH THEO CUSTOMER-USD'!$B:$B,'06.2. KH chính'!$D57)</f>
        <v>0</v>
      </c>
      <c r="N57" s="510">
        <f>SUMIFS('06. BC BH THEO CUSTOMER-USD'!DL:DL,'06. BC BH THEO CUSTOMER-USD'!$C:$C,'06.2. KH chính'!$C57,'06. BC BH THEO CUSTOMER-USD'!$B:$B,'06.2. KH chính'!$D57)</f>
        <v>0</v>
      </c>
      <c r="O57" s="510">
        <f>SUMIFS('06. BC BH THEO CUSTOMER-USD'!DM:DM,'06. BC BH THEO CUSTOMER-USD'!$C:$C,'06.2. KH chính'!$C57,'06. BC BH THEO CUSTOMER-USD'!$B:$B,'06.2. KH chính'!$D57)</f>
        <v>0</v>
      </c>
      <c r="P57" s="510">
        <f>SUMIFS('06. BC BH THEO CUSTOMER-USD'!DN:DN,'06. BC BH THEO CUSTOMER-USD'!$C:$C,'06.2. KH chính'!$C57,'06. BC BH THEO CUSTOMER-USD'!$B:$B,'06.2. KH chính'!$D57)</f>
        <v>0</v>
      </c>
      <c r="Q57" s="510">
        <f>SUMIFS('06. BC BH THEO CUSTOMER-USD'!DO:DO,'06. BC BH THEO CUSTOMER-USD'!$C:$C,'06.2. KH chính'!$C57,'06. BC BH THEO CUSTOMER-USD'!$B:$B,'06.2. KH chính'!$D57)</f>
        <v>0</v>
      </c>
      <c r="R57" s="510">
        <f>SUMIFS('06. BC BH THEO CUSTOMER-USD'!DP:DP,'06. BC BH THEO CUSTOMER-USD'!$C:$C,'06.2. KH chính'!$C57,'06. BC BH THEO CUSTOMER-USD'!$B:$B,'06.2. KH chính'!$D57)</f>
        <v>0</v>
      </c>
      <c r="S57" s="510">
        <f>SUMIFS('06. BC BH THEO CUSTOMER-USD'!DQ:DQ,'06. BC BH THEO CUSTOMER-USD'!$C:$C,'06.2. KH chính'!$C57,'06. BC BH THEO CUSTOMER-USD'!$B:$B,'06.2. KH chính'!$D57)</f>
        <v>0</v>
      </c>
      <c r="T57" s="510">
        <f>SUMIFS('06. BC BH THEO CUSTOMER-USD'!DR:DR,'06. BC BH THEO CUSTOMER-USD'!$C:$C,'06.2. KH chính'!$C57,'06. BC BH THEO CUSTOMER-USD'!$B:$B,'06.2. KH chính'!$D57)</f>
        <v>0</v>
      </c>
    </row>
    <row r="58" spans="1:20" x14ac:dyDescent="0.35">
      <c r="A58" s="311"/>
      <c r="B58" s="852"/>
      <c r="C58" s="311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1"/>
      <c r="T58" s="311"/>
    </row>
    <row r="60" spans="1:20" ht="18.5" x14ac:dyDescent="0.45">
      <c r="A60" s="835"/>
      <c r="B60" s="835"/>
      <c r="C60" s="835" t="s">
        <v>807</v>
      </c>
      <c r="D60" s="502"/>
    </row>
    <row r="61" spans="1:20" x14ac:dyDescent="0.35">
      <c r="E61" s="836">
        <f>SUM(E63:E81)</f>
        <v>6201901.843848763</v>
      </c>
      <c r="F61" s="836">
        <f t="shared" ref="F61:G61" si="19">SUM(F63:F81)</f>
        <v>516825.15365406388</v>
      </c>
      <c r="G61" s="836">
        <f t="shared" si="19"/>
        <v>720367.64404500707</v>
      </c>
      <c r="H61" s="587">
        <f>SUM(H63:H81)</f>
        <v>5642575.4494651379</v>
      </c>
      <c r="I61" s="837">
        <f t="shared" ref="I61:T61" si="20">SUM(I63:I81)</f>
        <v>680331.65303091146</v>
      </c>
      <c r="J61" s="837">
        <f t="shared" si="20"/>
        <v>1071750.3429725911</v>
      </c>
      <c r="K61" s="837">
        <f t="shared" si="20"/>
        <v>673573.35885786638</v>
      </c>
      <c r="L61" s="837">
        <f t="shared" si="20"/>
        <v>638276.64182905317</v>
      </c>
      <c r="M61" s="837">
        <f t="shared" si="20"/>
        <v>606290.39694365638</v>
      </c>
      <c r="N61" s="837">
        <f t="shared" si="20"/>
        <v>515087.14996141981</v>
      </c>
      <c r="O61" s="837">
        <f t="shared" si="20"/>
        <v>485335.02143025846</v>
      </c>
      <c r="P61" s="837">
        <f t="shared" si="20"/>
        <v>651660.2075191692</v>
      </c>
      <c r="Q61" s="837">
        <f t="shared" si="20"/>
        <v>320270.67692021211</v>
      </c>
      <c r="R61" s="837">
        <f t="shared" si="20"/>
        <v>0</v>
      </c>
      <c r="S61" s="837">
        <f t="shared" si="20"/>
        <v>0</v>
      </c>
      <c r="T61" s="837">
        <f t="shared" si="20"/>
        <v>0</v>
      </c>
    </row>
    <row r="62" spans="1:20" ht="14" customHeight="1" x14ac:dyDescent="0.35">
      <c r="A62" s="351" t="s">
        <v>174</v>
      </c>
      <c r="B62" s="351"/>
      <c r="C62" s="351" t="s">
        <v>479</v>
      </c>
      <c r="D62" s="351" t="s">
        <v>411</v>
      </c>
      <c r="E62" s="842">
        <v>2024</v>
      </c>
      <c r="F62" s="842" t="s">
        <v>380</v>
      </c>
      <c r="G62" s="838" t="s">
        <v>382</v>
      </c>
      <c r="H62" s="838">
        <v>2025</v>
      </c>
      <c r="I62" s="838">
        <v>1</v>
      </c>
      <c r="J62" s="838">
        <v>2</v>
      </c>
      <c r="K62" s="838">
        <v>3</v>
      </c>
      <c r="L62" s="838">
        <v>4</v>
      </c>
      <c r="M62" s="838">
        <v>5</v>
      </c>
      <c r="N62" s="838">
        <v>6</v>
      </c>
      <c r="O62" s="838">
        <v>7</v>
      </c>
      <c r="P62" s="838">
        <v>8</v>
      </c>
      <c r="Q62" s="838">
        <v>9</v>
      </c>
      <c r="R62" s="838">
        <v>10</v>
      </c>
      <c r="S62" s="838">
        <v>11</v>
      </c>
      <c r="T62" s="838">
        <v>12</v>
      </c>
    </row>
    <row r="63" spans="1:20" outlineLevel="1" x14ac:dyDescent="0.35">
      <c r="A63" s="504">
        <v>1</v>
      </c>
      <c r="B63" s="849" t="str">
        <f>C63&amp;"_"&amp;D63</f>
        <v>Niagara_rPET</v>
      </c>
      <c r="C63" s="309" t="s">
        <v>501</v>
      </c>
      <c r="D63" s="506" t="s">
        <v>283</v>
      </c>
      <c r="E63" s="839">
        <v>2268963.4844225142</v>
      </c>
      <c r="F63" s="839">
        <f>E63/12</f>
        <v>189080.29036854286</v>
      </c>
      <c r="G63" s="335">
        <f>IFERROR(H63/(12-COUNTIF(I63:T63,0)),0)</f>
        <v>202814.38072782633</v>
      </c>
      <c r="H63" s="335">
        <f t="shared" ref="H63:H81" si="21">SUM(I63:T63)</f>
        <v>1825329.426550437</v>
      </c>
      <c r="I63" s="330">
        <f>SUMIFS('06. BC BH THEO CUSTOMER-USD'!DU:DU,'06. BC BH THEO CUSTOMER-USD'!$C:$C,'06.2. KH chính'!$C63,'06. BC BH THEO CUSTOMER-USD'!$B:$B,'06.2. KH chính'!$D63)</f>
        <v>411631.53906061826</v>
      </c>
      <c r="J63" s="330">
        <f>SUMIFS('06. BC BH THEO CUSTOMER-USD'!DV:DV,'06. BC BH THEO CUSTOMER-USD'!$C:$C,'06.2. KH chính'!$C63,'06. BC BH THEO CUSTOMER-USD'!$B:$B,'06.2. KH chính'!$D63)</f>
        <v>416199.12008664827</v>
      </c>
      <c r="K63" s="330">
        <f>SUMIFS('06. BC BH THEO CUSTOMER-USD'!DW:DW,'06. BC BH THEO CUSTOMER-USD'!$C:$C,'06.2. KH chính'!$C63,'06. BC BH THEO CUSTOMER-USD'!$B:$B,'06.2. KH chính'!$D63)</f>
        <v>196949.53162106266</v>
      </c>
      <c r="L63" s="330">
        <f>SUMIFS('06. BC BH THEO CUSTOMER-USD'!DX:DX,'06. BC BH THEO CUSTOMER-USD'!$C:$C,'06.2. KH chính'!$C63,'06. BC BH THEO CUSTOMER-USD'!$B:$B,'06.2. KH chính'!$D63)</f>
        <v>201116.46786682145</v>
      </c>
      <c r="M63" s="330">
        <f>SUMIFS('06. BC BH THEO CUSTOMER-USD'!DY:DY,'06. BC BH THEO CUSTOMER-USD'!$C:$C,'06.2. KH chính'!$C63,'06. BC BH THEO CUSTOMER-USD'!$B:$B,'06.2. KH chính'!$D63)</f>
        <v>177878.35850734706</v>
      </c>
      <c r="N63" s="330">
        <f>SUMIFS('06. BC BH THEO CUSTOMER-USD'!DZ:DZ,'06. BC BH THEO CUSTOMER-USD'!$C:$C,'06.2. KH chính'!$C63,'06. BC BH THEO CUSTOMER-USD'!$B:$B,'06.2. KH chính'!$D63)</f>
        <v>82681.376311728382</v>
      </c>
      <c r="O63" s="330">
        <f>SUMIFS('06. BC BH THEO CUSTOMER-USD'!EA:EA,'06. BC BH THEO CUSTOMER-USD'!$C:$C,'06.2. KH chính'!$C63,'06. BC BH THEO CUSTOMER-USD'!$B:$B,'06.2. KH chính'!$D63)</f>
        <v>156406.15920092189</v>
      </c>
      <c r="P63" s="330">
        <f>SUMIFS('06. BC BH THEO CUSTOMER-USD'!EB:EB,'06. BC BH THEO CUSTOMER-USD'!$C:$C,'06.2. KH chính'!$C63,'06. BC BH THEO CUSTOMER-USD'!$B:$B,'06.2. KH chính'!$D63)</f>
        <v>86097.925019098446</v>
      </c>
      <c r="Q63" s="330">
        <f>SUMIFS('06. BC BH THEO CUSTOMER-USD'!EC:EC,'06. BC BH THEO CUSTOMER-USD'!$C:$C,'06.2. KH chính'!$C63,'06. BC BH THEO CUSTOMER-USD'!$B:$B,'06.2. KH chính'!$D63)</f>
        <v>96368.948876190465</v>
      </c>
      <c r="R63" s="330">
        <f>SUMIFS('06. BC BH THEO CUSTOMER-USD'!ED:ED,'06. BC BH THEO CUSTOMER-USD'!$C:$C,'06.2. KH chính'!$C63,'06. BC BH THEO CUSTOMER-USD'!$B:$B,'06.2. KH chính'!$D63)</f>
        <v>0</v>
      </c>
      <c r="S63" s="330">
        <f>SUMIFS('06. BC BH THEO CUSTOMER-USD'!EE:EE,'06. BC BH THEO CUSTOMER-USD'!$C:$C,'06.2. KH chính'!$C63,'06. BC BH THEO CUSTOMER-USD'!$B:$B,'06.2. KH chính'!$D63)</f>
        <v>0</v>
      </c>
      <c r="T63" s="330">
        <f>SUMIFS('06. BC BH THEO CUSTOMER-USD'!EF:EF,'06. BC BH THEO CUSTOMER-USD'!$C:$C,'06.2. KH chính'!$C63,'06. BC BH THEO CUSTOMER-USD'!$B:$B,'06.2. KH chính'!$D63)</f>
        <v>0</v>
      </c>
    </row>
    <row r="64" spans="1:20" outlineLevel="1" x14ac:dyDescent="0.35">
      <c r="A64" s="505">
        <v>2</v>
      </c>
      <c r="B64" s="850" t="str">
        <f t="shared" ref="B64:B81" si="22">C64&amp;"_"&amp;D64</f>
        <v>La vie_rPET</v>
      </c>
      <c r="C64" s="310" t="s">
        <v>507</v>
      </c>
      <c r="D64" s="498" t="s">
        <v>283</v>
      </c>
      <c r="E64" s="840">
        <v>977435.9764557844</v>
      </c>
      <c r="F64" s="840">
        <f t="shared" ref="F64:F81" si="23">E64/12</f>
        <v>81452.998037982034</v>
      </c>
      <c r="G64" s="336">
        <f t="shared" ref="G64:G81" si="24">IFERROR(H64/(12-COUNTIF(I64:T64,0)),0)</f>
        <v>26373.782839271007</v>
      </c>
      <c r="H64" s="336">
        <f t="shared" si="21"/>
        <v>105495.13135708403</v>
      </c>
      <c r="I64" s="331">
        <f>SUMIFS('06. BC BH THEO CUSTOMER-USD'!DU:DU,'06. BC BH THEO CUSTOMER-USD'!$C:$C,'06.2. KH chính'!$C64,'06. BC BH THEO CUSTOMER-USD'!$B:$B,'06.2. KH chính'!$D64)</f>
        <v>-1214.561621838619</v>
      </c>
      <c r="J64" s="331">
        <f>SUMIFS('06. BC BH THEO CUSTOMER-USD'!DV:DV,'06. BC BH THEO CUSTOMER-USD'!$C:$C,'06.2. KH chính'!$C64,'06. BC BH THEO CUSTOMER-USD'!$B:$B,'06.2. KH chính'!$D64)</f>
        <v>0</v>
      </c>
      <c r="K64" s="331">
        <f>SUMIFS('06. BC BH THEO CUSTOMER-USD'!DW:DW,'06. BC BH THEO CUSTOMER-USD'!$C:$C,'06.2. KH chính'!$C64,'06. BC BH THEO CUSTOMER-USD'!$B:$B,'06.2. KH chính'!$D64)</f>
        <v>0</v>
      </c>
      <c r="L64" s="331">
        <f>SUMIFS('06. BC BH THEO CUSTOMER-USD'!DX:DX,'06. BC BH THEO CUSTOMER-USD'!$C:$C,'06.2. KH chính'!$C64,'06. BC BH THEO CUSTOMER-USD'!$B:$B,'06.2. KH chính'!$D64)</f>
        <v>0</v>
      </c>
      <c r="M64" s="331">
        <f>SUMIFS('06. BC BH THEO CUSTOMER-USD'!DY:DY,'06. BC BH THEO CUSTOMER-USD'!$C:$C,'06.2. KH chính'!$C64,'06. BC BH THEO CUSTOMER-USD'!$B:$B,'06.2. KH chính'!$D64)</f>
        <v>-47.394470224284532</v>
      </c>
      <c r="N64" s="331">
        <f>SUMIFS('06. BC BH THEO CUSTOMER-USD'!DZ:DZ,'06. BC BH THEO CUSTOMER-USD'!$C:$C,'06.2. KH chính'!$C64,'06. BC BH THEO CUSTOMER-USD'!$B:$B,'06.2. KH chính'!$D64)</f>
        <v>0</v>
      </c>
      <c r="O64" s="331">
        <f>SUMIFS('06. BC BH THEO CUSTOMER-USD'!EA:EA,'06. BC BH THEO CUSTOMER-USD'!$C:$C,'06.2. KH chính'!$C64,'06. BC BH THEO CUSTOMER-USD'!$B:$B,'06.2. KH chính'!$D64)</f>
        <v>0</v>
      </c>
      <c r="P64" s="331">
        <f>SUMIFS('06. BC BH THEO CUSTOMER-USD'!EB:EB,'06. BC BH THEO CUSTOMER-USD'!$C:$C,'06.2. KH chính'!$C64,'06. BC BH THEO CUSTOMER-USD'!$B:$B,'06.2. KH chính'!$D64)</f>
        <v>47536.393430099328</v>
      </c>
      <c r="Q64" s="331">
        <f>SUMIFS('06. BC BH THEO CUSTOMER-USD'!EC:EC,'06. BC BH THEO CUSTOMER-USD'!$C:$C,'06.2. KH chính'!$C64,'06. BC BH THEO CUSTOMER-USD'!$B:$B,'06.2. KH chính'!$D64)</f>
        <v>59220.694019047602</v>
      </c>
      <c r="R64" s="331">
        <f>SUMIFS('06. BC BH THEO CUSTOMER-USD'!ED:ED,'06. BC BH THEO CUSTOMER-USD'!$C:$C,'06.2. KH chính'!$C64,'06. BC BH THEO CUSTOMER-USD'!$B:$B,'06.2. KH chính'!$D64)</f>
        <v>0</v>
      </c>
      <c r="S64" s="331">
        <f>SUMIFS('06. BC BH THEO CUSTOMER-USD'!EE:EE,'06. BC BH THEO CUSTOMER-USD'!$C:$C,'06.2. KH chính'!$C64,'06. BC BH THEO CUSTOMER-USD'!$B:$B,'06.2. KH chính'!$D64)</f>
        <v>0</v>
      </c>
      <c r="T64" s="331">
        <f>SUMIFS('06. BC BH THEO CUSTOMER-USD'!EF:EF,'06. BC BH THEO CUSTOMER-USD'!$C:$C,'06.2. KH chính'!$C64,'06. BC BH THEO CUSTOMER-USD'!$B:$B,'06.2. KH chính'!$D64)</f>
        <v>0</v>
      </c>
    </row>
    <row r="65" spans="1:20" outlineLevel="1" x14ac:dyDescent="0.35">
      <c r="A65" s="505">
        <v>3</v>
      </c>
      <c r="B65" s="850" t="str">
        <f t="shared" si="22"/>
        <v>Premium Water_rPET</v>
      </c>
      <c r="C65" s="310" t="s">
        <v>505</v>
      </c>
      <c r="D65" s="498" t="s">
        <v>283</v>
      </c>
      <c r="E65" s="840">
        <v>-446164.98008647817</v>
      </c>
      <c r="F65" s="840">
        <f t="shared" si="23"/>
        <v>-37180.415007206517</v>
      </c>
      <c r="G65" s="336">
        <f t="shared" si="24"/>
        <v>11386.112864685012</v>
      </c>
      <c r="H65" s="336">
        <f t="shared" si="21"/>
        <v>22772.225729370024</v>
      </c>
      <c r="I65" s="331">
        <f>SUMIFS('06. BC BH THEO CUSTOMER-USD'!DU:DU,'06. BC BH THEO CUSTOMER-USD'!$C:$C,'06.2. KH chính'!$C65,'06. BC BH THEO CUSTOMER-USD'!$B:$B,'06.2. KH chính'!$D65)</f>
        <v>0</v>
      </c>
      <c r="J65" s="331">
        <f>SUMIFS('06. BC BH THEO CUSTOMER-USD'!DV:DV,'06. BC BH THEO CUSTOMER-USD'!$C:$C,'06.2. KH chính'!$C65,'06. BC BH THEO CUSTOMER-USD'!$B:$B,'06.2. KH chính'!$D65)</f>
        <v>0</v>
      </c>
      <c r="K65" s="331">
        <f>SUMIFS('06. BC BH THEO CUSTOMER-USD'!DW:DW,'06. BC BH THEO CUSTOMER-USD'!$C:$C,'06.2. KH chính'!$C65,'06. BC BH THEO CUSTOMER-USD'!$B:$B,'06.2. KH chính'!$D65)</f>
        <v>0</v>
      </c>
      <c r="L65" s="331">
        <f>SUMIFS('06. BC BH THEO CUSTOMER-USD'!DX:DX,'06. BC BH THEO CUSTOMER-USD'!$C:$C,'06.2. KH chính'!$C65,'06. BC BH THEO CUSTOMER-USD'!$B:$B,'06.2. KH chính'!$D65)</f>
        <v>0</v>
      </c>
      <c r="M65" s="331">
        <f>SUMIFS('06. BC BH THEO CUSTOMER-USD'!DY:DY,'06. BC BH THEO CUSTOMER-USD'!$C:$C,'06.2. KH chính'!$C65,'06. BC BH THEO CUSTOMER-USD'!$B:$B,'06.2. KH chính'!$D65)</f>
        <v>0</v>
      </c>
      <c r="N65" s="331">
        <f>SUMIFS('06. BC BH THEO CUSTOMER-USD'!DZ:DZ,'06. BC BH THEO CUSTOMER-USD'!$C:$C,'06.2. KH chính'!$C65,'06. BC BH THEO CUSTOMER-USD'!$B:$B,'06.2. KH chính'!$D65)</f>
        <v>18718.05613425927</v>
      </c>
      <c r="O65" s="331">
        <f>SUMIFS('06. BC BH THEO CUSTOMER-USD'!EA:EA,'06. BC BH THEO CUSTOMER-USD'!$C:$C,'06.2. KH chính'!$C65,'06. BC BH THEO CUSTOMER-USD'!$B:$B,'06.2. KH chính'!$D65)</f>
        <v>0</v>
      </c>
      <c r="P65" s="331">
        <f>SUMIFS('06. BC BH THEO CUSTOMER-USD'!EB:EB,'06. BC BH THEO CUSTOMER-USD'!$C:$C,'06.2. KH chính'!$C65,'06. BC BH THEO CUSTOMER-USD'!$B:$B,'06.2. KH chính'!$D65)</f>
        <v>4054.169595110754</v>
      </c>
      <c r="Q65" s="331">
        <f>SUMIFS('06. BC BH THEO CUSTOMER-USD'!EC:EC,'06. BC BH THEO CUSTOMER-USD'!$C:$C,'06.2. KH chính'!$C65,'06. BC BH THEO CUSTOMER-USD'!$B:$B,'06.2. KH chính'!$D65)</f>
        <v>0</v>
      </c>
      <c r="R65" s="331">
        <f>SUMIFS('06. BC BH THEO CUSTOMER-USD'!ED:ED,'06. BC BH THEO CUSTOMER-USD'!$C:$C,'06.2. KH chính'!$C65,'06. BC BH THEO CUSTOMER-USD'!$B:$B,'06.2. KH chính'!$D65)</f>
        <v>0</v>
      </c>
      <c r="S65" s="331">
        <f>SUMIFS('06. BC BH THEO CUSTOMER-USD'!EE:EE,'06. BC BH THEO CUSTOMER-USD'!$C:$C,'06.2. KH chính'!$C65,'06. BC BH THEO CUSTOMER-USD'!$B:$B,'06.2. KH chính'!$D65)</f>
        <v>0</v>
      </c>
      <c r="T65" s="331">
        <f>SUMIFS('06. BC BH THEO CUSTOMER-USD'!EF:EF,'06. BC BH THEO CUSTOMER-USD'!$C:$C,'06.2. KH chính'!$C65,'06. BC BH THEO CUSTOMER-USD'!$B:$B,'06.2. KH chính'!$D65)</f>
        <v>0</v>
      </c>
    </row>
    <row r="66" spans="1:20" outlineLevel="1" x14ac:dyDescent="0.35">
      <c r="A66" s="505">
        <v>4</v>
      </c>
      <c r="B66" s="850" t="str">
        <f t="shared" si="22"/>
        <v>Suntory_rPET</v>
      </c>
      <c r="C66" s="310" t="s">
        <v>119</v>
      </c>
      <c r="D66" s="499" t="s">
        <v>283</v>
      </c>
      <c r="E66" s="840">
        <v>730251.37848865625</v>
      </c>
      <c r="F66" s="840">
        <f t="shared" si="23"/>
        <v>60854.281540721357</v>
      </c>
      <c r="G66" s="336">
        <f t="shared" si="24"/>
        <v>104735.17413242604</v>
      </c>
      <c r="H66" s="336">
        <f t="shared" si="21"/>
        <v>942616.56719183433</v>
      </c>
      <c r="I66" s="331">
        <f>SUMIFS('06. BC BH THEO CUSTOMER-USD'!DU:DU,'06. BC BH THEO CUSTOMER-USD'!$C:$C,'06.2. KH chính'!$C66,'06. BC BH THEO CUSTOMER-USD'!$B:$B,'06.2. KH chính'!$D66)</f>
        <v>85261.086832597328</v>
      </c>
      <c r="J66" s="331">
        <f>SUMIFS('06. BC BH THEO CUSTOMER-USD'!DV:DV,'06. BC BH THEO CUSTOMER-USD'!$C:$C,'06.2. KH chính'!$C66,'06. BC BH THEO CUSTOMER-USD'!$B:$B,'06.2. KH chính'!$D66)</f>
        <v>234402.70634691417</v>
      </c>
      <c r="K66" s="331">
        <f>SUMIFS('06. BC BH THEO CUSTOMER-USD'!DW:DW,'06. BC BH THEO CUSTOMER-USD'!$C:$C,'06.2. KH chính'!$C66,'06. BC BH THEO CUSTOMER-USD'!$B:$B,'06.2. KH chính'!$D66)</f>
        <v>57021.660373286664</v>
      </c>
      <c r="L66" s="331">
        <f>SUMIFS('06. BC BH THEO CUSTOMER-USD'!DX:DX,'06. BC BH THEO CUSTOMER-USD'!$C:$C,'06.2. KH chính'!$C66,'06. BC BH THEO CUSTOMER-USD'!$B:$B,'06.2. KH chính'!$D66)</f>
        <v>124623.29325934526</v>
      </c>
      <c r="M66" s="331">
        <f>SUMIFS('06. BC BH THEO CUSTOMER-USD'!DY:DY,'06. BC BH THEO CUSTOMER-USD'!$C:$C,'06.2. KH chính'!$C66,'06. BC BH THEO CUSTOMER-USD'!$B:$B,'06.2. KH chính'!$D66)</f>
        <v>112104.58539572057</v>
      </c>
      <c r="N66" s="331">
        <f>SUMIFS('06. BC BH THEO CUSTOMER-USD'!DZ:DZ,'06. BC BH THEO CUSTOMER-USD'!$C:$C,'06.2. KH chính'!$C66,'06. BC BH THEO CUSTOMER-USD'!$B:$B,'06.2. KH chính'!$D66)</f>
        <v>106322.14105652722</v>
      </c>
      <c r="O66" s="331">
        <f>SUMIFS('06. BC BH THEO CUSTOMER-USD'!EA:EA,'06. BC BH THEO CUSTOMER-USD'!$C:$C,'06.2. KH chính'!$C66,'06. BC BH THEO CUSTOMER-USD'!$B:$B,'06.2. KH chính'!$D66)</f>
        <v>54079.751123916838</v>
      </c>
      <c r="P66" s="331">
        <f>SUMIFS('06. BC BH THEO CUSTOMER-USD'!EB:EB,'06. BC BH THEO CUSTOMER-USD'!$C:$C,'06.2. KH chính'!$C66,'06. BC BH THEO CUSTOMER-USD'!$B:$B,'06.2. KH chính'!$D66)</f>
        <v>149527.67612681436</v>
      </c>
      <c r="Q66" s="331">
        <f>SUMIFS('06. BC BH THEO CUSTOMER-USD'!EC:EC,'06. BC BH THEO CUSTOMER-USD'!$C:$C,'06.2. KH chính'!$C66,'06. BC BH THEO CUSTOMER-USD'!$B:$B,'06.2. KH chính'!$D66)</f>
        <v>19273.666676711975</v>
      </c>
      <c r="R66" s="331">
        <f>SUMIFS('06. BC BH THEO CUSTOMER-USD'!ED:ED,'06. BC BH THEO CUSTOMER-USD'!$C:$C,'06.2. KH chính'!$C66,'06. BC BH THEO CUSTOMER-USD'!$B:$B,'06.2. KH chính'!$D66)</f>
        <v>0</v>
      </c>
      <c r="S66" s="331">
        <f>SUMIFS('06. BC BH THEO CUSTOMER-USD'!EE:EE,'06. BC BH THEO CUSTOMER-USD'!$C:$C,'06.2. KH chính'!$C66,'06. BC BH THEO CUSTOMER-USD'!$B:$B,'06.2. KH chính'!$D66)</f>
        <v>0</v>
      </c>
      <c r="T66" s="331">
        <f>SUMIFS('06. BC BH THEO CUSTOMER-USD'!EF:EF,'06. BC BH THEO CUSTOMER-USD'!$C:$C,'06.2. KH chính'!$C66,'06. BC BH THEO CUSTOMER-USD'!$B:$B,'06.2. KH chính'!$D66)</f>
        <v>0</v>
      </c>
    </row>
    <row r="67" spans="1:20" outlineLevel="1" x14ac:dyDescent="0.35">
      <c r="A67" s="505">
        <v>5</v>
      </c>
      <c r="B67" s="850" t="str">
        <f t="shared" si="22"/>
        <v>Plascene_rPET</v>
      </c>
      <c r="C67" s="310" t="s">
        <v>572</v>
      </c>
      <c r="D67" s="499" t="s">
        <v>283</v>
      </c>
      <c r="E67" s="840">
        <v>399020.9544079128</v>
      </c>
      <c r="F67" s="840">
        <f t="shared" si="23"/>
        <v>33251.7462006594</v>
      </c>
      <c r="G67" s="336">
        <f t="shared" si="24"/>
        <v>21128.989863404182</v>
      </c>
      <c r="H67" s="336">
        <f t="shared" si="21"/>
        <v>169031.91890723346</v>
      </c>
      <c r="I67" s="331">
        <f>SUMIFS('06. BC BH THEO CUSTOMER-USD'!DU:DU,'06. BC BH THEO CUSTOMER-USD'!$C:$C,'06.2. KH chính'!$C67,'06. BC BH THEO CUSTOMER-USD'!$B:$B,'06.2. KH chính'!$D67)</f>
        <v>16231.774307507028</v>
      </c>
      <c r="J67" s="331">
        <f>SUMIFS('06. BC BH THEO CUSTOMER-USD'!DV:DV,'06. BC BH THEO CUSTOMER-USD'!$C:$C,'06.2. KH chính'!$C67,'06. BC BH THEO CUSTOMER-USD'!$B:$B,'06.2. KH chính'!$D67)</f>
        <v>18925.809294998035</v>
      </c>
      <c r="K67" s="331">
        <f>SUMIFS('06. BC BH THEO CUSTOMER-USD'!DW:DW,'06. BC BH THEO CUSTOMER-USD'!$C:$C,'06.2. KH chính'!$C67,'06. BC BH THEO CUSTOMER-USD'!$B:$B,'06.2. KH chính'!$D67)</f>
        <v>30399.16842519684</v>
      </c>
      <c r="L67" s="331">
        <f>SUMIFS('06. BC BH THEO CUSTOMER-USD'!DX:DX,'06. BC BH THEO CUSTOMER-USD'!$C:$C,'06.2. KH chính'!$C67,'06. BC BH THEO CUSTOMER-USD'!$B:$B,'06.2. KH chính'!$D67)</f>
        <v>20396.580797522263</v>
      </c>
      <c r="M67" s="331">
        <f>SUMIFS('06. BC BH THEO CUSTOMER-USD'!DY:DY,'06. BC BH THEO CUSTOMER-USD'!$C:$C,'06.2. KH chính'!$C67,'06. BC BH THEO CUSTOMER-USD'!$B:$B,'06.2. KH chính'!$D67)</f>
        <v>29137.124323279189</v>
      </c>
      <c r="N67" s="331">
        <f>SUMIFS('06. BC BH THEO CUSTOMER-USD'!DZ:DZ,'06. BC BH THEO CUSTOMER-USD'!$C:$C,'06.2. KH chính'!$C67,'06. BC BH THEO CUSTOMER-USD'!$B:$B,'06.2. KH chính'!$D67)</f>
        <v>18877.117052469133</v>
      </c>
      <c r="O67" s="331">
        <f>SUMIFS('06. BC BH THEO CUSTOMER-USD'!EA:EA,'06. BC BH THEO CUSTOMER-USD'!$C:$C,'06.2. KH chính'!$C67,'06. BC BH THEO CUSTOMER-USD'!$B:$B,'06.2. KH chính'!$D67)</f>
        <v>24550.476066077608</v>
      </c>
      <c r="P67" s="331">
        <f>SUMIFS('06. BC BH THEO CUSTOMER-USD'!EB:EB,'06. BC BH THEO CUSTOMER-USD'!$C:$C,'06.2. KH chính'!$C67,'06. BC BH THEO CUSTOMER-USD'!$B:$B,'06.2. KH chính'!$D67)</f>
        <v>10513.86864018334</v>
      </c>
      <c r="Q67" s="331">
        <f>SUMIFS('06. BC BH THEO CUSTOMER-USD'!EC:EC,'06. BC BH THEO CUSTOMER-USD'!$C:$C,'06.2. KH chính'!$C67,'06. BC BH THEO CUSTOMER-USD'!$B:$B,'06.2. KH chính'!$D67)</f>
        <v>0</v>
      </c>
      <c r="R67" s="331">
        <f>SUMIFS('06. BC BH THEO CUSTOMER-USD'!ED:ED,'06. BC BH THEO CUSTOMER-USD'!$C:$C,'06.2. KH chính'!$C67,'06. BC BH THEO CUSTOMER-USD'!$B:$B,'06.2. KH chính'!$D67)</f>
        <v>0</v>
      </c>
      <c r="S67" s="331">
        <f>SUMIFS('06. BC BH THEO CUSTOMER-USD'!EE:EE,'06. BC BH THEO CUSTOMER-USD'!$C:$C,'06.2. KH chính'!$C67,'06. BC BH THEO CUSTOMER-USD'!$B:$B,'06.2. KH chính'!$D67)</f>
        <v>0</v>
      </c>
      <c r="T67" s="331">
        <f>SUMIFS('06. BC BH THEO CUSTOMER-USD'!EF:EF,'06. BC BH THEO CUSTOMER-USD'!$C:$C,'06.2. KH chính'!$C67,'06. BC BH THEO CUSTOMER-USD'!$B:$B,'06.2. KH chính'!$D67)</f>
        <v>0</v>
      </c>
    </row>
    <row r="68" spans="1:20" outlineLevel="1" x14ac:dyDescent="0.35">
      <c r="A68" s="505">
        <v>6</v>
      </c>
      <c r="B68" s="850" t="str">
        <f t="shared" si="22"/>
        <v>Milkyway_rPET</v>
      </c>
      <c r="C68" s="310" t="s">
        <v>506</v>
      </c>
      <c r="D68" s="499" t="s">
        <v>283</v>
      </c>
      <c r="E68" s="840">
        <v>-129176.90354838714</v>
      </c>
      <c r="F68" s="840">
        <f t="shared" si="23"/>
        <v>-10764.741962365595</v>
      </c>
      <c r="G68" s="336">
        <f t="shared" si="24"/>
        <v>17234.863464566908</v>
      </c>
      <c r="H68" s="336">
        <f t="shared" si="21"/>
        <v>17234.863464566908</v>
      </c>
      <c r="I68" s="331">
        <f>SUMIFS('06. BC BH THEO CUSTOMER-USD'!DU:DU,'06. BC BH THEO CUSTOMER-USD'!$C:$C,'06.2. KH chính'!$C68,'06. BC BH THEO CUSTOMER-USD'!$B:$B,'06.2. KH chính'!$D68)</f>
        <v>0</v>
      </c>
      <c r="J68" s="331">
        <f>SUMIFS('06. BC BH THEO CUSTOMER-USD'!DV:DV,'06. BC BH THEO CUSTOMER-USD'!$C:$C,'06.2. KH chính'!$C68,'06. BC BH THEO CUSTOMER-USD'!$B:$B,'06.2. KH chính'!$D68)</f>
        <v>0</v>
      </c>
      <c r="K68" s="331">
        <f>SUMIFS('06. BC BH THEO CUSTOMER-USD'!DW:DW,'06. BC BH THEO CUSTOMER-USD'!$C:$C,'06.2. KH chính'!$C68,'06. BC BH THEO CUSTOMER-USD'!$B:$B,'06.2. KH chính'!$D68)</f>
        <v>17234.863464566908</v>
      </c>
      <c r="L68" s="331">
        <f>SUMIFS('06. BC BH THEO CUSTOMER-USD'!DX:DX,'06. BC BH THEO CUSTOMER-USD'!$C:$C,'06.2. KH chính'!$C68,'06. BC BH THEO CUSTOMER-USD'!$B:$B,'06.2. KH chính'!$D68)</f>
        <v>0</v>
      </c>
      <c r="M68" s="331">
        <f>SUMIFS('06. BC BH THEO CUSTOMER-USD'!DY:DY,'06. BC BH THEO CUSTOMER-USD'!$C:$C,'06.2. KH chính'!$C68,'06. BC BH THEO CUSTOMER-USD'!$B:$B,'06.2. KH chính'!$D68)</f>
        <v>0</v>
      </c>
      <c r="N68" s="331">
        <f>SUMIFS('06. BC BH THEO CUSTOMER-USD'!DZ:DZ,'06. BC BH THEO CUSTOMER-USD'!$C:$C,'06.2. KH chính'!$C68,'06. BC BH THEO CUSTOMER-USD'!$B:$B,'06.2. KH chính'!$D68)</f>
        <v>0</v>
      </c>
      <c r="O68" s="331">
        <f>SUMIFS('06. BC BH THEO CUSTOMER-USD'!EA:EA,'06. BC BH THEO CUSTOMER-USD'!$C:$C,'06.2. KH chính'!$C68,'06. BC BH THEO CUSTOMER-USD'!$B:$B,'06.2. KH chính'!$D68)</f>
        <v>0</v>
      </c>
      <c r="P68" s="331">
        <f>SUMIFS('06. BC BH THEO CUSTOMER-USD'!EB:EB,'06. BC BH THEO CUSTOMER-USD'!$C:$C,'06.2. KH chính'!$C68,'06. BC BH THEO CUSTOMER-USD'!$B:$B,'06.2. KH chính'!$D68)</f>
        <v>0</v>
      </c>
      <c r="Q68" s="331">
        <f>SUMIFS('06. BC BH THEO CUSTOMER-USD'!EC:EC,'06. BC BH THEO CUSTOMER-USD'!$C:$C,'06.2. KH chính'!$C68,'06. BC BH THEO CUSTOMER-USD'!$B:$B,'06.2. KH chính'!$D68)</f>
        <v>0</v>
      </c>
      <c r="R68" s="331">
        <f>SUMIFS('06. BC BH THEO CUSTOMER-USD'!ED:ED,'06. BC BH THEO CUSTOMER-USD'!$C:$C,'06.2. KH chính'!$C68,'06. BC BH THEO CUSTOMER-USD'!$B:$B,'06.2. KH chính'!$D68)</f>
        <v>0</v>
      </c>
      <c r="S68" s="331">
        <f>SUMIFS('06. BC BH THEO CUSTOMER-USD'!EE:EE,'06. BC BH THEO CUSTOMER-USD'!$C:$C,'06.2. KH chính'!$C68,'06. BC BH THEO CUSTOMER-USD'!$B:$B,'06.2. KH chính'!$D68)</f>
        <v>0</v>
      </c>
      <c r="T68" s="331">
        <f>SUMIFS('06. BC BH THEO CUSTOMER-USD'!EF:EF,'06. BC BH THEO CUSTOMER-USD'!$C:$C,'06.2. KH chính'!$C68,'06. BC BH THEO CUSTOMER-USD'!$B:$B,'06.2. KH chính'!$D68)</f>
        <v>0</v>
      </c>
    </row>
    <row r="69" spans="1:20" outlineLevel="1" x14ac:dyDescent="0.35">
      <c r="A69" s="505">
        <v>7</v>
      </c>
      <c r="B69" s="850" t="str">
        <f t="shared" si="22"/>
        <v>Coca_Cola_rPET</v>
      </c>
      <c r="C69" s="310" t="s">
        <v>504</v>
      </c>
      <c r="D69" s="498" t="s">
        <v>283</v>
      </c>
      <c r="E69" s="840">
        <v>295813.52957705333</v>
      </c>
      <c r="F69" s="840">
        <f t="shared" si="23"/>
        <v>24651.127464754445</v>
      </c>
      <c r="G69" s="336">
        <f t="shared" si="24"/>
        <v>34564.979200235699</v>
      </c>
      <c r="H69" s="336">
        <f t="shared" si="21"/>
        <v>207389.87520141419</v>
      </c>
      <c r="I69" s="331">
        <f>SUMIFS('06. BC BH THEO CUSTOMER-USD'!DU:DU,'06. BC BH THEO CUSTOMER-USD'!$C:$C,'06.2. KH chính'!$C69,'06. BC BH THEO CUSTOMER-USD'!$B:$B,'06.2. KH chính'!$D69)</f>
        <v>46532.17543155358</v>
      </c>
      <c r="J69" s="331">
        <f>SUMIFS('06. BC BH THEO CUSTOMER-USD'!DV:DV,'06. BC BH THEO CUSTOMER-USD'!$C:$C,'06.2. KH chính'!$C69,'06. BC BH THEO CUSTOMER-USD'!$B:$B,'06.2. KH chính'!$D69)</f>
        <v>32349.765868743911</v>
      </c>
      <c r="K69" s="331">
        <f>SUMIFS('06. BC BH THEO CUSTOMER-USD'!DW:DW,'06. BC BH THEO CUSTOMER-USD'!$C:$C,'06.2. KH chính'!$C69,'06. BC BH THEO CUSTOMER-USD'!$B:$B,'06.2. KH chính'!$D69)</f>
        <v>48143.633573928251</v>
      </c>
      <c r="L69" s="331">
        <f>SUMIFS('06. BC BH THEO CUSTOMER-USD'!DX:DX,'06. BC BH THEO CUSTOMER-USD'!$C:$C,'06.2. KH chính'!$C69,'06. BC BH THEO CUSTOMER-USD'!$B:$B,'06.2. KH chính'!$D69)</f>
        <v>21453.947154471549</v>
      </c>
      <c r="M69" s="331">
        <f>SUMIFS('06. BC BH THEO CUSTOMER-USD'!DY:DY,'06. BC BH THEO CUSTOMER-USD'!$C:$C,'06.2. KH chính'!$C69,'06. BC BH THEO CUSTOMER-USD'!$B:$B,'06.2. KH chính'!$D69)</f>
        <v>0</v>
      </c>
      <c r="N69" s="331">
        <f>SUMIFS('06. BC BH THEO CUSTOMER-USD'!DZ:DZ,'06. BC BH THEO CUSTOMER-USD'!$C:$C,'06.2. KH chính'!$C69,'06. BC BH THEO CUSTOMER-USD'!$B:$B,'06.2. KH chính'!$D69)</f>
        <v>25803.57716049382</v>
      </c>
      <c r="O69" s="331">
        <f>SUMIFS('06. BC BH THEO CUSTOMER-USD'!EA:EA,'06. BC BH THEO CUSTOMER-USD'!$C:$C,'06.2. KH chính'!$C69,'06. BC BH THEO CUSTOMER-USD'!$B:$B,'06.2. KH chính'!$D69)</f>
        <v>0</v>
      </c>
      <c r="P69" s="331">
        <f>SUMIFS('06. BC BH THEO CUSTOMER-USD'!EB:EB,'06. BC BH THEO CUSTOMER-USD'!$C:$C,'06.2. KH chính'!$C69,'06. BC BH THEO CUSTOMER-USD'!$B:$B,'06.2. KH chính'!$D69)</f>
        <v>33106.776012223068</v>
      </c>
      <c r="Q69" s="331">
        <f>SUMIFS('06. BC BH THEO CUSTOMER-USD'!EC:EC,'06. BC BH THEO CUSTOMER-USD'!$C:$C,'06.2. KH chính'!$C69,'06. BC BH THEO CUSTOMER-USD'!$B:$B,'06.2. KH chính'!$D69)</f>
        <v>0</v>
      </c>
      <c r="R69" s="331">
        <f>SUMIFS('06. BC BH THEO CUSTOMER-USD'!ED:ED,'06. BC BH THEO CUSTOMER-USD'!$C:$C,'06.2. KH chính'!$C69,'06. BC BH THEO CUSTOMER-USD'!$B:$B,'06.2. KH chính'!$D69)</f>
        <v>0</v>
      </c>
      <c r="S69" s="331">
        <f>SUMIFS('06. BC BH THEO CUSTOMER-USD'!EE:EE,'06. BC BH THEO CUSTOMER-USD'!$C:$C,'06.2. KH chính'!$C69,'06. BC BH THEO CUSTOMER-USD'!$B:$B,'06.2. KH chính'!$D69)</f>
        <v>0</v>
      </c>
      <c r="T69" s="331">
        <f>SUMIFS('06. BC BH THEO CUSTOMER-USD'!EF:EF,'06. BC BH THEO CUSTOMER-USD'!$C:$C,'06.2. KH chính'!$C69,'06. BC BH THEO CUSTOMER-USD'!$B:$B,'06.2. KH chính'!$D69)</f>
        <v>0</v>
      </c>
    </row>
    <row r="70" spans="1:20" outlineLevel="1" x14ac:dyDescent="0.35">
      <c r="A70" s="505">
        <v>8</v>
      </c>
      <c r="B70" s="850" t="str">
        <f t="shared" si="22"/>
        <v>Unilever_rPET</v>
      </c>
      <c r="C70" s="310" t="s">
        <v>502</v>
      </c>
      <c r="D70" s="498" t="s">
        <v>283</v>
      </c>
      <c r="E70" s="840">
        <v>1189888.267944478</v>
      </c>
      <c r="F70" s="840">
        <f t="shared" si="23"/>
        <v>99157.35566203983</v>
      </c>
      <c r="G70" s="336">
        <f t="shared" si="24"/>
        <v>66032.790141930789</v>
      </c>
      <c r="H70" s="336">
        <f t="shared" si="21"/>
        <v>594295.11127737712</v>
      </c>
      <c r="I70" s="331">
        <f>SUMIFS('06. BC BH THEO CUSTOMER-USD'!DU:DU,'06. BC BH THEO CUSTOMER-USD'!$C:$C,'06.2. KH chính'!$C70,'06. BC BH THEO CUSTOMER-USD'!$B:$B,'06.2. KH chính'!$D70)</f>
        <v>75638.902368526687</v>
      </c>
      <c r="J70" s="331">
        <f>SUMIFS('06. BC BH THEO CUSTOMER-USD'!DV:DV,'06. BC BH THEO CUSTOMER-USD'!$C:$C,'06.2. KH chính'!$C70,'06. BC BH THEO CUSTOMER-USD'!$B:$B,'06.2. KH chính'!$D70)</f>
        <v>119609.81740842851</v>
      </c>
      <c r="K70" s="331">
        <f>SUMIFS('06. BC BH THEO CUSTOMER-USD'!DW:DW,'06. BC BH THEO CUSTOMER-USD'!$C:$C,'06.2. KH chính'!$C70,'06. BC BH THEO CUSTOMER-USD'!$B:$B,'06.2. KH chính'!$D70)</f>
        <v>76257.425984251953</v>
      </c>
      <c r="L70" s="331">
        <f>SUMIFS('06. BC BH THEO CUSTOMER-USD'!DX:DX,'06. BC BH THEO CUSTOMER-USD'!$C:$C,'06.2. KH chính'!$C70,'06. BC BH THEO CUSTOMER-USD'!$B:$B,'06.2. KH chính'!$D70)</f>
        <v>36576.60108401085</v>
      </c>
      <c r="M70" s="331">
        <f>SUMIFS('06. BC BH THEO CUSTOMER-USD'!DY:DY,'06. BC BH THEO CUSTOMER-USD'!$C:$C,'06.2. KH chính'!$C70,'06. BC BH THEO CUSTOMER-USD'!$B:$B,'06.2. KH chính'!$D70)</f>
        <v>53103.477416860005</v>
      </c>
      <c r="N70" s="331">
        <f>SUMIFS('06. BC BH THEO CUSTOMER-USD'!DZ:DZ,'06. BC BH THEO CUSTOMER-USD'!$C:$C,'06.2. KH chính'!$C70,'06. BC BH THEO CUSTOMER-USD'!$B:$B,'06.2. KH chính'!$D70)</f>
        <v>45419.208179012312</v>
      </c>
      <c r="O70" s="331">
        <f>SUMIFS('06. BC BH THEO CUSTOMER-USD'!EA:EA,'06. BC BH THEO CUSTOMER-USD'!$C:$C,'06.2. KH chính'!$C70,'06. BC BH THEO CUSTOMER-USD'!$B:$B,'06.2. KH chính'!$D70)</f>
        <v>25103.885977718019</v>
      </c>
      <c r="P70" s="331">
        <f>SUMIFS('06. BC BH THEO CUSTOMER-USD'!EB:EB,'06. BC BH THEO CUSTOMER-USD'!$C:$C,'06.2. KH chính'!$C70,'06. BC BH THEO CUSTOMER-USD'!$B:$B,'06.2. KH chính'!$D70)</f>
        <v>70151.207677616476</v>
      </c>
      <c r="Q70" s="331">
        <f>SUMIFS('06. BC BH THEO CUSTOMER-USD'!EC:EC,'06. BC BH THEO CUSTOMER-USD'!$C:$C,'06.2. KH chính'!$C70,'06. BC BH THEO CUSTOMER-USD'!$B:$B,'06.2. KH chính'!$D70)</f>
        <v>92434.585180952359</v>
      </c>
      <c r="R70" s="331">
        <f>SUMIFS('06. BC BH THEO CUSTOMER-USD'!ED:ED,'06. BC BH THEO CUSTOMER-USD'!$C:$C,'06.2. KH chính'!$C70,'06. BC BH THEO CUSTOMER-USD'!$B:$B,'06.2. KH chính'!$D70)</f>
        <v>0</v>
      </c>
      <c r="S70" s="331">
        <f>SUMIFS('06. BC BH THEO CUSTOMER-USD'!EE:EE,'06. BC BH THEO CUSTOMER-USD'!$C:$C,'06.2. KH chính'!$C70,'06. BC BH THEO CUSTOMER-USD'!$B:$B,'06.2. KH chính'!$D70)</f>
        <v>0</v>
      </c>
      <c r="T70" s="331">
        <f>SUMIFS('06. BC BH THEO CUSTOMER-USD'!EF:EF,'06. BC BH THEO CUSTOMER-USD'!$C:$C,'06.2. KH chính'!$C70,'06. BC BH THEO CUSTOMER-USD'!$B:$B,'06.2. KH chính'!$D70)</f>
        <v>0</v>
      </c>
    </row>
    <row r="71" spans="1:20" outlineLevel="1" x14ac:dyDescent="0.35">
      <c r="A71" s="505"/>
      <c r="B71" s="850" t="str">
        <f t="shared" si="22"/>
        <v>Unilever_rHDPE thổi</v>
      </c>
      <c r="C71" s="310" t="s">
        <v>502</v>
      </c>
      <c r="D71" s="499" t="s">
        <v>265</v>
      </c>
      <c r="E71" s="840">
        <v>273727.78530314477</v>
      </c>
      <c r="F71" s="840">
        <f t="shared" si="23"/>
        <v>22810.648775262063</v>
      </c>
      <c r="G71" s="336">
        <f t="shared" si="24"/>
        <v>38102.83099718357</v>
      </c>
      <c r="H71" s="336">
        <f t="shared" si="21"/>
        <v>342925.47897465213</v>
      </c>
      <c r="I71" s="331">
        <f>SUMIFS('06. BC BH THEO CUSTOMER-USD'!DU:DU,'06. BC BH THEO CUSTOMER-USD'!$C:$C,'06.2. KH chính'!$C71,'06. BC BH THEO CUSTOMER-USD'!$B:$B,'06.2. KH chính'!$D71)</f>
        <v>29472.513689281412</v>
      </c>
      <c r="J71" s="331">
        <f>SUMIFS('06. BC BH THEO CUSTOMER-USD'!DV:DV,'06. BC BH THEO CUSTOMER-USD'!$C:$C,'06.2. KH chính'!$C71,'06. BC BH THEO CUSTOMER-USD'!$B:$B,'06.2. KH chính'!$D71)</f>
        <v>46073.423631350932</v>
      </c>
      <c r="K71" s="331">
        <f>SUMIFS('06. BC BH THEO CUSTOMER-USD'!DW:DW,'06. BC BH THEO CUSTOMER-USD'!$C:$C,'06.2. KH chính'!$C71,'06. BC BH THEO CUSTOMER-USD'!$B:$B,'06.2. KH chính'!$D71)</f>
        <v>53453.448700787405</v>
      </c>
      <c r="L71" s="331">
        <f>SUMIFS('06. BC BH THEO CUSTOMER-USD'!DX:DX,'06. BC BH THEO CUSTOMER-USD'!$C:$C,'06.2. KH chính'!$C71,'06. BC BH THEO CUSTOMER-USD'!$B:$B,'06.2. KH chính'!$D71)</f>
        <v>16396.55369725126</v>
      </c>
      <c r="M71" s="331">
        <f>SUMIFS('06. BC BH THEO CUSTOMER-USD'!DY:DY,'06. BC BH THEO CUSTOMER-USD'!$C:$C,'06.2. KH chính'!$C71,'06. BC BH THEO CUSTOMER-USD'!$B:$B,'06.2. KH chính'!$D71)</f>
        <v>32719.227416860023</v>
      </c>
      <c r="N71" s="331">
        <f>SUMIFS('06. BC BH THEO CUSTOMER-USD'!DZ:DZ,'06. BC BH THEO CUSTOMER-USD'!$C:$C,'06.2. KH chính'!$C71,'06. BC BH THEO CUSTOMER-USD'!$B:$B,'06.2. KH chính'!$D71)</f>
        <v>42557.841743827157</v>
      </c>
      <c r="O71" s="331">
        <f>SUMIFS('06. BC BH THEO CUSTOMER-USD'!EA:EA,'06. BC BH THEO CUSTOMER-USD'!$C:$C,'06.2. KH chính'!$C71,'06. BC BH THEO CUSTOMER-USD'!$B:$B,'06.2. KH chính'!$D71)</f>
        <v>36017.942374183644</v>
      </c>
      <c r="P71" s="331">
        <f>SUMIFS('06. BC BH THEO CUSTOMER-USD'!EB:EB,'06. BC BH THEO CUSTOMER-USD'!$C:$C,'06.2. KH chính'!$C71,'06. BC BH THEO CUSTOMER-USD'!$B:$B,'06.2. KH chính'!$D71)</f>
        <v>44343.995416348356</v>
      </c>
      <c r="Q71" s="331">
        <f>SUMIFS('06. BC BH THEO CUSTOMER-USD'!EC:EC,'06. BC BH THEO CUSTOMER-USD'!$C:$C,'06.2. KH chính'!$C71,'06. BC BH THEO CUSTOMER-USD'!$B:$B,'06.2. KH chính'!$D71)</f>
        <v>41890.532304761917</v>
      </c>
      <c r="R71" s="331">
        <f>SUMIFS('06. BC BH THEO CUSTOMER-USD'!ED:ED,'06. BC BH THEO CUSTOMER-USD'!$C:$C,'06.2. KH chính'!$C71,'06. BC BH THEO CUSTOMER-USD'!$B:$B,'06.2. KH chính'!$D71)</f>
        <v>0</v>
      </c>
      <c r="S71" s="331">
        <f>SUMIFS('06. BC BH THEO CUSTOMER-USD'!EE:EE,'06. BC BH THEO CUSTOMER-USD'!$C:$C,'06.2. KH chính'!$C71,'06. BC BH THEO CUSTOMER-USD'!$B:$B,'06.2. KH chính'!$D71)</f>
        <v>0</v>
      </c>
      <c r="T71" s="331">
        <f>SUMIFS('06. BC BH THEO CUSTOMER-USD'!EF:EF,'06. BC BH THEO CUSTOMER-USD'!$C:$C,'06.2. KH chính'!$C71,'06. BC BH THEO CUSTOMER-USD'!$B:$B,'06.2. KH chính'!$D71)</f>
        <v>0</v>
      </c>
    </row>
    <row r="72" spans="1:20" outlineLevel="1" x14ac:dyDescent="0.35">
      <c r="A72" s="505"/>
      <c r="B72" s="850" t="str">
        <f t="shared" si="22"/>
        <v>Unilever_rHDPE ép</v>
      </c>
      <c r="C72" s="310" t="s">
        <v>502</v>
      </c>
      <c r="D72" s="498" t="s">
        <v>266</v>
      </c>
      <c r="E72" s="840">
        <v>0</v>
      </c>
      <c r="F72" s="840">
        <f t="shared" si="23"/>
        <v>0</v>
      </c>
      <c r="G72" s="336">
        <f t="shared" si="24"/>
        <v>-2030.4348454435967</v>
      </c>
      <c r="H72" s="336">
        <f t="shared" si="21"/>
        <v>-2030.4348454435967</v>
      </c>
      <c r="I72" s="331">
        <f>SUMIFS('06. BC BH THEO CUSTOMER-USD'!DU:DU,'06. BC BH THEO CUSTOMER-USD'!$C:$C,'06.2. KH chính'!$C72,'06. BC BH THEO CUSTOMER-USD'!$B:$B,'06.2. KH chính'!$D72)</f>
        <v>-2030.4348454435967</v>
      </c>
      <c r="J72" s="331">
        <f>SUMIFS('06. BC BH THEO CUSTOMER-USD'!DV:DV,'06. BC BH THEO CUSTOMER-USD'!$C:$C,'06.2. KH chính'!$C72,'06. BC BH THEO CUSTOMER-USD'!$B:$B,'06.2. KH chính'!$D72)</f>
        <v>0</v>
      </c>
      <c r="K72" s="331">
        <f>SUMIFS('06. BC BH THEO CUSTOMER-USD'!DW:DW,'06. BC BH THEO CUSTOMER-USD'!$C:$C,'06.2. KH chính'!$C72,'06. BC BH THEO CUSTOMER-USD'!$B:$B,'06.2. KH chính'!$D72)</f>
        <v>0</v>
      </c>
      <c r="L72" s="331">
        <f>SUMIFS('06. BC BH THEO CUSTOMER-USD'!DX:DX,'06. BC BH THEO CUSTOMER-USD'!$C:$C,'06.2. KH chính'!$C72,'06. BC BH THEO CUSTOMER-USD'!$B:$B,'06.2. KH chính'!$D72)</f>
        <v>0</v>
      </c>
      <c r="M72" s="331">
        <f>SUMIFS('06. BC BH THEO CUSTOMER-USD'!DY:DY,'06. BC BH THEO CUSTOMER-USD'!$C:$C,'06.2. KH chính'!$C72,'06. BC BH THEO CUSTOMER-USD'!$B:$B,'06.2. KH chính'!$D72)</f>
        <v>0</v>
      </c>
      <c r="N72" s="331">
        <f>SUMIFS('06. BC BH THEO CUSTOMER-USD'!DZ:DZ,'06. BC BH THEO CUSTOMER-USD'!$C:$C,'06.2. KH chính'!$C72,'06. BC BH THEO CUSTOMER-USD'!$B:$B,'06.2. KH chính'!$D72)</f>
        <v>0</v>
      </c>
      <c r="O72" s="331">
        <f>SUMIFS('06. BC BH THEO CUSTOMER-USD'!EA:EA,'06. BC BH THEO CUSTOMER-USD'!$C:$C,'06.2. KH chính'!$C72,'06. BC BH THEO CUSTOMER-USD'!$B:$B,'06.2. KH chính'!$D72)</f>
        <v>0</v>
      </c>
      <c r="P72" s="331">
        <f>SUMIFS('06. BC BH THEO CUSTOMER-USD'!EB:EB,'06. BC BH THEO CUSTOMER-USD'!$C:$C,'06.2. KH chính'!$C72,'06. BC BH THEO CUSTOMER-USD'!$B:$B,'06.2. KH chính'!$D72)</f>
        <v>0</v>
      </c>
      <c r="Q72" s="331">
        <f>SUMIFS('06. BC BH THEO CUSTOMER-USD'!EC:EC,'06. BC BH THEO CUSTOMER-USD'!$C:$C,'06.2. KH chính'!$C72,'06. BC BH THEO CUSTOMER-USD'!$B:$B,'06.2. KH chính'!$D72)</f>
        <v>0</v>
      </c>
      <c r="R72" s="331">
        <f>SUMIFS('06. BC BH THEO CUSTOMER-USD'!ED:ED,'06. BC BH THEO CUSTOMER-USD'!$C:$C,'06.2. KH chính'!$C72,'06. BC BH THEO CUSTOMER-USD'!$B:$B,'06.2. KH chính'!$D72)</f>
        <v>0</v>
      </c>
      <c r="S72" s="331">
        <f>SUMIFS('06. BC BH THEO CUSTOMER-USD'!EE:EE,'06. BC BH THEO CUSTOMER-USD'!$C:$C,'06.2. KH chính'!$C72,'06. BC BH THEO CUSTOMER-USD'!$B:$B,'06.2. KH chính'!$D72)</f>
        <v>0</v>
      </c>
      <c r="T72" s="331">
        <f>SUMIFS('06. BC BH THEO CUSTOMER-USD'!EF:EF,'06. BC BH THEO CUSTOMER-USD'!$C:$C,'06.2. KH chính'!$C72,'06. BC BH THEO CUSTOMER-USD'!$B:$B,'06.2. KH chính'!$D72)</f>
        <v>0</v>
      </c>
    </row>
    <row r="73" spans="1:20" outlineLevel="1" x14ac:dyDescent="0.35">
      <c r="A73" s="505">
        <v>9</v>
      </c>
      <c r="B73" s="850" t="str">
        <f t="shared" si="22"/>
        <v>Outeirinho_rPET</v>
      </c>
      <c r="C73" s="310" t="s">
        <v>45</v>
      </c>
      <c r="D73" s="498" t="s">
        <v>283</v>
      </c>
      <c r="E73" s="840">
        <v>500004.45292311255</v>
      </c>
      <c r="F73" s="840">
        <f t="shared" si="23"/>
        <v>41667.037743592715</v>
      </c>
      <c r="G73" s="336">
        <f t="shared" si="24"/>
        <v>200744.502882798</v>
      </c>
      <c r="H73" s="336">
        <f t="shared" si="21"/>
        <v>1405211.520179586</v>
      </c>
      <c r="I73" s="331">
        <f>SUMIFS('06. BC BH THEO CUSTOMER-USD'!DU:DU,'06. BC BH THEO CUSTOMER-USD'!$C:$C,'06.2. KH chính'!$C73,'06. BC BH THEO CUSTOMER-USD'!$B:$B,'06.2. KH chính'!$D73)</f>
        <v>0</v>
      </c>
      <c r="J73" s="331">
        <f>SUMIFS('06. BC BH THEO CUSTOMER-USD'!DV:DV,'06. BC BH THEO CUSTOMER-USD'!$C:$C,'06.2. KH chính'!$C73,'06. BC BH THEO CUSTOMER-USD'!$B:$B,'06.2. KH chính'!$D73)</f>
        <v>213036.79795194964</v>
      </c>
      <c r="K73" s="331">
        <f>SUMIFS('06. BC BH THEO CUSTOMER-USD'!DW:DW,'06. BC BH THEO CUSTOMER-USD'!$C:$C,'06.2. KH chính'!$C73,'06. BC BH THEO CUSTOMER-USD'!$B:$B,'06.2. KH chính'!$D73)</f>
        <v>204039.16035433079</v>
      </c>
      <c r="L73" s="331">
        <f>SUMIFS('06. BC BH THEO CUSTOMER-USD'!DX:DX,'06. BC BH THEO CUSTOMER-USD'!$C:$C,'06.2. KH chính'!$C73,'06. BC BH THEO CUSTOMER-USD'!$B:$B,'06.2. KH chính'!$D73)</f>
        <v>223981.84610917547</v>
      </c>
      <c r="M73" s="331">
        <f>SUMIFS('06. BC BH THEO CUSTOMER-USD'!DY:DY,'06. BC BH THEO CUSTOMER-USD'!$C:$C,'06.2. KH chính'!$C73,'06. BC BH THEO CUSTOMER-USD'!$B:$B,'06.2. KH chính'!$D73)</f>
        <v>205049.74524361943</v>
      </c>
      <c r="N73" s="331">
        <f>SUMIFS('06. BC BH THEO CUSTOMER-USD'!DZ:DZ,'06. BC BH THEO CUSTOMER-USD'!$C:$C,'06.2. KH chính'!$C73,'06. BC BH THEO CUSTOMER-USD'!$B:$B,'06.2. KH chính'!$D73)</f>
        <v>171078.39363425935</v>
      </c>
      <c r="O73" s="331">
        <f>SUMIFS('06. BC BH THEO CUSTOMER-USD'!EA:EA,'06. BC BH THEO CUSTOMER-USD'!$C:$C,'06.2. KH chính'!$C73,'06. BC BH THEO CUSTOMER-USD'!$B:$B,'06.2. KH chính'!$D73)</f>
        <v>187491.69254706113</v>
      </c>
      <c r="P73" s="331">
        <f>SUMIFS('06. BC BH THEO CUSTOMER-USD'!EB:EB,'06. BC BH THEO CUSTOMER-USD'!$C:$C,'06.2. KH chính'!$C73,'06. BC BH THEO CUSTOMER-USD'!$B:$B,'06.2. KH chính'!$D73)</f>
        <v>200533.8843391902</v>
      </c>
      <c r="Q73" s="331">
        <f>SUMIFS('06. BC BH THEO CUSTOMER-USD'!EC:EC,'06. BC BH THEO CUSTOMER-USD'!$C:$C,'06.2. KH chính'!$C73,'06. BC BH THEO CUSTOMER-USD'!$B:$B,'06.2. KH chính'!$D73)</f>
        <v>0</v>
      </c>
      <c r="R73" s="331">
        <f>SUMIFS('06. BC BH THEO CUSTOMER-USD'!ED:ED,'06. BC BH THEO CUSTOMER-USD'!$C:$C,'06.2. KH chính'!$C73,'06. BC BH THEO CUSTOMER-USD'!$B:$B,'06.2. KH chính'!$D73)</f>
        <v>0</v>
      </c>
      <c r="S73" s="331">
        <f>SUMIFS('06. BC BH THEO CUSTOMER-USD'!EE:EE,'06. BC BH THEO CUSTOMER-USD'!$C:$C,'06.2. KH chính'!$C73,'06. BC BH THEO CUSTOMER-USD'!$B:$B,'06.2. KH chính'!$D73)</f>
        <v>0</v>
      </c>
      <c r="T73" s="331">
        <f>SUMIFS('06. BC BH THEO CUSTOMER-USD'!EF:EF,'06. BC BH THEO CUSTOMER-USD'!$C:$C,'06.2. KH chính'!$C73,'06. BC BH THEO CUSTOMER-USD'!$B:$B,'06.2. KH chính'!$D73)</f>
        <v>0</v>
      </c>
    </row>
    <row r="74" spans="1:20" outlineLevel="1" x14ac:dyDescent="0.35">
      <c r="A74" s="505"/>
      <c r="B74" s="850" t="str">
        <f t="shared" si="22"/>
        <v>Outeirinho_rHDPE ép</v>
      </c>
      <c r="C74" s="310" t="s">
        <v>45</v>
      </c>
      <c r="D74" s="498" t="s">
        <v>266</v>
      </c>
      <c r="E74" s="840">
        <v>0</v>
      </c>
      <c r="F74" s="840">
        <f t="shared" si="23"/>
        <v>0</v>
      </c>
      <c r="G74" s="336">
        <f t="shared" si="24"/>
        <v>-2780.2209531311528</v>
      </c>
      <c r="H74" s="336">
        <f t="shared" si="21"/>
        <v>-2780.2209531311528</v>
      </c>
      <c r="I74" s="331">
        <f>SUMIFS('06. BC BH THEO CUSTOMER-USD'!DU:DU,'06. BC BH THEO CUSTOMER-USD'!$C:$C,'06.2. KH chính'!$C74,'06. BC BH THEO CUSTOMER-USD'!$B:$B,'06.2. KH chính'!$D74)</f>
        <v>0</v>
      </c>
      <c r="J74" s="331">
        <f>SUMIFS('06. BC BH THEO CUSTOMER-USD'!DV:DV,'06. BC BH THEO CUSTOMER-USD'!$C:$C,'06.2. KH chính'!$C74,'06. BC BH THEO CUSTOMER-USD'!$B:$B,'06.2. KH chính'!$D74)</f>
        <v>-2780.2209531311528</v>
      </c>
      <c r="K74" s="331">
        <f>SUMIFS('06. BC BH THEO CUSTOMER-USD'!DW:DW,'06. BC BH THEO CUSTOMER-USD'!$C:$C,'06.2. KH chính'!$C74,'06. BC BH THEO CUSTOMER-USD'!$B:$B,'06.2. KH chính'!$D74)</f>
        <v>0</v>
      </c>
      <c r="L74" s="331">
        <f>SUMIFS('06. BC BH THEO CUSTOMER-USD'!DX:DX,'06. BC BH THEO CUSTOMER-USD'!$C:$C,'06.2. KH chính'!$C74,'06. BC BH THEO CUSTOMER-USD'!$B:$B,'06.2. KH chính'!$D74)</f>
        <v>0</v>
      </c>
      <c r="M74" s="331">
        <f>SUMIFS('06. BC BH THEO CUSTOMER-USD'!DY:DY,'06. BC BH THEO CUSTOMER-USD'!$C:$C,'06.2. KH chính'!$C74,'06. BC BH THEO CUSTOMER-USD'!$B:$B,'06.2. KH chính'!$D74)</f>
        <v>0</v>
      </c>
      <c r="N74" s="331">
        <f>SUMIFS('06. BC BH THEO CUSTOMER-USD'!DZ:DZ,'06. BC BH THEO CUSTOMER-USD'!$C:$C,'06.2. KH chính'!$C74,'06. BC BH THEO CUSTOMER-USD'!$B:$B,'06.2. KH chính'!$D74)</f>
        <v>0</v>
      </c>
      <c r="O74" s="331">
        <f>SUMIFS('06. BC BH THEO CUSTOMER-USD'!EA:EA,'06. BC BH THEO CUSTOMER-USD'!$C:$C,'06.2. KH chính'!$C74,'06. BC BH THEO CUSTOMER-USD'!$B:$B,'06.2. KH chính'!$D74)</f>
        <v>0</v>
      </c>
      <c r="P74" s="331">
        <f>SUMIFS('06. BC BH THEO CUSTOMER-USD'!EB:EB,'06. BC BH THEO CUSTOMER-USD'!$C:$C,'06.2. KH chính'!$C74,'06. BC BH THEO CUSTOMER-USD'!$B:$B,'06.2. KH chính'!$D74)</f>
        <v>0</v>
      </c>
      <c r="Q74" s="331">
        <f>SUMIFS('06. BC BH THEO CUSTOMER-USD'!EC:EC,'06. BC BH THEO CUSTOMER-USD'!$C:$C,'06.2. KH chính'!$C74,'06. BC BH THEO CUSTOMER-USD'!$B:$B,'06.2. KH chính'!$D74)</f>
        <v>0</v>
      </c>
      <c r="R74" s="331">
        <f>SUMIFS('06. BC BH THEO CUSTOMER-USD'!ED:ED,'06. BC BH THEO CUSTOMER-USD'!$C:$C,'06.2. KH chính'!$C74,'06. BC BH THEO CUSTOMER-USD'!$B:$B,'06.2. KH chính'!$D74)</f>
        <v>0</v>
      </c>
      <c r="S74" s="331">
        <f>SUMIFS('06. BC BH THEO CUSTOMER-USD'!EE:EE,'06. BC BH THEO CUSTOMER-USD'!$C:$C,'06.2. KH chính'!$C74,'06. BC BH THEO CUSTOMER-USD'!$B:$B,'06.2. KH chính'!$D74)</f>
        <v>0</v>
      </c>
      <c r="T74" s="331">
        <f>SUMIFS('06. BC BH THEO CUSTOMER-USD'!EF:EF,'06. BC BH THEO CUSTOMER-USD'!$C:$C,'06.2. KH chính'!$C74,'06. BC BH THEO CUSTOMER-USD'!$B:$B,'06.2. KH chính'!$D74)</f>
        <v>0</v>
      </c>
    </row>
    <row r="75" spans="1:20" outlineLevel="1" x14ac:dyDescent="0.35">
      <c r="A75" s="505">
        <v>10</v>
      </c>
      <c r="B75" s="850" t="str">
        <f t="shared" si="22"/>
        <v>CPSX Nhựa Duy Tân_rPET</v>
      </c>
      <c r="C75" s="310" t="s">
        <v>29</v>
      </c>
      <c r="D75" s="498" t="s">
        <v>283</v>
      </c>
      <c r="E75" s="840">
        <v>125658.24426000781</v>
      </c>
      <c r="F75" s="840">
        <f t="shared" si="23"/>
        <v>10471.52035500065</v>
      </c>
      <c r="G75" s="336">
        <f t="shared" si="24"/>
        <v>3181.4993174887413</v>
      </c>
      <c r="H75" s="336">
        <f t="shared" si="21"/>
        <v>22270.495222421188</v>
      </c>
      <c r="I75" s="331">
        <f>SUMIFS('06. BC BH THEO CUSTOMER-USD'!DU:DU,'06. BC BH THEO CUSTOMER-USD'!$C:$C,'06.2. KH chính'!$C75,'06. BC BH THEO CUSTOMER-USD'!$B:$B,'06.2. KH chính'!$D75)</f>
        <v>3607.966800481734</v>
      </c>
      <c r="J75" s="331">
        <f>SUMIFS('06. BC BH THEO CUSTOMER-USD'!DV:DV,'06. BC BH THEO CUSTOMER-USD'!$C:$C,'06.2. KH chính'!$C75,'06. BC BH THEO CUSTOMER-USD'!$B:$B,'06.2. KH chính'!$D75)</f>
        <v>5788.1569515557312</v>
      </c>
      <c r="K75" s="331">
        <f>SUMIFS('06. BC BH THEO CUSTOMER-USD'!DW:DW,'06. BC BH THEO CUSTOMER-USD'!$C:$C,'06.2. KH chính'!$C75,'06. BC BH THEO CUSTOMER-USD'!$B:$B,'06.2. KH chính'!$D75)</f>
        <v>2114.0303937007884</v>
      </c>
      <c r="L75" s="331">
        <f>SUMIFS('06. BC BH THEO CUSTOMER-USD'!DX:DX,'06. BC BH THEO CUSTOMER-USD'!$C:$C,'06.2. KH chính'!$C75,'06. BC BH THEO CUSTOMER-USD'!$B:$B,'06.2. KH chính'!$D75)</f>
        <v>0</v>
      </c>
      <c r="M75" s="331">
        <f>SUMIFS('06. BC BH THEO CUSTOMER-USD'!DY:DY,'06. BC BH THEO CUSTOMER-USD'!$C:$C,'06.2. KH chính'!$C75,'06. BC BH THEO CUSTOMER-USD'!$B:$B,'06.2. KH chính'!$D75)</f>
        <v>2151.2687548337199</v>
      </c>
      <c r="N75" s="331">
        <f>SUMIFS('06. BC BH THEO CUSTOMER-USD'!DZ:DZ,'06. BC BH THEO CUSTOMER-USD'!$C:$C,'06.2. KH chính'!$C75,'06. BC BH THEO CUSTOMER-USD'!$B:$B,'06.2. KH chính'!$D75)</f>
        <v>4030.1008487654326</v>
      </c>
      <c r="O75" s="331">
        <f>SUMIFS('06. BC BH THEO CUSTOMER-USD'!EA:EA,'06. BC BH THEO CUSTOMER-USD'!$C:$C,'06.2. KH chính'!$C75,'06. BC BH THEO CUSTOMER-USD'!$B:$B,'06.2. KH chính'!$D75)</f>
        <v>0</v>
      </c>
      <c r="P75" s="331">
        <f>SUMIFS('06. BC BH THEO CUSTOMER-USD'!EB:EB,'06. BC BH THEO CUSTOMER-USD'!$C:$C,'06.2. KH chính'!$C75,'06. BC BH THEO CUSTOMER-USD'!$B:$B,'06.2. KH chính'!$D75)</f>
        <v>1029.6595492742554</v>
      </c>
      <c r="Q75" s="331">
        <f>SUMIFS('06. BC BH THEO CUSTOMER-USD'!EC:EC,'06. BC BH THEO CUSTOMER-USD'!$C:$C,'06.2. KH chính'!$C75,'06. BC BH THEO CUSTOMER-USD'!$B:$B,'06.2. KH chính'!$D75)</f>
        <v>3549.3119238095242</v>
      </c>
      <c r="R75" s="331">
        <f>SUMIFS('06. BC BH THEO CUSTOMER-USD'!ED:ED,'06. BC BH THEO CUSTOMER-USD'!$C:$C,'06.2. KH chính'!$C75,'06. BC BH THEO CUSTOMER-USD'!$B:$B,'06.2. KH chính'!$D75)</f>
        <v>0</v>
      </c>
      <c r="S75" s="331">
        <f>SUMIFS('06. BC BH THEO CUSTOMER-USD'!EE:EE,'06. BC BH THEO CUSTOMER-USD'!$C:$C,'06.2. KH chính'!$C75,'06. BC BH THEO CUSTOMER-USD'!$B:$B,'06.2. KH chính'!$D75)</f>
        <v>0</v>
      </c>
      <c r="T75" s="331">
        <f>SUMIFS('06. BC BH THEO CUSTOMER-USD'!EF:EF,'06. BC BH THEO CUSTOMER-USD'!$C:$C,'06.2. KH chính'!$C75,'06. BC BH THEO CUSTOMER-USD'!$B:$B,'06.2. KH chính'!$D75)</f>
        <v>0</v>
      </c>
    </row>
    <row r="76" spans="1:20" outlineLevel="1" x14ac:dyDescent="0.35">
      <c r="A76" s="505"/>
      <c r="B76" s="850" t="str">
        <f t="shared" si="22"/>
        <v>CPSX Nhựa Duy Tân_rHDPE thổi</v>
      </c>
      <c r="C76" s="310" t="s">
        <v>29</v>
      </c>
      <c r="D76" s="511" t="s">
        <v>265</v>
      </c>
      <c r="E76" s="840">
        <v>167984.85984575236</v>
      </c>
      <c r="F76" s="840">
        <f t="shared" si="23"/>
        <v>13998.738320479364</v>
      </c>
      <c r="G76" s="336">
        <f t="shared" si="24"/>
        <v>689.83107299614551</v>
      </c>
      <c r="H76" s="336">
        <f t="shared" si="21"/>
        <v>2069.4932189884366</v>
      </c>
      <c r="I76" s="331">
        <f>SUMIFS('06. BC BH THEO CUSTOMER-USD'!DU:DU,'06. BC BH THEO CUSTOMER-USD'!$C:$C,'06.2. KH chính'!$C76,'06. BC BH THEO CUSTOMER-USD'!$B:$B,'06.2. KH chính'!$D76)</f>
        <v>0</v>
      </c>
      <c r="J76" s="331">
        <f>SUMIFS('06. BC BH THEO CUSTOMER-USD'!DV:DV,'06. BC BH THEO CUSTOMER-USD'!$C:$C,'06.2. KH chính'!$C76,'06. BC BH THEO CUSTOMER-USD'!$B:$B,'06.2. KH chính'!$D76)</f>
        <v>0</v>
      </c>
      <c r="K76" s="331">
        <f>SUMIFS('06. BC BH THEO CUSTOMER-USD'!DW:DW,'06. BC BH THEO CUSTOMER-USD'!$C:$C,'06.2. KH chính'!$C76,'06. BC BH THEO CUSTOMER-USD'!$B:$B,'06.2. KH chính'!$D76)</f>
        <v>71.412322834645693</v>
      </c>
      <c r="L76" s="331">
        <f>SUMIFS('06. BC BH THEO CUSTOMER-USD'!DX:DX,'06. BC BH THEO CUSTOMER-USD'!$C:$C,'06.2. KH chính'!$C76,'06. BC BH THEO CUSTOMER-USD'!$B:$B,'06.2. KH chính'!$D76)</f>
        <v>0</v>
      </c>
      <c r="M76" s="331">
        <f>SUMIFS('06. BC BH THEO CUSTOMER-USD'!DY:DY,'06. BC BH THEO CUSTOMER-USD'!$C:$C,'06.2. KH chính'!$C76,'06. BC BH THEO CUSTOMER-USD'!$B:$B,'06.2. KH chính'!$D76)</f>
        <v>8.8304717710750218</v>
      </c>
      <c r="N76" s="331">
        <f>SUMIFS('06. BC BH THEO CUSTOMER-USD'!DZ:DZ,'06. BC BH THEO CUSTOMER-USD'!$C:$C,'06.2. KH chính'!$C76,'06. BC BH THEO CUSTOMER-USD'!$B:$B,'06.2. KH chính'!$D76)</f>
        <v>1989.2504243827159</v>
      </c>
      <c r="O76" s="331">
        <f>SUMIFS('06. BC BH THEO CUSTOMER-USD'!EA:EA,'06. BC BH THEO CUSTOMER-USD'!$C:$C,'06.2. KH chính'!$C76,'06. BC BH THEO CUSTOMER-USD'!$B:$B,'06.2. KH chính'!$D76)</f>
        <v>0</v>
      </c>
      <c r="P76" s="331">
        <f>SUMIFS('06. BC BH THEO CUSTOMER-USD'!EB:EB,'06. BC BH THEO CUSTOMER-USD'!$C:$C,'06.2. KH chính'!$C76,'06. BC BH THEO CUSTOMER-USD'!$B:$B,'06.2. KH chính'!$D76)</f>
        <v>0</v>
      </c>
      <c r="Q76" s="331">
        <f>SUMIFS('06. BC BH THEO CUSTOMER-USD'!EC:EC,'06. BC BH THEO CUSTOMER-USD'!$C:$C,'06.2. KH chính'!$C76,'06. BC BH THEO CUSTOMER-USD'!$B:$B,'06.2. KH chính'!$D76)</f>
        <v>0</v>
      </c>
      <c r="R76" s="331">
        <f>SUMIFS('06. BC BH THEO CUSTOMER-USD'!ED:ED,'06. BC BH THEO CUSTOMER-USD'!$C:$C,'06.2. KH chính'!$C76,'06. BC BH THEO CUSTOMER-USD'!$B:$B,'06.2. KH chính'!$D76)</f>
        <v>0</v>
      </c>
      <c r="S76" s="331">
        <f>SUMIFS('06. BC BH THEO CUSTOMER-USD'!EE:EE,'06. BC BH THEO CUSTOMER-USD'!$C:$C,'06.2. KH chính'!$C76,'06. BC BH THEO CUSTOMER-USD'!$B:$B,'06.2. KH chính'!$D76)</f>
        <v>0</v>
      </c>
      <c r="T76" s="331">
        <f>SUMIFS('06. BC BH THEO CUSTOMER-USD'!EF:EF,'06. BC BH THEO CUSTOMER-USD'!$C:$C,'06.2. KH chính'!$C76,'06. BC BH THEO CUSTOMER-USD'!$B:$B,'06.2. KH chính'!$D76)</f>
        <v>0</v>
      </c>
    </row>
    <row r="77" spans="1:20" outlineLevel="1" x14ac:dyDescent="0.35">
      <c r="A77" s="505"/>
      <c r="B77" s="850" t="str">
        <f t="shared" si="22"/>
        <v>CPSX Nhựa Duy Tân_rHDPE ép</v>
      </c>
      <c r="C77" s="310" t="s">
        <v>29</v>
      </c>
      <c r="D77" s="498" t="s">
        <v>266</v>
      </c>
      <c r="E77" s="840">
        <v>-35768.586415303485</v>
      </c>
      <c r="F77" s="840">
        <f t="shared" si="23"/>
        <v>-2980.7155346086238</v>
      </c>
      <c r="G77" s="336">
        <f t="shared" si="24"/>
        <v>-7046.9369398228828</v>
      </c>
      <c r="H77" s="336">
        <f t="shared" si="21"/>
        <v>-56375.495518583062</v>
      </c>
      <c r="I77" s="331">
        <f>SUMIFS('06. BC BH THEO CUSTOMER-USD'!DU:DU,'06. BC BH THEO CUSTOMER-USD'!$C:$C,'06.2. KH chính'!$C77,'06. BC BH THEO CUSTOMER-USD'!$B:$B,'06.2. KH chính'!$D77)</f>
        <v>0</v>
      </c>
      <c r="J77" s="331">
        <f>SUMIFS('06. BC BH THEO CUSTOMER-USD'!DV:DV,'06. BC BH THEO CUSTOMER-USD'!$C:$C,'06.2. KH chính'!$C77,'06. BC BH THEO CUSTOMER-USD'!$B:$B,'06.2. KH chính'!$D77)</f>
        <v>-3972.4805435210706</v>
      </c>
      <c r="K77" s="331">
        <f>SUMIFS('06. BC BH THEO CUSTOMER-USD'!DW:DW,'06. BC BH THEO CUSTOMER-USD'!$C:$C,'06.2. KH chính'!$C77,'06. BC BH THEO CUSTOMER-USD'!$B:$B,'06.2. KH chính'!$D77)</f>
        <v>-11496.144212598423</v>
      </c>
      <c r="L77" s="331">
        <f>SUMIFS('06. BC BH THEO CUSTOMER-USD'!DX:DX,'06. BC BH THEO CUSTOMER-USD'!$C:$C,'06.2. KH chính'!$C77,'06. BC BH THEO CUSTOMER-USD'!$B:$B,'06.2. KH chính'!$D77)</f>
        <v>-3109.8009291521512</v>
      </c>
      <c r="M77" s="331">
        <f>SUMIFS('06. BC BH THEO CUSTOMER-USD'!DY:DY,'06. BC BH THEO CUSTOMER-USD'!$C:$C,'06.2. KH chính'!$C77,'06. BC BH THEO CUSTOMER-USD'!$B:$B,'06.2. KH chính'!$D77)</f>
        <v>-10267.907385924209</v>
      </c>
      <c r="N77" s="331">
        <f>SUMIFS('06. BC BH THEO CUSTOMER-USD'!DZ:DZ,'06. BC BH THEO CUSTOMER-USD'!$C:$C,'06.2. KH chính'!$C77,'06. BC BH THEO CUSTOMER-USD'!$B:$B,'06.2. KH chính'!$D77)</f>
        <v>-5641.584027777777</v>
      </c>
      <c r="O77" s="331">
        <f>SUMIFS('06. BC BH THEO CUSTOMER-USD'!EA:EA,'06. BC BH THEO CUSTOMER-USD'!$C:$C,'06.2. KH chính'!$C77,'06. BC BH THEO CUSTOMER-USD'!$B:$B,'06.2. KH chính'!$D77)</f>
        <v>-9923.3077602766061</v>
      </c>
      <c r="P77" s="331">
        <f>SUMIFS('06. BC BH THEO CUSTOMER-USD'!EB:EB,'06. BC BH THEO CUSTOMER-USD'!$C:$C,'06.2. KH chính'!$C77,'06. BC BH THEO CUSTOMER-USD'!$B:$B,'06.2. KH chính'!$D77)</f>
        <v>-7244.4972498090137</v>
      </c>
      <c r="Q77" s="331">
        <f>SUMIFS('06. BC BH THEO CUSTOMER-USD'!EC:EC,'06. BC BH THEO CUSTOMER-USD'!$C:$C,'06.2. KH chính'!$C77,'06. BC BH THEO CUSTOMER-USD'!$B:$B,'06.2. KH chính'!$D77)</f>
        <v>-4719.7734095238084</v>
      </c>
      <c r="R77" s="331">
        <f>SUMIFS('06. BC BH THEO CUSTOMER-USD'!ED:ED,'06. BC BH THEO CUSTOMER-USD'!$C:$C,'06.2. KH chính'!$C77,'06. BC BH THEO CUSTOMER-USD'!$B:$B,'06.2. KH chính'!$D77)</f>
        <v>0</v>
      </c>
      <c r="S77" s="331">
        <f>SUMIFS('06. BC BH THEO CUSTOMER-USD'!EE:EE,'06. BC BH THEO CUSTOMER-USD'!$C:$C,'06.2. KH chính'!$C77,'06. BC BH THEO CUSTOMER-USD'!$B:$B,'06.2. KH chính'!$D77)</f>
        <v>0</v>
      </c>
      <c r="T77" s="331">
        <f>SUMIFS('06. BC BH THEO CUSTOMER-USD'!EF:EF,'06. BC BH THEO CUSTOMER-USD'!$C:$C,'06.2. KH chính'!$C77,'06. BC BH THEO CUSTOMER-USD'!$B:$B,'06.2. KH chính'!$D77)</f>
        <v>0</v>
      </c>
    </row>
    <row r="78" spans="1:20" outlineLevel="1" x14ac:dyDescent="0.35">
      <c r="A78" s="505"/>
      <c r="B78" s="850" t="str">
        <f t="shared" si="22"/>
        <v>CPSX Nhựa Duy Tân_rPP</v>
      </c>
      <c r="C78" s="310" t="s">
        <v>29</v>
      </c>
      <c r="D78" s="499" t="s">
        <v>23</v>
      </c>
      <c r="E78" s="840">
        <v>-24815.443950989953</v>
      </c>
      <c r="F78" s="840">
        <f t="shared" si="23"/>
        <v>-2067.9536625824962</v>
      </c>
      <c r="G78" s="336">
        <f t="shared" si="24"/>
        <v>0</v>
      </c>
      <c r="H78" s="336">
        <f t="shared" si="21"/>
        <v>0</v>
      </c>
      <c r="I78" s="331">
        <f>SUMIFS('06. BC BH THEO CUSTOMER-USD'!DU:DU,'06. BC BH THEO CUSTOMER-USD'!$C:$C,'06.2. KH chính'!$C78,'06. BC BH THEO CUSTOMER-USD'!$B:$B,'06.2. KH chính'!$D78)</f>
        <v>0</v>
      </c>
      <c r="J78" s="331">
        <f>SUMIFS('06. BC BH THEO CUSTOMER-USD'!DV:DV,'06. BC BH THEO CUSTOMER-USD'!$C:$C,'06.2. KH chính'!$C78,'06. BC BH THEO CUSTOMER-USD'!$B:$B,'06.2. KH chính'!$D78)</f>
        <v>0</v>
      </c>
      <c r="K78" s="331">
        <f>SUMIFS('06. BC BH THEO CUSTOMER-USD'!DW:DW,'06. BC BH THEO CUSTOMER-USD'!$C:$C,'06.2. KH chính'!$C78,'06. BC BH THEO CUSTOMER-USD'!$B:$B,'06.2. KH chính'!$D78)</f>
        <v>0</v>
      </c>
      <c r="L78" s="331">
        <f>SUMIFS('06. BC BH THEO CUSTOMER-USD'!DX:DX,'06. BC BH THEO CUSTOMER-USD'!$C:$C,'06.2. KH chính'!$C78,'06. BC BH THEO CUSTOMER-USD'!$B:$B,'06.2. KH chính'!$D78)</f>
        <v>0</v>
      </c>
      <c r="M78" s="331">
        <f>SUMIFS('06. BC BH THEO CUSTOMER-USD'!DY:DY,'06. BC BH THEO CUSTOMER-USD'!$C:$C,'06.2. KH chính'!$C78,'06. BC BH THEO CUSTOMER-USD'!$B:$B,'06.2. KH chính'!$D78)</f>
        <v>0</v>
      </c>
      <c r="N78" s="331">
        <f>SUMIFS('06. BC BH THEO CUSTOMER-USD'!DZ:DZ,'06. BC BH THEO CUSTOMER-USD'!$C:$C,'06.2. KH chính'!$C78,'06. BC BH THEO CUSTOMER-USD'!$B:$B,'06.2. KH chính'!$D78)</f>
        <v>0</v>
      </c>
      <c r="O78" s="331">
        <f>SUMIFS('06. BC BH THEO CUSTOMER-USD'!EA:EA,'06. BC BH THEO CUSTOMER-USD'!$C:$C,'06.2. KH chính'!$C78,'06. BC BH THEO CUSTOMER-USD'!$B:$B,'06.2. KH chính'!$D78)</f>
        <v>0</v>
      </c>
      <c r="P78" s="331">
        <f>SUMIFS('06. BC BH THEO CUSTOMER-USD'!EB:EB,'06. BC BH THEO CUSTOMER-USD'!$C:$C,'06.2. KH chính'!$C78,'06. BC BH THEO CUSTOMER-USD'!$B:$B,'06.2. KH chính'!$D78)</f>
        <v>0</v>
      </c>
      <c r="Q78" s="331">
        <f>SUMIFS('06. BC BH THEO CUSTOMER-USD'!EC:EC,'06. BC BH THEO CUSTOMER-USD'!$C:$C,'06.2. KH chính'!$C78,'06. BC BH THEO CUSTOMER-USD'!$B:$B,'06.2. KH chính'!$D78)</f>
        <v>0</v>
      </c>
      <c r="R78" s="331">
        <f>SUMIFS('06. BC BH THEO CUSTOMER-USD'!ED:ED,'06. BC BH THEO CUSTOMER-USD'!$C:$C,'06.2. KH chính'!$C78,'06. BC BH THEO CUSTOMER-USD'!$B:$B,'06.2. KH chính'!$D78)</f>
        <v>0</v>
      </c>
      <c r="S78" s="331">
        <f>SUMIFS('06. BC BH THEO CUSTOMER-USD'!EE:EE,'06. BC BH THEO CUSTOMER-USD'!$C:$C,'06.2. KH chính'!$C78,'06. BC BH THEO CUSTOMER-USD'!$B:$B,'06.2. KH chính'!$D78)</f>
        <v>0</v>
      </c>
      <c r="T78" s="331">
        <f>SUMIFS('06. BC BH THEO CUSTOMER-USD'!EF:EF,'06. BC BH THEO CUSTOMER-USD'!$C:$C,'06.2. KH chính'!$C78,'06. BC BH THEO CUSTOMER-USD'!$B:$B,'06.2. KH chính'!$D78)</f>
        <v>0</v>
      </c>
    </row>
    <row r="79" spans="1:20" outlineLevel="1" x14ac:dyDescent="0.35">
      <c r="A79" s="505">
        <v>11</v>
      </c>
      <c r="B79" s="850" t="str">
        <f t="shared" si="22"/>
        <v>Dynaplast_rHDPE thổi</v>
      </c>
      <c r="C79" s="310" t="s">
        <v>503</v>
      </c>
      <c r="D79" s="499" t="s">
        <v>265</v>
      </c>
      <c r="E79" s="840">
        <v>71593.503358959584</v>
      </c>
      <c r="F79" s="840">
        <f t="shared" si="23"/>
        <v>5966.125279913299</v>
      </c>
      <c r="G79" s="336">
        <f t="shared" si="24"/>
        <v>10351.973106122132</v>
      </c>
      <c r="H79" s="336">
        <f t="shared" si="21"/>
        <v>93167.757955099194</v>
      </c>
      <c r="I79" s="331">
        <f>SUMIFS('06. BC BH THEO CUSTOMER-USD'!DU:DU,'06. BC BH THEO CUSTOMER-USD'!$C:$C,'06.2. KH chính'!$C79,'06. BC BH THEO CUSTOMER-USD'!$B:$B,'06.2. KH chính'!$D79)</f>
        <v>14404.247330389408</v>
      </c>
      <c r="J79" s="331">
        <f>SUMIFS('06. BC BH THEO CUSTOMER-USD'!DV:DV,'06. BC BH THEO CUSTOMER-USD'!$C:$C,'06.2. KH chính'!$C79,'06. BC BH THEO CUSTOMER-USD'!$B:$B,'06.2. KH chính'!$D79)</f>
        <v>8317.6778463378687</v>
      </c>
      <c r="K79" s="331">
        <f>SUMIFS('06. BC BH THEO CUSTOMER-USD'!DW:DW,'06. BC BH THEO CUSTOMER-USD'!$C:$C,'06.2. KH chính'!$C79,'06. BC BH THEO CUSTOMER-USD'!$B:$B,'06.2. KH chính'!$D79)</f>
        <v>10381.059706911637</v>
      </c>
      <c r="L79" s="331">
        <f>SUMIFS('06. BC BH THEO CUSTOMER-USD'!DX:DX,'06. BC BH THEO CUSTOMER-USD'!$C:$C,'06.2. KH chính'!$C79,'06. BC BH THEO CUSTOMER-USD'!$B:$B,'06.2. KH chính'!$D79)</f>
        <v>7389.9662623134209</v>
      </c>
      <c r="M79" s="331">
        <f>SUMIFS('06. BC BH THEO CUSTOMER-USD'!DY:DY,'06. BC BH THEO CUSTOMER-USD'!$C:$C,'06.2. KH chính'!$C79,'06. BC BH THEO CUSTOMER-USD'!$B:$B,'06.2. KH chính'!$D79)</f>
        <v>9657.4528859098828</v>
      </c>
      <c r="N79" s="331">
        <f>SUMIFS('06. BC BH THEO CUSTOMER-USD'!DZ:DZ,'06. BC BH THEO CUSTOMER-USD'!$C:$C,'06.2. KH chính'!$C79,'06. BC BH THEO CUSTOMER-USD'!$B:$B,'06.2. KH chính'!$D79)</f>
        <v>7017.3818987197046</v>
      </c>
      <c r="O79" s="331">
        <f>SUMIFS('06. BC BH THEO CUSTOMER-USD'!EA:EA,'06. BC BH THEO CUSTOMER-USD'!$C:$C,'06.2. KH chính'!$C79,'06. BC BH THEO CUSTOMER-USD'!$B:$B,'06.2. KH chính'!$D79)</f>
        <v>11854.787056245645</v>
      </c>
      <c r="P79" s="331">
        <f>SUMIFS('06. BC BH THEO CUSTOMER-USD'!EB:EB,'06. BC BH THEO CUSTOMER-USD'!$C:$C,'06.2. KH chính'!$C79,'06. BC BH THEO CUSTOMER-USD'!$B:$B,'06.2. KH chính'!$D79)</f>
        <v>12061.466762866774</v>
      </c>
      <c r="Q79" s="331">
        <f>SUMIFS('06. BC BH THEO CUSTOMER-USD'!EC:EC,'06. BC BH THEO CUSTOMER-USD'!$C:$C,'06.2. KH chính'!$C79,'06. BC BH THEO CUSTOMER-USD'!$B:$B,'06.2. KH chính'!$D79)</f>
        <v>12083.718205404868</v>
      </c>
      <c r="R79" s="331">
        <f>SUMIFS('06. BC BH THEO CUSTOMER-USD'!ED:ED,'06. BC BH THEO CUSTOMER-USD'!$C:$C,'06.2. KH chính'!$C79,'06. BC BH THEO CUSTOMER-USD'!$B:$B,'06.2. KH chính'!$D79)</f>
        <v>0</v>
      </c>
      <c r="S79" s="331">
        <f>SUMIFS('06. BC BH THEO CUSTOMER-USD'!EE:EE,'06. BC BH THEO CUSTOMER-USD'!$C:$C,'06.2. KH chính'!$C79,'06. BC BH THEO CUSTOMER-USD'!$B:$B,'06.2. KH chính'!$D79)</f>
        <v>0</v>
      </c>
      <c r="T79" s="331">
        <f>SUMIFS('06. BC BH THEO CUSTOMER-USD'!EF:EF,'06. BC BH THEO CUSTOMER-USD'!$C:$C,'06.2. KH chính'!$C79,'06. BC BH THEO CUSTOMER-USD'!$B:$B,'06.2. KH chính'!$D79)</f>
        <v>0</v>
      </c>
    </row>
    <row r="80" spans="1:20" outlineLevel="1" x14ac:dyDescent="0.35">
      <c r="A80" s="505">
        <v>12</v>
      </c>
      <c r="B80" s="850" t="str">
        <f t="shared" si="22"/>
        <v>Motul_rHDPE thổi</v>
      </c>
      <c r="C80" s="310" t="s">
        <v>804</v>
      </c>
      <c r="D80" s="499" t="s">
        <v>265</v>
      </c>
      <c r="E80" s="840">
        <v>31914</v>
      </c>
      <c r="F80" s="840">
        <f t="shared" ref="F80" si="25">E80/12</f>
        <v>2659.5</v>
      </c>
      <c r="G80" s="336">
        <f t="shared" ref="G80" si="26">IFERROR(H80/(12-COUNTIF(I80:T80,0)),0)</f>
        <v>-5116.4738275298432</v>
      </c>
      <c r="H80" s="336">
        <f t="shared" ref="H80" si="27">SUM(I80:T80)</f>
        <v>-46048.26444776859</v>
      </c>
      <c r="I80" s="331">
        <f>SUMIFS('06. BC BH THEO CUSTOMER-USD'!DU:DU,'06. BC BH THEO CUSTOMER-USD'!$C:$C,'06.2. KH chính'!$C80,'06. BC BH THEO CUSTOMER-USD'!$B:$B,'06.2. KH chính'!$D80)</f>
        <v>796.44367723805772</v>
      </c>
      <c r="J80" s="331">
        <f>SUMIFS('06. BC BH THEO CUSTOMER-USD'!DV:DV,'06. BC BH THEO CUSTOMER-USD'!$C:$C,'06.2. KH chính'!$C80,'06. BC BH THEO CUSTOMER-USD'!$B:$B,'06.2. KH chính'!$D80)</f>
        <v>-16200.230917684126</v>
      </c>
      <c r="K80" s="331">
        <f>SUMIFS('06. BC BH THEO CUSTOMER-USD'!DW:DW,'06. BC BH THEO CUSTOMER-USD'!$C:$C,'06.2. KH chính'!$C80,'06. BC BH THEO CUSTOMER-USD'!$B:$B,'06.2. KH chính'!$D80)</f>
        <v>-10995.891850393702</v>
      </c>
      <c r="L80" s="331">
        <f>SUMIFS('06. BC BH THEO CUSTOMER-USD'!DX:DX,'06. BC BH THEO CUSTOMER-USD'!$C:$C,'06.2. KH chính'!$C80,'06. BC BH THEO CUSTOMER-USD'!$B:$B,'06.2. KH chính'!$D80)</f>
        <v>-10548.813472706148</v>
      </c>
      <c r="M80" s="331">
        <f>SUMIFS('06. BC BH THEO CUSTOMER-USD'!DY:DY,'06. BC BH THEO CUSTOMER-USD'!$C:$C,'06.2. KH chính'!$C80,'06. BC BH THEO CUSTOMER-USD'!$B:$B,'06.2. KH chính'!$D80)</f>
        <v>-5204.3716163959834</v>
      </c>
      <c r="N80" s="331">
        <f>SUMIFS('06. BC BH THEO CUSTOMER-USD'!DZ:DZ,'06. BC BH THEO CUSTOMER-USD'!$C:$C,'06.2. KH chính'!$C80,'06. BC BH THEO CUSTOMER-USD'!$B:$B,'06.2. KH chính'!$D80)</f>
        <v>-3765.7104552469173</v>
      </c>
      <c r="O80" s="331">
        <f>SUMIFS('06. BC BH THEO CUSTOMER-USD'!EA:EA,'06. BC BH THEO CUSTOMER-USD'!$C:$C,'06.2. KH chính'!$C80,'06. BC BH THEO CUSTOMER-USD'!$B:$B,'06.2. KH chính'!$D80)</f>
        <v>-246.36515558970132</v>
      </c>
      <c r="P80" s="331">
        <f>SUMIFS('06. BC BH THEO CUSTOMER-USD'!EB:EB,'06. BC BH THEO CUSTOMER-USD'!$C:$C,'06.2. KH chính'!$C80,'06. BC BH THEO CUSTOMER-USD'!$B:$B,'06.2. KH chính'!$D80)</f>
        <v>-52.317799847209244</v>
      </c>
      <c r="Q80" s="331">
        <f>SUMIFS('06. BC BH THEO CUSTOMER-USD'!EC:EC,'06. BC BH THEO CUSTOMER-USD'!$C:$C,'06.2. KH chính'!$C80,'06. BC BH THEO CUSTOMER-USD'!$B:$B,'06.2. KH chính'!$D80)</f>
        <v>168.99314285714354</v>
      </c>
      <c r="R80" s="331">
        <f>SUMIFS('06. BC BH THEO CUSTOMER-USD'!ED:ED,'06. BC BH THEO CUSTOMER-USD'!$C:$C,'06.2. KH chính'!$C80,'06. BC BH THEO CUSTOMER-USD'!$B:$B,'06.2. KH chính'!$D80)</f>
        <v>0</v>
      </c>
      <c r="S80" s="331">
        <f>SUMIFS('06. BC BH THEO CUSTOMER-USD'!EE:EE,'06. BC BH THEO CUSTOMER-USD'!$C:$C,'06.2. KH chính'!$C80,'06. BC BH THEO CUSTOMER-USD'!$B:$B,'06.2. KH chính'!$D80)</f>
        <v>0</v>
      </c>
      <c r="T80" s="331">
        <f>SUMIFS('06. BC BH THEO CUSTOMER-USD'!EF:EF,'06. BC BH THEO CUSTOMER-USD'!$C:$C,'06.2. KH chính'!$C80,'06. BC BH THEO CUSTOMER-USD'!$B:$B,'06.2. KH chính'!$D80)</f>
        <v>0</v>
      </c>
    </row>
    <row r="81" spans="1:20" outlineLevel="1" x14ac:dyDescent="0.35">
      <c r="A81" s="505">
        <v>13</v>
      </c>
      <c r="B81" s="850" t="str">
        <f t="shared" si="22"/>
        <v>CS Fiber_Xơ sợi</v>
      </c>
      <c r="C81" s="310" t="s">
        <v>508</v>
      </c>
      <c r="D81" s="499" t="s">
        <v>95</v>
      </c>
      <c r="E81" s="840">
        <v>-194428.67913745271</v>
      </c>
      <c r="F81" s="840">
        <f t="shared" si="23"/>
        <v>-16202.38992812106</v>
      </c>
      <c r="G81" s="336">
        <f t="shared" si="24"/>
        <v>0</v>
      </c>
      <c r="H81" s="336">
        <f t="shared" si="21"/>
        <v>0</v>
      </c>
      <c r="I81" s="331">
        <f>SUMIFS('06. BC BH THEO CUSTOMER-USD'!DU:DU,'06. BC BH THEO CUSTOMER-USD'!$C:$C,'06.2. KH chính'!$C81,'06. BC BH THEO CUSTOMER-USD'!$B:$B,'06.2. KH chính'!$D81)</f>
        <v>0</v>
      </c>
      <c r="J81" s="331">
        <f>SUMIFS('06. BC BH THEO CUSTOMER-USD'!DV:DV,'06. BC BH THEO CUSTOMER-USD'!$C:$C,'06.2. KH chính'!$C81,'06. BC BH THEO CUSTOMER-USD'!$B:$B,'06.2. KH chính'!$D81)</f>
        <v>0</v>
      </c>
      <c r="K81" s="331">
        <f>SUMIFS('06. BC BH THEO CUSTOMER-USD'!DW:DW,'06. BC BH THEO CUSTOMER-USD'!$C:$C,'06.2. KH chính'!$C81,'06. BC BH THEO CUSTOMER-USD'!$B:$B,'06.2. KH chính'!$D81)</f>
        <v>0</v>
      </c>
      <c r="L81" s="331">
        <f>SUMIFS('06. BC BH THEO CUSTOMER-USD'!DX:DX,'06. BC BH THEO CUSTOMER-USD'!$C:$C,'06.2. KH chính'!$C81,'06. BC BH THEO CUSTOMER-USD'!$B:$B,'06.2. KH chính'!$D81)</f>
        <v>0</v>
      </c>
      <c r="M81" s="331">
        <f>SUMIFS('06. BC BH THEO CUSTOMER-USD'!DY:DY,'06. BC BH THEO CUSTOMER-USD'!$C:$C,'06.2. KH chính'!$C81,'06. BC BH THEO CUSTOMER-USD'!$B:$B,'06.2. KH chính'!$D81)</f>
        <v>0</v>
      </c>
      <c r="N81" s="331">
        <f>SUMIFS('06. BC BH THEO CUSTOMER-USD'!DZ:DZ,'06. BC BH THEO CUSTOMER-USD'!$C:$C,'06.2. KH chính'!$C81,'06. BC BH THEO CUSTOMER-USD'!$B:$B,'06.2. KH chính'!$D81)</f>
        <v>0</v>
      </c>
      <c r="O81" s="331">
        <f>SUMIFS('06. BC BH THEO CUSTOMER-USD'!EA:EA,'06. BC BH THEO CUSTOMER-USD'!$C:$C,'06.2. KH chính'!$C81,'06. BC BH THEO CUSTOMER-USD'!$B:$B,'06.2. KH chính'!$D81)</f>
        <v>0</v>
      </c>
      <c r="P81" s="331">
        <f>SUMIFS('06. BC BH THEO CUSTOMER-USD'!EB:EB,'06. BC BH THEO CUSTOMER-USD'!$C:$C,'06.2. KH chính'!$C81,'06. BC BH THEO CUSTOMER-USD'!$B:$B,'06.2. KH chính'!$D81)</f>
        <v>0</v>
      </c>
      <c r="Q81" s="331">
        <f>SUMIFS('06. BC BH THEO CUSTOMER-USD'!EC:EC,'06. BC BH THEO CUSTOMER-USD'!$C:$C,'06.2. KH chính'!$C81,'06. BC BH THEO CUSTOMER-USD'!$B:$B,'06.2. KH chính'!$D81)</f>
        <v>0</v>
      </c>
      <c r="R81" s="331">
        <f>SUMIFS('06. BC BH THEO CUSTOMER-USD'!ED:ED,'06. BC BH THEO CUSTOMER-USD'!$C:$C,'06.2. KH chính'!$C81,'06. BC BH THEO CUSTOMER-USD'!$B:$B,'06.2. KH chính'!$D81)</f>
        <v>0</v>
      </c>
      <c r="S81" s="331">
        <f>SUMIFS('06. BC BH THEO CUSTOMER-USD'!EE:EE,'06. BC BH THEO CUSTOMER-USD'!$C:$C,'06.2. KH chính'!$C81,'06. BC BH THEO CUSTOMER-USD'!$B:$B,'06.2. KH chính'!$D81)</f>
        <v>0</v>
      </c>
      <c r="T81" s="331">
        <f>SUMIFS('06. BC BH THEO CUSTOMER-USD'!EF:EF,'06. BC BH THEO CUSTOMER-USD'!$C:$C,'06.2. KH chính'!$C81,'06. BC BH THEO CUSTOMER-USD'!$B:$B,'06.2. KH chính'!$D81)</f>
        <v>0</v>
      </c>
    </row>
    <row r="82" spans="1:20" x14ac:dyDescent="0.35">
      <c r="A82" s="311"/>
      <c r="B82" s="852"/>
      <c r="C82" s="311"/>
      <c r="D82" s="311"/>
      <c r="E82" s="311"/>
      <c r="F82" s="311"/>
      <c r="G82" s="311"/>
      <c r="H82" s="311"/>
      <c r="I82" s="311"/>
      <c r="J82" s="311"/>
      <c r="K82" s="311"/>
      <c r="L82" s="311"/>
      <c r="M82" s="311"/>
      <c r="N82" s="311"/>
      <c r="O82" s="311"/>
      <c r="P82" s="311"/>
      <c r="Q82" s="311"/>
      <c r="R82" s="311"/>
      <c r="S82" s="311"/>
      <c r="T82" s="311"/>
    </row>
    <row r="84" spans="1:20" ht="18.5" x14ac:dyDescent="0.45">
      <c r="A84" s="835"/>
      <c r="B84" s="835"/>
      <c r="C84" s="835" t="s">
        <v>774</v>
      </c>
      <c r="D84" s="502"/>
    </row>
    <row r="85" spans="1:20" x14ac:dyDescent="0.35">
      <c r="E85" s="836">
        <f>SUM(E87:E105)</f>
        <v>1.3587669397820288</v>
      </c>
      <c r="F85" s="836"/>
      <c r="G85" s="836">
        <f t="shared" ref="G85" si="28">SUM(G87:G105)</f>
        <v>1.2294231708997598</v>
      </c>
      <c r="H85" s="587">
        <f>SUM(H87:H105)</f>
        <v>0</v>
      </c>
      <c r="I85" s="837">
        <f t="shared" ref="I85:T85" si="29">SUM(I87:I105)</f>
        <v>0.86456253316819442</v>
      </c>
      <c r="J85" s="837">
        <f t="shared" si="29"/>
        <v>1.1918672156367947</v>
      </c>
      <c r="K85" s="837">
        <f t="shared" si="29"/>
        <v>1.1515719067629233</v>
      </c>
      <c r="L85" s="837">
        <f t="shared" si="29"/>
        <v>1.1069022321093578</v>
      </c>
      <c r="M85" s="837">
        <f t="shared" si="29"/>
        <v>0.98116516086307759</v>
      </c>
      <c r="N85" s="837">
        <f t="shared" si="29"/>
        <v>1.3049716438283494</v>
      </c>
      <c r="O85" s="837">
        <f t="shared" si="29"/>
        <v>0.71975728806387429</v>
      </c>
      <c r="P85" s="837">
        <f t="shared" si="29"/>
        <v>1.2585434332017507</v>
      </c>
      <c r="Q85" s="837">
        <f t="shared" si="29"/>
        <v>0.87459530728507562</v>
      </c>
      <c r="R85" s="837">
        <f t="shared" si="29"/>
        <v>0</v>
      </c>
      <c r="S85" s="837">
        <f t="shared" si="29"/>
        <v>0</v>
      </c>
      <c r="T85" s="837">
        <f t="shared" si="29"/>
        <v>0</v>
      </c>
    </row>
    <row r="86" spans="1:20" x14ac:dyDescent="0.35">
      <c r="A86" s="351" t="s">
        <v>174</v>
      </c>
      <c r="B86" s="351"/>
      <c r="C86" s="351" t="s">
        <v>479</v>
      </c>
      <c r="D86" s="351" t="s">
        <v>411</v>
      </c>
      <c r="E86" s="842">
        <v>2024</v>
      </c>
      <c r="F86" s="842" t="s">
        <v>380</v>
      </c>
      <c r="G86" s="838" t="s">
        <v>382</v>
      </c>
      <c r="H86" s="404">
        <v>2025</v>
      </c>
      <c r="I86" s="838">
        <v>1</v>
      </c>
      <c r="J86" s="838">
        <v>2</v>
      </c>
      <c r="K86" s="838">
        <v>3</v>
      </c>
      <c r="L86" s="838">
        <v>4</v>
      </c>
      <c r="M86" s="838">
        <v>5</v>
      </c>
      <c r="N86" s="838">
        <v>6</v>
      </c>
      <c r="O86" s="838">
        <v>7</v>
      </c>
      <c r="P86" s="838">
        <v>8</v>
      </c>
      <c r="Q86" s="838">
        <v>9</v>
      </c>
      <c r="R86" s="838">
        <v>10</v>
      </c>
      <c r="S86" s="838">
        <v>11</v>
      </c>
      <c r="T86" s="838">
        <v>12</v>
      </c>
    </row>
    <row r="87" spans="1:20" outlineLevel="1" x14ac:dyDescent="0.35">
      <c r="A87" s="504">
        <v>1</v>
      </c>
      <c r="B87" s="849" t="str">
        <f>C87&amp;"_"&amp;D87</f>
        <v>Niagara_rPET</v>
      </c>
      <c r="C87" s="309" t="s">
        <v>501</v>
      </c>
      <c r="D87" s="506" t="s">
        <v>283</v>
      </c>
      <c r="E87" s="843">
        <f t="shared" ref="E87:E104" si="30">IFERROR(E63/E39,0)</f>
        <v>0.17196320949108659</v>
      </c>
      <c r="F87" s="839"/>
      <c r="G87" s="846">
        <f t="shared" ref="G87:G104" si="31">IFERROR(G63/G39,"-")</f>
        <v>0.1229201894852424</v>
      </c>
      <c r="H87" s="335"/>
      <c r="I87" s="844">
        <f t="shared" ref="I87:I104" si="32">IFERROR(I63/I39,"-")</f>
        <v>0.14087200418310217</v>
      </c>
      <c r="J87" s="844">
        <f t="shared" ref="J87:T87" si="33">IFERROR(J63/J39,"-")</f>
        <v>0.19599394461565017</v>
      </c>
      <c r="K87" s="844">
        <f t="shared" si="33"/>
        <v>0.14614321618606921</v>
      </c>
      <c r="L87" s="844">
        <f t="shared" si="33"/>
        <v>0.11746905877650024</v>
      </c>
      <c r="M87" s="844">
        <f t="shared" si="33"/>
        <v>0.11071577145776171</v>
      </c>
      <c r="N87" s="844">
        <f t="shared" si="33"/>
        <v>9.0310753509226599E-2</v>
      </c>
      <c r="O87" s="844">
        <f t="shared" si="33"/>
        <v>7.6516018906072847E-2</v>
      </c>
      <c r="P87" s="844">
        <f t="shared" si="33"/>
        <v>6.1140005794740653E-2</v>
      </c>
      <c r="Q87" s="844">
        <f t="shared" si="33"/>
        <v>0.12515774358261858</v>
      </c>
      <c r="R87" s="844" t="str">
        <f t="shared" si="33"/>
        <v>-</v>
      </c>
      <c r="S87" s="844" t="str">
        <f t="shared" si="33"/>
        <v>-</v>
      </c>
      <c r="T87" s="844" t="str">
        <f t="shared" si="33"/>
        <v>-</v>
      </c>
    </row>
    <row r="88" spans="1:20" outlineLevel="1" x14ac:dyDescent="0.35">
      <c r="A88" s="505">
        <v>2</v>
      </c>
      <c r="B88" s="850" t="str">
        <f t="shared" ref="B88:B105" si="34">C88&amp;"_"&amp;D88</f>
        <v>La vie_rPET</v>
      </c>
      <c r="C88" s="310" t="s">
        <v>507</v>
      </c>
      <c r="D88" s="498" t="s">
        <v>283</v>
      </c>
      <c r="E88" s="847">
        <f t="shared" si="30"/>
        <v>0.21824801762832058</v>
      </c>
      <c r="F88" s="840"/>
      <c r="G88" s="845">
        <f t="shared" si="31"/>
        <v>0.17725741603078213</v>
      </c>
      <c r="H88" s="336"/>
      <c r="I88" s="848">
        <f t="shared" si="32"/>
        <v>-0.44379669221460272</v>
      </c>
      <c r="J88" s="848" t="str">
        <f t="shared" ref="J88:T88" si="35">IFERROR(J64/J40,"-")</f>
        <v>-</v>
      </c>
      <c r="K88" s="848" t="str">
        <f t="shared" si="35"/>
        <v>-</v>
      </c>
      <c r="L88" s="848" t="str">
        <f t="shared" si="35"/>
        <v>-</v>
      </c>
      <c r="M88" s="848">
        <f t="shared" si="35"/>
        <v>-6.3537916804910305E-2</v>
      </c>
      <c r="N88" s="848" t="str">
        <f t="shared" si="35"/>
        <v>-</v>
      </c>
      <c r="O88" s="848" t="str">
        <f t="shared" si="35"/>
        <v>-</v>
      </c>
      <c r="P88" s="848">
        <f t="shared" si="35"/>
        <v>0.18336526967201963</v>
      </c>
      <c r="Q88" s="848">
        <f t="shared" si="35"/>
        <v>0.17814742176234638</v>
      </c>
      <c r="R88" s="848" t="str">
        <f t="shared" si="35"/>
        <v>-</v>
      </c>
      <c r="S88" s="848" t="str">
        <f t="shared" si="35"/>
        <v>-</v>
      </c>
      <c r="T88" s="848" t="str">
        <f t="shared" si="35"/>
        <v>-</v>
      </c>
    </row>
    <row r="89" spans="1:20" outlineLevel="1" x14ac:dyDescent="0.35">
      <c r="A89" s="505">
        <v>3</v>
      </c>
      <c r="B89" s="850" t="str">
        <f t="shared" si="34"/>
        <v>Premium Water_rPET</v>
      </c>
      <c r="C89" s="310" t="s">
        <v>505</v>
      </c>
      <c r="D89" s="498" t="s">
        <v>283</v>
      </c>
      <c r="E89" s="847">
        <f t="shared" si="30"/>
        <v>-0.17322714107366929</v>
      </c>
      <c r="F89" s="840"/>
      <c r="G89" s="845">
        <f t="shared" si="31"/>
        <v>4.9847121825300385E-2</v>
      </c>
      <c r="H89" s="336"/>
      <c r="I89" s="848" t="str">
        <f t="shared" si="32"/>
        <v>-</v>
      </c>
      <c r="J89" s="848" t="str">
        <f t="shared" ref="J89:T89" si="36">IFERROR(J65/J41,"-")</f>
        <v>-</v>
      </c>
      <c r="K89" s="848" t="str">
        <f t="shared" si="36"/>
        <v>-</v>
      </c>
      <c r="L89" s="848" t="str">
        <f t="shared" si="36"/>
        <v>-</v>
      </c>
      <c r="M89" s="848" t="str">
        <f t="shared" si="36"/>
        <v>-</v>
      </c>
      <c r="N89" s="848">
        <f t="shared" si="36"/>
        <v>8.0173313735016238E-2</v>
      </c>
      <c r="O89" s="848" t="str">
        <f t="shared" si="36"/>
        <v>-</v>
      </c>
      <c r="P89" s="848">
        <f t="shared" si="36"/>
        <v>1.8149902254908722E-2</v>
      </c>
      <c r="Q89" s="848" t="str">
        <f t="shared" si="36"/>
        <v>-</v>
      </c>
      <c r="R89" s="848" t="str">
        <f t="shared" si="36"/>
        <v>-</v>
      </c>
      <c r="S89" s="848" t="str">
        <f t="shared" si="36"/>
        <v>-</v>
      </c>
      <c r="T89" s="848" t="str">
        <f t="shared" si="36"/>
        <v>-</v>
      </c>
    </row>
    <row r="90" spans="1:20" outlineLevel="1" x14ac:dyDescent="0.35">
      <c r="A90" s="505">
        <v>4</v>
      </c>
      <c r="B90" s="850" t="str">
        <f t="shared" si="34"/>
        <v>Suntory_rPET</v>
      </c>
      <c r="C90" s="310" t="s">
        <v>119</v>
      </c>
      <c r="D90" s="499" t="s">
        <v>283</v>
      </c>
      <c r="E90" s="847">
        <f t="shared" si="30"/>
        <v>0.21290110140797042</v>
      </c>
      <c r="F90" s="840"/>
      <c r="G90" s="845">
        <f t="shared" si="31"/>
        <v>0.20600978325329591</v>
      </c>
      <c r="H90" s="336"/>
      <c r="I90" s="848">
        <f t="shared" si="32"/>
        <v>0.27644608183129327</v>
      </c>
      <c r="J90" s="848">
        <f t="shared" ref="J90:T90" si="37">IFERROR(J66/J42,"-")</f>
        <v>0.25844345531572743</v>
      </c>
      <c r="K90" s="848">
        <f t="shared" si="37"/>
        <v>0.23493332445627915</v>
      </c>
      <c r="L90" s="848">
        <f t="shared" si="37"/>
        <v>0.2286712641226438</v>
      </c>
      <c r="M90" s="848">
        <f t="shared" si="37"/>
        <v>0.21496253551416875</v>
      </c>
      <c r="N90" s="848">
        <f t="shared" si="37"/>
        <v>0.2006267747905473</v>
      </c>
      <c r="O90" s="848">
        <f t="shared" si="37"/>
        <v>0.19353507147710092</v>
      </c>
      <c r="P90" s="848">
        <f t="shared" si="37"/>
        <v>0.1604084943304748</v>
      </c>
      <c r="Q90" s="848">
        <f t="shared" si="37"/>
        <v>6.2286803688537423E-2</v>
      </c>
      <c r="R90" s="848" t="str">
        <f t="shared" si="37"/>
        <v>-</v>
      </c>
      <c r="S90" s="848" t="str">
        <f t="shared" si="37"/>
        <v>-</v>
      </c>
      <c r="T90" s="848" t="str">
        <f t="shared" si="37"/>
        <v>-</v>
      </c>
    </row>
    <row r="91" spans="1:20" outlineLevel="1" x14ac:dyDescent="0.35">
      <c r="A91" s="505">
        <v>5</v>
      </c>
      <c r="B91" s="850" t="str">
        <f t="shared" si="34"/>
        <v>Plascene_rPET</v>
      </c>
      <c r="C91" s="310" t="s">
        <v>572</v>
      </c>
      <c r="D91" s="499" t="s">
        <v>283</v>
      </c>
      <c r="E91" s="847">
        <f t="shared" si="30"/>
        <v>0.20957339977543663</v>
      </c>
      <c r="F91" s="840"/>
      <c r="G91" s="845">
        <f t="shared" si="31"/>
        <v>0.15181482451003189</v>
      </c>
      <c r="H91" s="336"/>
      <c r="I91" s="848">
        <f t="shared" si="32"/>
        <v>0.18759776789789664</v>
      </c>
      <c r="J91" s="848">
        <f t="shared" ref="J91:T91" si="38">IFERROR(J67/J43,"-")</f>
        <v>0.19937360780112334</v>
      </c>
      <c r="K91" s="848">
        <f t="shared" si="38"/>
        <v>0.15972843528321237</v>
      </c>
      <c r="L91" s="848">
        <f t="shared" si="38"/>
        <v>0.16278419919115741</v>
      </c>
      <c r="M91" s="848">
        <f t="shared" si="38"/>
        <v>0.15240083250785899</v>
      </c>
      <c r="N91" s="848">
        <f t="shared" si="38"/>
        <v>0.13643540275076504</v>
      </c>
      <c r="O91" s="848">
        <f t="shared" si="38"/>
        <v>0.11961035610430762</v>
      </c>
      <c r="P91" s="848">
        <f t="shared" si="38"/>
        <v>0.1289394452335309</v>
      </c>
      <c r="Q91" s="848" t="str">
        <f t="shared" si="38"/>
        <v>-</v>
      </c>
      <c r="R91" s="848" t="str">
        <f t="shared" si="38"/>
        <v>-</v>
      </c>
      <c r="S91" s="848" t="str">
        <f t="shared" si="38"/>
        <v>-</v>
      </c>
      <c r="T91" s="848" t="str">
        <f t="shared" si="38"/>
        <v>-</v>
      </c>
    </row>
    <row r="92" spans="1:20" outlineLevel="1" x14ac:dyDescent="0.35">
      <c r="A92" s="505">
        <v>6</v>
      </c>
      <c r="B92" s="850" t="str">
        <f t="shared" si="34"/>
        <v>Milkyway_rPET</v>
      </c>
      <c r="C92" s="310" t="s">
        <v>506</v>
      </c>
      <c r="D92" s="499" t="s">
        <v>283</v>
      </c>
      <c r="E92" s="847">
        <f t="shared" si="30"/>
        <v>-0.12336319483777504</v>
      </c>
      <c r="F92" s="840"/>
      <c r="G92" s="845">
        <f t="shared" si="31"/>
        <v>6.9348419507773026E-2</v>
      </c>
      <c r="H92" s="336"/>
      <c r="I92" s="848" t="str">
        <f t="shared" si="32"/>
        <v>-</v>
      </c>
      <c r="J92" s="848" t="str">
        <f t="shared" ref="J92:T92" si="39">IFERROR(J68/J44,"-")</f>
        <v>-</v>
      </c>
      <c r="K92" s="848">
        <f t="shared" si="39"/>
        <v>6.9348419507773026E-2</v>
      </c>
      <c r="L92" s="848" t="str">
        <f t="shared" si="39"/>
        <v>-</v>
      </c>
      <c r="M92" s="848" t="str">
        <f t="shared" si="39"/>
        <v>-</v>
      </c>
      <c r="N92" s="848" t="str">
        <f t="shared" si="39"/>
        <v>-</v>
      </c>
      <c r="O92" s="848" t="str">
        <f t="shared" si="39"/>
        <v>-</v>
      </c>
      <c r="P92" s="848" t="str">
        <f t="shared" si="39"/>
        <v>-</v>
      </c>
      <c r="Q92" s="848" t="str">
        <f t="shared" si="39"/>
        <v>-</v>
      </c>
      <c r="R92" s="848" t="str">
        <f t="shared" si="39"/>
        <v>-</v>
      </c>
      <c r="S92" s="848" t="str">
        <f t="shared" si="39"/>
        <v>-</v>
      </c>
      <c r="T92" s="848" t="str">
        <f t="shared" si="39"/>
        <v>-</v>
      </c>
    </row>
    <row r="93" spans="1:20" outlineLevel="1" x14ac:dyDescent="0.35">
      <c r="A93" s="505">
        <v>7</v>
      </c>
      <c r="B93" s="850" t="str">
        <f t="shared" si="34"/>
        <v>Coca_Cola_rPET</v>
      </c>
      <c r="C93" s="310" t="s">
        <v>504</v>
      </c>
      <c r="D93" s="498" t="s">
        <v>283</v>
      </c>
      <c r="E93" s="847">
        <f t="shared" si="30"/>
        <v>0.24170773037084545</v>
      </c>
      <c r="F93" s="840"/>
      <c r="G93" s="845">
        <f t="shared" si="31"/>
        <v>0.21635081527131592</v>
      </c>
      <c r="H93" s="336"/>
      <c r="I93" s="848">
        <f t="shared" si="32"/>
        <v>0.21143366695514088</v>
      </c>
      <c r="J93" s="848">
        <f t="shared" ref="J93:T93" si="40">IFERROR(J69/J45,"-")</f>
        <v>0.2568562572261594</v>
      </c>
      <c r="K93" s="848">
        <f t="shared" si="40"/>
        <v>0.22892665003127147</v>
      </c>
      <c r="L93" s="848">
        <f t="shared" si="40"/>
        <v>0.23872655886800712</v>
      </c>
      <c r="M93" s="848" t="str">
        <f t="shared" si="40"/>
        <v>-</v>
      </c>
      <c r="N93" s="848">
        <f t="shared" si="40"/>
        <v>0.20621120448317445</v>
      </c>
      <c r="O93" s="848" t="str">
        <f t="shared" si="40"/>
        <v>-</v>
      </c>
      <c r="P93" s="848">
        <f t="shared" si="40"/>
        <v>0.17680005499405591</v>
      </c>
      <c r="Q93" s="848" t="str">
        <f t="shared" si="40"/>
        <v>-</v>
      </c>
      <c r="R93" s="848" t="str">
        <f t="shared" si="40"/>
        <v>-</v>
      </c>
      <c r="S93" s="848" t="str">
        <f t="shared" si="40"/>
        <v>-</v>
      </c>
      <c r="T93" s="848" t="str">
        <f t="shared" si="40"/>
        <v>-</v>
      </c>
    </row>
    <row r="94" spans="1:20" outlineLevel="1" x14ac:dyDescent="0.35">
      <c r="A94" s="505">
        <v>8</v>
      </c>
      <c r="B94" s="850" t="str">
        <f t="shared" si="34"/>
        <v>Unilever_rPET</v>
      </c>
      <c r="C94" s="310" t="s">
        <v>502</v>
      </c>
      <c r="D94" s="498" t="s">
        <v>283</v>
      </c>
      <c r="E94" s="847">
        <f t="shared" si="30"/>
        <v>0.24121432500957835</v>
      </c>
      <c r="F94" s="840"/>
      <c r="G94" s="845">
        <f t="shared" si="31"/>
        <v>0.17719476253116745</v>
      </c>
      <c r="H94" s="336"/>
      <c r="I94" s="848">
        <f t="shared" si="32"/>
        <v>0.20906671517832304</v>
      </c>
      <c r="J94" s="848">
        <f t="shared" ref="J94:T94" si="41">IFERROR(J70/J46,"-")</f>
        <v>0.23337044676296437</v>
      </c>
      <c r="K94" s="848">
        <f t="shared" si="41"/>
        <v>0.19953399660727886</v>
      </c>
      <c r="L94" s="848">
        <f t="shared" si="41"/>
        <v>0.1575730677955049</v>
      </c>
      <c r="M94" s="848">
        <f t="shared" si="41"/>
        <v>0.15587691587311764</v>
      </c>
      <c r="N94" s="848">
        <f t="shared" si="41"/>
        <v>0.1236272481596747</v>
      </c>
      <c r="O94" s="848">
        <f t="shared" si="41"/>
        <v>0.11473979578219577</v>
      </c>
      <c r="P94" s="848">
        <f t="shared" si="41"/>
        <v>0.15961209630468007</v>
      </c>
      <c r="Q94" s="848">
        <f t="shared" si="41"/>
        <v>0.18527037070294236</v>
      </c>
      <c r="R94" s="848" t="str">
        <f t="shared" si="41"/>
        <v>-</v>
      </c>
      <c r="S94" s="848" t="str">
        <f t="shared" si="41"/>
        <v>-</v>
      </c>
      <c r="T94" s="848" t="str">
        <f t="shared" si="41"/>
        <v>-</v>
      </c>
    </row>
    <row r="95" spans="1:20" outlineLevel="1" x14ac:dyDescent="0.35">
      <c r="A95" s="505"/>
      <c r="B95" s="850" t="str">
        <f t="shared" si="34"/>
        <v>Unilever_rHDPE thổi</v>
      </c>
      <c r="C95" s="310" t="s">
        <v>502</v>
      </c>
      <c r="D95" s="499" t="s">
        <v>265</v>
      </c>
      <c r="E95" s="847">
        <f t="shared" si="30"/>
        <v>0.22871463732289929</v>
      </c>
      <c r="F95" s="840"/>
      <c r="G95" s="845">
        <f t="shared" si="31"/>
        <v>0.21406709529673454</v>
      </c>
      <c r="H95" s="336"/>
      <c r="I95" s="848">
        <f t="shared" si="32"/>
        <v>0.22579315238949091</v>
      </c>
      <c r="J95" s="848">
        <f t="shared" ref="J95:T95" si="42">IFERROR(J71/J47,"-")</f>
        <v>0.2211803793405642</v>
      </c>
      <c r="K95" s="848">
        <f t="shared" si="42"/>
        <v>0.21243298043035233</v>
      </c>
      <c r="L95" s="848">
        <f t="shared" si="42"/>
        <v>0.18763201399964563</v>
      </c>
      <c r="M95" s="848">
        <f t="shared" si="42"/>
        <v>0.19536336471752214</v>
      </c>
      <c r="N95" s="848">
        <f t="shared" si="42"/>
        <v>0.19499351179025676</v>
      </c>
      <c r="O95" s="848">
        <f t="shared" si="42"/>
        <v>0.22431431331944524</v>
      </c>
      <c r="P95" s="848">
        <f t="shared" si="42"/>
        <v>0.23009064581750399</v>
      </c>
      <c r="Q95" s="848">
        <f t="shared" si="42"/>
        <v>0.22633605885939526</v>
      </c>
      <c r="R95" s="848" t="str">
        <f t="shared" si="42"/>
        <v>-</v>
      </c>
      <c r="S95" s="848" t="str">
        <f t="shared" si="42"/>
        <v>-</v>
      </c>
      <c r="T95" s="848" t="str">
        <f t="shared" si="42"/>
        <v>-</v>
      </c>
    </row>
    <row r="96" spans="1:20" outlineLevel="1" x14ac:dyDescent="0.35">
      <c r="A96" s="505"/>
      <c r="B96" s="850" t="str">
        <f t="shared" si="34"/>
        <v>Unilever_rHDPE ép</v>
      </c>
      <c r="C96" s="310" t="s">
        <v>502</v>
      </c>
      <c r="D96" s="498" t="s">
        <v>266</v>
      </c>
      <c r="E96" s="847">
        <f t="shared" si="30"/>
        <v>0</v>
      </c>
      <c r="F96" s="840"/>
      <c r="G96" s="845">
        <f t="shared" si="31"/>
        <v>-0.41296114248115073</v>
      </c>
      <c r="H96" s="336"/>
      <c r="I96" s="848">
        <f t="shared" si="32"/>
        <v>-0.41296114248115073</v>
      </c>
      <c r="J96" s="848" t="str">
        <f t="shared" ref="J96:T96" si="43">IFERROR(J72/J48,"-")</f>
        <v>-</v>
      </c>
      <c r="K96" s="848" t="str">
        <f t="shared" si="43"/>
        <v>-</v>
      </c>
      <c r="L96" s="848" t="str">
        <f t="shared" si="43"/>
        <v>-</v>
      </c>
      <c r="M96" s="848" t="str">
        <f t="shared" si="43"/>
        <v>-</v>
      </c>
      <c r="N96" s="848" t="str">
        <f t="shared" si="43"/>
        <v>-</v>
      </c>
      <c r="O96" s="848" t="str">
        <f t="shared" si="43"/>
        <v>-</v>
      </c>
      <c r="P96" s="848" t="str">
        <f t="shared" si="43"/>
        <v>-</v>
      </c>
      <c r="Q96" s="848" t="str">
        <f t="shared" si="43"/>
        <v>-</v>
      </c>
      <c r="R96" s="848" t="str">
        <f t="shared" si="43"/>
        <v>-</v>
      </c>
      <c r="S96" s="848" t="str">
        <f t="shared" si="43"/>
        <v>-</v>
      </c>
      <c r="T96" s="848" t="str">
        <f t="shared" si="43"/>
        <v>-</v>
      </c>
    </row>
    <row r="97" spans="1:20" outlineLevel="1" x14ac:dyDescent="0.35">
      <c r="A97" s="505">
        <v>9</v>
      </c>
      <c r="B97" s="850" t="str">
        <f t="shared" si="34"/>
        <v>Outeirinho_rPET</v>
      </c>
      <c r="C97" s="310" t="s">
        <v>45</v>
      </c>
      <c r="D97" s="498" t="s">
        <v>283</v>
      </c>
      <c r="E97" s="847">
        <f t="shared" si="30"/>
        <v>0.22079276962363037</v>
      </c>
      <c r="F97" s="840"/>
      <c r="G97" s="845">
        <f t="shared" si="31"/>
        <v>0.1828985183993331</v>
      </c>
      <c r="H97" s="336"/>
      <c r="I97" s="848" t="str">
        <f t="shared" si="32"/>
        <v>-</v>
      </c>
      <c r="J97" s="848">
        <f t="shared" ref="J97:T97" si="44">IFERROR(J73/J49,"-")</f>
        <v>0.19409983268815859</v>
      </c>
      <c r="K97" s="848">
        <f t="shared" si="44"/>
        <v>0.18599173766761834</v>
      </c>
      <c r="L97" s="848">
        <f t="shared" si="44"/>
        <v>0.20455035435541621</v>
      </c>
      <c r="M97" s="848">
        <f t="shared" si="44"/>
        <v>0.18700545443965394</v>
      </c>
      <c r="N97" s="848">
        <f t="shared" si="44"/>
        <v>0.1556759628218857</v>
      </c>
      <c r="O97" s="848">
        <f t="shared" si="44"/>
        <v>0.17084078681695666</v>
      </c>
      <c r="P97" s="848">
        <f t="shared" si="44"/>
        <v>0.18221652943677491</v>
      </c>
      <c r="Q97" s="848" t="str">
        <f t="shared" si="44"/>
        <v>-</v>
      </c>
      <c r="R97" s="848" t="str">
        <f t="shared" si="44"/>
        <v>-</v>
      </c>
      <c r="S97" s="848" t="str">
        <f t="shared" si="44"/>
        <v>-</v>
      </c>
      <c r="T97" s="848" t="str">
        <f t="shared" si="44"/>
        <v>-</v>
      </c>
    </row>
    <row r="98" spans="1:20" outlineLevel="1" x14ac:dyDescent="0.35">
      <c r="A98" s="505"/>
      <c r="B98" s="850" t="str">
        <f t="shared" si="34"/>
        <v>Outeirinho_rHDPE ép</v>
      </c>
      <c r="C98" s="310" t="s">
        <v>45</v>
      </c>
      <c r="D98" s="498" t="s">
        <v>266</v>
      </c>
      <c r="E98" s="847">
        <f t="shared" si="30"/>
        <v>0</v>
      </c>
      <c r="F98" s="840"/>
      <c r="G98" s="845">
        <f t="shared" si="31"/>
        <v>-9.2820262984878332E-2</v>
      </c>
      <c r="H98" s="336"/>
      <c r="I98" s="848" t="str">
        <f t="shared" si="32"/>
        <v>-</v>
      </c>
      <c r="J98" s="848">
        <f t="shared" ref="J98:T98" si="45">IFERROR(J74/J50,"-")</f>
        <v>-9.2820262984878332E-2</v>
      </c>
      <c r="K98" s="848" t="str">
        <f t="shared" si="45"/>
        <v>-</v>
      </c>
      <c r="L98" s="848" t="str">
        <f t="shared" si="45"/>
        <v>-</v>
      </c>
      <c r="M98" s="848" t="str">
        <f t="shared" si="45"/>
        <v>-</v>
      </c>
      <c r="N98" s="848" t="str">
        <f t="shared" si="45"/>
        <v>-</v>
      </c>
      <c r="O98" s="848" t="str">
        <f t="shared" si="45"/>
        <v>-</v>
      </c>
      <c r="P98" s="848" t="str">
        <f t="shared" si="45"/>
        <v>-</v>
      </c>
      <c r="Q98" s="848" t="str">
        <f t="shared" si="45"/>
        <v>-</v>
      </c>
      <c r="R98" s="848" t="str">
        <f t="shared" si="45"/>
        <v>-</v>
      </c>
      <c r="S98" s="848" t="str">
        <f t="shared" si="45"/>
        <v>-</v>
      </c>
      <c r="T98" s="848" t="str">
        <f t="shared" si="45"/>
        <v>-</v>
      </c>
    </row>
    <row r="99" spans="1:20" outlineLevel="1" x14ac:dyDescent="0.35">
      <c r="A99" s="505">
        <v>10</v>
      </c>
      <c r="B99" s="850" t="str">
        <f t="shared" si="34"/>
        <v>CPSX Nhựa Duy Tân_rPET</v>
      </c>
      <c r="C99" s="310" t="s">
        <v>29</v>
      </c>
      <c r="D99" s="498" t="s">
        <v>283</v>
      </c>
      <c r="E99" s="847">
        <f t="shared" si="30"/>
        <v>0.24752194477814513</v>
      </c>
      <c r="F99" s="840"/>
      <c r="G99" s="845">
        <f t="shared" si="31"/>
        <v>0.17718008647387209</v>
      </c>
      <c r="H99" s="336"/>
      <c r="I99" s="848">
        <f t="shared" si="32"/>
        <v>0.24207369603129375</v>
      </c>
      <c r="J99" s="848">
        <f t="shared" ref="J99:T99" si="46">IFERROR(J75/J51,"-")</f>
        <v>0.20246579686501529</v>
      </c>
      <c r="K99" s="848">
        <f t="shared" si="46"/>
        <v>0.15686520658235695</v>
      </c>
      <c r="L99" s="848" t="str">
        <f t="shared" si="46"/>
        <v>-</v>
      </c>
      <c r="M99" s="848">
        <f t="shared" si="46"/>
        <v>0.1570632693393563</v>
      </c>
      <c r="N99" s="848">
        <f t="shared" si="46"/>
        <v>0.14514914926876718</v>
      </c>
      <c r="O99" s="848" t="str">
        <f t="shared" si="46"/>
        <v>-</v>
      </c>
      <c r="P99" s="848">
        <f t="shared" si="46"/>
        <v>0.14999784099603536</v>
      </c>
      <c r="Q99" s="848">
        <f t="shared" si="46"/>
        <v>0.174002170810167</v>
      </c>
      <c r="R99" s="848" t="str">
        <f t="shared" si="46"/>
        <v>-</v>
      </c>
      <c r="S99" s="848" t="str">
        <f t="shared" si="46"/>
        <v>-</v>
      </c>
      <c r="T99" s="848" t="str">
        <f t="shared" si="46"/>
        <v>-</v>
      </c>
    </row>
    <row r="100" spans="1:20" outlineLevel="1" x14ac:dyDescent="0.35">
      <c r="A100" s="505"/>
      <c r="B100" s="850" t="str">
        <f t="shared" si="34"/>
        <v>CPSX Nhựa Duy Tân_rHDPE thổi</v>
      </c>
      <c r="C100" s="310" t="s">
        <v>29</v>
      </c>
      <c r="D100" s="511" t="s">
        <v>265</v>
      </c>
      <c r="E100" s="847">
        <f t="shared" si="30"/>
        <v>0.2298073052296043</v>
      </c>
      <c r="F100" s="840"/>
      <c r="G100" s="845">
        <f t="shared" si="31"/>
        <v>0.25107564782071684</v>
      </c>
      <c r="H100" s="336"/>
      <c r="I100" s="848" t="str">
        <f t="shared" si="32"/>
        <v>-</v>
      </c>
      <c r="J100" s="848" t="str">
        <f t="shared" ref="J100:T100" si="47">IFERROR(J76/J52,"-")</f>
        <v>-</v>
      </c>
      <c r="K100" s="848">
        <f t="shared" si="47"/>
        <v>0.10621419997072173</v>
      </c>
      <c r="L100" s="848" t="str">
        <f t="shared" si="47"/>
        <v>-</v>
      </c>
      <c r="M100" s="848">
        <f t="shared" si="47"/>
        <v>0.27393132403658726</v>
      </c>
      <c r="N100" s="848">
        <f t="shared" si="47"/>
        <v>0.26389876130003409</v>
      </c>
      <c r="O100" s="848" t="str">
        <f t="shared" si="47"/>
        <v>-</v>
      </c>
      <c r="P100" s="848" t="str">
        <f t="shared" si="47"/>
        <v>-</v>
      </c>
      <c r="Q100" s="848" t="str">
        <f t="shared" si="47"/>
        <v>-</v>
      </c>
      <c r="R100" s="848" t="str">
        <f t="shared" si="47"/>
        <v>-</v>
      </c>
      <c r="S100" s="848" t="str">
        <f t="shared" si="47"/>
        <v>-</v>
      </c>
      <c r="T100" s="848" t="str">
        <f t="shared" si="47"/>
        <v>-</v>
      </c>
    </row>
    <row r="101" spans="1:20" outlineLevel="1" x14ac:dyDescent="0.35">
      <c r="A101" s="505"/>
      <c r="B101" s="850" t="str">
        <f t="shared" si="34"/>
        <v>CPSX Nhựa Duy Tân_rHDPE ép</v>
      </c>
      <c r="C101" s="310" t="s">
        <v>29</v>
      </c>
      <c r="D101" s="498" t="s">
        <v>266</v>
      </c>
      <c r="E101" s="847">
        <f t="shared" si="30"/>
        <v>-0.24456954783576434</v>
      </c>
      <c r="F101" s="840"/>
      <c r="G101" s="845">
        <f t="shared" si="31"/>
        <v>-0.34881300168401713</v>
      </c>
      <c r="H101" s="336"/>
      <c r="I101" s="848" t="str">
        <f t="shared" si="32"/>
        <v>-</v>
      </c>
      <c r="J101" s="848">
        <f t="shared" ref="J101:T101" si="48">IFERROR(J77/J53,"-")</f>
        <v>-0.14675005143315914</v>
      </c>
      <c r="K101" s="848">
        <f t="shared" si="48"/>
        <v>-0.51264598380041349</v>
      </c>
      <c r="L101" s="848">
        <f t="shared" si="48"/>
        <v>-0.1460475600000001</v>
      </c>
      <c r="M101" s="848">
        <f t="shared" si="48"/>
        <v>-0.48277833636363648</v>
      </c>
      <c r="N101" s="848">
        <f t="shared" si="48"/>
        <v>-0.40903456783216779</v>
      </c>
      <c r="O101" s="848">
        <f t="shared" si="48"/>
        <v>-0.40838529802371554</v>
      </c>
      <c r="P101" s="848">
        <f t="shared" si="48"/>
        <v>-0.43104758636363627</v>
      </c>
      <c r="Q101" s="848">
        <f t="shared" si="48"/>
        <v>-0.32180273246753238</v>
      </c>
      <c r="R101" s="848" t="str">
        <f t="shared" si="48"/>
        <v>-</v>
      </c>
      <c r="S101" s="848" t="str">
        <f t="shared" si="48"/>
        <v>-</v>
      </c>
      <c r="T101" s="848" t="str">
        <f t="shared" si="48"/>
        <v>-</v>
      </c>
    </row>
    <row r="102" spans="1:20" outlineLevel="1" x14ac:dyDescent="0.35">
      <c r="A102" s="505"/>
      <c r="B102" s="850" t="str">
        <f t="shared" si="34"/>
        <v>CPSX Nhựa Duy Tân_rPP</v>
      </c>
      <c r="C102" s="310" t="s">
        <v>29</v>
      </c>
      <c r="D102" s="499" t="s">
        <v>23</v>
      </c>
      <c r="E102" s="847">
        <f t="shared" si="30"/>
        <v>-0.46329143822030378</v>
      </c>
      <c r="F102" s="840"/>
      <c r="G102" s="845" t="str">
        <f t="shared" si="31"/>
        <v>-</v>
      </c>
      <c r="H102" s="336"/>
      <c r="I102" s="848" t="str">
        <f t="shared" si="32"/>
        <v>-</v>
      </c>
      <c r="J102" s="848" t="str">
        <f t="shared" ref="J102:T102" si="49">IFERROR(J78/J54,"-")</f>
        <v>-</v>
      </c>
      <c r="K102" s="848" t="str">
        <f t="shared" si="49"/>
        <v>-</v>
      </c>
      <c r="L102" s="848" t="str">
        <f t="shared" si="49"/>
        <v>-</v>
      </c>
      <c r="M102" s="848" t="str">
        <f t="shared" si="49"/>
        <v>-</v>
      </c>
      <c r="N102" s="848" t="str">
        <f t="shared" si="49"/>
        <v>-</v>
      </c>
      <c r="O102" s="848" t="str">
        <f t="shared" si="49"/>
        <v>-</v>
      </c>
      <c r="P102" s="848" t="str">
        <f t="shared" si="49"/>
        <v>-</v>
      </c>
      <c r="Q102" s="848" t="str">
        <f t="shared" si="49"/>
        <v>-</v>
      </c>
      <c r="R102" s="848" t="str">
        <f t="shared" si="49"/>
        <v>-</v>
      </c>
      <c r="S102" s="848" t="str">
        <f t="shared" si="49"/>
        <v>-</v>
      </c>
      <c r="T102" s="848" t="str">
        <f t="shared" si="49"/>
        <v>-</v>
      </c>
    </row>
    <row r="103" spans="1:20" outlineLevel="1" x14ac:dyDescent="0.35">
      <c r="A103" s="505">
        <v>11</v>
      </c>
      <c r="B103" s="850" t="str">
        <f t="shared" si="34"/>
        <v>Dynaplast_rHDPE thổi</v>
      </c>
      <c r="C103" s="310" t="s">
        <v>503</v>
      </c>
      <c r="D103" s="499" t="s">
        <v>265</v>
      </c>
      <c r="E103" s="847">
        <f t="shared" si="30"/>
        <v>0.24672198409280849</v>
      </c>
      <c r="F103" s="840"/>
      <c r="G103" s="845">
        <f t="shared" si="31"/>
        <v>0.21865272610409067</v>
      </c>
      <c r="H103" s="336"/>
      <c r="I103" s="848">
        <f t="shared" si="32"/>
        <v>0.20190192324897918</v>
      </c>
      <c r="J103" s="848">
        <f t="shared" ref="J103:T103" si="50">IFERROR(J79/J55,"-")</f>
        <v>0.21150944997698326</v>
      </c>
      <c r="K103" s="848">
        <f t="shared" si="50"/>
        <v>0.21189666825157658</v>
      </c>
      <c r="L103" s="848">
        <f t="shared" si="50"/>
        <v>0.21206658373834658</v>
      </c>
      <c r="M103" s="848">
        <f t="shared" si="50"/>
        <v>0.2061498935823802</v>
      </c>
      <c r="N103" s="848">
        <f t="shared" si="50"/>
        <v>0.20739114683899015</v>
      </c>
      <c r="O103" s="848">
        <f t="shared" si="50"/>
        <v>0.23450416826422413</v>
      </c>
      <c r="P103" s="848">
        <f t="shared" si="50"/>
        <v>0.24013469984814803</v>
      </c>
      <c r="Q103" s="848">
        <f t="shared" si="50"/>
        <v>0.24105299835063462</v>
      </c>
      <c r="R103" s="848" t="str">
        <f t="shared" si="50"/>
        <v>-</v>
      </c>
      <c r="S103" s="848" t="str">
        <f t="shared" si="50"/>
        <v>-</v>
      </c>
      <c r="T103" s="848" t="str">
        <f t="shared" si="50"/>
        <v>-</v>
      </c>
    </row>
    <row r="104" spans="1:20" outlineLevel="1" x14ac:dyDescent="0.35">
      <c r="A104" s="505">
        <v>12</v>
      </c>
      <c r="B104" s="850" t="str">
        <f t="shared" si="34"/>
        <v>Motul_rHDPE thổi</v>
      </c>
      <c r="C104" s="310" t="s">
        <v>804</v>
      </c>
      <c r="D104" s="499" t="s">
        <v>265</v>
      </c>
      <c r="E104" s="847">
        <f t="shared" si="30"/>
        <v>0.14622077440105563</v>
      </c>
      <c r="F104" s="840"/>
      <c r="G104" s="845">
        <f t="shared" si="31"/>
        <v>-0.13059982845985044</v>
      </c>
      <c r="H104" s="336"/>
      <c r="I104" s="848">
        <f t="shared" si="32"/>
        <v>2.6135360148427975E-2</v>
      </c>
      <c r="J104" s="848">
        <f t="shared" ref="J104:T104" si="51">IFERROR(J80/J56,"-")</f>
        <v>-0.54185564053751389</v>
      </c>
      <c r="K104" s="848">
        <f t="shared" si="51"/>
        <v>-0.24779694441117367</v>
      </c>
      <c r="L104" s="848">
        <f t="shared" si="51"/>
        <v>-0.25652330873786389</v>
      </c>
      <c r="M104" s="848">
        <f t="shared" si="51"/>
        <v>-0.12598794743678268</v>
      </c>
      <c r="N104" s="848">
        <f t="shared" si="51"/>
        <v>-9.0487017787820936E-2</v>
      </c>
      <c r="O104" s="848">
        <f t="shared" si="51"/>
        <v>-5.9179245827132463E-3</v>
      </c>
      <c r="P104" s="848">
        <f t="shared" si="51"/>
        <v>-1.2639651174861869E-3</v>
      </c>
      <c r="Q104" s="848">
        <f t="shared" si="51"/>
        <v>4.1444719959662273E-3</v>
      </c>
      <c r="R104" s="848" t="str">
        <f t="shared" si="51"/>
        <v>-</v>
      </c>
      <c r="S104" s="848" t="str">
        <f t="shared" si="51"/>
        <v>-</v>
      </c>
      <c r="T104" s="848" t="str">
        <f t="shared" si="51"/>
        <v>-</v>
      </c>
    </row>
    <row r="105" spans="1:20" outlineLevel="1" x14ac:dyDescent="0.35">
      <c r="A105" s="505">
        <v>13</v>
      </c>
      <c r="B105" s="850" t="str">
        <f t="shared" si="34"/>
        <v>CS Fiber_Xơ sợi</v>
      </c>
      <c r="C105" s="310" t="s">
        <v>508</v>
      </c>
      <c r="D105" s="499" t="s">
        <v>95</v>
      </c>
      <c r="E105" s="847">
        <f t="shared" ref="E105" si="52">IFERROR(E81/E57,0)</f>
        <v>-0.25216893738183976</v>
      </c>
      <c r="F105" s="840"/>
      <c r="G105" s="845" t="str">
        <f t="shared" ref="G105" si="53">IFERROR(G81/G57,"-")</f>
        <v>-</v>
      </c>
      <c r="H105" s="336"/>
      <c r="I105" s="848" t="str">
        <f t="shared" ref="I105:T105" si="54">IFERROR(I81/I57,"-")</f>
        <v>-</v>
      </c>
      <c r="J105" s="848" t="str">
        <f t="shared" si="54"/>
        <v>-</v>
      </c>
      <c r="K105" s="848" t="str">
        <f t="shared" si="54"/>
        <v>-</v>
      </c>
      <c r="L105" s="848" t="str">
        <f t="shared" si="54"/>
        <v>-</v>
      </c>
      <c r="M105" s="848" t="str">
        <f t="shared" si="54"/>
        <v>-</v>
      </c>
      <c r="N105" s="848" t="str">
        <f t="shared" si="54"/>
        <v>-</v>
      </c>
      <c r="O105" s="848" t="str">
        <f t="shared" si="54"/>
        <v>-</v>
      </c>
      <c r="P105" s="848" t="str">
        <f t="shared" si="54"/>
        <v>-</v>
      </c>
      <c r="Q105" s="848" t="str">
        <f t="shared" si="54"/>
        <v>-</v>
      </c>
      <c r="R105" s="848" t="str">
        <f t="shared" si="54"/>
        <v>-</v>
      </c>
      <c r="S105" s="848" t="str">
        <f t="shared" si="54"/>
        <v>-</v>
      </c>
      <c r="T105" s="848" t="str">
        <f t="shared" si="54"/>
        <v>-</v>
      </c>
    </row>
    <row r="106" spans="1:20" x14ac:dyDescent="0.35">
      <c r="A106" s="311"/>
      <c r="B106" s="852"/>
      <c r="C106" s="311"/>
      <c r="D106" s="311"/>
      <c r="E106" s="311"/>
      <c r="F106" s="311"/>
      <c r="G106" s="311"/>
      <c r="H106" s="311"/>
      <c r="I106" s="311"/>
      <c r="J106" s="311"/>
      <c r="K106" s="311"/>
      <c r="L106" s="311"/>
      <c r="M106" s="311"/>
      <c r="N106" s="311"/>
      <c r="O106" s="311"/>
      <c r="P106" s="311"/>
      <c r="Q106" s="311"/>
      <c r="R106" s="311"/>
      <c r="S106" s="311"/>
      <c r="T106" s="311"/>
    </row>
  </sheetData>
  <autoFilter ref="A5:T25" xr:uid="{E69F598F-BEB5-4E78-B737-B63572317E61}"/>
  <phoneticPr fontId="67" type="noConversion"/>
  <conditionalFormatting sqref="E6:F25">
    <cfRule type="cellIs" dxfId="35" priority="3" operator="lessThan">
      <formula>0</formula>
    </cfRule>
  </conditionalFormatting>
  <conditionalFormatting sqref="E39:F57">
    <cfRule type="cellIs" dxfId="34" priority="4" operator="lessThan">
      <formula>0</formula>
    </cfRule>
  </conditionalFormatting>
  <conditionalFormatting sqref="E61:T61 G62:T62 E63:T81">
    <cfRule type="cellIs" dxfId="33" priority="5" operator="lessThan">
      <formula>0</formula>
    </cfRule>
  </conditionalFormatting>
  <conditionalFormatting sqref="E85:T85 G86 I86:T86 E87:T105">
    <cfRule type="cellIs" dxfId="32" priority="1" operator="lessThan">
      <formula>0</formula>
    </cfRule>
  </conditionalFormatting>
  <conditionalFormatting sqref="G6:G26">
    <cfRule type="expression" dxfId="31" priority="10">
      <formula>G6&lt;F6</formula>
    </cfRule>
  </conditionalFormatting>
  <conditionalFormatting sqref="G39:G57">
    <cfRule type="expression" dxfId="30" priority="7">
      <formula>G39&lt;F39</formula>
    </cfRule>
  </conditionalFormatting>
  <conditionalFormatting sqref="G63:G81">
    <cfRule type="expression" dxfId="29" priority="6">
      <formula>G63&lt;F63</formula>
    </cfRule>
  </conditionalFormatting>
  <conditionalFormatting sqref="G87:G105">
    <cfRule type="expression" dxfId="28" priority="2">
      <formula>G87&lt;F87</formula>
    </cfRule>
  </conditionalFormatting>
  <hyperlinks>
    <hyperlink ref="A1" location="'00. DM'!A1" display="00. DM" xr:uid="{573BBEE2-E4F7-4759-A5A1-B67696DD6286}"/>
  </hyperlinks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DB8BF-88CF-4475-A348-5EE7DE2456D4}">
  <sheetPr>
    <tabColor rgb="FF00B0F0"/>
  </sheetPr>
  <dimension ref="A1:O68"/>
  <sheetViews>
    <sheetView topLeftCell="B1" zoomScale="70" zoomScaleNormal="70" workbookViewId="0">
      <selection activeCell="O88" sqref="O88"/>
    </sheetView>
  </sheetViews>
  <sheetFormatPr defaultRowHeight="14.5" outlineLevelRow="1" x14ac:dyDescent="0.35"/>
  <cols>
    <col min="1" max="1" width="7.36328125" customWidth="1"/>
    <col min="2" max="2" width="33.81640625" customWidth="1"/>
    <col min="3" max="3" width="30.1796875" bestFit="1" customWidth="1"/>
    <col min="4" max="4" width="19.90625" bestFit="1" customWidth="1"/>
    <col min="5" max="5" width="12.08984375" customWidth="1"/>
    <col min="6" max="6" width="13.453125" customWidth="1"/>
    <col min="7" max="7" width="17.1796875" customWidth="1"/>
    <col min="8" max="8" width="11.81640625" customWidth="1"/>
    <col min="9" max="9" width="8.1796875" customWidth="1"/>
    <col min="10" max="10" width="33.1796875" customWidth="1"/>
    <col min="11" max="15" width="12.54296875" customWidth="1"/>
  </cols>
  <sheetData>
    <row r="1" spans="1:10" x14ac:dyDescent="0.35">
      <c r="A1" s="528" t="s">
        <v>587</v>
      </c>
    </row>
    <row r="2" spans="1:10" ht="23.5" x14ac:dyDescent="0.55000000000000004">
      <c r="B2" s="784" t="s">
        <v>775</v>
      </c>
    </row>
    <row r="3" spans="1:10" ht="21" x14ac:dyDescent="0.5">
      <c r="B3" s="785"/>
      <c r="F3" s="643"/>
    </row>
    <row r="4" spans="1:10" ht="21" x14ac:dyDescent="0.5">
      <c r="C4" s="644"/>
    </row>
    <row r="5" spans="1:10" ht="21" x14ac:dyDescent="0.5">
      <c r="B5" s="785" t="s">
        <v>283</v>
      </c>
    </row>
    <row r="6" spans="1:10" ht="29" outlineLevel="1" x14ac:dyDescent="0.35">
      <c r="A6" s="774" t="s">
        <v>174</v>
      </c>
      <c r="B6" s="774"/>
      <c r="C6" s="774"/>
      <c r="D6" s="774" t="s">
        <v>481</v>
      </c>
      <c r="E6" s="774" t="s">
        <v>776</v>
      </c>
      <c r="F6" s="774" t="s">
        <v>757</v>
      </c>
      <c r="G6" s="773" t="s">
        <v>764</v>
      </c>
      <c r="H6" s="774" t="s">
        <v>756</v>
      </c>
      <c r="I6" s="774" t="s">
        <v>684</v>
      </c>
    </row>
    <row r="7" spans="1:10" ht="15.5" outlineLevel="1" x14ac:dyDescent="0.35">
      <c r="A7" s="320">
        <v>1</v>
      </c>
      <c r="B7" s="849" t="str">
        <f>IF(D7&lt;&gt;0,D7&amp;"_"&amp;$B$5,"-")</f>
        <v>Niagara_rPET</v>
      </c>
      <c r="C7" s="618" t="str">
        <f>IF(F7&lt;&gt;0,I7&amp;". "&amp;D7,"-")</f>
        <v>8. Niagara</v>
      </c>
      <c r="D7" s="618" t="s">
        <v>501</v>
      </c>
      <c r="E7" s="771">
        <f>_xlfn.XLOOKUP(B7,'06.2. KH chính'!$B$6:$B$25,'06.2. KH chính'!$H$6:$H$25,0)</f>
        <v>12122</v>
      </c>
      <c r="F7" s="345">
        <f>ROUND(_xlfn.XLOOKUP(B7,'06.2. KH chính'!$B$39:$B$58,'06.2. KH chính'!$H$39:$H$58,0)/10^3,0)</f>
        <v>14850</v>
      </c>
      <c r="G7" s="853">
        <f>ROUND(_xlfn.XLOOKUP(B7,'06.2. KH chính'!$B$63:$B$82,'06.2. KH chính'!$H$63:$H$82,0)/10^3,0)</f>
        <v>1825</v>
      </c>
      <c r="H7" s="854">
        <f>IFERROR(G7/F7,0)</f>
        <v>0.12289562289562289</v>
      </c>
      <c r="I7" s="1037">
        <f t="shared" ref="I7:I16" si="0">IF(F7&lt;&gt;0,RANK(J7,$J$7:$J$16),"-")</f>
        <v>8</v>
      </c>
      <c r="J7" s="1121">
        <f>H7+COUNT($H$7:H7)/10^6</f>
        <v>0.12289662289562289</v>
      </c>
    </row>
    <row r="8" spans="1:10" outlineLevel="1" x14ac:dyDescent="0.35">
      <c r="A8" s="322">
        <v>2</v>
      </c>
      <c r="B8" s="850" t="str">
        <f t="shared" ref="B8:B16" si="1">IF(D8&lt;&gt;0,D8&amp;"_"&amp;$B$5,"-")</f>
        <v>La vie_rPET</v>
      </c>
      <c r="C8" s="247" t="str">
        <f>IF(F8&lt;&gt;0,I8&amp;". "&amp;D8,"-")</f>
        <v>5. La vie</v>
      </c>
      <c r="D8" s="247" t="s">
        <v>507</v>
      </c>
      <c r="E8" s="772">
        <f>_xlfn.XLOOKUP(B8,'06.2. KH chính'!$B$6:$B$25,'06.2. KH chính'!$H$6:$H$25,0)</f>
        <v>425.15</v>
      </c>
      <c r="F8" s="346">
        <f>ROUND(_xlfn.XLOOKUP(B8,'06.2. KH chính'!$B$39:$B$58,'06.2. KH chính'!$H$39:$H$58,0)/10^3,0)</f>
        <v>595</v>
      </c>
      <c r="G8" s="853">
        <f>ROUND(_xlfn.XLOOKUP(B8,'06.2. KH chính'!$B$63:$B$82,'06.2. KH chính'!$H$63:$H$82,0)/10^3,0)</f>
        <v>105</v>
      </c>
      <c r="H8" s="855">
        <f t="shared" ref="H8:H16" si="2">IFERROR(G8/F8,0)</f>
        <v>0.17647058823529413</v>
      </c>
      <c r="I8" s="1037">
        <f t="shared" si="0"/>
        <v>5</v>
      </c>
      <c r="J8" s="1121">
        <f>H8+COUNT($H$7:H8)/10^6</f>
        <v>0.17647258823529413</v>
      </c>
    </row>
    <row r="9" spans="1:10" ht="15.5" outlineLevel="1" x14ac:dyDescent="0.35">
      <c r="A9" s="322">
        <v>3</v>
      </c>
      <c r="B9" s="850" t="str">
        <f t="shared" si="1"/>
        <v>Premium Water_rPET</v>
      </c>
      <c r="C9" s="31" t="str">
        <f t="shared" ref="C9:C16" si="3">IF(F9&lt;&gt;0,I9&amp;". "&amp;D9,"-")</f>
        <v>10. Premium Water</v>
      </c>
      <c r="D9" s="31" t="s">
        <v>505</v>
      </c>
      <c r="E9" s="772">
        <f>_xlfn.XLOOKUP(B9,'06.2. KH chính'!$B$6:$B$25,'06.2. KH chính'!$H$6:$H$25,0)</f>
        <v>440</v>
      </c>
      <c r="F9" s="346">
        <f>ROUND(_xlfn.XLOOKUP(B9,'06.2. KH chính'!$B$39:$B$58,'06.2. KH chính'!$H$39:$H$58,0)/10^3,0)</f>
        <v>457</v>
      </c>
      <c r="G9" s="853">
        <f>ROUND(_xlfn.XLOOKUP(B9,'06.2. KH chính'!$B$63:$B$82,'06.2. KH chính'!$H$63:$H$82,0)/10^3,0)</f>
        <v>23</v>
      </c>
      <c r="H9" s="855">
        <f t="shared" si="2"/>
        <v>5.0328227571115977E-2</v>
      </c>
      <c r="I9" s="1037">
        <f t="shared" si="0"/>
        <v>10</v>
      </c>
      <c r="J9" s="1121">
        <f>H9+COUNT($H$7:H9)/10^6</f>
        <v>5.033122757111598E-2</v>
      </c>
    </row>
    <row r="10" spans="1:10" ht="15.5" outlineLevel="1" x14ac:dyDescent="0.35">
      <c r="A10" s="322">
        <v>4</v>
      </c>
      <c r="B10" s="850" t="str">
        <f t="shared" si="1"/>
        <v>Suntory_rPET</v>
      </c>
      <c r="C10" s="12" t="str">
        <f t="shared" si="3"/>
        <v>2. Suntory</v>
      </c>
      <c r="D10" s="12" t="s">
        <v>119</v>
      </c>
      <c r="E10" s="772">
        <f>_xlfn.XLOOKUP(B10,'06.2. KH chính'!$B$6:$B$25,'06.2. KH chính'!$H$6:$H$25,0)</f>
        <v>3260.0329999999999</v>
      </c>
      <c r="F10" s="346">
        <f>ROUND(_xlfn.XLOOKUP(B10,'06.2. KH chính'!$B$39:$B$58,'06.2. KH chính'!$H$39:$H$58,0)/10^3,0)</f>
        <v>4576</v>
      </c>
      <c r="G10" s="853">
        <f>ROUND(_xlfn.XLOOKUP(B10,'06.2. KH chính'!$B$63:$B$82,'06.2. KH chính'!$H$63:$H$82,0)/10^3,0)</f>
        <v>943</v>
      </c>
      <c r="H10" s="855">
        <f t="shared" si="2"/>
        <v>0.20607517482517482</v>
      </c>
      <c r="I10" s="1037">
        <f t="shared" si="0"/>
        <v>2</v>
      </c>
      <c r="J10" s="1121">
        <f>H10+COUNT($H$7:H10)/10^6</f>
        <v>0.20607917482517482</v>
      </c>
    </row>
    <row r="11" spans="1:10" ht="15.5" outlineLevel="1" x14ac:dyDescent="0.35">
      <c r="A11" s="322">
        <v>5</v>
      </c>
      <c r="B11" s="850" t="str">
        <f t="shared" si="1"/>
        <v>Plascene_rPET</v>
      </c>
      <c r="C11" s="12" t="str">
        <f t="shared" si="3"/>
        <v>7. Plascene</v>
      </c>
      <c r="D11" s="12" t="s">
        <v>572</v>
      </c>
      <c r="E11" s="772">
        <f>_xlfn.XLOOKUP(B11,'06.2. KH chính'!$B$6:$B$25,'06.2. KH chính'!$H$6:$H$25,0)</f>
        <v>889.9</v>
      </c>
      <c r="F11" s="346">
        <f>ROUND(_xlfn.XLOOKUP(B11,'06.2. KH chính'!$B$39:$B$58,'06.2. KH chính'!$H$39:$H$58,0)/10^3,0)</f>
        <v>1113</v>
      </c>
      <c r="G11" s="853">
        <f>ROUND(_xlfn.XLOOKUP(B11,'06.2. KH chính'!$B$63:$B$82,'06.2. KH chính'!$H$63:$H$82,0)/10^3,0)</f>
        <v>169</v>
      </c>
      <c r="H11" s="855">
        <f t="shared" si="2"/>
        <v>0.15184186882300091</v>
      </c>
      <c r="I11" s="1037">
        <f t="shared" si="0"/>
        <v>7</v>
      </c>
      <c r="J11" s="1121">
        <f>H11+COUNT($H$7:H11)/10^6</f>
        <v>0.15184686882300091</v>
      </c>
    </row>
    <row r="12" spans="1:10" ht="15.5" outlineLevel="1" x14ac:dyDescent="0.35">
      <c r="A12" s="322">
        <v>6</v>
      </c>
      <c r="B12" s="850" t="str">
        <f t="shared" si="1"/>
        <v>Milkyway_rPET</v>
      </c>
      <c r="C12" s="12" t="str">
        <f t="shared" si="3"/>
        <v>9. Milkyway</v>
      </c>
      <c r="D12" s="12" t="s">
        <v>506</v>
      </c>
      <c r="E12" s="772">
        <f>_xlfn.XLOOKUP(B12,'06.2. KH chính'!$B$6:$B$25,'06.2. KH chính'!$H$6:$H$25,0)</f>
        <v>220</v>
      </c>
      <c r="F12" s="346">
        <f>ROUND(_xlfn.XLOOKUP(B12,'06.2. KH chính'!$B$39:$B$58,'06.2. KH chính'!$H$39:$H$58,0)/10^3,0)</f>
        <v>249</v>
      </c>
      <c r="G12" s="853">
        <f>ROUND(_xlfn.XLOOKUP(B12,'06.2. KH chính'!$B$63:$B$82,'06.2. KH chính'!$H$63:$H$82,0)/10^3,0)</f>
        <v>17</v>
      </c>
      <c r="H12" s="855">
        <f t="shared" si="2"/>
        <v>6.8273092369477914E-2</v>
      </c>
      <c r="I12" s="1037">
        <f t="shared" si="0"/>
        <v>9</v>
      </c>
      <c r="J12" s="1121">
        <f>H12+COUNT($H$7:H12)/10^6</f>
        <v>6.827909236947792E-2</v>
      </c>
    </row>
    <row r="13" spans="1:10" ht="15.5" outlineLevel="1" x14ac:dyDescent="0.35">
      <c r="A13" s="322">
        <v>7</v>
      </c>
      <c r="B13" s="850" t="str">
        <f t="shared" si="1"/>
        <v>Coca_Cola_rPET</v>
      </c>
      <c r="C13" s="12" t="str">
        <f t="shared" si="3"/>
        <v>1. Coca_Cola</v>
      </c>
      <c r="D13" s="12" t="s">
        <v>504</v>
      </c>
      <c r="E13" s="772">
        <f>_xlfn.XLOOKUP(B13,'06.2. KH chính'!$B$6:$B$25,'06.2. KH chính'!$H$6:$H$25,0)</f>
        <v>688.6</v>
      </c>
      <c r="F13" s="346">
        <f>ROUND(_xlfn.XLOOKUP(B13,'06.2. KH chính'!$B$39:$B$58,'06.2. KH chính'!$H$39:$H$58,0)/10^3,0)</f>
        <v>959</v>
      </c>
      <c r="G13" s="853">
        <f>ROUND(_xlfn.XLOOKUP(B13,'06.2. KH chính'!$B$63:$B$82,'06.2. KH chính'!$H$63:$H$82,0)/10^3,0)</f>
        <v>207</v>
      </c>
      <c r="H13" s="855">
        <f t="shared" si="2"/>
        <v>0.21584984358706985</v>
      </c>
      <c r="I13" s="1037">
        <f t="shared" si="0"/>
        <v>1</v>
      </c>
      <c r="J13" s="1121">
        <f>H13+COUNT($H$7:H13)/10^6</f>
        <v>0.21585684358706986</v>
      </c>
    </row>
    <row r="14" spans="1:10" ht="15.5" outlineLevel="1" x14ac:dyDescent="0.35">
      <c r="A14" s="322">
        <v>8</v>
      </c>
      <c r="B14" s="850" t="str">
        <f t="shared" si="1"/>
        <v>Unilever_rPET</v>
      </c>
      <c r="C14" s="12" t="str">
        <f t="shared" si="3"/>
        <v>4. Unilever</v>
      </c>
      <c r="D14" s="12" t="s">
        <v>502</v>
      </c>
      <c r="E14" s="772">
        <f>_xlfn.XLOOKUP(B14,'06.2. KH chính'!$B$6:$B$25,'06.2. KH chính'!$H$6:$H$25,0)</f>
        <v>2643.2</v>
      </c>
      <c r="F14" s="346">
        <f>ROUND(_xlfn.XLOOKUP(B14,'06.2. KH chính'!$B$39:$B$58,'06.2. KH chính'!$H$39:$H$58,0)/10^3,0)</f>
        <v>3354</v>
      </c>
      <c r="G14" s="853">
        <f>ROUND(_xlfn.XLOOKUP(B14,'06.2. KH chính'!$B$63:$B$82,'06.2. KH chính'!$H$63:$H$82,0)/10^3,0)</f>
        <v>594</v>
      </c>
      <c r="H14" s="855">
        <f t="shared" si="2"/>
        <v>0.17710196779964221</v>
      </c>
      <c r="I14" s="1037">
        <f t="shared" si="0"/>
        <v>4</v>
      </c>
      <c r="J14" s="1121">
        <f>H14+COUNT($H$7:H14)/10^6</f>
        <v>0.17710996779964222</v>
      </c>
    </row>
    <row r="15" spans="1:10" ht="15.5" outlineLevel="1" x14ac:dyDescent="0.35">
      <c r="A15" s="322">
        <v>9</v>
      </c>
      <c r="B15" s="850" t="str">
        <f t="shared" si="1"/>
        <v>Outeirinho_rPET</v>
      </c>
      <c r="C15" s="12" t="str">
        <f t="shared" si="3"/>
        <v>3. Outeirinho</v>
      </c>
      <c r="D15" s="12" t="s">
        <v>45</v>
      </c>
      <c r="E15" s="772">
        <f>_xlfn.XLOOKUP(B15,'06.2. KH chính'!$B$6:$B$25,'06.2. KH chính'!$H$6:$H$25,0)</f>
        <v>6160</v>
      </c>
      <c r="F15" s="346">
        <f>ROUND(_xlfn.XLOOKUP(B15,'06.2. KH chính'!$B$39:$B$58,'06.2. KH chính'!$H$39:$H$58,0)/10^3,0)</f>
        <v>7683</v>
      </c>
      <c r="G15" s="853">
        <f>ROUND(_xlfn.XLOOKUP(B15,'06.2. KH chính'!$B$63:$B$82,'06.2. KH chính'!$H$63:$H$82,0)/10^3,0)</f>
        <v>1405</v>
      </c>
      <c r="H15" s="855">
        <f t="shared" si="2"/>
        <v>0.18287127424183261</v>
      </c>
      <c r="I15" s="1037">
        <f t="shared" si="0"/>
        <v>3</v>
      </c>
      <c r="J15" s="1121">
        <f>H15+COUNT($H$7:H15)/10^6</f>
        <v>0.18288027424183262</v>
      </c>
    </row>
    <row r="16" spans="1:10" ht="15.5" outlineLevel="1" x14ac:dyDescent="0.35">
      <c r="A16" s="322">
        <v>10</v>
      </c>
      <c r="B16" s="850" t="str">
        <f t="shared" si="1"/>
        <v>CPSX Nhựa Duy Tân_rPET</v>
      </c>
      <c r="C16" s="12" t="str">
        <f t="shared" si="3"/>
        <v>6. CPSX Nhựa Duy Tân</v>
      </c>
      <c r="D16" s="12" t="s">
        <v>29</v>
      </c>
      <c r="E16" s="772">
        <f>_xlfn.XLOOKUP(B16,'06.2. KH chính'!$B$6:$B$25,'06.2. KH chính'!$H$6:$H$25,0)</f>
        <v>100.1</v>
      </c>
      <c r="F16" s="346">
        <f>ROUND(_xlfn.XLOOKUP(B16,'06.2. KH chính'!$B$39:$B$58,'06.2. KH chính'!$H$39:$H$58,0)/10^3,0)</f>
        <v>126</v>
      </c>
      <c r="G16" s="853">
        <f>ROUND(_xlfn.XLOOKUP(B16,'06.2. KH chính'!$B$63:$B$82,'06.2. KH chính'!$H$63:$H$82,0)/10^3,0)</f>
        <v>22</v>
      </c>
      <c r="H16" s="855">
        <f t="shared" si="2"/>
        <v>0.17460317460317459</v>
      </c>
      <c r="I16" s="1037">
        <f t="shared" si="0"/>
        <v>6</v>
      </c>
      <c r="J16" s="1121">
        <f>H16+COUNT($H$7:H16)/10^6</f>
        <v>0.1746131746031746</v>
      </c>
    </row>
    <row r="17" spans="1:15" ht="15.5" outlineLevel="1" x14ac:dyDescent="0.35">
      <c r="A17" s="322"/>
      <c r="B17" s="850"/>
      <c r="C17" s="12"/>
      <c r="D17" s="12"/>
      <c r="E17" s="772"/>
      <c r="F17" s="346"/>
      <c r="G17" s="853"/>
      <c r="H17" s="855"/>
      <c r="I17" s="12"/>
    </row>
    <row r="18" spans="1:15" outlineLevel="1" x14ac:dyDescent="0.35">
      <c r="A18" s="322"/>
      <c r="B18" s="850"/>
      <c r="C18" s="36"/>
      <c r="D18" s="36"/>
      <c r="E18" s="772"/>
      <c r="F18" s="346"/>
      <c r="G18" s="853"/>
      <c r="H18" s="855"/>
    </row>
    <row r="19" spans="1:15" ht="15.5" outlineLevel="1" x14ac:dyDescent="0.35">
      <c r="A19" s="352"/>
      <c r="B19" s="852"/>
      <c r="C19" s="619"/>
      <c r="D19" s="619"/>
      <c r="E19" s="781"/>
      <c r="F19" s="311"/>
      <c r="G19" s="779"/>
      <c r="H19" s="780"/>
    </row>
    <row r="21" spans="1:15" ht="20.5" thickBot="1" x14ac:dyDescent="0.4">
      <c r="B21" s="783"/>
      <c r="L21" s="905">
        <f>SUM(L23:L31)</f>
        <v>1</v>
      </c>
      <c r="M21" s="904">
        <f>SUM(M23:M31)</f>
        <v>26508.983</v>
      </c>
    </row>
    <row r="22" spans="1:15" ht="29.5" thickBot="1" x14ac:dyDescent="0.4">
      <c r="I22" s="1075" t="s">
        <v>174</v>
      </c>
      <c r="J22" s="1076" t="s">
        <v>481</v>
      </c>
      <c r="K22" s="1076" t="s">
        <v>756</v>
      </c>
      <c r="L22" s="1076" t="s">
        <v>789</v>
      </c>
      <c r="M22" s="1076" t="s">
        <v>790</v>
      </c>
      <c r="N22" s="1076" t="s">
        <v>757</v>
      </c>
      <c r="O22" s="1077" t="s">
        <v>764</v>
      </c>
    </row>
    <row r="23" spans="1:15" ht="16" thickBot="1" x14ac:dyDescent="0.4">
      <c r="I23" s="888">
        <v>1</v>
      </c>
      <c r="J23" s="889" t="str">
        <f t="shared" ref="J23:J30" si="4">_xlfn.XLOOKUP(I23,$I$7:$I$19,$D$7:$D$19,0)</f>
        <v>Coca_Cola</v>
      </c>
      <c r="K23" s="1074">
        <f t="shared" ref="K23:K32" si="5">_xlfn.XLOOKUP($J23,$D$7:$D$19,$H$7:$H$19,0)</f>
        <v>0.21584984358706985</v>
      </c>
      <c r="L23" s="906">
        <f>M23/$M$21</f>
        <v>2.5976100252506858E-2</v>
      </c>
      <c r="M23" s="890">
        <f t="shared" ref="M23:M32" si="6">_xlfn.XLOOKUP($J23,$D$7:$D$19,$E$7:$E$19,0)</f>
        <v>688.6</v>
      </c>
      <c r="N23" s="890">
        <f t="shared" ref="N23:N32" si="7">_xlfn.XLOOKUP($J23,$D$7:$D$19,$F$7:$F$19,0)</f>
        <v>959</v>
      </c>
      <c r="O23" s="1078">
        <f t="shared" ref="O23:O32" si="8">_xlfn.XLOOKUP($J23,$D$7:$D$19,$G$7:$G$19,0)</f>
        <v>207</v>
      </c>
    </row>
    <row r="24" spans="1:15" ht="15" thickBot="1" x14ac:dyDescent="0.4">
      <c r="I24" s="909">
        <v>2</v>
      </c>
      <c r="J24" s="310" t="str">
        <f t="shared" si="4"/>
        <v>Suntory</v>
      </c>
      <c r="K24" s="405">
        <f t="shared" si="5"/>
        <v>0.20607517482517482</v>
      </c>
      <c r="L24" s="405">
        <f t="shared" ref="L24:L30" si="9">M24/$M$21</f>
        <v>0.12297842584153454</v>
      </c>
      <c r="M24" s="346">
        <f t="shared" si="6"/>
        <v>3260.0329999999999</v>
      </c>
      <c r="N24" s="346">
        <f t="shared" si="7"/>
        <v>4576</v>
      </c>
      <c r="O24" s="910">
        <f t="shared" si="8"/>
        <v>943</v>
      </c>
    </row>
    <row r="25" spans="1:15" ht="16" thickBot="1" x14ac:dyDescent="0.4">
      <c r="I25" s="888">
        <v>3</v>
      </c>
      <c r="J25" s="889" t="str">
        <f t="shared" si="4"/>
        <v>Outeirinho</v>
      </c>
      <c r="K25" s="1074">
        <f t="shared" si="5"/>
        <v>0.18287127424183261</v>
      </c>
      <c r="L25" s="906">
        <f t="shared" si="9"/>
        <v>0.23237405976683451</v>
      </c>
      <c r="M25" s="890">
        <f t="shared" si="6"/>
        <v>6160</v>
      </c>
      <c r="N25" s="890">
        <f t="shared" si="7"/>
        <v>7683</v>
      </c>
      <c r="O25" s="1078">
        <f t="shared" si="8"/>
        <v>1405</v>
      </c>
    </row>
    <row r="26" spans="1:15" x14ac:dyDescent="0.35">
      <c r="I26" s="909">
        <v>4</v>
      </c>
      <c r="J26" s="310" t="str">
        <f t="shared" si="4"/>
        <v>Unilever</v>
      </c>
      <c r="K26" s="405">
        <f t="shared" si="5"/>
        <v>0.17710196779964221</v>
      </c>
      <c r="L26" s="405">
        <f t="shared" si="9"/>
        <v>9.9709596554496252E-2</v>
      </c>
      <c r="M26" s="346">
        <f t="shared" si="6"/>
        <v>2643.2</v>
      </c>
      <c r="N26" s="346">
        <f t="shared" si="7"/>
        <v>3354</v>
      </c>
      <c r="O26" s="910">
        <f t="shared" si="8"/>
        <v>594</v>
      </c>
    </row>
    <row r="27" spans="1:15" x14ac:dyDescent="0.35">
      <c r="I27" s="909">
        <v>5</v>
      </c>
      <c r="J27" s="310" t="str">
        <f t="shared" si="4"/>
        <v>La vie</v>
      </c>
      <c r="K27" s="405">
        <f t="shared" si="5"/>
        <v>0.17647058823529413</v>
      </c>
      <c r="L27" s="405">
        <f t="shared" si="9"/>
        <v>1.603795966069313E-2</v>
      </c>
      <c r="M27" s="346">
        <f t="shared" si="6"/>
        <v>425.15</v>
      </c>
      <c r="N27" s="346">
        <f t="shared" si="7"/>
        <v>595</v>
      </c>
      <c r="O27" s="910">
        <f t="shared" si="8"/>
        <v>105</v>
      </c>
    </row>
    <row r="28" spans="1:15" x14ac:dyDescent="0.35">
      <c r="I28" s="909">
        <v>6</v>
      </c>
      <c r="J28" s="310" t="str">
        <f t="shared" si="4"/>
        <v>CPSX Nhựa Duy Tân</v>
      </c>
      <c r="K28" s="405">
        <f t="shared" si="5"/>
        <v>0.17460317460317459</v>
      </c>
      <c r="L28" s="405">
        <f t="shared" si="9"/>
        <v>3.7760784712110606E-3</v>
      </c>
      <c r="M28" s="346">
        <f t="shared" si="6"/>
        <v>100.1</v>
      </c>
      <c r="N28" s="346">
        <f t="shared" si="7"/>
        <v>126</v>
      </c>
      <c r="O28" s="910">
        <f t="shared" si="8"/>
        <v>22</v>
      </c>
    </row>
    <row r="29" spans="1:15" ht="15" thickBot="1" x14ac:dyDescent="0.4">
      <c r="I29" s="909">
        <v>7</v>
      </c>
      <c r="J29" s="310" t="str">
        <f t="shared" si="4"/>
        <v>Plascene</v>
      </c>
      <c r="K29" s="405">
        <f t="shared" si="5"/>
        <v>0.15184186882300091</v>
      </c>
      <c r="L29" s="405">
        <f t="shared" si="9"/>
        <v>3.3569752562744484E-2</v>
      </c>
      <c r="M29" s="346">
        <f t="shared" si="6"/>
        <v>889.9</v>
      </c>
      <c r="N29" s="346">
        <f t="shared" si="7"/>
        <v>1113</v>
      </c>
      <c r="O29" s="910">
        <f t="shared" si="8"/>
        <v>169</v>
      </c>
    </row>
    <row r="30" spans="1:15" ht="16" thickBot="1" x14ac:dyDescent="0.4">
      <c r="I30" s="888">
        <v>8</v>
      </c>
      <c r="J30" s="889" t="str">
        <f t="shared" si="4"/>
        <v>Niagara</v>
      </c>
      <c r="K30" s="1074">
        <f t="shared" si="5"/>
        <v>0.12289562289562289</v>
      </c>
      <c r="L30" s="906">
        <f t="shared" si="9"/>
        <v>0.4572789533268779</v>
      </c>
      <c r="M30" s="890">
        <f t="shared" si="6"/>
        <v>12122</v>
      </c>
      <c r="N30" s="890">
        <f t="shared" si="7"/>
        <v>14850</v>
      </c>
      <c r="O30" s="1078">
        <f t="shared" si="8"/>
        <v>1825</v>
      </c>
    </row>
    <row r="31" spans="1:15" x14ac:dyDescent="0.35">
      <c r="I31" s="1242">
        <v>9</v>
      </c>
      <c r="J31" s="311" t="str">
        <f t="shared" ref="J31:J32" si="10">_xlfn.XLOOKUP(I31,$I$7:$I$19,$D$7:$D$19,0)</f>
        <v>Milkyway</v>
      </c>
      <c r="K31" s="560">
        <f t="shared" si="5"/>
        <v>6.8273092369477914E-2</v>
      </c>
      <c r="L31" s="560">
        <f t="shared" ref="L31:L32" si="11">M31/$M$21</f>
        <v>8.2990735631012329E-3</v>
      </c>
      <c r="M31" s="406">
        <f t="shared" si="6"/>
        <v>220</v>
      </c>
      <c r="N31" s="406">
        <f t="shared" si="7"/>
        <v>249</v>
      </c>
      <c r="O31" s="1243">
        <f t="shared" si="8"/>
        <v>17</v>
      </c>
    </row>
    <row r="32" spans="1:15" hidden="1" x14ac:dyDescent="0.35">
      <c r="I32" s="907">
        <v>10</v>
      </c>
      <c r="J32" s="490" t="str">
        <f t="shared" si="10"/>
        <v>Premium Water</v>
      </c>
      <c r="K32" s="908">
        <f t="shared" si="5"/>
        <v>5.0328227571115977E-2</v>
      </c>
      <c r="L32" s="908">
        <f t="shared" si="11"/>
        <v>1.6598147126202466E-2</v>
      </c>
      <c r="M32" s="1168">
        <f t="shared" si="6"/>
        <v>440</v>
      </c>
      <c r="N32" s="1168">
        <f t="shared" si="7"/>
        <v>457</v>
      </c>
      <c r="O32" s="1169">
        <f t="shared" si="8"/>
        <v>23</v>
      </c>
    </row>
    <row r="33" spans="2:15" hidden="1" x14ac:dyDescent="0.35">
      <c r="I33" s="352"/>
      <c r="J33" s="311"/>
      <c r="K33" s="560"/>
      <c r="L33" s="311"/>
      <c r="M33" s="311"/>
      <c r="N33" s="311"/>
      <c r="O33" s="311"/>
    </row>
    <row r="34" spans="2:15" x14ac:dyDescent="0.35">
      <c r="K34" s="903"/>
    </row>
    <row r="47" spans="2:15" ht="21" x14ac:dyDescent="0.5">
      <c r="B47" s="785" t="s">
        <v>265</v>
      </c>
    </row>
    <row r="49" spans="1:15" ht="21" x14ac:dyDescent="0.5">
      <c r="B49" s="785" t="s">
        <v>266</v>
      </c>
    </row>
    <row r="50" spans="1:15" ht="29" outlineLevel="1" x14ac:dyDescent="0.35">
      <c r="A50" s="774" t="s">
        <v>174</v>
      </c>
      <c r="B50" s="774"/>
      <c r="C50" s="774"/>
      <c r="D50" s="774" t="s">
        <v>481</v>
      </c>
      <c r="E50" s="774" t="s">
        <v>776</v>
      </c>
      <c r="F50" s="774" t="s">
        <v>757</v>
      </c>
      <c r="G50" s="773" t="s">
        <v>764</v>
      </c>
      <c r="H50" s="774" t="s">
        <v>756</v>
      </c>
      <c r="I50" s="774" t="s">
        <v>684</v>
      </c>
    </row>
    <row r="51" spans="1:15" ht="15.5" outlineLevel="1" x14ac:dyDescent="0.35">
      <c r="A51" s="1122">
        <v>1</v>
      </c>
      <c r="B51" s="1123" t="str">
        <f>IF(D51&lt;&gt;0,D51&amp;"_"&amp;$B$47,"-")</f>
        <v>Unilever_rHDPE thổi</v>
      </c>
      <c r="C51" s="1124" t="str">
        <f>IF(F51&lt;&gt;0,I51&amp;". "&amp;B51,"-")</f>
        <v>3. Unilever_rHDPE thổi</v>
      </c>
      <c r="D51" s="1125" t="s">
        <v>502</v>
      </c>
      <c r="E51" s="1126">
        <f>_xlfn.XLOOKUP(B51,'06.2. KH chính'!$B$6:$B$25,'06.2. KH chính'!$H$6:$H$25,0)</f>
        <v>1182.9749999999999</v>
      </c>
      <c r="F51" s="867">
        <f>ROUND(_xlfn.XLOOKUP(B51,'06.2. KH chính'!$B$39:$B$58,'06.2. KH chính'!$H$39:$H$58,0)/10^3,0)</f>
        <v>1602</v>
      </c>
      <c r="G51" s="1127">
        <f>ROUND(_xlfn.XLOOKUP(B51,'06.2. KH chính'!$B$63:$B$82,'06.2. KH chính'!$H$63:$H$82,0)/10^3,0)</f>
        <v>343</v>
      </c>
      <c r="H51" s="1128">
        <f>IFERROR(G51/F51,0)</f>
        <v>0.21410736579275905</v>
      </c>
      <c r="I51" s="911">
        <f t="shared" ref="I51:I59" si="12">IF(F51&lt;&gt;0,RANK(J51,$J$51:$J$59),"-")</f>
        <v>3</v>
      </c>
      <c r="J51" s="1121">
        <f>H51+COUNT($H$51:H51)/10^6</f>
        <v>0.21410836579275905</v>
      </c>
    </row>
    <row r="52" spans="1:15" outlineLevel="1" x14ac:dyDescent="0.35">
      <c r="A52" s="792">
        <v>2</v>
      </c>
      <c r="B52" s="1129" t="str">
        <f>IF(D52&lt;&gt;0,D52&amp;"_"&amp;$B$47,"-")</f>
        <v>CPSX Nhựa Duy Tân_rHDPE thổi</v>
      </c>
      <c r="C52" s="1124" t="str">
        <f t="shared" ref="C52:C54" si="13">IF(F52&lt;&gt;0,I52&amp;". "&amp;B52,"-")</f>
        <v>1. CPSX Nhựa Duy Tân_rHDPE thổi</v>
      </c>
      <c r="D52" s="1124" t="s">
        <v>29</v>
      </c>
      <c r="E52" s="802">
        <f>_xlfn.XLOOKUP(B52,'06.2. KH chính'!$B$6:$B$25,'06.2. KH chính'!$H$6:$H$25,0)</f>
        <v>6.375</v>
      </c>
      <c r="F52" s="378">
        <f>ROUND(_xlfn.XLOOKUP(B52,'06.2. KH chính'!$B$39:$B$58,'06.2. KH chính'!$H$39:$H$58,0)/10^3,0)</f>
        <v>8</v>
      </c>
      <c r="G52" s="812">
        <f>ROUND(_xlfn.XLOOKUP(B52,'06.2. KH chính'!$B$63:$B$82,'06.2. KH chính'!$H$63:$H$82,0)/10^3,0)</f>
        <v>2</v>
      </c>
      <c r="H52" s="814">
        <f t="shared" ref="H52:H54" si="14">IFERROR(G52/F52,0)</f>
        <v>0.25</v>
      </c>
      <c r="I52" s="911">
        <f t="shared" si="12"/>
        <v>1</v>
      </c>
      <c r="J52" s="1121">
        <f>H52+COUNT($H$51:H52)/10^6</f>
        <v>0.250002</v>
      </c>
    </row>
    <row r="53" spans="1:15" ht="15.5" outlineLevel="1" x14ac:dyDescent="0.35">
      <c r="A53" s="792">
        <v>3</v>
      </c>
      <c r="B53" s="1129" t="str">
        <f>IF(D53&lt;&gt;0,D53&amp;"_"&amp;$B$47,"-")</f>
        <v>Dynaplast_rHDPE thổi</v>
      </c>
      <c r="C53" s="1130" t="str">
        <f t="shared" si="13"/>
        <v>2. Dynaplast_rHDPE thổi</v>
      </c>
      <c r="D53" s="1130" t="s">
        <v>503</v>
      </c>
      <c r="E53" s="802">
        <f>_xlfn.XLOOKUP(B53,'06.2. KH chính'!$B$6:$B$25,'06.2. KH chính'!$H$6:$H$25,0)</f>
        <v>302.45</v>
      </c>
      <c r="F53" s="378">
        <f>ROUND(_xlfn.XLOOKUP(B53,'06.2. KH chính'!$B$39:$B$58,'06.2. KH chính'!$H$39:$H$58,0)/10^3,0)</f>
        <v>426</v>
      </c>
      <c r="G53" s="812">
        <f>ROUND(_xlfn.XLOOKUP(B53,'06.2. KH chính'!$B$63:$B$82,'06.2. KH chính'!$H$63:$H$82,0)/10^3,0)</f>
        <v>93</v>
      </c>
      <c r="H53" s="814">
        <f t="shared" si="14"/>
        <v>0.21830985915492956</v>
      </c>
      <c r="I53" s="911">
        <f t="shared" si="12"/>
        <v>2</v>
      </c>
      <c r="J53" s="1121">
        <f>H53+COUNT($H$51:H53)/10^6</f>
        <v>0.21831285915492957</v>
      </c>
    </row>
    <row r="54" spans="1:15" ht="15.5" outlineLevel="1" x14ac:dyDescent="0.35">
      <c r="A54" s="792">
        <v>4</v>
      </c>
      <c r="B54" s="1129" t="str">
        <f>IF(D54&lt;&gt;0,D54&amp;"_"&amp;$B$47,"-")</f>
        <v>Motul_rHDPE thổi</v>
      </c>
      <c r="C54" s="1124" t="str">
        <f t="shared" si="13"/>
        <v>5. Motul_rHDPE thổi</v>
      </c>
      <c r="D54" s="1130" t="s">
        <v>804</v>
      </c>
      <c r="E54" s="802">
        <f>_xlfn.XLOOKUP(B54,'06.2. KH chính'!$B$6:$B$25,'06.2. KH chính'!$H$6:$H$25,0)</f>
        <v>275</v>
      </c>
      <c r="F54" s="378">
        <f>ROUND(_xlfn.XLOOKUP(B54,'06.2. KH chính'!$B$39:$B$58,'06.2. KH chính'!$H$39:$H$58,0)/10^3,0)</f>
        <v>353</v>
      </c>
      <c r="G54" s="812">
        <f>ROUND(_xlfn.XLOOKUP(B54,'06.2. KH chính'!$B$63:$B$82,'06.2. KH chính'!$H$63:$H$82,0)/10^3,0)</f>
        <v>-46</v>
      </c>
      <c r="H54" s="814">
        <f t="shared" si="14"/>
        <v>-0.13031161473087818</v>
      </c>
      <c r="I54" s="911">
        <f t="shared" si="12"/>
        <v>5</v>
      </c>
      <c r="J54" s="1121">
        <f>H54+COUNT($H$51:H54)/10^6</f>
        <v>-0.13030761473087818</v>
      </c>
    </row>
    <row r="55" spans="1:15" ht="13" customHeight="1" outlineLevel="1" x14ac:dyDescent="0.35">
      <c r="A55" s="322"/>
      <c r="B55" s="850"/>
      <c r="C55" s="247"/>
      <c r="D55" s="31"/>
      <c r="E55" s="772"/>
      <c r="F55" s="346"/>
      <c r="G55" s="853"/>
      <c r="H55" s="855"/>
      <c r="I55" s="911" t="str">
        <f t="shared" si="12"/>
        <v>-</v>
      </c>
      <c r="J55" s="1121"/>
    </row>
    <row r="56" spans="1:15" ht="15.5" outlineLevel="1" x14ac:dyDescent="0.35">
      <c r="A56" s="1131">
        <v>5</v>
      </c>
      <c r="B56" s="1132" t="str">
        <f>IF(D56&lt;&gt;0,D56&amp;"_"&amp;$B$49,"-")</f>
        <v>Unilever_rHDPE ép</v>
      </c>
      <c r="C56" s="1133" t="str">
        <f t="shared" ref="C56:C58" si="15">IF(F56&lt;&gt;0,I56&amp;". "&amp;B56,"-")</f>
        <v>7. Unilever_rHDPE ép</v>
      </c>
      <c r="D56" s="1134" t="s">
        <v>502</v>
      </c>
      <c r="E56" s="1135">
        <f>_xlfn.XLOOKUP(B56,'06.2. KH chính'!$B$6:$B$25,'06.2. KH chính'!$H$6:$H$25,0)</f>
        <v>5.5</v>
      </c>
      <c r="F56" s="1136">
        <f>ROUND(_xlfn.XLOOKUP(B56,'06.2. KH chính'!$B$39:$B$58,'06.2. KH chính'!$H$39:$H$58,0)/10^3,0)</f>
        <v>5</v>
      </c>
      <c r="G56" s="1137">
        <f>ROUND(_xlfn.XLOOKUP(B56,'06.2. KH chính'!$B$63:$B$82,'06.2. KH chính'!$H$63:$H$82,0)/10^3,0)</f>
        <v>-2</v>
      </c>
      <c r="H56" s="1138">
        <f t="shared" ref="H56" si="16">IFERROR(G56/F56,0)</f>
        <v>-0.4</v>
      </c>
      <c r="I56" s="911">
        <f t="shared" si="12"/>
        <v>7</v>
      </c>
      <c r="J56" s="1121">
        <f>H56+COUNT($H$51:H56)/10^6</f>
        <v>-0.39999500000000004</v>
      </c>
    </row>
    <row r="57" spans="1:15" ht="15.5" outlineLevel="1" x14ac:dyDescent="0.35">
      <c r="A57" s="1131">
        <v>6</v>
      </c>
      <c r="B57" s="1132" t="str">
        <f t="shared" ref="B57:B58" si="17">IF(D57&lt;&gt;0,D57&amp;"_"&amp;$B$49,"-")</f>
        <v>Outeirinho_rHDPE ép</v>
      </c>
      <c r="C57" s="1133" t="str">
        <f t="shared" si="15"/>
        <v>4. Outeirinho_rHDPE ép</v>
      </c>
      <c r="D57" s="1134" t="s">
        <v>45</v>
      </c>
      <c r="E57" s="1135">
        <f>_xlfn.XLOOKUP(B57,'06.2. KH chính'!$B$6:$B$25,'06.2. KH chính'!$H$6:$H$25,0)</f>
        <v>25</v>
      </c>
      <c r="F57" s="1136">
        <f>ROUND(_xlfn.XLOOKUP(B57,'06.2. KH chính'!$B$39:$B$58,'06.2. KH chính'!$H$39:$H$58,0)/10^3,0)</f>
        <v>30</v>
      </c>
      <c r="G57" s="1137">
        <f>ROUND(_xlfn.XLOOKUP(B57,'06.2. KH chính'!$B$63:$B$82,'06.2. KH chính'!$H$63:$H$82,0)/10^3,0)</f>
        <v>-3</v>
      </c>
      <c r="H57" s="1138">
        <f t="shared" ref="H57:H58" si="18">IFERROR(G57/F57,0)</f>
        <v>-0.1</v>
      </c>
      <c r="I57" s="911">
        <f t="shared" si="12"/>
        <v>4</v>
      </c>
      <c r="J57" s="1121">
        <f>H57+COUNT($H$51:H57)/10^6</f>
        <v>-9.9994E-2</v>
      </c>
    </row>
    <row r="58" spans="1:15" ht="15.5" outlineLevel="1" x14ac:dyDescent="0.35">
      <c r="A58" s="1131">
        <v>7</v>
      </c>
      <c r="B58" s="1132" t="str">
        <f t="shared" si="17"/>
        <v>CPSX Nhựa Duy Tân_rHDPE ép</v>
      </c>
      <c r="C58" s="1133" t="str">
        <f t="shared" si="15"/>
        <v>6. CPSX Nhựa Duy Tân_rHDPE ép</v>
      </c>
      <c r="D58" s="1139" t="s">
        <v>29</v>
      </c>
      <c r="E58" s="1135">
        <f>_xlfn.XLOOKUP(B58,'06.2. KH chính'!$B$6:$B$25,'06.2. KH chính'!$H$6:$H$25,0)</f>
        <v>207.25</v>
      </c>
      <c r="F58" s="1136">
        <f>ROUND(_xlfn.XLOOKUP(B58,'06.2. KH chính'!$B$39:$B$58,'06.2. KH chính'!$H$39:$H$58,0)/10^3,0)</f>
        <v>162</v>
      </c>
      <c r="G58" s="1137">
        <f>ROUND(_xlfn.XLOOKUP(B58,'06.2. KH chính'!$B$63:$B$82,'06.2. KH chính'!$H$63:$H$82,0)/10^3,0)</f>
        <v>-56</v>
      </c>
      <c r="H58" s="1138">
        <f t="shared" si="18"/>
        <v>-0.34567901234567899</v>
      </c>
      <c r="I58" s="911">
        <f t="shared" si="12"/>
        <v>6</v>
      </c>
      <c r="J58" s="1121">
        <f>H58+COUNT($H$51:H58)/10^6</f>
        <v>-0.34567201234567901</v>
      </c>
    </row>
    <row r="59" spans="1:15" ht="15.5" outlineLevel="1" x14ac:dyDescent="0.35">
      <c r="A59" s="352"/>
      <c r="B59" s="852"/>
      <c r="C59" s="619"/>
      <c r="D59" s="619"/>
      <c r="E59" s="781"/>
      <c r="F59" s="311"/>
      <c r="G59" s="779"/>
      <c r="H59" s="780"/>
      <c r="I59" s="911" t="str">
        <f t="shared" si="12"/>
        <v>-</v>
      </c>
    </row>
    <row r="60" spans="1:15" x14ac:dyDescent="0.35">
      <c r="L60" s="905">
        <f>SUM(L62:L68)</f>
        <v>0.99999999999999989</v>
      </c>
      <c r="M60" s="904">
        <f>SUM(M62:M68)</f>
        <v>2004.55</v>
      </c>
    </row>
    <row r="61" spans="1:15" ht="29" x14ac:dyDescent="0.35">
      <c r="B61" s="783"/>
      <c r="I61" s="856" t="s">
        <v>174</v>
      </c>
      <c r="J61" s="856" t="s">
        <v>481</v>
      </c>
      <c r="K61" s="856" t="s">
        <v>756</v>
      </c>
      <c r="L61" s="856" t="s">
        <v>789</v>
      </c>
      <c r="M61" s="856" t="s">
        <v>790</v>
      </c>
      <c r="N61" s="856" t="s">
        <v>757</v>
      </c>
      <c r="O61" s="856" t="s">
        <v>764</v>
      </c>
    </row>
    <row r="62" spans="1:15" x14ac:dyDescent="0.35">
      <c r="I62" s="1229">
        <v>1</v>
      </c>
      <c r="J62" s="490" t="str">
        <f t="shared" ref="J62:J68" si="19">_xlfn.XLOOKUP($I62,$I$51:$I$59,$C$51:$C$59,0)</f>
        <v>1. CPSX Nhựa Duy Tân_rHDPE thổi</v>
      </c>
      <c r="K62" s="1230">
        <f>_xlfn.XLOOKUP($J62,$C$51:$C$59,$H$51:$H$59,0)</f>
        <v>0.25</v>
      </c>
      <c r="L62" s="1230">
        <f>M62/$M$60</f>
        <v>3.1802648973585095E-3</v>
      </c>
      <c r="M62" s="1231">
        <f>_xlfn.XLOOKUP($J62,$C$51:$C$59,$E$51:$E$59,0)</f>
        <v>6.375</v>
      </c>
      <c r="N62" s="1231">
        <f>_xlfn.XLOOKUP($J62,$C$51:$C$59,$F$51:$F$59,0)</f>
        <v>8</v>
      </c>
      <c r="O62" s="1232">
        <f>_xlfn.XLOOKUP($J62,$C$51:$C$59,$G$51:$G$59,0)</f>
        <v>2</v>
      </c>
    </row>
    <row r="63" spans="1:15" ht="15.5" x14ac:dyDescent="0.35">
      <c r="I63" s="909">
        <v>2</v>
      </c>
      <c r="J63" s="12" t="str">
        <f t="shared" si="19"/>
        <v>2. Dynaplast_rHDPE thổi</v>
      </c>
      <c r="K63" s="864">
        <f>_xlfn.XLOOKUP($J63,$C$51:$C$59,$H$51:$H$59,0)</f>
        <v>0.21830985915492956</v>
      </c>
      <c r="L63" s="1220">
        <f>M63/$M$60</f>
        <v>0.15088174403232646</v>
      </c>
      <c r="M63" s="422">
        <f>_xlfn.XLOOKUP($J63,$C$51:$C$59,$E$51:$E$59,0)</f>
        <v>302.45</v>
      </c>
      <c r="N63" s="422">
        <f>_xlfn.XLOOKUP($J63,$C$51:$C$59,$F$51:$F$59,0)</f>
        <v>426</v>
      </c>
      <c r="O63" s="1221">
        <f>_xlfn.XLOOKUP($J63,$C$51:$C$59,$G$51:$G$59,0)</f>
        <v>93</v>
      </c>
    </row>
    <row r="64" spans="1:15" ht="15.5" x14ac:dyDescent="0.35">
      <c r="I64" s="909">
        <v>3</v>
      </c>
      <c r="J64" s="12" t="str">
        <f t="shared" si="19"/>
        <v>3. Unilever_rHDPE thổi</v>
      </c>
      <c r="K64" s="864">
        <f t="shared" ref="K64:K68" si="20">_xlfn.XLOOKUP($J64,$C$51:$C$59,$H$51:$H$59,0)</f>
        <v>0.21410736579275905</v>
      </c>
      <c r="L64" s="1220">
        <f t="shared" ref="L64:L68" si="21">M64/$M$60</f>
        <v>0.59014492030630317</v>
      </c>
      <c r="M64" s="422">
        <f t="shared" ref="M64:M68" si="22">_xlfn.XLOOKUP($J64,$C$51:$C$59,$E$51:$E$59,0)</f>
        <v>1182.9749999999999</v>
      </c>
      <c r="N64" s="422">
        <f t="shared" ref="N64:N68" si="23">_xlfn.XLOOKUP($J64,$C$51:$C$59,$F$51:$F$59,0)</f>
        <v>1602</v>
      </c>
      <c r="O64" s="1221">
        <f t="shared" ref="O64:O68" si="24">_xlfn.XLOOKUP($J64,$C$51:$C$59,$G$51:$G$59,0)</f>
        <v>343</v>
      </c>
    </row>
    <row r="65" spans="9:15" x14ac:dyDescent="0.35">
      <c r="I65" s="909">
        <v>4</v>
      </c>
      <c r="J65" s="310" t="str">
        <f t="shared" si="19"/>
        <v>4. Outeirinho_rHDPE ép</v>
      </c>
      <c r="K65" s="1222">
        <f t="shared" si="20"/>
        <v>-0.1</v>
      </c>
      <c r="L65" s="864">
        <f t="shared" si="21"/>
        <v>1.2471627048464743E-2</v>
      </c>
      <c r="M65" s="422">
        <f t="shared" si="22"/>
        <v>25</v>
      </c>
      <c r="N65" s="422">
        <f t="shared" si="23"/>
        <v>30</v>
      </c>
      <c r="O65" s="1221">
        <f t="shared" si="24"/>
        <v>-3</v>
      </c>
    </row>
    <row r="66" spans="9:15" ht="15.5" x14ac:dyDescent="0.35">
      <c r="I66" s="909">
        <v>5</v>
      </c>
      <c r="J66" s="12" t="str">
        <f t="shared" si="19"/>
        <v>5. Motul_rHDPE thổi</v>
      </c>
      <c r="K66" s="1222">
        <f t="shared" si="20"/>
        <v>-0.13031161473087818</v>
      </c>
      <c r="L66" s="1220">
        <f t="shared" si="21"/>
        <v>0.13718789753311217</v>
      </c>
      <c r="M66" s="422">
        <f t="shared" si="22"/>
        <v>275</v>
      </c>
      <c r="N66" s="422">
        <f t="shared" si="23"/>
        <v>353</v>
      </c>
      <c r="O66" s="1221">
        <f t="shared" si="24"/>
        <v>-46</v>
      </c>
    </row>
    <row r="67" spans="9:15" x14ac:dyDescent="0.35">
      <c r="I67" s="909">
        <v>6</v>
      </c>
      <c r="J67" s="310" t="str">
        <f t="shared" si="19"/>
        <v>6. CPSX Nhựa Duy Tân_rHDPE ép</v>
      </c>
      <c r="K67" s="1222">
        <f t="shared" si="20"/>
        <v>-0.34567901234567899</v>
      </c>
      <c r="L67" s="864">
        <f t="shared" si="21"/>
        <v>0.10338978823177272</v>
      </c>
      <c r="M67" s="422">
        <f t="shared" si="22"/>
        <v>207.25</v>
      </c>
      <c r="N67" s="422">
        <f t="shared" si="23"/>
        <v>162</v>
      </c>
      <c r="O67" s="1221">
        <f t="shared" si="24"/>
        <v>-56</v>
      </c>
    </row>
    <row r="68" spans="9:15" ht="15" thickBot="1" x14ac:dyDescent="0.4">
      <c r="I68" s="1223">
        <v>7</v>
      </c>
      <c r="J68" s="1224" t="str">
        <f t="shared" si="19"/>
        <v>7. Unilever_rHDPE ép</v>
      </c>
      <c r="K68" s="1225">
        <f t="shared" si="20"/>
        <v>-0.4</v>
      </c>
      <c r="L68" s="1226">
        <f t="shared" si="21"/>
        <v>2.7437579506622433E-3</v>
      </c>
      <c r="M68" s="1227">
        <f t="shared" si="22"/>
        <v>5.5</v>
      </c>
      <c r="N68" s="1227">
        <f t="shared" si="23"/>
        <v>5</v>
      </c>
      <c r="O68" s="1228">
        <f t="shared" si="24"/>
        <v>-2</v>
      </c>
    </row>
  </sheetData>
  <conditionalFormatting sqref="G7:H19 K62:O62 K65:O65 K67:O68">
    <cfRule type="cellIs" dxfId="27" priority="9" operator="lessThan">
      <formula>0</formula>
    </cfRule>
  </conditionalFormatting>
  <conditionalFormatting sqref="G51:H59">
    <cfRule type="cellIs" dxfId="26" priority="5" operator="lessThan">
      <formula>0</formula>
    </cfRule>
  </conditionalFormatting>
  <conditionalFormatting sqref="J7:J17">
    <cfRule type="cellIs" dxfId="25" priority="3" operator="lessThan">
      <formula>0</formula>
    </cfRule>
  </conditionalFormatting>
  <conditionalFormatting sqref="J51:J58">
    <cfRule type="cellIs" dxfId="24" priority="2" operator="lessThan">
      <formula>0</formula>
    </cfRule>
  </conditionalFormatting>
  <conditionalFormatting sqref="O66">
    <cfRule type="cellIs" dxfId="23" priority="1" operator="lessThan">
      <formula>0</formula>
    </cfRule>
  </conditionalFormatting>
  <hyperlinks>
    <hyperlink ref="A1" location="'00. DM'!A1" display="00. DM" xr:uid="{35D01E11-D046-4A94-A302-A8A0B5FD6D3F}"/>
  </hyperlinks>
  <pageMargins left="0.7" right="0.7" top="0.75" bottom="0.75" header="0.3" footer="0.3"/>
  <drawing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0F933-59A7-4B8A-AAED-4963594625D8}">
  <sheetPr>
    <tabColor theme="0" tint="-0.34998626667073579"/>
  </sheetPr>
  <dimension ref="B2:AP2"/>
  <sheetViews>
    <sheetView topLeftCell="A40" workbookViewId="0">
      <selection activeCell="D57" sqref="D57"/>
    </sheetView>
  </sheetViews>
  <sheetFormatPr defaultRowHeight="14.5" x14ac:dyDescent="0.35"/>
  <cols>
    <col min="11" max="11" width="0.81640625" style="745" customWidth="1"/>
    <col min="21" max="21" width="0.81640625" style="745" customWidth="1"/>
    <col min="30" max="30" width="9.36328125" customWidth="1"/>
    <col min="31" max="31" width="0.81640625" style="745" customWidth="1"/>
    <col min="39" max="39" width="15.453125" customWidth="1"/>
    <col min="40" max="40" width="0.81640625" style="745" customWidth="1"/>
  </cols>
  <sheetData>
    <row r="2" spans="2:42" x14ac:dyDescent="0.35">
      <c r="B2" s="450" t="s">
        <v>1047</v>
      </c>
      <c r="L2" s="450" t="s">
        <v>985</v>
      </c>
      <c r="V2" s="450" t="s">
        <v>935</v>
      </c>
      <c r="W2" s="450"/>
      <c r="X2" s="450"/>
      <c r="Y2" s="450"/>
      <c r="AF2" s="450" t="s">
        <v>778</v>
      </c>
      <c r="AP2" s="450" t="s">
        <v>777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53117-54F5-47E6-9FAE-461093BA0DCD}">
  <sheetPr>
    <tabColor rgb="FF00B050"/>
  </sheetPr>
  <dimension ref="A1:BI173"/>
  <sheetViews>
    <sheetView zoomScale="85" zoomScaleNormal="85" workbookViewId="0">
      <pane ySplit="3" topLeftCell="A147" activePane="bottomLeft" state="frozen"/>
      <selection activeCell="B1" sqref="B1"/>
      <selection pane="bottomLeft"/>
    </sheetView>
  </sheetViews>
  <sheetFormatPr defaultRowHeight="14.5" outlineLevelRow="1" outlineLevelCol="1" x14ac:dyDescent="0.35"/>
  <cols>
    <col min="2" max="2" width="5.08984375" bestFit="1" customWidth="1"/>
    <col min="3" max="3" width="10.6328125" bestFit="1" customWidth="1"/>
    <col min="4" max="4" width="10.81640625" bestFit="1" customWidth="1"/>
    <col min="5" max="5" width="10.1796875" bestFit="1" customWidth="1"/>
    <col min="6" max="6" width="9.1796875" bestFit="1" customWidth="1"/>
    <col min="7" max="7" width="10.1796875" bestFit="1" customWidth="1"/>
    <col min="8" max="8" width="2" customWidth="1"/>
    <col min="9" max="9" width="6.1796875" customWidth="1" outlineLevel="1"/>
    <col min="10" max="10" width="12.90625" customWidth="1" outlineLevel="1"/>
    <col min="11" max="11" width="10.81640625" customWidth="1" outlineLevel="1"/>
    <col min="12" max="13" width="8.81640625" customWidth="1" outlineLevel="1"/>
    <col min="14" max="14" width="2.08984375" customWidth="1" outlineLevel="1"/>
    <col min="15" max="15" width="8.54296875" customWidth="1" outlineLevel="1"/>
    <col min="16" max="16" width="8.90625" customWidth="1"/>
    <col min="17" max="17" width="13.453125" customWidth="1"/>
    <col min="18" max="18" width="10.81640625" bestFit="1" customWidth="1"/>
    <col min="19" max="19" width="10.1796875" bestFit="1" customWidth="1"/>
    <col min="21" max="21" width="10.1796875" bestFit="1" customWidth="1"/>
    <col min="22" max="22" width="1.90625" customWidth="1"/>
    <col min="23" max="23" width="8.81640625" customWidth="1" outlineLevel="1"/>
    <col min="24" max="24" width="10.6328125" customWidth="1" outlineLevel="1"/>
    <col min="25" max="25" width="10.81640625" customWidth="1" outlineLevel="1"/>
    <col min="26" max="26" width="8.81640625" customWidth="1" outlineLevel="1"/>
    <col min="27" max="27" width="11.81640625" customWidth="1" outlineLevel="1"/>
    <col min="28" max="28" width="3.36328125" customWidth="1"/>
    <col min="29" max="29" width="11.90625" customWidth="1"/>
    <col min="30" max="30" width="5.54296875" style="173" customWidth="1"/>
    <col min="31" max="31" width="16.453125" customWidth="1"/>
    <col min="32" max="34" width="10.54296875" customWidth="1"/>
    <col min="35" max="43" width="10.54296875" customWidth="1" outlineLevel="1"/>
    <col min="44" max="45" width="11.81640625" customWidth="1"/>
    <col min="46" max="46" width="4.1796875" style="481" customWidth="1"/>
    <col min="47" max="47" width="1.90625" customWidth="1"/>
    <col min="48" max="59" width="10.81640625" customWidth="1" outlineLevel="1"/>
    <col min="60" max="60" width="11.81640625" bestFit="1" customWidth="1"/>
    <col min="61" max="61" width="10.54296875" customWidth="1"/>
    <col min="72" max="72" width="1.81640625" customWidth="1"/>
  </cols>
  <sheetData>
    <row r="1" spans="1:61" ht="26" x14ac:dyDescent="0.6">
      <c r="C1" s="528" t="s">
        <v>587</v>
      </c>
      <c r="D1" s="678" t="s">
        <v>678</v>
      </c>
      <c r="AF1" s="610"/>
    </row>
    <row r="2" spans="1:61" ht="17.5" x14ac:dyDescent="0.35">
      <c r="P2" s="1110"/>
      <c r="AF2" s="184"/>
    </row>
    <row r="3" spans="1:61" ht="21" x14ac:dyDescent="0.5">
      <c r="C3" s="643" t="s">
        <v>669</v>
      </c>
      <c r="D3" s="644">
        <v>8</v>
      </c>
      <c r="P3" s="643" t="str">
        <f>"LŨY KẾ ĐẾN T"&amp;D3&amp;"/25"</f>
        <v>LŨY KẾ ĐẾN T8/25</v>
      </c>
      <c r="AF3" s="184"/>
    </row>
    <row r="4" spans="1:61" ht="21" x14ac:dyDescent="0.5">
      <c r="B4" s="740">
        <v>1</v>
      </c>
      <c r="C4" s="740" t="s">
        <v>665</v>
      </c>
      <c r="AD4" s="122">
        <v>1</v>
      </c>
      <c r="AE4" s="122" t="s">
        <v>665</v>
      </c>
      <c r="AV4" s="643">
        <v>2024</v>
      </c>
    </row>
    <row r="5" spans="1:61" ht="17.5" hidden="1" outlineLevel="1" x14ac:dyDescent="0.35">
      <c r="D5" s="645">
        <f>SUM(D7:D28)</f>
        <v>5162</v>
      </c>
      <c r="E5" s="647">
        <f>SUM(E7:E28)</f>
        <v>0.99999999999999989</v>
      </c>
      <c r="F5" s="645">
        <f>SUM(F7:F28)</f>
        <v>4520.4182000000001</v>
      </c>
      <c r="G5" s="647">
        <f>SUM(G7:G28)</f>
        <v>0.99999999999999989</v>
      </c>
      <c r="K5" s="617">
        <f t="shared" ref="K5" si="0">SUM(K7:K28)</f>
        <v>5162</v>
      </c>
      <c r="R5" s="645">
        <f ca="1">SUM(R7:R28)</f>
        <v>35365</v>
      </c>
      <c r="S5" s="647">
        <f ca="1">SUM(S7:S28)</f>
        <v>0.99999999999999978</v>
      </c>
      <c r="T5" s="645">
        <f ca="1">SUM(T7:T28)</f>
        <v>21800.868200000001</v>
      </c>
      <c r="U5" s="647">
        <f ca="1">SUM(U7:U28)</f>
        <v>1</v>
      </c>
      <c r="Y5" s="617">
        <f t="shared" ref="Y5" ca="1" si="1">SUM(Y7:Y28)</f>
        <v>35365</v>
      </c>
      <c r="AE5" s="642">
        <v>2025</v>
      </c>
      <c r="AF5" s="617">
        <f t="shared" ref="AF5:AR5" si="2">SUM(AF7:AF28)</f>
        <v>3488</v>
      </c>
      <c r="AG5" s="617">
        <f t="shared" si="2"/>
        <v>5477</v>
      </c>
      <c r="AH5" s="617">
        <f t="shared" si="2"/>
        <v>4574</v>
      </c>
      <c r="AI5" s="617">
        <f t="shared" si="2"/>
        <v>3851</v>
      </c>
      <c r="AJ5" s="617">
        <f t="shared" si="2"/>
        <v>4579</v>
      </c>
      <c r="AK5" s="617">
        <f t="shared" si="2"/>
        <v>3673</v>
      </c>
      <c r="AL5" s="617">
        <f t="shared" si="2"/>
        <v>4561</v>
      </c>
      <c r="AM5" s="617">
        <f t="shared" si="2"/>
        <v>5162</v>
      </c>
      <c r="AN5" s="617">
        <f t="shared" si="2"/>
        <v>2649</v>
      </c>
      <c r="AO5" s="617">
        <f t="shared" si="2"/>
        <v>0</v>
      </c>
      <c r="AP5" s="617">
        <f t="shared" si="2"/>
        <v>0</v>
      </c>
      <c r="AQ5" s="617">
        <f t="shared" si="2"/>
        <v>0</v>
      </c>
      <c r="AR5" s="617">
        <f t="shared" si="2"/>
        <v>38014</v>
      </c>
      <c r="AS5" s="627">
        <f>$D$3</f>
        <v>8</v>
      </c>
      <c r="AT5" s="623"/>
      <c r="AV5" s="617">
        <f t="shared" ref="AV5:BH5" si="3">SUM(AV7:AV28)</f>
        <v>2153.3249999999998</v>
      </c>
      <c r="AW5" s="617">
        <f t="shared" si="3"/>
        <v>2064.375</v>
      </c>
      <c r="AX5" s="617">
        <f t="shared" si="3"/>
        <v>2908.3999999999996</v>
      </c>
      <c r="AY5" s="617">
        <f t="shared" si="3"/>
        <v>3200.75</v>
      </c>
      <c r="AZ5" s="617">
        <f t="shared" si="3"/>
        <v>3196.6249999999995</v>
      </c>
      <c r="BA5" s="617">
        <f t="shared" si="3"/>
        <v>1881.7499999999998</v>
      </c>
      <c r="BB5" s="617">
        <f t="shared" si="3"/>
        <v>1784.2249999999999</v>
      </c>
      <c r="BC5" s="617">
        <f t="shared" si="3"/>
        <v>4611.4182000000001</v>
      </c>
      <c r="BD5" s="617">
        <f t="shared" si="3"/>
        <v>4683.6000000000004</v>
      </c>
      <c r="BE5" s="617">
        <f t="shared" si="3"/>
        <v>3573.5250000000001</v>
      </c>
      <c r="BF5" s="617">
        <f t="shared" si="3"/>
        <v>1971.9250000000004</v>
      </c>
      <c r="BG5" s="617">
        <f t="shared" si="3"/>
        <v>2927.35</v>
      </c>
      <c r="BH5" s="617">
        <f t="shared" si="3"/>
        <v>34957.268199999999</v>
      </c>
      <c r="BI5" s="627">
        <f>$D$3</f>
        <v>8</v>
      </c>
    </row>
    <row r="6" spans="1:61" ht="15" hidden="1" outlineLevel="1" x14ac:dyDescent="0.35">
      <c r="A6" s="616" t="s">
        <v>799</v>
      </c>
      <c r="B6" s="616" t="s">
        <v>673</v>
      </c>
      <c r="C6" s="616" t="s">
        <v>172</v>
      </c>
      <c r="D6" s="646">
        <v>2025</v>
      </c>
      <c r="E6" s="616" t="s">
        <v>674</v>
      </c>
      <c r="F6" s="646">
        <v>2024</v>
      </c>
      <c r="G6" s="616" t="s">
        <v>675</v>
      </c>
      <c r="I6" s="616" t="s">
        <v>174</v>
      </c>
      <c r="J6" s="616" t="s">
        <v>172</v>
      </c>
      <c r="K6" s="679" t="s">
        <v>672</v>
      </c>
      <c r="L6" s="1113" t="s">
        <v>673</v>
      </c>
      <c r="M6" s="1117"/>
      <c r="O6" s="648" t="s">
        <v>799</v>
      </c>
      <c r="P6" s="648" t="s">
        <v>673</v>
      </c>
      <c r="Q6" s="648" t="s">
        <v>172</v>
      </c>
      <c r="R6" s="649">
        <v>2025</v>
      </c>
      <c r="S6" s="648" t="s">
        <v>674</v>
      </c>
      <c r="T6" s="649">
        <v>2024</v>
      </c>
      <c r="U6" s="648" t="s">
        <v>675</v>
      </c>
      <c r="W6" s="648" t="s">
        <v>174</v>
      </c>
      <c r="X6" s="648" t="s">
        <v>172</v>
      </c>
      <c r="Y6" s="648" t="s">
        <v>672</v>
      </c>
      <c r="Z6" s="1119" t="s">
        <v>673</v>
      </c>
      <c r="AA6" s="1120"/>
      <c r="AC6" s="616" t="s">
        <v>799</v>
      </c>
      <c r="AD6" s="616" t="s">
        <v>174</v>
      </c>
      <c r="AE6" s="616" t="s">
        <v>172</v>
      </c>
      <c r="AF6" s="443">
        <v>1</v>
      </c>
      <c r="AG6" s="616">
        <v>2</v>
      </c>
      <c r="AH6" s="616">
        <v>3</v>
      </c>
      <c r="AI6" s="616">
        <v>4</v>
      </c>
      <c r="AJ6" s="616">
        <v>5</v>
      </c>
      <c r="AK6" s="616">
        <v>6</v>
      </c>
      <c r="AL6" s="616">
        <v>7</v>
      </c>
      <c r="AM6" s="616">
        <v>8</v>
      </c>
      <c r="AN6" s="616">
        <v>9</v>
      </c>
      <c r="AO6" s="616">
        <v>10</v>
      </c>
      <c r="AP6" s="616">
        <v>11</v>
      </c>
      <c r="AQ6" s="616">
        <v>12</v>
      </c>
      <c r="AR6" s="616">
        <v>2025</v>
      </c>
      <c r="AS6" s="616" t="s">
        <v>409</v>
      </c>
      <c r="AT6" s="450"/>
      <c r="AV6" s="625">
        <v>1</v>
      </c>
      <c r="AW6" s="626">
        <v>2</v>
      </c>
      <c r="AX6" s="626">
        <v>3</v>
      </c>
      <c r="AY6" s="626">
        <v>4</v>
      </c>
      <c r="AZ6" s="626">
        <v>5</v>
      </c>
      <c r="BA6" s="626">
        <v>6</v>
      </c>
      <c r="BB6" s="626">
        <v>7</v>
      </c>
      <c r="BC6" s="626">
        <v>8</v>
      </c>
      <c r="BD6" s="626">
        <v>9</v>
      </c>
      <c r="BE6" s="626">
        <v>10</v>
      </c>
      <c r="BF6" s="626">
        <v>11</v>
      </c>
      <c r="BG6" s="626">
        <v>12</v>
      </c>
      <c r="BH6" s="626">
        <v>2024</v>
      </c>
      <c r="BI6" s="626" t="s">
        <v>410</v>
      </c>
    </row>
    <row r="7" spans="1:61" ht="15.5" hidden="1" outlineLevel="1" x14ac:dyDescent="0.35">
      <c r="A7" s="936" t="str">
        <f>_xlfn.XLOOKUP(C7,'Quy đổi'!$G$5:$G$32,'Quy đổi'!$H$5:$H$32,0)</f>
        <v>Nội địa</v>
      </c>
      <c r="B7" s="661">
        <v>1</v>
      </c>
      <c r="C7" s="662" t="str">
        <f t="shared" ref="C7:C25" si="4">_xlfn.XLOOKUP(B7,$L$7:$L$28,$J$7:$J$28,0)</f>
        <v>VN</v>
      </c>
      <c r="D7" s="663">
        <f t="shared" ref="D7:D25" si="5">IFERROR(INDEX($AF$7:$AQ$28,MATCH(C7,$AE$7:$AE$28,0),MATCH($D$3,$AF$6:$AQ$6,0)),0)</f>
        <v>2203</v>
      </c>
      <c r="E7" s="664">
        <f>D7/$D$5</f>
        <v>0.42677256877179387</v>
      </c>
      <c r="F7" s="663">
        <f t="shared" ref="F7:F25" si="6">IFERROR(INDEX($AV$7:$BG$28,MATCH(C7,$AE$7:$AE$28,0),MATCH($D$3,$AV$6:$BG$6,0)),0)</f>
        <v>1301.1181999999999</v>
      </c>
      <c r="G7" s="664">
        <f>F7/$F$5</f>
        <v>0.28783137807913434</v>
      </c>
      <c r="I7" s="1109">
        <v>1</v>
      </c>
      <c r="J7" s="651" t="str">
        <f>AE7</f>
        <v>VN</v>
      </c>
      <c r="K7" s="652">
        <f t="shared" ref="K7:K25" si="7">INDEX($AF$7:$AQ$28,MATCH(J7,$AE$7:$AE$28,0),MATCH($D$3,$AF$6:$AQ$6,0))</f>
        <v>2203</v>
      </c>
      <c r="L7" s="1115">
        <f t="shared" ref="L7:L25" si="8">IF(K7&lt;&gt;0,RANK(M7,$M$7:$M$28),"-")</f>
        <v>1</v>
      </c>
      <c r="M7" s="1116">
        <f>K7+COUNTA($K$7:K7)*0.001</f>
        <v>2203.0010000000002</v>
      </c>
      <c r="O7" s="932" t="str">
        <f ca="1">_xlfn.XLOOKUP(Q7,'Quy đổi'!$G$5:$G$32,'Quy đổi'!$H$5:$H$32,0)</f>
        <v>Bắc Mỹ</v>
      </c>
      <c r="P7" s="661">
        <v>1</v>
      </c>
      <c r="Q7" s="662" t="str">
        <f t="shared" ref="Q7:Q25" ca="1" si="9">_xlfn.XLOOKUP(P7,$Z$7:$Z$28,$X$7:$X$28,0)</f>
        <v>Mỹ</v>
      </c>
      <c r="R7" s="663">
        <f t="shared" ref="R7:R25" ca="1" si="10">_xlfn.XLOOKUP(Q7,$AE$7:$AE$28,$AS$7:$AS$28,0)</f>
        <v>14171</v>
      </c>
      <c r="S7" s="664">
        <f ca="1">R7/$R$5</f>
        <v>0.4007069136151562</v>
      </c>
      <c r="T7" s="663">
        <f t="shared" ref="T7:T25" ca="1" si="11">_xlfn.XLOOKUP(Q7,$AE$7:$AE$28,$BI$7:$BI$28,0)</f>
        <v>7040</v>
      </c>
      <c r="U7" s="664">
        <f ca="1">T7/$T$5</f>
        <v>0.32292291918906235</v>
      </c>
      <c r="W7" s="650">
        <v>1</v>
      </c>
      <c r="X7" s="651" t="str">
        <f>AE7</f>
        <v>VN</v>
      </c>
      <c r="Y7" s="656">
        <f t="shared" ref="Y7:Y25" ca="1" si="12">_xlfn.XLOOKUP(X7,$AE$7:$AE$28,$AS$7:$AS$28,0)</f>
        <v>11468</v>
      </c>
      <c r="Z7" s="1115">
        <f t="shared" ref="Z7:Z25" ca="1" si="13">IF(Y7&lt;&gt;0,RANK(AA7,$AA$7:$AA$28),"-")</f>
        <v>2</v>
      </c>
      <c r="AA7" s="1116">
        <f ca="1">Y7+COUNTA($Y$7:Y7)*0.001</f>
        <v>11468.001</v>
      </c>
      <c r="AC7" s="928" t="str">
        <f>_xlfn.XLOOKUP(AE7,'Quy đổi'!$G$5:$G$32,'Quy đổi'!$H$5:$H$32,0)</f>
        <v>Nội địa</v>
      </c>
      <c r="AD7" s="320">
        <v>1</v>
      </c>
      <c r="AE7" s="618" t="s">
        <v>245</v>
      </c>
      <c r="AF7" s="508">
        <f>ROUND(SUMIF('06. BC BH THEO CUSTOMER-USD'!$F:$F,'07. Chart_QUỐC GIA'!$AE7,'06. BC BH THEO CUSTOMER-USD'!CS:CS),0)</f>
        <v>935</v>
      </c>
      <c r="AG7" s="508">
        <f>ROUND(SUMIF('06. BC BH THEO CUSTOMER-USD'!$F:$F,'07. Chart_QUỐC GIA'!$AE7,'06. BC BH THEO CUSTOMER-USD'!CT:CT),0)</f>
        <v>1533</v>
      </c>
      <c r="AH7" s="508">
        <f>ROUND(SUMIF('06. BC BH THEO CUSTOMER-USD'!$F:$F,'07. Chart_QUỐC GIA'!$AE7,'06. BC BH THEO CUSTOMER-USD'!CU:CU),0)</f>
        <v>1326</v>
      </c>
      <c r="AI7" s="508">
        <f>ROUND(SUMIF('06. BC BH THEO CUSTOMER-USD'!$F:$F,'07. Chart_QUỐC GIA'!$AE7,'06. BC BH THEO CUSTOMER-USD'!CV:CV),0)</f>
        <v>1150</v>
      </c>
      <c r="AJ7" s="508">
        <f>ROUND(SUMIF('06. BC BH THEO CUSTOMER-USD'!$F:$F,'07. Chart_QUỐC GIA'!$AE7,'06. BC BH THEO CUSTOMER-USD'!CW:CW),0)</f>
        <v>1086</v>
      </c>
      <c r="AK7" s="508">
        <f>ROUND(SUMIF('06. BC BH THEO CUSTOMER-USD'!$F:$F,'07. Chart_QUỐC GIA'!$AE7,'06. BC BH THEO CUSTOMER-USD'!CX:CX),0)</f>
        <v>1425</v>
      </c>
      <c r="AL7" s="508">
        <f>ROUND(SUMIF('06. BC BH THEO CUSTOMER-USD'!$F:$F,'07. Chart_QUỐC GIA'!$AE7,'06. BC BH THEO CUSTOMER-USD'!CY:CY),0)</f>
        <v>1810</v>
      </c>
      <c r="AM7" s="508">
        <f>ROUND(SUMIF('06. BC BH THEO CUSTOMER-USD'!$F:$F,'07. Chart_QUỐC GIA'!$AE7,'06. BC BH THEO CUSTOMER-USD'!CZ:CZ),0)</f>
        <v>2203</v>
      </c>
      <c r="AN7" s="508">
        <f>ROUND(SUMIF('06. BC BH THEO CUSTOMER-USD'!$F:$F,'07. Chart_QUỐC GIA'!$AE7,'06. BC BH THEO CUSTOMER-USD'!DA:DA),0)</f>
        <v>1921</v>
      </c>
      <c r="AO7" s="508">
        <f>ROUND(SUMIF('06. BC BH THEO CUSTOMER-USD'!$F:$F,'07. Chart_QUỐC GIA'!$AE7,'06. BC BH THEO CUSTOMER-USD'!DB:DB),0)</f>
        <v>0</v>
      </c>
      <c r="AP7" s="508">
        <f>ROUND(SUMIF('06. BC BH THEO CUSTOMER-USD'!$F:$F,'07. Chart_QUỐC GIA'!$AE7,'06. BC BH THEO CUSTOMER-USD'!DC:DC),0)</f>
        <v>0</v>
      </c>
      <c r="AQ7" s="508">
        <f>ROUND(SUMIF('06. BC BH THEO CUSTOMER-USD'!$F:$F,'07. Chart_QUỐC GIA'!$AE7,'06. BC BH THEO CUSTOMER-USD'!DD:DD),0)</f>
        <v>0</v>
      </c>
      <c r="AR7" s="620">
        <f>SUM(AF7:AQ7)</f>
        <v>13389</v>
      </c>
      <c r="AS7" s="345">
        <f ca="1">IFERROR(SUM(OFFSET(AF7:AQ7,0,0,1,$AS$5)),"-")</f>
        <v>11468</v>
      </c>
      <c r="AT7" s="624">
        <f t="shared" ref="AT7:AT25" si="14">RANK(AR7,$AR$7:$AR$28)</f>
        <v>2</v>
      </c>
      <c r="AV7" s="345">
        <v>965.32499999999982</v>
      </c>
      <c r="AW7" s="345">
        <v>1030.375</v>
      </c>
      <c r="AX7" s="345">
        <v>1092.3249999999998</v>
      </c>
      <c r="AY7" s="345">
        <v>845.65</v>
      </c>
      <c r="AZ7" s="345">
        <v>2140.6249999999995</v>
      </c>
      <c r="BA7" s="345">
        <v>1639.7499999999998</v>
      </c>
      <c r="BB7" s="345">
        <v>691.92499999999995</v>
      </c>
      <c r="BC7" s="345">
        <v>1301.1181999999999</v>
      </c>
      <c r="BD7" s="345">
        <v>1049.2000000000003</v>
      </c>
      <c r="BE7" s="345">
        <v>1373.5250000000001</v>
      </c>
      <c r="BF7" s="345">
        <v>1377.9250000000004</v>
      </c>
      <c r="BG7" s="345">
        <v>1473.35</v>
      </c>
      <c r="BH7" s="620">
        <f>SUM(AV7:BG7)</f>
        <v>14981.093200000001</v>
      </c>
      <c r="BI7" s="345">
        <f ca="1">IFERROR(SUM(OFFSET(AV7:BG7,0,0,1,$BI$5)),"-")</f>
        <v>9707.0931999999993</v>
      </c>
    </row>
    <row r="8" spans="1:61" hidden="1" outlineLevel="1" x14ac:dyDescent="0.35">
      <c r="A8" s="937" t="str">
        <f>_xlfn.XLOOKUP(C8,'Quy đổi'!$G$5:$G$32,'Quy đổi'!$H$5:$H$32,0)</f>
        <v>Bắc Mỹ</v>
      </c>
      <c r="B8" s="665">
        <v>2</v>
      </c>
      <c r="C8" s="666" t="str">
        <f t="shared" si="4"/>
        <v>Mỹ</v>
      </c>
      <c r="D8" s="667">
        <f t="shared" si="5"/>
        <v>1650</v>
      </c>
      <c r="E8" s="545">
        <f t="shared" ref="E8:E22" si="15">D8/$D$5</f>
        <v>0.31964354901201086</v>
      </c>
      <c r="F8" s="667">
        <f t="shared" si="6"/>
        <v>1672</v>
      </c>
      <c r="G8" s="545">
        <f>F8/$F$5</f>
        <v>0.36987728259301317</v>
      </c>
      <c r="I8" s="654">
        <v>2</v>
      </c>
      <c r="J8" s="655" t="str">
        <f t="shared" ref="J8:J21" si="16">AE8</f>
        <v>Mỹ</v>
      </c>
      <c r="K8" s="656">
        <f t="shared" si="7"/>
        <v>1650</v>
      </c>
      <c r="L8" s="657">
        <f t="shared" si="8"/>
        <v>2</v>
      </c>
      <c r="M8" s="1114">
        <f>K8+COUNTA($K$7:K8)*0.001</f>
        <v>1650.002</v>
      </c>
      <c r="O8" s="933" t="str">
        <f ca="1">_xlfn.XLOOKUP(Q8,'Quy đổi'!$G$5:$G$32,'Quy đổi'!$H$5:$H$32,0)</f>
        <v>Nội địa</v>
      </c>
      <c r="P8" s="665">
        <v>2</v>
      </c>
      <c r="Q8" s="666" t="str">
        <f t="shared" ca="1" si="9"/>
        <v>VN</v>
      </c>
      <c r="R8" s="667">
        <f t="shared" ca="1" si="10"/>
        <v>11468</v>
      </c>
      <c r="S8" s="545">
        <f t="shared" ref="S8:S28" ca="1" si="17">R8/$R$5</f>
        <v>0.32427541354446487</v>
      </c>
      <c r="T8" s="667">
        <f t="shared" ca="1" si="11"/>
        <v>9707.0931999999993</v>
      </c>
      <c r="U8" s="545">
        <f t="shared" ref="U8:U28" ca="1" si="18">T8/$T$5</f>
        <v>0.44526177173072395</v>
      </c>
      <c r="W8" s="654">
        <v>2</v>
      </c>
      <c r="X8" s="655" t="str">
        <f t="shared" ref="X8:X22" si="19">AE8</f>
        <v>Mỹ</v>
      </c>
      <c r="Y8" s="656">
        <f t="shared" ca="1" si="12"/>
        <v>14171</v>
      </c>
      <c r="Z8" s="1115">
        <f t="shared" ca="1" si="13"/>
        <v>1</v>
      </c>
      <c r="AA8" s="1116">
        <f ca="1">Y8+COUNTA($Y$7:Y8)*0.001</f>
        <v>14171.002</v>
      </c>
      <c r="AC8" s="929" t="str">
        <f>_xlfn.XLOOKUP(AE8,'Quy đổi'!$G$5:$G$32,'Quy đổi'!$H$5:$H$32,0)</f>
        <v>Bắc Mỹ</v>
      </c>
      <c r="AD8" s="322">
        <v>2</v>
      </c>
      <c r="AE8" s="247" t="s">
        <v>175</v>
      </c>
      <c r="AF8" s="510">
        <f>ROUND(SUMIF('06. BC BH THEO CUSTOMER-USD'!$F:$F,'07. Chart_QUỐC GIA'!$AE8,'06. BC BH THEO CUSTOMER-USD'!CS:CS),0)</f>
        <v>2376</v>
      </c>
      <c r="AG8" s="510">
        <f>ROUND(SUMIF('06. BC BH THEO CUSTOMER-USD'!$F:$F,'07. Chart_QUỐC GIA'!$AE8,'06. BC BH THEO CUSTOMER-USD'!CT:CT),0)</f>
        <v>2002</v>
      </c>
      <c r="AH8" s="510">
        <f>ROUND(SUMIF('06. BC BH THEO CUSTOMER-USD'!$F:$F,'07. Chart_QUỐC GIA'!$AE8,'06. BC BH THEO CUSTOMER-USD'!CU:CU),0)</f>
        <v>1892</v>
      </c>
      <c r="AI8" s="510">
        <f>ROUND(SUMIF('06. BC BH THEO CUSTOMER-USD'!$F:$F,'07. Chart_QUỐC GIA'!$AE8,'06. BC BH THEO CUSTOMER-USD'!CV:CV),0)</f>
        <v>1452</v>
      </c>
      <c r="AJ8" s="510">
        <f>ROUND(SUMIF('06. BC BH THEO CUSTOMER-USD'!$F:$F,'07. Chart_QUỐC GIA'!$AE8,'06. BC BH THEO CUSTOMER-USD'!CW:CW),0)</f>
        <v>2090</v>
      </c>
      <c r="AK8" s="510">
        <f>ROUND(SUMIF('06. BC BH THEO CUSTOMER-USD'!$F:$F,'07. Chart_QUỐC GIA'!$AE8,'06. BC BH THEO CUSTOMER-USD'!CX:CX),0)</f>
        <v>972</v>
      </c>
      <c r="AL8" s="510">
        <f>ROUND(SUMIF('06. BC BH THEO CUSTOMER-USD'!$F:$F,'07. Chart_QUỐC GIA'!$AE8,'06. BC BH THEO CUSTOMER-USD'!CY:CY),0)</f>
        <v>1737</v>
      </c>
      <c r="AM8" s="510">
        <f>ROUND(SUMIF('06. BC BH THEO CUSTOMER-USD'!$F:$F,'07. Chart_QUỐC GIA'!$AE8,'06. BC BH THEO CUSTOMER-USD'!CZ:CZ),0)</f>
        <v>1650</v>
      </c>
      <c r="AN8" s="510">
        <f>ROUND(SUMIF('06. BC BH THEO CUSTOMER-USD'!$F:$F,'07. Chart_QUỐC GIA'!$AE8,'06. BC BH THEO CUSTOMER-USD'!DA:DA),0)</f>
        <v>638</v>
      </c>
      <c r="AO8" s="510">
        <f>ROUND(SUMIF('06. BC BH THEO CUSTOMER-USD'!$F:$F,'07. Chart_QUỐC GIA'!$AE8,'06. BC BH THEO CUSTOMER-USD'!DB:DB),0)</f>
        <v>0</v>
      </c>
      <c r="AP8" s="510">
        <f>ROUND(SUMIF('06. BC BH THEO CUSTOMER-USD'!$F:$F,'07. Chart_QUỐC GIA'!$AE8,'06. BC BH THEO CUSTOMER-USD'!DC:DC),0)</f>
        <v>0</v>
      </c>
      <c r="AQ8" s="510">
        <f>ROUND(SUMIF('06. BC BH THEO CUSTOMER-USD'!$F:$F,'07. Chart_QUỐC GIA'!$AE8,'06. BC BH THEO CUSTOMER-USD'!DD:DD),0)</f>
        <v>0</v>
      </c>
      <c r="AR8" s="621">
        <f t="shared" ref="AR8:AR22" si="20">SUM(AF8:AQ8)</f>
        <v>14809</v>
      </c>
      <c r="AS8" s="346">
        <f t="shared" ref="AS8:AS28" ca="1" si="21">IFERROR(SUM(OFFSET(AF8:AQ8,0,0,1,$AS$5)),"-")</f>
        <v>14171</v>
      </c>
      <c r="AT8" s="624">
        <f t="shared" si="14"/>
        <v>1</v>
      </c>
      <c r="AV8" s="346">
        <v>1166</v>
      </c>
      <c r="AW8" s="346">
        <v>770</v>
      </c>
      <c r="AX8" s="346">
        <v>704</v>
      </c>
      <c r="AY8" s="346">
        <v>1254</v>
      </c>
      <c r="AZ8" s="346">
        <v>440</v>
      </c>
      <c r="BA8" s="346">
        <v>198</v>
      </c>
      <c r="BB8" s="346">
        <v>836</v>
      </c>
      <c r="BC8" s="346">
        <v>1672</v>
      </c>
      <c r="BD8" s="346">
        <v>2046</v>
      </c>
      <c r="BE8" s="346">
        <v>1188</v>
      </c>
      <c r="BF8" s="346">
        <v>462</v>
      </c>
      <c r="BG8" s="346">
        <v>1430</v>
      </c>
      <c r="BH8" s="621">
        <f t="shared" ref="BH8:BH28" si="22">SUM(AV8:BG8)</f>
        <v>12166</v>
      </c>
      <c r="BI8" s="346">
        <f t="shared" ref="BI8:BI28" ca="1" si="23">IFERROR(SUM(OFFSET(AV8:BG8,0,0,1,$BI$5)),"-")</f>
        <v>7040</v>
      </c>
    </row>
    <row r="9" spans="1:61" ht="15.5" hidden="1" outlineLevel="1" x14ac:dyDescent="0.35">
      <c r="A9" s="938" t="str">
        <f>_xlfn.XLOOKUP(C9,'Quy đổi'!$G$5:$G$32,'Quy đổi'!$H$5:$H$32,0)</f>
        <v>Châu Âu</v>
      </c>
      <c r="B9" s="665">
        <v>3</v>
      </c>
      <c r="C9" s="666" t="str">
        <f t="shared" si="4"/>
        <v>Bồ Đào Nha</v>
      </c>
      <c r="D9" s="667">
        <f t="shared" si="5"/>
        <v>880</v>
      </c>
      <c r="E9" s="545">
        <f t="shared" si="15"/>
        <v>0.17047655947307244</v>
      </c>
      <c r="F9" s="667">
        <f t="shared" si="6"/>
        <v>660</v>
      </c>
      <c r="G9" s="545">
        <f t="shared" ref="G9:G28" si="24">F9/$F$5</f>
        <v>0.14600419049724203</v>
      </c>
      <c r="I9" s="654">
        <v>3</v>
      </c>
      <c r="J9" s="655" t="str">
        <f t="shared" si="16"/>
        <v>Australia</v>
      </c>
      <c r="K9" s="656">
        <f t="shared" si="7"/>
        <v>44</v>
      </c>
      <c r="L9" s="657">
        <f t="shared" si="8"/>
        <v>7</v>
      </c>
      <c r="M9" s="1114">
        <f>K9+COUNTA($K$7:K9)*0.001</f>
        <v>44.003</v>
      </c>
      <c r="O9" s="934" t="str">
        <f ca="1">_xlfn.XLOOKUP(Q9,'Quy đổi'!$G$5:$G$32,'Quy đổi'!$H$5:$H$32,0)</f>
        <v>Châu Âu</v>
      </c>
      <c r="P9" s="665">
        <v>3</v>
      </c>
      <c r="Q9" s="666" t="str">
        <f t="shared" ca="1" si="9"/>
        <v>Bồ Đào Nha</v>
      </c>
      <c r="R9" s="667">
        <f t="shared" ca="1" si="10"/>
        <v>6185</v>
      </c>
      <c r="S9" s="545">
        <f t="shared" ca="1" si="17"/>
        <v>0.1748904283896508</v>
      </c>
      <c r="T9" s="667">
        <f t="shared" ca="1" si="11"/>
        <v>1980</v>
      </c>
      <c r="U9" s="545">
        <f t="shared" ca="1" si="18"/>
        <v>9.0822071021923786E-2</v>
      </c>
      <c r="W9" s="654">
        <v>3</v>
      </c>
      <c r="X9" s="655" t="str">
        <f t="shared" si="19"/>
        <v>Australia</v>
      </c>
      <c r="Y9" s="656">
        <f t="shared" ca="1" si="12"/>
        <v>88</v>
      </c>
      <c r="Z9" s="1115">
        <f t="shared" ca="1" si="13"/>
        <v>13</v>
      </c>
      <c r="AA9" s="1116">
        <f ca="1">Y9+COUNTA($Y$7:Y9)*0.001</f>
        <v>88.003</v>
      </c>
      <c r="AC9" s="930" t="str">
        <f>_xlfn.XLOOKUP(AE9,'Quy đổi'!$G$5:$G$32,'Quy đổi'!$H$5:$H$32,0)</f>
        <v>Châu á</v>
      </c>
      <c r="AD9" s="322">
        <v>3</v>
      </c>
      <c r="AE9" s="31" t="s">
        <v>249</v>
      </c>
      <c r="AF9" s="510">
        <f>ROUND(SUMIF('06. BC BH THEO CUSTOMER-USD'!$F:$F,'07. Chart_QUỐC GIA'!$AE9,'06. BC BH THEO CUSTOMER-USD'!CS:CS),0)</f>
        <v>0</v>
      </c>
      <c r="AG9" s="510">
        <f>ROUND(SUMIF('06. BC BH THEO CUSTOMER-USD'!$F:$F,'07. Chart_QUỐC GIA'!$AE9,'06. BC BH THEO CUSTOMER-USD'!CT:CT),0)</f>
        <v>0</v>
      </c>
      <c r="AH9" s="510">
        <f>ROUND(SUMIF('06. BC BH THEO CUSTOMER-USD'!$F:$F,'07. Chart_QUỐC GIA'!$AE9,'06. BC BH THEO CUSTOMER-USD'!CU:CU),0)</f>
        <v>0</v>
      </c>
      <c r="AI9" s="510">
        <f>ROUND(SUMIF('06. BC BH THEO CUSTOMER-USD'!$F:$F,'07. Chart_QUỐC GIA'!$AE9,'06. BC BH THEO CUSTOMER-USD'!CV:CV),0)</f>
        <v>0</v>
      </c>
      <c r="AJ9" s="510">
        <f>ROUND(SUMIF('06. BC BH THEO CUSTOMER-USD'!$F:$F,'07. Chart_QUỐC GIA'!$AE9,'06. BC BH THEO CUSTOMER-USD'!CW:CW),0)</f>
        <v>44</v>
      </c>
      <c r="AK9" s="510">
        <f>ROUND(SUMIF('06. BC BH THEO CUSTOMER-USD'!$F:$F,'07. Chart_QUỐC GIA'!$AE9,'06. BC BH THEO CUSTOMER-USD'!CX:CX),0)</f>
        <v>0</v>
      </c>
      <c r="AL9" s="510">
        <f>ROUND(SUMIF('06. BC BH THEO CUSTOMER-USD'!$F:$F,'07. Chart_QUỐC GIA'!$AE9,'06. BC BH THEO CUSTOMER-USD'!CY:CY),0)</f>
        <v>0</v>
      </c>
      <c r="AM9" s="510">
        <f>ROUND(SUMIF('06. BC BH THEO CUSTOMER-USD'!$F:$F,'07. Chart_QUỐC GIA'!$AE9,'06. BC BH THEO CUSTOMER-USD'!CZ:CZ),0)</f>
        <v>44</v>
      </c>
      <c r="AN9" s="510">
        <f>ROUND(SUMIF('06. BC BH THEO CUSTOMER-USD'!$F:$F,'07. Chart_QUỐC GIA'!$AE9,'06. BC BH THEO CUSTOMER-USD'!DA:DA),0)</f>
        <v>66</v>
      </c>
      <c r="AO9" s="510">
        <f>ROUND(SUMIF('06. BC BH THEO CUSTOMER-USD'!$F:$F,'07. Chart_QUỐC GIA'!$AE9,'06. BC BH THEO CUSTOMER-USD'!DB:DB),0)</f>
        <v>0</v>
      </c>
      <c r="AP9" s="510">
        <f>ROUND(SUMIF('06. BC BH THEO CUSTOMER-USD'!$F:$F,'07. Chart_QUỐC GIA'!$AE9,'06. BC BH THEO CUSTOMER-USD'!DC:DC),0)</f>
        <v>0</v>
      </c>
      <c r="AQ9" s="510">
        <f>ROUND(SUMIF('06. BC BH THEO CUSTOMER-USD'!$F:$F,'07. Chart_QUỐC GIA'!$AE9,'06. BC BH THEO CUSTOMER-USD'!DD:DD),0)</f>
        <v>0</v>
      </c>
      <c r="AR9" s="621">
        <f t="shared" si="20"/>
        <v>154</v>
      </c>
      <c r="AS9" s="346">
        <f t="shared" ca="1" si="21"/>
        <v>88</v>
      </c>
      <c r="AT9" s="624">
        <f t="shared" si="14"/>
        <v>11</v>
      </c>
      <c r="AV9" s="346">
        <v>0</v>
      </c>
      <c r="AW9" s="346">
        <v>0</v>
      </c>
      <c r="AX9" s="346">
        <v>44</v>
      </c>
      <c r="AY9" s="346">
        <v>0</v>
      </c>
      <c r="AZ9" s="346">
        <v>44</v>
      </c>
      <c r="BA9" s="346">
        <v>0</v>
      </c>
      <c r="BB9" s="346">
        <v>0</v>
      </c>
      <c r="BC9" s="346">
        <v>0</v>
      </c>
      <c r="BD9" s="346">
        <v>44</v>
      </c>
      <c r="BE9" s="346">
        <v>44</v>
      </c>
      <c r="BF9" s="346">
        <v>44</v>
      </c>
      <c r="BG9" s="346">
        <v>0</v>
      </c>
      <c r="BH9" s="621">
        <f t="shared" si="22"/>
        <v>220</v>
      </c>
      <c r="BI9" s="346">
        <f t="shared" ca="1" si="23"/>
        <v>88</v>
      </c>
    </row>
    <row r="10" spans="1:61" ht="15.5" hidden="1" outlineLevel="1" x14ac:dyDescent="0.35">
      <c r="A10" s="938" t="str">
        <f>_xlfn.XLOOKUP(C10,'Quy đổi'!$G$5:$G$32,'Quy đổi'!$H$5:$H$32,0)</f>
        <v>Châu á</v>
      </c>
      <c r="B10" s="665">
        <v>4</v>
      </c>
      <c r="C10" s="666" t="str">
        <f t="shared" si="4"/>
        <v>Hong Kong</v>
      </c>
      <c r="D10" s="667">
        <f t="shared" si="5"/>
        <v>220</v>
      </c>
      <c r="E10" s="545">
        <f t="shared" si="15"/>
        <v>4.2619139868268111E-2</v>
      </c>
      <c r="F10" s="667">
        <f t="shared" si="6"/>
        <v>887.3</v>
      </c>
      <c r="G10" s="545">
        <f t="shared" si="24"/>
        <v>0.19628714883061038</v>
      </c>
      <c r="I10" s="654">
        <v>4</v>
      </c>
      <c r="J10" s="655" t="str">
        <f t="shared" si="16"/>
        <v>Bồ Đào Nha</v>
      </c>
      <c r="K10" s="656">
        <f t="shared" si="7"/>
        <v>880</v>
      </c>
      <c r="L10" s="657">
        <f t="shared" si="8"/>
        <v>3</v>
      </c>
      <c r="M10" s="1114">
        <f>K10+COUNTA($K$7:K10)*0.001</f>
        <v>880.00400000000002</v>
      </c>
      <c r="O10" s="934" t="str">
        <f ca="1">_xlfn.XLOOKUP(Q10,'Quy đổi'!$G$5:$G$32,'Quy đổi'!$H$5:$H$32,0)</f>
        <v>Châu Âu</v>
      </c>
      <c r="P10" s="665">
        <v>4</v>
      </c>
      <c r="Q10" s="666" t="str">
        <f t="shared" ca="1" si="9"/>
        <v>Luxembourg</v>
      </c>
      <c r="R10" s="667">
        <f t="shared" ca="1" si="10"/>
        <v>1188</v>
      </c>
      <c r="S10" s="545">
        <f t="shared" ca="1" si="17"/>
        <v>3.3592534992223949E-2</v>
      </c>
      <c r="T10" s="667">
        <f t="shared" ca="1" si="11"/>
        <v>0</v>
      </c>
      <c r="U10" s="545">
        <f t="shared" ca="1" si="18"/>
        <v>0</v>
      </c>
      <c r="W10" s="654">
        <v>4</v>
      </c>
      <c r="X10" s="655" t="str">
        <f t="shared" si="19"/>
        <v>Bồ Đào Nha</v>
      </c>
      <c r="Y10" s="656">
        <f t="shared" ca="1" si="12"/>
        <v>6185</v>
      </c>
      <c r="Z10" s="1115">
        <f t="shared" ca="1" si="13"/>
        <v>3</v>
      </c>
      <c r="AA10" s="1116">
        <f ca="1">Y10+COUNTA($Y$7:Y10)*0.001</f>
        <v>6185.0039999999999</v>
      </c>
      <c r="AC10" s="930" t="str">
        <f>_xlfn.XLOOKUP(AE10,'Quy đổi'!$G$5:$G$32,'Quy đổi'!$H$5:$H$32,0)</f>
        <v>Châu Âu</v>
      </c>
      <c r="AD10" s="322">
        <v>4</v>
      </c>
      <c r="AE10" s="12" t="s">
        <v>246</v>
      </c>
      <c r="AF10" s="510">
        <f>ROUND(SUMIF('06. BC BH THEO CUSTOMER-USD'!$F:$F,'07. Chart_QUỐC GIA'!$AE10,'06. BC BH THEO CUSTOMER-USD'!CS:CS),0)</f>
        <v>0</v>
      </c>
      <c r="AG10" s="510">
        <f>ROUND(SUMIF('06. BC BH THEO CUSTOMER-USD'!$F:$F,'07. Chart_QUỐC GIA'!$AE10,'06. BC BH THEO CUSTOMER-USD'!CT:CT),0)</f>
        <v>905</v>
      </c>
      <c r="AH10" s="510">
        <f>ROUND(SUMIF('06. BC BH THEO CUSTOMER-USD'!$F:$F,'07. Chart_QUỐC GIA'!$AE10,'06. BC BH THEO CUSTOMER-USD'!CU:CU),0)</f>
        <v>880</v>
      </c>
      <c r="AI10" s="510">
        <f>ROUND(SUMIF('06. BC BH THEO CUSTOMER-USD'!$F:$F,'07. Chart_QUỐC GIA'!$AE10,'06. BC BH THEO CUSTOMER-USD'!CV:CV),0)</f>
        <v>880</v>
      </c>
      <c r="AJ10" s="510">
        <f>ROUND(SUMIF('06. BC BH THEO CUSTOMER-USD'!$F:$F,'07. Chart_QUỐC GIA'!$AE10,'06. BC BH THEO CUSTOMER-USD'!CW:CW),0)</f>
        <v>880</v>
      </c>
      <c r="AK10" s="510">
        <f>ROUND(SUMIF('06. BC BH THEO CUSTOMER-USD'!$F:$F,'07. Chart_QUỐC GIA'!$AE10,'06. BC BH THEO CUSTOMER-USD'!CX:CX),0)</f>
        <v>880</v>
      </c>
      <c r="AL10" s="510">
        <f>ROUND(SUMIF('06. BC BH THEO CUSTOMER-USD'!$F:$F,'07. Chart_QUỐC GIA'!$AE10,'06. BC BH THEO CUSTOMER-USD'!CY:CY),0)</f>
        <v>880</v>
      </c>
      <c r="AM10" s="510">
        <f>ROUND(SUMIF('06. BC BH THEO CUSTOMER-USD'!$F:$F,'07. Chart_QUỐC GIA'!$AE10,'06. BC BH THEO CUSTOMER-USD'!CZ:CZ),0)</f>
        <v>880</v>
      </c>
      <c r="AN10" s="510">
        <f>ROUND(SUMIF('06. BC BH THEO CUSTOMER-USD'!$F:$F,'07. Chart_QUỐC GIA'!$AE10,'06. BC BH THEO CUSTOMER-USD'!DA:DA),0)</f>
        <v>0</v>
      </c>
      <c r="AO10" s="510">
        <f>ROUND(SUMIF('06. BC BH THEO CUSTOMER-USD'!$F:$F,'07. Chart_QUỐC GIA'!$AE10,'06. BC BH THEO CUSTOMER-USD'!DB:DB),0)</f>
        <v>0</v>
      </c>
      <c r="AP10" s="510">
        <f>ROUND(SUMIF('06. BC BH THEO CUSTOMER-USD'!$F:$F,'07. Chart_QUỐC GIA'!$AE10,'06. BC BH THEO CUSTOMER-USD'!DC:DC),0)</f>
        <v>0</v>
      </c>
      <c r="AQ10" s="510">
        <f>ROUND(SUMIF('06. BC BH THEO CUSTOMER-USD'!$F:$F,'07. Chart_QUỐC GIA'!$AE10,'06. BC BH THEO CUSTOMER-USD'!DD:DD),0)</f>
        <v>0</v>
      </c>
      <c r="AR10" s="621">
        <f t="shared" si="20"/>
        <v>6185</v>
      </c>
      <c r="AS10" s="346">
        <f t="shared" ca="1" si="21"/>
        <v>6185</v>
      </c>
      <c r="AT10" s="624">
        <f t="shared" si="14"/>
        <v>3</v>
      </c>
      <c r="AV10" s="346">
        <v>0</v>
      </c>
      <c r="AW10" s="346">
        <v>0</v>
      </c>
      <c r="AX10" s="346">
        <v>660</v>
      </c>
      <c r="AY10" s="346">
        <v>660</v>
      </c>
      <c r="AZ10" s="346">
        <v>0</v>
      </c>
      <c r="BA10" s="346">
        <v>0</v>
      </c>
      <c r="BB10" s="346">
        <v>0</v>
      </c>
      <c r="BC10" s="346">
        <v>660</v>
      </c>
      <c r="BD10" s="346">
        <v>770</v>
      </c>
      <c r="BE10" s="346">
        <v>220</v>
      </c>
      <c r="BF10" s="346">
        <v>0</v>
      </c>
      <c r="BG10" s="346">
        <v>0</v>
      </c>
      <c r="BH10" s="621">
        <f t="shared" si="22"/>
        <v>2970</v>
      </c>
      <c r="BI10" s="346">
        <f t="shared" ca="1" si="23"/>
        <v>1980</v>
      </c>
    </row>
    <row r="11" spans="1:61" ht="15.5" hidden="1" outlineLevel="1" x14ac:dyDescent="0.35">
      <c r="A11" s="938" t="str">
        <f>_xlfn.XLOOKUP(C11,'Quy đổi'!$G$5:$G$32,'Quy đổi'!$H$5:$H$32,0)</f>
        <v>Châu Âu</v>
      </c>
      <c r="B11" s="665">
        <v>5</v>
      </c>
      <c r="C11" s="666" t="str">
        <f t="shared" si="4"/>
        <v>Luxembourg</v>
      </c>
      <c r="D11" s="667">
        <f t="shared" si="5"/>
        <v>99</v>
      </c>
      <c r="E11" s="545">
        <f t="shared" si="15"/>
        <v>1.9178612940720652E-2</v>
      </c>
      <c r="F11" s="667">
        <f t="shared" si="6"/>
        <v>0</v>
      </c>
      <c r="G11" s="545">
        <f t="shared" si="24"/>
        <v>0</v>
      </c>
      <c r="I11" s="654">
        <v>5</v>
      </c>
      <c r="J11" s="655" t="str">
        <f t="shared" si="16"/>
        <v>Bulgaria</v>
      </c>
      <c r="K11" s="656">
        <f t="shared" si="7"/>
        <v>0</v>
      </c>
      <c r="L11" s="657" t="str">
        <f t="shared" si="8"/>
        <v>-</v>
      </c>
      <c r="M11" s="1114">
        <f>K11+COUNTA($K$7:K11)*0.001</f>
        <v>5.0000000000000001E-3</v>
      </c>
      <c r="O11" s="934" t="str">
        <f ca="1">_xlfn.XLOOKUP(Q11,'Quy đổi'!$G$5:$G$32,'Quy đổi'!$H$5:$H$32,0)</f>
        <v>Châu á</v>
      </c>
      <c r="P11" s="665">
        <v>5</v>
      </c>
      <c r="Q11" s="666" t="str">
        <f t="shared" ca="1" si="9"/>
        <v>Hong Kong</v>
      </c>
      <c r="R11" s="667">
        <f t="shared" ca="1" si="10"/>
        <v>440</v>
      </c>
      <c r="S11" s="545">
        <f t="shared" ca="1" si="17"/>
        <v>1.2441679626749611E-2</v>
      </c>
      <c r="T11" s="667">
        <f t="shared" ca="1" si="11"/>
        <v>1098.5</v>
      </c>
      <c r="U11" s="668">
        <f t="shared" ca="1" si="18"/>
        <v>5.0387901524031962E-2</v>
      </c>
      <c r="W11" s="654">
        <v>5</v>
      </c>
      <c r="X11" s="655" t="str">
        <f t="shared" si="19"/>
        <v>Bulgaria</v>
      </c>
      <c r="Y11" s="656">
        <f t="shared" ca="1" si="12"/>
        <v>110</v>
      </c>
      <c r="Z11" s="1115">
        <f t="shared" ca="1" si="13"/>
        <v>12</v>
      </c>
      <c r="AA11" s="1116">
        <f ca="1">Y11+COUNTA($Y$7:Y11)*0.001</f>
        <v>110.005</v>
      </c>
      <c r="AC11" s="930" t="str">
        <f>_xlfn.XLOOKUP(AE11,'Quy đổi'!$G$5:$G$32,'Quy đổi'!$H$5:$H$32,0)</f>
        <v>Châu Âu</v>
      </c>
      <c r="AD11" s="322">
        <v>5</v>
      </c>
      <c r="AE11" s="12" t="s">
        <v>254</v>
      </c>
      <c r="AF11" s="510">
        <f>ROUND(SUMIF('06. BC BH THEO CUSTOMER-USD'!$F:$F,'07. Chart_QUỐC GIA'!$AE11,'06. BC BH THEO CUSTOMER-USD'!CS:CS),0)</f>
        <v>0</v>
      </c>
      <c r="AG11" s="510">
        <f>ROUND(SUMIF('06. BC BH THEO CUSTOMER-USD'!$F:$F,'07. Chart_QUỐC GIA'!$AE11,'06. BC BH THEO CUSTOMER-USD'!CT:CT),0)</f>
        <v>44</v>
      </c>
      <c r="AH11" s="510">
        <f>ROUND(SUMIF('06. BC BH THEO CUSTOMER-USD'!$F:$F,'07. Chart_QUỐC GIA'!$AE11,'06. BC BH THEO CUSTOMER-USD'!CU:CU),0)</f>
        <v>0</v>
      </c>
      <c r="AI11" s="510">
        <f>ROUND(SUMIF('06. BC BH THEO CUSTOMER-USD'!$F:$F,'07. Chart_QUỐC GIA'!$AE11,'06. BC BH THEO CUSTOMER-USD'!CV:CV),0)</f>
        <v>44</v>
      </c>
      <c r="AJ11" s="510">
        <f>ROUND(SUMIF('06. BC BH THEO CUSTOMER-USD'!$F:$F,'07. Chart_QUỐC GIA'!$AE11,'06. BC BH THEO CUSTOMER-USD'!CW:CW),0)</f>
        <v>0</v>
      </c>
      <c r="AK11" s="510">
        <f>ROUND(SUMIF('06. BC BH THEO CUSTOMER-USD'!$F:$F,'07. Chart_QUỐC GIA'!$AE11,'06. BC BH THEO CUSTOMER-USD'!CX:CX),0)</f>
        <v>22</v>
      </c>
      <c r="AL11" s="510">
        <f>ROUND(SUMIF('06. BC BH THEO CUSTOMER-USD'!$F:$F,'07. Chart_QUỐC GIA'!$AE11,'06. BC BH THEO CUSTOMER-USD'!CY:CY),0)</f>
        <v>0</v>
      </c>
      <c r="AM11" s="510">
        <f>ROUND(SUMIF('06. BC BH THEO CUSTOMER-USD'!$F:$F,'07. Chart_QUỐC GIA'!$AE11,'06. BC BH THEO CUSTOMER-USD'!CZ:CZ),0)</f>
        <v>0</v>
      </c>
      <c r="AN11" s="510">
        <f>ROUND(SUMIF('06. BC BH THEO CUSTOMER-USD'!$F:$F,'07. Chart_QUỐC GIA'!$AE11,'06. BC BH THEO CUSTOMER-USD'!DA:DA),0)</f>
        <v>0</v>
      </c>
      <c r="AO11" s="510">
        <f>ROUND(SUMIF('06. BC BH THEO CUSTOMER-USD'!$F:$F,'07. Chart_QUỐC GIA'!$AE11,'06. BC BH THEO CUSTOMER-USD'!DB:DB),0)</f>
        <v>0</v>
      </c>
      <c r="AP11" s="510">
        <f>ROUND(SUMIF('06. BC BH THEO CUSTOMER-USD'!$F:$F,'07. Chart_QUỐC GIA'!$AE11,'06. BC BH THEO CUSTOMER-USD'!DC:DC),0)</f>
        <v>0</v>
      </c>
      <c r="AQ11" s="510">
        <f>ROUND(SUMIF('06. BC BH THEO CUSTOMER-USD'!$F:$F,'07. Chart_QUỐC GIA'!$AE11,'06. BC BH THEO CUSTOMER-USD'!DD:DD),0)</f>
        <v>0</v>
      </c>
      <c r="AR11" s="621">
        <f t="shared" si="20"/>
        <v>110</v>
      </c>
      <c r="AS11" s="346">
        <f t="shared" ca="1" si="21"/>
        <v>110</v>
      </c>
      <c r="AT11" s="624">
        <f t="shared" si="14"/>
        <v>12</v>
      </c>
      <c r="AV11" s="346">
        <v>0</v>
      </c>
      <c r="AW11" s="346">
        <v>0</v>
      </c>
      <c r="AX11" s="346">
        <v>0</v>
      </c>
      <c r="AY11" s="346">
        <v>0</v>
      </c>
      <c r="AZ11" s="346">
        <v>0</v>
      </c>
      <c r="BA11" s="346">
        <v>0</v>
      </c>
      <c r="BB11" s="346">
        <v>0</v>
      </c>
      <c r="BC11" s="346">
        <v>0</v>
      </c>
      <c r="BD11" s="346">
        <v>0</v>
      </c>
      <c r="BE11" s="346">
        <v>88</v>
      </c>
      <c r="BF11" s="346">
        <v>0</v>
      </c>
      <c r="BG11" s="346">
        <v>0</v>
      </c>
      <c r="BH11" s="621">
        <f t="shared" si="22"/>
        <v>88</v>
      </c>
      <c r="BI11" s="346">
        <f t="shared" ca="1" si="23"/>
        <v>0</v>
      </c>
    </row>
    <row r="12" spans="1:61" ht="15.5" hidden="1" outlineLevel="1" x14ac:dyDescent="0.35">
      <c r="A12" s="938" t="str">
        <f>_xlfn.XLOOKUP(C12,'Quy đổi'!$G$5:$G$32,'Quy đổi'!$H$5:$H$32,0)</f>
        <v>Châu Âu</v>
      </c>
      <c r="B12" s="665">
        <v>6</v>
      </c>
      <c r="C12" s="666" t="str">
        <f t="shared" si="4"/>
        <v>Hy Lạp</v>
      </c>
      <c r="D12" s="667">
        <f t="shared" si="5"/>
        <v>66</v>
      </c>
      <c r="E12" s="545">
        <f t="shared" si="15"/>
        <v>1.2785741960480435E-2</v>
      </c>
      <c r="F12" s="667">
        <f t="shared" si="6"/>
        <v>0</v>
      </c>
      <c r="G12" s="545">
        <f t="shared" si="24"/>
        <v>0</v>
      </c>
      <c r="I12" s="654">
        <v>6</v>
      </c>
      <c r="J12" s="655" t="str">
        <f t="shared" si="16"/>
        <v>Hàn Quốc</v>
      </c>
      <c r="K12" s="656">
        <f t="shared" si="7"/>
        <v>0</v>
      </c>
      <c r="L12" s="657" t="str">
        <f t="shared" si="8"/>
        <v>-</v>
      </c>
      <c r="M12" s="1114">
        <f>K12+COUNTA($K$7:K12)*0.001</f>
        <v>6.0000000000000001E-3</v>
      </c>
      <c r="O12" s="934" t="str">
        <f ca="1">_xlfn.XLOOKUP(Q12,'Quy đổi'!$G$5:$G$32,'Quy đổi'!$H$5:$H$32,0)</f>
        <v>Châu Âu</v>
      </c>
      <c r="P12" s="665">
        <v>6</v>
      </c>
      <c r="Q12" s="666" t="str">
        <f t="shared" ca="1" si="9"/>
        <v>Thụy Sĩ</v>
      </c>
      <c r="R12" s="667">
        <f t="shared" ca="1" si="10"/>
        <v>418</v>
      </c>
      <c r="S12" s="545">
        <f t="shared" ca="1" si="17"/>
        <v>1.181959564541213E-2</v>
      </c>
      <c r="T12" s="667">
        <f t="shared" ca="1" si="11"/>
        <v>22</v>
      </c>
      <c r="U12" s="668">
        <f t="shared" ca="1" si="18"/>
        <v>1.0091341224658199E-3</v>
      </c>
      <c r="W12" s="654">
        <v>6</v>
      </c>
      <c r="X12" s="655" t="str">
        <f t="shared" si="19"/>
        <v>Hàn Quốc</v>
      </c>
      <c r="Y12" s="656">
        <f t="shared" ca="1" si="12"/>
        <v>327</v>
      </c>
      <c r="Z12" s="1115">
        <f t="shared" ca="1" si="13"/>
        <v>7</v>
      </c>
      <c r="AA12" s="1116">
        <f ca="1">Y12+COUNTA($Y$7:Y12)*0.001</f>
        <v>327.00599999999997</v>
      </c>
      <c r="AC12" s="930" t="str">
        <f>_xlfn.XLOOKUP(AE12,'Quy đổi'!$G$5:$G$32,'Quy đổi'!$H$5:$H$32,0)</f>
        <v>Châu á</v>
      </c>
      <c r="AD12" s="322">
        <v>6</v>
      </c>
      <c r="AE12" s="12" t="s">
        <v>253</v>
      </c>
      <c r="AF12" s="510">
        <f>ROUND(SUMIF('06. BC BH THEO CUSTOMER-USD'!$F:$F,'07. Chart_QUỐC GIA'!$AE12,'06. BC BH THEO CUSTOMER-USD'!CS:CS),0)</f>
        <v>132</v>
      </c>
      <c r="AG12" s="510">
        <f>ROUND(SUMIF('06. BC BH THEO CUSTOMER-USD'!$F:$F,'07. Chart_QUỐC GIA'!$AE12,'06. BC BH THEO CUSTOMER-USD'!CT:CT),0)</f>
        <v>0</v>
      </c>
      <c r="AH12" s="510">
        <f>ROUND(SUMIF('06. BC BH THEO CUSTOMER-USD'!$F:$F,'07. Chart_QUỐC GIA'!$AE12,'06. BC BH THEO CUSTOMER-USD'!CU:CU),0)</f>
        <v>44</v>
      </c>
      <c r="AI12" s="510">
        <f>ROUND(SUMIF('06. BC BH THEO CUSTOMER-USD'!$F:$F,'07. Chart_QUỐC GIA'!$AE12,'06. BC BH THEO CUSTOMER-USD'!CV:CV),0)</f>
        <v>88</v>
      </c>
      <c r="AJ12" s="510">
        <f>ROUND(SUMIF('06. BC BH THEO CUSTOMER-USD'!$F:$F,'07. Chart_QUỐC GIA'!$AE12,'06. BC BH THEO CUSTOMER-USD'!CW:CW),0)</f>
        <v>0</v>
      </c>
      <c r="AK12" s="510">
        <f>ROUND(SUMIF('06. BC BH THEO CUSTOMER-USD'!$F:$F,'07. Chart_QUỐC GIA'!$AE12,'06. BC BH THEO CUSTOMER-USD'!CX:CX),0)</f>
        <v>63</v>
      </c>
      <c r="AL12" s="510">
        <f>ROUND(SUMIF('06. BC BH THEO CUSTOMER-USD'!$F:$F,'07. Chart_QUỐC GIA'!$AE12,'06. BC BH THEO CUSTOMER-USD'!CY:CY),0)</f>
        <v>0</v>
      </c>
      <c r="AM12" s="510">
        <f>ROUND(SUMIF('06. BC BH THEO CUSTOMER-USD'!$F:$F,'07. Chart_QUỐC GIA'!$AE12,'06. BC BH THEO CUSTOMER-USD'!CZ:CZ),0)</f>
        <v>0</v>
      </c>
      <c r="AN12" s="510">
        <f>ROUND(SUMIF('06. BC BH THEO CUSTOMER-USD'!$F:$F,'07. Chart_QUỐC GIA'!$AE12,'06. BC BH THEO CUSTOMER-USD'!DA:DA),0)</f>
        <v>0</v>
      </c>
      <c r="AO12" s="510">
        <f>ROUND(SUMIF('06. BC BH THEO CUSTOMER-USD'!$F:$F,'07. Chart_QUỐC GIA'!$AE12,'06. BC BH THEO CUSTOMER-USD'!DB:DB),0)</f>
        <v>0</v>
      </c>
      <c r="AP12" s="510">
        <f>ROUND(SUMIF('06. BC BH THEO CUSTOMER-USD'!$F:$F,'07. Chart_QUỐC GIA'!$AE12,'06. BC BH THEO CUSTOMER-USD'!DC:DC),0)</f>
        <v>0</v>
      </c>
      <c r="AQ12" s="510">
        <f>ROUND(SUMIF('06. BC BH THEO CUSTOMER-USD'!$F:$F,'07. Chart_QUỐC GIA'!$AE12,'06. BC BH THEO CUSTOMER-USD'!DD:DD),0)</f>
        <v>0</v>
      </c>
      <c r="AR12" s="621">
        <f t="shared" si="20"/>
        <v>327</v>
      </c>
      <c r="AS12" s="346">
        <f t="shared" ca="1" si="21"/>
        <v>327</v>
      </c>
      <c r="AT12" s="624">
        <f t="shared" si="14"/>
        <v>7</v>
      </c>
      <c r="AV12" s="346">
        <v>22</v>
      </c>
      <c r="AW12" s="346">
        <v>0</v>
      </c>
      <c r="AX12" s="346">
        <v>0</v>
      </c>
      <c r="AY12" s="346">
        <v>0</v>
      </c>
      <c r="AZ12" s="346">
        <v>0</v>
      </c>
      <c r="BA12" s="346">
        <v>0</v>
      </c>
      <c r="BB12" s="346">
        <v>0</v>
      </c>
      <c r="BC12" s="346">
        <v>44</v>
      </c>
      <c r="BD12" s="346">
        <v>0</v>
      </c>
      <c r="BE12" s="346">
        <v>0</v>
      </c>
      <c r="BF12" s="346">
        <v>88</v>
      </c>
      <c r="BG12" s="346">
        <v>0</v>
      </c>
      <c r="BH12" s="621">
        <f t="shared" si="22"/>
        <v>154</v>
      </c>
      <c r="BI12" s="346">
        <f t="shared" ca="1" si="23"/>
        <v>66</v>
      </c>
    </row>
    <row r="13" spans="1:61" ht="15.5" hidden="1" outlineLevel="1" x14ac:dyDescent="0.35">
      <c r="A13" s="938" t="str">
        <f>_xlfn.XLOOKUP(C13,'Quy đổi'!$G$5:$G$32,'Quy đổi'!$H$5:$H$32,0)</f>
        <v>Châu á</v>
      </c>
      <c r="B13" s="665">
        <v>7</v>
      </c>
      <c r="C13" s="666" t="str">
        <f t="shared" si="4"/>
        <v>Australia</v>
      </c>
      <c r="D13" s="667">
        <f t="shared" si="5"/>
        <v>44</v>
      </c>
      <c r="E13" s="668">
        <f t="shared" si="15"/>
        <v>8.5238279736536225E-3</v>
      </c>
      <c r="F13" s="667">
        <f t="shared" si="6"/>
        <v>0</v>
      </c>
      <c r="G13" s="545">
        <f t="shared" si="24"/>
        <v>0</v>
      </c>
      <c r="I13" s="654">
        <v>7</v>
      </c>
      <c r="J13" s="655" t="str">
        <f t="shared" si="16"/>
        <v>Hong Kong</v>
      </c>
      <c r="K13" s="656">
        <f t="shared" si="7"/>
        <v>220</v>
      </c>
      <c r="L13" s="657">
        <f t="shared" si="8"/>
        <v>4</v>
      </c>
      <c r="M13" s="1114">
        <f>K13+COUNTA($K$7:K13)*0.001</f>
        <v>220.00700000000001</v>
      </c>
      <c r="O13" s="934" t="str">
        <f ca="1">_xlfn.XLOOKUP(Q13,'Quy đổi'!$G$5:$G$32,'Quy đổi'!$H$5:$H$32,0)</f>
        <v>Châu á</v>
      </c>
      <c r="P13" s="665">
        <v>7</v>
      </c>
      <c r="Q13" s="666" t="str">
        <f t="shared" ca="1" si="9"/>
        <v>Hàn Quốc</v>
      </c>
      <c r="R13" s="667">
        <f t="shared" ca="1" si="10"/>
        <v>327</v>
      </c>
      <c r="S13" s="668">
        <f t="shared" ca="1" si="17"/>
        <v>9.2464300862434602E-3</v>
      </c>
      <c r="T13" s="667">
        <f t="shared" ca="1" si="11"/>
        <v>66</v>
      </c>
      <c r="U13" s="545">
        <f t="shared" ca="1" si="18"/>
        <v>3.0274023673974599E-3</v>
      </c>
      <c r="W13" s="654">
        <v>7</v>
      </c>
      <c r="X13" s="655" t="str">
        <f t="shared" si="19"/>
        <v>Hong Kong</v>
      </c>
      <c r="Y13" s="656">
        <f t="shared" ca="1" si="12"/>
        <v>440</v>
      </c>
      <c r="Z13" s="1115">
        <f t="shared" ca="1" si="13"/>
        <v>5</v>
      </c>
      <c r="AA13" s="1116">
        <f ca="1">Y13+COUNTA($Y$7:Y13)*0.001</f>
        <v>440.00700000000001</v>
      </c>
      <c r="AC13" s="930" t="str">
        <f>_xlfn.XLOOKUP(AE13,'Quy đổi'!$G$5:$G$32,'Quy đổi'!$H$5:$H$32,0)</f>
        <v>Châu á</v>
      </c>
      <c r="AD13" s="322">
        <v>7</v>
      </c>
      <c r="AE13" s="12" t="s">
        <v>247</v>
      </c>
      <c r="AF13" s="510">
        <f>ROUND(SUMIF('06. BC BH THEO CUSTOMER-USD'!$F:$F,'07. Chart_QUỐC GIA'!$AE13,'06. BC BH THEO CUSTOMER-USD'!CS:CS),0)</f>
        <v>0</v>
      </c>
      <c r="AG13" s="510">
        <f>ROUND(SUMIF('06. BC BH THEO CUSTOMER-USD'!$F:$F,'07. Chart_QUỐC GIA'!$AE13,'06. BC BH THEO CUSTOMER-USD'!CT:CT),0)</f>
        <v>0</v>
      </c>
      <c r="AH13" s="510">
        <f>ROUND(SUMIF('06. BC BH THEO CUSTOMER-USD'!$F:$F,'07. Chart_QUỐC GIA'!$AE13,'06. BC BH THEO CUSTOMER-USD'!CU:CU),0)</f>
        <v>0</v>
      </c>
      <c r="AI13" s="510">
        <f>ROUND(SUMIF('06. BC BH THEO CUSTOMER-USD'!$F:$F,'07. Chart_QUỐC GIA'!$AE13,'06. BC BH THEO CUSTOMER-USD'!CV:CV),0)</f>
        <v>0</v>
      </c>
      <c r="AJ13" s="510">
        <f>ROUND(SUMIF('06. BC BH THEO CUSTOMER-USD'!$F:$F,'07. Chart_QUỐC GIA'!$AE13,'06. BC BH THEO CUSTOMER-USD'!CW:CW),0)</f>
        <v>0</v>
      </c>
      <c r="AK13" s="510">
        <f>ROUND(SUMIF('06. BC BH THEO CUSTOMER-USD'!$F:$F,'07. Chart_QUỐC GIA'!$AE13,'06. BC BH THEO CUSTOMER-USD'!CX:CX),0)</f>
        <v>220</v>
      </c>
      <c r="AL13" s="510">
        <f>ROUND(SUMIF('06. BC BH THEO CUSTOMER-USD'!$F:$F,'07. Chart_QUỐC GIA'!$AE13,'06. BC BH THEO CUSTOMER-USD'!CY:CY),0)</f>
        <v>0</v>
      </c>
      <c r="AM13" s="510">
        <f>ROUND(SUMIF('06. BC BH THEO CUSTOMER-USD'!$F:$F,'07. Chart_QUỐC GIA'!$AE13,'06. BC BH THEO CUSTOMER-USD'!CZ:CZ),0)</f>
        <v>220</v>
      </c>
      <c r="AN13" s="510">
        <f>ROUND(SUMIF('06. BC BH THEO CUSTOMER-USD'!$F:$F,'07. Chart_QUỐC GIA'!$AE13,'06. BC BH THEO CUSTOMER-USD'!DA:DA),0)</f>
        <v>0</v>
      </c>
      <c r="AO13" s="510">
        <f>ROUND(SUMIF('06. BC BH THEO CUSTOMER-USD'!$F:$F,'07. Chart_QUỐC GIA'!$AE13,'06. BC BH THEO CUSTOMER-USD'!DB:DB),0)</f>
        <v>0</v>
      </c>
      <c r="AP13" s="510">
        <f>ROUND(SUMIF('06. BC BH THEO CUSTOMER-USD'!$F:$F,'07. Chart_QUỐC GIA'!$AE13,'06. BC BH THEO CUSTOMER-USD'!DC:DC),0)</f>
        <v>0</v>
      </c>
      <c r="AQ13" s="510">
        <f>ROUND(SUMIF('06. BC BH THEO CUSTOMER-USD'!$F:$F,'07. Chart_QUỐC GIA'!$AE13,'06. BC BH THEO CUSTOMER-USD'!DD:DD),0)</f>
        <v>0</v>
      </c>
      <c r="AR13" s="621">
        <f t="shared" si="20"/>
        <v>440</v>
      </c>
      <c r="AS13" s="346">
        <f t="shared" ca="1" si="21"/>
        <v>440</v>
      </c>
      <c r="AT13" s="624">
        <f t="shared" si="14"/>
        <v>5</v>
      </c>
      <c r="AV13" s="346">
        <v>0</v>
      </c>
      <c r="AW13" s="346">
        <v>0</v>
      </c>
      <c r="AX13" s="346">
        <v>0</v>
      </c>
      <c r="AY13" s="346">
        <v>0</v>
      </c>
      <c r="AZ13" s="346">
        <v>0</v>
      </c>
      <c r="BA13" s="346">
        <v>0</v>
      </c>
      <c r="BB13" s="346">
        <v>211.2</v>
      </c>
      <c r="BC13" s="346">
        <v>887.3</v>
      </c>
      <c r="BD13" s="346">
        <v>660</v>
      </c>
      <c r="BE13" s="346">
        <v>660</v>
      </c>
      <c r="BF13" s="346">
        <v>0</v>
      </c>
      <c r="BG13" s="346">
        <v>0</v>
      </c>
      <c r="BH13" s="621">
        <f t="shared" si="22"/>
        <v>2418.5</v>
      </c>
      <c r="BI13" s="346">
        <f t="shared" ca="1" si="23"/>
        <v>1098.5</v>
      </c>
    </row>
    <row r="14" spans="1:61" ht="15.5" hidden="1" outlineLevel="1" x14ac:dyDescent="0.35">
      <c r="A14" s="938">
        <f>_xlfn.XLOOKUP(C14,'Quy đổi'!$G$5:$G$32,'Quy đổi'!$H$5:$H$32,0)</f>
        <v>0</v>
      </c>
      <c r="B14" s="665">
        <v>8</v>
      </c>
      <c r="C14" s="666">
        <f t="shared" si="4"/>
        <v>0</v>
      </c>
      <c r="D14" s="667">
        <f t="shared" si="5"/>
        <v>0</v>
      </c>
      <c r="E14" s="545">
        <f t="shared" si="15"/>
        <v>0</v>
      </c>
      <c r="F14" s="667">
        <f t="shared" si="6"/>
        <v>0</v>
      </c>
      <c r="G14" s="545">
        <f t="shared" si="24"/>
        <v>0</v>
      </c>
      <c r="I14" s="654">
        <v>8</v>
      </c>
      <c r="J14" s="655" t="str">
        <f t="shared" si="16"/>
        <v>Hy Lạp</v>
      </c>
      <c r="K14" s="656">
        <f t="shared" si="7"/>
        <v>66</v>
      </c>
      <c r="L14" s="657">
        <f t="shared" si="8"/>
        <v>6</v>
      </c>
      <c r="M14" s="1114">
        <f>K14+COUNTA($K$7:K14)*0.001</f>
        <v>66.007999999999996</v>
      </c>
      <c r="O14" s="934" t="str">
        <f ca="1">_xlfn.XLOOKUP(Q14,'Quy đổi'!$G$5:$G$32,'Quy đổi'!$H$5:$H$32,0)</f>
        <v>Châu á</v>
      </c>
      <c r="P14" s="665">
        <v>8</v>
      </c>
      <c r="Q14" s="666" t="str">
        <f t="shared" ca="1" si="9"/>
        <v>Singapore</v>
      </c>
      <c r="R14" s="667">
        <f t="shared" ca="1" si="10"/>
        <v>220</v>
      </c>
      <c r="S14" s="668">
        <f t="shared" ca="1" si="17"/>
        <v>6.2208398133748056E-3</v>
      </c>
      <c r="T14" s="667">
        <f t="shared" ca="1" si="11"/>
        <v>946.07500000000005</v>
      </c>
      <c r="U14" s="545">
        <f t="shared" ca="1" si="18"/>
        <v>4.3396207495993211E-2</v>
      </c>
      <c r="W14" s="654">
        <v>8</v>
      </c>
      <c r="X14" s="655" t="str">
        <f t="shared" si="19"/>
        <v>Hy Lạp</v>
      </c>
      <c r="Y14" s="656">
        <f t="shared" ca="1" si="12"/>
        <v>110</v>
      </c>
      <c r="Z14" s="1115">
        <f t="shared" ca="1" si="13"/>
        <v>11</v>
      </c>
      <c r="AA14" s="1116">
        <f ca="1">Y14+COUNTA($Y$7:Y14)*0.001</f>
        <v>110.008</v>
      </c>
      <c r="AC14" s="930" t="str">
        <f>_xlfn.XLOOKUP(AE14,'Quy đổi'!$G$5:$G$32,'Quy đổi'!$H$5:$H$32,0)</f>
        <v>Châu Âu</v>
      </c>
      <c r="AD14" s="322">
        <v>8</v>
      </c>
      <c r="AE14" s="12" t="s">
        <v>250</v>
      </c>
      <c r="AF14" s="510">
        <f>ROUND(SUMIF('06. BC BH THEO CUSTOMER-USD'!$F:$F,'07. Chart_QUỐC GIA'!$AE14,'06. BC BH THEO CUSTOMER-USD'!CS:CS),0)</f>
        <v>0</v>
      </c>
      <c r="AG14" s="510">
        <f>ROUND(SUMIF('06. BC BH THEO CUSTOMER-USD'!$F:$F,'07. Chart_QUỐC GIA'!$AE14,'06. BC BH THEO CUSTOMER-USD'!CT:CT),0)</f>
        <v>0</v>
      </c>
      <c r="AH14" s="510">
        <f>ROUND(SUMIF('06. BC BH THEO CUSTOMER-USD'!$F:$F,'07. Chart_QUỐC GIA'!$AE14,'06. BC BH THEO CUSTOMER-USD'!CU:CU),0)</f>
        <v>22</v>
      </c>
      <c r="AI14" s="510">
        <f>ROUND(SUMIF('06. BC BH THEO CUSTOMER-USD'!$F:$F,'07. Chart_QUỐC GIA'!$AE14,'06. BC BH THEO CUSTOMER-USD'!CV:CV),0)</f>
        <v>0</v>
      </c>
      <c r="AJ14" s="510">
        <f>ROUND(SUMIF('06. BC BH THEO CUSTOMER-USD'!$F:$F,'07. Chart_QUỐC GIA'!$AE14,'06. BC BH THEO CUSTOMER-USD'!CW:CW),0)</f>
        <v>0</v>
      </c>
      <c r="AK14" s="510">
        <f>ROUND(SUMIF('06. BC BH THEO CUSTOMER-USD'!$F:$F,'07. Chart_QUỐC GIA'!$AE14,'06. BC BH THEO CUSTOMER-USD'!CX:CX),0)</f>
        <v>22</v>
      </c>
      <c r="AL14" s="510">
        <f>ROUND(SUMIF('06. BC BH THEO CUSTOMER-USD'!$F:$F,'07. Chart_QUỐC GIA'!$AE14,'06. BC BH THEO CUSTOMER-USD'!CY:CY),0)</f>
        <v>0</v>
      </c>
      <c r="AM14" s="510">
        <f>ROUND(SUMIF('06. BC BH THEO CUSTOMER-USD'!$F:$F,'07. Chart_QUỐC GIA'!$AE14,'06. BC BH THEO CUSTOMER-USD'!CZ:CZ),0)</f>
        <v>66</v>
      </c>
      <c r="AN14" s="510">
        <f>ROUND(SUMIF('06. BC BH THEO CUSTOMER-USD'!$F:$F,'07. Chart_QUỐC GIA'!$AE14,'06. BC BH THEO CUSTOMER-USD'!DA:DA),0)</f>
        <v>0</v>
      </c>
      <c r="AO14" s="510">
        <f>ROUND(SUMIF('06. BC BH THEO CUSTOMER-USD'!$F:$F,'07. Chart_QUỐC GIA'!$AE14,'06. BC BH THEO CUSTOMER-USD'!DB:DB),0)</f>
        <v>0</v>
      </c>
      <c r="AP14" s="510">
        <f>ROUND(SUMIF('06. BC BH THEO CUSTOMER-USD'!$F:$F,'07. Chart_QUỐC GIA'!$AE14,'06. BC BH THEO CUSTOMER-USD'!DC:DC),0)</f>
        <v>0</v>
      </c>
      <c r="AQ14" s="510">
        <f>ROUND(SUMIF('06. BC BH THEO CUSTOMER-USD'!$F:$F,'07. Chart_QUỐC GIA'!$AE14,'06. BC BH THEO CUSTOMER-USD'!DD:DD),0)</f>
        <v>0</v>
      </c>
      <c r="AR14" s="621">
        <f t="shared" si="20"/>
        <v>110</v>
      </c>
      <c r="AS14" s="346">
        <f t="shared" ca="1" si="21"/>
        <v>110</v>
      </c>
      <c r="AT14" s="624">
        <f t="shared" si="14"/>
        <v>12</v>
      </c>
      <c r="AV14" s="346">
        <v>0</v>
      </c>
      <c r="AW14" s="346">
        <v>44</v>
      </c>
      <c r="AX14" s="346">
        <v>0</v>
      </c>
      <c r="AY14" s="346">
        <v>0</v>
      </c>
      <c r="AZ14" s="346">
        <v>0</v>
      </c>
      <c r="BA14" s="346">
        <v>0</v>
      </c>
      <c r="BB14" s="346">
        <v>0</v>
      </c>
      <c r="BC14" s="346">
        <v>0</v>
      </c>
      <c r="BD14" s="346">
        <v>22</v>
      </c>
      <c r="BE14" s="346">
        <v>0</v>
      </c>
      <c r="BF14" s="346">
        <v>0</v>
      </c>
      <c r="BG14" s="346">
        <v>0</v>
      </c>
      <c r="BH14" s="621">
        <f t="shared" si="22"/>
        <v>66</v>
      </c>
      <c r="BI14" s="346">
        <f t="shared" ca="1" si="23"/>
        <v>44</v>
      </c>
    </row>
    <row r="15" spans="1:61" ht="15.5" hidden="1" outlineLevel="1" x14ac:dyDescent="0.35">
      <c r="A15" s="938">
        <f>_xlfn.XLOOKUP(C15,'Quy đổi'!$G$5:$G$32,'Quy đổi'!$H$5:$H$32,0)</f>
        <v>0</v>
      </c>
      <c r="B15" s="665">
        <v>9</v>
      </c>
      <c r="C15" s="666">
        <f t="shared" si="4"/>
        <v>0</v>
      </c>
      <c r="D15" s="667">
        <f t="shared" si="5"/>
        <v>0</v>
      </c>
      <c r="E15" s="545">
        <f t="shared" si="15"/>
        <v>0</v>
      </c>
      <c r="F15" s="667">
        <f t="shared" si="6"/>
        <v>0</v>
      </c>
      <c r="G15" s="545">
        <f t="shared" si="24"/>
        <v>0</v>
      </c>
      <c r="I15" s="654">
        <v>9</v>
      </c>
      <c r="J15" s="655" t="str">
        <f t="shared" si="16"/>
        <v>Israel</v>
      </c>
      <c r="K15" s="656">
        <f t="shared" si="7"/>
        <v>0</v>
      </c>
      <c r="L15" s="657" t="str">
        <f t="shared" si="8"/>
        <v>-</v>
      </c>
      <c r="M15" s="1114">
        <f>K15+COUNTA($K$7:K15)*0.001</f>
        <v>9.0000000000000011E-3</v>
      </c>
      <c r="O15" s="934" t="str">
        <f ca="1">_xlfn.XLOOKUP(Q15,'Quy đổi'!$G$5:$G$32,'Quy đổi'!$H$5:$H$32,0)</f>
        <v>Châu á</v>
      </c>
      <c r="P15" s="665">
        <v>9</v>
      </c>
      <c r="Q15" s="666" t="str">
        <f t="shared" ca="1" si="9"/>
        <v>Nhật</v>
      </c>
      <c r="R15" s="667">
        <f t="shared" ca="1" si="10"/>
        <v>211</v>
      </c>
      <c r="S15" s="668">
        <f t="shared" ca="1" si="17"/>
        <v>5.9663509119185637E-3</v>
      </c>
      <c r="T15" s="667">
        <f t="shared" ca="1" si="11"/>
        <v>2.2000000000000002</v>
      </c>
      <c r="U15" s="545">
        <f t="shared" ca="1" si="18"/>
        <v>1.0091341224658201E-4</v>
      </c>
      <c r="W15" s="654">
        <v>9</v>
      </c>
      <c r="X15" s="655" t="str">
        <f t="shared" si="19"/>
        <v>Israel</v>
      </c>
      <c r="Y15" s="656">
        <f t="shared" ca="1" si="12"/>
        <v>176</v>
      </c>
      <c r="Z15" s="1115">
        <f t="shared" ca="1" si="13"/>
        <v>10</v>
      </c>
      <c r="AA15" s="1116">
        <f ca="1">Y15+COUNTA($Y$7:Y15)*0.001</f>
        <v>176.00899999999999</v>
      </c>
      <c r="AC15" s="930" t="str">
        <f>_xlfn.XLOOKUP(AE15,'Quy đổi'!$G$5:$G$32,'Quy đổi'!$H$5:$H$32,0)</f>
        <v>Châu á</v>
      </c>
      <c r="AD15" s="322">
        <v>9</v>
      </c>
      <c r="AE15" s="12" t="s">
        <v>256</v>
      </c>
      <c r="AF15" s="510">
        <f>ROUND(SUMIF('06. BC BH THEO CUSTOMER-USD'!$F:$F,'07. Chart_QUỐC GIA'!$AE15,'06. BC BH THEO CUSTOMER-USD'!CS:CS),0)</f>
        <v>44</v>
      </c>
      <c r="AG15" s="510">
        <f>ROUND(SUMIF('06. BC BH THEO CUSTOMER-USD'!$F:$F,'07. Chart_QUỐC GIA'!$AE15,'06. BC BH THEO CUSTOMER-USD'!CT:CT),0)</f>
        <v>132</v>
      </c>
      <c r="AH15" s="510">
        <f>ROUND(SUMIF('06. BC BH THEO CUSTOMER-USD'!$F:$F,'07. Chart_QUỐC GIA'!$AE15,'06. BC BH THEO CUSTOMER-USD'!CU:CU),0)</f>
        <v>0</v>
      </c>
      <c r="AI15" s="510">
        <f>ROUND(SUMIF('06. BC BH THEO CUSTOMER-USD'!$F:$F,'07. Chart_QUỐC GIA'!$AE15,'06. BC BH THEO CUSTOMER-USD'!CV:CV),0)</f>
        <v>0</v>
      </c>
      <c r="AJ15" s="510">
        <f>ROUND(SUMIF('06. BC BH THEO CUSTOMER-USD'!$F:$F,'07. Chart_QUỐC GIA'!$AE15,'06. BC BH THEO CUSTOMER-USD'!CW:CW),0)</f>
        <v>0</v>
      </c>
      <c r="AK15" s="510">
        <f>ROUND(SUMIF('06. BC BH THEO CUSTOMER-USD'!$F:$F,'07. Chart_QUỐC GIA'!$AE15,'06. BC BH THEO CUSTOMER-USD'!CX:CX),0)</f>
        <v>0</v>
      </c>
      <c r="AL15" s="510">
        <f>ROUND(SUMIF('06. BC BH THEO CUSTOMER-USD'!$F:$F,'07. Chart_QUỐC GIA'!$AE15,'06. BC BH THEO CUSTOMER-USD'!CY:CY),0)</f>
        <v>0</v>
      </c>
      <c r="AM15" s="510">
        <f>ROUND(SUMIF('06. BC BH THEO CUSTOMER-USD'!$F:$F,'07. Chart_QUỐC GIA'!$AE15,'06. BC BH THEO CUSTOMER-USD'!CZ:CZ),0)</f>
        <v>0</v>
      </c>
      <c r="AN15" s="510">
        <f>ROUND(SUMIF('06. BC BH THEO CUSTOMER-USD'!$F:$F,'07. Chart_QUỐC GIA'!$AE15,'06. BC BH THEO CUSTOMER-USD'!DA:DA),0)</f>
        <v>0</v>
      </c>
      <c r="AO15" s="510">
        <f>ROUND(SUMIF('06. BC BH THEO CUSTOMER-USD'!$F:$F,'07. Chart_QUỐC GIA'!$AE15,'06. BC BH THEO CUSTOMER-USD'!DB:DB),0)</f>
        <v>0</v>
      </c>
      <c r="AP15" s="510">
        <f>ROUND(SUMIF('06. BC BH THEO CUSTOMER-USD'!$F:$F,'07. Chart_QUỐC GIA'!$AE15,'06. BC BH THEO CUSTOMER-USD'!DC:DC),0)</f>
        <v>0</v>
      </c>
      <c r="AQ15" s="510">
        <f>ROUND(SUMIF('06. BC BH THEO CUSTOMER-USD'!$F:$F,'07. Chart_QUỐC GIA'!$AE15,'06. BC BH THEO CUSTOMER-USD'!DD:DD),0)</f>
        <v>0</v>
      </c>
      <c r="AR15" s="621">
        <f t="shared" si="20"/>
        <v>176</v>
      </c>
      <c r="AS15" s="346">
        <f t="shared" ca="1" si="21"/>
        <v>176</v>
      </c>
      <c r="AT15" s="624">
        <f t="shared" si="14"/>
        <v>10</v>
      </c>
      <c r="AV15" s="346">
        <v>0</v>
      </c>
      <c r="AW15" s="346">
        <v>0</v>
      </c>
      <c r="AX15" s="346">
        <v>12</v>
      </c>
      <c r="AY15" s="346">
        <v>0</v>
      </c>
      <c r="AZ15" s="346">
        <v>0</v>
      </c>
      <c r="BA15" s="346">
        <v>0</v>
      </c>
      <c r="BB15" s="346">
        <v>0</v>
      </c>
      <c r="BC15" s="346">
        <v>22</v>
      </c>
      <c r="BD15" s="346">
        <v>0</v>
      </c>
      <c r="BE15" s="346">
        <v>0</v>
      </c>
      <c r="BF15" s="346">
        <v>0</v>
      </c>
      <c r="BG15" s="346">
        <v>0</v>
      </c>
      <c r="BH15" s="621">
        <f t="shared" si="22"/>
        <v>34</v>
      </c>
      <c r="BI15" s="346">
        <f t="shared" ca="1" si="23"/>
        <v>34</v>
      </c>
    </row>
    <row r="16" spans="1:61" ht="15.5" hidden="1" outlineLevel="1" x14ac:dyDescent="0.35">
      <c r="A16" s="938">
        <f>_xlfn.XLOOKUP(C16,'Quy đổi'!$G$5:$G$32,'Quy đổi'!$H$5:$H$32,0)</f>
        <v>0</v>
      </c>
      <c r="B16" s="665">
        <v>10</v>
      </c>
      <c r="C16" s="666">
        <f t="shared" si="4"/>
        <v>0</v>
      </c>
      <c r="D16" s="667">
        <f t="shared" si="5"/>
        <v>0</v>
      </c>
      <c r="E16" s="545">
        <f t="shared" si="15"/>
        <v>0</v>
      </c>
      <c r="F16" s="667">
        <f t="shared" si="6"/>
        <v>0</v>
      </c>
      <c r="G16" s="545">
        <f t="shared" si="24"/>
        <v>0</v>
      </c>
      <c r="I16" s="654">
        <v>10</v>
      </c>
      <c r="J16" s="655" t="str">
        <f t="shared" si="16"/>
        <v>Italy</v>
      </c>
      <c r="K16" s="656">
        <f t="shared" si="7"/>
        <v>0</v>
      </c>
      <c r="L16" s="657" t="str">
        <f t="shared" si="8"/>
        <v>-</v>
      </c>
      <c r="M16" s="1114">
        <f>K16+COUNTA($K$7:K16)*0.001</f>
        <v>0.01</v>
      </c>
      <c r="O16" s="934" t="str">
        <f ca="1">_xlfn.XLOOKUP(Q16,'Quy đổi'!$G$5:$G$32,'Quy đổi'!$H$5:$H$32,0)</f>
        <v>Châu á</v>
      </c>
      <c r="P16" s="665">
        <v>10</v>
      </c>
      <c r="Q16" s="666" t="str">
        <f t="shared" ca="1" si="9"/>
        <v>Israel</v>
      </c>
      <c r="R16" s="667">
        <f t="shared" ca="1" si="10"/>
        <v>176</v>
      </c>
      <c r="S16" s="668">
        <f t="shared" ca="1" si="17"/>
        <v>4.9766718506998441E-3</v>
      </c>
      <c r="T16" s="667">
        <f t="shared" ca="1" si="11"/>
        <v>34</v>
      </c>
      <c r="U16" s="545">
        <f t="shared" ca="1" si="18"/>
        <v>1.5595709165380854E-3</v>
      </c>
      <c r="W16" s="654">
        <v>10</v>
      </c>
      <c r="X16" s="655" t="str">
        <f t="shared" si="19"/>
        <v>Italy</v>
      </c>
      <c r="Y16" s="656">
        <f t="shared" ca="1" si="12"/>
        <v>47</v>
      </c>
      <c r="Z16" s="1115">
        <f t="shared" ca="1" si="13"/>
        <v>16</v>
      </c>
      <c r="AA16" s="1116">
        <f ca="1">Y16+COUNTA($Y$7:Y16)*0.001</f>
        <v>47.01</v>
      </c>
      <c r="AC16" s="930" t="str">
        <f>_xlfn.XLOOKUP(AE16,'Quy đổi'!$G$5:$G$32,'Quy đổi'!$H$5:$H$32,0)</f>
        <v>Châu Âu</v>
      </c>
      <c r="AD16" s="322">
        <v>10</v>
      </c>
      <c r="AE16" s="12" t="s">
        <v>252</v>
      </c>
      <c r="AF16" s="510">
        <f>ROUND(SUMIF('06. BC BH THEO CUSTOMER-USD'!$F:$F,'07. Chart_QUỐC GIA'!$AE16,'06. BC BH THEO CUSTOMER-USD'!CS:CS),0)</f>
        <v>0</v>
      </c>
      <c r="AG16" s="510">
        <f>ROUND(SUMIF('06. BC BH THEO CUSTOMER-USD'!$F:$F,'07. Chart_QUỐC GIA'!$AE16,'06. BC BH THEO CUSTOMER-USD'!CT:CT),0)</f>
        <v>47</v>
      </c>
      <c r="AH16" s="510">
        <f>ROUND(SUMIF('06. BC BH THEO CUSTOMER-USD'!$F:$F,'07. Chart_QUỐC GIA'!$AE16,'06. BC BH THEO CUSTOMER-USD'!CU:CU),0)</f>
        <v>0</v>
      </c>
      <c r="AI16" s="510">
        <f>ROUND(SUMIF('06. BC BH THEO CUSTOMER-USD'!$F:$F,'07. Chart_QUỐC GIA'!$AE16,'06. BC BH THEO CUSTOMER-USD'!CV:CV),0)</f>
        <v>0</v>
      </c>
      <c r="AJ16" s="510">
        <f>ROUND(SUMIF('06. BC BH THEO CUSTOMER-USD'!$F:$F,'07. Chart_QUỐC GIA'!$AE16,'06. BC BH THEO CUSTOMER-USD'!CW:CW),0)</f>
        <v>0</v>
      </c>
      <c r="AK16" s="510">
        <f>ROUND(SUMIF('06. BC BH THEO CUSTOMER-USD'!$F:$F,'07. Chart_QUỐC GIA'!$AE16,'06. BC BH THEO CUSTOMER-USD'!CX:CX),0)</f>
        <v>0</v>
      </c>
      <c r="AL16" s="510">
        <f>ROUND(SUMIF('06. BC BH THEO CUSTOMER-USD'!$F:$F,'07. Chart_QUỐC GIA'!$AE16,'06. BC BH THEO CUSTOMER-USD'!CY:CY),0)</f>
        <v>0</v>
      </c>
      <c r="AM16" s="510">
        <f>ROUND(SUMIF('06. BC BH THEO CUSTOMER-USD'!$F:$F,'07. Chart_QUỐC GIA'!$AE16,'06. BC BH THEO CUSTOMER-USD'!CZ:CZ),0)</f>
        <v>0</v>
      </c>
      <c r="AN16" s="510">
        <f>ROUND(SUMIF('06. BC BH THEO CUSTOMER-USD'!$F:$F,'07. Chart_QUỐC GIA'!$AE16,'06. BC BH THEO CUSTOMER-USD'!DA:DA),0)</f>
        <v>0</v>
      </c>
      <c r="AO16" s="510">
        <f>ROUND(SUMIF('06. BC BH THEO CUSTOMER-USD'!$F:$F,'07. Chart_QUỐC GIA'!$AE16,'06. BC BH THEO CUSTOMER-USD'!DB:DB),0)</f>
        <v>0</v>
      </c>
      <c r="AP16" s="510">
        <f>ROUND(SUMIF('06. BC BH THEO CUSTOMER-USD'!$F:$F,'07. Chart_QUỐC GIA'!$AE16,'06. BC BH THEO CUSTOMER-USD'!DC:DC),0)</f>
        <v>0</v>
      </c>
      <c r="AQ16" s="510">
        <f>ROUND(SUMIF('06. BC BH THEO CUSTOMER-USD'!$F:$F,'07. Chart_QUỐC GIA'!$AE16,'06. BC BH THEO CUSTOMER-USD'!DD:DD),0)</f>
        <v>0</v>
      </c>
      <c r="AR16" s="621">
        <f t="shared" si="20"/>
        <v>47</v>
      </c>
      <c r="AS16" s="346">
        <f t="shared" ca="1" si="21"/>
        <v>47</v>
      </c>
      <c r="AT16" s="624">
        <f t="shared" si="14"/>
        <v>16</v>
      </c>
      <c r="AV16" s="346">
        <v>0</v>
      </c>
      <c r="AW16" s="346">
        <v>0</v>
      </c>
      <c r="AX16" s="346">
        <v>0</v>
      </c>
      <c r="AY16" s="346">
        <v>0</v>
      </c>
      <c r="AZ16" s="346">
        <v>0</v>
      </c>
      <c r="BA16" s="346">
        <v>0</v>
      </c>
      <c r="BB16" s="346">
        <v>0</v>
      </c>
      <c r="BC16" s="346">
        <v>0</v>
      </c>
      <c r="BD16" s="346">
        <v>0</v>
      </c>
      <c r="BE16" s="346">
        <v>0</v>
      </c>
      <c r="BF16" s="346">
        <v>0</v>
      </c>
      <c r="BG16" s="346">
        <v>0</v>
      </c>
      <c r="BH16" s="621">
        <f t="shared" si="22"/>
        <v>0</v>
      </c>
      <c r="BI16" s="346">
        <f t="shared" ca="1" si="23"/>
        <v>0</v>
      </c>
    </row>
    <row r="17" spans="1:61" ht="15.5" hidden="1" outlineLevel="1" x14ac:dyDescent="0.35">
      <c r="A17" s="938">
        <f>_xlfn.XLOOKUP(C17,'Quy đổi'!$G$5:$G$32,'Quy đổi'!$H$5:$H$32,0)</f>
        <v>0</v>
      </c>
      <c r="B17" s="665">
        <v>11</v>
      </c>
      <c r="C17" s="666">
        <f t="shared" si="4"/>
        <v>0</v>
      </c>
      <c r="D17" s="667">
        <f t="shared" si="5"/>
        <v>0</v>
      </c>
      <c r="E17" s="545">
        <f t="shared" si="15"/>
        <v>0</v>
      </c>
      <c r="F17" s="667">
        <f t="shared" si="6"/>
        <v>0</v>
      </c>
      <c r="G17" s="545">
        <f t="shared" si="24"/>
        <v>0</v>
      </c>
      <c r="I17" s="654">
        <v>11</v>
      </c>
      <c r="J17" s="655" t="str">
        <f t="shared" si="16"/>
        <v>Korea</v>
      </c>
      <c r="K17" s="656">
        <f t="shared" si="7"/>
        <v>0</v>
      </c>
      <c r="L17" s="657" t="str">
        <f t="shared" si="8"/>
        <v>-</v>
      </c>
      <c r="M17" s="1114">
        <f>K17+COUNTA($K$7:K17)*0.001</f>
        <v>1.0999999999999999E-2</v>
      </c>
      <c r="O17" s="934" t="str">
        <f ca="1">_xlfn.XLOOKUP(Q17,'Quy đổi'!$G$5:$G$32,'Quy đổi'!$H$5:$H$32,0)</f>
        <v>Châu Âu</v>
      </c>
      <c r="P17" s="665">
        <v>11</v>
      </c>
      <c r="Q17" s="666" t="str">
        <f t="shared" ca="1" si="9"/>
        <v>Hy Lạp</v>
      </c>
      <c r="R17" s="667">
        <f t="shared" ca="1" si="10"/>
        <v>110</v>
      </c>
      <c r="S17" s="668">
        <f t="shared" ca="1" si="17"/>
        <v>3.1104199066874028E-3</v>
      </c>
      <c r="T17" s="667">
        <f t="shared" ca="1" si="11"/>
        <v>44</v>
      </c>
      <c r="U17" s="545">
        <f t="shared" ca="1" si="18"/>
        <v>2.0182682449316398E-3</v>
      </c>
      <c r="W17" s="654">
        <v>11</v>
      </c>
      <c r="X17" s="655" t="str">
        <f t="shared" si="19"/>
        <v>Korea</v>
      </c>
      <c r="Y17" s="656">
        <f t="shared" ca="1" si="12"/>
        <v>0</v>
      </c>
      <c r="Z17" s="1115" t="str">
        <f t="shared" ca="1" si="13"/>
        <v>-</v>
      </c>
      <c r="AA17" s="1116">
        <f ca="1">Y17+COUNTA($Y$7:Y17)*0.001</f>
        <v>1.0999999999999999E-2</v>
      </c>
      <c r="AC17" s="930" t="str">
        <f>_xlfn.XLOOKUP(AE17,'Quy đổi'!$G$5:$G$32,'Quy đổi'!$H$5:$H$32,0)</f>
        <v>Châu á</v>
      </c>
      <c r="AD17" s="322">
        <v>11</v>
      </c>
      <c r="AE17" s="12" t="s">
        <v>670</v>
      </c>
      <c r="AF17" s="510">
        <f>ROUND(SUMIF('06. BC BH THEO CUSTOMER-USD'!$F:$F,'07. Chart_QUỐC GIA'!$AE17,'06. BC BH THEO CUSTOMER-USD'!CS:CS),0)</f>
        <v>0</v>
      </c>
      <c r="AG17" s="510">
        <f>ROUND(SUMIF('06. BC BH THEO CUSTOMER-USD'!$F:$F,'07. Chart_QUỐC GIA'!$AE17,'06. BC BH THEO CUSTOMER-USD'!CT:CT),0)</f>
        <v>0</v>
      </c>
      <c r="AH17" s="510">
        <f>ROUND(SUMIF('06. BC BH THEO CUSTOMER-USD'!$F:$F,'07. Chart_QUỐC GIA'!$AE17,'06. BC BH THEO CUSTOMER-USD'!CU:CU),0)</f>
        <v>0</v>
      </c>
      <c r="AI17" s="510">
        <f>ROUND(SUMIF('06. BC BH THEO CUSTOMER-USD'!$F:$F,'07. Chart_QUỐC GIA'!$AE17,'06. BC BH THEO CUSTOMER-USD'!CV:CV),0)</f>
        <v>0</v>
      </c>
      <c r="AJ17" s="510">
        <f>ROUND(SUMIF('06. BC BH THEO CUSTOMER-USD'!$F:$F,'07. Chart_QUỐC GIA'!$AE17,'06. BC BH THEO CUSTOMER-USD'!CW:CW),0)</f>
        <v>0</v>
      </c>
      <c r="AK17" s="510">
        <f>ROUND(SUMIF('06. BC BH THEO CUSTOMER-USD'!$F:$F,'07. Chart_QUỐC GIA'!$AE17,'06. BC BH THEO CUSTOMER-USD'!CX:CX),0)</f>
        <v>0</v>
      </c>
      <c r="AL17" s="510">
        <f>ROUND(SUMIF('06. BC BH THEO CUSTOMER-USD'!$F:$F,'07. Chart_QUỐC GIA'!$AE17,'06. BC BH THEO CUSTOMER-USD'!CY:CY),0)</f>
        <v>0</v>
      </c>
      <c r="AM17" s="510">
        <f>ROUND(SUMIF('06. BC BH THEO CUSTOMER-USD'!$F:$F,'07. Chart_QUỐC GIA'!$AE17,'06. BC BH THEO CUSTOMER-USD'!CZ:CZ),0)</f>
        <v>0</v>
      </c>
      <c r="AN17" s="510">
        <f>ROUND(SUMIF('06. BC BH THEO CUSTOMER-USD'!$F:$F,'07. Chart_QUỐC GIA'!$AE17,'06. BC BH THEO CUSTOMER-USD'!DA:DA),0)</f>
        <v>0</v>
      </c>
      <c r="AO17" s="510">
        <f>ROUND(SUMIF('06. BC BH THEO CUSTOMER-USD'!$F:$F,'07. Chart_QUỐC GIA'!$AE17,'06. BC BH THEO CUSTOMER-USD'!DB:DB),0)</f>
        <v>0</v>
      </c>
      <c r="AP17" s="510">
        <f>ROUND(SUMIF('06. BC BH THEO CUSTOMER-USD'!$F:$F,'07. Chart_QUỐC GIA'!$AE17,'06. BC BH THEO CUSTOMER-USD'!DC:DC),0)</f>
        <v>0</v>
      </c>
      <c r="AQ17" s="510">
        <f>ROUND(SUMIF('06. BC BH THEO CUSTOMER-USD'!$F:$F,'07. Chart_QUỐC GIA'!$AE17,'06. BC BH THEO CUSTOMER-USD'!DD:DD),0)</f>
        <v>0</v>
      </c>
      <c r="AR17" s="621">
        <f>SUM(AF17:AQ17)</f>
        <v>0</v>
      </c>
      <c r="AS17" s="346">
        <f t="shared" ca="1" si="21"/>
        <v>0</v>
      </c>
      <c r="AT17" s="624">
        <f t="shared" si="14"/>
        <v>20</v>
      </c>
      <c r="AV17" s="346">
        <v>0</v>
      </c>
      <c r="AW17" s="346">
        <v>0</v>
      </c>
      <c r="AX17" s="346">
        <v>0</v>
      </c>
      <c r="AY17" s="346">
        <v>0</v>
      </c>
      <c r="AZ17" s="346">
        <v>0</v>
      </c>
      <c r="BA17" s="346">
        <v>0</v>
      </c>
      <c r="BB17" s="346">
        <v>0</v>
      </c>
      <c r="BC17" s="346">
        <v>0</v>
      </c>
      <c r="BD17" s="346">
        <v>0</v>
      </c>
      <c r="BE17" s="346">
        <v>0</v>
      </c>
      <c r="BF17" s="346">
        <v>0</v>
      </c>
      <c r="BG17" s="346">
        <v>0</v>
      </c>
      <c r="BH17" s="621">
        <f>SUM(AV17:BG17)</f>
        <v>0</v>
      </c>
      <c r="BI17" s="346">
        <f ca="1">IFERROR(SUM(OFFSET(AV17:BG17,0,0,1,$BI$5)),"-")</f>
        <v>0</v>
      </c>
    </row>
    <row r="18" spans="1:61" hidden="1" outlineLevel="1" x14ac:dyDescent="0.35">
      <c r="A18" s="937">
        <f>_xlfn.XLOOKUP(C18,'Quy đổi'!$G$5:$G$32,'Quy đổi'!$H$5:$H$32,0)</f>
        <v>0</v>
      </c>
      <c r="B18" s="665">
        <v>12</v>
      </c>
      <c r="C18" s="666">
        <f t="shared" si="4"/>
        <v>0</v>
      </c>
      <c r="D18" s="667">
        <f t="shared" si="5"/>
        <v>0</v>
      </c>
      <c r="E18" s="545">
        <f t="shared" si="15"/>
        <v>0</v>
      </c>
      <c r="F18" s="667">
        <f t="shared" si="6"/>
        <v>0</v>
      </c>
      <c r="G18" s="545">
        <f t="shared" si="24"/>
        <v>0</v>
      </c>
      <c r="I18" s="654">
        <v>12</v>
      </c>
      <c r="J18" s="655" t="str">
        <f t="shared" si="16"/>
        <v>Mexico</v>
      </c>
      <c r="K18" s="656">
        <f t="shared" si="7"/>
        <v>0</v>
      </c>
      <c r="L18" s="657" t="str">
        <f t="shared" si="8"/>
        <v>-</v>
      </c>
      <c r="M18" s="1114">
        <f>K18+COUNTA($K$7:K18)*0.001</f>
        <v>1.2E-2</v>
      </c>
      <c r="O18" s="933" t="str">
        <f ca="1">_xlfn.XLOOKUP(Q18,'Quy đổi'!$G$5:$G$32,'Quy đổi'!$H$5:$H$32,0)</f>
        <v>Châu Âu</v>
      </c>
      <c r="P18" s="665">
        <v>12</v>
      </c>
      <c r="Q18" s="666" t="str">
        <f t="shared" ca="1" si="9"/>
        <v>Bulgaria</v>
      </c>
      <c r="R18" s="667">
        <f t="shared" ca="1" si="10"/>
        <v>110</v>
      </c>
      <c r="S18" s="668">
        <f t="shared" ca="1" si="17"/>
        <v>3.1104199066874028E-3</v>
      </c>
      <c r="T18" s="667">
        <f t="shared" ca="1" si="11"/>
        <v>0</v>
      </c>
      <c r="U18" s="545">
        <f t="shared" ca="1" si="18"/>
        <v>0</v>
      </c>
      <c r="W18" s="654">
        <v>12</v>
      </c>
      <c r="X18" s="655" t="str">
        <f t="shared" si="19"/>
        <v>Mexico</v>
      </c>
      <c r="Y18" s="656">
        <f t="shared" ca="1" si="12"/>
        <v>72</v>
      </c>
      <c r="Z18" s="1115">
        <f t="shared" ca="1" si="13"/>
        <v>14</v>
      </c>
      <c r="AA18" s="1116">
        <f ca="1">Y18+COUNTA($Y$7:Y18)*0.001</f>
        <v>72.012</v>
      </c>
      <c r="AC18" s="929" t="str">
        <f>_xlfn.XLOOKUP(AE18,'Quy đổi'!$G$5:$G$32,'Quy đổi'!$H$5:$H$32,0)</f>
        <v>Bắc Mỹ</v>
      </c>
      <c r="AD18" s="322">
        <v>12</v>
      </c>
      <c r="AE18" s="36" t="s">
        <v>229</v>
      </c>
      <c r="AF18" s="510">
        <f>ROUND(SUMIF('06. BC BH THEO CUSTOMER-USD'!$F:$F,'07. Chart_QUỐC GIA'!$AE18,'06. BC BH THEO CUSTOMER-USD'!CS:CS),0)</f>
        <v>0</v>
      </c>
      <c r="AG18" s="510">
        <f>ROUND(SUMIF('06. BC BH THEO CUSTOMER-USD'!$F:$F,'07. Chart_QUỐC GIA'!$AE18,'06. BC BH THEO CUSTOMER-USD'!CT:CT),0)</f>
        <v>0</v>
      </c>
      <c r="AH18" s="510">
        <f>ROUND(SUMIF('06. BC BH THEO CUSTOMER-USD'!$F:$F,'07. Chart_QUỐC GIA'!$AE18,'06. BC BH THEO CUSTOMER-USD'!CU:CU),0)</f>
        <v>24</v>
      </c>
      <c r="AI18" s="510">
        <f>ROUND(SUMIF('06. BC BH THEO CUSTOMER-USD'!$F:$F,'07. Chart_QUỐC GIA'!$AE18,'06. BC BH THEO CUSTOMER-USD'!CV:CV),0)</f>
        <v>0</v>
      </c>
      <c r="AJ18" s="510">
        <f>ROUND(SUMIF('06. BC BH THEO CUSTOMER-USD'!$F:$F,'07. Chart_QUỐC GIA'!$AE18,'06. BC BH THEO CUSTOMER-USD'!CW:CW),0)</f>
        <v>0</v>
      </c>
      <c r="AK18" s="510">
        <f>ROUND(SUMIF('06. BC BH THEO CUSTOMER-USD'!$F:$F,'07. Chart_QUỐC GIA'!$AE18,'06. BC BH THEO CUSTOMER-USD'!CX:CX),0)</f>
        <v>24</v>
      </c>
      <c r="AL18" s="510">
        <f>ROUND(SUMIF('06. BC BH THEO CUSTOMER-USD'!$F:$F,'07. Chart_QUỐC GIA'!$AE18,'06. BC BH THEO CUSTOMER-USD'!CY:CY),0)</f>
        <v>24</v>
      </c>
      <c r="AM18" s="510">
        <f>ROUND(SUMIF('06. BC BH THEO CUSTOMER-USD'!$F:$F,'07. Chart_QUỐC GIA'!$AE18,'06. BC BH THEO CUSTOMER-USD'!CZ:CZ),0)</f>
        <v>0</v>
      </c>
      <c r="AN18" s="510">
        <f>ROUND(SUMIF('06. BC BH THEO CUSTOMER-USD'!$F:$F,'07. Chart_QUỐC GIA'!$AE18,'06. BC BH THEO CUSTOMER-USD'!DA:DA),0)</f>
        <v>24</v>
      </c>
      <c r="AO18" s="510">
        <f>ROUND(SUMIF('06. BC BH THEO CUSTOMER-USD'!$F:$F,'07. Chart_QUỐC GIA'!$AE18,'06. BC BH THEO CUSTOMER-USD'!DB:DB),0)</f>
        <v>0</v>
      </c>
      <c r="AP18" s="510">
        <f>ROUND(SUMIF('06. BC BH THEO CUSTOMER-USD'!$F:$F,'07. Chart_QUỐC GIA'!$AE18,'06. BC BH THEO CUSTOMER-USD'!DC:DC),0)</f>
        <v>0</v>
      </c>
      <c r="AQ18" s="510">
        <f>ROUND(SUMIF('06. BC BH THEO CUSTOMER-USD'!$F:$F,'07. Chart_QUỐC GIA'!$AE18,'06. BC BH THEO CUSTOMER-USD'!DD:DD),0)</f>
        <v>0</v>
      </c>
      <c r="AR18" s="621">
        <f t="shared" si="20"/>
        <v>96</v>
      </c>
      <c r="AS18" s="346">
        <f t="shared" ca="1" si="21"/>
        <v>72</v>
      </c>
      <c r="AT18" s="624">
        <f t="shared" si="14"/>
        <v>14</v>
      </c>
      <c r="AV18" s="346">
        <v>0</v>
      </c>
      <c r="AW18" s="346">
        <v>220</v>
      </c>
      <c r="AX18" s="346">
        <v>220</v>
      </c>
      <c r="AY18" s="346">
        <v>0</v>
      </c>
      <c r="AZ18" s="346">
        <v>220</v>
      </c>
      <c r="BA18" s="346">
        <v>44</v>
      </c>
      <c r="BB18" s="346">
        <v>44</v>
      </c>
      <c r="BC18" s="346">
        <v>25</v>
      </c>
      <c r="BD18" s="346">
        <v>0</v>
      </c>
      <c r="BE18" s="346">
        <v>0</v>
      </c>
      <c r="BF18" s="346">
        <v>0</v>
      </c>
      <c r="BG18" s="346">
        <v>24</v>
      </c>
      <c r="BH18" s="621">
        <f t="shared" si="22"/>
        <v>797</v>
      </c>
      <c r="BI18" s="346">
        <f t="shared" ca="1" si="23"/>
        <v>773</v>
      </c>
    </row>
    <row r="19" spans="1:61" ht="15.5" hidden="1" outlineLevel="1" x14ac:dyDescent="0.35">
      <c r="A19" s="938">
        <f>_xlfn.XLOOKUP(C19,'Quy đổi'!$G$5:$G$32,'Quy đổi'!$H$5:$H$32,0)</f>
        <v>0</v>
      </c>
      <c r="B19" s="665">
        <v>13</v>
      </c>
      <c r="C19" s="666">
        <f t="shared" si="4"/>
        <v>0</v>
      </c>
      <c r="D19" s="667">
        <f t="shared" si="5"/>
        <v>0</v>
      </c>
      <c r="E19" s="545">
        <f t="shared" si="15"/>
        <v>0</v>
      </c>
      <c r="F19" s="667">
        <f t="shared" si="6"/>
        <v>0</v>
      </c>
      <c r="G19" s="545">
        <f t="shared" si="24"/>
        <v>0</v>
      </c>
      <c r="I19" s="654">
        <v>13</v>
      </c>
      <c r="J19" s="655" t="str">
        <f t="shared" si="16"/>
        <v>Nhật</v>
      </c>
      <c r="K19" s="656">
        <f t="shared" si="7"/>
        <v>0</v>
      </c>
      <c r="L19" s="657" t="str">
        <f t="shared" si="8"/>
        <v>-</v>
      </c>
      <c r="M19" s="1114">
        <f>K19+COUNTA($K$7:K19)*0.001</f>
        <v>1.3000000000000001E-2</v>
      </c>
      <c r="O19" s="934" t="str">
        <f ca="1">_xlfn.XLOOKUP(Q19,'Quy đổi'!$G$5:$G$32,'Quy đổi'!$H$5:$H$32,0)</f>
        <v>Châu á</v>
      </c>
      <c r="P19" s="665">
        <v>13</v>
      </c>
      <c r="Q19" s="666" t="str">
        <f t="shared" ca="1" si="9"/>
        <v>Australia</v>
      </c>
      <c r="R19" s="667">
        <f t="shared" ca="1" si="10"/>
        <v>88</v>
      </c>
      <c r="S19" s="545">
        <f t="shared" ca="1" si="17"/>
        <v>2.4883359253499221E-3</v>
      </c>
      <c r="T19" s="667">
        <f t="shared" ca="1" si="11"/>
        <v>88</v>
      </c>
      <c r="U19" s="545">
        <f t="shared" ca="1" si="18"/>
        <v>4.0365364898632796E-3</v>
      </c>
      <c r="W19" s="654">
        <v>13</v>
      </c>
      <c r="X19" s="655" t="str">
        <f t="shared" si="19"/>
        <v>Nhật</v>
      </c>
      <c r="Y19" s="656">
        <f t="shared" ca="1" si="12"/>
        <v>211</v>
      </c>
      <c r="Z19" s="1115">
        <f t="shared" ca="1" si="13"/>
        <v>9</v>
      </c>
      <c r="AA19" s="1116">
        <f ca="1">Y19+COUNTA($Y$7:Y19)*0.001</f>
        <v>211.01300000000001</v>
      </c>
      <c r="AC19" s="930" t="str">
        <f>_xlfn.XLOOKUP(AE19,'Quy đổi'!$G$5:$G$32,'Quy đổi'!$H$5:$H$32,0)</f>
        <v>Châu á</v>
      </c>
      <c r="AD19" s="322">
        <v>13</v>
      </c>
      <c r="AE19" s="31" t="s">
        <v>251</v>
      </c>
      <c r="AF19" s="510">
        <f>ROUND(SUMIF('06. BC BH THEO CUSTOMER-USD'!$F:$F,'07. Chart_QUỐC GIA'!$AE19,'06. BC BH THEO CUSTOMER-USD'!CS:CS),0)</f>
        <v>1</v>
      </c>
      <c r="AG19" s="510">
        <f>ROUND(SUMIF('06. BC BH THEO CUSTOMER-USD'!$F:$F,'07. Chart_QUỐC GIA'!$AE19,'06. BC BH THEO CUSTOMER-USD'!CT:CT),0)</f>
        <v>0</v>
      </c>
      <c r="AH19" s="510">
        <f>ROUND(SUMIF('06. BC BH THEO CUSTOMER-USD'!$F:$F,'07. Chart_QUỐC GIA'!$AE19,'06. BC BH THEO CUSTOMER-USD'!CU:CU),0)</f>
        <v>0</v>
      </c>
      <c r="AI19" s="510">
        <f>ROUND(SUMIF('06. BC BH THEO CUSTOMER-USD'!$F:$F,'07. Chart_QUỐC GIA'!$AE19,'06. BC BH THEO CUSTOMER-USD'!CV:CV),0)</f>
        <v>105</v>
      </c>
      <c r="AJ19" s="510">
        <f>ROUND(SUMIF('06. BC BH THEO CUSTOMER-USD'!$F:$F,'07. Chart_QUỐC GIA'!$AE19,'06. BC BH THEO CUSTOMER-USD'!CW:CW),0)</f>
        <v>105</v>
      </c>
      <c r="AK19" s="510">
        <f>ROUND(SUMIF('06. BC BH THEO CUSTOMER-USD'!$F:$F,'07. Chart_QUỐC GIA'!$AE19,'06. BC BH THEO CUSTOMER-USD'!CX:CX),0)</f>
        <v>0</v>
      </c>
      <c r="AL19" s="510">
        <f>ROUND(SUMIF('06. BC BH THEO CUSTOMER-USD'!$F:$F,'07. Chart_QUỐC GIA'!$AE19,'06. BC BH THEO CUSTOMER-USD'!CY:CY),0)</f>
        <v>0</v>
      </c>
      <c r="AM19" s="510">
        <f>ROUND(SUMIF('06. BC BH THEO CUSTOMER-USD'!$F:$F,'07. Chart_QUỐC GIA'!$AE19,'06. BC BH THEO CUSTOMER-USD'!CZ:CZ),0)</f>
        <v>0</v>
      </c>
      <c r="AN19" s="510">
        <f>ROUND(SUMIF('06. BC BH THEO CUSTOMER-USD'!$F:$F,'07. Chart_QUỐC GIA'!$AE19,'06. BC BH THEO CUSTOMER-USD'!DA:DA),0)</f>
        <v>0</v>
      </c>
      <c r="AO19" s="510">
        <f>ROUND(SUMIF('06. BC BH THEO CUSTOMER-USD'!$F:$F,'07. Chart_QUỐC GIA'!$AE19,'06. BC BH THEO CUSTOMER-USD'!DB:DB),0)</f>
        <v>0</v>
      </c>
      <c r="AP19" s="510">
        <f>ROUND(SUMIF('06. BC BH THEO CUSTOMER-USD'!$F:$F,'07. Chart_QUỐC GIA'!$AE19,'06. BC BH THEO CUSTOMER-USD'!DC:DC),0)</f>
        <v>0</v>
      </c>
      <c r="AQ19" s="510">
        <f>ROUND(SUMIF('06. BC BH THEO CUSTOMER-USD'!$F:$F,'07. Chart_QUỐC GIA'!$AE19,'06. BC BH THEO CUSTOMER-USD'!DD:DD),0)</f>
        <v>0</v>
      </c>
      <c r="AR19" s="621">
        <f t="shared" si="20"/>
        <v>211</v>
      </c>
      <c r="AS19" s="346">
        <f t="shared" ca="1" si="21"/>
        <v>211</v>
      </c>
      <c r="AT19" s="624">
        <f t="shared" si="14"/>
        <v>9</v>
      </c>
      <c r="AV19" s="346">
        <v>0</v>
      </c>
      <c r="AW19" s="346">
        <v>0</v>
      </c>
      <c r="AX19" s="346">
        <v>0</v>
      </c>
      <c r="AY19" s="346">
        <v>1.1000000000000001</v>
      </c>
      <c r="AZ19" s="346">
        <v>0</v>
      </c>
      <c r="BA19" s="346">
        <v>0</v>
      </c>
      <c r="BB19" s="346">
        <v>1.1000000000000001</v>
      </c>
      <c r="BC19" s="346">
        <v>0</v>
      </c>
      <c r="BD19" s="346">
        <v>4.4000000000000004</v>
      </c>
      <c r="BE19" s="346">
        <v>0</v>
      </c>
      <c r="BF19" s="346">
        <v>0</v>
      </c>
      <c r="BG19" s="346">
        <v>0</v>
      </c>
      <c r="BH19" s="621">
        <f t="shared" si="22"/>
        <v>6.6000000000000005</v>
      </c>
      <c r="BI19" s="346">
        <f t="shared" ca="1" si="23"/>
        <v>2.2000000000000002</v>
      </c>
    </row>
    <row r="20" spans="1:61" ht="15.5" hidden="1" outlineLevel="1" x14ac:dyDescent="0.35">
      <c r="A20" s="938">
        <f>_xlfn.XLOOKUP(C20,'Quy đổi'!$G$5:$G$32,'Quy đổi'!$H$5:$H$32,0)</f>
        <v>0</v>
      </c>
      <c r="B20" s="665">
        <v>14</v>
      </c>
      <c r="C20" s="666">
        <f t="shared" si="4"/>
        <v>0</v>
      </c>
      <c r="D20" s="667">
        <f t="shared" si="5"/>
        <v>0</v>
      </c>
      <c r="E20" s="545">
        <f t="shared" si="15"/>
        <v>0</v>
      </c>
      <c r="F20" s="667">
        <f t="shared" si="6"/>
        <v>0</v>
      </c>
      <c r="G20" s="545">
        <f t="shared" si="24"/>
        <v>0</v>
      </c>
      <c r="I20" s="654">
        <v>14</v>
      </c>
      <c r="J20" s="655" t="str">
        <f t="shared" si="16"/>
        <v>Phần Lan</v>
      </c>
      <c r="K20" s="656">
        <f t="shared" si="7"/>
        <v>0</v>
      </c>
      <c r="L20" s="657" t="str">
        <f t="shared" si="8"/>
        <v>-</v>
      </c>
      <c r="M20" s="1114">
        <f>K20+COUNTA($K$7:K20)*0.001</f>
        <v>1.4E-2</v>
      </c>
      <c r="O20" s="934" t="str">
        <f ca="1">_xlfn.XLOOKUP(Q20,'Quy đổi'!$G$5:$G$32,'Quy đổi'!$H$5:$H$32,0)</f>
        <v>Bắc Mỹ</v>
      </c>
      <c r="P20" s="665">
        <v>14</v>
      </c>
      <c r="Q20" s="666" t="str">
        <f t="shared" ca="1" si="9"/>
        <v>Mexico</v>
      </c>
      <c r="R20" s="667">
        <f t="shared" ca="1" si="10"/>
        <v>72</v>
      </c>
      <c r="S20" s="545">
        <f t="shared" ca="1" si="17"/>
        <v>2.0359112116499363E-3</v>
      </c>
      <c r="T20" s="667">
        <f t="shared" ca="1" si="11"/>
        <v>773</v>
      </c>
      <c r="U20" s="545">
        <f t="shared" ca="1" si="18"/>
        <v>3.5457303484821762E-2</v>
      </c>
      <c r="W20" s="654">
        <v>14</v>
      </c>
      <c r="X20" s="655" t="str">
        <f t="shared" si="19"/>
        <v>Phần Lan</v>
      </c>
      <c r="Y20" s="656">
        <f t="shared" ca="1" si="12"/>
        <v>0</v>
      </c>
      <c r="Z20" s="1115" t="str">
        <f t="shared" ca="1" si="13"/>
        <v>-</v>
      </c>
      <c r="AA20" s="1116">
        <f ca="1">Y20+COUNTA($Y$7:Y20)*0.001</f>
        <v>1.4E-2</v>
      </c>
      <c r="AC20" s="930" t="str">
        <f>_xlfn.XLOOKUP(AE20,'Quy đổi'!$G$5:$G$32,'Quy đổi'!$H$5:$H$32,0)</f>
        <v>Châu Âu</v>
      </c>
      <c r="AD20" s="322">
        <v>14</v>
      </c>
      <c r="AE20" s="31" t="s">
        <v>255</v>
      </c>
      <c r="AF20" s="510">
        <f>ROUND(SUMIF('06. BC BH THEO CUSTOMER-USD'!$F:$F,'07. Chart_QUỐC GIA'!$AE20,'06. BC BH THEO CUSTOMER-USD'!CS:CS),0)</f>
        <v>0</v>
      </c>
      <c r="AG20" s="510">
        <f>ROUND(SUMIF('06. BC BH THEO CUSTOMER-USD'!$F:$F,'07. Chart_QUỐC GIA'!$AE20,'06. BC BH THEO CUSTOMER-USD'!CT:CT),0)</f>
        <v>0</v>
      </c>
      <c r="AH20" s="510">
        <f>ROUND(SUMIF('06. BC BH THEO CUSTOMER-USD'!$F:$F,'07. Chart_QUỐC GIA'!$AE20,'06. BC BH THEO CUSTOMER-USD'!CU:CU),0)</f>
        <v>0</v>
      </c>
      <c r="AI20" s="510">
        <f>ROUND(SUMIF('06. BC BH THEO CUSTOMER-USD'!$F:$F,'07. Chart_QUỐC GIA'!$AE20,'06. BC BH THEO CUSTOMER-USD'!CV:CV),0)</f>
        <v>0</v>
      </c>
      <c r="AJ20" s="510">
        <f>ROUND(SUMIF('06. BC BH THEO CUSTOMER-USD'!$F:$F,'07. Chart_QUỐC GIA'!$AE20,'06. BC BH THEO CUSTOMER-USD'!CW:CW),0)</f>
        <v>0</v>
      </c>
      <c r="AK20" s="510">
        <f>ROUND(SUMIF('06. BC BH THEO CUSTOMER-USD'!$F:$F,'07. Chart_QUỐC GIA'!$AE20,'06. BC BH THEO CUSTOMER-USD'!CX:CX),0)</f>
        <v>0</v>
      </c>
      <c r="AL20" s="510">
        <f>ROUND(SUMIF('06. BC BH THEO CUSTOMER-USD'!$F:$F,'07. Chart_QUỐC GIA'!$AE20,'06. BC BH THEO CUSTOMER-USD'!CY:CY),0)</f>
        <v>0</v>
      </c>
      <c r="AM20" s="510">
        <f>ROUND(SUMIF('06. BC BH THEO CUSTOMER-USD'!$F:$F,'07. Chart_QUỐC GIA'!$AE20,'06. BC BH THEO CUSTOMER-USD'!CZ:CZ),0)</f>
        <v>0</v>
      </c>
      <c r="AN20" s="510">
        <f>ROUND(SUMIF('06. BC BH THEO CUSTOMER-USD'!$F:$F,'07. Chart_QUỐC GIA'!$AE20,'06. BC BH THEO CUSTOMER-USD'!DA:DA),0)</f>
        <v>0</v>
      </c>
      <c r="AO20" s="510">
        <f>ROUND(SUMIF('06. BC BH THEO CUSTOMER-USD'!$F:$F,'07. Chart_QUỐC GIA'!$AE20,'06. BC BH THEO CUSTOMER-USD'!DB:DB),0)</f>
        <v>0</v>
      </c>
      <c r="AP20" s="510">
        <f>ROUND(SUMIF('06. BC BH THEO CUSTOMER-USD'!$F:$F,'07. Chart_QUỐC GIA'!$AE20,'06. BC BH THEO CUSTOMER-USD'!DC:DC),0)</f>
        <v>0</v>
      </c>
      <c r="AQ20" s="510">
        <f>ROUND(SUMIF('06. BC BH THEO CUSTOMER-USD'!$F:$F,'07. Chart_QUỐC GIA'!$AE20,'06. BC BH THEO CUSTOMER-USD'!DD:DD),0)</f>
        <v>0</v>
      </c>
      <c r="AR20" s="621">
        <f t="shared" si="20"/>
        <v>0</v>
      </c>
      <c r="AS20" s="346">
        <f t="shared" ca="1" si="21"/>
        <v>0</v>
      </c>
      <c r="AT20" s="624">
        <f t="shared" si="14"/>
        <v>20</v>
      </c>
      <c r="AV20" s="346">
        <v>0</v>
      </c>
      <c r="AW20" s="346">
        <v>0</v>
      </c>
      <c r="AX20" s="346">
        <v>0</v>
      </c>
      <c r="AY20" s="346">
        <v>0</v>
      </c>
      <c r="AZ20" s="346">
        <v>0</v>
      </c>
      <c r="BA20" s="346">
        <v>0</v>
      </c>
      <c r="BB20" s="346">
        <v>0</v>
      </c>
      <c r="BC20" s="346">
        <v>0</v>
      </c>
      <c r="BD20" s="346">
        <v>0</v>
      </c>
      <c r="BE20" s="346">
        <v>0</v>
      </c>
      <c r="BF20" s="346">
        <v>0</v>
      </c>
      <c r="BG20" s="346">
        <v>0</v>
      </c>
      <c r="BH20" s="621">
        <f t="shared" si="22"/>
        <v>0</v>
      </c>
      <c r="BI20" s="346">
        <f t="shared" ca="1" si="23"/>
        <v>0</v>
      </c>
    </row>
    <row r="21" spans="1:61" ht="15.5" hidden="1" outlineLevel="1" x14ac:dyDescent="0.35">
      <c r="A21" s="938">
        <f>_xlfn.XLOOKUP(C21,'Quy đổi'!$G$5:$G$32,'Quy đổi'!$H$5:$H$32,0)</f>
        <v>0</v>
      </c>
      <c r="B21" s="665">
        <v>15</v>
      </c>
      <c r="C21" s="666">
        <f t="shared" si="4"/>
        <v>0</v>
      </c>
      <c r="D21" s="667">
        <f t="shared" si="5"/>
        <v>0</v>
      </c>
      <c r="E21" s="545">
        <f t="shared" si="15"/>
        <v>0</v>
      </c>
      <c r="F21" s="667">
        <f t="shared" si="6"/>
        <v>0</v>
      </c>
      <c r="G21" s="545">
        <f t="shared" si="24"/>
        <v>0</v>
      </c>
      <c r="I21" s="654">
        <v>15</v>
      </c>
      <c r="J21" s="655" t="str">
        <f t="shared" si="16"/>
        <v>Singapore</v>
      </c>
      <c r="K21" s="656">
        <f t="shared" si="7"/>
        <v>0</v>
      </c>
      <c r="L21" s="657" t="str">
        <f t="shared" si="8"/>
        <v>-</v>
      </c>
      <c r="M21" s="1114">
        <f>K21+COUNTA($K$7:K21)*0.001</f>
        <v>1.4999999999999999E-2</v>
      </c>
      <c r="O21" s="934" t="str">
        <f ca="1">_xlfn.XLOOKUP(Q21,'Quy đổi'!$G$5:$G$32,'Quy đổi'!$H$5:$H$32,0)</f>
        <v>Châu Âu</v>
      </c>
      <c r="P21" s="665">
        <v>15</v>
      </c>
      <c r="Q21" s="666" t="str">
        <f t="shared" ca="1" si="9"/>
        <v>Pháp</v>
      </c>
      <c r="R21" s="667">
        <f t="shared" ca="1" si="10"/>
        <v>66</v>
      </c>
      <c r="S21" s="545">
        <f t="shared" ca="1" si="17"/>
        <v>1.8662519440124418E-3</v>
      </c>
      <c r="T21" s="667">
        <f t="shared" ca="1" si="11"/>
        <v>0</v>
      </c>
      <c r="U21" s="545">
        <f t="shared" ca="1" si="18"/>
        <v>0</v>
      </c>
      <c r="W21" s="654">
        <v>15</v>
      </c>
      <c r="X21" s="655" t="str">
        <f t="shared" si="19"/>
        <v>Singapore</v>
      </c>
      <c r="Y21" s="656">
        <f t="shared" ca="1" si="12"/>
        <v>220</v>
      </c>
      <c r="Z21" s="1115">
        <f t="shared" ca="1" si="13"/>
        <v>8</v>
      </c>
      <c r="AA21" s="1116">
        <f ca="1">Y21+COUNTA($Y$7:Y21)*0.001</f>
        <v>220.01499999999999</v>
      </c>
      <c r="AC21" s="930" t="str">
        <f>_xlfn.XLOOKUP(AE21,'Quy đổi'!$G$5:$G$32,'Quy đổi'!$H$5:$H$32,0)</f>
        <v>Châu á</v>
      </c>
      <c r="AD21" s="322">
        <v>15</v>
      </c>
      <c r="AE21" s="12" t="s">
        <v>248</v>
      </c>
      <c r="AF21" s="510">
        <f>ROUND(SUMIF('06. BC BH THEO CUSTOMER-USD'!$F:$F,'07. Chart_QUỐC GIA'!$AE21,'06. BC BH THEO CUSTOMER-USD'!CS:CS),0)</f>
        <v>0</v>
      </c>
      <c r="AG21" s="510">
        <f>ROUND(SUMIF('06. BC BH THEO CUSTOMER-USD'!$F:$F,'07. Chart_QUỐC GIA'!$AE21,'06. BC BH THEO CUSTOMER-USD'!CT:CT),0)</f>
        <v>0</v>
      </c>
      <c r="AH21" s="510">
        <f>ROUND(SUMIF('06. BC BH THEO CUSTOMER-USD'!$F:$F,'07. Chart_QUỐC GIA'!$AE21,'06. BC BH THEO CUSTOMER-USD'!CU:CU),0)</f>
        <v>220</v>
      </c>
      <c r="AI21" s="510">
        <f>ROUND(SUMIF('06. BC BH THEO CUSTOMER-USD'!$F:$F,'07. Chart_QUỐC GIA'!$AE21,'06. BC BH THEO CUSTOMER-USD'!CV:CV),0)</f>
        <v>0</v>
      </c>
      <c r="AJ21" s="510">
        <f>ROUND(SUMIF('06. BC BH THEO CUSTOMER-USD'!$F:$F,'07. Chart_QUỐC GIA'!$AE21,'06. BC BH THEO CUSTOMER-USD'!CW:CW),0)</f>
        <v>0</v>
      </c>
      <c r="AK21" s="510">
        <f>ROUND(SUMIF('06. BC BH THEO CUSTOMER-USD'!$F:$F,'07. Chart_QUỐC GIA'!$AE21,'06. BC BH THEO CUSTOMER-USD'!CX:CX),0)</f>
        <v>0</v>
      </c>
      <c r="AL21" s="510">
        <f>ROUND(SUMIF('06. BC BH THEO CUSTOMER-USD'!$F:$F,'07. Chart_QUỐC GIA'!$AE21,'06. BC BH THEO CUSTOMER-USD'!CY:CY),0)</f>
        <v>0</v>
      </c>
      <c r="AM21" s="510">
        <f>ROUND(SUMIF('06. BC BH THEO CUSTOMER-USD'!$F:$F,'07. Chart_QUỐC GIA'!$AE21,'06. BC BH THEO CUSTOMER-USD'!CZ:CZ),0)</f>
        <v>0</v>
      </c>
      <c r="AN21" s="510">
        <f>ROUND(SUMIF('06. BC BH THEO CUSTOMER-USD'!$F:$F,'07. Chart_QUỐC GIA'!$AE21,'06. BC BH THEO CUSTOMER-USD'!DA:DA),0)</f>
        <v>0</v>
      </c>
      <c r="AO21" s="510">
        <f>ROUND(SUMIF('06. BC BH THEO CUSTOMER-USD'!$F:$F,'07. Chart_QUỐC GIA'!$AE21,'06. BC BH THEO CUSTOMER-USD'!DB:DB),0)</f>
        <v>0</v>
      </c>
      <c r="AP21" s="510">
        <f>ROUND(SUMIF('06. BC BH THEO CUSTOMER-USD'!$F:$F,'07. Chart_QUỐC GIA'!$AE21,'06. BC BH THEO CUSTOMER-USD'!DC:DC),0)</f>
        <v>0</v>
      </c>
      <c r="AQ21" s="510">
        <f>ROUND(SUMIF('06. BC BH THEO CUSTOMER-USD'!$F:$F,'07. Chart_QUỐC GIA'!$AE21,'06. BC BH THEO CUSTOMER-USD'!DD:DD),0)</f>
        <v>0</v>
      </c>
      <c r="AR21" s="621">
        <f t="shared" si="20"/>
        <v>220</v>
      </c>
      <c r="AS21" s="346">
        <f t="shared" ca="1" si="21"/>
        <v>220</v>
      </c>
      <c r="AT21" s="624">
        <f t="shared" si="14"/>
        <v>8</v>
      </c>
      <c r="AV21" s="346">
        <v>0</v>
      </c>
      <c r="AW21" s="346">
        <v>0</v>
      </c>
      <c r="AX21" s="346">
        <v>176.07499999999999</v>
      </c>
      <c r="AY21" s="346">
        <v>440</v>
      </c>
      <c r="AZ21" s="346">
        <v>330</v>
      </c>
      <c r="BA21" s="346">
        <v>0</v>
      </c>
      <c r="BB21" s="346">
        <v>0</v>
      </c>
      <c r="BC21" s="346">
        <v>0</v>
      </c>
      <c r="BD21" s="346">
        <v>0</v>
      </c>
      <c r="BE21" s="346">
        <v>0</v>
      </c>
      <c r="BF21" s="346">
        <v>0</v>
      </c>
      <c r="BG21" s="346">
        <v>0</v>
      </c>
      <c r="BH21" s="621">
        <f t="shared" si="22"/>
        <v>946.07500000000005</v>
      </c>
      <c r="BI21" s="346">
        <f t="shared" ca="1" si="23"/>
        <v>946.07500000000005</v>
      </c>
    </row>
    <row r="22" spans="1:61" ht="15.5" hidden="1" outlineLevel="1" x14ac:dyDescent="0.35">
      <c r="A22" s="938">
        <f>_xlfn.XLOOKUP(C22,'Quy đổi'!$G$5:$G$32,'Quy đổi'!$H$5:$H$32,0)</f>
        <v>0</v>
      </c>
      <c r="B22" s="665">
        <v>16</v>
      </c>
      <c r="C22" s="666">
        <f t="shared" si="4"/>
        <v>0</v>
      </c>
      <c r="D22" s="667">
        <f t="shared" si="5"/>
        <v>0</v>
      </c>
      <c r="E22" s="545">
        <f t="shared" si="15"/>
        <v>0</v>
      </c>
      <c r="F22" s="667">
        <f t="shared" si="6"/>
        <v>0</v>
      </c>
      <c r="G22" s="545">
        <f t="shared" si="24"/>
        <v>0</v>
      </c>
      <c r="I22" s="654">
        <v>16</v>
      </c>
      <c r="J22" s="655" t="str">
        <f>AE22</f>
        <v>Thụy Sĩ</v>
      </c>
      <c r="K22" s="656">
        <f t="shared" si="7"/>
        <v>0</v>
      </c>
      <c r="L22" s="657" t="str">
        <f t="shared" si="8"/>
        <v>-</v>
      </c>
      <c r="M22" s="1114">
        <f>K22+COUNTA($K$7:K22)*0.001</f>
        <v>1.6E-2</v>
      </c>
      <c r="O22" s="934" t="str">
        <f ca="1">_xlfn.XLOOKUP(Q22,'Quy đổi'!$G$5:$G$32,'Quy đổi'!$H$5:$H$32,0)</f>
        <v>Châu Âu</v>
      </c>
      <c r="P22" s="665">
        <v>16</v>
      </c>
      <c r="Q22" s="666" t="str">
        <f t="shared" ca="1" si="9"/>
        <v>Italy</v>
      </c>
      <c r="R22" s="667">
        <f t="shared" ca="1" si="10"/>
        <v>47</v>
      </c>
      <c r="S22" s="545">
        <f t="shared" ca="1" si="17"/>
        <v>1.3289975964937085E-3</v>
      </c>
      <c r="T22" s="667">
        <f t="shared" ca="1" si="11"/>
        <v>0</v>
      </c>
      <c r="U22" s="545">
        <f t="shared" ca="1" si="18"/>
        <v>0</v>
      </c>
      <c r="W22" s="654">
        <v>16</v>
      </c>
      <c r="X22" s="655" t="str">
        <f t="shared" si="19"/>
        <v>Thụy Sĩ</v>
      </c>
      <c r="Y22" s="656">
        <f t="shared" ca="1" si="12"/>
        <v>418</v>
      </c>
      <c r="Z22" s="1115">
        <f t="shared" ca="1" si="13"/>
        <v>6</v>
      </c>
      <c r="AA22" s="1116">
        <f ca="1">Y22+COUNTA($Y$7:Y22)*0.001</f>
        <v>418.01600000000002</v>
      </c>
      <c r="AC22" s="930" t="str">
        <f>_xlfn.XLOOKUP(AE22,'Quy đổi'!$G$5:$G$32,'Quy đổi'!$H$5:$H$32,0)</f>
        <v>Châu Âu</v>
      </c>
      <c r="AD22" s="322">
        <v>16</v>
      </c>
      <c r="AE22" s="31" t="s">
        <v>733</v>
      </c>
      <c r="AF22" s="510">
        <f>ROUND(SUMIF('06. BC BH THEO CUSTOMER-USD'!$F:$F,'07. Chart_QUỐC GIA'!$AE22,'06. BC BH THEO CUSTOMER-USD'!CS:CS),0)</f>
        <v>0</v>
      </c>
      <c r="AG22" s="510">
        <f>ROUND(SUMIF('06. BC BH THEO CUSTOMER-USD'!$F:$F,'07. Chart_QUỐC GIA'!$AE22,'06. BC BH THEO CUSTOMER-USD'!CT:CT),0)</f>
        <v>352</v>
      </c>
      <c r="AH22" s="510">
        <f>ROUND(SUMIF('06. BC BH THEO CUSTOMER-USD'!$F:$F,'07. Chart_QUỐC GIA'!$AE22,'06. BC BH THEO CUSTOMER-USD'!CU:CU),0)</f>
        <v>0</v>
      </c>
      <c r="AI22" s="510">
        <f>ROUND(SUMIF('06. BC BH THEO CUSTOMER-USD'!$F:$F,'07. Chart_QUỐC GIA'!$AE22,'06. BC BH THEO CUSTOMER-USD'!CV:CV),0)</f>
        <v>22</v>
      </c>
      <c r="AJ22" s="510">
        <f>ROUND(SUMIF('06. BC BH THEO CUSTOMER-USD'!$F:$F,'07. Chart_QUỐC GIA'!$AE22,'06. BC BH THEO CUSTOMER-USD'!CW:CW),0)</f>
        <v>0</v>
      </c>
      <c r="AK22" s="510">
        <f>ROUND(SUMIF('06. BC BH THEO CUSTOMER-USD'!$F:$F,'07. Chart_QUỐC GIA'!$AE22,'06. BC BH THEO CUSTOMER-USD'!CX:CX),0)</f>
        <v>0</v>
      </c>
      <c r="AL22" s="510">
        <f>ROUND(SUMIF('06. BC BH THEO CUSTOMER-USD'!$F:$F,'07. Chart_QUỐC GIA'!$AE22,'06. BC BH THEO CUSTOMER-USD'!CY:CY),0)</f>
        <v>44</v>
      </c>
      <c r="AM22" s="510">
        <f>ROUND(SUMIF('06. BC BH THEO CUSTOMER-USD'!$F:$F,'07. Chart_QUỐC GIA'!$AE22,'06. BC BH THEO CUSTOMER-USD'!CZ:CZ),0)</f>
        <v>0</v>
      </c>
      <c r="AN22" s="510">
        <f>ROUND(SUMIF('06. BC BH THEO CUSTOMER-USD'!$F:$F,'07. Chart_QUỐC GIA'!$AE22,'06. BC BH THEO CUSTOMER-USD'!DA:DA),0)</f>
        <v>0</v>
      </c>
      <c r="AO22" s="510">
        <f>ROUND(SUMIF('06. BC BH THEO CUSTOMER-USD'!$F:$F,'07. Chart_QUỐC GIA'!$AE22,'06. BC BH THEO CUSTOMER-USD'!DB:DB),0)</f>
        <v>0</v>
      </c>
      <c r="AP22" s="510">
        <f>ROUND(SUMIF('06. BC BH THEO CUSTOMER-USD'!$F:$F,'07. Chart_QUỐC GIA'!$AE22,'06. BC BH THEO CUSTOMER-USD'!DC:DC),0)</f>
        <v>0</v>
      </c>
      <c r="AQ22" s="510">
        <f>ROUND(SUMIF('06. BC BH THEO CUSTOMER-USD'!$F:$F,'07. Chart_QUỐC GIA'!$AE22,'06. BC BH THEO CUSTOMER-USD'!DD:DD),0)</f>
        <v>0</v>
      </c>
      <c r="AR22" s="621">
        <f t="shared" si="20"/>
        <v>418</v>
      </c>
      <c r="AS22" s="346">
        <f t="shared" ca="1" si="21"/>
        <v>418</v>
      </c>
      <c r="AT22" s="624">
        <f t="shared" si="14"/>
        <v>6</v>
      </c>
      <c r="AV22" s="346">
        <v>0</v>
      </c>
      <c r="AW22" s="346">
        <v>0</v>
      </c>
      <c r="AX22" s="346">
        <v>0</v>
      </c>
      <c r="AY22" s="346">
        <v>0</v>
      </c>
      <c r="AZ22" s="346">
        <v>22</v>
      </c>
      <c r="BA22" s="346">
        <v>0</v>
      </c>
      <c r="BB22" s="346">
        <v>0</v>
      </c>
      <c r="BC22" s="346">
        <v>0</v>
      </c>
      <c r="BD22" s="346">
        <v>88</v>
      </c>
      <c r="BE22" s="346">
        <v>0</v>
      </c>
      <c r="BF22" s="346">
        <v>0</v>
      </c>
      <c r="BG22" s="346">
        <v>0</v>
      </c>
      <c r="BH22" s="621">
        <f t="shared" si="22"/>
        <v>110</v>
      </c>
      <c r="BI22" s="346">
        <f t="shared" ca="1" si="23"/>
        <v>22</v>
      </c>
    </row>
    <row r="23" spans="1:61" ht="15.5" hidden="1" outlineLevel="1" x14ac:dyDescent="0.35">
      <c r="A23" s="938">
        <f>_xlfn.XLOOKUP(C23,'Quy đổi'!$G$5:$G$32,'Quy đổi'!$H$5:$H$32,0)</f>
        <v>0</v>
      </c>
      <c r="B23" s="665">
        <v>17</v>
      </c>
      <c r="C23" s="666">
        <f t="shared" si="4"/>
        <v>0</v>
      </c>
      <c r="D23" s="667">
        <f t="shared" si="5"/>
        <v>0</v>
      </c>
      <c r="E23" s="545">
        <f t="shared" ref="E23:E25" si="25">D23/$D$5</f>
        <v>0</v>
      </c>
      <c r="F23" s="667">
        <f t="shared" si="6"/>
        <v>0</v>
      </c>
      <c r="G23" s="545">
        <f t="shared" ref="G23:G25" si="26">F23/$F$5</f>
        <v>0</v>
      </c>
      <c r="I23" s="654">
        <v>17</v>
      </c>
      <c r="J23" s="655" t="str">
        <f t="shared" ref="J23:J25" si="27">AE23</f>
        <v>Canada</v>
      </c>
      <c r="K23" s="656">
        <f t="shared" si="7"/>
        <v>0</v>
      </c>
      <c r="L23" s="657" t="str">
        <f t="shared" si="8"/>
        <v>-</v>
      </c>
      <c r="M23" s="1114">
        <f>K23+COUNTA($K$7:K23)*0.001</f>
        <v>1.7000000000000001E-2</v>
      </c>
      <c r="O23" s="934" t="str">
        <f ca="1">_xlfn.XLOOKUP(Q23,'Quy đổi'!$G$5:$G$32,'Quy đổi'!$H$5:$H$32,0)</f>
        <v>Châu á</v>
      </c>
      <c r="P23" s="665">
        <v>17</v>
      </c>
      <c r="Q23" s="666" t="str">
        <f t="shared" ca="1" si="9"/>
        <v>Colombia</v>
      </c>
      <c r="R23" s="667">
        <f t="shared" ca="1" si="10"/>
        <v>43</v>
      </c>
      <c r="S23" s="545">
        <f t="shared" ref="S23:S25" ca="1" si="28">R23/$R$5</f>
        <v>1.215891418068712E-3</v>
      </c>
      <c r="T23" s="667">
        <f t="shared" ca="1" si="11"/>
        <v>0</v>
      </c>
      <c r="U23" s="545">
        <f t="shared" ref="U23:U25" ca="1" si="29">T23/$T$5</f>
        <v>0</v>
      </c>
      <c r="W23" s="654">
        <v>17</v>
      </c>
      <c r="X23" s="655" t="str">
        <f t="shared" ref="X23:X25" si="30">AE23</f>
        <v>Canada</v>
      </c>
      <c r="Y23" s="656">
        <f t="shared" ca="1" si="12"/>
        <v>23</v>
      </c>
      <c r="Z23" s="1115">
        <f t="shared" ca="1" si="13"/>
        <v>18</v>
      </c>
      <c r="AA23" s="1116">
        <f ca="1">Y23+COUNTA($Y$7:Y23)*0.001</f>
        <v>23.016999999999999</v>
      </c>
      <c r="AC23" s="930" t="str">
        <f>_xlfn.XLOOKUP(AE23,'Quy đổi'!$G$5:$G$32,'Quy đổi'!$H$5:$H$32,0)</f>
        <v>Bắc Mỹ</v>
      </c>
      <c r="AD23" s="322">
        <v>17</v>
      </c>
      <c r="AE23" s="1038" t="s">
        <v>667</v>
      </c>
      <c r="AF23" s="510">
        <f>ROUND(SUMIF('06. BC BH THEO CUSTOMER-USD'!$F:$F,'07. Chart_QUỐC GIA'!$AE23,'06. BC BH THEO CUSTOMER-USD'!CS:CS),0)</f>
        <v>0</v>
      </c>
      <c r="AG23" s="510">
        <f>ROUND(SUMIF('06. BC BH THEO CUSTOMER-USD'!$F:$F,'07. Chart_QUỐC GIA'!$AE23,'06. BC BH THEO CUSTOMER-USD'!CT:CT),0)</f>
        <v>0</v>
      </c>
      <c r="AH23" s="510">
        <f>ROUND(SUMIF('06. BC BH THEO CUSTOMER-USD'!$F:$F,'07. Chart_QUỐC GIA'!$AE23,'06. BC BH THEO CUSTOMER-USD'!CU:CU),0)</f>
        <v>1</v>
      </c>
      <c r="AI23" s="510">
        <f>ROUND(SUMIF('06. BC BH THEO CUSTOMER-USD'!$F:$F,'07. Chart_QUỐC GIA'!$AE23,'06. BC BH THEO CUSTOMER-USD'!CV:CV),0)</f>
        <v>0</v>
      </c>
      <c r="AJ23" s="510">
        <f>ROUND(SUMIF('06. BC BH THEO CUSTOMER-USD'!$F:$F,'07. Chart_QUỐC GIA'!$AE23,'06. BC BH THEO CUSTOMER-USD'!CW:CW),0)</f>
        <v>0</v>
      </c>
      <c r="AK23" s="510">
        <f>ROUND(SUMIF('06. BC BH THEO CUSTOMER-USD'!$F:$F,'07. Chart_QUỐC GIA'!$AE23,'06. BC BH THEO CUSTOMER-USD'!CX:CX),0)</f>
        <v>0</v>
      </c>
      <c r="AL23" s="510">
        <f>ROUND(SUMIF('06. BC BH THEO CUSTOMER-USD'!$F:$F,'07. Chart_QUỐC GIA'!$AE23,'06. BC BH THEO CUSTOMER-USD'!CY:CY),0)</f>
        <v>22</v>
      </c>
      <c r="AM23" s="510">
        <f>ROUND(SUMIF('06. BC BH THEO CUSTOMER-USD'!$F:$F,'07. Chart_QUỐC GIA'!$AE23,'06. BC BH THEO CUSTOMER-USD'!CZ:CZ),0)</f>
        <v>0</v>
      </c>
      <c r="AN23" s="510">
        <f>ROUND(SUMIF('06. BC BH THEO CUSTOMER-USD'!$F:$F,'07. Chart_QUỐC GIA'!$AE23,'06. BC BH THEO CUSTOMER-USD'!DA:DA),0)</f>
        <v>0</v>
      </c>
      <c r="AO23" s="510">
        <f>ROUND(SUMIF('06. BC BH THEO CUSTOMER-USD'!$F:$F,'07. Chart_QUỐC GIA'!$AE23,'06. BC BH THEO CUSTOMER-USD'!DB:DB),0)</f>
        <v>0</v>
      </c>
      <c r="AP23" s="510">
        <f>ROUND(SUMIF('06. BC BH THEO CUSTOMER-USD'!$F:$F,'07. Chart_QUỐC GIA'!$AE23,'06. BC BH THEO CUSTOMER-USD'!DC:DC),0)</f>
        <v>0</v>
      </c>
      <c r="AQ23" s="510">
        <f>ROUND(SUMIF('06. BC BH THEO CUSTOMER-USD'!$F:$F,'07. Chart_QUỐC GIA'!$AE23,'06. BC BH THEO CUSTOMER-USD'!DD:DD),0)</f>
        <v>0</v>
      </c>
      <c r="AR23" s="621">
        <f t="shared" ref="AR23:AR25" si="31">SUM(AF23:AQ23)</f>
        <v>23</v>
      </c>
      <c r="AS23" s="346">
        <f t="shared" ref="AS23:AS25" ca="1" si="32">IFERROR(SUM(OFFSET(AF23:AQ23,0,0,1,$AS$5)),"-")</f>
        <v>23</v>
      </c>
      <c r="AT23" s="624">
        <f t="shared" si="14"/>
        <v>18</v>
      </c>
      <c r="AV23" s="346">
        <v>0</v>
      </c>
      <c r="AW23" s="346">
        <v>0</v>
      </c>
      <c r="AX23" s="346">
        <v>0</v>
      </c>
      <c r="AY23" s="346">
        <v>0</v>
      </c>
      <c r="AZ23" s="346">
        <v>0</v>
      </c>
      <c r="BA23" s="346">
        <v>0</v>
      </c>
      <c r="BB23" s="346">
        <v>0</v>
      </c>
      <c r="BC23" s="346">
        <v>0</v>
      </c>
      <c r="BD23" s="346">
        <v>0</v>
      </c>
      <c r="BE23" s="346">
        <v>0</v>
      </c>
      <c r="BF23" s="346">
        <v>0</v>
      </c>
      <c r="BG23" s="346">
        <v>0</v>
      </c>
      <c r="BH23" s="621">
        <f t="shared" si="22"/>
        <v>0</v>
      </c>
      <c r="BI23" s="346">
        <f t="shared" ca="1" si="23"/>
        <v>0</v>
      </c>
    </row>
    <row r="24" spans="1:61" ht="15.5" hidden="1" outlineLevel="1" x14ac:dyDescent="0.35">
      <c r="A24" s="938">
        <f>_xlfn.XLOOKUP(C24,'Quy đổi'!$G$5:$G$32,'Quy đổi'!$H$5:$H$32,0)</f>
        <v>0</v>
      </c>
      <c r="B24" s="665">
        <v>18</v>
      </c>
      <c r="C24" s="666">
        <f t="shared" si="4"/>
        <v>0</v>
      </c>
      <c r="D24" s="667">
        <f t="shared" si="5"/>
        <v>0</v>
      </c>
      <c r="E24" s="545">
        <f t="shared" si="25"/>
        <v>0</v>
      </c>
      <c r="F24" s="667">
        <f t="shared" si="6"/>
        <v>0</v>
      </c>
      <c r="G24" s="545">
        <f t="shared" si="26"/>
        <v>0</v>
      </c>
      <c r="I24" s="654">
        <v>18</v>
      </c>
      <c r="J24" s="655" t="str">
        <f t="shared" si="27"/>
        <v>Luxembourg</v>
      </c>
      <c r="K24" s="656">
        <f t="shared" si="7"/>
        <v>99</v>
      </c>
      <c r="L24" s="657">
        <f t="shared" si="8"/>
        <v>5</v>
      </c>
      <c r="M24" s="1114">
        <f>K24+COUNTA($K$7:K24)*0.001</f>
        <v>99.018000000000001</v>
      </c>
      <c r="O24" s="934" t="str">
        <f ca="1">_xlfn.XLOOKUP(Q24,'Quy đổi'!$G$5:$G$32,'Quy đổi'!$H$5:$H$32,0)</f>
        <v>Bắc Mỹ</v>
      </c>
      <c r="P24" s="665">
        <v>18</v>
      </c>
      <c r="Q24" s="666" t="str">
        <f t="shared" ca="1" si="9"/>
        <v>Canada</v>
      </c>
      <c r="R24" s="667">
        <f t="shared" ca="1" si="10"/>
        <v>23</v>
      </c>
      <c r="S24" s="545">
        <f t="shared" ca="1" si="28"/>
        <v>6.5036052594372965E-4</v>
      </c>
      <c r="T24" s="667">
        <f t="shared" ca="1" si="11"/>
        <v>0</v>
      </c>
      <c r="U24" s="545">
        <f t="shared" ca="1" si="29"/>
        <v>0</v>
      </c>
      <c r="W24" s="654">
        <v>18</v>
      </c>
      <c r="X24" s="655" t="str">
        <f t="shared" si="30"/>
        <v>Luxembourg</v>
      </c>
      <c r="Y24" s="656">
        <f t="shared" ca="1" si="12"/>
        <v>1188</v>
      </c>
      <c r="Z24" s="1115">
        <f t="shared" ca="1" si="13"/>
        <v>4</v>
      </c>
      <c r="AA24" s="1116">
        <f ca="1">Y24+COUNTA($Y$7:Y24)*0.001</f>
        <v>1188.018</v>
      </c>
      <c r="AC24" s="930" t="str">
        <f>_xlfn.XLOOKUP(AE24,'Quy đổi'!$G$5:$G$32,'Quy đổi'!$H$5:$H$32,0)</f>
        <v>Châu Âu</v>
      </c>
      <c r="AD24" s="322">
        <v>18</v>
      </c>
      <c r="AE24" s="1038" t="s">
        <v>671</v>
      </c>
      <c r="AF24" s="510">
        <f>ROUND(SUMIF('06. BC BH THEO CUSTOMER-USD'!$F:$F,'07. Chart_QUỐC GIA'!$AE24,'06. BC BH THEO CUSTOMER-USD'!CS:CS),0)</f>
        <v>0</v>
      </c>
      <c r="AG24" s="510">
        <f>ROUND(SUMIF('06. BC BH THEO CUSTOMER-USD'!$F:$F,'07. Chart_QUỐC GIA'!$AE24,'06. BC BH THEO CUSTOMER-USD'!CT:CT),0)</f>
        <v>440</v>
      </c>
      <c r="AH24" s="510">
        <f>ROUND(SUMIF('06. BC BH THEO CUSTOMER-USD'!$F:$F,'07. Chart_QUỐC GIA'!$AE24,'06. BC BH THEO CUSTOMER-USD'!CU:CU),0)</f>
        <v>165</v>
      </c>
      <c r="AI24" s="510">
        <f>ROUND(SUMIF('06. BC BH THEO CUSTOMER-USD'!$F:$F,'07. Chart_QUỐC GIA'!$AE24,'06. BC BH THEO CUSTOMER-USD'!CV:CV),0)</f>
        <v>110</v>
      </c>
      <c r="AJ24" s="510">
        <f>ROUND(SUMIF('06. BC BH THEO CUSTOMER-USD'!$F:$F,'07. Chart_QUỐC GIA'!$AE24,'06. BC BH THEO CUSTOMER-USD'!CW:CW),0)</f>
        <v>374</v>
      </c>
      <c r="AK24" s="510">
        <f>ROUND(SUMIF('06. BC BH THEO CUSTOMER-USD'!$F:$F,'07. Chart_QUỐC GIA'!$AE24,'06. BC BH THEO CUSTOMER-USD'!CX:CX),0)</f>
        <v>0</v>
      </c>
      <c r="AL24" s="510">
        <f>ROUND(SUMIF('06. BC BH THEO CUSTOMER-USD'!$F:$F,'07. Chart_QUỐC GIA'!$AE24,'06. BC BH THEO CUSTOMER-USD'!CY:CY),0)</f>
        <v>0</v>
      </c>
      <c r="AM24" s="510">
        <f>ROUND(SUMIF('06. BC BH THEO CUSTOMER-USD'!$F:$F,'07. Chart_QUỐC GIA'!$AE24,'06. BC BH THEO CUSTOMER-USD'!CZ:CZ),0)</f>
        <v>99</v>
      </c>
      <c r="AN24" s="510">
        <f>ROUND(SUMIF('06. BC BH THEO CUSTOMER-USD'!$F:$F,'07. Chart_QUỐC GIA'!$AE24,'06. BC BH THEO CUSTOMER-USD'!DA:DA),0)</f>
        <v>0</v>
      </c>
      <c r="AO24" s="510">
        <f>ROUND(SUMIF('06. BC BH THEO CUSTOMER-USD'!$F:$F,'07. Chart_QUỐC GIA'!$AE24,'06. BC BH THEO CUSTOMER-USD'!DB:DB),0)</f>
        <v>0</v>
      </c>
      <c r="AP24" s="510">
        <f>ROUND(SUMIF('06. BC BH THEO CUSTOMER-USD'!$F:$F,'07. Chart_QUỐC GIA'!$AE24,'06. BC BH THEO CUSTOMER-USD'!DC:DC),0)</f>
        <v>0</v>
      </c>
      <c r="AQ24" s="510">
        <f>ROUND(SUMIF('06. BC BH THEO CUSTOMER-USD'!$F:$F,'07. Chart_QUỐC GIA'!$AE24,'06. BC BH THEO CUSTOMER-USD'!DD:DD),0)</f>
        <v>0</v>
      </c>
      <c r="AR24" s="621">
        <f t="shared" si="31"/>
        <v>1188</v>
      </c>
      <c r="AS24" s="346">
        <f t="shared" ca="1" si="32"/>
        <v>1188</v>
      </c>
      <c r="AT24" s="624">
        <f t="shared" si="14"/>
        <v>4</v>
      </c>
      <c r="AV24" s="346">
        <v>0</v>
      </c>
      <c r="AW24" s="346">
        <v>0</v>
      </c>
      <c r="AX24" s="346">
        <v>0</v>
      </c>
      <c r="AY24" s="346">
        <v>0</v>
      </c>
      <c r="AZ24" s="346">
        <v>0</v>
      </c>
      <c r="BA24" s="346">
        <v>0</v>
      </c>
      <c r="BB24" s="346">
        <v>0</v>
      </c>
      <c r="BC24" s="346">
        <v>0</v>
      </c>
      <c r="BD24" s="346">
        <v>0</v>
      </c>
      <c r="BE24" s="346">
        <v>0</v>
      </c>
      <c r="BF24" s="346">
        <v>0</v>
      </c>
      <c r="BG24" s="346">
        <v>0</v>
      </c>
      <c r="BH24" s="621">
        <f t="shared" si="22"/>
        <v>0</v>
      </c>
      <c r="BI24" s="346">
        <f t="shared" ca="1" si="23"/>
        <v>0</v>
      </c>
    </row>
    <row r="25" spans="1:61" ht="15.5" hidden="1" outlineLevel="1" x14ac:dyDescent="0.35">
      <c r="A25" s="938">
        <f>_xlfn.XLOOKUP(C25,'Quy đổi'!$G$5:$G$32,'Quy đổi'!$H$5:$H$32,0)</f>
        <v>0</v>
      </c>
      <c r="B25" s="665">
        <v>19</v>
      </c>
      <c r="C25" s="666">
        <f t="shared" si="4"/>
        <v>0</v>
      </c>
      <c r="D25" s="667">
        <f t="shared" si="5"/>
        <v>0</v>
      </c>
      <c r="E25" s="545">
        <f t="shared" si="25"/>
        <v>0</v>
      </c>
      <c r="F25" s="667">
        <f t="shared" si="6"/>
        <v>0</v>
      </c>
      <c r="G25" s="545">
        <f t="shared" si="26"/>
        <v>0</v>
      </c>
      <c r="I25" s="654">
        <v>19</v>
      </c>
      <c r="J25" s="655" t="str">
        <f t="shared" si="27"/>
        <v>Pháp</v>
      </c>
      <c r="K25" s="656">
        <f t="shared" si="7"/>
        <v>0</v>
      </c>
      <c r="L25" s="657" t="str">
        <f t="shared" si="8"/>
        <v>-</v>
      </c>
      <c r="M25" s="1114">
        <f>K25+COUNTA($K$7:K25)*0.001</f>
        <v>1.9E-2</v>
      </c>
      <c r="O25" s="934" t="str">
        <f ca="1">_xlfn.XLOOKUP(Q25,'Quy đổi'!$G$5:$G$32,'Quy đổi'!$H$5:$H$32,0)</f>
        <v>Châu Âu</v>
      </c>
      <c r="P25" s="665">
        <v>19</v>
      </c>
      <c r="Q25" s="666" t="str">
        <f t="shared" ca="1" si="9"/>
        <v>Anh</v>
      </c>
      <c r="R25" s="667">
        <f t="shared" ca="1" si="10"/>
        <v>2</v>
      </c>
      <c r="S25" s="545">
        <f t="shared" ca="1" si="28"/>
        <v>5.6553089212498234E-5</v>
      </c>
      <c r="T25" s="667">
        <f t="shared" ca="1" si="11"/>
        <v>0</v>
      </c>
      <c r="U25" s="545">
        <f t="shared" ca="1" si="29"/>
        <v>0</v>
      </c>
      <c r="W25" s="654">
        <v>19</v>
      </c>
      <c r="X25" s="655" t="str">
        <f t="shared" si="30"/>
        <v>Pháp</v>
      </c>
      <c r="Y25" s="656">
        <f t="shared" ca="1" si="12"/>
        <v>66</v>
      </c>
      <c r="Z25" s="1115">
        <f t="shared" ca="1" si="13"/>
        <v>15</v>
      </c>
      <c r="AA25" s="1116">
        <f ca="1">Y25+COUNTA($Y$7:Y25)*0.001</f>
        <v>66.019000000000005</v>
      </c>
      <c r="AC25" s="930" t="str">
        <f>_xlfn.XLOOKUP(AE25,'Quy đổi'!$G$5:$G$32,'Quy đổi'!$H$5:$H$32,0)</f>
        <v>Châu Âu</v>
      </c>
      <c r="AD25" s="322">
        <v>19</v>
      </c>
      <c r="AE25" s="1038" t="s">
        <v>734</v>
      </c>
      <c r="AF25" s="510">
        <f>ROUND(SUMIF('06. BC BH THEO CUSTOMER-USD'!$F:$F,'07. Chart_QUỐC GIA'!$AE25,'06. BC BH THEO CUSTOMER-USD'!CS:CS),0)</f>
        <v>0</v>
      </c>
      <c r="AG25" s="510">
        <f>ROUND(SUMIF('06. BC BH THEO CUSTOMER-USD'!$F:$F,'07. Chart_QUỐC GIA'!$AE25,'06. BC BH THEO CUSTOMER-USD'!CT:CT),0)</f>
        <v>22</v>
      </c>
      <c r="AH25" s="510">
        <f>ROUND(SUMIF('06. BC BH THEO CUSTOMER-USD'!$F:$F,'07. Chart_QUỐC GIA'!$AE25,'06. BC BH THEO CUSTOMER-USD'!CU:CU),0)</f>
        <v>0</v>
      </c>
      <c r="AI25" s="510">
        <f>ROUND(SUMIF('06. BC BH THEO CUSTOMER-USD'!$F:$F,'07. Chart_QUỐC GIA'!$AE25,'06. BC BH THEO CUSTOMER-USD'!CV:CV),0)</f>
        <v>0</v>
      </c>
      <c r="AJ25" s="510">
        <f>ROUND(SUMIF('06. BC BH THEO CUSTOMER-USD'!$F:$F,'07. Chart_QUỐC GIA'!$AE25,'06. BC BH THEO CUSTOMER-USD'!CW:CW),0)</f>
        <v>0</v>
      </c>
      <c r="AK25" s="510">
        <f>ROUND(SUMIF('06. BC BH THEO CUSTOMER-USD'!$F:$F,'07. Chart_QUỐC GIA'!$AE25,'06. BC BH THEO CUSTOMER-USD'!CX:CX),0)</f>
        <v>0</v>
      </c>
      <c r="AL25" s="510">
        <f>ROUND(SUMIF('06. BC BH THEO CUSTOMER-USD'!$F:$F,'07. Chart_QUỐC GIA'!$AE25,'06. BC BH THEO CUSTOMER-USD'!CY:CY),0)</f>
        <v>44</v>
      </c>
      <c r="AM25" s="510">
        <f>ROUND(SUMIF('06. BC BH THEO CUSTOMER-USD'!$F:$F,'07. Chart_QUỐC GIA'!$AE25,'06. BC BH THEO CUSTOMER-USD'!CZ:CZ),0)</f>
        <v>0</v>
      </c>
      <c r="AN25" s="510">
        <f>ROUND(SUMIF('06. BC BH THEO CUSTOMER-USD'!$F:$F,'07. Chart_QUỐC GIA'!$AE25,'06. BC BH THEO CUSTOMER-USD'!DA:DA),0)</f>
        <v>0</v>
      </c>
      <c r="AO25" s="510">
        <f>ROUND(SUMIF('06. BC BH THEO CUSTOMER-USD'!$F:$F,'07. Chart_QUỐC GIA'!$AE25,'06. BC BH THEO CUSTOMER-USD'!DB:DB),0)</f>
        <v>0</v>
      </c>
      <c r="AP25" s="510">
        <f>ROUND(SUMIF('06. BC BH THEO CUSTOMER-USD'!$F:$F,'07. Chart_QUỐC GIA'!$AE25,'06. BC BH THEO CUSTOMER-USD'!DC:DC),0)</f>
        <v>0</v>
      </c>
      <c r="AQ25" s="510">
        <f>ROUND(SUMIF('06. BC BH THEO CUSTOMER-USD'!$F:$F,'07. Chart_QUỐC GIA'!$AE25,'06. BC BH THEO CUSTOMER-USD'!DD:DD),0)</f>
        <v>0</v>
      </c>
      <c r="AR25" s="621">
        <f t="shared" si="31"/>
        <v>66</v>
      </c>
      <c r="AS25" s="346">
        <f t="shared" ca="1" si="32"/>
        <v>66</v>
      </c>
      <c r="AT25" s="624">
        <f t="shared" si="14"/>
        <v>15</v>
      </c>
      <c r="AV25" s="346">
        <v>0</v>
      </c>
      <c r="AW25" s="346">
        <v>0</v>
      </c>
      <c r="AX25" s="346">
        <v>0</v>
      </c>
      <c r="AY25" s="346">
        <v>0</v>
      </c>
      <c r="AZ25" s="346">
        <v>0</v>
      </c>
      <c r="BA25" s="346">
        <v>0</v>
      </c>
      <c r="BB25" s="346">
        <v>0</v>
      </c>
      <c r="BC25" s="346">
        <v>0</v>
      </c>
      <c r="BD25" s="346">
        <v>0</v>
      </c>
      <c r="BE25" s="346">
        <v>0</v>
      </c>
      <c r="BF25" s="346">
        <v>0</v>
      </c>
      <c r="BG25" s="346">
        <v>0</v>
      </c>
      <c r="BH25" s="621">
        <f t="shared" si="22"/>
        <v>0</v>
      </c>
      <c r="BI25" s="346">
        <f t="shared" ca="1" si="23"/>
        <v>0</v>
      </c>
    </row>
    <row r="26" spans="1:61" ht="15.5" hidden="1" outlineLevel="1" x14ac:dyDescent="0.35">
      <c r="A26" s="938">
        <f>_xlfn.XLOOKUP(C26,'Quy đổi'!$G$5:$G$32,'Quy đổi'!$H$5:$H$32,0)</f>
        <v>0</v>
      </c>
      <c r="B26" s="665">
        <v>20</v>
      </c>
      <c r="C26" s="666">
        <f t="shared" ref="C26:C27" si="33">_xlfn.XLOOKUP(B26,$L$7:$L$28,$J$7:$J$28,0)</f>
        <v>0</v>
      </c>
      <c r="D26" s="667">
        <f t="shared" ref="D26:D27" si="34">IFERROR(INDEX($AF$7:$AQ$28,MATCH(C26,$AE$7:$AE$28,0),MATCH($D$3,$AF$6:$AQ$6,0)),0)</f>
        <v>0</v>
      </c>
      <c r="E26" s="545">
        <f t="shared" ref="E26:E27" si="35">D26/$D$5</f>
        <v>0</v>
      </c>
      <c r="F26" s="667">
        <f t="shared" ref="F26:F27" si="36">IFERROR(INDEX($AV$7:$BG$28,MATCH(C26,$AE$7:$AE$28,0),MATCH($D$3,$AV$6:$BG$6,0)),0)</f>
        <v>0</v>
      </c>
      <c r="G26" s="545">
        <f t="shared" ref="G26:G27" si="37">F26/$F$5</f>
        <v>0</v>
      </c>
      <c r="I26" s="654">
        <v>20</v>
      </c>
      <c r="J26" s="655" t="str">
        <f t="shared" ref="J26:J27" si="38">AE26</f>
        <v>Colombia</v>
      </c>
      <c r="K26" s="656">
        <f t="shared" ref="K26:K27" si="39">INDEX($AF$7:$AQ$28,MATCH(J26,$AE$7:$AE$28,0),MATCH($D$3,$AF$6:$AQ$6,0))</f>
        <v>0</v>
      </c>
      <c r="L26" s="657" t="str">
        <f t="shared" ref="L26:L27" si="40">IF(K26&lt;&gt;0,RANK(M26,$M$7:$M$28),"-")</f>
        <v>-</v>
      </c>
      <c r="M26" s="1114">
        <f>K26+COUNTA($K$7:K26)*0.001</f>
        <v>0.02</v>
      </c>
      <c r="O26" s="934">
        <f ca="1">_xlfn.XLOOKUP(Q26,'Quy đổi'!$G$5:$G$32,'Quy đổi'!$H$5:$H$32,0)</f>
        <v>0</v>
      </c>
      <c r="P26" s="665">
        <v>20</v>
      </c>
      <c r="Q26" s="666">
        <f t="shared" ref="Q26:Q27" ca="1" si="41">_xlfn.XLOOKUP(P26,$Z$7:$Z$28,$X$7:$X$28,0)</f>
        <v>0</v>
      </c>
      <c r="R26" s="667">
        <f t="shared" ref="R26:R27" ca="1" si="42">_xlfn.XLOOKUP(Q26,$AE$7:$AE$28,$AS$7:$AS$28,0)</f>
        <v>0</v>
      </c>
      <c r="S26" s="545">
        <f t="shared" ref="S26:S27" ca="1" si="43">R26/$R$5</f>
        <v>0</v>
      </c>
      <c r="T26" s="667">
        <f t="shared" ref="T26:T27" ca="1" si="44">_xlfn.XLOOKUP(Q26,$AE$7:$AE$28,$BI$7:$BI$28,0)</f>
        <v>0</v>
      </c>
      <c r="U26" s="545">
        <f t="shared" ref="U26:U27" ca="1" si="45">T26/$T$5</f>
        <v>0</v>
      </c>
      <c r="W26" s="654">
        <v>20</v>
      </c>
      <c r="X26" s="655" t="str">
        <f t="shared" ref="X26:X27" si="46">AE26</f>
        <v>Colombia</v>
      </c>
      <c r="Y26" s="656">
        <f t="shared" ref="Y26:Y27" ca="1" si="47">_xlfn.XLOOKUP(X26,$AE$7:$AE$28,$AS$7:$AS$28,0)</f>
        <v>43</v>
      </c>
      <c r="Z26" s="1115">
        <f t="shared" ref="Z26:Z27" ca="1" si="48">IF(Y26&lt;&gt;0,RANK(AA26,$AA$7:$AA$28),"-")</f>
        <v>17</v>
      </c>
      <c r="AA26" s="1116">
        <f ca="1">Y26+COUNTA($Y$7:Y26)*0.001</f>
        <v>43.02</v>
      </c>
      <c r="AC26" s="930" t="str">
        <f>_xlfn.XLOOKUP(AE26,'Quy đổi'!$G$5:$G$32,'Quy đổi'!$H$5:$H$32,0)</f>
        <v>Châu á</v>
      </c>
      <c r="AD26" s="322">
        <v>20</v>
      </c>
      <c r="AE26" s="1038" t="s">
        <v>923</v>
      </c>
      <c r="AF26" s="510">
        <f>ROUND(SUMIF('06. BC BH THEO CUSTOMER-USD'!$F:$F,'07. Chart_QUỐC GIA'!$AE26,'06. BC BH THEO CUSTOMER-USD'!CS:CS),0)</f>
        <v>0</v>
      </c>
      <c r="AG26" s="510">
        <f>ROUND(SUMIF('06. BC BH THEO CUSTOMER-USD'!$F:$F,'07. Chart_QUỐC GIA'!$AE26,'06. BC BH THEO CUSTOMER-USD'!CT:CT),0)</f>
        <v>0</v>
      </c>
      <c r="AH26" s="510">
        <f>ROUND(SUMIF('06. BC BH THEO CUSTOMER-USD'!$F:$F,'07. Chart_QUỐC GIA'!$AE26,'06. BC BH THEO CUSTOMER-USD'!CU:CU),0)</f>
        <v>0</v>
      </c>
      <c r="AI26" s="510">
        <f>ROUND(SUMIF('06. BC BH THEO CUSTOMER-USD'!$F:$F,'07. Chart_QUỐC GIA'!$AE26,'06. BC BH THEO CUSTOMER-USD'!CV:CV),0)</f>
        <v>0</v>
      </c>
      <c r="AJ26" s="510">
        <f>ROUND(SUMIF('06. BC BH THEO CUSTOMER-USD'!$F:$F,'07. Chart_QUỐC GIA'!$AE26,'06. BC BH THEO CUSTOMER-USD'!CW:CW),0)</f>
        <v>0</v>
      </c>
      <c r="AK26" s="510">
        <f>ROUND(SUMIF('06. BC BH THEO CUSTOMER-USD'!$F:$F,'07. Chart_QUỐC GIA'!$AE26,'06. BC BH THEO CUSTOMER-USD'!CX:CX),0)</f>
        <v>43</v>
      </c>
      <c r="AL26" s="510">
        <f>ROUND(SUMIF('06. BC BH THEO CUSTOMER-USD'!$F:$F,'07. Chart_QUỐC GIA'!$AE26,'06. BC BH THEO CUSTOMER-USD'!CY:CY),0)</f>
        <v>0</v>
      </c>
      <c r="AM26" s="510">
        <f>ROUND(SUMIF('06. BC BH THEO CUSTOMER-USD'!$F:$F,'07. Chart_QUỐC GIA'!$AE26,'06. BC BH THEO CUSTOMER-USD'!CZ:CZ),0)</f>
        <v>0</v>
      </c>
      <c r="AN26" s="510">
        <f>ROUND(SUMIF('06. BC BH THEO CUSTOMER-USD'!$F:$F,'07. Chart_QUỐC GIA'!$AE26,'06. BC BH THEO CUSTOMER-USD'!DA:DA),0)</f>
        <v>0</v>
      </c>
      <c r="AO26" s="510">
        <f>ROUND(SUMIF('06. BC BH THEO CUSTOMER-USD'!$F:$F,'07. Chart_QUỐC GIA'!$AE26,'06. BC BH THEO CUSTOMER-USD'!DB:DB),0)</f>
        <v>0</v>
      </c>
      <c r="AP26" s="510">
        <f>ROUND(SUMIF('06. BC BH THEO CUSTOMER-USD'!$F:$F,'07. Chart_QUỐC GIA'!$AE26,'06. BC BH THEO CUSTOMER-USD'!DC:DC),0)</f>
        <v>0</v>
      </c>
      <c r="AQ26" s="510">
        <f>ROUND(SUMIF('06. BC BH THEO CUSTOMER-USD'!$F:$F,'07. Chart_QUỐC GIA'!$AE26,'06. BC BH THEO CUSTOMER-USD'!DD:DD),0)</f>
        <v>0</v>
      </c>
      <c r="AR26" s="621">
        <f t="shared" ref="AR26:AR27" si="49">SUM(AF26:AQ26)</f>
        <v>43</v>
      </c>
      <c r="AS26" s="346">
        <f t="shared" ref="AS26:AS27" ca="1" si="50">IFERROR(SUM(OFFSET(AF26:AQ26,0,0,1,$AS$5)),"-")</f>
        <v>43</v>
      </c>
      <c r="AT26" s="624">
        <f t="shared" ref="AT26:AT27" si="51">RANK(AR26,$AR$7:$AR$28)</f>
        <v>17</v>
      </c>
      <c r="AV26" s="346">
        <v>0</v>
      </c>
      <c r="AW26" s="346">
        <v>0</v>
      </c>
      <c r="AX26" s="346">
        <v>0</v>
      </c>
      <c r="AY26" s="346">
        <v>0</v>
      </c>
      <c r="AZ26" s="346">
        <v>0</v>
      </c>
      <c r="BA26" s="346">
        <v>0</v>
      </c>
      <c r="BB26" s="346">
        <v>0</v>
      </c>
      <c r="BC26" s="346">
        <v>0</v>
      </c>
      <c r="BD26" s="346">
        <v>0</v>
      </c>
      <c r="BE26" s="346">
        <v>0</v>
      </c>
      <c r="BF26" s="346">
        <v>0</v>
      </c>
      <c r="BG26" s="346">
        <v>0</v>
      </c>
      <c r="BH26" s="621">
        <f t="shared" ref="BH26:BH27" si="52">SUM(AV26:BG26)</f>
        <v>0</v>
      </c>
      <c r="BI26" s="346">
        <f t="shared" ref="BI26:BI27" ca="1" si="53">IFERROR(SUM(OFFSET(AV26:BG26,0,0,1,$BI$5)),"-")</f>
        <v>0</v>
      </c>
    </row>
    <row r="27" spans="1:61" ht="15.5" hidden="1" outlineLevel="1" x14ac:dyDescent="0.35">
      <c r="A27" s="938">
        <f>_xlfn.XLOOKUP(C27,'Quy đổi'!$G$5:$G$32,'Quy đổi'!$H$5:$H$32,0)</f>
        <v>0</v>
      </c>
      <c r="B27" s="665">
        <v>21</v>
      </c>
      <c r="C27" s="666">
        <f t="shared" si="33"/>
        <v>0</v>
      </c>
      <c r="D27" s="667">
        <f t="shared" si="34"/>
        <v>0</v>
      </c>
      <c r="E27" s="545">
        <f t="shared" si="35"/>
        <v>0</v>
      </c>
      <c r="F27" s="667">
        <f t="shared" si="36"/>
        <v>0</v>
      </c>
      <c r="G27" s="545">
        <f t="shared" si="37"/>
        <v>0</v>
      </c>
      <c r="I27" s="654">
        <v>21</v>
      </c>
      <c r="J27" s="655" t="str">
        <f t="shared" si="38"/>
        <v>Anh</v>
      </c>
      <c r="K27" s="656">
        <f t="shared" si="39"/>
        <v>0</v>
      </c>
      <c r="L27" s="657" t="str">
        <f t="shared" si="40"/>
        <v>-</v>
      </c>
      <c r="M27" s="1114">
        <f>K27+COUNTA($K$7:K27)*0.001</f>
        <v>2.1000000000000001E-2</v>
      </c>
      <c r="O27" s="934">
        <f ca="1">_xlfn.XLOOKUP(Q27,'Quy đổi'!$G$5:$G$32,'Quy đổi'!$H$5:$H$32,0)</f>
        <v>0</v>
      </c>
      <c r="P27" s="665">
        <v>21</v>
      </c>
      <c r="Q27" s="666">
        <f t="shared" ca="1" si="41"/>
        <v>0</v>
      </c>
      <c r="R27" s="667">
        <f t="shared" ca="1" si="42"/>
        <v>0</v>
      </c>
      <c r="S27" s="545">
        <f t="shared" ca="1" si="43"/>
        <v>0</v>
      </c>
      <c r="T27" s="667">
        <f t="shared" ca="1" si="44"/>
        <v>0</v>
      </c>
      <c r="U27" s="545">
        <f t="shared" ca="1" si="45"/>
        <v>0</v>
      </c>
      <c r="W27" s="654">
        <v>21</v>
      </c>
      <c r="X27" s="655" t="str">
        <f t="shared" si="46"/>
        <v>Anh</v>
      </c>
      <c r="Y27" s="656">
        <f t="shared" ca="1" si="47"/>
        <v>2</v>
      </c>
      <c r="Z27" s="1115">
        <f t="shared" ca="1" si="48"/>
        <v>19</v>
      </c>
      <c r="AA27" s="1116">
        <f ca="1">Y27+COUNTA($Y$7:Y27)*0.001</f>
        <v>2.0209999999999999</v>
      </c>
      <c r="AC27" s="930" t="str">
        <f>_xlfn.XLOOKUP(AE27,'Quy đổi'!$G$5:$G$32,'Quy đổi'!$H$5:$H$32,0)</f>
        <v>Châu Âu</v>
      </c>
      <c r="AD27" s="322">
        <v>21</v>
      </c>
      <c r="AE27" s="1038" t="s">
        <v>924</v>
      </c>
      <c r="AF27" s="510">
        <f>ROUND(SUMIF('06. BC BH THEO CUSTOMER-USD'!$F:$F,'07. Chart_QUỐC GIA'!$AE27,'06. BC BH THEO CUSTOMER-USD'!CS:CS),0)</f>
        <v>0</v>
      </c>
      <c r="AG27" s="510">
        <f>ROUND(SUMIF('06. BC BH THEO CUSTOMER-USD'!$F:$F,'07. Chart_QUỐC GIA'!$AE27,'06. BC BH THEO CUSTOMER-USD'!CT:CT),0)</f>
        <v>0</v>
      </c>
      <c r="AH27" s="510">
        <f>ROUND(SUMIF('06. BC BH THEO CUSTOMER-USD'!$F:$F,'07. Chart_QUỐC GIA'!$AE27,'06. BC BH THEO CUSTOMER-USD'!CU:CU),0)</f>
        <v>0</v>
      </c>
      <c r="AI27" s="510">
        <f>ROUND(SUMIF('06. BC BH THEO CUSTOMER-USD'!$F:$F,'07. Chart_QUỐC GIA'!$AE27,'06. BC BH THEO CUSTOMER-USD'!CV:CV),0)</f>
        <v>0</v>
      </c>
      <c r="AJ27" s="510">
        <f>ROUND(SUMIF('06. BC BH THEO CUSTOMER-USD'!$F:$F,'07. Chart_QUỐC GIA'!$AE27,'06. BC BH THEO CUSTOMER-USD'!CW:CW),0)</f>
        <v>0</v>
      </c>
      <c r="AK27" s="510">
        <f>ROUND(SUMIF('06. BC BH THEO CUSTOMER-USD'!$F:$F,'07. Chart_QUỐC GIA'!$AE27,'06. BC BH THEO CUSTOMER-USD'!CX:CX),0)</f>
        <v>2</v>
      </c>
      <c r="AL27" s="510">
        <f>ROUND(SUMIF('06. BC BH THEO CUSTOMER-USD'!$F:$F,'07. Chart_QUỐC GIA'!$AE27,'06. BC BH THEO CUSTOMER-USD'!CY:CY),0)</f>
        <v>0</v>
      </c>
      <c r="AM27" s="510">
        <f>ROUND(SUMIF('06. BC BH THEO CUSTOMER-USD'!$F:$F,'07. Chart_QUỐC GIA'!$AE27,'06. BC BH THEO CUSTOMER-USD'!CZ:CZ),0)</f>
        <v>0</v>
      </c>
      <c r="AN27" s="510">
        <f>ROUND(SUMIF('06. BC BH THEO CUSTOMER-USD'!$F:$F,'07. Chart_QUỐC GIA'!$AE27,'06. BC BH THEO CUSTOMER-USD'!DA:DA),0)</f>
        <v>0</v>
      </c>
      <c r="AO27" s="510">
        <f>ROUND(SUMIF('06. BC BH THEO CUSTOMER-USD'!$F:$F,'07. Chart_QUỐC GIA'!$AE27,'06. BC BH THEO CUSTOMER-USD'!DB:DB),0)</f>
        <v>0</v>
      </c>
      <c r="AP27" s="510">
        <f>ROUND(SUMIF('06. BC BH THEO CUSTOMER-USD'!$F:$F,'07. Chart_QUỐC GIA'!$AE27,'06. BC BH THEO CUSTOMER-USD'!DC:DC),0)</f>
        <v>0</v>
      </c>
      <c r="AQ27" s="510">
        <f>ROUND(SUMIF('06. BC BH THEO CUSTOMER-USD'!$F:$F,'07. Chart_QUỐC GIA'!$AE27,'06. BC BH THEO CUSTOMER-USD'!DD:DD),0)</f>
        <v>0</v>
      </c>
      <c r="AR27" s="621">
        <f t="shared" si="49"/>
        <v>2</v>
      </c>
      <c r="AS27" s="346">
        <f t="shared" ca="1" si="50"/>
        <v>2</v>
      </c>
      <c r="AT27" s="624">
        <f t="shared" si="51"/>
        <v>19</v>
      </c>
      <c r="AV27" s="346">
        <v>0</v>
      </c>
      <c r="AW27" s="346">
        <v>0</v>
      </c>
      <c r="AX27" s="346">
        <v>0</v>
      </c>
      <c r="AY27" s="346">
        <v>0</v>
      </c>
      <c r="AZ27" s="346">
        <v>0</v>
      </c>
      <c r="BA27" s="346">
        <v>0</v>
      </c>
      <c r="BB27" s="346">
        <v>0</v>
      </c>
      <c r="BC27" s="346">
        <v>0</v>
      </c>
      <c r="BD27" s="346">
        <v>0</v>
      </c>
      <c r="BE27" s="346">
        <v>0</v>
      </c>
      <c r="BF27" s="346">
        <v>0</v>
      </c>
      <c r="BG27" s="346">
        <v>0</v>
      </c>
      <c r="BH27" s="621">
        <f t="shared" si="52"/>
        <v>0</v>
      </c>
      <c r="BI27" s="346">
        <f t="shared" ca="1" si="53"/>
        <v>0</v>
      </c>
    </row>
    <row r="28" spans="1:61" ht="15.5" hidden="1" outlineLevel="1" x14ac:dyDescent="0.35">
      <c r="A28" s="939"/>
      <c r="B28" s="669"/>
      <c r="C28" s="670"/>
      <c r="D28" s="671">
        <f>IFERROR(INDEX($AF$7:$AQ$28,MATCH(C28,$AE$7:$AE$28,0),MATCH($D$3,$AF$6:$AQ$6,0)),0)</f>
        <v>0</v>
      </c>
      <c r="E28" s="546">
        <f>D28/$D$5</f>
        <v>0</v>
      </c>
      <c r="F28" s="671">
        <f>IFERROR(INDEX($AV$7:$BG$28,MATCH(C28,$AE$7:$AE$28,0),MATCH($D$3,$AV$6:$BG$6,0)),0)</f>
        <v>0</v>
      </c>
      <c r="G28" s="546">
        <f t="shared" si="24"/>
        <v>0</v>
      </c>
      <c r="I28" s="658"/>
      <c r="J28" s="659"/>
      <c r="K28" s="659"/>
      <c r="L28" s="657" t="str">
        <f>IF(K28&lt;&gt;0,RANK(M28,$M$7:$M$28),"-")</f>
        <v>-</v>
      </c>
      <c r="M28" s="1114">
        <f>K28+COUNTA($K$7:K28)*0.001</f>
        <v>2.1000000000000001E-2</v>
      </c>
      <c r="O28" s="935"/>
      <c r="P28" s="669"/>
      <c r="Q28" s="670"/>
      <c r="R28" s="667">
        <f ca="1">_xlfn.XLOOKUP(Q28,$AE$7:$AE$28,$AS$7:$AS$28,0)</f>
        <v>0</v>
      </c>
      <c r="S28" s="546">
        <f t="shared" ca="1" si="17"/>
        <v>0</v>
      </c>
      <c r="T28" s="671">
        <f ca="1">_xlfn.XLOOKUP(Q28,$AE$7:$AE$28,$BI$7:$BI$28,0)</f>
        <v>0</v>
      </c>
      <c r="U28" s="546">
        <f t="shared" ca="1" si="18"/>
        <v>0</v>
      </c>
      <c r="W28" s="658"/>
      <c r="X28" s="659"/>
      <c r="Y28" s="659"/>
      <c r="Z28" s="1115" t="str">
        <f>IF(Y28&lt;&gt;0,RANK(AA28,$AA$7:$AA$28),"-")</f>
        <v>-</v>
      </c>
      <c r="AA28" s="1112"/>
      <c r="AC28" s="931">
        <f>_xlfn.XLOOKUP(AE28,'Quy đổi'!$G$5:$G$32,'Quy đổi'!$H$5:$H$32,0)</f>
        <v>0</v>
      </c>
      <c r="AD28" s="352"/>
      <c r="AE28" s="619"/>
      <c r="AF28" s="515"/>
      <c r="AG28" s="515"/>
      <c r="AH28" s="515"/>
      <c r="AI28" s="515"/>
      <c r="AJ28" s="515"/>
      <c r="AK28" s="515"/>
      <c r="AL28" s="515"/>
      <c r="AM28" s="515"/>
      <c r="AN28" s="515"/>
      <c r="AO28" s="515"/>
      <c r="AP28" s="515"/>
      <c r="AQ28" s="515"/>
      <c r="AR28" s="622"/>
      <c r="AS28" s="406">
        <f t="shared" ca="1" si="21"/>
        <v>0</v>
      </c>
      <c r="AT28" s="624"/>
      <c r="AV28" s="406">
        <v>0</v>
      </c>
      <c r="AW28" s="406">
        <v>0</v>
      </c>
      <c r="AX28" s="406">
        <v>0</v>
      </c>
      <c r="AY28" s="406">
        <v>0</v>
      </c>
      <c r="AZ28" s="406">
        <v>0</v>
      </c>
      <c r="BA28" s="406">
        <v>0</v>
      </c>
      <c r="BB28" s="406">
        <v>0</v>
      </c>
      <c r="BC28" s="406">
        <v>0</v>
      </c>
      <c r="BD28" s="406">
        <v>0</v>
      </c>
      <c r="BE28" s="406">
        <v>0</v>
      </c>
      <c r="BF28" s="406">
        <v>0</v>
      </c>
      <c r="BG28" s="406">
        <v>0</v>
      </c>
      <c r="BH28" s="622">
        <f t="shared" si="22"/>
        <v>0</v>
      </c>
      <c r="BI28" s="406">
        <f t="shared" ca="1" si="23"/>
        <v>0</v>
      </c>
    </row>
    <row r="29" spans="1:61" collapsed="1" x14ac:dyDescent="0.35">
      <c r="G29" s="672"/>
    </row>
    <row r="30" spans="1:61" ht="21" x14ac:dyDescent="0.45">
      <c r="C30" s="735" t="str">
        <f>"SẢN LƯỢNG BÁN THEO QUỐC GIA T"&amp;D3&amp;"/25"</f>
        <v>SẢN LƯỢNG BÁN THEO QUỐC GIA T8/25</v>
      </c>
      <c r="R30" s="739" t="str">
        <f>"LŨY KẾ SẢN LƯỢNG BÁN THEO QUỐC GIA T"&amp;D3&amp;"/25"</f>
        <v>LŨY KẾ SẢN LƯỢNG BÁN THEO QUỐC GIA T8/25</v>
      </c>
    </row>
    <row r="41" spans="32:32" x14ac:dyDescent="0.35">
      <c r="AF41" s="672"/>
    </row>
    <row r="53" spans="2:61" ht="17.5" x14ac:dyDescent="0.35">
      <c r="B53" s="740">
        <v>2</v>
      </c>
      <c r="C53" s="740" t="s">
        <v>676</v>
      </c>
      <c r="AD53" s="122">
        <v>2</v>
      </c>
      <c r="AE53" s="122" t="s">
        <v>262</v>
      </c>
    </row>
    <row r="54" spans="2:61" ht="15.5" hidden="1" outlineLevel="1" x14ac:dyDescent="0.35">
      <c r="D54" s="645">
        <f>SUM(D56:D75)</f>
        <v>6229.1861614973259</v>
      </c>
      <c r="E54" s="647">
        <f>SUM(E56:E75)</f>
        <v>1</v>
      </c>
      <c r="F54" s="645">
        <f>SUM(F56:F75)</f>
        <v>5769.9286612707401</v>
      </c>
      <c r="G54" s="647">
        <f>SUM(G56:G75)</f>
        <v>1</v>
      </c>
      <c r="K54" s="617">
        <f t="shared" ref="K54" si="54">SUM(K56:K75)</f>
        <v>6229.1861614973259</v>
      </c>
      <c r="R54" s="645">
        <f ca="1">SUM(R56:R75)</f>
        <v>43645.111486971524</v>
      </c>
      <c r="S54" s="647">
        <f ca="1">SUM(S56:S75)</f>
        <v>1</v>
      </c>
      <c r="T54" s="645">
        <f ca="1">SUM(T56:T75)</f>
        <v>27034.155955390255</v>
      </c>
      <c r="U54" s="647">
        <f ca="1">SUM(U56:U75)</f>
        <v>0.99999999999999989</v>
      </c>
      <c r="Y54" s="617">
        <f t="shared" ref="Y54" ca="1" si="55">SUM(Y56:Y75)</f>
        <v>43645.111486971524</v>
      </c>
      <c r="AF54" s="617">
        <f>SUM(AF56:AF70)</f>
        <v>4454931.6018065047</v>
      </c>
      <c r="AG54" s="617">
        <f t="shared" ref="AG54:AR54" si="56">SUM(AG56:AG70)</f>
        <v>6005167.0378889339</v>
      </c>
      <c r="AH54" s="617">
        <f t="shared" si="56"/>
        <v>5479281.3312598439</v>
      </c>
      <c r="AI54" s="617">
        <f t="shared" si="56"/>
        <v>4566509.9829655429</v>
      </c>
      <c r="AJ54" s="617">
        <f t="shared" si="56"/>
        <v>5240798.2851508129</v>
      </c>
      <c r="AK54" s="617">
        <f t="shared" si="56"/>
        <v>4386990.650964506</v>
      </c>
      <c r="AL54" s="617">
        <f t="shared" si="56"/>
        <v>5123946.067729543</v>
      </c>
      <c r="AM54" s="617">
        <f t="shared" si="56"/>
        <v>6084547.1614973247</v>
      </c>
      <c r="AN54" s="617">
        <f t="shared" si="56"/>
        <v>2931955.0159238097</v>
      </c>
      <c r="AO54" s="617">
        <f t="shared" si="56"/>
        <v>0</v>
      </c>
      <c r="AP54" s="617">
        <f t="shared" si="56"/>
        <v>0</v>
      </c>
      <c r="AQ54" s="617">
        <f t="shared" si="56"/>
        <v>0</v>
      </c>
      <c r="AR54" s="617">
        <f t="shared" si="56"/>
        <v>44274127.135186829</v>
      </c>
      <c r="AS54" s="683">
        <f>$D$3</f>
        <v>8</v>
      </c>
      <c r="AT54" s="623"/>
      <c r="AV54" s="617">
        <f t="shared" ref="AV54:BH54" si="57">SUM(AV56:AV75)</f>
        <v>2685893.0331836734</v>
      </c>
      <c r="AW54" s="617">
        <f t="shared" si="57"/>
        <v>2604968.0822448982</v>
      </c>
      <c r="AX54" s="617">
        <f t="shared" si="57"/>
        <v>3665506.6101612905</v>
      </c>
      <c r="AY54" s="617">
        <f t="shared" si="57"/>
        <v>3925010.4798387093</v>
      </c>
      <c r="AZ54" s="617">
        <f t="shared" si="57"/>
        <v>3896950.7992000002</v>
      </c>
      <c r="BA54" s="617">
        <f t="shared" si="57"/>
        <v>2262905.4606648204</v>
      </c>
      <c r="BB54" s="617">
        <f t="shared" si="57"/>
        <v>2101476.6167662288</v>
      </c>
      <c r="BC54" s="617">
        <f t="shared" si="57"/>
        <v>5891444.873330635</v>
      </c>
      <c r="BD54" s="617">
        <f t="shared" si="57"/>
        <v>5885901.6495296527</v>
      </c>
      <c r="BE54" s="617">
        <f t="shared" si="57"/>
        <v>4355138.9070859877</v>
      </c>
      <c r="BF54" s="617">
        <f t="shared" si="57"/>
        <v>2619359.3128775833</v>
      </c>
      <c r="BG54" s="617">
        <f t="shared" si="57"/>
        <v>3797094.2216686434</v>
      </c>
      <c r="BH54" s="617">
        <f t="shared" si="57"/>
        <v>43691650.046552122</v>
      </c>
      <c r="BI54" s="627">
        <f>$BI$5</f>
        <v>8</v>
      </c>
    </row>
    <row r="55" spans="2:61" ht="15" hidden="1" outlineLevel="1" x14ac:dyDescent="0.35">
      <c r="B55" s="616" t="s">
        <v>673</v>
      </c>
      <c r="C55" s="616" t="s">
        <v>172</v>
      </c>
      <c r="D55" s="646">
        <v>2025</v>
      </c>
      <c r="E55" s="616" t="s">
        <v>674</v>
      </c>
      <c r="F55" s="646">
        <v>2024</v>
      </c>
      <c r="G55" s="616" t="s">
        <v>675</v>
      </c>
      <c r="I55" s="616" t="s">
        <v>174</v>
      </c>
      <c r="J55" s="616" t="s">
        <v>172</v>
      </c>
      <c r="K55" s="616" t="s">
        <v>677</v>
      </c>
      <c r="L55" s="616" t="s">
        <v>673</v>
      </c>
      <c r="M55" s="1111"/>
      <c r="P55" s="648" t="s">
        <v>673</v>
      </c>
      <c r="Q55" s="648" t="s">
        <v>172</v>
      </c>
      <c r="R55" s="649">
        <v>2025</v>
      </c>
      <c r="S55" s="648" t="s">
        <v>674</v>
      </c>
      <c r="T55" s="649">
        <v>2024</v>
      </c>
      <c r="U55" s="648" t="s">
        <v>675</v>
      </c>
      <c r="W55" s="648" t="s">
        <v>174</v>
      </c>
      <c r="X55" s="648" t="s">
        <v>172</v>
      </c>
      <c r="Y55" s="648" t="s">
        <v>677</v>
      </c>
      <c r="Z55" s="648" t="s">
        <v>673</v>
      </c>
      <c r="AA55" s="1118"/>
      <c r="AD55" s="616" t="s">
        <v>174</v>
      </c>
      <c r="AE55" s="616" t="s">
        <v>172</v>
      </c>
      <c r="AF55" s="443">
        <v>1</v>
      </c>
      <c r="AG55" s="616">
        <v>2</v>
      </c>
      <c r="AH55" s="616">
        <v>3</v>
      </c>
      <c r="AI55" s="616">
        <v>4</v>
      </c>
      <c r="AJ55" s="616">
        <v>5</v>
      </c>
      <c r="AK55" s="616">
        <v>6</v>
      </c>
      <c r="AL55" s="616">
        <v>7</v>
      </c>
      <c r="AM55" s="616">
        <v>8</v>
      </c>
      <c r="AN55" s="616">
        <v>9</v>
      </c>
      <c r="AO55" s="616">
        <v>10</v>
      </c>
      <c r="AP55" s="616">
        <v>11</v>
      </c>
      <c r="AQ55" s="616">
        <v>12</v>
      </c>
      <c r="AR55" s="679">
        <v>2025</v>
      </c>
      <c r="AS55" s="616" t="s">
        <v>409</v>
      </c>
      <c r="AT55" s="450"/>
      <c r="AV55" s="625">
        <v>1</v>
      </c>
      <c r="AW55" s="626">
        <v>2</v>
      </c>
      <c r="AX55" s="626">
        <v>3</v>
      </c>
      <c r="AY55" s="626">
        <v>4</v>
      </c>
      <c r="AZ55" s="626">
        <v>5</v>
      </c>
      <c r="BA55" s="626">
        <v>6</v>
      </c>
      <c r="BB55" s="626">
        <v>7</v>
      </c>
      <c r="BC55" s="626">
        <v>8</v>
      </c>
      <c r="BD55" s="626">
        <v>9</v>
      </c>
      <c r="BE55" s="626">
        <v>10</v>
      </c>
      <c r="BF55" s="626">
        <v>11</v>
      </c>
      <c r="BG55" s="626">
        <v>12</v>
      </c>
      <c r="BH55" s="626">
        <v>2024</v>
      </c>
      <c r="BI55" s="626" t="s">
        <v>410</v>
      </c>
    </row>
    <row r="56" spans="2:61" ht="15.5" hidden="1" outlineLevel="1" x14ac:dyDescent="0.35">
      <c r="B56" s="661">
        <v>1</v>
      </c>
      <c r="C56" s="662" t="str">
        <f>_xlfn.XLOOKUP(B56,$L$56:$L$75,$J$56:$J$75,0)</f>
        <v>VN</v>
      </c>
      <c r="D56" s="663">
        <f t="shared" ref="D56:D75" si="58">IFERROR(INDEX($AF$56:$AQ$75,MATCH(C56,$AE$56:$AE$75,0),MATCH($D$3,$AF$55:$AQ$55,0)),0)/10^3</f>
        <v>2658.1882522536284</v>
      </c>
      <c r="E56" s="664">
        <f>D56/$D$54</f>
        <v>0.42673122673454872</v>
      </c>
      <c r="F56" s="663">
        <f t="shared" ref="F56:F75" si="59">IFERROR(INDEX($AV$56:$BG$75,MATCH(C56,$AE$56:$AE$75,0),MATCH($D$3,$AV$55:$BG$55,0)),0)/10^3</f>
        <v>1820.3523902468637</v>
      </c>
      <c r="G56" s="664">
        <f>F56/$F$54</f>
        <v>0.31548958351349154</v>
      </c>
      <c r="I56" s="650">
        <v>1</v>
      </c>
      <c r="J56" s="651" t="str">
        <f>AE56</f>
        <v>VN</v>
      </c>
      <c r="K56" s="652">
        <f t="shared" ref="K56:K74" si="60">INDEX($AF$56:$AQ$75,MATCH(J56,$AE$56:$AE$75,0),MATCH($D$3,$AF$55:$AQ$55,0))/10^3</f>
        <v>2658.1882522536284</v>
      </c>
      <c r="L56" s="657">
        <f t="shared" ref="L56:L75" si="61">IF(K56&lt;&gt;0,RANK(M56,$M$56:$M$75),"-")</f>
        <v>1</v>
      </c>
      <c r="M56" s="1114">
        <f>K56+COUNTA($K$56:K56)*0.001</f>
        <v>2658.1892522536286</v>
      </c>
      <c r="P56" s="661">
        <v>1</v>
      </c>
      <c r="Q56" s="662" t="str">
        <f t="shared" ref="Q56:Q71" ca="1" si="62">_xlfn.XLOOKUP(P56,$Z$56:$Z$75,$X$56:$X$75,0)</f>
        <v>Mỹ</v>
      </c>
      <c r="R56" s="663">
        <f t="shared" ref="R56:R71" ca="1" si="63">_xlfn.XLOOKUP(Q56,$AE$56:$AE$75,$AS$56:$AS$75,0)/10^3</f>
        <v>17514.831218299601</v>
      </c>
      <c r="S56" s="664">
        <f ca="1">R56/$R$54</f>
        <v>0.40130109928870139</v>
      </c>
      <c r="T56" s="663">
        <f t="shared" ref="T56:T71" ca="1" si="64">_xlfn.XLOOKUP(Q56,$AE$56:$AE$75,$BI$56:$BI$75,0)/10^3</f>
        <v>8413.1239725098112</v>
      </c>
      <c r="U56" s="545">
        <f ca="1">T56/$T$54</f>
        <v>0.31120350072672953</v>
      </c>
      <c r="W56" s="650">
        <v>1</v>
      </c>
      <c r="X56" s="651" t="str">
        <f>AE56</f>
        <v>VN</v>
      </c>
      <c r="Y56" s="652">
        <f t="shared" ref="Y56:Y71" ca="1" si="65">_xlfn.XLOOKUP(X56,$AE$56:$AE$75,$AS$56:$AS$75,0)/10^3</f>
        <v>13971.322060360897</v>
      </c>
      <c r="Z56" s="1115">
        <f ca="1">IF(Y56&lt;&gt;0,RANK(AA56,$AA$56:$AA$75),"-")</f>
        <v>2</v>
      </c>
      <c r="AA56" s="1116">
        <f ca="1">Y56+COUNTA($Y$56:Y56)*0.001</f>
        <v>13971.323060360897</v>
      </c>
      <c r="AD56" s="320">
        <v>1</v>
      </c>
      <c r="AE56" s="618" t="s">
        <v>245</v>
      </c>
      <c r="AF56" s="508">
        <f>SUMIF('06. BC BH THEO CUSTOMER-USD'!$F:$F,'07. Chart_QUỐC GIA'!$AE56,'06. BC BH THEO CUSTOMER-USD'!DG:DG)</f>
        <v>1272650.8131674025</v>
      </c>
      <c r="AG56" s="508">
        <f>SUMIF('06. BC BH THEO CUSTOMER-USD'!$F:$F,'07. Chart_QUỐC GIA'!$AE56,'06. BC BH THEO CUSTOMER-USD'!DH:DH)</f>
        <v>2047567.0572272558</v>
      </c>
      <c r="AH56" s="508">
        <f>SUMIF('06. BC BH THEO CUSTOMER-USD'!$F:$F,'07. Chart_QUỐC GIA'!$AE56,'06. BC BH THEO CUSTOMER-USD'!DI:DI)</f>
        <v>1656156.7487795281</v>
      </c>
      <c r="AI56" s="508">
        <f>SUMIF('06. BC BH THEO CUSTOMER-USD'!$F:$F,'07. Chart_QUỐC GIA'!$AE56,'06. BC BH THEO CUSTOMER-USD'!DJ:DJ)</f>
        <v>1404684.8244289584</v>
      </c>
      <c r="AJ56" s="508">
        <f>SUMIF('06. BC BH THEO CUSTOMER-USD'!$F:$F,'07. Chart_QUỐC GIA'!$AE56,'06. BC BH THEO CUSTOMER-USD'!DK:DK)</f>
        <v>1319994.5616395986</v>
      </c>
      <c r="AK56" s="508">
        <f>SUMIF('06. BC BH THEO CUSTOMER-USD'!$F:$F,'07. Chart_QUỐC GIA'!$AE56,'06. BC BH THEO CUSTOMER-USD'!DL:DL)</f>
        <v>1736546.150578703</v>
      </c>
      <c r="AL56" s="508">
        <f>SUMIF('06. BC BH THEO CUSTOMER-USD'!$F:$F,'07. Chart_QUỐC GIA'!$AE56,'06. BC BH THEO CUSTOMER-USD'!DM:DM)</f>
        <v>1875533.6522858238</v>
      </c>
      <c r="AM56" s="508">
        <f>SUMIF('06. BC BH THEO CUSTOMER-USD'!$F:$F,'07. Chart_QUỐC GIA'!$AE56,'06. BC BH THEO CUSTOMER-USD'!DN:DN)</f>
        <v>2658188.2522536283</v>
      </c>
      <c r="AN56" s="508">
        <f>SUMIF('06. BC BH THEO CUSTOMER-USD'!$F:$F,'07. Chart_QUỐC GIA'!$AE56,'06. BC BH THEO CUSTOMER-USD'!DO:DO)</f>
        <v>2053789.0762666669</v>
      </c>
      <c r="AO56" s="508">
        <f>SUMIF('06. BC BH THEO CUSTOMER-USD'!$F:$F,'07. Chart_QUỐC GIA'!$AE56,'06. BC BH THEO CUSTOMER-USD'!DP:DP)</f>
        <v>0</v>
      </c>
      <c r="AP56" s="508">
        <f>SUMIF('06. BC BH THEO CUSTOMER-USD'!$F:$F,'07. Chart_QUỐC GIA'!$AE56,'06. BC BH THEO CUSTOMER-USD'!DQ:DQ)</f>
        <v>0</v>
      </c>
      <c r="AQ56" s="508">
        <f>SUMIF('06. BC BH THEO CUSTOMER-USD'!$F:$F,'07. Chart_QUỐC GIA'!$AE56,'06. BC BH THEO CUSTOMER-USD'!DR:DR)</f>
        <v>0</v>
      </c>
      <c r="AR56" s="680">
        <f>SUM(AF56:AQ56)</f>
        <v>16025111.136627564</v>
      </c>
      <c r="AS56" s="345">
        <f ca="1">IFERROR(SUM(OFFSET(AF56:AQ56,0,0,1,$AS$54)),"-")</f>
        <v>13971322.060360897</v>
      </c>
      <c r="AT56" s="624"/>
      <c r="AV56" s="345">
        <v>1260287.9137959185</v>
      </c>
      <c r="AW56" s="345">
        <v>1358876.1616326531</v>
      </c>
      <c r="AX56" s="345">
        <v>1394802.4992338712</v>
      </c>
      <c r="AY56" s="345">
        <v>1096568.9475806453</v>
      </c>
      <c r="AZ56" s="345">
        <v>2647026.3960000002</v>
      </c>
      <c r="BA56" s="345">
        <v>1956069.8239414326</v>
      </c>
      <c r="BB56" s="345">
        <v>807254.58952608507</v>
      </c>
      <c r="BC56" s="345">
        <v>1820352.3902468637</v>
      </c>
      <c r="BD56" s="345">
        <v>1432291.7489979549</v>
      </c>
      <c r="BE56" s="345">
        <v>1781731.1852707011</v>
      </c>
      <c r="BF56" s="345">
        <v>1855137.8682034975</v>
      </c>
      <c r="BG56" s="345">
        <v>2022669.0874258601</v>
      </c>
      <c r="BH56" s="620">
        <f>SUM(AV56:BG56)</f>
        <v>19433068.611855485</v>
      </c>
      <c r="BI56" s="636">
        <f ca="1">IFERROR(SUM(OFFSET(AV56:BG56,0,0,1,$BI$54)),"-")</f>
        <v>12341238.721957469</v>
      </c>
    </row>
    <row r="57" spans="2:61" hidden="1" outlineLevel="1" x14ac:dyDescent="0.35">
      <c r="B57" s="665">
        <v>2</v>
      </c>
      <c r="C57" s="666" t="str">
        <f t="shared" ref="C57:C74" si="66">_xlfn.XLOOKUP(B57,$L$7:$L$28,$J$7:$J$28,0)</f>
        <v>Mỹ</v>
      </c>
      <c r="D57" s="667">
        <f t="shared" si="58"/>
        <v>1971.3432117647058</v>
      </c>
      <c r="E57" s="545">
        <f t="shared" ref="E57:E75" si="67">D57/$D$54</f>
        <v>0.31646882283750027</v>
      </c>
      <c r="F57" s="667">
        <f t="shared" si="59"/>
        <v>2031.9611751112907</v>
      </c>
      <c r="G57" s="545">
        <f t="shared" ref="G57:G75" si="68">F57/$F$54</f>
        <v>0.35216400312716895</v>
      </c>
      <c r="I57" s="654">
        <v>2</v>
      </c>
      <c r="J57" s="655" t="str">
        <f t="shared" ref="J57:J71" si="69">AE57</f>
        <v>Mỹ</v>
      </c>
      <c r="K57" s="656">
        <f t="shared" si="60"/>
        <v>1971.3432117647058</v>
      </c>
      <c r="L57" s="657">
        <f t="shared" si="61"/>
        <v>2</v>
      </c>
      <c r="M57" s="1114">
        <f>K57+COUNTA($K$56:K57)*0.001</f>
        <v>1971.3452117647057</v>
      </c>
      <c r="P57" s="665">
        <v>2</v>
      </c>
      <c r="Q57" s="666" t="str">
        <f t="shared" ca="1" si="62"/>
        <v>VN</v>
      </c>
      <c r="R57" s="667">
        <f t="shared" ca="1" si="63"/>
        <v>13971.322060360897</v>
      </c>
      <c r="S57" s="545">
        <f ca="1">R57/$R$54</f>
        <v>0.32011195720124275</v>
      </c>
      <c r="T57" s="667">
        <f t="shared" ca="1" si="64"/>
        <v>12341.23872195747</v>
      </c>
      <c r="U57" s="545">
        <f ca="1">T57/$T$54</f>
        <v>0.4565054201182408</v>
      </c>
      <c r="W57" s="654">
        <v>2</v>
      </c>
      <c r="X57" s="655" t="str">
        <f t="shared" ref="X57:X71" si="70">AE57</f>
        <v>Mỹ</v>
      </c>
      <c r="Y57" s="656">
        <f t="shared" ca="1" si="65"/>
        <v>17514.831218299601</v>
      </c>
      <c r="Z57" s="1115">
        <f t="shared" ref="Z57:Z74" ca="1" si="71">IF(Y57&lt;&gt;0,RANK(AA57,$AA$56:$AA$75),"-")</f>
        <v>1</v>
      </c>
      <c r="AA57" s="1116">
        <f ca="1">Y57+COUNTA($Y$56:Y57)*0.001</f>
        <v>17514.833218299602</v>
      </c>
      <c r="AD57" s="322">
        <v>2</v>
      </c>
      <c r="AE57" s="247" t="s">
        <v>175</v>
      </c>
      <c r="AF57" s="510">
        <f>SUMIF('06. BC BH THEO CUSTOMER-USD'!$F:$F,'07. Chart_QUỐC GIA'!$AE57,'06. BC BH THEO CUSTOMER-USD'!DG:DG)</f>
        <v>2922025.1493376154</v>
      </c>
      <c r="AG57" s="510">
        <f>SUMIF('06. BC BH THEO CUSTOMER-USD'!$F:$F,'07. Chart_QUỐC GIA'!$AE57,'06. BC BH THEO CUSTOMER-USD'!DH:DH)</f>
        <v>2534062.7218983853</v>
      </c>
      <c r="AH57" s="510">
        <f>SUMIF('06. BC BH THEO CUSTOMER-USD'!$F:$F,'07. Chart_QUỐC GIA'!$AE57,'06. BC BH THEO CUSTOMER-USD'!DI:DI)</f>
        <v>2360850.6698818896</v>
      </c>
      <c r="AI57" s="510">
        <f>SUMIF('06. BC BH THEO CUSTOMER-USD'!$F:$F,'07. Chart_QUỐC GIA'!$AE57,'06. BC BH THEO CUSTOMER-USD'!DJ:DJ)</f>
        <v>1767443.6796360819</v>
      </c>
      <c r="AJ57" s="510">
        <f>SUMIF('06. BC BH THEO CUSTOMER-USD'!$F:$F,'07. Chart_QUỐC GIA'!$AE57,'06. BC BH THEO CUSTOMER-USD'!DK:DK)</f>
        <v>2631586.7474864656</v>
      </c>
      <c r="AK57" s="510">
        <f>SUMIF('06. BC BH THEO CUSTOMER-USD'!$F:$F,'07. Chart_QUỐC GIA'!$AE57,'06. BC BH THEO CUSTOMER-USD'!DL:DL)</f>
        <v>1202441.2982253085</v>
      </c>
      <c r="AL57" s="510">
        <f>SUMIF('06. BC BH THEO CUSTOMER-USD'!$F:$F,'07. Chart_QUỐC GIA'!$AE57,'06. BC BH THEO CUSTOMER-USD'!DM:DM)</f>
        <v>2125077.7400691509</v>
      </c>
      <c r="AM57" s="510">
        <f>SUMIF('06. BC BH THEO CUSTOMER-USD'!$F:$F,'07. Chart_QUỐC GIA'!$AE57,'06. BC BH THEO CUSTOMER-USD'!DN:DN)</f>
        <v>1971343.2117647058</v>
      </c>
      <c r="AN57" s="510">
        <f>SUMIF('06. BC BH THEO CUSTOMER-USD'!$F:$F,'07. Chart_QUỐC GIA'!$AE57,'06. BC BH THEO CUSTOMER-USD'!DO:DO)</f>
        <v>769979.91588571435</v>
      </c>
      <c r="AO57" s="510">
        <f>SUMIF('06. BC BH THEO CUSTOMER-USD'!$F:$F,'07. Chart_QUỐC GIA'!$AE57,'06. BC BH THEO CUSTOMER-USD'!DP:DP)</f>
        <v>0</v>
      </c>
      <c r="AP57" s="510">
        <f>SUMIF('06. BC BH THEO CUSTOMER-USD'!$F:$F,'07. Chart_QUỐC GIA'!$AE57,'06. BC BH THEO CUSTOMER-USD'!DQ:DQ)</f>
        <v>0</v>
      </c>
      <c r="AQ57" s="510">
        <f>SUMIF('06. BC BH THEO CUSTOMER-USD'!$F:$F,'07. Chart_QUỐC GIA'!$AE57,'06. BC BH THEO CUSTOMER-USD'!DR:DR)</f>
        <v>0</v>
      </c>
      <c r="AR57" s="681">
        <f t="shared" ref="AR57:AR70" si="72">SUM(AF57:AQ57)</f>
        <v>18284811.134185314</v>
      </c>
      <c r="AS57" s="346">
        <f t="shared" ref="AS57:AS75" ca="1" si="73">IFERROR(SUM(OFFSET(AF57:AQ57,0,0,1,$AS$54)),"-")</f>
        <v>17514831.218299601</v>
      </c>
      <c r="AT57" s="624"/>
      <c r="AV57" s="346">
        <v>1401022.1469795918</v>
      </c>
      <c r="AW57" s="346">
        <v>927424.88387755107</v>
      </c>
      <c r="AX57" s="346">
        <v>839437.58870967734</v>
      </c>
      <c r="AY57" s="346">
        <v>1421909.6774193547</v>
      </c>
      <c r="AZ57" s="346">
        <v>533991.60320000001</v>
      </c>
      <c r="BA57" s="346">
        <v>247898.96873763358</v>
      </c>
      <c r="BB57" s="346">
        <v>1009477.9284747113</v>
      </c>
      <c r="BC57" s="346">
        <v>2031961.1751112908</v>
      </c>
      <c r="BD57" s="346">
        <v>2481503.8064621678</v>
      </c>
      <c r="BE57" s="346">
        <v>1404508.8539808916</v>
      </c>
      <c r="BF57" s="346">
        <v>588199.75945945934</v>
      </c>
      <c r="BG57" s="346">
        <v>1748046.0120601025</v>
      </c>
      <c r="BH57" s="621">
        <f t="shared" ref="BH57:BH75" si="74">SUM(AV57:BG57)</f>
        <v>14635382.404472431</v>
      </c>
      <c r="BI57" s="637">
        <f t="shared" ref="BI57:BI75" ca="1" si="75">IFERROR(SUM(OFFSET(AV57:BG57,0,0,1,$BI$54)),"-")</f>
        <v>8413123.9725098107</v>
      </c>
    </row>
    <row r="58" spans="2:61" ht="15.5" hidden="1" outlineLevel="1" x14ac:dyDescent="0.35">
      <c r="B58" s="665">
        <v>3</v>
      </c>
      <c r="C58" s="666" t="str">
        <f t="shared" si="66"/>
        <v>Bồ Đào Nha</v>
      </c>
      <c r="D58" s="667">
        <f t="shared" si="58"/>
        <v>1100.5252100840337</v>
      </c>
      <c r="E58" s="545">
        <f t="shared" si="67"/>
        <v>0.17667239051007869</v>
      </c>
      <c r="F58" s="667">
        <f t="shared" si="59"/>
        <v>966.97968433832466</v>
      </c>
      <c r="G58" s="545">
        <f t="shared" si="68"/>
        <v>0.16758953898840093</v>
      </c>
      <c r="I58" s="654">
        <v>3</v>
      </c>
      <c r="J58" s="655" t="str">
        <f t="shared" si="69"/>
        <v>Australia</v>
      </c>
      <c r="K58" s="656">
        <f t="shared" si="60"/>
        <v>56.018823529411769</v>
      </c>
      <c r="L58" s="657">
        <f t="shared" si="61"/>
        <v>7</v>
      </c>
      <c r="M58" s="1114">
        <f>K58+COUNTA($K$56:K58)*0.001</f>
        <v>56.021823529411769</v>
      </c>
      <c r="P58" s="665">
        <v>3</v>
      </c>
      <c r="Q58" s="666" t="str">
        <f t="shared" ca="1" si="62"/>
        <v>Bồ Đào Nha</v>
      </c>
      <c r="R58" s="667">
        <f t="shared" ca="1" si="63"/>
        <v>7712.9647839649524</v>
      </c>
      <c r="S58" s="545">
        <f t="shared" ref="S58:S75" ca="1" si="76">R58/$R$54</f>
        <v>0.17672001562574413</v>
      </c>
      <c r="T58" s="667">
        <f t="shared" ca="1" si="64"/>
        <v>2785.1081641770347</v>
      </c>
      <c r="U58" s="545">
        <f t="shared" ref="U58:U75" ca="1" si="77">T58/$T$54</f>
        <v>0.10302182797098648</v>
      </c>
      <c r="W58" s="654">
        <v>3</v>
      </c>
      <c r="X58" s="655" t="str">
        <f t="shared" si="70"/>
        <v>Australia</v>
      </c>
      <c r="Y58" s="656">
        <f t="shared" ca="1" si="65"/>
        <v>114.70888540102818</v>
      </c>
      <c r="Z58" s="1115">
        <f t="shared" ca="1" si="71"/>
        <v>13</v>
      </c>
      <c r="AA58" s="1116">
        <f ca="1">Y58+COUNTA($Y$56:Y58)*0.001</f>
        <v>114.71188540102818</v>
      </c>
      <c r="AD58" s="322">
        <v>3</v>
      </c>
      <c r="AE58" s="31" t="s">
        <v>249</v>
      </c>
      <c r="AF58" s="510">
        <f>SUMIF('06. BC BH THEO CUSTOMER-USD'!$F:$F,'07. Chart_QUỐC GIA'!$AE58,'06. BC BH THEO CUSTOMER-USD'!DG:DG)</f>
        <v>0</v>
      </c>
      <c r="AG58" s="510">
        <f>SUMIF('06. BC BH THEO CUSTOMER-USD'!$F:$F,'07. Chart_QUỐC GIA'!$AE58,'06. BC BH THEO CUSTOMER-USD'!DH:DH)</f>
        <v>0</v>
      </c>
      <c r="AH58" s="510">
        <f>SUMIF('06. BC BH THEO CUSTOMER-USD'!$F:$F,'07. Chart_QUỐC GIA'!$AE58,'06. BC BH THEO CUSTOMER-USD'!DI:DI)</f>
        <v>0</v>
      </c>
      <c r="AI58" s="510">
        <f>SUMIF('06. BC BH THEO CUSTOMER-USD'!$F:$F,'07. Chart_QUỐC GIA'!$AE58,'06. BC BH THEO CUSTOMER-USD'!DJ:DJ)</f>
        <v>0</v>
      </c>
      <c r="AJ58" s="510">
        <f>SUMIF('06. BC BH THEO CUSTOMER-USD'!$F:$F,'07. Chart_QUỐC GIA'!$AE58,'06. BC BH THEO CUSTOMER-USD'!DK:DK)</f>
        <v>58690.061871616403</v>
      </c>
      <c r="AK58" s="510">
        <f>SUMIF('06. BC BH THEO CUSTOMER-USD'!$F:$F,'07. Chart_QUỐC GIA'!$AE58,'06. BC BH THEO CUSTOMER-USD'!DL:DL)</f>
        <v>0</v>
      </c>
      <c r="AL58" s="510">
        <f>SUMIF('06. BC BH THEO CUSTOMER-USD'!$F:$F,'07. Chart_QUỐC GIA'!$AE58,'06. BC BH THEO CUSTOMER-USD'!DM:DM)</f>
        <v>0</v>
      </c>
      <c r="AM58" s="510">
        <f>SUMIF('06. BC BH THEO CUSTOMER-USD'!$F:$F,'07. Chart_QUỐC GIA'!$AE58,'06. BC BH THEO CUSTOMER-USD'!DN:DN)</f>
        <v>56018.823529411769</v>
      </c>
      <c r="AN58" s="510">
        <f>SUMIF('06. BC BH THEO CUSTOMER-USD'!$F:$F,'07. Chart_QUỐC GIA'!$AE58,'06. BC BH THEO CUSTOMER-USD'!DO:DO)</f>
        <v>82266.023771428576</v>
      </c>
      <c r="AO58" s="510">
        <f>SUMIF('06. BC BH THEO CUSTOMER-USD'!$F:$F,'07. Chart_QUỐC GIA'!$AE58,'06. BC BH THEO CUSTOMER-USD'!DP:DP)</f>
        <v>0</v>
      </c>
      <c r="AP58" s="510">
        <f>SUMIF('06. BC BH THEO CUSTOMER-USD'!$F:$F,'07. Chart_QUỐC GIA'!$AE58,'06. BC BH THEO CUSTOMER-USD'!DQ:DQ)</f>
        <v>0</v>
      </c>
      <c r="AQ58" s="510">
        <f>SUMIF('06. BC BH THEO CUSTOMER-USD'!$F:$F,'07. Chart_QUỐC GIA'!$AE58,'06. BC BH THEO CUSTOMER-USD'!DR:DR)</f>
        <v>0</v>
      </c>
      <c r="AR58" s="681">
        <f t="shared" si="72"/>
        <v>196974.90917245677</v>
      </c>
      <c r="AS58" s="346">
        <f t="shared" ca="1" si="73"/>
        <v>114708.88540102818</v>
      </c>
      <c r="AT58" s="624"/>
      <c r="AV58" s="346">
        <v>0</v>
      </c>
      <c r="AW58" s="346">
        <v>0</v>
      </c>
      <c r="AX58" s="346">
        <v>55542.016129032258</v>
      </c>
      <c r="AY58" s="346">
        <v>0</v>
      </c>
      <c r="AZ58" s="346">
        <v>55938.96</v>
      </c>
      <c r="BA58" s="346">
        <v>0</v>
      </c>
      <c r="BB58" s="346">
        <v>0</v>
      </c>
      <c r="BC58" s="346">
        <v>0</v>
      </c>
      <c r="BD58" s="346">
        <v>55880</v>
      </c>
      <c r="BE58" s="346">
        <v>61731.43949044586</v>
      </c>
      <c r="BF58" s="346">
        <v>62807.027027027027</v>
      </c>
      <c r="BG58" s="346">
        <v>0</v>
      </c>
      <c r="BH58" s="621">
        <f t="shared" si="74"/>
        <v>291899.44264650514</v>
      </c>
      <c r="BI58" s="637">
        <f t="shared" ca="1" si="75"/>
        <v>111480.97612903226</v>
      </c>
    </row>
    <row r="59" spans="2:61" ht="15.5" hidden="1" outlineLevel="1" x14ac:dyDescent="0.35">
      <c r="B59" s="665">
        <v>4</v>
      </c>
      <c r="C59" s="666" t="str">
        <f t="shared" si="66"/>
        <v>Hong Kong</v>
      </c>
      <c r="D59" s="667">
        <f t="shared" si="58"/>
        <v>223.37142857142857</v>
      </c>
      <c r="E59" s="545">
        <f t="shared" si="67"/>
        <v>3.5858846208849889E-2</v>
      </c>
      <c r="F59" s="667">
        <f t="shared" si="59"/>
        <v>950.63541157426141</v>
      </c>
      <c r="G59" s="545">
        <f t="shared" si="68"/>
        <v>0.16475687437093861</v>
      </c>
      <c r="I59" s="654">
        <v>4</v>
      </c>
      <c r="J59" s="655" t="str">
        <f t="shared" si="69"/>
        <v>Bồ Đào Nha</v>
      </c>
      <c r="K59" s="656">
        <f t="shared" si="60"/>
        <v>1100.5252100840337</v>
      </c>
      <c r="L59" s="657">
        <f t="shared" si="61"/>
        <v>3</v>
      </c>
      <c r="M59" s="1114">
        <f>K59+COUNTA($K$56:K59)*0.001</f>
        <v>1100.5292100840336</v>
      </c>
      <c r="P59" s="665">
        <v>4</v>
      </c>
      <c r="Q59" s="666" t="str">
        <f t="shared" ca="1" si="62"/>
        <v>Luxembourg</v>
      </c>
      <c r="R59" s="667">
        <f t="shared" ca="1" si="63"/>
        <v>1659.9365964377726</v>
      </c>
      <c r="S59" s="545">
        <f t="shared" ca="1" si="76"/>
        <v>3.80325892152499E-2</v>
      </c>
      <c r="T59" s="667">
        <f t="shared" ca="1" si="64"/>
        <v>0</v>
      </c>
      <c r="U59" s="545">
        <f t="shared" ca="1" si="77"/>
        <v>0</v>
      </c>
      <c r="W59" s="654">
        <v>4</v>
      </c>
      <c r="X59" s="655" t="str">
        <f t="shared" si="70"/>
        <v>Bồ Đào Nha</v>
      </c>
      <c r="Y59" s="656">
        <f t="shared" ca="1" si="65"/>
        <v>7712.9647839649524</v>
      </c>
      <c r="Z59" s="1115">
        <f t="shared" ca="1" si="71"/>
        <v>3</v>
      </c>
      <c r="AA59" s="1116">
        <f ca="1">Y59+COUNTA($Y$56:Y59)*0.001</f>
        <v>7712.9687839649523</v>
      </c>
      <c r="AD59" s="322">
        <v>4</v>
      </c>
      <c r="AE59" s="12" t="s">
        <v>246</v>
      </c>
      <c r="AF59" s="510">
        <f>SUMIF('06. BC BH THEO CUSTOMER-USD'!$F:$F,'07. Chart_QUỐC GIA'!$AE59,'06. BC BH THEO CUSTOMER-USD'!DG:DG)</f>
        <v>0</v>
      </c>
      <c r="AG59" s="510">
        <f>SUMIF('06. BC BH THEO CUSTOMER-USD'!$F:$F,'07. Chart_QUỐC GIA'!$AE59,'06. BC BH THEO CUSTOMER-USD'!DH:DH)</f>
        <v>1127515.7542339505</v>
      </c>
      <c r="AH59" s="510">
        <f>SUMIF('06. BC BH THEO CUSTOMER-USD'!$F:$F,'07. Chart_QUỐC GIA'!$AE59,'06. BC BH THEO CUSTOMER-USD'!DI:DI)</f>
        <v>1097033.4645669293</v>
      </c>
      <c r="AI59" s="510">
        <f>SUMIF('06. BC BH THEO CUSTOMER-USD'!$F:$F,'07. Chart_QUỐC GIA'!$AE59,'06. BC BH THEO CUSTOMER-USD'!DJ:DJ)</f>
        <v>1094996.1285327137</v>
      </c>
      <c r="AJ59" s="510">
        <f>SUMIF('06. BC BH THEO CUSTOMER-USD'!$F:$F,'07. Chart_QUỐC GIA'!$AE59,'06. BC BH THEO CUSTOMER-USD'!DK:DK)</f>
        <v>1096490.7192575408</v>
      </c>
      <c r="AK59" s="510">
        <f>SUMIF('06. BC BH THEO CUSTOMER-USD'!$F:$F,'07. Chart_QUỐC GIA'!$AE59,'06. BC BH THEO CUSTOMER-USD'!DL:DL)</f>
        <v>1098939.0432098764</v>
      </c>
      <c r="AL59" s="510">
        <f>SUMIF('06. BC BH THEO CUSTOMER-USD'!$F:$F,'07. Chart_QUỐC GIA'!$AE59,'06. BC BH THEO CUSTOMER-USD'!DM:DM)</f>
        <v>1097464.4640799079</v>
      </c>
      <c r="AM59" s="510">
        <f>SUMIF('06. BC BH THEO CUSTOMER-USD'!$F:$F,'07. Chart_QUỐC GIA'!$AE59,'06. BC BH THEO CUSTOMER-USD'!DN:DN)</f>
        <v>1100525.2100840337</v>
      </c>
      <c r="AN59" s="510">
        <f>SUMIF('06. BC BH THEO CUSTOMER-USD'!$F:$F,'07. Chart_QUỐC GIA'!$AE59,'06. BC BH THEO CUSTOMER-USD'!DO:DO)</f>
        <v>0</v>
      </c>
      <c r="AO59" s="510">
        <f>SUMIF('06. BC BH THEO CUSTOMER-USD'!$F:$F,'07. Chart_QUỐC GIA'!$AE59,'06. BC BH THEO CUSTOMER-USD'!DP:DP)</f>
        <v>0</v>
      </c>
      <c r="AP59" s="510">
        <f>SUMIF('06. BC BH THEO CUSTOMER-USD'!$F:$F,'07. Chart_QUỐC GIA'!$AE59,'06. BC BH THEO CUSTOMER-USD'!DQ:DQ)</f>
        <v>0</v>
      </c>
      <c r="AQ59" s="510">
        <f>SUMIF('06. BC BH THEO CUSTOMER-USD'!$F:$F,'07. Chart_QUỐC GIA'!$AE59,'06. BC BH THEO CUSTOMER-USD'!DR:DR)</f>
        <v>0</v>
      </c>
      <c r="AR59" s="681">
        <f t="shared" si="72"/>
        <v>7712964.7839649525</v>
      </c>
      <c r="AS59" s="346">
        <f t="shared" ca="1" si="73"/>
        <v>7712964.7839649525</v>
      </c>
      <c r="AT59" s="624"/>
      <c r="AV59" s="346">
        <v>0</v>
      </c>
      <c r="AW59" s="346">
        <v>0</v>
      </c>
      <c r="AX59" s="346">
        <v>901535.38306451612</v>
      </c>
      <c r="AY59" s="346">
        <v>916593.09677419357</v>
      </c>
      <c r="AZ59" s="346">
        <v>0</v>
      </c>
      <c r="BA59" s="346">
        <v>0</v>
      </c>
      <c r="BB59" s="346">
        <v>0</v>
      </c>
      <c r="BC59" s="346">
        <v>966979.6843383247</v>
      </c>
      <c r="BD59" s="346">
        <v>1055232.8343558281</v>
      </c>
      <c r="BE59" s="346">
        <v>292761.14649681532</v>
      </c>
      <c r="BF59" s="346">
        <v>0</v>
      </c>
      <c r="BG59" s="346">
        <v>0</v>
      </c>
      <c r="BH59" s="621">
        <f t="shared" si="74"/>
        <v>4133102.1450296775</v>
      </c>
      <c r="BI59" s="637">
        <f t="shared" ca="1" si="75"/>
        <v>2785108.1641770345</v>
      </c>
    </row>
    <row r="60" spans="2:61" ht="15.5" hidden="1" outlineLevel="1" x14ac:dyDescent="0.35">
      <c r="B60" s="665">
        <v>5</v>
      </c>
      <c r="C60" s="666" t="str">
        <f t="shared" si="66"/>
        <v>Luxembourg</v>
      </c>
      <c r="D60" s="667">
        <f t="shared" si="58"/>
        <v>144.63900000000001</v>
      </c>
      <c r="E60" s="545">
        <f t="shared" si="67"/>
        <v>2.3219566127918187E-2</v>
      </c>
      <c r="F60" s="667">
        <f t="shared" si="59"/>
        <v>0</v>
      </c>
      <c r="G60" s="545">
        <f t="shared" si="68"/>
        <v>0</v>
      </c>
      <c r="I60" s="654">
        <v>5</v>
      </c>
      <c r="J60" s="655" t="str">
        <f t="shared" si="69"/>
        <v>Bulgaria</v>
      </c>
      <c r="K60" s="656">
        <f t="shared" si="60"/>
        <v>0</v>
      </c>
      <c r="L60" s="657" t="str">
        <f t="shared" si="61"/>
        <v>-</v>
      </c>
      <c r="M60" s="1114">
        <f>K60+COUNTA($K$56:K60)*0.001</f>
        <v>5.0000000000000001E-3</v>
      </c>
      <c r="P60" s="665">
        <v>5</v>
      </c>
      <c r="Q60" s="666" t="str">
        <f t="shared" ca="1" si="62"/>
        <v>Thụy Sĩ</v>
      </c>
      <c r="R60" s="667">
        <f t="shared" ca="1" si="63"/>
        <v>541.11087532329873</v>
      </c>
      <c r="S60" s="545">
        <f t="shared" ca="1" si="76"/>
        <v>1.2397972118477128E-2</v>
      </c>
      <c r="T60" s="667">
        <f t="shared" ca="1" si="64"/>
        <v>29.985120000000002</v>
      </c>
      <c r="U60" s="545">
        <f t="shared" ca="1" si="77"/>
        <v>1.1091568773028907E-3</v>
      </c>
      <c r="W60" s="654">
        <v>5</v>
      </c>
      <c r="X60" s="655" t="str">
        <f t="shared" si="70"/>
        <v>Bulgaria</v>
      </c>
      <c r="Y60" s="656">
        <f t="shared" ca="1" si="65"/>
        <v>127.35051104615549</v>
      </c>
      <c r="Z60" s="1115">
        <f t="shared" ca="1" si="71"/>
        <v>12</v>
      </c>
      <c r="AA60" s="1116">
        <f ca="1">Y60+COUNTA($Y$56:Y60)*0.001</f>
        <v>127.35551104615548</v>
      </c>
      <c r="AD60" s="322">
        <v>5</v>
      </c>
      <c r="AE60" s="12" t="s">
        <v>254</v>
      </c>
      <c r="AF60" s="510">
        <f>SUMIF('06. BC BH THEO CUSTOMER-USD'!$F:$F,'07. Chart_QUỐC GIA'!$AE60,'06. BC BH THEO CUSTOMER-USD'!DG:DG)</f>
        <v>0</v>
      </c>
      <c r="AG60" s="510">
        <f>SUMIF('06. BC BH THEO CUSTOMER-USD'!$F:$F,'07. Chart_QUỐC GIA'!$AE60,'06. BC BH THEO CUSTOMER-USD'!DH:DH)</f>
        <v>52057.857424182745</v>
      </c>
      <c r="AH60" s="510">
        <f>SUMIF('06. BC BH THEO CUSTOMER-USD'!$F:$F,'07. Chart_QUỐC GIA'!$AE60,'06. BC BH THEO CUSTOMER-USD'!DI:DI)</f>
        <v>0</v>
      </c>
      <c r="AI60" s="510">
        <f>SUMIF('06. BC BH THEO CUSTOMER-USD'!$F:$F,'07. Chart_QUỐC GIA'!$AE60,'06. BC BH THEO CUSTOMER-USD'!DJ:DJ)</f>
        <v>49973.132017034462</v>
      </c>
      <c r="AJ60" s="510">
        <f>SUMIF('06. BC BH THEO CUSTOMER-USD'!$F:$F,'07. Chart_QUỐC GIA'!$AE60,'06. BC BH THEO CUSTOMER-USD'!DK:DK)</f>
        <v>0</v>
      </c>
      <c r="AK60" s="510">
        <f>SUMIF('06. BC BH THEO CUSTOMER-USD'!$F:$F,'07. Chart_QUỐC GIA'!$AE60,'06. BC BH THEO CUSTOMER-USD'!DL:DL)</f>
        <v>25319.521604938269</v>
      </c>
      <c r="AL60" s="510">
        <f>SUMIF('06. BC BH THEO CUSTOMER-USD'!$F:$F,'07. Chart_QUỐC GIA'!$AE60,'06. BC BH THEO CUSTOMER-USD'!DM:DM)</f>
        <v>0</v>
      </c>
      <c r="AM60" s="510">
        <f>SUMIF('06. BC BH THEO CUSTOMER-USD'!$F:$F,'07. Chart_QUỐC GIA'!$AE60,'06. BC BH THEO CUSTOMER-USD'!DN:DN)</f>
        <v>0</v>
      </c>
      <c r="AN60" s="510">
        <f>SUMIF('06. BC BH THEO CUSTOMER-USD'!$F:$F,'07. Chart_QUỐC GIA'!$AE60,'06. BC BH THEO CUSTOMER-USD'!DO:DO)</f>
        <v>0</v>
      </c>
      <c r="AO60" s="510">
        <f>SUMIF('06. BC BH THEO CUSTOMER-USD'!$F:$F,'07. Chart_QUỐC GIA'!$AE60,'06. BC BH THEO CUSTOMER-USD'!DP:DP)</f>
        <v>0</v>
      </c>
      <c r="AP60" s="510">
        <f>SUMIF('06. BC BH THEO CUSTOMER-USD'!$F:$F,'07. Chart_QUỐC GIA'!$AE60,'06. BC BH THEO CUSTOMER-USD'!DQ:DQ)</f>
        <v>0</v>
      </c>
      <c r="AQ60" s="510">
        <f>SUMIF('06. BC BH THEO CUSTOMER-USD'!$F:$F,'07. Chart_QUỐC GIA'!$AE60,'06. BC BH THEO CUSTOMER-USD'!DR:DR)</f>
        <v>0</v>
      </c>
      <c r="AR60" s="681">
        <f t="shared" si="72"/>
        <v>127350.51104615549</v>
      </c>
      <c r="AS60" s="346">
        <f t="shared" ca="1" si="73"/>
        <v>127350.51104615549</v>
      </c>
      <c r="AT60" s="624"/>
      <c r="AV60" s="346">
        <v>0</v>
      </c>
      <c r="AW60" s="346">
        <v>0</v>
      </c>
      <c r="AX60" s="346">
        <v>0</v>
      </c>
      <c r="AY60" s="346">
        <v>0</v>
      </c>
      <c r="AZ60" s="346">
        <v>0</v>
      </c>
      <c r="BA60" s="346">
        <v>0</v>
      </c>
      <c r="BB60" s="346">
        <v>0</v>
      </c>
      <c r="BC60" s="346">
        <v>0</v>
      </c>
      <c r="BD60" s="346">
        <v>0</v>
      </c>
      <c r="BE60" s="346">
        <v>113219.77707006369</v>
      </c>
      <c r="BF60" s="346">
        <v>0</v>
      </c>
      <c r="BG60" s="346">
        <v>0</v>
      </c>
      <c r="BH60" s="621">
        <f t="shared" si="74"/>
        <v>113219.77707006369</v>
      </c>
      <c r="BI60" s="637">
        <f t="shared" ca="1" si="75"/>
        <v>0</v>
      </c>
    </row>
    <row r="61" spans="2:61" ht="15.5" hidden="1" outlineLevel="1" x14ac:dyDescent="0.35">
      <c r="B61" s="665">
        <v>6</v>
      </c>
      <c r="C61" s="666" t="str">
        <f t="shared" si="66"/>
        <v>Hy Lạp</v>
      </c>
      <c r="D61" s="667">
        <f t="shared" si="58"/>
        <v>75.100235294117653</v>
      </c>
      <c r="E61" s="545">
        <f t="shared" si="67"/>
        <v>1.2056187332835405E-2</v>
      </c>
      <c r="F61" s="667">
        <f t="shared" si="59"/>
        <v>0</v>
      </c>
      <c r="G61" s="545">
        <f t="shared" si="68"/>
        <v>0</v>
      </c>
      <c r="I61" s="654">
        <v>6</v>
      </c>
      <c r="J61" s="655" t="str">
        <f t="shared" si="69"/>
        <v>Hàn Quốc</v>
      </c>
      <c r="K61" s="656">
        <f t="shared" si="60"/>
        <v>0</v>
      </c>
      <c r="L61" s="657" t="str">
        <f t="shared" si="61"/>
        <v>-</v>
      </c>
      <c r="M61" s="1114">
        <f>K61+COUNTA($K$56:K61)*0.001</f>
        <v>6.0000000000000001E-3</v>
      </c>
      <c r="P61" s="665">
        <v>6</v>
      </c>
      <c r="Q61" s="666" t="str">
        <f t="shared" ca="1" si="62"/>
        <v>Hong Kong</v>
      </c>
      <c r="R61" s="667">
        <f t="shared" ca="1" si="63"/>
        <v>456.84133597883607</v>
      </c>
      <c r="S61" s="545">
        <f t="shared" ca="1" si="76"/>
        <v>1.0467182243656486E-2</v>
      </c>
      <c r="T61" s="667">
        <f t="shared" ca="1" si="64"/>
        <v>1174.9346198578137</v>
      </c>
      <c r="U61" s="545">
        <f t="shared" ca="1" si="77"/>
        <v>4.3461117180673331E-2</v>
      </c>
      <c r="W61" s="654">
        <v>6</v>
      </c>
      <c r="X61" s="655" t="str">
        <f t="shared" si="70"/>
        <v>Hàn Quốc</v>
      </c>
      <c r="Y61" s="656">
        <f t="shared" ca="1" si="65"/>
        <v>405.91939376558167</v>
      </c>
      <c r="Z61" s="1115">
        <f t="shared" ca="1" si="71"/>
        <v>7</v>
      </c>
      <c r="AA61" s="1116">
        <f ca="1">Y61+COUNTA($Y$56:Y61)*0.001</f>
        <v>405.92539376558165</v>
      </c>
      <c r="AD61" s="322">
        <v>6</v>
      </c>
      <c r="AE61" s="12" t="s">
        <v>253</v>
      </c>
      <c r="AF61" s="510">
        <f>SUMIF('06. BC BH THEO CUSTOMER-USD'!$F:$F,'07. Chart_QUỐC GIA'!$AE61,'06. BC BH THEO CUSTOMER-USD'!DG:DG)</f>
        <v>189101.96708149341</v>
      </c>
      <c r="AG61" s="510">
        <f>SUMIF('06. BC BH THEO CUSTOMER-USD'!$F:$F,'07. Chart_QUỐC GIA'!$AE61,'06. BC BH THEO CUSTOMER-USD'!DH:DH)</f>
        <v>0</v>
      </c>
      <c r="AH61" s="510">
        <f>SUMIF('06. BC BH THEO CUSTOMER-USD'!$F:$F,'07. Chart_QUỐC GIA'!$AE61,'06. BC BH THEO CUSTOMER-USD'!DI:DI)</f>
        <v>62700</v>
      </c>
      <c r="AI61" s="510">
        <f>SUMIF('06. BC BH THEO CUSTOMER-USD'!$F:$F,'07. Chart_QUỐC GIA'!$AE61,'06. BC BH THEO CUSTOMER-USD'!DJ:DJ)</f>
        <v>115012.21835075495</v>
      </c>
      <c r="AJ61" s="510">
        <f>SUMIF('06. BC BH THEO CUSTOMER-USD'!$F:$F,'07. Chart_QUỐC GIA'!$AE61,'06. BC BH THEO CUSTOMER-USD'!DK:DK)</f>
        <v>0</v>
      </c>
      <c r="AK61" s="510">
        <f>SUMIF('06. BC BH THEO CUSTOMER-USD'!$F:$F,'07. Chart_QUỐC GIA'!$AE61,'06. BC BH THEO CUSTOMER-USD'!DL:DL)</f>
        <v>39105.208333333336</v>
      </c>
      <c r="AL61" s="510">
        <f>SUMIF('06. BC BH THEO CUSTOMER-USD'!$F:$F,'07. Chart_QUỐC GIA'!$AE61,'06. BC BH THEO CUSTOMER-USD'!DM:DM)</f>
        <v>0</v>
      </c>
      <c r="AM61" s="510">
        <f>SUMIF('06. BC BH THEO CUSTOMER-USD'!$F:$F,'07. Chart_QUỐC GIA'!$AE61,'06. BC BH THEO CUSTOMER-USD'!DN:DN)</f>
        <v>0</v>
      </c>
      <c r="AN61" s="510">
        <f>SUMIF('06. BC BH THEO CUSTOMER-USD'!$F:$F,'07. Chart_QUỐC GIA'!$AE61,'06. BC BH THEO CUSTOMER-USD'!DO:DO)</f>
        <v>0</v>
      </c>
      <c r="AO61" s="510">
        <f>SUMIF('06. BC BH THEO CUSTOMER-USD'!$F:$F,'07. Chart_QUỐC GIA'!$AE61,'06. BC BH THEO CUSTOMER-USD'!DP:DP)</f>
        <v>0</v>
      </c>
      <c r="AP61" s="510">
        <f>SUMIF('06. BC BH THEO CUSTOMER-USD'!$F:$F,'07. Chart_QUỐC GIA'!$AE61,'06. BC BH THEO CUSTOMER-USD'!DQ:DQ)</f>
        <v>0</v>
      </c>
      <c r="AQ61" s="510">
        <f>SUMIF('06. BC BH THEO CUSTOMER-USD'!$F:$F,'07. Chart_QUỐC GIA'!$AE61,'06. BC BH THEO CUSTOMER-USD'!DR:DR)</f>
        <v>0</v>
      </c>
      <c r="AR61" s="681">
        <f t="shared" si="72"/>
        <v>405919.39376558166</v>
      </c>
      <c r="AS61" s="346">
        <f t="shared" ca="1" si="73"/>
        <v>405919.39376558166</v>
      </c>
      <c r="AT61" s="624"/>
      <c r="AV61" s="346">
        <v>24582.972408163263</v>
      </c>
      <c r="AW61" s="346">
        <v>0</v>
      </c>
      <c r="AX61" s="346">
        <v>0</v>
      </c>
      <c r="AY61" s="346">
        <v>0</v>
      </c>
      <c r="AZ61" s="346">
        <v>0</v>
      </c>
      <c r="BA61" s="346">
        <v>0</v>
      </c>
      <c r="BB61" s="346">
        <v>0</v>
      </c>
      <c r="BC61" s="346">
        <v>65251.768514771342</v>
      </c>
      <c r="BD61" s="346">
        <v>0</v>
      </c>
      <c r="BE61" s="346">
        <v>0</v>
      </c>
      <c r="BF61" s="346">
        <v>113214.65818759937</v>
      </c>
      <c r="BG61" s="346">
        <v>0</v>
      </c>
      <c r="BH61" s="621">
        <f t="shared" si="74"/>
        <v>203049.399110534</v>
      </c>
      <c r="BI61" s="637">
        <f t="shared" ca="1" si="75"/>
        <v>89834.740922934609</v>
      </c>
    </row>
    <row r="62" spans="2:61" ht="15.5" hidden="1" outlineLevel="1" x14ac:dyDescent="0.35">
      <c r="B62" s="665">
        <v>7</v>
      </c>
      <c r="C62" s="666" t="str">
        <f t="shared" si="66"/>
        <v>Australia</v>
      </c>
      <c r="D62" s="667">
        <f t="shared" si="58"/>
        <v>56.018823529411769</v>
      </c>
      <c r="E62" s="668">
        <f t="shared" si="67"/>
        <v>8.9929602482688321E-3</v>
      </c>
      <c r="F62" s="667">
        <f t="shared" si="59"/>
        <v>0</v>
      </c>
      <c r="G62" s="668">
        <f t="shared" si="68"/>
        <v>0</v>
      </c>
      <c r="I62" s="654">
        <v>7</v>
      </c>
      <c r="J62" s="655" t="str">
        <f t="shared" si="69"/>
        <v>Hong Kong</v>
      </c>
      <c r="K62" s="656">
        <f t="shared" si="60"/>
        <v>223.37142857142857</v>
      </c>
      <c r="L62" s="657">
        <f t="shared" si="61"/>
        <v>4</v>
      </c>
      <c r="M62" s="1114">
        <f>K62+COUNTA($K$56:K62)*0.001</f>
        <v>223.37842857142857</v>
      </c>
      <c r="P62" s="665">
        <v>7</v>
      </c>
      <c r="Q62" s="666" t="str">
        <f t="shared" ca="1" si="62"/>
        <v>Hàn Quốc</v>
      </c>
      <c r="R62" s="667">
        <f t="shared" ca="1" si="63"/>
        <v>405.91939376558167</v>
      </c>
      <c r="S62" s="668">
        <f t="shared" ca="1" si="76"/>
        <v>9.3004549635931719E-3</v>
      </c>
      <c r="T62" s="667">
        <f t="shared" ca="1" si="64"/>
        <v>89.834740922934614</v>
      </c>
      <c r="U62" s="545">
        <f t="shared" ca="1" si="77"/>
        <v>3.3230089029290645E-3</v>
      </c>
      <c r="W62" s="654">
        <v>7</v>
      </c>
      <c r="X62" s="655" t="str">
        <f t="shared" si="70"/>
        <v>Hong Kong</v>
      </c>
      <c r="Y62" s="656">
        <f t="shared" ca="1" si="65"/>
        <v>456.84133597883607</v>
      </c>
      <c r="Z62" s="1115">
        <f t="shared" ca="1" si="71"/>
        <v>6</v>
      </c>
      <c r="AA62" s="1116">
        <f ca="1">Y62+COUNTA($Y$56:Y62)*0.001</f>
        <v>456.84833597883608</v>
      </c>
      <c r="AD62" s="322">
        <v>7</v>
      </c>
      <c r="AE62" s="12" t="s">
        <v>247</v>
      </c>
      <c r="AF62" s="510">
        <f>SUMIF('06. BC BH THEO CUSTOMER-USD'!$F:$F,'07. Chart_QUỐC GIA'!$AE62,'06. BC BH THEO CUSTOMER-USD'!DG:DG)</f>
        <v>0</v>
      </c>
      <c r="AG62" s="510">
        <f>SUMIF('06. BC BH THEO CUSTOMER-USD'!$F:$F,'07. Chart_QUỐC GIA'!$AE62,'06. BC BH THEO CUSTOMER-USD'!DH:DH)</f>
        <v>0</v>
      </c>
      <c r="AH62" s="510">
        <f>SUMIF('06. BC BH THEO CUSTOMER-USD'!$F:$F,'07. Chart_QUỐC GIA'!$AE62,'06. BC BH THEO CUSTOMER-USD'!DI:DI)</f>
        <v>0</v>
      </c>
      <c r="AI62" s="510">
        <f>SUMIF('06. BC BH THEO CUSTOMER-USD'!$F:$F,'07. Chart_QUỐC GIA'!$AE62,'06. BC BH THEO CUSTOMER-USD'!DJ:DJ)</f>
        <v>0</v>
      </c>
      <c r="AJ62" s="510">
        <f>SUMIF('06. BC BH THEO CUSTOMER-USD'!$F:$F,'07. Chart_QUỐC GIA'!$AE62,'06. BC BH THEO CUSTOMER-USD'!DK:DK)</f>
        <v>0</v>
      </c>
      <c r="AK62" s="510">
        <f>SUMIF('06. BC BH THEO CUSTOMER-USD'!$F:$F,'07. Chart_QUỐC GIA'!$AE62,'06. BC BH THEO CUSTOMER-USD'!DL:DL)</f>
        <v>233469.90740740745</v>
      </c>
      <c r="AL62" s="510">
        <f>SUMIF('06. BC BH THEO CUSTOMER-USD'!$F:$F,'07. Chart_QUỐC GIA'!$AE62,'06. BC BH THEO CUSTOMER-USD'!DM:DM)</f>
        <v>0</v>
      </c>
      <c r="AM62" s="510">
        <f>SUMIF('06. BC BH THEO CUSTOMER-USD'!$F:$F,'07. Chart_QUỐC GIA'!$AE62,'06. BC BH THEO CUSTOMER-USD'!DN:DN)</f>
        <v>223371.42857142858</v>
      </c>
      <c r="AN62" s="510">
        <f>SUMIF('06. BC BH THEO CUSTOMER-USD'!$F:$F,'07. Chart_QUỐC GIA'!$AE62,'06. BC BH THEO CUSTOMER-USD'!DO:DO)</f>
        <v>0</v>
      </c>
      <c r="AO62" s="510">
        <f>SUMIF('06. BC BH THEO CUSTOMER-USD'!$F:$F,'07. Chart_QUỐC GIA'!$AE62,'06. BC BH THEO CUSTOMER-USD'!DP:DP)</f>
        <v>0</v>
      </c>
      <c r="AP62" s="510">
        <f>SUMIF('06. BC BH THEO CUSTOMER-USD'!$F:$F,'07. Chart_QUỐC GIA'!$AE62,'06. BC BH THEO CUSTOMER-USD'!DQ:DQ)</f>
        <v>0</v>
      </c>
      <c r="AQ62" s="510">
        <f>SUMIF('06. BC BH THEO CUSTOMER-USD'!$F:$F,'07. Chart_QUỐC GIA'!$AE62,'06. BC BH THEO CUSTOMER-USD'!DR:DR)</f>
        <v>0</v>
      </c>
      <c r="AR62" s="681">
        <f t="shared" si="72"/>
        <v>456841.33597883605</v>
      </c>
      <c r="AS62" s="346">
        <f t="shared" ca="1" si="73"/>
        <v>456841.33597883605</v>
      </c>
      <c r="AT62" s="624"/>
      <c r="AV62" s="346">
        <v>0</v>
      </c>
      <c r="AW62" s="346">
        <v>0</v>
      </c>
      <c r="AX62" s="346">
        <v>0</v>
      </c>
      <c r="AY62" s="346">
        <v>0</v>
      </c>
      <c r="AZ62" s="346">
        <v>0</v>
      </c>
      <c r="BA62" s="346">
        <v>0</v>
      </c>
      <c r="BB62" s="346">
        <v>224299.20828355241</v>
      </c>
      <c r="BC62" s="346">
        <v>950635.41157426138</v>
      </c>
      <c r="BD62" s="346">
        <v>699485.54601226992</v>
      </c>
      <c r="BE62" s="346">
        <v>701186.50477707002</v>
      </c>
      <c r="BF62" s="346">
        <v>0</v>
      </c>
      <c r="BG62" s="346">
        <v>0</v>
      </c>
      <c r="BH62" s="621">
        <f t="shared" si="74"/>
        <v>2575606.6706471536</v>
      </c>
      <c r="BI62" s="637">
        <f t="shared" ca="1" si="75"/>
        <v>1174934.6198578137</v>
      </c>
    </row>
    <row r="63" spans="2:61" ht="15.5" hidden="1" outlineLevel="1" x14ac:dyDescent="0.35">
      <c r="B63" s="665">
        <v>8</v>
      </c>
      <c r="C63" s="666">
        <f t="shared" si="66"/>
        <v>0</v>
      </c>
      <c r="D63" s="667">
        <f t="shared" si="58"/>
        <v>0</v>
      </c>
      <c r="E63" s="545">
        <f t="shared" si="67"/>
        <v>0</v>
      </c>
      <c r="F63" s="667">
        <f t="shared" si="59"/>
        <v>0</v>
      </c>
      <c r="G63" s="545">
        <f t="shared" si="68"/>
        <v>0</v>
      </c>
      <c r="I63" s="654">
        <v>8</v>
      </c>
      <c r="J63" s="655" t="str">
        <f t="shared" si="69"/>
        <v>Hy Lạp</v>
      </c>
      <c r="K63" s="656">
        <f t="shared" si="60"/>
        <v>75.100235294117653</v>
      </c>
      <c r="L63" s="657">
        <f t="shared" si="61"/>
        <v>6</v>
      </c>
      <c r="M63" s="1114">
        <f>K63+COUNTA($K$56:K63)*0.001</f>
        <v>75.108235294117648</v>
      </c>
      <c r="P63" s="665">
        <v>8</v>
      </c>
      <c r="Q63" s="666" t="str">
        <f t="shared" ca="1" si="62"/>
        <v>Nhật</v>
      </c>
      <c r="R63" s="667">
        <f t="shared" ca="1" si="63"/>
        <v>270.04483781008383</v>
      </c>
      <c r="S63" s="545">
        <f t="shared" ca="1" si="76"/>
        <v>6.1872871579373729E-3</v>
      </c>
      <c r="T63" s="667">
        <f t="shared" ca="1" si="64"/>
        <v>2.6596869772998804</v>
      </c>
      <c r="U63" s="545">
        <f t="shared" ca="1" si="77"/>
        <v>9.8382467782189944E-5</v>
      </c>
      <c r="W63" s="654">
        <v>8</v>
      </c>
      <c r="X63" s="655" t="str">
        <f t="shared" si="70"/>
        <v>Hy Lạp</v>
      </c>
      <c r="Y63" s="656">
        <f t="shared" ca="1" si="65"/>
        <v>128.48088682031576</v>
      </c>
      <c r="Z63" s="1115">
        <f t="shared" ca="1" si="71"/>
        <v>11</v>
      </c>
      <c r="AA63" s="1116">
        <f ca="1">Y63+COUNTA($Y$56:Y63)*0.001</f>
        <v>128.48888682031577</v>
      </c>
      <c r="AD63" s="322">
        <v>8</v>
      </c>
      <c r="AE63" s="12" t="s">
        <v>250</v>
      </c>
      <c r="AF63" s="510">
        <f>SUMIF('06. BC BH THEO CUSTOMER-USD'!$F:$F,'07. Chart_QUỐC GIA'!$AE63,'06. BC BH THEO CUSTOMER-USD'!DG:DG)</f>
        <v>0</v>
      </c>
      <c r="AG63" s="510">
        <f>SUMIF('06. BC BH THEO CUSTOMER-USD'!$F:$F,'07. Chart_QUỐC GIA'!$AE63,'06. BC BH THEO CUSTOMER-USD'!DH:DH)</f>
        <v>0</v>
      </c>
      <c r="AH63" s="510">
        <f>SUMIF('06. BC BH THEO CUSTOMER-USD'!$F:$F,'07. Chart_QUỐC GIA'!$AE63,'06. BC BH THEO CUSTOMER-USD'!DI:DI)</f>
        <v>28061.129921259846</v>
      </c>
      <c r="AI63" s="510">
        <f>SUMIF('06. BC BH THEO CUSTOMER-USD'!$F:$F,'07. Chart_QUỐC GIA'!$AE63,'06. BC BH THEO CUSTOMER-USD'!DJ:DJ)</f>
        <v>0</v>
      </c>
      <c r="AJ63" s="510">
        <f>SUMIF('06. BC BH THEO CUSTOMER-USD'!$F:$F,'07. Chart_QUỐC GIA'!$AE63,'06. BC BH THEO CUSTOMER-USD'!DK:DK)</f>
        <v>0</v>
      </c>
      <c r="AK63" s="510">
        <f>SUMIF('06. BC BH THEO CUSTOMER-USD'!$F:$F,'07. Chart_QUỐC GIA'!$AE63,'06. BC BH THEO CUSTOMER-USD'!DL:DL)</f>
        <v>25319.521604938269</v>
      </c>
      <c r="AL63" s="510">
        <f>SUMIF('06. BC BH THEO CUSTOMER-USD'!$F:$F,'07. Chart_QUỐC GIA'!$AE63,'06. BC BH THEO CUSTOMER-USD'!DM:DM)</f>
        <v>0</v>
      </c>
      <c r="AM63" s="510">
        <f>SUMIF('06. BC BH THEO CUSTOMER-USD'!$F:$F,'07. Chart_QUỐC GIA'!$AE63,'06. BC BH THEO CUSTOMER-USD'!DN:DN)</f>
        <v>75100.23529411765</v>
      </c>
      <c r="AN63" s="510">
        <f>SUMIF('06. BC BH THEO CUSTOMER-USD'!$F:$F,'07. Chart_QUỐC GIA'!$AE63,'06. BC BH THEO CUSTOMER-USD'!DO:DO)</f>
        <v>0</v>
      </c>
      <c r="AO63" s="510">
        <f>SUMIF('06. BC BH THEO CUSTOMER-USD'!$F:$F,'07. Chart_QUỐC GIA'!$AE63,'06. BC BH THEO CUSTOMER-USD'!DP:DP)</f>
        <v>0</v>
      </c>
      <c r="AP63" s="510">
        <f>SUMIF('06. BC BH THEO CUSTOMER-USD'!$F:$F,'07. Chart_QUỐC GIA'!$AE63,'06. BC BH THEO CUSTOMER-USD'!DQ:DQ)</f>
        <v>0</v>
      </c>
      <c r="AQ63" s="510">
        <f>SUMIF('06. BC BH THEO CUSTOMER-USD'!$F:$F,'07. Chart_QUỐC GIA'!$AE63,'06. BC BH THEO CUSTOMER-USD'!DR:DR)</f>
        <v>0</v>
      </c>
      <c r="AR63" s="681">
        <f t="shared" si="72"/>
        <v>128480.88682031576</v>
      </c>
      <c r="AS63" s="346">
        <f t="shared" ca="1" si="73"/>
        <v>128480.88682031576</v>
      </c>
      <c r="AT63" s="624"/>
      <c r="AV63" s="346">
        <v>0</v>
      </c>
      <c r="AW63" s="346">
        <v>55906.220408163266</v>
      </c>
      <c r="AX63" s="346">
        <v>0</v>
      </c>
      <c r="AY63" s="346">
        <v>0</v>
      </c>
      <c r="AZ63" s="346">
        <v>0</v>
      </c>
      <c r="BA63" s="346">
        <v>0</v>
      </c>
      <c r="BB63" s="346">
        <v>0</v>
      </c>
      <c r="BC63" s="346">
        <v>0</v>
      </c>
      <c r="BD63" s="346">
        <v>28171.517382413087</v>
      </c>
      <c r="BE63" s="346">
        <v>0</v>
      </c>
      <c r="BF63" s="346">
        <v>0</v>
      </c>
      <c r="BG63" s="346">
        <v>0</v>
      </c>
      <c r="BH63" s="621">
        <f t="shared" si="74"/>
        <v>84077.737790576357</v>
      </c>
      <c r="BI63" s="637">
        <f t="shared" ca="1" si="75"/>
        <v>55906.220408163266</v>
      </c>
    </row>
    <row r="64" spans="2:61" ht="15.5" hidden="1" outlineLevel="1" x14ac:dyDescent="0.35">
      <c r="B64" s="665">
        <v>9</v>
      </c>
      <c r="C64" s="666">
        <f t="shared" si="66"/>
        <v>0</v>
      </c>
      <c r="D64" s="667">
        <f t="shared" si="58"/>
        <v>0</v>
      </c>
      <c r="E64" s="545">
        <f t="shared" si="67"/>
        <v>0</v>
      </c>
      <c r="F64" s="667">
        <f t="shared" si="59"/>
        <v>0</v>
      </c>
      <c r="G64" s="545">
        <f t="shared" si="68"/>
        <v>0</v>
      </c>
      <c r="I64" s="654">
        <v>9</v>
      </c>
      <c r="J64" s="655" t="str">
        <f t="shared" si="69"/>
        <v>Israel</v>
      </c>
      <c r="K64" s="656">
        <f t="shared" si="60"/>
        <v>0</v>
      </c>
      <c r="L64" s="657" t="str">
        <f t="shared" si="61"/>
        <v>-</v>
      </c>
      <c r="M64" s="1114">
        <f>K64+COUNTA($K$56:K64)*0.001</f>
        <v>9.0000000000000011E-3</v>
      </c>
      <c r="P64" s="665">
        <v>9</v>
      </c>
      <c r="Q64" s="666" t="str">
        <f t="shared" ca="1" si="62"/>
        <v>Israel</v>
      </c>
      <c r="R64" s="667">
        <f t="shared" ca="1" si="63"/>
        <v>258.99609271629146</v>
      </c>
      <c r="S64" s="545">
        <f t="shared" ca="1" si="76"/>
        <v>5.9341374988491945E-3</v>
      </c>
      <c r="T64" s="667">
        <f t="shared" ca="1" si="64"/>
        <v>45.154361790316045</v>
      </c>
      <c r="U64" s="545">
        <f t="shared" ca="1" si="77"/>
        <v>1.6702708183242857E-3</v>
      </c>
      <c r="W64" s="654">
        <v>9</v>
      </c>
      <c r="X64" s="655" t="str">
        <f t="shared" si="70"/>
        <v>Israel</v>
      </c>
      <c r="Y64" s="656">
        <f t="shared" ca="1" si="65"/>
        <v>258.99609271629146</v>
      </c>
      <c r="Z64" s="1115">
        <f t="shared" ca="1" si="71"/>
        <v>9</v>
      </c>
      <c r="AA64" s="1116">
        <f ca="1">Y64+COUNTA($Y$56:Y64)*0.001</f>
        <v>259.00509271629147</v>
      </c>
      <c r="AD64" s="322">
        <v>9</v>
      </c>
      <c r="AE64" s="12" t="s">
        <v>256</v>
      </c>
      <c r="AF64" s="510">
        <f>SUMIF('06. BC BH THEO CUSTOMER-USD'!$F:$F,'07. Chart_QUỐC GIA'!$AE64,'06. BC BH THEO CUSTOMER-USD'!DG:DG)</f>
        <v>69545.029305499804</v>
      </c>
      <c r="AG64" s="510">
        <f>SUMIF('06. BC BH THEO CUSTOMER-USD'!$F:$F,'07. Chart_QUỐC GIA'!$AE64,'06. BC BH THEO CUSTOMER-USD'!DH:DH)</f>
        <v>189451.06341079163</v>
      </c>
      <c r="AH64" s="510">
        <f>SUMIF('06. BC BH THEO CUSTOMER-USD'!$F:$F,'07. Chart_QUỐC GIA'!$AE64,'06. BC BH THEO CUSTOMER-USD'!DI:DI)</f>
        <v>0</v>
      </c>
      <c r="AI64" s="510">
        <f>SUMIF('06. BC BH THEO CUSTOMER-USD'!$F:$F,'07. Chart_QUỐC GIA'!$AE64,'06. BC BH THEO CUSTOMER-USD'!DJ:DJ)</f>
        <v>0</v>
      </c>
      <c r="AJ64" s="510">
        <f>SUMIF('06. BC BH THEO CUSTOMER-USD'!$F:$F,'07. Chart_QUỐC GIA'!$AE64,'06. BC BH THEO CUSTOMER-USD'!DK:DK)</f>
        <v>0</v>
      </c>
      <c r="AK64" s="510">
        <f>SUMIF('06. BC BH THEO CUSTOMER-USD'!$F:$F,'07. Chart_QUỐC GIA'!$AE64,'06. BC BH THEO CUSTOMER-USD'!DL:DL)</f>
        <v>0</v>
      </c>
      <c r="AL64" s="510">
        <f>SUMIF('06. BC BH THEO CUSTOMER-USD'!$F:$F,'07. Chart_QUỐC GIA'!$AE64,'06. BC BH THEO CUSTOMER-USD'!DM:DM)</f>
        <v>0</v>
      </c>
      <c r="AM64" s="510">
        <f>SUMIF('06. BC BH THEO CUSTOMER-USD'!$F:$F,'07. Chart_QUỐC GIA'!$AE64,'06. BC BH THEO CUSTOMER-USD'!DN:DN)</f>
        <v>0</v>
      </c>
      <c r="AN64" s="510">
        <f>SUMIF('06. BC BH THEO CUSTOMER-USD'!$F:$F,'07. Chart_QUỐC GIA'!$AE64,'06. BC BH THEO CUSTOMER-USD'!DO:DO)</f>
        <v>0</v>
      </c>
      <c r="AO64" s="510">
        <f>SUMIF('06. BC BH THEO CUSTOMER-USD'!$F:$F,'07. Chart_QUỐC GIA'!$AE64,'06. BC BH THEO CUSTOMER-USD'!DP:DP)</f>
        <v>0</v>
      </c>
      <c r="AP64" s="510">
        <f>SUMIF('06. BC BH THEO CUSTOMER-USD'!$F:$F,'07. Chart_QUỐC GIA'!$AE64,'06. BC BH THEO CUSTOMER-USD'!DQ:DQ)</f>
        <v>0</v>
      </c>
      <c r="AQ64" s="510">
        <f>SUMIF('06. BC BH THEO CUSTOMER-USD'!$F:$F,'07. Chart_QUỐC GIA'!$AE64,'06. BC BH THEO CUSTOMER-USD'!DR:DR)</f>
        <v>0</v>
      </c>
      <c r="AR64" s="681">
        <f t="shared" si="72"/>
        <v>258996.09271629143</v>
      </c>
      <c r="AS64" s="346">
        <f t="shared" ca="1" si="73"/>
        <v>258996.09271629143</v>
      </c>
      <c r="AT64" s="624"/>
      <c r="AV64" s="346">
        <v>0</v>
      </c>
      <c r="AW64" s="346">
        <v>0</v>
      </c>
      <c r="AX64" s="346">
        <v>16579.112903225807</v>
      </c>
      <c r="AY64" s="346">
        <v>0</v>
      </c>
      <c r="AZ64" s="346">
        <v>0</v>
      </c>
      <c r="BA64" s="346">
        <v>0</v>
      </c>
      <c r="BB64" s="346">
        <v>0</v>
      </c>
      <c r="BC64" s="346">
        <v>28575.248887090245</v>
      </c>
      <c r="BD64" s="346">
        <v>0</v>
      </c>
      <c r="BE64" s="346">
        <v>0</v>
      </c>
      <c r="BF64" s="346">
        <v>0</v>
      </c>
      <c r="BG64" s="346">
        <v>0</v>
      </c>
      <c r="BH64" s="621">
        <f t="shared" si="74"/>
        <v>45154.361790316048</v>
      </c>
      <c r="BI64" s="637">
        <f t="shared" ca="1" si="75"/>
        <v>45154.361790316048</v>
      </c>
    </row>
    <row r="65" spans="2:61" ht="15.5" hidden="1" outlineLevel="1" x14ac:dyDescent="0.35">
      <c r="B65" s="665">
        <v>10</v>
      </c>
      <c r="C65" s="666">
        <f t="shared" si="66"/>
        <v>0</v>
      </c>
      <c r="D65" s="667">
        <f t="shared" si="58"/>
        <v>0</v>
      </c>
      <c r="E65" s="545">
        <f t="shared" si="67"/>
        <v>0</v>
      </c>
      <c r="F65" s="667">
        <f t="shared" si="59"/>
        <v>0</v>
      </c>
      <c r="G65" s="545">
        <f t="shared" si="68"/>
        <v>0</v>
      </c>
      <c r="I65" s="654">
        <v>10</v>
      </c>
      <c r="J65" s="655" t="str">
        <f t="shared" si="69"/>
        <v>Italy</v>
      </c>
      <c r="K65" s="656">
        <f t="shared" si="60"/>
        <v>0</v>
      </c>
      <c r="L65" s="657" t="str">
        <f t="shared" si="61"/>
        <v>-</v>
      </c>
      <c r="M65" s="1114">
        <f>K65+COUNTA($K$56:K65)*0.001</f>
        <v>0.01</v>
      </c>
      <c r="P65" s="665">
        <v>10</v>
      </c>
      <c r="Q65" s="666" t="str">
        <f t="shared" ca="1" si="62"/>
        <v>Singapore</v>
      </c>
      <c r="R65" s="667">
        <f t="shared" ca="1" si="63"/>
        <v>248.52568503937007</v>
      </c>
      <c r="S65" s="545">
        <f t="shared" ca="1" si="76"/>
        <v>5.6942387491336188E-3</v>
      </c>
      <c r="T65" s="667">
        <f t="shared" ca="1" si="64"/>
        <v>1047.4391010887098</v>
      </c>
      <c r="U65" s="545">
        <f t="shared" ca="1" si="77"/>
        <v>3.8745026950984363E-2</v>
      </c>
      <c r="W65" s="654">
        <v>10</v>
      </c>
      <c r="X65" s="655" t="str">
        <f t="shared" si="70"/>
        <v>Italy</v>
      </c>
      <c r="Y65" s="656">
        <f t="shared" ca="1" si="65"/>
        <v>54.512583694367862</v>
      </c>
      <c r="Z65" s="1115">
        <f t="shared" ca="1" si="71"/>
        <v>16</v>
      </c>
      <c r="AA65" s="1116">
        <f ca="1">Y65+COUNTA($Y$56:Y65)*0.001</f>
        <v>54.52258369436786</v>
      </c>
      <c r="AD65" s="322">
        <v>10</v>
      </c>
      <c r="AE65" s="12" t="s">
        <v>252</v>
      </c>
      <c r="AF65" s="510">
        <f>SUMIF('06. BC BH THEO CUSTOMER-USD'!$F:$F,'07. Chart_QUỐC GIA'!$AE65,'06. BC BH THEO CUSTOMER-USD'!DG:DG)</f>
        <v>0</v>
      </c>
      <c r="AG65" s="510">
        <f>SUMIF('06. BC BH THEO CUSTOMER-USD'!$F:$F,'07. Chart_QUỐC GIA'!$AE65,'06. BC BH THEO CUSTOMER-USD'!DH:DH)</f>
        <v>54512.583694367859</v>
      </c>
      <c r="AH65" s="510">
        <f>SUMIF('06. BC BH THEO CUSTOMER-USD'!$F:$F,'07. Chart_QUỐC GIA'!$AE65,'06. BC BH THEO CUSTOMER-USD'!DI:DI)</f>
        <v>0</v>
      </c>
      <c r="AI65" s="510">
        <f>SUMIF('06. BC BH THEO CUSTOMER-USD'!$F:$F,'07. Chart_QUỐC GIA'!$AE65,'06. BC BH THEO CUSTOMER-USD'!DJ:DJ)</f>
        <v>0</v>
      </c>
      <c r="AJ65" s="510">
        <f>SUMIF('06. BC BH THEO CUSTOMER-USD'!$F:$F,'07. Chart_QUỐC GIA'!$AE65,'06. BC BH THEO CUSTOMER-USD'!DK:DK)</f>
        <v>0</v>
      </c>
      <c r="AK65" s="510">
        <f>SUMIF('06. BC BH THEO CUSTOMER-USD'!$F:$F,'07. Chart_QUỐC GIA'!$AE65,'06. BC BH THEO CUSTOMER-USD'!DL:DL)</f>
        <v>0</v>
      </c>
      <c r="AL65" s="510">
        <f>SUMIF('06. BC BH THEO CUSTOMER-USD'!$F:$F,'07. Chart_QUỐC GIA'!$AE65,'06. BC BH THEO CUSTOMER-USD'!DM:DM)</f>
        <v>0</v>
      </c>
      <c r="AM65" s="510">
        <f>SUMIF('06. BC BH THEO CUSTOMER-USD'!$F:$F,'07. Chart_QUỐC GIA'!$AE65,'06. BC BH THEO CUSTOMER-USD'!DN:DN)</f>
        <v>0</v>
      </c>
      <c r="AN65" s="510">
        <f>SUMIF('06. BC BH THEO CUSTOMER-USD'!$F:$F,'07. Chart_QUỐC GIA'!$AE65,'06. BC BH THEO CUSTOMER-USD'!DO:DO)</f>
        <v>0</v>
      </c>
      <c r="AO65" s="510">
        <f>SUMIF('06. BC BH THEO CUSTOMER-USD'!$F:$F,'07. Chart_QUỐC GIA'!$AE65,'06. BC BH THEO CUSTOMER-USD'!DP:DP)</f>
        <v>0</v>
      </c>
      <c r="AP65" s="510">
        <f>SUMIF('06. BC BH THEO CUSTOMER-USD'!$F:$F,'07. Chart_QUỐC GIA'!$AE65,'06. BC BH THEO CUSTOMER-USD'!DQ:DQ)</f>
        <v>0</v>
      </c>
      <c r="AQ65" s="510">
        <f>SUMIF('06. BC BH THEO CUSTOMER-USD'!$F:$F,'07. Chart_QUỐC GIA'!$AE65,'06. BC BH THEO CUSTOMER-USD'!DR:DR)</f>
        <v>0</v>
      </c>
      <c r="AR65" s="681">
        <f t="shared" si="72"/>
        <v>54512.583694367859</v>
      </c>
      <c r="AS65" s="346">
        <f t="shared" ca="1" si="73"/>
        <v>54512.583694367859</v>
      </c>
      <c r="AT65" s="624"/>
      <c r="AV65" s="346">
        <v>0</v>
      </c>
      <c r="AW65" s="346">
        <v>0</v>
      </c>
      <c r="AX65" s="346">
        <v>0</v>
      </c>
      <c r="AY65" s="346">
        <v>0</v>
      </c>
      <c r="AZ65" s="346">
        <v>0</v>
      </c>
      <c r="BA65" s="346">
        <v>0</v>
      </c>
      <c r="BB65" s="346">
        <v>0</v>
      </c>
      <c r="BC65" s="346">
        <v>0</v>
      </c>
      <c r="BD65" s="346">
        <v>0</v>
      </c>
      <c r="BE65" s="346">
        <v>0</v>
      </c>
      <c r="BF65" s="346">
        <v>0</v>
      </c>
      <c r="BG65" s="346">
        <v>0</v>
      </c>
      <c r="BH65" s="621">
        <f t="shared" si="74"/>
        <v>0</v>
      </c>
      <c r="BI65" s="637">
        <f t="shared" ca="1" si="75"/>
        <v>0</v>
      </c>
    </row>
    <row r="66" spans="2:61" ht="15.5" hidden="1" outlineLevel="1" x14ac:dyDescent="0.35">
      <c r="B66" s="665">
        <v>11</v>
      </c>
      <c r="C66" s="666">
        <f t="shared" si="66"/>
        <v>0</v>
      </c>
      <c r="D66" s="667">
        <f t="shared" si="58"/>
        <v>0</v>
      </c>
      <c r="E66" s="545">
        <f t="shared" si="67"/>
        <v>0</v>
      </c>
      <c r="F66" s="667">
        <f t="shared" si="59"/>
        <v>0</v>
      </c>
      <c r="G66" s="545">
        <f t="shared" si="68"/>
        <v>0</v>
      </c>
      <c r="I66" s="654">
        <v>11</v>
      </c>
      <c r="J66" s="655" t="str">
        <f t="shared" si="69"/>
        <v>Korea</v>
      </c>
      <c r="K66" s="656">
        <f t="shared" si="60"/>
        <v>0</v>
      </c>
      <c r="L66" s="657" t="str">
        <f t="shared" si="61"/>
        <v>-</v>
      </c>
      <c r="M66" s="1114">
        <f>K66+COUNTA($K$56:K66)*0.001</f>
        <v>1.0999999999999999E-2</v>
      </c>
      <c r="P66" s="665">
        <v>11</v>
      </c>
      <c r="Q66" s="666" t="str">
        <f t="shared" ca="1" si="62"/>
        <v>Hy Lạp</v>
      </c>
      <c r="R66" s="667">
        <f t="shared" ca="1" si="63"/>
        <v>128.48088682031576</v>
      </c>
      <c r="S66" s="545">
        <f t="shared" ca="1" si="76"/>
        <v>2.9437635153863342E-3</v>
      </c>
      <c r="T66" s="667">
        <f t="shared" ca="1" si="64"/>
        <v>55.906220408163264</v>
      </c>
      <c r="U66" s="545">
        <f t="shared" ca="1" si="77"/>
        <v>2.0679846820598185E-3</v>
      </c>
      <c r="W66" s="654">
        <v>11</v>
      </c>
      <c r="X66" s="655" t="str">
        <f t="shared" si="70"/>
        <v>Korea</v>
      </c>
      <c r="Y66" s="656">
        <f t="shared" ca="1" si="65"/>
        <v>0</v>
      </c>
      <c r="Z66" s="1115" t="str">
        <f t="shared" ca="1" si="71"/>
        <v>-</v>
      </c>
      <c r="AA66" s="1116">
        <f ca="1">Y66+COUNTA($Y$56:Y66)*0.001</f>
        <v>1.0999999999999999E-2</v>
      </c>
      <c r="AD66" s="322">
        <v>11</v>
      </c>
      <c r="AE66" s="12" t="s">
        <v>670</v>
      </c>
      <c r="AF66" s="510">
        <f>SUMIF('06. BC BH THEO CUSTOMER-USD'!$F:$F,'07. Chart_QUỐC GIA'!$AE66,'06. BC BH THEO CUSTOMER-USD'!DG:DG)</f>
        <v>0</v>
      </c>
      <c r="AG66" s="510">
        <f>SUMIF('06. BC BH THEO CUSTOMER-USD'!$F:$F,'07. Chart_QUỐC GIA'!$AE66,'06. BC BH THEO CUSTOMER-USD'!DH:DH)</f>
        <v>0</v>
      </c>
      <c r="AH66" s="510">
        <f>SUMIF('06. BC BH THEO CUSTOMER-USD'!$F:$F,'07. Chart_QUỐC GIA'!$AE66,'06. BC BH THEO CUSTOMER-USD'!DI:DI)</f>
        <v>0</v>
      </c>
      <c r="AI66" s="510">
        <f>SUMIF('06. BC BH THEO CUSTOMER-USD'!$F:$F,'07. Chart_QUỐC GIA'!$AE66,'06. BC BH THEO CUSTOMER-USD'!DJ:DJ)</f>
        <v>0</v>
      </c>
      <c r="AJ66" s="510">
        <f>SUMIF('06. BC BH THEO CUSTOMER-USD'!$F:$F,'07. Chart_QUỐC GIA'!$AE66,'06. BC BH THEO CUSTOMER-USD'!DK:DK)</f>
        <v>0</v>
      </c>
      <c r="AK66" s="510">
        <f>SUMIF('06. BC BH THEO CUSTOMER-USD'!$F:$F,'07. Chart_QUỐC GIA'!$AE66,'06. BC BH THEO CUSTOMER-USD'!DL:DL)</f>
        <v>0</v>
      </c>
      <c r="AL66" s="510">
        <f>SUMIF('06. BC BH THEO CUSTOMER-USD'!$F:$F,'07. Chart_QUỐC GIA'!$AE66,'06. BC BH THEO CUSTOMER-USD'!DM:DM)</f>
        <v>0</v>
      </c>
      <c r="AM66" s="510">
        <f>SUMIF('06. BC BH THEO CUSTOMER-USD'!$F:$F,'07. Chart_QUỐC GIA'!$AE66,'06. BC BH THEO CUSTOMER-USD'!DN:DN)</f>
        <v>0</v>
      </c>
      <c r="AN66" s="510">
        <f>SUMIF('06. BC BH THEO CUSTOMER-USD'!$F:$F,'07. Chart_QUỐC GIA'!$AE66,'06. BC BH THEO CUSTOMER-USD'!DO:DO)</f>
        <v>0</v>
      </c>
      <c r="AO66" s="510">
        <f>SUMIF('06. BC BH THEO CUSTOMER-USD'!$F:$F,'07. Chart_QUỐC GIA'!$AE66,'06. BC BH THEO CUSTOMER-USD'!DP:DP)</f>
        <v>0</v>
      </c>
      <c r="AP66" s="510">
        <f>SUMIF('06. BC BH THEO CUSTOMER-USD'!$F:$F,'07. Chart_QUỐC GIA'!$AE66,'06. BC BH THEO CUSTOMER-USD'!DQ:DQ)</f>
        <v>0</v>
      </c>
      <c r="AQ66" s="510">
        <f>SUMIF('06. BC BH THEO CUSTOMER-USD'!$F:$F,'07. Chart_QUỐC GIA'!$AE66,'06. BC BH THEO CUSTOMER-USD'!DR:DR)</f>
        <v>0</v>
      </c>
      <c r="AR66" s="681">
        <f t="shared" si="72"/>
        <v>0</v>
      </c>
      <c r="AS66" s="346">
        <f t="shared" ca="1" si="73"/>
        <v>0</v>
      </c>
      <c r="AT66" s="624"/>
      <c r="AV66" s="346">
        <v>0</v>
      </c>
      <c r="AW66" s="346">
        <v>0</v>
      </c>
      <c r="AX66" s="346">
        <v>0</v>
      </c>
      <c r="AY66" s="346">
        <v>0</v>
      </c>
      <c r="AZ66" s="346">
        <v>0</v>
      </c>
      <c r="BA66" s="346">
        <v>0</v>
      </c>
      <c r="BB66" s="346">
        <v>0</v>
      </c>
      <c r="BC66" s="346">
        <v>0</v>
      </c>
      <c r="BD66" s="346">
        <v>0</v>
      </c>
      <c r="BE66" s="346">
        <v>0</v>
      </c>
      <c r="BF66" s="346">
        <v>0</v>
      </c>
      <c r="BG66" s="346">
        <v>0</v>
      </c>
      <c r="BH66" s="621">
        <f>SUM(AV66:BG66)</f>
        <v>0</v>
      </c>
      <c r="BI66" s="637">
        <f t="shared" ca="1" si="75"/>
        <v>0</v>
      </c>
    </row>
    <row r="67" spans="2:61" hidden="1" outlineLevel="1" x14ac:dyDescent="0.35">
      <c r="B67" s="665">
        <v>12</v>
      </c>
      <c r="C67" s="666">
        <f t="shared" si="66"/>
        <v>0</v>
      </c>
      <c r="D67" s="667">
        <f t="shared" si="58"/>
        <v>0</v>
      </c>
      <c r="E67" s="545">
        <f t="shared" si="67"/>
        <v>0</v>
      </c>
      <c r="F67" s="667">
        <f t="shared" si="59"/>
        <v>0</v>
      </c>
      <c r="G67" s="545">
        <f t="shared" si="68"/>
        <v>0</v>
      </c>
      <c r="I67" s="654">
        <v>12</v>
      </c>
      <c r="J67" s="655" t="str">
        <f t="shared" si="69"/>
        <v>Mexico</v>
      </c>
      <c r="K67" s="656">
        <f t="shared" si="60"/>
        <v>0</v>
      </c>
      <c r="L67" s="657" t="str">
        <f t="shared" si="61"/>
        <v>-</v>
      </c>
      <c r="M67" s="1114">
        <f>K67+COUNTA($K$56:K67)*0.001</f>
        <v>1.2E-2</v>
      </c>
      <c r="P67" s="665">
        <v>12</v>
      </c>
      <c r="Q67" s="666" t="str">
        <f t="shared" ca="1" si="62"/>
        <v>Bulgaria</v>
      </c>
      <c r="R67" s="667">
        <f t="shared" ca="1" si="63"/>
        <v>127.35051104615549</v>
      </c>
      <c r="S67" s="545">
        <f t="shared" ca="1" si="76"/>
        <v>2.9178642626258569E-3</v>
      </c>
      <c r="T67" s="667">
        <f t="shared" ca="1" si="64"/>
        <v>0</v>
      </c>
      <c r="U67" s="545">
        <f t="shared" ca="1" si="77"/>
        <v>0</v>
      </c>
      <c r="W67" s="654">
        <v>12</v>
      </c>
      <c r="X67" s="655" t="str">
        <f t="shared" si="70"/>
        <v>Mexico</v>
      </c>
      <c r="Y67" s="656">
        <f t="shared" ca="1" si="65"/>
        <v>77.673844365526151</v>
      </c>
      <c r="Z67" s="1115">
        <f t="shared" ca="1" si="71"/>
        <v>14</v>
      </c>
      <c r="AA67" s="1116">
        <f ca="1">Y67+COUNTA($Y$56:Y67)*0.001</f>
        <v>77.685844365526151</v>
      </c>
      <c r="AD67" s="322">
        <v>12</v>
      </c>
      <c r="AE67" s="36" t="s">
        <v>229</v>
      </c>
      <c r="AF67" s="510">
        <f>SUMIF('06. BC BH THEO CUSTOMER-USD'!$F:$F,'07. Chart_QUỐC GIA'!$AE67,'06. BC BH THEO CUSTOMER-USD'!DG:DG)</f>
        <v>0</v>
      </c>
      <c r="AG67" s="510">
        <f>SUMIF('06. BC BH THEO CUSTOMER-USD'!$F:$F,'07. Chart_QUỐC GIA'!$AE67,'06. BC BH THEO CUSTOMER-USD'!DH:DH)</f>
        <v>0</v>
      </c>
      <c r="AH67" s="510">
        <f>SUMIF('06. BC BH THEO CUSTOMER-USD'!$F:$F,'07. Chart_QUỐC GIA'!$AE67,'06. BC BH THEO CUSTOMER-USD'!DI:DI)</f>
        <v>25953.633070866144</v>
      </c>
      <c r="AI67" s="510">
        <f>SUMIF('06. BC BH THEO CUSTOMER-USD'!$F:$F,'07. Chart_QUỐC GIA'!$AE67,'06. BC BH THEO CUSTOMER-USD'!DJ:DJ)</f>
        <v>0</v>
      </c>
      <c r="AJ67" s="510">
        <f>SUMIF('06. BC BH THEO CUSTOMER-USD'!$F:$F,'07. Chart_QUỐC GIA'!$AE67,'06. BC BH THEO CUSTOMER-USD'!DK:DK)</f>
        <v>0</v>
      </c>
      <c r="AK67" s="510">
        <f>SUMIF('06. BC BH THEO CUSTOMER-USD'!$F:$F,'07. Chart_QUỐC GIA'!$AE67,'06. BC BH THEO CUSTOMER-USD'!DL:DL)</f>
        <v>25849.999999999996</v>
      </c>
      <c r="AL67" s="510">
        <f>SUMIF('06. BC BH THEO CUSTOMER-USD'!$F:$F,'07. Chart_QUỐC GIA'!$AE67,'06. BC BH THEO CUSTOMER-USD'!DM:DM)</f>
        <v>25870.211294660006</v>
      </c>
      <c r="AM67" s="510">
        <f>SUMIF('06. BC BH THEO CUSTOMER-USD'!$F:$F,'07. Chart_QUỐC GIA'!$AE67,'06. BC BH THEO CUSTOMER-USD'!DN:DN)</f>
        <v>0</v>
      </c>
      <c r="AN67" s="510">
        <f>SUMIF('06. BC BH THEO CUSTOMER-USD'!$F:$F,'07. Chart_QUỐC GIA'!$AE67,'06. BC BH THEO CUSTOMER-USD'!DO:DO)</f>
        <v>25920</v>
      </c>
      <c r="AO67" s="510">
        <f>SUMIF('06. BC BH THEO CUSTOMER-USD'!$F:$F,'07. Chart_QUỐC GIA'!$AE67,'06. BC BH THEO CUSTOMER-USD'!DP:DP)</f>
        <v>0</v>
      </c>
      <c r="AP67" s="510">
        <f>SUMIF('06. BC BH THEO CUSTOMER-USD'!$F:$F,'07. Chart_QUỐC GIA'!$AE67,'06. BC BH THEO CUSTOMER-USD'!DQ:DQ)</f>
        <v>0</v>
      </c>
      <c r="AQ67" s="510">
        <f>SUMIF('06. BC BH THEO CUSTOMER-USD'!$F:$F,'07. Chart_QUỐC GIA'!$AE67,'06. BC BH THEO CUSTOMER-USD'!DR:DR)</f>
        <v>0</v>
      </c>
      <c r="AR67" s="681">
        <f t="shared" si="72"/>
        <v>103593.84436552615</v>
      </c>
      <c r="AS67" s="346">
        <f t="shared" ca="1" si="73"/>
        <v>77673.844365526151</v>
      </c>
      <c r="AT67" s="624"/>
      <c r="AV67" s="346">
        <v>0</v>
      </c>
      <c r="AW67" s="346">
        <v>262760.81632653059</v>
      </c>
      <c r="AX67" s="346">
        <v>262403.22580645164</v>
      </c>
      <c r="AY67" s="346">
        <v>0</v>
      </c>
      <c r="AZ67" s="346">
        <v>266376</v>
      </c>
      <c r="BA67" s="346">
        <v>58936.667985753862</v>
      </c>
      <c r="BB67" s="346">
        <v>59124.364794902423</v>
      </c>
      <c r="BC67" s="346">
        <v>27689.194658033186</v>
      </c>
      <c r="BD67" s="346">
        <v>0</v>
      </c>
      <c r="BE67" s="346">
        <v>0</v>
      </c>
      <c r="BF67" s="346">
        <v>0</v>
      </c>
      <c r="BG67" s="346">
        <v>26379.122182680905</v>
      </c>
      <c r="BH67" s="621">
        <f t="shared" si="74"/>
        <v>963669.3917543526</v>
      </c>
      <c r="BI67" s="637">
        <f t="shared" ca="1" si="75"/>
        <v>937290.26957167173</v>
      </c>
    </row>
    <row r="68" spans="2:61" ht="15.5" hidden="1" outlineLevel="1" x14ac:dyDescent="0.35">
      <c r="B68" s="665">
        <v>13</v>
      </c>
      <c r="C68" s="666">
        <f t="shared" si="66"/>
        <v>0</v>
      </c>
      <c r="D68" s="667">
        <f t="shared" si="58"/>
        <v>0</v>
      </c>
      <c r="E68" s="545">
        <f t="shared" si="67"/>
        <v>0</v>
      </c>
      <c r="F68" s="667">
        <f t="shared" si="59"/>
        <v>0</v>
      </c>
      <c r="G68" s="545">
        <f t="shared" si="68"/>
        <v>0</v>
      </c>
      <c r="I68" s="654">
        <v>13</v>
      </c>
      <c r="J68" s="655" t="str">
        <f t="shared" si="69"/>
        <v>Nhật</v>
      </c>
      <c r="K68" s="656">
        <f t="shared" si="60"/>
        <v>0</v>
      </c>
      <c r="L68" s="657" t="str">
        <f t="shared" si="61"/>
        <v>-</v>
      </c>
      <c r="M68" s="1114">
        <f>K68+COUNTA($K$56:K68)*0.001</f>
        <v>1.3000000000000001E-2</v>
      </c>
      <c r="P68" s="665">
        <v>13</v>
      </c>
      <c r="Q68" s="666" t="str">
        <f t="shared" ca="1" si="62"/>
        <v>Australia</v>
      </c>
      <c r="R68" s="667">
        <f t="shared" ca="1" si="63"/>
        <v>114.70888540102818</v>
      </c>
      <c r="S68" s="545">
        <f t="shared" ca="1" si="76"/>
        <v>2.628218407352903E-3</v>
      </c>
      <c r="T68" s="667">
        <f t="shared" ca="1" si="64"/>
        <v>111.48097612903226</v>
      </c>
      <c r="U68" s="545">
        <f t="shared" ca="1" si="77"/>
        <v>4.1237084047672816E-3</v>
      </c>
      <c r="W68" s="654">
        <v>13</v>
      </c>
      <c r="X68" s="655" t="str">
        <f t="shared" si="70"/>
        <v>Nhật</v>
      </c>
      <c r="Y68" s="656">
        <f t="shared" ca="1" si="65"/>
        <v>270.04483781008383</v>
      </c>
      <c r="Z68" s="1115">
        <f t="shared" ca="1" si="71"/>
        <v>8</v>
      </c>
      <c r="AA68" s="1116">
        <f ca="1">Y68+COUNTA($Y$56:Y68)*0.001</f>
        <v>270.05783781008381</v>
      </c>
      <c r="AD68" s="322">
        <v>13</v>
      </c>
      <c r="AE68" s="31" t="s">
        <v>251</v>
      </c>
      <c r="AF68" s="510">
        <f>SUMIF('06. BC BH THEO CUSTOMER-USD'!$F:$F,'07. Chart_QUỐC GIA'!$AE68,'06. BC BH THEO CUSTOMER-USD'!DG:DG)</f>
        <v>1608.6429144921719</v>
      </c>
      <c r="AG68" s="510">
        <f>SUMIF('06. BC BH THEO CUSTOMER-USD'!$F:$F,'07. Chart_QUỐC GIA'!$AE68,'06. BC BH THEO CUSTOMER-USD'!DH:DH)</f>
        <v>0</v>
      </c>
      <c r="AH68" s="510">
        <f>SUMIF('06. BC BH THEO CUSTOMER-USD'!$F:$F,'07. Chart_QUỐC GIA'!$AE68,'06. BC BH THEO CUSTOMER-USD'!DI:DI)</f>
        <v>0</v>
      </c>
      <c r="AI68" s="510">
        <f>SUMIF('06. BC BH THEO CUSTOMER-USD'!$F:$F,'07. Chart_QUỐC GIA'!$AE68,'06. BC BH THEO CUSTOMER-USD'!DJ:DJ)</f>
        <v>134400</v>
      </c>
      <c r="AJ68" s="510">
        <f>SUMIF('06. BC BH THEO CUSTOMER-USD'!$F:$F,'07. Chart_QUỐC GIA'!$AE68,'06. BC BH THEO CUSTOMER-USD'!DK:DK)</f>
        <v>134036.19489559165</v>
      </c>
      <c r="AK68" s="510">
        <f>SUMIF('06. BC BH THEO CUSTOMER-USD'!$F:$F,'07. Chart_QUỐC GIA'!$AE68,'06. BC BH THEO CUSTOMER-USD'!DL:DL)</f>
        <v>0</v>
      </c>
      <c r="AL68" s="510">
        <f>SUMIF('06. BC BH THEO CUSTOMER-USD'!$F:$F,'07. Chart_QUỐC GIA'!$AE68,'06. BC BH THEO CUSTOMER-USD'!DM:DM)</f>
        <v>0</v>
      </c>
      <c r="AM68" s="510">
        <f>SUMIF('06. BC BH THEO CUSTOMER-USD'!$F:$F,'07. Chart_QUỐC GIA'!$AE68,'06. BC BH THEO CUSTOMER-USD'!DN:DN)</f>
        <v>0</v>
      </c>
      <c r="AN68" s="510">
        <f>SUMIF('06. BC BH THEO CUSTOMER-USD'!$F:$F,'07. Chart_QUỐC GIA'!$AE68,'06. BC BH THEO CUSTOMER-USD'!DO:DO)</f>
        <v>0</v>
      </c>
      <c r="AO68" s="510">
        <f>SUMIF('06. BC BH THEO CUSTOMER-USD'!$F:$F,'07. Chart_QUỐC GIA'!$AE68,'06. BC BH THEO CUSTOMER-USD'!DP:DP)</f>
        <v>0</v>
      </c>
      <c r="AP68" s="510">
        <f>SUMIF('06. BC BH THEO CUSTOMER-USD'!$F:$F,'07. Chart_QUỐC GIA'!$AE68,'06. BC BH THEO CUSTOMER-USD'!DQ:DQ)</f>
        <v>0</v>
      </c>
      <c r="AQ68" s="510">
        <f>SUMIF('06. BC BH THEO CUSTOMER-USD'!$F:$F,'07. Chart_QUỐC GIA'!$AE68,'06. BC BH THEO CUSTOMER-USD'!DR:DR)</f>
        <v>0</v>
      </c>
      <c r="AR68" s="681">
        <f t="shared" si="72"/>
        <v>270044.83781008382</v>
      </c>
      <c r="AS68" s="346">
        <f t="shared" ca="1" si="73"/>
        <v>270044.83781008382</v>
      </c>
      <c r="AT68" s="624"/>
      <c r="AV68" s="346">
        <v>0</v>
      </c>
      <c r="AW68" s="346">
        <v>0</v>
      </c>
      <c r="AX68" s="346">
        <v>0</v>
      </c>
      <c r="AY68" s="346">
        <v>1339.1612903225805</v>
      </c>
      <c r="AZ68" s="346">
        <v>0</v>
      </c>
      <c r="BA68" s="346">
        <v>0</v>
      </c>
      <c r="BB68" s="346">
        <v>1320.5256869772998</v>
      </c>
      <c r="BC68" s="346">
        <v>0</v>
      </c>
      <c r="BD68" s="346">
        <v>5475.2556237218805</v>
      </c>
      <c r="BE68" s="346">
        <v>0</v>
      </c>
      <c r="BF68" s="346">
        <v>0</v>
      </c>
      <c r="BG68" s="346">
        <v>0</v>
      </c>
      <c r="BH68" s="621">
        <f t="shared" si="74"/>
        <v>8134.9426010217612</v>
      </c>
      <c r="BI68" s="637">
        <f t="shared" ca="1" si="75"/>
        <v>2659.6869772998803</v>
      </c>
    </row>
    <row r="69" spans="2:61" ht="15.5" hidden="1" outlineLevel="1" x14ac:dyDescent="0.35">
      <c r="B69" s="665">
        <v>14</v>
      </c>
      <c r="C69" s="666">
        <f t="shared" si="66"/>
        <v>0</v>
      </c>
      <c r="D69" s="667">
        <f t="shared" si="58"/>
        <v>0</v>
      </c>
      <c r="E69" s="545">
        <f t="shared" si="67"/>
        <v>0</v>
      </c>
      <c r="F69" s="667">
        <f t="shared" si="59"/>
        <v>0</v>
      </c>
      <c r="G69" s="545">
        <f t="shared" si="68"/>
        <v>0</v>
      </c>
      <c r="I69" s="654">
        <v>14</v>
      </c>
      <c r="J69" s="655" t="str">
        <f t="shared" si="69"/>
        <v>Phần Lan</v>
      </c>
      <c r="K69" s="656">
        <f t="shared" si="60"/>
        <v>0</v>
      </c>
      <c r="L69" s="657" t="str">
        <f t="shared" si="61"/>
        <v>-</v>
      </c>
      <c r="M69" s="1114">
        <f>K69+COUNTA($K$56:K69)*0.001</f>
        <v>1.4E-2</v>
      </c>
      <c r="P69" s="665">
        <v>14</v>
      </c>
      <c r="Q69" s="666" t="str">
        <f t="shared" ca="1" si="62"/>
        <v>Mexico</v>
      </c>
      <c r="R69" s="667">
        <f t="shared" ca="1" si="63"/>
        <v>77.673844365526151</v>
      </c>
      <c r="S69" s="545">
        <f t="shared" ca="1" si="76"/>
        <v>1.7796688270280286E-3</v>
      </c>
      <c r="T69" s="667">
        <f t="shared" ca="1" si="64"/>
        <v>937.29026957167173</v>
      </c>
      <c r="U69" s="545">
        <f t="shared" ca="1" si="77"/>
        <v>3.467059489922001E-2</v>
      </c>
      <c r="W69" s="654">
        <v>14</v>
      </c>
      <c r="X69" s="655" t="str">
        <f t="shared" si="70"/>
        <v>Phần Lan</v>
      </c>
      <c r="Y69" s="656">
        <f t="shared" ca="1" si="65"/>
        <v>0</v>
      </c>
      <c r="Z69" s="1115" t="str">
        <f t="shared" ca="1" si="71"/>
        <v>-</v>
      </c>
      <c r="AA69" s="1116">
        <f ca="1">Y69+COUNTA($Y$56:Y69)*0.001</f>
        <v>1.4E-2</v>
      </c>
      <c r="AD69" s="322">
        <v>14</v>
      </c>
      <c r="AE69" s="31" t="s">
        <v>255</v>
      </c>
      <c r="AF69" s="510">
        <f>SUMIF('06. BC BH THEO CUSTOMER-USD'!$F:$F,'07. Chart_QUỐC GIA'!$AE69,'06. BC BH THEO CUSTOMER-USD'!DG:DG)</f>
        <v>0</v>
      </c>
      <c r="AG69" s="510">
        <f>SUMIF('06. BC BH THEO CUSTOMER-USD'!$F:$F,'07. Chart_QUỐC GIA'!$AE69,'06. BC BH THEO CUSTOMER-USD'!DH:DH)</f>
        <v>0</v>
      </c>
      <c r="AH69" s="510">
        <f>SUMIF('06. BC BH THEO CUSTOMER-USD'!$F:$F,'07. Chart_QUỐC GIA'!$AE69,'06. BC BH THEO CUSTOMER-USD'!DI:DI)</f>
        <v>0</v>
      </c>
      <c r="AI69" s="510">
        <f>SUMIF('06. BC BH THEO CUSTOMER-USD'!$F:$F,'07. Chart_QUỐC GIA'!$AE69,'06. BC BH THEO CUSTOMER-USD'!DJ:DJ)</f>
        <v>0</v>
      </c>
      <c r="AJ69" s="510">
        <f>SUMIF('06. BC BH THEO CUSTOMER-USD'!$F:$F,'07. Chart_QUỐC GIA'!$AE69,'06. BC BH THEO CUSTOMER-USD'!DK:DK)</f>
        <v>0</v>
      </c>
      <c r="AK69" s="510">
        <f>SUMIF('06. BC BH THEO CUSTOMER-USD'!$F:$F,'07. Chart_QUỐC GIA'!$AE69,'06. BC BH THEO CUSTOMER-USD'!DL:DL)</f>
        <v>0</v>
      </c>
      <c r="AL69" s="510">
        <f>SUMIF('06. BC BH THEO CUSTOMER-USD'!$F:$F,'07. Chart_QUỐC GIA'!$AE69,'06. BC BH THEO CUSTOMER-USD'!DM:DM)</f>
        <v>0</v>
      </c>
      <c r="AM69" s="510">
        <f>SUMIF('06. BC BH THEO CUSTOMER-USD'!$F:$F,'07. Chart_QUỐC GIA'!$AE69,'06. BC BH THEO CUSTOMER-USD'!DN:DN)</f>
        <v>0</v>
      </c>
      <c r="AN69" s="510">
        <f>SUMIF('06. BC BH THEO CUSTOMER-USD'!$F:$F,'07. Chart_QUỐC GIA'!$AE69,'06. BC BH THEO CUSTOMER-USD'!DO:DO)</f>
        <v>0</v>
      </c>
      <c r="AO69" s="510">
        <f>SUMIF('06. BC BH THEO CUSTOMER-USD'!$F:$F,'07. Chart_QUỐC GIA'!$AE69,'06. BC BH THEO CUSTOMER-USD'!DP:DP)</f>
        <v>0</v>
      </c>
      <c r="AP69" s="510">
        <f>SUMIF('06. BC BH THEO CUSTOMER-USD'!$F:$F,'07. Chart_QUỐC GIA'!$AE69,'06. BC BH THEO CUSTOMER-USD'!DQ:DQ)</f>
        <v>0</v>
      </c>
      <c r="AQ69" s="510">
        <f>SUMIF('06. BC BH THEO CUSTOMER-USD'!$F:$F,'07. Chart_QUỐC GIA'!$AE69,'06. BC BH THEO CUSTOMER-USD'!DR:DR)</f>
        <v>0</v>
      </c>
      <c r="AR69" s="681">
        <f t="shared" si="72"/>
        <v>0</v>
      </c>
      <c r="AS69" s="346">
        <f t="shared" ca="1" si="73"/>
        <v>0</v>
      </c>
      <c r="AT69" s="624"/>
      <c r="AV69" s="346">
        <v>0</v>
      </c>
      <c r="AW69" s="346">
        <v>0</v>
      </c>
      <c r="AX69" s="346">
        <v>0</v>
      </c>
      <c r="AY69" s="346">
        <v>0</v>
      </c>
      <c r="AZ69" s="346">
        <v>0</v>
      </c>
      <c r="BA69" s="346">
        <v>0</v>
      </c>
      <c r="BB69" s="346">
        <v>0</v>
      </c>
      <c r="BC69" s="346">
        <v>0</v>
      </c>
      <c r="BD69" s="346">
        <v>0</v>
      </c>
      <c r="BE69" s="346">
        <v>0</v>
      </c>
      <c r="BF69" s="346">
        <v>0</v>
      </c>
      <c r="BG69" s="346">
        <v>0</v>
      </c>
      <c r="BH69" s="621">
        <f t="shared" si="74"/>
        <v>0</v>
      </c>
      <c r="BI69" s="637">
        <f t="shared" ca="1" si="75"/>
        <v>0</v>
      </c>
    </row>
    <row r="70" spans="2:61" ht="15.5" hidden="1" outlineLevel="1" x14ac:dyDescent="0.35">
      <c r="B70" s="665">
        <v>15</v>
      </c>
      <c r="C70" s="666">
        <f t="shared" si="66"/>
        <v>0</v>
      </c>
      <c r="D70" s="667">
        <f t="shared" si="58"/>
        <v>0</v>
      </c>
      <c r="E70" s="545">
        <f t="shared" si="67"/>
        <v>0</v>
      </c>
      <c r="F70" s="667">
        <f t="shared" si="59"/>
        <v>0</v>
      </c>
      <c r="G70" s="545">
        <f t="shared" si="68"/>
        <v>0</v>
      </c>
      <c r="I70" s="654">
        <v>15</v>
      </c>
      <c r="J70" s="655" t="str">
        <f t="shared" si="69"/>
        <v>Singapore</v>
      </c>
      <c r="K70" s="656">
        <f t="shared" si="60"/>
        <v>0</v>
      </c>
      <c r="L70" s="657" t="str">
        <f t="shared" si="61"/>
        <v>-</v>
      </c>
      <c r="M70" s="1114">
        <f>K70+COUNTA($K$56:K70)*0.001</f>
        <v>1.4999999999999999E-2</v>
      </c>
      <c r="P70" s="665">
        <v>15</v>
      </c>
      <c r="Q70" s="666" t="str">
        <f t="shared" ca="1" si="62"/>
        <v>Pháp</v>
      </c>
      <c r="R70" s="667">
        <f t="shared" ca="1" si="63"/>
        <v>74.625800992795149</v>
      </c>
      <c r="S70" s="545">
        <f t="shared" ca="1" si="76"/>
        <v>1.7098318334018152E-3</v>
      </c>
      <c r="T70" s="667">
        <f t="shared" ca="1" si="64"/>
        <v>0</v>
      </c>
      <c r="U70" s="545">
        <f t="shared" ca="1" si="77"/>
        <v>0</v>
      </c>
      <c r="W70" s="654">
        <v>15</v>
      </c>
      <c r="X70" s="655" t="str">
        <f t="shared" si="70"/>
        <v>Singapore</v>
      </c>
      <c r="Y70" s="656">
        <f t="shared" ca="1" si="65"/>
        <v>248.52568503937007</v>
      </c>
      <c r="Z70" s="1115">
        <f t="shared" ca="1" si="71"/>
        <v>10</v>
      </c>
      <c r="AA70" s="1116">
        <f ca="1">Y70+COUNTA($Y$56:Y70)*0.001</f>
        <v>248.54068503937006</v>
      </c>
      <c r="AD70" s="322">
        <v>15</v>
      </c>
      <c r="AE70" s="12" t="s">
        <v>248</v>
      </c>
      <c r="AF70" s="510">
        <f>SUMIF('06. BC BH THEO CUSTOMER-USD'!$F:$F,'07. Chart_QUỐC GIA'!$AE70,'06. BC BH THEO CUSTOMER-USD'!DG:DG)</f>
        <v>0</v>
      </c>
      <c r="AG70" s="510">
        <f>SUMIF('06. BC BH THEO CUSTOMER-USD'!$F:$F,'07. Chart_QUỐC GIA'!$AE70,'06. BC BH THEO CUSTOMER-USD'!DH:DH)</f>
        <v>0</v>
      </c>
      <c r="AH70" s="510">
        <f>SUMIF('06. BC BH THEO CUSTOMER-USD'!$F:$F,'07. Chart_QUỐC GIA'!$AE70,'06. BC BH THEO CUSTOMER-USD'!DI:DI)</f>
        <v>248525.68503937009</v>
      </c>
      <c r="AI70" s="510">
        <f>SUMIF('06. BC BH THEO CUSTOMER-USD'!$F:$F,'07. Chart_QUỐC GIA'!$AE70,'06. BC BH THEO CUSTOMER-USD'!DJ:DJ)</f>
        <v>0</v>
      </c>
      <c r="AJ70" s="510">
        <f>SUMIF('06. BC BH THEO CUSTOMER-USD'!$F:$F,'07. Chart_QUỐC GIA'!$AE70,'06. BC BH THEO CUSTOMER-USD'!DK:DK)</f>
        <v>0</v>
      </c>
      <c r="AK70" s="510">
        <f>SUMIF('06. BC BH THEO CUSTOMER-USD'!$F:$F,'07. Chart_QUỐC GIA'!$AE70,'06. BC BH THEO CUSTOMER-USD'!DL:DL)</f>
        <v>0</v>
      </c>
      <c r="AL70" s="510">
        <f>SUMIF('06. BC BH THEO CUSTOMER-USD'!$F:$F,'07. Chart_QUỐC GIA'!$AE70,'06. BC BH THEO CUSTOMER-USD'!DM:DM)</f>
        <v>0</v>
      </c>
      <c r="AM70" s="510">
        <f>SUMIF('06. BC BH THEO CUSTOMER-USD'!$F:$F,'07. Chart_QUỐC GIA'!$AE70,'06. BC BH THEO CUSTOMER-USD'!DN:DN)</f>
        <v>0</v>
      </c>
      <c r="AN70" s="510">
        <f>SUMIF('06. BC BH THEO CUSTOMER-USD'!$F:$F,'07. Chart_QUỐC GIA'!$AE70,'06. BC BH THEO CUSTOMER-USD'!DO:DO)</f>
        <v>0</v>
      </c>
      <c r="AO70" s="510">
        <f>SUMIF('06. BC BH THEO CUSTOMER-USD'!$F:$F,'07. Chart_QUỐC GIA'!$AE70,'06. BC BH THEO CUSTOMER-USD'!DP:DP)</f>
        <v>0</v>
      </c>
      <c r="AP70" s="510">
        <f>SUMIF('06. BC BH THEO CUSTOMER-USD'!$F:$F,'07. Chart_QUỐC GIA'!$AE70,'06. BC BH THEO CUSTOMER-USD'!DQ:DQ)</f>
        <v>0</v>
      </c>
      <c r="AQ70" s="510">
        <f>SUMIF('06. BC BH THEO CUSTOMER-USD'!$F:$F,'07. Chart_QUỐC GIA'!$AE70,'06. BC BH THEO CUSTOMER-USD'!DR:DR)</f>
        <v>0</v>
      </c>
      <c r="AR70" s="681">
        <f t="shared" si="72"/>
        <v>248525.68503937009</v>
      </c>
      <c r="AS70" s="346">
        <f t="shared" ca="1" si="73"/>
        <v>248525.68503937009</v>
      </c>
      <c r="AT70" s="624"/>
      <c r="AV70" s="346">
        <v>0</v>
      </c>
      <c r="AW70" s="346">
        <v>0</v>
      </c>
      <c r="AX70" s="346">
        <v>195206.78431451612</v>
      </c>
      <c r="AY70" s="346">
        <v>488599.59677419352</v>
      </c>
      <c r="AZ70" s="346">
        <v>363632.72</v>
      </c>
      <c r="BA70" s="346">
        <v>0</v>
      </c>
      <c r="BB70" s="346">
        <v>0</v>
      </c>
      <c r="BC70" s="346">
        <v>0</v>
      </c>
      <c r="BD70" s="346">
        <v>0</v>
      </c>
      <c r="BE70" s="346">
        <v>0</v>
      </c>
      <c r="BF70" s="346">
        <v>0</v>
      </c>
      <c r="BG70" s="346">
        <v>0</v>
      </c>
      <c r="BH70" s="621">
        <f t="shared" si="74"/>
        <v>1047439.1010887097</v>
      </c>
      <c r="BI70" s="637">
        <f t="shared" ca="1" si="75"/>
        <v>1047439.1010887097</v>
      </c>
    </row>
    <row r="71" spans="2:61" ht="15.5" hidden="1" outlineLevel="1" x14ac:dyDescent="0.35">
      <c r="B71" s="665">
        <v>16</v>
      </c>
      <c r="C71" s="666">
        <f t="shared" si="66"/>
        <v>0</v>
      </c>
      <c r="D71" s="667">
        <f t="shared" si="58"/>
        <v>0</v>
      </c>
      <c r="E71" s="545">
        <f t="shared" si="67"/>
        <v>0</v>
      </c>
      <c r="F71" s="667">
        <f t="shared" si="59"/>
        <v>0</v>
      </c>
      <c r="G71" s="545">
        <f t="shared" si="68"/>
        <v>0</v>
      </c>
      <c r="I71" s="654">
        <v>16</v>
      </c>
      <c r="J71" s="655" t="str">
        <f t="shared" si="69"/>
        <v>Thụy Sĩ</v>
      </c>
      <c r="K71" s="656">
        <f t="shared" si="60"/>
        <v>0</v>
      </c>
      <c r="L71" s="657" t="str">
        <f t="shared" si="61"/>
        <v>-</v>
      </c>
      <c r="M71" s="1114">
        <f>K71+COUNTA($K$56:K71)*0.001</f>
        <v>1.6E-2</v>
      </c>
      <c r="P71" s="665">
        <v>16</v>
      </c>
      <c r="Q71" s="666" t="str">
        <f t="shared" ca="1" si="62"/>
        <v>Italy</v>
      </c>
      <c r="R71" s="667">
        <f t="shared" ca="1" si="63"/>
        <v>54.512583694367862</v>
      </c>
      <c r="S71" s="545">
        <f t="shared" ca="1" si="76"/>
        <v>1.2489963214010894E-3</v>
      </c>
      <c r="T71" s="667">
        <f t="shared" ca="1" si="64"/>
        <v>0</v>
      </c>
      <c r="U71" s="545">
        <f t="shared" ca="1" si="77"/>
        <v>0</v>
      </c>
      <c r="W71" s="654">
        <v>16</v>
      </c>
      <c r="X71" s="655" t="str">
        <f t="shared" si="70"/>
        <v>Thụy Sĩ</v>
      </c>
      <c r="Y71" s="656">
        <f t="shared" ca="1" si="65"/>
        <v>541.11087532329873</v>
      </c>
      <c r="Z71" s="1115">
        <f t="shared" ca="1" si="71"/>
        <v>5</v>
      </c>
      <c r="AA71" s="1116">
        <f ca="1">Y71+COUNTA($Y$56:Y71)*0.001</f>
        <v>541.12687532329869</v>
      </c>
      <c r="AD71" s="322">
        <v>16</v>
      </c>
      <c r="AE71" s="31" t="s">
        <v>733</v>
      </c>
      <c r="AF71" s="510">
        <f>SUMIF('06. BC BH THEO CUSTOMER-USD'!$F:$F,'07. Chart_QUỐC GIA'!$AE71,'06. BC BH THEO CUSTOMER-USD'!DG:DG)</f>
        <v>0</v>
      </c>
      <c r="AG71" s="510">
        <f>SUMIF('06. BC BH THEO CUSTOMER-USD'!$F:$F,'07. Chart_QUỐC GIA'!$AE71,'06. BC BH THEO CUSTOMER-USD'!DH:DH)</f>
        <v>452599.96061441512</v>
      </c>
      <c r="AH71" s="510">
        <f>SUMIF('06. BC BH THEO CUSTOMER-USD'!$F:$F,'07. Chart_QUỐC GIA'!$AE71,'06. BC BH THEO CUSTOMER-USD'!DI:DI)</f>
        <v>0</v>
      </c>
      <c r="AI71" s="510">
        <f>SUMIF('06. BC BH THEO CUSTOMER-USD'!$F:$F,'07. Chart_QUỐC GIA'!$AE71,'06. BC BH THEO CUSTOMER-USD'!DJ:DJ)</f>
        <v>27907.549361207901</v>
      </c>
      <c r="AJ71" s="510">
        <f>SUMIF('06. BC BH THEO CUSTOMER-USD'!$F:$F,'07. Chart_QUỐC GIA'!$AE71,'06. BC BH THEO CUSTOMER-USD'!DK:DK)</f>
        <v>0</v>
      </c>
      <c r="AK71" s="510">
        <f>SUMIF('06. BC BH THEO CUSTOMER-USD'!$F:$F,'07. Chart_QUỐC GIA'!$AE71,'06. BC BH THEO CUSTOMER-USD'!DL:DL)</f>
        <v>0</v>
      </c>
      <c r="AL71" s="510">
        <f>SUMIF('06. BC BH THEO CUSTOMER-USD'!$F:$F,'07. Chart_QUỐC GIA'!$AE71,'06. BC BH THEO CUSTOMER-USD'!DM:DM)</f>
        <v>60603.365347675761</v>
      </c>
      <c r="AM71" s="510">
        <f>SUMIF('06. BC BH THEO CUSTOMER-USD'!$F:$F,'07. Chart_QUỐC GIA'!$AE71,'06. BC BH THEO CUSTOMER-USD'!DN:DN)</f>
        <v>0</v>
      </c>
      <c r="AN71" s="510">
        <f>SUMIF('06. BC BH THEO CUSTOMER-USD'!$F:$F,'07. Chart_QUỐC GIA'!$AE71,'06. BC BH THEO CUSTOMER-USD'!DO:DO)</f>
        <v>0</v>
      </c>
      <c r="AO71" s="510">
        <f>SUMIF('06. BC BH THEO CUSTOMER-USD'!$F:$F,'07. Chart_QUỐC GIA'!$AE71,'06. BC BH THEO CUSTOMER-USD'!DP:DP)</f>
        <v>0</v>
      </c>
      <c r="AP71" s="510">
        <f>SUMIF('06. BC BH THEO CUSTOMER-USD'!$F:$F,'07. Chart_QUỐC GIA'!$AE71,'06. BC BH THEO CUSTOMER-USD'!DQ:DQ)</f>
        <v>0</v>
      </c>
      <c r="AQ71" s="510">
        <f>SUMIF('06. BC BH THEO CUSTOMER-USD'!$F:$F,'07. Chart_QUỐC GIA'!$AE71,'06. BC BH THEO CUSTOMER-USD'!DR:DR)</f>
        <v>0</v>
      </c>
      <c r="AR71" s="681">
        <f>SUM(AF71:AQ71)</f>
        <v>541110.87532329874</v>
      </c>
      <c r="AS71" s="346">
        <f t="shared" ca="1" si="73"/>
        <v>541110.87532329874</v>
      </c>
      <c r="AT71" s="624"/>
      <c r="AV71" s="346">
        <v>0</v>
      </c>
      <c r="AW71" s="346">
        <v>0</v>
      </c>
      <c r="AX71" s="346">
        <v>0</v>
      </c>
      <c r="AY71" s="346">
        <v>0</v>
      </c>
      <c r="AZ71" s="346">
        <v>29985.120000000003</v>
      </c>
      <c r="BA71" s="346">
        <v>0</v>
      </c>
      <c r="BB71" s="346">
        <v>0</v>
      </c>
      <c r="BC71" s="346">
        <v>0</v>
      </c>
      <c r="BD71" s="346">
        <v>127860.94069529652</v>
      </c>
      <c r="BE71" s="346">
        <v>0</v>
      </c>
      <c r="BF71" s="346">
        <v>0</v>
      </c>
      <c r="BG71" s="346">
        <v>0</v>
      </c>
      <c r="BH71" s="621">
        <f t="shared" si="74"/>
        <v>157846.06069529653</v>
      </c>
      <c r="BI71" s="637">
        <f t="shared" ca="1" si="75"/>
        <v>29985.120000000003</v>
      </c>
    </row>
    <row r="72" spans="2:61" ht="15.5" hidden="1" outlineLevel="1" x14ac:dyDescent="0.35">
      <c r="B72" s="665">
        <v>17</v>
      </c>
      <c r="C72" s="666">
        <f t="shared" si="66"/>
        <v>0</v>
      </c>
      <c r="D72" s="667">
        <f t="shared" si="58"/>
        <v>0</v>
      </c>
      <c r="E72" s="545">
        <f t="shared" ref="E72:E74" si="78">D72/$D$54</f>
        <v>0</v>
      </c>
      <c r="F72" s="667">
        <f t="shared" si="59"/>
        <v>0</v>
      </c>
      <c r="G72" s="545">
        <f t="shared" ref="G72:G74" si="79">F72/$F$54</f>
        <v>0</v>
      </c>
      <c r="I72" s="654">
        <v>17</v>
      </c>
      <c r="J72" s="655" t="str">
        <f t="shared" ref="J72:J74" si="80">AE72</f>
        <v>Canada</v>
      </c>
      <c r="K72" s="656">
        <f t="shared" si="60"/>
        <v>0</v>
      </c>
      <c r="L72" s="657" t="str">
        <f t="shared" si="61"/>
        <v>-</v>
      </c>
      <c r="M72" s="1114">
        <f>K72+COUNTA($K$56:K72)*0.001</f>
        <v>1.7000000000000001E-2</v>
      </c>
      <c r="P72" s="665">
        <v>17</v>
      </c>
      <c r="Q72" s="666" t="str">
        <f t="shared" ref="Q72:Q74" ca="1" si="81">_xlfn.XLOOKUP(P72,$Z$56:$Z$75,$X$56:$X$75,0)</f>
        <v>Canada</v>
      </c>
      <c r="R72" s="667">
        <f t="shared" ref="R72:R74" ca="1" si="82">_xlfn.XLOOKUP(Q72,$AE$56:$AE$75,$AS$56:$AS$75,0)/10^3</f>
        <v>27.266094954640465</v>
      </c>
      <c r="S72" s="545">
        <f t="shared" ref="S72:S74" ca="1" si="83">R72/$R$54</f>
        <v>6.2472277021859938E-4</v>
      </c>
      <c r="T72" s="667">
        <f t="shared" ref="T72:T74" ca="1" si="84">_xlfn.XLOOKUP(Q72,$AE$56:$AE$75,$BI$56:$BI$75,0)/10^3</f>
        <v>0</v>
      </c>
      <c r="U72" s="545">
        <f t="shared" ref="U72:U74" ca="1" si="85">T72/$T$54</f>
        <v>0</v>
      </c>
      <c r="W72" s="654">
        <v>17</v>
      </c>
      <c r="X72" s="655" t="str">
        <f t="shared" ref="X72:X74" si="86">AE72</f>
        <v>Canada</v>
      </c>
      <c r="Y72" s="656">
        <f t="shared" ref="Y72:Y74" ca="1" si="87">_xlfn.XLOOKUP(X72,$AE$56:$AE$75,$AS$56:$AS$75,0)/10^3</f>
        <v>27.266094954640465</v>
      </c>
      <c r="Z72" s="1115">
        <f t="shared" ca="1" si="71"/>
        <v>17</v>
      </c>
      <c r="AA72" s="1116">
        <f ca="1">Y72+COUNTA($Y$56:Y72)*0.001</f>
        <v>27.283094954640465</v>
      </c>
      <c r="AD72" s="322">
        <v>17</v>
      </c>
      <c r="AE72" s="1038" t="s">
        <v>667</v>
      </c>
      <c r="AF72" s="510">
        <f>SUMIF('06. BC BH THEO CUSTOMER-USD'!$F:$F,'07. Chart_QUỐC GIA'!$AE72,'06. BC BH THEO CUSTOMER-USD'!DG:DG)</f>
        <v>0</v>
      </c>
      <c r="AG72" s="510">
        <f>SUMIF('06. BC BH THEO CUSTOMER-USD'!$F:$F,'07. Chart_QUỐC GIA'!$AE72,'06. BC BH THEO CUSTOMER-USD'!DH:DH)</f>
        <v>0</v>
      </c>
      <c r="AH72" s="510">
        <f>SUMIF('06. BC BH THEO CUSTOMER-USD'!$F:$F,'07. Chart_QUỐC GIA'!$AE72,'06. BC BH THEO CUSTOMER-USD'!DI:DI)</f>
        <v>1301.0661417322833</v>
      </c>
      <c r="AI72" s="510">
        <f>SUMIF('06. BC BH THEO CUSTOMER-USD'!$F:$F,'07. Chart_QUỐC GIA'!$AE72,'06. BC BH THEO CUSTOMER-USD'!DJ:DJ)</f>
        <v>0</v>
      </c>
      <c r="AJ72" s="510">
        <f>SUMIF('06. BC BH THEO CUSTOMER-USD'!$F:$F,'07. Chart_QUỐC GIA'!$AE72,'06. BC BH THEO CUSTOMER-USD'!DK:DK)</f>
        <v>0</v>
      </c>
      <c r="AK72" s="510">
        <f>SUMIF('06. BC BH THEO CUSTOMER-USD'!$F:$F,'07. Chart_QUỐC GIA'!$AE72,'06. BC BH THEO CUSTOMER-USD'!DL:DL)</f>
        <v>0</v>
      </c>
      <c r="AL72" s="510">
        <f>SUMIF('06. BC BH THEO CUSTOMER-USD'!$F:$F,'07. Chart_QUỐC GIA'!$AE72,'06. BC BH THEO CUSTOMER-USD'!DM:DM)</f>
        <v>25965.028812908182</v>
      </c>
      <c r="AM72" s="510">
        <f>SUMIF('06. BC BH THEO CUSTOMER-USD'!$F:$F,'07. Chart_QUỐC GIA'!$AE72,'06. BC BH THEO CUSTOMER-USD'!DN:DN)</f>
        <v>0</v>
      </c>
      <c r="AN72" s="510">
        <f>SUMIF('06. BC BH THEO CUSTOMER-USD'!$F:$F,'07. Chart_QUỐC GIA'!$AE72,'06. BC BH THEO CUSTOMER-USD'!DO:DO)</f>
        <v>0</v>
      </c>
      <c r="AO72" s="510">
        <f>SUMIF('06. BC BH THEO CUSTOMER-USD'!$F:$F,'07. Chart_QUỐC GIA'!$AE72,'06. BC BH THEO CUSTOMER-USD'!DP:DP)</f>
        <v>0</v>
      </c>
      <c r="AP72" s="510">
        <f>SUMIF('06. BC BH THEO CUSTOMER-USD'!$F:$F,'07. Chart_QUỐC GIA'!$AE72,'06. BC BH THEO CUSTOMER-USD'!DQ:DQ)</f>
        <v>0</v>
      </c>
      <c r="AQ72" s="510">
        <f>SUMIF('06. BC BH THEO CUSTOMER-USD'!$F:$F,'07. Chart_QUỐC GIA'!$AE72,'06. BC BH THEO CUSTOMER-USD'!DR:DR)</f>
        <v>0</v>
      </c>
      <c r="AR72" s="681">
        <f t="shared" ref="AR72:AR74" si="88">SUM(AF72:AQ72)</f>
        <v>27266.094954640466</v>
      </c>
      <c r="AS72" s="346">
        <f t="shared" ref="AS72:AS74" ca="1" si="89">IFERROR(SUM(OFFSET(AF72:AQ72,0,0,1,$AS$54)),"-")</f>
        <v>27266.094954640466</v>
      </c>
      <c r="AT72" s="624"/>
      <c r="AV72" s="433"/>
      <c r="AW72" s="433"/>
      <c r="AX72" s="433"/>
      <c r="AY72" s="433"/>
      <c r="AZ72" s="433"/>
      <c r="BA72" s="433"/>
      <c r="BB72" s="433"/>
      <c r="BC72" s="433"/>
      <c r="BD72" s="433"/>
      <c r="BE72" s="433"/>
      <c r="BF72" s="433"/>
      <c r="BG72" s="433"/>
      <c r="BH72" s="1039"/>
      <c r="BI72" s="916"/>
    </row>
    <row r="73" spans="2:61" ht="15.5" hidden="1" outlineLevel="1" x14ac:dyDescent="0.35">
      <c r="B73" s="665">
        <v>18</v>
      </c>
      <c r="C73" s="666">
        <f t="shared" si="66"/>
        <v>0</v>
      </c>
      <c r="D73" s="667">
        <f t="shared" si="58"/>
        <v>0</v>
      </c>
      <c r="E73" s="545">
        <f t="shared" si="78"/>
        <v>0</v>
      </c>
      <c r="F73" s="667">
        <f t="shared" si="59"/>
        <v>0</v>
      </c>
      <c r="G73" s="545">
        <f t="shared" si="79"/>
        <v>0</v>
      </c>
      <c r="I73" s="654">
        <v>18</v>
      </c>
      <c r="J73" s="655" t="str">
        <f t="shared" si="80"/>
        <v>Luxembourg</v>
      </c>
      <c r="K73" s="656">
        <f t="shared" si="60"/>
        <v>144.63900000000001</v>
      </c>
      <c r="L73" s="657">
        <f t="shared" si="61"/>
        <v>5</v>
      </c>
      <c r="M73" s="1114">
        <f>K73+COUNTA($K$56:K73)*0.001</f>
        <v>144.65700000000001</v>
      </c>
      <c r="P73" s="665">
        <v>18</v>
      </c>
      <c r="Q73" s="666">
        <f t="shared" ca="1" si="81"/>
        <v>0</v>
      </c>
      <c r="R73" s="667">
        <f t="shared" ca="1" si="82"/>
        <v>0</v>
      </c>
      <c r="S73" s="545">
        <f t="shared" ca="1" si="83"/>
        <v>0</v>
      </c>
      <c r="T73" s="667">
        <f t="shared" ca="1" si="84"/>
        <v>0</v>
      </c>
      <c r="U73" s="545">
        <f t="shared" ca="1" si="85"/>
        <v>0</v>
      </c>
      <c r="W73" s="654">
        <v>18</v>
      </c>
      <c r="X73" s="655" t="str">
        <f t="shared" si="86"/>
        <v>Luxembourg</v>
      </c>
      <c r="Y73" s="656">
        <f t="shared" ca="1" si="87"/>
        <v>1659.9365964377726</v>
      </c>
      <c r="Z73" s="1115">
        <f t="shared" ca="1" si="71"/>
        <v>4</v>
      </c>
      <c r="AA73" s="1116">
        <f ca="1">Y73+COUNTA($Y$56:Y73)*0.001</f>
        <v>1659.9545964377726</v>
      </c>
      <c r="AD73" s="322">
        <v>18</v>
      </c>
      <c r="AE73" s="1038" t="s">
        <v>671</v>
      </c>
      <c r="AF73" s="510">
        <f>SUMIF('06. BC BH THEO CUSTOMER-USD'!$F:$F,'07. Chart_QUỐC GIA'!$AE73,'06. BC BH THEO CUSTOMER-USD'!DG:DG)</f>
        <v>0</v>
      </c>
      <c r="AG73" s="510">
        <f>SUMIF('06. BC BH THEO CUSTOMER-USD'!$F:$F,'07. Chart_QUỐC GIA'!$AE73,'06. BC BH THEO CUSTOMER-USD'!DH:DH)</f>
        <v>597339.04371799924</v>
      </c>
      <c r="AH73" s="510">
        <f>SUMIF('06. BC BH THEO CUSTOMER-USD'!$F:$F,'07. Chart_QUỐC GIA'!$AE73,'06. BC BH THEO CUSTOMER-USD'!DI:DI)</f>
        <v>242649</v>
      </c>
      <c r="AI73" s="510">
        <f>SUMIF('06. BC BH THEO CUSTOMER-USD'!$F:$F,'07. Chart_QUỐC GIA'!$AE73,'06. BC BH THEO CUSTOMER-USD'!DJ:DJ)</f>
        <v>155894.44444444444</v>
      </c>
      <c r="AJ73" s="510">
        <f>SUMIF('06. BC BH THEO CUSTOMER-USD'!$F:$F,'07. Chart_QUỐC GIA'!$AE73,'06. BC BH THEO CUSTOMER-USD'!DK:DK)</f>
        <v>519415.10827532876</v>
      </c>
      <c r="AK73" s="510">
        <f>SUMIF('06. BC BH THEO CUSTOMER-USD'!$F:$F,'07. Chart_QUỐC GIA'!$AE73,'06. BC BH THEO CUSTOMER-USD'!DL:DL)</f>
        <v>0</v>
      </c>
      <c r="AL73" s="510">
        <f>SUMIF('06. BC BH THEO CUSTOMER-USD'!$F:$F,'07. Chart_QUỐC GIA'!$AE73,'06. BC BH THEO CUSTOMER-USD'!DM:DM)</f>
        <v>0</v>
      </c>
      <c r="AM73" s="510">
        <f>SUMIF('06. BC BH THEO CUSTOMER-USD'!$F:$F,'07. Chart_QUỐC GIA'!$AE73,'06. BC BH THEO CUSTOMER-USD'!DN:DN)</f>
        <v>144639</v>
      </c>
      <c r="AN73" s="510">
        <f>SUMIF('06. BC BH THEO CUSTOMER-USD'!$F:$F,'07. Chart_QUỐC GIA'!$AE73,'06. BC BH THEO CUSTOMER-USD'!DO:DO)</f>
        <v>0</v>
      </c>
      <c r="AO73" s="510">
        <f>SUMIF('06. BC BH THEO CUSTOMER-USD'!$F:$F,'07. Chart_QUỐC GIA'!$AE73,'06. BC BH THEO CUSTOMER-USD'!DP:DP)</f>
        <v>0</v>
      </c>
      <c r="AP73" s="510">
        <f>SUMIF('06. BC BH THEO CUSTOMER-USD'!$F:$F,'07. Chart_QUỐC GIA'!$AE73,'06. BC BH THEO CUSTOMER-USD'!DQ:DQ)</f>
        <v>0</v>
      </c>
      <c r="AQ73" s="510">
        <f>SUMIF('06. BC BH THEO CUSTOMER-USD'!$F:$F,'07. Chart_QUỐC GIA'!$AE73,'06. BC BH THEO CUSTOMER-USD'!DR:DR)</f>
        <v>0</v>
      </c>
      <c r="AR73" s="681">
        <f t="shared" si="88"/>
        <v>1659936.5964377725</v>
      </c>
      <c r="AS73" s="346">
        <f t="shared" ca="1" si="89"/>
        <v>1659936.5964377725</v>
      </c>
      <c r="AT73" s="624"/>
      <c r="AV73" s="433"/>
      <c r="AW73" s="433"/>
      <c r="AX73" s="433"/>
      <c r="AY73" s="433"/>
      <c r="AZ73" s="433"/>
      <c r="BA73" s="433"/>
      <c r="BB73" s="433"/>
      <c r="BC73" s="433"/>
      <c r="BD73" s="433"/>
      <c r="BE73" s="433"/>
      <c r="BF73" s="433"/>
      <c r="BG73" s="433"/>
      <c r="BH73" s="1039"/>
      <c r="BI73" s="916"/>
    </row>
    <row r="74" spans="2:61" ht="15.5" hidden="1" outlineLevel="1" x14ac:dyDescent="0.35">
      <c r="B74" s="665">
        <v>19</v>
      </c>
      <c r="C74" s="666">
        <f t="shared" si="66"/>
        <v>0</v>
      </c>
      <c r="D74" s="667">
        <f t="shared" si="58"/>
        <v>0</v>
      </c>
      <c r="E74" s="545">
        <f t="shared" si="78"/>
        <v>0</v>
      </c>
      <c r="F74" s="667">
        <f t="shared" si="59"/>
        <v>0</v>
      </c>
      <c r="G74" s="545">
        <f t="shared" si="79"/>
        <v>0</v>
      </c>
      <c r="I74" s="654">
        <v>19</v>
      </c>
      <c r="J74" s="655" t="str">
        <f t="shared" si="80"/>
        <v>Pháp</v>
      </c>
      <c r="K74" s="656">
        <f t="shared" si="60"/>
        <v>0</v>
      </c>
      <c r="L74" s="657" t="str">
        <f t="shared" si="61"/>
        <v>-</v>
      </c>
      <c r="M74" s="1114">
        <f>K74+COUNTA($K$56:K74)*0.001</f>
        <v>1.9E-2</v>
      </c>
      <c r="P74" s="665">
        <v>19</v>
      </c>
      <c r="Q74" s="666">
        <f t="shared" ca="1" si="81"/>
        <v>0</v>
      </c>
      <c r="R74" s="667">
        <f t="shared" ca="1" si="82"/>
        <v>0</v>
      </c>
      <c r="S74" s="545">
        <f t="shared" ca="1" si="83"/>
        <v>0</v>
      </c>
      <c r="T74" s="667">
        <f t="shared" ca="1" si="84"/>
        <v>0</v>
      </c>
      <c r="U74" s="545">
        <f t="shared" ca="1" si="85"/>
        <v>0</v>
      </c>
      <c r="W74" s="654">
        <v>19</v>
      </c>
      <c r="X74" s="655" t="str">
        <f t="shared" si="86"/>
        <v>Pháp</v>
      </c>
      <c r="Y74" s="656">
        <f t="shared" ca="1" si="87"/>
        <v>74.625800992795149</v>
      </c>
      <c r="Z74" s="1115">
        <f t="shared" ca="1" si="71"/>
        <v>15</v>
      </c>
      <c r="AA74" s="1116">
        <f ca="1">Y74+COUNTA($Y$56:Y74)*0.001</f>
        <v>74.644800992795155</v>
      </c>
      <c r="AD74" s="322">
        <v>19</v>
      </c>
      <c r="AE74" s="1038" t="s">
        <v>734</v>
      </c>
      <c r="AF74" s="510">
        <f>SUMIF('06. BC BH THEO CUSTOMER-USD'!$F:$F,'07. Chart_QUỐC GIA'!$AE74,'06. BC BH THEO CUSTOMER-USD'!DG:DG)</f>
        <v>0</v>
      </c>
      <c r="AG74" s="510">
        <f>SUMIF('06. BC BH THEO CUSTOMER-USD'!$F:$F,'07. Chart_QUỐC GIA'!$AE74,'06. BC BH THEO CUSTOMER-USD'!DH:DH)</f>
        <v>24161.874753840093</v>
      </c>
      <c r="AH74" s="510">
        <f>SUMIF('06. BC BH THEO CUSTOMER-USD'!$F:$F,'07. Chart_QUỐC GIA'!$AE74,'06. BC BH THEO CUSTOMER-USD'!DI:DI)</f>
        <v>0</v>
      </c>
      <c r="AI74" s="510">
        <f>SUMIF('06. BC BH THEO CUSTOMER-USD'!$F:$F,'07. Chart_QUỐC GIA'!$AE74,'06. BC BH THEO CUSTOMER-USD'!DJ:DJ)</f>
        <v>0</v>
      </c>
      <c r="AJ74" s="510">
        <f>SUMIF('06. BC BH THEO CUSTOMER-USD'!$F:$F,'07. Chart_QUỐC GIA'!$AE74,'06. BC BH THEO CUSTOMER-USD'!DK:DK)</f>
        <v>0</v>
      </c>
      <c r="AK74" s="510">
        <f>SUMIF('06. BC BH THEO CUSTOMER-USD'!$F:$F,'07. Chart_QUỐC GIA'!$AE74,'06. BC BH THEO CUSTOMER-USD'!DL:DL)</f>
        <v>0</v>
      </c>
      <c r="AL74" s="510">
        <f>SUMIF('06. BC BH THEO CUSTOMER-USD'!$F:$F,'07. Chart_QUỐC GIA'!$AE74,'06. BC BH THEO CUSTOMER-USD'!DM:DM)</f>
        <v>50463.926238955049</v>
      </c>
      <c r="AM74" s="510">
        <f>SUMIF('06. BC BH THEO CUSTOMER-USD'!$F:$F,'07. Chart_QUỐC GIA'!$AE74,'06. BC BH THEO CUSTOMER-USD'!DN:DN)</f>
        <v>0</v>
      </c>
      <c r="AN74" s="510">
        <f>SUMIF('06. BC BH THEO CUSTOMER-USD'!$F:$F,'07. Chart_QUỐC GIA'!$AE74,'06. BC BH THEO CUSTOMER-USD'!DO:DO)</f>
        <v>0</v>
      </c>
      <c r="AO74" s="510">
        <f>SUMIF('06. BC BH THEO CUSTOMER-USD'!$F:$F,'07. Chart_QUỐC GIA'!$AE74,'06. BC BH THEO CUSTOMER-USD'!DP:DP)</f>
        <v>0</v>
      </c>
      <c r="AP74" s="510">
        <f>SUMIF('06. BC BH THEO CUSTOMER-USD'!$F:$F,'07. Chart_QUỐC GIA'!$AE74,'06. BC BH THEO CUSTOMER-USD'!DQ:DQ)</f>
        <v>0</v>
      </c>
      <c r="AQ74" s="510">
        <f>SUMIF('06. BC BH THEO CUSTOMER-USD'!$F:$F,'07. Chart_QUỐC GIA'!$AE74,'06. BC BH THEO CUSTOMER-USD'!DR:DR)</f>
        <v>0</v>
      </c>
      <c r="AR74" s="681">
        <f t="shared" si="88"/>
        <v>74625.80099279515</v>
      </c>
      <c r="AS74" s="346">
        <f t="shared" ca="1" si="89"/>
        <v>74625.80099279515</v>
      </c>
      <c r="AT74" s="624"/>
      <c r="AV74" s="433"/>
      <c r="AW74" s="433"/>
      <c r="AX74" s="433"/>
      <c r="AY74" s="433"/>
      <c r="AZ74" s="433"/>
      <c r="BA74" s="433"/>
      <c r="BB74" s="433"/>
      <c r="BC74" s="433"/>
      <c r="BD74" s="433"/>
      <c r="BE74" s="433"/>
      <c r="BF74" s="433"/>
      <c r="BG74" s="433"/>
      <c r="BH74" s="1039"/>
      <c r="BI74" s="916"/>
    </row>
    <row r="75" spans="2:61" ht="15.5" hidden="1" outlineLevel="1" x14ac:dyDescent="0.35">
      <c r="B75" s="669"/>
      <c r="C75" s="670"/>
      <c r="D75" s="671">
        <f t="shared" si="58"/>
        <v>0</v>
      </c>
      <c r="E75" s="546">
        <f t="shared" si="67"/>
        <v>0</v>
      </c>
      <c r="F75" s="671">
        <f t="shared" si="59"/>
        <v>0</v>
      </c>
      <c r="G75" s="546">
        <f t="shared" si="68"/>
        <v>0</v>
      </c>
      <c r="I75" s="658"/>
      <c r="J75" s="659"/>
      <c r="K75" s="659"/>
      <c r="L75" s="657" t="str">
        <f t="shared" si="61"/>
        <v>-</v>
      </c>
      <c r="M75" s="1114">
        <f>K75+COUNTA($K$56:K75)*0.001</f>
        <v>1.9E-2</v>
      </c>
      <c r="P75" s="669"/>
      <c r="Q75" s="670"/>
      <c r="R75" s="671">
        <f ca="1">_xlfn.XLOOKUP(Q75,$AE$56:$AE$75,$AS$56:$AS$75,0)/10^3</f>
        <v>0</v>
      </c>
      <c r="S75" s="546">
        <f t="shared" ca="1" si="76"/>
        <v>0</v>
      </c>
      <c r="T75" s="671">
        <f ca="1">_xlfn.XLOOKUP(Q75,$AE$56:$AE$75,$BI$56:$BI$75,0)/10^3</f>
        <v>0</v>
      </c>
      <c r="U75" s="545">
        <f t="shared" ca="1" si="77"/>
        <v>0</v>
      </c>
      <c r="W75" s="658"/>
      <c r="X75" s="659"/>
      <c r="Y75" s="692">
        <f ca="1">_xlfn.XLOOKUP(X75,$AE$56:$AE$75,$AS$56:$AS$75,0)/10^3</f>
        <v>0</v>
      </c>
      <c r="Z75" s="660" t="str">
        <f ca="1">IF(Y75&lt;&gt;0,_xlfn.RANK.EQ(Y75,$Y$56:$Y$75),"-")</f>
        <v>-</v>
      </c>
      <c r="AA75" s="1112"/>
      <c r="AD75" s="352"/>
      <c r="AE75" s="619"/>
      <c r="AF75" s="515"/>
      <c r="AG75" s="515"/>
      <c r="AH75" s="515"/>
      <c r="AI75" s="515"/>
      <c r="AJ75" s="515"/>
      <c r="AK75" s="515"/>
      <c r="AL75" s="515"/>
      <c r="AM75" s="515"/>
      <c r="AN75" s="515"/>
      <c r="AO75" s="515"/>
      <c r="AP75" s="515"/>
      <c r="AQ75" s="515"/>
      <c r="AR75" s="682"/>
      <c r="AS75" s="406">
        <f t="shared" ca="1" si="73"/>
        <v>0</v>
      </c>
      <c r="AT75" s="628"/>
      <c r="AV75" s="406"/>
      <c r="AW75" s="406"/>
      <c r="AX75" s="406"/>
      <c r="AY75" s="406"/>
      <c r="AZ75" s="406"/>
      <c r="BA75" s="406"/>
      <c r="BB75" s="406"/>
      <c r="BC75" s="406"/>
      <c r="BD75" s="406"/>
      <c r="BE75" s="406"/>
      <c r="BF75" s="406"/>
      <c r="BG75" s="406"/>
      <c r="BH75" s="622">
        <f t="shared" si="74"/>
        <v>0</v>
      </c>
      <c r="BI75" s="638">
        <f t="shared" ca="1" si="75"/>
        <v>0</v>
      </c>
    </row>
    <row r="76" spans="2:61" collapsed="1" x14ac:dyDescent="0.35"/>
    <row r="77" spans="2:61" ht="21" x14ac:dyDescent="0.5">
      <c r="C77" s="738" t="str">
        <f>"DOANH THU THEO QUỐC GIA T"&amp;D3&amp;"/25"</f>
        <v>DOANH THU THEO QUỐC GIA T8/25</v>
      </c>
      <c r="R77" s="739" t="str">
        <f>"LŨY KẾ DOANH THU THEO QUỐC GIA T"&amp;D3&amp;"/25"</f>
        <v>LŨY KẾ DOANH THU THEO QUỐC GIA T8/25</v>
      </c>
    </row>
    <row r="101" spans="2:61" ht="17.5" x14ac:dyDescent="0.35">
      <c r="B101" s="740">
        <v>3</v>
      </c>
      <c r="C101" s="740" t="s">
        <v>680</v>
      </c>
      <c r="AD101" s="122">
        <v>3</v>
      </c>
      <c r="AE101" s="122" t="s">
        <v>668</v>
      </c>
    </row>
    <row r="102" spans="2:61" ht="15.5" hidden="1" outlineLevel="1" x14ac:dyDescent="0.35">
      <c r="D102" s="645">
        <f>SUM(D104:D123)</f>
        <v>635.58402734346259</v>
      </c>
      <c r="E102" s="647">
        <f>SUM(E104:E123)</f>
        <v>0.99999999999999989</v>
      </c>
      <c r="F102" s="645">
        <f>SUM(F104:F123)</f>
        <v>521.37851886325814</v>
      </c>
      <c r="G102" s="647">
        <f>SUM(G104:G123)</f>
        <v>1</v>
      </c>
      <c r="K102" s="617">
        <f t="shared" ref="K102" si="90">SUM(K104:K123)</f>
        <v>635.58402734346248</v>
      </c>
      <c r="R102" s="645">
        <f ca="1">SUM(R104:R123)</f>
        <v>6182.5605167663016</v>
      </c>
      <c r="S102" s="647">
        <f ca="1">SUM(S104:S123)</f>
        <v>1</v>
      </c>
      <c r="T102" s="645">
        <f ca="1">SUM(T104:T123)</f>
        <v>4247.4928677492326</v>
      </c>
      <c r="U102" s="647">
        <f ca="1">SUM(U104:U123)</f>
        <v>0.42778894538708273</v>
      </c>
      <c r="Y102" s="617">
        <f t="shared" ref="Y102" ca="1" si="91">SUM(Y104:Y123)</f>
        <v>6182.5605167663016</v>
      </c>
      <c r="AF102" s="617">
        <f>SUM(AF104:AF118)</f>
        <v>726334.05849056598</v>
      </c>
      <c r="AG102" s="617">
        <f t="shared" ref="AG102:AR102" si="92">SUM(AG104:AG118)</f>
        <v>1203561.0830671161</v>
      </c>
      <c r="AH102" s="617">
        <f t="shared" si="92"/>
        <v>871159.04754833016</v>
      </c>
      <c r="AI102" s="617">
        <f t="shared" si="92"/>
        <v>688945.02677764872</v>
      </c>
      <c r="AJ102" s="617">
        <f t="shared" si="92"/>
        <v>785151.81612385751</v>
      </c>
      <c r="AK102" s="617">
        <f t="shared" si="92"/>
        <v>496681.44016203703</v>
      </c>
      <c r="AL102" s="617">
        <f t="shared" si="92"/>
        <v>352560.91858988197</v>
      </c>
      <c r="AM102" s="617">
        <f t="shared" si="92"/>
        <v>609785.64048326388</v>
      </c>
      <c r="AN102" s="617">
        <f t="shared" si="92"/>
        <v>116031.6512044025</v>
      </c>
      <c r="AO102" s="617">
        <f t="shared" si="92"/>
        <v>0</v>
      </c>
      <c r="AP102" s="617">
        <f t="shared" si="92"/>
        <v>0</v>
      </c>
      <c r="AQ102" s="617">
        <f t="shared" si="92"/>
        <v>0</v>
      </c>
      <c r="AR102" s="617">
        <f t="shared" si="92"/>
        <v>5850210.6824471029</v>
      </c>
      <c r="AS102" s="683">
        <f>$D$3</f>
        <v>8</v>
      </c>
      <c r="AT102" s="623"/>
      <c r="AV102" s="617">
        <f t="shared" ref="AV102:BH102" si="93">SUM(AV104:AV123)</f>
        <v>656979.4317959185</v>
      </c>
      <c r="AW102" s="617">
        <f t="shared" si="93"/>
        <v>557101.75481632655</v>
      </c>
      <c r="AX102" s="617">
        <f t="shared" si="93"/>
        <v>595216.00547056471</v>
      </c>
      <c r="AY102" s="617">
        <f t="shared" si="93"/>
        <v>730088.62420161278</v>
      </c>
      <c r="AZ102" s="617">
        <f t="shared" si="93"/>
        <v>545748.32167999982</v>
      </c>
      <c r="BA102" s="617">
        <f t="shared" si="93"/>
        <v>381524.50749974354</v>
      </c>
      <c r="BB102" s="617">
        <f t="shared" si="93"/>
        <v>228199.21186778185</v>
      </c>
      <c r="BC102" s="617">
        <f t="shared" si="93"/>
        <v>552635.01041728491</v>
      </c>
      <c r="BD102" s="617">
        <f t="shared" si="93"/>
        <v>657403.45613421174</v>
      </c>
      <c r="BE102" s="617">
        <f t="shared" si="93"/>
        <v>575372.04596013227</v>
      </c>
      <c r="BF102" s="617">
        <f t="shared" si="93"/>
        <v>579513.46837720077</v>
      </c>
      <c r="BG102" s="617">
        <f t="shared" si="93"/>
        <v>722958.1448793991</v>
      </c>
      <c r="BH102" s="617">
        <f t="shared" si="93"/>
        <v>6782739.9831001768</v>
      </c>
      <c r="BI102" s="627">
        <f>$BI$5</f>
        <v>8</v>
      </c>
    </row>
    <row r="103" spans="2:61" ht="15" hidden="1" outlineLevel="1" x14ac:dyDescent="0.35">
      <c r="B103" s="616" t="s">
        <v>673</v>
      </c>
      <c r="C103" s="616" t="s">
        <v>172</v>
      </c>
      <c r="D103" s="646">
        <v>2025</v>
      </c>
      <c r="E103" s="616" t="s">
        <v>674</v>
      </c>
      <c r="F103" s="646">
        <v>2024</v>
      </c>
      <c r="G103" s="616" t="s">
        <v>675</v>
      </c>
      <c r="I103" s="616" t="s">
        <v>174</v>
      </c>
      <c r="J103" s="616" t="s">
        <v>172</v>
      </c>
      <c r="K103" s="616" t="s">
        <v>371</v>
      </c>
      <c r="L103" s="616" t="s">
        <v>673</v>
      </c>
      <c r="M103" s="1111"/>
      <c r="P103" s="648" t="s">
        <v>673</v>
      </c>
      <c r="Q103" s="648" t="s">
        <v>172</v>
      </c>
      <c r="R103" s="649">
        <v>2025</v>
      </c>
      <c r="S103" s="648" t="s">
        <v>674</v>
      </c>
      <c r="T103" s="649">
        <v>2024</v>
      </c>
      <c r="U103" s="648" t="s">
        <v>675</v>
      </c>
      <c r="W103" s="648" t="s">
        <v>174</v>
      </c>
      <c r="X103" s="648" t="s">
        <v>172</v>
      </c>
      <c r="Y103" s="648" t="s">
        <v>371</v>
      </c>
      <c r="Z103" s="648" t="s">
        <v>673</v>
      </c>
      <c r="AA103" s="1118"/>
      <c r="AD103" s="616" t="s">
        <v>174</v>
      </c>
      <c r="AE103" s="616" t="s">
        <v>172</v>
      </c>
      <c r="AF103" s="443">
        <v>1</v>
      </c>
      <c r="AG103" s="616">
        <v>2</v>
      </c>
      <c r="AH103" s="616">
        <v>3</v>
      </c>
      <c r="AI103" s="616">
        <v>4</v>
      </c>
      <c r="AJ103" s="616">
        <v>5</v>
      </c>
      <c r="AK103" s="616">
        <v>6</v>
      </c>
      <c r="AL103" s="616">
        <v>7</v>
      </c>
      <c r="AM103" s="616">
        <v>8</v>
      </c>
      <c r="AN103" s="616">
        <v>9</v>
      </c>
      <c r="AO103" s="616">
        <v>10</v>
      </c>
      <c r="AP103" s="616">
        <v>11</v>
      </c>
      <c r="AQ103" s="616">
        <v>12</v>
      </c>
      <c r="AR103" s="616">
        <v>2025</v>
      </c>
      <c r="AS103" s="679" t="s">
        <v>409</v>
      </c>
      <c r="AT103" s="684"/>
      <c r="AV103" s="625">
        <v>1</v>
      </c>
      <c r="AW103" s="626">
        <v>2</v>
      </c>
      <c r="AX103" s="626">
        <v>3</v>
      </c>
      <c r="AY103" s="626">
        <v>4</v>
      </c>
      <c r="AZ103" s="626">
        <v>5</v>
      </c>
      <c r="BA103" s="626">
        <v>6</v>
      </c>
      <c r="BB103" s="626">
        <v>7</v>
      </c>
      <c r="BC103" s="626">
        <v>8</v>
      </c>
      <c r="BD103" s="626">
        <v>9</v>
      </c>
      <c r="BE103" s="626">
        <v>10</v>
      </c>
      <c r="BF103" s="626">
        <v>11</v>
      </c>
      <c r="BG103" s="626">
        <v>12</v>
      </c>
      <c r="BH103" s="626">
        <v>2024</v>
      </c>
      <c r="BI103" s="626" t="s">
        <v>410</v>
      </c>
    </row>
    <row r="104" spans="2:61" ht="15.5" hidden="1" outlineLevel="1" x14ac:dyDescent="0.35">
      <c r="B104" s="661">
        <v>1</v>
      </c>
      <c r="C104" s="662" t="str">
        <f t="shared" ref="C104:C119" si="94">_xlfn.XLOOKUP(B104,$L$104:$L$123,$J$104:$J$123,0)</f>
        <v>Bồ Đào Nha</v>
      </c>
      <c r="D104" s="663">
        <f t="shared" ref="D104:D123" si="95">IFERROR(INDEX($AF$104:$AQ$123,MATCH(C104,$AE$104:$AE$123,0),MATCH($D$3,$AF$103:$AQ$103,0)),0)/10^3</f>
        <v>200.53388433919019</v>
      </c>
      <c r="E104" s="664">
        <f>D104/$D$102</f>
        <v>0.31551120813617284</v>
      </c>
      <c r="F104" s="663">
        <f t="shared" ref="F104:F122" si="96">IFERROR(INDEX($AV$104:$BG$123,MATCH(C104,$AE$104:$AE$123,0),MATCH($D$3,$AV$103:$BG$103,0)),0)/10^3</f>
        <v>168.55893808174832</v>
      </c>
      <c r="G104" s="664">
        <f>F104/$F$102</f>
        <v>0.32329475032698124</v>
      </c>
      <c r="I104" s="650">
        <v>1</v>
      </c>
      <c r="J104" s="651" t="str">
        <f>AE104</f>
        <v>VN</v>
      </c>
      <c r="K104" s="652">
        <f t="shared" ref="K104:K122" si="97">INDEX($AF$104:$AQ$123,MATCH(J104,$AE$104:$AE$123,0),MATCH($D$3,$AF$103:$AQ$103,0))/10^3</f>
        <v>195.18260984919218</v>
      </c>
      <c r="L104" s="657">
        <f t="shared" ref="L104:L123" si="98">IF(K104&lt;&gt;0,RANK(M104,$M$104:$M$123),"-")</f>
        <v>2</v>
      </c>
      <c r="M104" s="1114">
        <f>K104+COUNTA($K$104:K104)*0.001</f>
        <v>195.18360984919218</v>
      </c>
      <c r="P104" s="661">
        <v>1</v>
      </c>
      <c r="Q104" s="662" t="str">
        <f t="shared" ref="Q104:Q123" ca="1" si="99">_xlfn.XLOOKUP(P104,$Z$104:$Z$123,$X$104:$X$123,0)</f>
        <v>Mỹ</v>
      </c>
      <c r="R104" s="667">
        <f t="shared" ref="R104:R119" ca="1" si="100">_xlfn.XLOOKUP(Q104,$AE$104:$AE$123,$AS$104:$AS$123,0)/10^3</f>
        <v>2374.466989313054</v>
      </c>
      <c r="S104" s="664">
        <f ca="1">R104/$R$102</f>
        <v>0.38405883498815868</v>
      </c>
      <c r="T104" s="663">
        <f t="shared" ref="T104:T119" ca="1" si="101">_xlfn.XLOOKUP(Q104,$AE$104:$AE$123,$BI$104:$BI$123,0)/10^3</f>
        <v>1363.9860290686734</v>
      </c>
      <c r="U104" s="664">
        <f ca="1">T104/$T$102</f>
        <v>0.32112732652838011</v>
      </c>
      <c r="W104" s="650">
        <v>1</v>
      </c>
      <c r="X104" s="651" t="str">
        <f>AE104</f>
        <v>VN</v>
      </c>
      <c r="Y104" s="656">
        <f t="shared" ref="Y104:Y119" ca="1" si="102">_xlfn.XLOOKUP(X104,$AE$104:$AE$123,$AS$104:$AS$123,0)/10^3</f>
        <v>1701.1635834727704</v>
      </c>
      <c r="Z104" s="1115">
        <f ca="1">IF(Y104&lt;&gt;0,RANK(AA104,$AA$104:$AA$123),"-")</f>
        <v>2</v>
      </c>
      <c r="AA104" s="1116">
        <f ca="1">Y104+COUNTA($Y$104:Y104)*0.001</f>
        <v>1701.1645834727703</v>
      </c>
      <c r="AD104" s="320">
        <v>1</v>
      </c>
      <c r="AE104" s="618" t="s">
        <v>245</v>
      </c>
      <c r="AF104" s="451">
        <f>SUMIF('06. BC BH THEO CUSTOMER-USD'!$F:$F,'07. Chart_QUỐC GIA'!$AE104,'06. BC BH THEO CUSTOMER-USD'!DU:DU)</f>
        <v>269239.14335608186</v>
      </c>
      <c r="AG104" s="451">
        <f>SUMIF('06. BC BH THEO CUSTOMER-USD'!$F:$F,'07. Chart_QUỐC GIA'!$AE104,'06. BC BH THEO CUSTOMER-USD'!DV:DV)</f>
        <v>444530.18539086555</v>
      </c>
      <c r="AH104" s="451">
        <f>SUMIF('06. BC BH THEO CUSTOMER-USD'!$F:$F,'07. Chart_QUỐC GIA'!$AE104,'06. BC BH THEO CUSTOMER-USD'!DW:DW)</f>
        <v>249949.04809419671</v>
      </c>
      <c r="AI104" s="451">
        <f>SUMIF('06. BC BH THEO CUSTOMER-USD'!$F:$F,'07. Chart_QUỐC GIA'!$AE104,'06. BC BH THEO CUSTOMER-USD'!DX:DX)</f>
        <v>192500.56680862041</v>
      </c>
      <c r="AJ104" s="451">
        <f>SUMIF('06. BC BH THEO CUSTOMER-USD'!$F:$F,'07. Chart_QUỐC GIA'!$AE104,'06. BC BH THEO CUSTOMER-USD'!DY:DY)</f>
        <v>156628.81055541238</v>
      </c>
      <c r="AK104" s="451">
        <f>SUMIF('06. BC BH THEO CUSTOMER-USD'!$F:$F,'07. Chart_QUỐC GIA'!$AE104,'06. BC BH THEO CUSTOMER-USD'!DZ:DZ)</f>
        <v>192756.44151234557</v>
      </c>
      <c r="AL104" s="451">
        <f>SUMIF('06. BC BH THEO CUSTOMER-USD'!$F:$F,'07. Chart_QUỐC GIA'!$AE104,'06. BC BH THEO CUSTOMER-USD'!EA:EA)</f>
        <v>376.77790605564724</v>
      </c>
      <c r="AM104" s="451">
        <f>SUMIF('06. BC BH THEO CUSTOMER-USD'!$F:$F,'07. Chart_QUỐC GIA'!$AE104,'06. BC BH THEO CUSTOMER-USD'!EB:EB)</f>
        <v>195182.60984919217</v>
      </c>
      <c r="AN104" s="451">
        <f>SUMIF('06. BC BH THEO CUSTOMER-USD'!$F:$F,'07. Chart_QUỐC GIA'!$AE104,'06. BC BH THEO CUSTOMER-USD'!EC:EC)</f>
        <v>9066.0225583072752</v>
      </c>
      <c r="AO104" s="451">
        <f>SUMIF('06. BC BH THEO CUSTOMER-USD'!$F:$F,'07. Chart_QUỐC GIA'!$AE104,'06. BC BH THEO CUSTOMER-USD'!ED:ED)</f>
        <v>0</v>
      </c>
      <c r="AP104" s="451">
        <f>SUMIF('06. BC BH THEO CUSTOMER-USD'!$F:$F,'07. Chart_QUỐC GIA'!$AE104,'06. BC BH THEO CUSTOMER-USD'!EE:EE)</f>
        <v>0</v>
      </c>
      <c r="AQ104" s="451">
        <f>SUMIF('06. BC BH THEO CUSTOMER-USD'!$F:$F,'07. Chart_QUỐC GIA'!$AE104,'06. BC BH THEO CUSTOMER-USD'!EF:EF)</f>
        <v>0</v>
      </c>
      <c r="AR104" s="639">
        <f>SUM(AF104:AQ104)</f>
        <v>1710229.6060310777</v>
      </c>
      <c r="AS104" s="686">
        <f ca="1">IFERROR(SUM(OFFSET(AF104:AQ104,0,0,1,$AS$102)),"-")</f>
        <v>1701163.5834727704</v>
      </c>
      <c r="AT104" s="685"/>
      <c r="AV104" s="451">
        <v>334785.64869387774</v>
      </c>
      <c r="AW104" s="451">
        <v>337215.65265306126</v>
      </c>
      <c r="AX104" s="451">
        <v>311168.0939919356</v>
      </c>
      <c r="AY104" s="451">
        <v>240133.82556451616</v>
      </c>
      <c r="AZ104" s="451">
        <v>527858.65455999994</v>
      </c>
      <c r="BA104" s="451">
        <v>323038.86846062529</v>
      </c>
      <c r="BB104" s="451">
        <v>117151.17152528872</v>
      </c>
      <c r="BC104" s="451">
        <v>311255.86807410407</v>
      </c>
      <c r="BD104" s="451">
        <v>282868.16386427317</v>
      </c>
      <c r="BE104" s="451">
        <v>314202.4817483488</v>
      </c>
      <c r="BF104" s="451">
        <v>399705.13276511803</v>
      </c>
      <c r="BG104" s="451">
        <v>454881.97702649271</v>
      </c>
      <c r="BH104" s="639">
        <f>SUM(AV104:BG104)</f>
        <v>3954265.5389276422</v>
      </c>
      <c r="BI104" s="639">
        <f ca="1">IFERROR(SUM(OFFSET(AV104:BG104,0,0,1,$BI$102)),"-")</f>
        <v>2502607.7835234092</v>
      </c>
    </row>
    <row r="105" spans="2:61" hidden="1" outlineLevel="1" x14ac:dyDescent="0.35">
      <c r="B105" s="665">
        <v>2</v>
      </c>
      <c r="C105" s="666" t="str">
        <f t="shared" si="94"/>
        <v>VN</v>
      </c>
      <c r="D105" s="667">
        <f t="shared" si="95"/>
        <v>195.18260984919218</v>
      </c>
      <c r="E105" s="545">
        <f t="shared" ref="E105:E123" si="103">D105/$D$102</f>
        <v>0.30709174782914683</v>
      </c>
      <c r="F105" s="667">
        <f t="shared" si="96"/>
        <v>311.25586807410406</v>
      </c>
      <c r="G105" s="545">
        <f t="shared" ref="G105:G123" si="104">F105/$F$102</f>
        <v>0.59698636751035206</v>
      </c>
      <c r="I105" s="654">
        <v>2</v>
      </c>
      <c r="J105" s="655" t="str">
        <f t="shared" ref="J105:J119" si="105">AE105</f>
        <v>Mỹ</v>
      </c>
      <c r="K105" s="656">
        <f t="shared" si="97"/>
        <v>194.99860393430086</v>
      </c>
      <c r="L105" s="657">
        <f t="shared" si="98"/>
        <v>3</v>
      </c>
      <c r="M105" s="1114">
        <f>K105+COUNTA($K$104:K105)*0.001</f>
        <v>195.00060393430087</v>
      </c>
      <c r="P105" s="665">
        <v>2</v>
      </c>
      <c r="Q105" s="666" t="str">
        <f t="shared" ca="1" si="99"/>
        <v>VN</v>
      </c>
      <c r="R105" s="667">
        <f t="shared" ca="1" si="100"/>
        <v>1701.1635834727704</v>
      </c>
      <c r="S105" s="545">
        <f t="shared" ref="S105:S123" ca="1" si="106">R105/$R$102</f>
        <v>0.27515518511455495</v>
      </c>
      <c r="T105" s="667">
        <f t="shared" ca="1" si="101"/>
        <v>2502.6077835234091</v>
      </c>
      <c r="U105" s="545">
        <f ca="1">T105/$T$54</f>
        <v>9.2572070223055067E-2</v>
      </c>
      <c r="W105" s="654">
        <v>2</v>
      </c>
      <c r="X105" s="655" t="str">
        <f t="shared" ref="X105:X119" si="107">AE105</f>
        <v>Mỹ</v>
      </c>
      <c r="Y105" s="656">
        <f t="shared" ca="1" si="102"/>
        <v>2374.466989313054</v>
      </c>
      <c r="Z105" s="1115">
        <f t="shared" ref="Z105:Z123" ca="1" si="108">IF(Y105&lt;&gt;0,RANK(AA105,$AA$104:$AA$123),"-")</f>
        <v>1</v>
      </c>
      <c r="AA105" s="1116">
        <f ca="1">Y105+COUNTA($Y$104:Y105)*0.001</f>
        <v>2374.468989313054</v>
      </c>
      <c r="AD105" s="322">
        <v>2</v>
      </c>
      <c r="AE105" s="247" t="s">
        <v>175</v>
      </c>
      <c r="AF105" s="448">
        <f>SUMIF('06. BC BH THEO CUSTOMER-USD'!$F:$F,'07. Chart_QUỐC GIA'!$AE105,'06. BC BH THEO CUSTOMER-USD'!DU:DU)</f>
        <v>411631.53906061826</v>
      </c>
      <c r="AG105" s="448">
        <f>SUMIF('06. BC BH THEO CUSTOMER-USD'!$F:$F,'07. Chart_QUỐC GIA'!$AE105,'06. BC BH THEO CUSTOMER-USD'!DV:DV)</f>
        <v>494517.85565183137</v>
      </c>
      <c r="AH105" s="448">
        <f>SUMIF('06. BC BH THEO CUSTOMER-USD'!$F:$F,'07. Chart_QUỐC GIA'!$AE105,'06. BC BH THEO CUSTOMER-USD'!DW:DW)</f>
        <v>383914.76020216494</v>
      </c>
      <c r="AI105" s="448">
        <f>SUMIF('06. BC BH THEO CUSTOMER-USD'!$F:$F,'07. Chart_QUỐC GIA'!$AE105,'06. BC BH THEO CUSTOMER-USD'!DX:DX)</f>
        <v>209938.45392953922</v>
      </c>
      <c r="AJ105" s="448">
        <f>SUMIF('06. BC BH THEO CUSTOMER-USD'!$F:$F,'07. Chart_QUỐC GIA'!$AE105,'06. BC BH THEO CUSTOMER-USD'!DY:DY)</f>
        <v>384970.68043310114</v>
      </c>
      <c r="AK105" s="448">
        <f>SUMIF('06. BC BH THEO CUSTOMER-USD'!$F:$F,'07. Chart_QUỐC GIA'!$AE105,'06. BC BH THEO CUSTOMER-USD'!DZ:DZ)</f>
        <v>129395.60474537038</v>
      </c>
      <c r="AL105" s="448">
        <f>SUMIF('06. BC BH THEO CUSTOMER-USD'!$F:$F,'07. Chart_QUỐC GIA'!$AE105,'06. BC BH THEO CUSTOMER-USD'!EA:EA)</f>
        <v>165099.49135612743</v>
      </c>
      <c r="AM105" s="448">
        <f>SUMIF('06. BC BH THEO CUSTOMER-USD'!$F:$F,'07. Chart_QUỐC GIA'!$AE105,'06. BC BH THEO CUSTOMER-USD'!EB:EB)</f>
        <v>194998.60393430086</v>
      </c>
      <c r="AN105" s="448">
        <f>SUMIF('06. BC BH THEO CUSTOMER-USD'!$F:$F,'07. Chart_QUỐC GIA'!$AE105,'06. BC BH THEO CUSTOMER-USD'!EC:EC)</f>
        <v>96368.948876190465</v>
      </c>
      <c r="AO105" s="448">
        <f>SUMIF('06. BC BH THEO CUSTOMER-USD'!$F:$F,'07. Chart_QUỐC GIA'!$AE105,'06. BC BH THEO CUSTOMER-USD'!ED:ED)</f>
        <v>0</v>
      </c>
      <c r="AP105" s="448">
        <f>SUMIF('06. BC BH THEO CUSTOMER-USD'!$F:$F,'07. Chart_QUỐC GIA'!$AE105,'06. BC BH THEO CUSTOMER-USD'!EE:EE)</f>
        <v>0</v>
      </c>
      <c r="AQ105" s="448">
        <f>SUMIF('06. BC BH THEO CUSTOMER-USD'!$F:$F,'07. Chart_QUỐC GIA'!$AE105,'06. BC BH THEO CUSTOMER-USD'!EF:EF)</f>
        <v>0</v>
      </c>
      <c r="AR105" s="640">
        <f t="shared" ref="AR105:AR118" si="109">SUM(AF105:AQ105)</f>
        <v>2470835.9381892444</v>
      </c>
      <c r="AS105" s="687">
        <f t="shared" ref="AS105:AS123" ca="1" si="110">IFERROR(SUM(OFFSET(AF105:AQ105,0,0,1,$AS$102)),"-")</f>
        <v>2374466.9893130539</v>
      </c>
      <c r="AT105" s="685"/>
      <c r="AV105" s="448">
        <v>316212.58008163259</v>
      </c>
      <c r="AW105" s="448">
        <v>160323.42575510207</v>
      </c>
      <c r="AX105" s="448">
        <v>137015.96994637098</v>
      </c>
      <c r="AY105" s="448">
        <v>171560.49794354834</v>
      </c>
      <c r="AZ105" s="448">
        <v>82309.887039999987</v>
      </c>
      <c r="BA105" s="448">
        <v>44624.4551847455</v>
      </c>
      <c r="BB105" s="448">
        <v>171599.07718040631</v>
      </c>
      <c r="BC105" s="448">
        <v>280340.1359368675</v>
      </c>
      <c r="BD105" s="448">
        <v>286068.67173824122</v>
      </c>
      <c r="BE105" s="448">
        <v>160941.84613853504</v>
      </c>
      <c r="BF105" s="448">
        <v>137607.02261526237</v>
      </c>
      <c r="BG105" s="448">
        <v>274693.53819691588</v>
      </c>
      <c r="BH105" s="640">
        <f t="shared" ref="BH105:BH113" si="111">SUM(AV105:BG105)</f>
        <v>2223297.1077576275</v>
      </c>
      <c r="BI105" s="640">
        <f t="shared" ref="BI105:BI123" ca="1" si="112">IFERROR(SUM(OFFSET(AV105:BG105,0,0,1,$BI$102)),"-")</f>
        <v>1363986.0290686733</v>
      </c>
    </row>
    <row r="106" spans="2:61" ht="15.5" hidden="1" outlineLevel="1" x14ac:dyDescent="0.35">
      <c r="B106" s="665">
        <v>3</v>
      </c>
      <c r="C106" s="666" t="str">
        <f t="shared" si="94"/>
        <v>Mỹ</v>
      </c>
      <c r="D106" s="667">
        <f t="shared" si="95"/>
        <v>194.99860393430086</v>
      </c>
      <c r="E106" s="545">
        <f t="shared" si="103"/>
        <v>0.30680224100239351</v>
      </c>
      <c r="F106" s="667">
        <f t="shared" si="96"/>
        <v>280.34013593686751</v>
      </c>
      <c r="G106" s="545">
        <f t="shared" si="104"/>
        <v>0.53769023040704189</v>
      </c>
      <c r="I106" s="654">
        <v>3</v>
      </c>
      <c r="J106" s="655" t="str">
        <f t="shared" si="105"/>
        <v>Australia</v>
      </c>
      <c r="K106" s="656">
        <f t="shared" si="97"/>
        <v>6.7866750954927415</v>
      </c>
      <c r="L106" s="657">
        <f t="shared" si="98"/>
        <v>6</v>
      </c>
      <c r="M106" s="1114">
        <f>K106+COUNTA($K$104:K106)*0.001</f>
        <v>6.7896750954927416</v>
      </c>
      <c r="P106" s="665">
        <v>3</v>
      </c>
      <c r="Q106" s="666" t="str">
        <f t="shared" ca="1" si="99"/>
        <v>Bồ Đào Nha</v>
      </c>
      <c r="R106" s="667">
        <f t="shared" ca="1" si="100"/>
        <v>1402.4312992264549</v>
      </c>
      <c r="S106" s="545">
        <f t="shared" ca="1" si="106"/>
        <v>0.22683664727959285</v>
      </c>
      <c r="T106" s="667">
        <f t="shared" ca="1" si="101"/>
        <v>588.3470421140064</v>
      </c>
      <c r="U106" s="545">
        <f t="shared" ref="U106:U123" ca="1" si="113">T106/$T$54</f>
        <v>2.1763100097700581E-2</v>
      </c>
      <c r="W106" s="654">
        <v>3</v>
      </c>
      <c r="X106" s="655" t="str">
        <f t="shared" si="107"/>
        <v>Australia</v>
      </c>
      <c r="Y106" s="656">
        <f t="shared" ca="1" si="102"/>
        <v>17.71659230353605</v>
      </c>
      <c r="Z106" s="1115">
        <f t="shared" ca="1" si="108"/>
        <v>10</v>
      </c>
      <c r="AA106" s="1116">
        <f ca="1">Y106+COUNTA($Y$104:Y106)*0.001</f>
        <v>17.71959230353605</v>
      </c>
      <c r="AD106" s="322">
        <v>3</v>
      </c>
      <c r="AE106" s="31" t="s">
        <v>249</v>
      </c>
      <c r="AF106" s="448">
        <f>SUMIF('06. BC BH THEO CUSTOMER-USD'!$F:$F,'07. Chart_QUỐC GIA'!$AE106,'06. BC BH THEO CUSTOMER-USD'!DU:DU)</f>
        <v>0</v>
      </c>
      <c r="AG106" s="448">
        <f>SUMIF('06. BC BH THEO CUSTOMER-USD'!$F:$F,'07. Chart_QUỐC GIA'!$AE106,'06. BC BH THEO CUSTOMER-USD'!DV:DV)</f>
        <v>0</v>
      </c>
      <c r="AH106" s="448">
        <f>SUMIF('06. BC BH THEO CUSTOMER-USD'!$F:$F,'07. Chart_QUỐC GIA'!$AE106,'06. BC BH THEO CUSTOMER-USD'!DW:DW)</f>
        <v>0</v>
      </c>
      <c r="AI106" s="448">
        <f>SUMIF('06. BC BH THEO CUSTOMER-USD'!$F:$F,'07. Chart_QUỐC GIA'!$AE106,'06. BC BH THEO CUSTOMER-USD'!DX:DX)</f>
        <v>0</v>
      </c>
      <c r="AJ106" s="448">
        <f>SUMIF('06. BC BH THEO CUSTOMER-USD'!$F:$F,'07. Chart_QUỐC GIA'!$AE106,'06. BC BH THEO CUSTOMER-USD'!DY:DY)</f>
        <v>10929.917208043309</v>
      </c>
      <c r="AK106" s="448">
        <f>SUMIF('06. BC BH THEO CUSTOMER-USD'!$F:$F,'07. Chart_QUỐC GIA'!$AE106,'06. BC BH THEO CUSTOMER-USD'!DZ:DZ)</f>
        <v>0</v>
      </c>
      <c r="AL106" s="448">
        <f>SUMIF('06. BC BH THEO CUSTOMER-USD'!$F:$F,'07. Chart_QUỐC GIA'!$AE106,'06. BC BH THEO CUSTOMER-USD'!EA:EA)</f>
        <v>0</v>
      </c>
      <c r="AM106" s="448">
        <f>SUMIF('06. BC BH THEO CUSTOMER-USD'!$F:$F,'07. Chart_QUỐC GIA'!$AE106,'06. BC BH THEO CUSTOMER-USD'!EB:EB)</f>
        <v>6786.6750954927411</v>
      </c>
      <c r="AN106" s="448">
        <f>SUMIF('06. BC BH THEO CUSTOMER-USD'!$F:$F,'07. Chart_QUỐC GIA'!$AE106,'06. BC BH THEO CUSTOMER-USD'!EC:EC)</f>
        <v>11235.762284190481</v>
      </c>
      <c r="AO106" s="448">
        <f>SUMIF('06. BC BH THEO CUSTOMER-USD'!$F:$F,'07. Chart_QUỐC GIA'!$AE106,'06. BC BH THEO CUSTOMER-USD'!ED:ED)</f>
        <v>0</v>
      </c>
      <c r="AP106" s="448">
        <f>SUMIF('06. BC BH THEO CUSTOMER-USD'!$F:$F,'07. Chart_QUỐC GIA'!$AE106,'06. BC BH THEO CUSTOMER-USD'!EE:EE)</f>
        <v>0</v>
      </c>
      <c r="AQ106" s="448">
        <f>SUMIF('06. BC BH THEO CUSTOMER-USD'!$F:$F,'07. Chart_QUỐC GIA'!$AE106,'06. BC BH THEO CUSTOMER-USD'!EF:EF)</f>
        <v>0</v>
      </c>
      <c r="AR106" s="640">
        <f t="shared" si="109"/>
        <v>28952.354587726531</v>
      </c>
      <c r="AS106" s="687">
        <f t="shared" ca="1" si="110"/>
        <v>17716.59230353605</v>
      </c>
      <c r="AT106" s="685"/>
      <c r="AV106" s="448">
        <v>0</v>
      </c>
      <c r="AW106" s="448">
        <v>0</v>
      </c>
      <c r="AX106" s="448">
        <v>10849.344999999994</v>
      </c>
      <c r="AY106" s="448">
        <v>0</v>
      </c>
      <c r="AZ106" s="448">
        <v>9843.9901200000022</v>
      </c>
      <c r="BA106" s="448">
        <v>0</v>
      </c>
      <c r="BB106" s="448">
        <v>0</v>
      </c>
      <c r="BC106" s="448">
        <v>0</v>
      </c>
      <c r="BD106" s="448">
        <v>7818.6857259713652</v>
      </c>
      <c r="BE106" s="448">
        <v>13845.989490445863</v>
      </c>
      <c r="BF106" s="448">
        <v>17547.735771065185</v>
      </c>
      <c r="BG106" s="448">
        <v>0</v>
      </c>
      <c r="BH106" s="640">
        <f t="shared" si="111"/>
        <v>59905.74610748241</v>
      </c>
      <c r="BI106" s="640">
        <f t="shared" ca="1" si="112"/>
        <v>20693.335119999996</v>
      </c>
    </row>
    <row r="107" spans="2:61" ht="15.5" hidden="1" outlineLevel="1" x14ac:dyDescent="0.35">
      <c r="B107" s="665">
        <v>4</v>
      </c>
      <c r="C107" s="666" t="str">
        <f t="shared" si="94"/>
        <v>Luxembourg</v>
      </c>
      <c r="D107" s="667">
        <f t="shared" si="95"/>
        <v>25.798386860198633</v>
      </c>
      <c r="E107" s="545">
        <f t="shared" si="103"/>
        <v>4.0590049073491695E-2</v>
      </c>
      <c r="F107" s="742">
        <f t="shared" si="96"/>
        <v>0</v>
      </c>
      <c r="G107" s="545">
        <f t="shared" si="104"/>
        <v>0</v>
      </c>
      <c r="I107" s="654">
        <v>4</v>
      </c>
      <c r="J107" s="655" t="str">
        <f t="shared" si="105"/>
        <v>Bồ Đào Nha</v>
      </c>
      <c r="K107" s="656">
        <f t="shared" si="97"/>
        <v>200.53388433919019</v>
      </c>
      <c r="L107" s="657">
        <f t="shared" si="98"/>
        <v>1</v>
      </c>
      <c r="M107" s="1114">
        <f>K107+COUNTA($K$104:K107)*0.001</f>
        <v>200.53788433919019</v>
      </c>
      <c r="P107" s="665">
        <v>4</v>
      </c>
      <c r="Q107" s="666" t="str">
        <f t="shared" ca="1" si="99"/>
        <v>Luxembourg</v>
      </c>
      <c r="R107" s="667">
        <f t="shared" ca="1" si="100"/>
        <v>333.95791999621474</v>
      </c>
      <c r="S107" s="545">
        <f t="shared" ca="1" si="106"/>
        <v>5.4016118255626321E-2</v>
      </c>
      <c r="T107" s="667">
        <f t="shared" ca="1" si="101"/>
        <v>0</v>
      </c>
      <c r="U107" s="545">
        <f t="shared" ca="1" si="113"/>
        <v>0</v>
      </c>
      <c r="W107" s="654">
        <v>4</v>
      </c>
      <c r="X107" s="655" t="str">
        <f t="shared" si="107"/>
        <v>Bồ Đào Nha</v>
      </c>
      <c r="Y107" s="656">
        <f t="shared" ca="1" si="102"/>
        <v>1402.4312992264549</v>
      </c>
      <c r="Z107" s="1115">
        <f t="shared" ca="1" si="108"/>
        <v>3</v>
      </c>
      <c r="AA107" s="1116">
        <f ca="1">Y107+COUNTA($Y$104:Y107)*0.001</f>
        <v>1402.4352992264548</v>
      </c>
      <c r="AD107" s="322">
        <v>4</v>
      </c>
      <c r="AE107" s="12" t="s">
        <v>246</v>
      </c>
      <c r="AF107" s="448">
        <f>SUMIF('06. BC BH THEO CUSTOMER-USD'!$F:$F,'07. Chart_QUỐC GIA'!$AE107,'06. BC BH THEO CUSTOMER-USD'!DU:DU)</f>
        <v>0</v>
      </c>
      <c r="AG107" s="448">
        <f>SUMIF('06. BC BH THEO CUSTOMER-USD'!$F:$F,'07. Chart_QUỐC GIA'!$AE107,'06. BC BH THEO CUSTOMER-USD'!DV:DV)</f>
        <v>210256.57699881849</v>
      </c>
      <c r="AH107" s="448">
        <f>SUMIF('06. BC BH THEO CUSTOMER-USD'!$F:$F,'07. Chart_QUỐC GIA'!$AE107,'06. BC BH THEO CUSTOMER-USD'!DW:DW)</f>
        <v>204039.16035433079</v>
      </c>
      <c r="AI107" s="448">
        <f>SUMIF('06. BC BH THEO CUSTOMER-USD'!$F:$F,'07. Chart_QUỐC GIA'!$AE107,'06. BC BH THEO CUSTOMER-USD'!DX:DX)</f>
        <v>223981.84610917547</v>
      </c>
      <c r="AJ107" s="448">
        <f>SUMIF('06. BC BH THEO CUSTOMER-USD'!$F:$F,'07. Chart_QUỐC GIA'!$AE107,'06. BC BH THEO CUSTOMER-USD'!DY:DY)</f>
        <v>205049.74524361943</v>
      </c>
      <c r="AK107" s="448">
        <f>SUMIF('06. BC BH THEO CUSTOMER-USD'!$F:$F,'07. Chart_QUỐC GIA'!$AE107,'06. BC BH THEO CUSTOMER-USD'!DZ:DZ)</f>
        <v>171078.39363425935</v>
      </c>
      <c r="AL107" s="448">
        <f>SUMIF('06. BC BH THEO CUSTOMER-USD'!$F:$F,'07. Chart_QUỐC GIA'!$AE107,'06. BC BH THEO CUSTOMER-USD'!EA:EA)</f>
        <v>187491.69254706113</v>
      </c>
      <c r="AM107" s="448">
        <f>SUMIF('06. BC BH THEO CUSTOMER-USD'!$F:$F,'07. Chart_QUỐC GIA'!$AE107,'06. BC BH THEO CUSTOMER-USD'!EB:EB)</f>
        <v>200533.8843391902</v>
      </c>
      <c r="AN107" s="448">
        <f>SUMIF('06. BC BH THEO CUSTOMER-USD'!$F:$F,'07. Chart_QUỐC GIA'!$AE107,'06. BC BH THEO CUSTOMER-USD'!EC:EC)</f>
        <v>0</v>
      </c>
      <c r="AO107" s="448">
        <f>SUMIF('06. BC BH THEO CUSTOMER-USD'!$F:$F,'07. Chart_QUỐC GIA'!$AE107,'06. BC BH THEO CUSTOMER-USD'!ED:ED)</f>
        <v>0</v>
      </c>
      <c r="AP107" s="448">
        <f>SUMIF('06. BC BH THEO CUSTOMER-USD'!$F:$F,'07. Chart_QUỐC GIA'!$AE107,'06. BC BH THEO CUSTOMER-USD'!EE:EE)</f>
        <v>0</v>
      </c>
      <c r="AQ107" s="448">
        <f>SUMIF('06. BC BH THEO CUSTOMER-USD'!$F:$F,'07. Chart_QUỐC GIA'!$AE107,'06. BC BH THEO CUSTOMER-USD'!EF:EF)</f>
        <v>0</v>
      </c>
      <c r="AR107" s="640">
        <f t="shared" si="109"/>
        <v>1402431.2992264549</v>
      </c>
      <c r="AS107" s="687">
        <f t="shared" ca="1" si="110"/>
        <v>1402431.2992264549</v>
      </c>
      <c r="AT107" s="685"/>
      <c r="AV107" s="448">
        <v>0</v>
      </c>
      <c r="AW107" s="448">
        <v>0</v>
      </c>
      <c r="AX107" s="448">
        <v>167480.02661290322</v>
      </c>
      <c r="AY107" s="448">
        <v>252308.07741935481</v>
      </c>
      <c r="AZ107" s="448">
        <v>0</v>
      </c>
      <c r="BA107" s="448">
        <v>0</v>
      </c>
      <c r="BB107" s="448">
        <v>0</v>
      </c>
      <c r="BC107" s="448">
        <v>168558.93808174832</v>
      </c>
      <c r="BD107" s="448">
        <v>195978.87709611445</v>
      </c>
      <c r="BE107" s="448">
        <v>51717.498407643288</v>
      </c>
      <c r="BF107" s="448">
        <v>0</v>
      </c>
      <c r="BG107" s="448">
        <v>0</v>
      </c>
      <c r="BH107" s="640">
        <f t="shared" si="111"/>
        <v>836043.41761776409</v>
      </c>
      <c r="BI107" s="640">
        <f t="shared" ca="1" si="112"/>
        <v>588347.04211400636</v>
      </c>
    </row>
    <row r="108" spans="2:61" ht="15.5" hidden="1" outlineLevel="1" x14ac:dyDescent="0.35">
      <c r="B108" s="665">
        <v>5</v>
      </c>
      <c r="C108" s="666" t="str">
        <f t="shared" si="94"/>
        <v>Hy Lạp</v>
      </c>
      <c r="D108" s="667">
        <f t="shared" si="95"/>
        <v>8.2296976699770745</v>
      </c>
      <c r="E108" s="545">
        <f t="shared" si="103"/>
        <v>1.2948244946265518E-2</v>
      </c>
      <c r="F108" s="667">
        <f t="shared" si="96"/>
        <v>0</v>
      </c>
      <c r="G108" s="545">
        <f t="shared" si="104"/>
        <v>0</v>
      </c>
      <c r="I108" s="654">
        <v>5</v>
      </c>
      <c r="J108" s="655" t="str">
        <f t="shared" si="105"/>
        <v>Bulgaria</v>
      </c>
      <c r="K108" s="656">
        <f t="shared" si="97"/>
        <v>0</v>
      </c>
      <c r="L108" s="657" t="str">
        <f t="shared" si="98"/>
        <v>-</v>
      </c>
      <c r="M108" s="1114">
        <f>K108+COUNTA($K$104:K108)*0.001</f>
        <v>5.0000000000000001E-3</v>
      </c>
      <c r="P108" s="665">
        <v>5</v>
      </c>
      <c r="Q108" s="666" t="str">
        <f t="shared" ca="1" si="99"/>
        <v>Thụy Sĩ</v>
      </c>
      <c r="R108" s="667">
        <f t="shared" ca="1" si="100"/>
        <v>103.20207323211874</v>
      </c>
      <c r="S108" s="545">
        <f t="shared" ca="1" si="106"/>
        <v>1.6692448533621E-2</v>
      </c>
      <c r="T108" s="667">
        <f t="shared" ca="1" si="101"/>
        <v>5.9114085599999999</v>
      </c>
      <c r="U108" s="545">
        <f t="shared" ca="1" si="113"/>
        <v>2.1866443952437667E-4</v>
      </c>
      <c r="W108" s="654">
        <v>5</v>
      </c>
      <c r="X108" s="655" t="str">
        <f t="shared" si="107"/>
        <v>Bulgaria</v>
      </c>
      <c r="Y108" s="656">
        <f t="shared" ca="1" si="102"/>
        <v>14.509887220207187</v>
      </c>
      <c r="Z108" s="1115">
        <f t="shared" ca="1" si="108"/>
        <v>13</v>
      </c>
      <c r="AA108" s="1116">
        <f ca="1">Y108+COUNTA($Y$104:Y108)*0.001</f>
        <v>14.514887220207187</v>
      </c>
      <c r="AD108" s="322">
        <v>5</v>
      </c>
      <c r="AE108" s="12" t="s">
        <v>254</v>
      </c>
      <c r="AF108" s="448">
        <f>SUMIF('06. BC BH THEO CUSTOMER-USD'!$F:$F,'07. Chart_QUỐC GIA'!$AE108,'06. BC BH THEO CUSTOMER-USD'!DU:DU)</f>
        <v>0</v>
      </c>
      <c r="AG108" s="448">
        <f>SUMIF('06. BC BH THEO CUSTOMER-USD'!$F:$F,'07. Chart_QUỐC GIA'!$AE108,'06. BC BH THEO CUSTOMER-USD'!DV:DV)</f>
        <v>6297.8234344230004</v>
      </c>
      <c r="AH108" s="448">
        <f>SUMIF('06. BC BH THEO CUSTOMER-USD'!$F:$F,'07. Chart_QUỐC GIA'!$AE108,'06. BC BH THEO CUSTOMER-USD'!DW:DW)</f>
        <v>0</v>
      </c>
      <c r="AI108" s="448">
        <f>SUMIF('06. BC BH THEO CUSTOMER-USD'!$F:$F,'07. Chart_QUỐC GIA'!$AE108,'06. BC BH THEO CUSTOMER-USD'!DX:DX)</f>
        <v>4433.6925280681389</v>
      </c>
      <c r="AJ108" s="448">
        <f>SUMIF('06. BC BH THEO CUSTOMER-USD'!$F:$F,'07. Chart_QUỐC GIA'!$AE108,'06. BC BH THEO CUSTOMER-USD'!DY:DY)</f>
        <v>0</v>
      </c>
      <c r="AK108" s="448">
        <f>SUMIF('06. BC BH THEO CUSTOMER-USD'!$F:$F,'07. Chart_QUỐC GIA'!$AE108,'06. BC BH THEO CUSTOMER-USD'!DZ:DZ)</f>
        <v>3778.3712577160477</v>
      </c>
      <c r="AL108" s="448">
        <f>SUMIF('06. BC BH THEO CUSTOMER-USD'!$F:$F,'07. Chart_QUỐC GIA'!$AE108,'06. BC BH THEO CUSTOMER-USD'!EA:EA)</f>
        <v>0</v>
      </c>
      <c r="AM108" s="448">
        <f>SUMIF('06. BC BH THEO CUSTOMER-USD'!$F:$F,'07. Chart_QUỐC GIA'!$AE108,'06. BC BH THEO CUSTOMER-USD'!EB:EB)</f>
        <v>0</v>
      </c>
      <c r="AN108" s="448">
        <f>SUMIF('06. BC BH THEO CUSTOMER-USD'!$F:$F,'07. Chart_QUỐC GIA'!$AE108,'06. BC BH THEO CUSTOMER-USD'!EC:EC)</f>
        <v>0</v>
      </c>
      <c r="AO108" s="448">
        <f>SUMIF('06. BC BH THEO CUSTOMER-USD'!$F:$F,'07. Chart_QUỐC GIA'!$AE108,'06. BC BH THEO CUSTOMER-USD'!ED:ED)</f>
        <v>0</v>
      </c>
      <c r="AP108" s="448">
        <f>SUMIF('06. BC BH THEO CUSTOMER-USD'!$F:$F,'07. Chart_QUỐC GIA'!$AE108,'06. BC BH THEO CUSTOMER-USD'!EE:EE)</f>
        <v>0</v>
      </c>
      <c r="AQ108" s="448">
        <f>SUMIF('06. BC BH THEO CUSTOMER-USD'!$F:$F,'07. Chart_QUỐC GIA'!$AE108,'06. BC BH THEO CUSTOMER-USD'!EF:EF)</f>
        <v>0</v>
      </c>
      <c r="AR108" s="640">
        <f t="shared" si="109"/>
        <v>14509.887220207187</v>
      </c>
      <c r="AS108" s="687">
        <f t="shared" ca="1" si="110"/>
        <v>14509.887220207187</v>
      </c>
      <c r="AT108" s="685"/>
      <c r="AV108" s="448">
        <v>0</v>
      </c>
      <c r="AW108" s="448">
        <v>0</v>
      </c>
      <c r="AX108" s="448">
        <v>0</v>
      </c>
      <c r="AY108" s="448">
        <v>0</v>
      </c>
      <c r="AZ108" s="448">
        <v>0</v>
      </c>
      <c r="BA108" s="448">
        <v>0</v>
      </c>
      <c r="BB108" s="448">
        <v>0</v>
      </c>
      <c r="BC108" s="448">
        <v>0</v>
      </c>
      <c r="BD108" s="448">
        <v>0</v>
      </c>
      <c r="BE108" s="448">
        <v>25309.259753184713</v>
      </c>
      <c r="BF108" s="448">
        <v>0</v>
      </c>
      <c r="BG108" s="448">
        <v>0</v>
      </c>
      <c r="BH108" s="640">
        <f t="shared" si="111"/>
        <v>25309.259753184713</v>
      </c>
      <c r="BI108" s="640">
        <f t="shared" ca="1" si="112"/>
        <v>0</v>
      </c>
    </row>
    <row r="109" spans="2:61" ht="15.5" hidden="1" outlineLevel="1" x14ac:dyDescent="0.35">
      <c r="B109" s="665">
        <v>6</v>
      </c>
      <c r="C109" s="666" t="str">
        <f t="shared" si="94"/>
        <v>Australia</v>
      </c>
      <c r="D109" s="667">
        <f t="shared" si="95"/>
        <v>6.7866750954927415</v>
      </c>
      <c r="E109" s="545">
        <f t="shared" si="103"/>
        <v>1.0677856590982733E-2</v>
      </c>
      <c r="F109" s="667">
        <f t="shared" si="96"/>
        <v>0</v>
      </c>
      <c r="G109" s="545">
        <f t="shared" si="104"/>
        <v>0</v>
      </c>
      <c r="I109" s="654">
        <v>6</v>
      </c>
      <c r="J109" s="655" t="str">
        <f t="shared" si="105"/>
        <v>Hàn Quốc</v>
      </c>
      <c r="K109" s="656">
        <f t="shared" si="97"/>
        <v>0</v>
      </c>
      <c r="L109" s="657" t="str">
        <f t="shared" si="98"/>
        <v>-</v>
      </c>
      <c r="M109" s="1114">
        <f>K109+COUNTA($K$104:K109)*0.001</f>
        <v>6.0000000000000001E-3</v>
      </c>
      <c r="P109" s="665">
        <v>6</v>
      </c>
      <c r="Q109" s="666" t="str">
        <f t="shared" ca="1" si="99"/>
        <v>Nhật</v>
      </c>
      <c r="R109" s="667">
        <f t="shared" ca="1" si="100"/>
        <v>58.269527502549984</v>
      </c>
      <c r="S109" s="545">
        <f t="shared" ca="1" si="106"/>
        <v>9.4248212119445642E-3</v>
      </c>
      <c r="T109" s="667">
        <f t="shared" ca="1" si="101"/>
        <v>-0.21621692891278393</v>
      </c>
      <c r="U109" s="545">
        <f t="shared" ca="1" si="113"/>
        <v>-7.9979167564753628E-6</v>
      </c>
      <c r="W109" s="654">
        <v>6</v>
      </c>
      <c r="X109" s="655" t="str">
        <f t="shared" si="107"/>
        <v>Hàn Quốc</v>
      </c>
      <c r="Y109" s="656">
        <f t="shared" ca="1" si="102"/>
        <v>49.982992535633272</v>
      </c>
      <c r="Z109" s="1115">
        <f t="shared" ca="1" si="108"/>
        <v>7</v>
      </c>
      <c r="AA109" s="1116">
        <f ca="1">Y109+COUNTA($Y$104:Y109)*0.001</f>
        <v>49.988992535633272</v>
      </c>
      <c r="AD109" s="322">
        <v>6</v>
      </c>
      <c r="AE109" s="12" t="s">
        <v>253</v>
      </c>
      <c r="AF109" s="448">
        <f>SUMIF('06. BC BH THEO CUSTOMER-USD'!$F:$F,'07. Chart_QUỐC GIA'!$AE109,'06. BC BH THEO CUSTOMER-USD'!DU:DU)</f>
        <v>31679.108992372552</v>
      </c>
      <c r="AG109" s="448">
        <f>SUMIF('06. BC BH THEO CUSTOMER-USD'!$F:$F,'07. Chart_QUỐC GIA'!$AE109,'06. BC BH THEO CUSTOMER-USD'!DV:DV)</f>
        <v>0</v>
      </c>
      <c r="AH109" s="448">
        <f>SUMIF('06. BC BH THEO CUSTOMER-USD'!$F:$F,'07. Chart_QUỐC GIA'!$AE109,'06. BC BH THEO CUSTOMER-USD'!DW:DW)</f>
        <v>12753.685551181108</v>
      </c>
      <c r="AI109" s="448">
        <f>SUMIF('06. BC BH THEO CUSTOMER-USD'!$F:$F,'07. Chart_QUỐC GIA'!$AE109,'06. BC BH THEO CUSTOMER-USD'!DX:DX)</f>
        <v>27798.455052264806</v>
      </c>
      <c r="AJ109" s="448">
        <f>SUMIF('06. BC BH THEO CUSTOMER-USD'!$F:$F,'07. Chart_QUỐC GIA'!$AE109,'06. BC BH THEO CUSTOMER-USD'!DY:DY)</f>
        <v>0</v>
      </c>
      <c r="AK109" s="448">
        <f>SUMIF('06. BC BH THEO CUSTOMER-USD'!$F:$F,'07. Chart_QUỐC GIA'!$AE109,'06. BC BH THEO CUSTOMER-USD'!DZ:DZ)</f>
        <v>-22248.257060185184</v>
      </c>
      <c r="AL109" s="448">
        <f>SUMIF('06. BC BH THEO CUSTOMER-USD'!$F:$F,'07. Chart_QUỐC GIA'!$AE109,'06. BC BH THEO CUSTOMER-USD'!EA:EA)</f>
        <v>0</v>
      </c>
      <c r="AM109" s="448">
        <f>SUMIF('06. BC BH THEO CUSTOMER-USD'!$F:$F,'07. Chart_QUỐC GIA'!$AE109,'06. BC BH THEO CUSTOMER-USD'!EB:EB)</f>
        <v>0</v>
      </c>
      <c r="AN109" s="448">
        <f>SUMIF('06. BC BH THEO CUSTOMER-USD'!$F:$F,'07. Chart_QUỐC GIA'!$AE109,'06. BC BH THEO CUSTOMER-USD'!EC:EC)</f>
        <v>0</v>
      </c>
      <c r="AO109" s="448">
        <f>SUMIF('06. BC BH THEO CUSTOMER-USD'!$F:$F,'07. Chart_QUỐC GIA'!$AE109,'06. BC BH THEO CUSTOMER-USD'!ED:ED)</f>
        <v>0</v>
      </c>
      <c r="AP109" s="448">
        <f>SUMIF('06. BC BH THEO CUSTOMER-USD'!$F:$F,'07. Chart_QUỐC GIA'!$AE109,'06. BC BH THEO CUSTOMER-USD'!EE:EE)</f>
        <v>0</v>
      </c>
      <c r="AQ109" s="448">
        <f>SUMIF('06. BC BH THEO CUSTOMER-USD'!$F:$F,'07. Chart_QUỐC GIA'!$AE109,'06. BC BH THEO CUSTOMER-USD'!EF:EF)</f>
        <v>0</v>
      </c>
      <c r="AR109" s="640">
        <f t="shared" si="109"/>
        <v>49982.992535633275</v>
      </c>
      <c r="AS109" s="687">
        <f t="shared" ca="1" si="110"/>
        <v>49982.992535633275</v>
      </c>
      <c r="AT109" s="685"/>
      <c r="AV109" s="448">
        <v>5981.2030204081639</v>
      </c>
      <c r="AW109" s="448">
        <v>0</v>
      </c>
      <c r="AX109" s="448">
        <v>0</v>
      </c>
      <c r="AY109" s="448">
        <v>0</v>
      </c>
      <c r="AZ109" s="448">
        <v>0</v>
      </c>
      <c r="BA109" s="448">
        <v>0</v>
      </c>
      <c r="BB109" s="448">
        <v>0</v>
      </c>
      <c r="BC109" s="448">
        <v>11767.526155402666</v>
      </c>
      <c r="BD109" s="448">
        <v>0</v>
      </c>
      <c r="BE109" s="448">
        <v>0</v>
      </c>
      <c r="BF109" s="448">
        <v>24653.577225755173</v>
      </c>
      <c r="BG109" s="448">
        <v>0</v>
      </c>
      <c r="BH109" s="640">
        <f t="shared" si="111"/>
        <v>42402.306401566006</v>
      </c>
      <c r="BI109" s="640">
        <f t="shared" ca="1" si="112"/>
        <v>17748.729175810829</v>
      </c>
    </row>
    <row r="110" spans="2:61" ht="15.5" hidden="1" outlineLevel="1" x14ac:dyDescent="0.35">
      <c r="B110" s="665">
        <v>7</v>
      </c>
      <c r="C110" s="666" t="str">
        <f t="shared" si="94"/>
        <v>Hong Kong</v>
      </c>
      <c r="D110" s="667">
        <f t="shared" si="95"/>
        <v>4.0541695951107544</v>
      </c>
      <c r="E110" s="668">
        <f t="shared" si="103"/>
        <v>6.3786524215466572E-3</v>
      </c>
      <c r="F110" s="667">
        <f t="shared" si="96"/>
        <v>-238.77642322946176</v>
      </c>
      <c r="G110" s="545">
        <f t="shared" si="104"/>
        <v>-0.45797134824437524</v>
      </c>
      <c r="I110" s="654">
        <v>7</v>
      </c>
      <c r="J110" s="655" t="str">
        <f t="shared" si="105"/>
        <v>Hong Kong</v>
      </c>
      <c r="K110" s="656">
        <f t="shared" si="97"/>
        <v>4.0541695951107544</v>
      </c>
      <c r="L110" s="657">
        <f t="shared" si="98"/>
        <v>7</v>
      </c>
      <c r="M110" s="1114">
        <f>K110+COUNTA($K$104:K110)*0.001</f>
        <v>4.061169595110754</v>
      </c>
      <c r="P110" s="665">
        <v>7</v>
      </c>
      <c r="Q110" s="666" t="str">
        <f t="shared" ca="1" si="99"/>
        <v>Hàn Quốc</v>
      </c>
      <c r="R110" s="667">
        <f t="shared" ca="1" si="100"/>
        <v>49.982992535633272</v>
      </c>
      <c r="S110" s="545">
        <f t="shared" ca="1" si="106"/>
        <v>8.0845132692330124E-3</v>
      </c>
      <c r="T110" s="667">
        <f t="shared" ca="1" si="101"/>
        <v>17.74872917581083</v>
      </c>
      <c r="U110" s="545">
        <f t="shared" ca="1" si="113"/>
        <v>6.5652980640854691E-4</v>
      </c>
      <c r="W110" s="654">
        <v>7</v>
      </c>
      <c r="X110" s="655" t="str">
        <f t="shared" si="107"/>
        <v>Hong Kong</v>
      </c>
      <c r="Y110" s="656">
        <f t="shared" ca="1" si="102"/>
        <v>22.772225729370025</v>
      </c>
      <c r="Z110" s="1115">
        <f t="shared" ca="1" si="108"/>
        <v>9</v>
      </c>
      <c r="AA110" s="1116">
        <f ca="1">Y110+COUNTA($Y$104:Y110)*0.001</f>
        <v>22.779225729370026</v>
      </c>
      <c r="AD110" s="322">
        <v>7</v>
      </c>
      <c r="AE110" s="12" t="s">
        <v>247</v>
      </c>
      <c r="AF110" s="448">
        <f>SUMIF('06. BC BH THEO CUSTOMER-USD'!$F:$F,'07. Chart_QUỐC GIA'!$AE110,'06. BC BH THEO CUSTOMER-USD'!DU:DU)</f>
        <v>0</v>
      </c>
      <c r="AG110" s="448">
        <f>SUMIF('06. BC BH THEO CUSTOMER-USD'!$F:$F,'07. Chart_QUỐC GIA'!$AE110,'06. BC BH THEO CUSTOMER-USD'!DV:DV)</f>
        <v>0</v>
      </c>
      <c r="AH110" s="448">
        <f>SUMIF('06. BC BH THEO CUSTOMER-USD'!$F:$F,'07. Chart_QUỐC GIA'!$AE110,'06. BC BH THEO CUSTOMER-USD'!DW:DW)</f>
        <v>0</v>
      </c>
      <c r="AI110" s="448">
        <f>SUMIF('06. BC BH THEO CUSTOMER-USD'!$F:$F,'07. Chart_QUỐC GIA'!$AE110,'06. BC BH THEO CUSTOMER-USD'!DX:DX)</f>
        <v>0</v>
      </c>
      <c r="AJ110" s="448">
        <f>SUMIF('06. BC BH THEO CUSTOMER-USD'!$F:$F,'07. Chart_QUỐC GIA'!$AE110,'06. BC BH THEO CUSTOMER-USD'!DY:DY)</f>
        <v>0</v>
      </c>
      <c r="AK110" s="448">
        <f>SUMIF('06. BC BH THEO CUSTOMER-USD'!$F:$F,'07. Chart_QUỐC GIA'!$AE110,'06. BC BH THEO CUSTOMER-USD'!DZ:DZ)</f>
        <v>18718.05613425927</v>
      </c>
      <c r="AL110" s="448">
        <f>SUMIF('06. BC BH THEO CUSTOMER-USD'!$F:$F,'07. Chart_QUỐC GIA'!$AE110,'06. BC BH THEO CUSTOMER-USD'!EA:EA)</f>
        <v>0</v>
      </c>
      <c r="AM110" s="448">
        <f>SUMIF('06. BC BH THEO CUSTOMER-USD'!$F:$F,'07. Chart_QUỐC GIA'!$AE110,'06. BC BH THEO CUSTOMER-USD'!EB:EB)</f>
        <v>4054.169595110754</v>
      </c>
      <c r="AN110" s="448">
        <f>SUMIF('06. BC BH THEO CUSTOMER-USD'!$F:$F,'07. Chart_QUỐC GIA'!$AE110,'06. BC BH THEO CUSTOMER-USD'!EC:EC)</f>
        <v>0</v>
      </c>
      <c r="AO110" s="448">
        <f>SUMIF('06. BC BH THEO CUSTOMER-USD'!$F:$F,'07. Chart_QUỐC GIA'!$AE110,'06. BC BH THEO CUSTOMER-USD'!ED:ED)</f>
        <v>0</v>
      </c>
      <c r="AP110" s="448">
        <f>SUMIF('06. BC BH THEO CUSTOMER-USD'!$F:$F,'07. Chart_QUỐC GIA'!$AE110,'06. BC BH THEO CUSTOMER-USD'!EE:EE)</f>
        <v>0</v>
      </c>
      <c r="AQ110" s="448">
        <f>SUMIF('06. BC BH THEO CUSTOMER-USD'!$F:$F,'07. Chart_QUỐC GIA'!$AE110,'06. BC BH THEO CUSTOMER-USD'!EF:EF)</f>
        <v>0</v>
      </c>
      <c r="AR110" s="640">
        <f t="shared" si="109"/>
        <v>22772.225729370024</v>
      </c>
      <c r="AS110" s="687">
        <f t="shared" ca="1" si="110"/>
        <v>22772.225729370024</v>
      </c>
      <c r="AT110" s="685"/>
      <c r="AV110" s="448">
        <v>0</v>
      </c>
      <c r="AW110" s="448">
        <v>0</v>
      </c>
      <c r="AX110" s="448">
        <v>0</v>
      </c>
      <c r="AY110" s="448">
        <v>0</v>
      </c>
      <c r="AZ110" s="448">
        <v>0</v>
      </c>
      <c r="BA110" s="448">
        <v>0</v>
      </c>
      <c r="BB110" s="448">
        <v>-70549.697013142169</v>
      </c>
      <c r="BC110" s="448">
        <v>-238776.42322946177</v>
      </c>
      <c r="BD110" s="448">
        <v>-146193.83026584866</v>
      </c>
      <c r="BE110" s="448">
        <v>9354.9704219744308</v>
      </c>
      <c r="BF110" s="448">
        <v>0</v>
      </c>
      <c r="BG110" s="448">
        <v>0</v>
      </c>
      <c r="BH110" s="640">
        <f t="shared" si="111"/>
        <v>-446164.98008647817</v>
      </c>
      <c r="BI110" s="640">
        <f t="shared" ca="1" si="112"/>
        <v>-309326.12024260394</v>
      </c>
    </row>
    <row r="111" spans="2:61" ht="15.5" hidden="1" outlineLevel="1" x14ac:dyDescent="0.35">
      <c r="B111" s="665">
        <v>8</v>
      </c>
      <c r="C111" s="666">
        <f t="shared" si="94"/>
        <v>0</v>
      </c>
      <c r="D111" s="667">
        <f t="shared" si="95"/>
        <v>0</v>
      </c>
      <c r="E111" s="545">
        <f t="shared" si="103"/>
        <v>0</v>
      </c>
      <c r="F111" s="667">
        <f t="shared" si="96"/>
        <v>0</v>
      </c>
      <c r="G111" s="545">
        <f t="shared" si="104"/>
        <v>0</v>
      </c>
      <c r="I111" s="654">
        <v>8</v>
      </c>
      <c r="J111" s="655" t="str">
        <f t="shared" si="105"/>
        <v>Hy Lạp</v>
      </c>
      <c r="K111" s="656">
        <f t="shared" si="97"/>
        <v>8.2296976699770745</v>
      </c>
      <c r="L111" s="657">
        <f t="shared" si="98"/>
        <v>5</v>
      </c>
      <c r="M111" s="1114">
        <f>K111+COUNTA($K$104:K111)*0.001</f>
        <v>8.2376976699770736</v>
      </c>
      <c r="P111" s="665">
        <v>8</v>
      </c>
      <c r="Q111" s="666" t="str">
        <f t="shared" ca="1" si="99"/>
        <v>Israel</v>
      </c>
      <c r="R111" s="667">
        <f t="shared" ca="1" si="100"/>
        <v>48.886362584247749</v>
      </c>
      <c r="S111" s="668">
        <f t="shared" ca="1" si="106"/>
        <v>7.9071385474795246E-3</v>
      </c>
      <c r="T111" s="667">
        <f t="shared" ca="1" si="101"/>
        <v>1.1587706814369267</v>
      </c>
      <c r="U111" s="545">
        <f t="shared" ca="1" si="113"/>
        <v>4.2863209169505555E-5</v>
      </c>
      <c r="W111" s="654">
        <v>8</v>
      </c>
      <c r="X111" s="655" t="str">
        <f t="shared" si="107"/>
        <v>Hy Lạp</v>
      </c>
      <c r="Y111" s="656">
        <f t="shared" ca="1" si="102"/>
        <v>17.133496171787613</v>
      </c>
      <c r="Z111" s="1115">
        <f t="shared" ca="1" si="108"/>
        <v>12</v>
      </c>
      <c r="AA111" s="1116">
        <f ca="1">Y111+COUNTA($Y$104:Y111)*0.001</f>
        <v>17.141496171787612</v>
      </c>
      <c r="AD111" s="322">
        <v>8</v>
      </c>
      <c r="AE111" s="12" t="s">
        <v>250</v>
      </c>
      <c r="AF111" s="448">
        <f>SUMIF('06. BC BH THEO CUSTOMER-USD'!$F:$F,'07. Chart_QUỐC GIA'!$AE111,'06. BC BH THEO CUSTOMER-USD'!DU:DU)</f>
        <v>0</v>
      </c>
      <c r="AG111" s="448">
        <f>SUMIF('06. BC BH THEO CUSTOMER-USD'!$F:$F,'07. Chart_QUỐC GIA'!$AE111,'06. BC BH THEO CUSTOMER-USD'!DV:DV)</f>
        <v>0</v>
      </c>
      <c r="AH111" s="448">
        <f>SUMIF('06. BC BH THEO CUSTOMER-USD'!$F:$F,'07. Chart_QUỐC GIA'!$AE111,'06. BC BH THEO CUSTOMER-USD'!DW:DW)</f>
        <v>5125.4272440944906</v>
      </c>
      <c r="AI111" s="448">
        <f>SUMIF('06. BC BH THEO CUSTOMER-USD'!$F:$F,'07. Chart_QUỐC GIA'!$AE111,'06. BC BH THEO CUSTOMER-USD'!DX:DX)</f>
        <v>0</v>
      </c>
      <c r="AJ111" s="448">
        <f>SUMIF('06. BC BH THEO CUSTOMER-USD'!$F:$F,'07. Chart_QUỐC GIA'!$AE111,'06. BC BH THEO CUSTOMER-USD'!DY:DY)</f>
        <v>0</v>
      </c>
      <c r="AK111" s="448">
        <f>SUMIF('06. BC BH THEO CUSTOMER-USD'!$F:$F,'07. Chart_QUỐC GIA'!$AE111,'06. BC BH THEO CUSTOMER-USD'!DZ:DZ)</f>
        <v>3778.3712577160477</v>
      </c>
      <c r="AL111" s="448">
        <f>SUMIF('06. BC BH THEO CUSTOMER-USD'!$F:$F,'07. Chart_QUỐC GIA'!$AE111,'06. BC BH THEO CUSTOMER-USD'!EA:EA)</f>
        <v>0</v>
      </c>
      <c r="AM111" s="448">
        <f>SUMIF('06. BC BH THEO CUSTOMER-USD'!$F:$F,'07. Chart_QUỐC GIA'!$AE111,'06. BC BH THEO CUSTOMER-USD'!EB:EB)</f>
        <v>8229.6976699770748</v>
      </c>
      <c r="AN111" s="448">
        <f>SUMIF('06. BC BH THEO CUSTOMER-USD'!$F:$F,'07. Chart_QUỐC GIA'!$AE111,'06. BC BH THEO CUSTOMER-USD'!EC:EC)</f>
        <v>0</v>
      </c>
      <c r="AO111" s="448">
        <f>SUMIF('06. BC BH THEO CUSTOMER-USD'!$F:$F,'07. Chart_QUỐC GIA'!$AE111,'06. BC BH THEO CUSTOMER-USD'!ED:ED)</f>
        <v>0</v>
      </c>
      <c r="AP111" s="448">
        <f>SUMIF('06. BC BH THEO CUSTOMER-USD'!$F:$F,'07. Chart_QUỐC GIA'!$AE111,'06. BC BH THEO CUSTOMER-USD'!EE:EE)</f>
        <v>0</v>
      </c>
      <c r="AQ111" s="448">
        <f>SUMIF('06. BC BH THEO CUSTOMER-USD'!$F:$F,'07. Chart_QUỐC GIA'!$AE111,'06. BC BH THEO CUSTOMER-USD'!EF:EF)</f>
        <v>0</v>
      </c>
      <c r="AR111" s="640">
        <f t="shared" si="109"/>
        <v>17133.496171787614</v>
      </c>
      <c r="AS111" s="687">
        <f t="shared" ca="1" si="110"/>
        <v>17133.496171787614</v>
      </c>
      <c r="AT111" s="685"/>
      <c r="AV111" s="448">
        <v>0</v>
      </c>
      <c r="AW111" s="448">
        <v>16378.013551020405</v>
      </c>
      <c r="AX111" s="448">
        <v>0</v>
      </c>
      <c r="AY111" s="448">
        <v>0</v>
      </c>
      <c r="AZ111" s="448">
        <v>0</v>
      </c>
      <c r="BA111" s="448">
        <v>0</v>
      </c>
      <c r="BB111" s="448">
        <v>0</v>
      </c>
      <c r="BC111" s="448">
        <v>0</v>
      </c>
      <c r="BD111" s="448">
        <v>5914.8379141104306</v>
      </c>
      <c r="BE111" s="448">
        <v>0</v>
      </c>
      <c r="BF111" s="448">
        <v>0</v>
      </c>
      <c r="BG111" s="448">
        <v>0</v>
      </c>
      <c r="BH111" s="640">
        <f t="shared" si="111"/>
        <v>22292.851465130836</v>
      </c>
      <c r="BI111" s="640">
        <f t="shared" ca="1" si="112"/>
        <v>16378.013551020405</v>
      </c>
    </row>
    <row r="112" spans="2:61" ht="15.5" hidden="1" outlineLevel="1" x14ac:dyDescent="0.35">
      <c r="B112" s="665">
        <v>9</v>
      </c>
      <c r="C112" s="666">
        <f t="shared" si="94"/>
        <v>0</v>
      </c>
      <c r="D112" s="667">
        <f t="shared" si="95"/>
        <v>0</v>
      </c>
      <c r="E112" s="545">
        <f t="shared" si="103"/>
        <v>0</v>
      </c>
      <c r="F112" s="667">
        <f t="shared" si="96"/>
        <v>0</v>
      </c>
      <c r="G112" s="545">
        <f t="shared" si="104"/>
        <v>0</v>
      </c>
      <c r="I112" s="654">
        <v>9</v>
      </c>
      <c r="J112" s="655" t="str">
        <f t="shared" si="105"/>
        <v>Israel</v>
      </c>
      <c r="K112" s="656">
        <f t="shared" si="97"/>
        <v>0</v>
      </c>
      <c r="L112" s="657" t="str">
        <f t="shared" si="98"/>
        <v>-</v>
      </c>
      <c r="M112" s="1114">
        <f>K112+COUNTA($K$104:K112)*0.001</f>
        <v>9.0000000000000011E-3</v>
      </c>
      <c r="P112" s="665">
        <v>9</v>
      </c>
      <c r="Q112" s="666" t="str">
        <f t="shared" ca="1" si="99"/>
        <v>Hong Kong</v>
      </c>
      <c r="R112" s="667">
        <f t="shared" ca="1" si="100"/>
        <v>22.772225729370025</v>
      </c>
      <c r="S112" s="668">
        <f t="shared" ca="1" si="106"/>
        <v>3.6833000934830651E-3</v>
      </c>
      <c r="T112" s="667">
        <f t="shared" ca="1" si="101"/>
        <v>-309.32612024260396</v>
      </c>
      <c r="U112" s="545">
        <f t="shared" ca="1" si="113"/>
        <v>-1.1442048375877938E-2</v>
      </c>
      <c r="W112" s="654">
        <v>9</v>
      </c>
      <c r="X112" s="655" t="str">
        <f t="shared" si="107"/>
        <v>Israel</v>
      </c>
      <c r="Y112" s="656">
        <f t="shared" ca="1" si="102"/>
        <v>48.886362584247749</v>
      </c>
      <c r="Z112" s="1115">
        <f t="shared" ca="1" si="108"/>
        <v>8</v>
      </c>
      <c r="AA112" s="1116">
        <f ca="1">Y112+COUNTA($Y$104:Y112)*0.001</f>
        <v>48.895362584247749</v>
      </c>
      <c r="AD112" s="322">
        <v>9</v>
      </c>
      <c r="AE112" s="12" t="s">
        <v>256</v>
      </c>
      <c r="AF112" s="448">
        <f>SUMIF('06. BC BH THEO CUSTOMER-USD'!$F:$F,'07. Chart_QUỐC GIA'!$AE112,'06. BC BH THEO CUSTOMER-USD'!DU:DU)</f>
        <v>13379.414612605375</v>
      </c>
      <c r="AG112" s="448">
        <f>SUMIF('06. BC BH THEO CUSTOMER-USD'!$F:$F,'07. Chart_QUỐC GIA'!$AE112,'06. BC BH THEO CUSTOMER-USD'!DV:DV)</f>
        <v>35506.947971642374</v>
      </c>
      <c r="AH112" s="448">
        <f>SUMIF('06. BC BH THEO CUSTOMER-USD'!$F:$F,'07. Chart_QUỐC GIA'!$AE112,'06. BC BH THEO CUSTOMER-USD'!DW:DW)</f>
        <v>0</v>
      </c>
      <c r="AI112" s="448">
        <f>SUMIF('06. BC BH THEO CUSTOMER-USD'!$F:$F,'07. Chart_QUỐC GIA'!$AE112,'06. BC BH THEO CUSTOMER-USD'!DX:DX)</f>
        <v>0</v>
      </c>
      <c r="AJ112" s="448">
        <f>SUMIF('06. BC BH THEO CUSTOMER-USD'!$F:$F,'07. Chart_QUỐC GIA'!$AE112,'06. BC BH THEO CUSTOMER-USD'!DY:DY)</f>
        <v>0</v>
      </c>
      <c r="AK112" s="448">
        <f>SUMIF('06. BC BH THEO CUSTOMER-USD'!$F:$F,'07. Chart_QUỐC GIA'!$AE112,'06. BC BH THEO CUSTOMER-USD'!DZ:DZ)</f>
        <v>0</v>
      </c>
      <c r="AL112" s="448">
        <f>SUMIF('06. BC BH THEO CUSTOMER-USD'!$F:$F,'07. Chart_QUỐC GIA'!$AE112,'06. BC BH THEO CUSTOMER-USD'!EA:EA)</f>
        <v>0</v>
      </c>
      <c r="AM112" s="448">
        <f>SUMIF('06. BC BH THEO CUSTOMER-USD'!$F:$F,'07. Chart_QUỐC GIA'!$AE112,'06. BC BH THEO CUSTOMER-USD'!EB:EB)</f>
        <v>0</v>
      </c>
      <c r="AN112" s="448">
        <f>SUMIF('06. BC BH THEO CUSTOMER-USD'!$F:$F,'07. Chart_QUỐC GIA'!$AE112,'06. BC BH THEO CUSTOMER-USD'!EC:EC)</f>
        <v>0</v>
      </c>
      <c r="AO112" s="448">
        <f>SUMIF('06. BC BH THEO CUSTOMER-USD'!$F:$F,'07. Chart_QUỐC GIA'!$AE112,'06. BC BH THEO CUSTOMER-USD'!ED:ED)</f>
        <v>0</v>
      </c>
      <c r="AP112" s="448">
        <f>SUMIF('06. BC BH THEO CUSTOMER-USD'!$F:$F,'07. Chart_QUỐC GIA'!$AE112,'06. BC BH THEO CUSTOMER-USD'!EE:EE)</f>
        <v>0</v>
      </c>
      <c r="AQ112" s="448">
        <f>SUMIF('06. BC BH THEO CUSTOMER-USD'!$F:$F,'07. Chart_QUỐC GIA'!$AE112,'06. BC BH THEO CUSTOMER-USD'!EF:EF)</f>
        <v>0</v>
      </c>
      <c r="AR112" s="640">
        <f t="shared" si="109"/>
        <v>48886.362584247749</v>
      </c>
      <c r="AS112" s="687">
        <f t="shared" ca="1" si="110"/>
        <v>48886.362584247749</v>
      </c>
      <c r="AT112" s="685"/>
      <c r="AV112" s="448">
        <v>0</v>
      </c>
      <c r="AW112" s="448">
        <v>0</v>
      </c>
      <c r="AX112" s="448">
        <v>839.16068548387193</v>
      </c>
      <c r="AY112" s="448">
        <v>0</v>
      </c>
      <c r="AZ112" s="448">
        <v>0</v>
      </c>
      <c r="BA112" s="448">
        <v>0</v>
      </c>
      <c r="BB112" s="448">
        <v>0</v>
      </c>
      <c r="BC112" s="448">
        <v>319.60999595305475</v>
      </c>
      <c r="BD112" s="448">
        <v>0</v>
      </c>
      <c r="BE112" s="448">
        <v>0</v>
      </c>
      <c r="BF112" s="448">
        <v>0</v>
      </c>
      <c r="BG112" s="448">
        <v>0</v>
      </c>
      <c r="BH112" s="640">
        <f t="shared" si="111"/>
        <v>1158.7706814369267</v>
      </c>
      <c r="BI112" s="640">
        <f t="shared" ca="1" si="112"/>
        <v>1158.7706814369267</v>
      </c>
    </row>
    <row r="113" spans="2:61" ht="15.5" hidden="1" outlineLevel="1" x14ac:dyDescent="0.35">
      <c r="B113" s="665">
        <v>10</v>
      </c>
      <c r="C113" s="666">
        <f t="shared" si="94"/>
        <v>0</v>
      </c>
      <c r="D113" s="667">
        <f t="shared" si="95"/>
        <v>0</v>
      </c>
      <c r="E113" s="545">
        <f t="shared" si="103"/>
        <v>0</v>
      </c>
      <c r="F113" s="667">
        <f t="shared" si="96"/>
        <v>0</v>
      </c>
      <c r="G113" s="545">
        <f t="shared" si="104"/>
        <v>0</v>
      </c>
      <c r="I113" s="654">
        <v>10</v>
      </c>
      <c r="J113" s="655" t="str">
        <f t="shared" si="105"/>
        <v>Italy</v>
      </c>
      <c r="K113" s="656">
        <f t="shared" si="97"/>
        <v>0</v>
      </c>
      <c r="L113" s="657" t="str">
        <f t="shared" si="98"/>
        <v>-</v>
      </c>
      <c r="M113" s="1114">
        <f>K113+COUNTA($K$104:K113)*0.001</f>
        <v>0.01</v>
      </c>
      <c r="P113" s="665">
        <v>10</v>
      </c>
      <c r="Q113" s="666" t="str">
        <f t="shared" ca="1" si="99"/>
        <v>Australia</v>
      </c>
      <c r="R113" s="667">
        <f t="shared" ca="1" si="100"/>
        <v>17.71659230353605</v>
      </c>
      <c r="S113" s="668">
        <f t="shared" ca="1" si="106"/>
        <v>2.865575234644441E-3</v>
      </c>
      <c r="T113" s="667">
        <f t="shared" ca="1" si="101"/>
        <v>20.693335119999997</v>
      </c>
      <c r="U113" s="545">
        <f t="shared" ca="1" si="113"/>
        <v>7.6545149603141278E-4</v>
      </c>
      <c r="W113" s="654">
        <v>10</v>
      </c>
      <c r="X113" s="655" t="str">
        <f t="shared" si="107"/>
        <v>Italy</v>
      </c>
      <c r="Y113" s="656">
        <f t="shared" ca="1" si="102"/>
        <v>12.451693619535252</v>
      </c>
      <c r="Z113" s="1115">
        <f t="shared" ca="1" si="108"/>
        <v>14</v>
      </c>
      <c r="AA113" s="1116">
        <f ca="1">Y113+COUNTA($Y$104:Y113)*0.001</f>
        <v>12.461693619535252</v>
      </c>
      <c r="AD113" s="322">
        <v>10</v>
      </c>
      <c r="AE113" s="12" t="s">
        <v>252</v>
      </c>
      <c r="AF113" s="448">
        <f>SUMIF('06. BC BH THEO CUSTOMER-USD'!$F:$F,'07. Chart_QUỐC GIA'!$AE113,'06. BC BH THEO CUSTOMER-USD'!DU:DU)</f>
        <v>0</v>
      </c>
      <c r="AG113" s="448">
        <f>SUMIF('06. BC BH THEO CUSTOMER-USD'!$F:$F,'07. Chart_QUỐC GIA'!$AE113,'06. BC BH THEO CUSTOMER-USD'!DV:DV)</f>
        <v>12451.693619535252</v>
      </c>
      <c r="AH113" s="448">
        <f>SUMIF('06. BC BH THEO CUSTOMER-USD'!$F:$F,'07. Chart_QUỐC GIA'!$AE113,'06. BC BH THEO CUSTOMER-USD'!DW:DW)</f>
        <v>0</v>
      </c>
      <c r="AI113" s="448">
        <f>SUMIF('06. BC BH THEO CUSTOMER-USD'!$F:$F,'07. Chart_QUỐC GIA'!$AE113,'06. BC BH THEO CUSTOMER-USD'!DX:DX)</f>
        <v>0</v>
      </c>
      <c r="AJ113" s="448">
        <f>SUMIF('06. BC BH THEO CUSTOMER-USD'!$F:$F,'07. Chart_QUỐC GIA'!$AE113,'06. BC BH THEO CUSTOMER-USD'!DY:DY)</f>
        <v>0</v>
      </c>
      <c r="AK113" s="448">
        <f>SUMIF('06. BC BH THEO CUSTOMER-USD'!$F:$F,'07. Chart_QUỐC GIA'!$AE113,'06. BC BH THEO CUSTOMER-USD'!DZ:DZ)</f>
        <v>0</v>
      </c>
      <c r="AL113" s="448">
        <f>SUMIF('06. BC BH THEO CUSTOMER-USD'!$F:$F,'07. Chart_QUỐC GIA'!$AE113,'06. BC BH THEO CUSTOMER-USD'!EA:EA)</f>
        <v>0</v>
      </c>
      <c r="AM113" s="448">
        <f>SUMIF('06. BC BH THEO CUSTOMER-USD'!$F:$F,'07. Chart_QUỐC GIA'!$AE113,'06. BC BH THEO CUSTOMER-USD'!EB:EB)</f>
        <v>0</v>
      </c>
      <c r="AN113" s="448">
        <f>SUMIF('06. BC BH THEO CUSTOMER-USD'!$F:$F,'07. Chart_QUỐC GIA'!$AE113,'06. BC BH THEO CUSTOMER-USD'!EC:EC)</f>
        <v>0</v>
      </c>
      <c r="AO113" s="448">
        <f>SUMIF('06. BC BH THEO CUSTOMER-USD'!$F:$F,'07. Chart_QUỐC GIA'!$AE113,'06. BC BH THEO CUSTOMER-USD'!ED:ED)</f>
        <v>0</v>
      </c>
      <c r="AP113" s="448">
        <f>SUMIF('06. BC BH THEO CUSTOMER-USD'!$F:$F,'07. Chart_QUỐC GIA'!$AE113,'06. BC BH THEO CUSTOMER-USD'!EE:EE)</f>
        <v>0</v>
      </c>
      <c r="AQ113" s="448">
        <f>SUMIF('06. BC BH THEO CUSTOMER-USD'!$F:$F,'07. Chart_QUỐC GIA'!$AE113,'06. BC BH THEO CUSTOMER-USD'!EF:EF)</f>
        <v>0</v>
      </c>
      <c r="AR113" s="640">
        <f t="shared" si="109"/>
        <v>12451.693619535252</v>
      </c>
      <c r="AS113" s="687">
        <f t="shared" ca="1" si="110"/>
        <v>12451.693619535252</v>
      </c>
      <c r="AT113" s="685"/>
      <c r="AV113" s="448">
        <v>0</v>
      </c>
      <c r="AW113" s="448">
        <v>0</v>
      </c>
      <c r="AX113" s="448">
        <v>0</v>
      </c>
      <c r="AY113" s="448">
        <v>0</v>
      </c>
      <c r="AZ113" s="448">
        <v>0</v>
      </c>
      <c r="BA113" s="448">
        <v>0</v>
      </c>
      <c r="BB113" s="448">
        <v>0</v>
      </c>
      <c r="BC113" s="448">
        <v>0</v>
      </c>
      <c r="BD113" s="448">
        <v>0</v>
      </c>
      <c r="BE113" s="448">
        <v>0</v>
      </c>
      <c r="BF113" s="448">
        <v>0</v>
      </c>
      <c r="BG113" s="448">
        <v>0</v>
      </c>
      <c r="BH113" s="640">
        <f t="shared" si="111"/>
        <v>0</v>
      </c>
      <c r="BI113" s="640">
        <f t="shared" ca="1" si="112"/>
        <v>0</v>
      </c>
    </row>
    <row r="114" spans="2:61" ht="15.5" hidden="1" outlineLevel="1" x14ac:dyDescent="0.35">
      <c r="B114" s="665">
        <v>11</v>
      </c>
      <c r="C114" s="666">
        <f t="shared" si="94"/>
        <v>0</v>
      </c>
      <c r="D114" s="667">
        <f t="shared" si="95"/>
        <v>0</v>
      </c>
      <c r="E114" s="545">
        <f t="shared" si="103"/>
        <v>0</v>
      </c>
      <c r="F114" s="667">
        <f t="shared" si="96"/>
        <v>0</v>
      </c>
      <c r="G114" s="545">
        <f t="shared" si="104"/>
        <v>0</v>
      </c>
      <c r="I114" s="654">
        <v>11</v>
      </c>
      <c r="J114" s="655" t="str">
        <f t="shared" si="105"/>
        <v>Korea</v>
      </c>
      <c r="K114" s="656">
        <f t="shared" si="97"/>
        <v>0</v>
      </c>
      <c r="L114" s="657" t="str">
        <f t="shared" si="98"/>
        <v>-</v>
      </c>
      <c r="M114" s="1114">
        <f>K114+COUNTA($K$104:K114)*0.001</f>
        <v>1.0999999999999999E-2</v>
      </c>
      <c r="P114" s="665">
        <v>11</v>
      </c>
      <c r="Q114" s="666" t="str">
        <f t="shared" ca="1" si="99"/>
        <v>Singapore</v>
      </c>
      <c r="R114" s="667">
        <f t="shared" ca="1" si="100"/>
        <v>17.234863464566907</v>
      </c>
      <c r="S114" s="668">
        <f t="shared" ca="1" si="106"/>
        <v>2.7876578672910994E-3</v>
      </c>
      <c r="T114" s="667">
        <f t="shared" ca="1" si="101"/>
        <v>-129.18195310483875</v>
      </c>
      <c r="U114" s="545">
        <f t="shared" ca="1" si="113"/>
        <v>-4.7784718456905092E-3</v>
      </c>
      <c r="W114" s="654">
        <v>11</v>
      </c>
      <c r="X114" s="655" t="str">
        <f t="shared" si="107"/>
        <v>Korea</v>
      </c>
      <c r="Y114" s="656">
        <f t="shared" ca="1" si="102"/>
        <v>0</v>
      </c>
      <c r="Z114" s="1115" t="str">
        <f t="shared" ca="1" si="108"/>
        <v>-</v>
      </c>
      <c r="AA114" s="1116">
        <f ca="1">Y114+COUNTA($Y$104:Y114)*0.001</f>
        <v>1.0999999999999999E-2</v>
      </c>
      <c r="AD114" s="322">
        <v>11</v>
      </c>
      <c r="AE114" s="12" t="s">
        <v>670</v>
      </c>
      <c r="AF114" s="448">
        <f>SUMIF('06. BC BH THEO CUSTOMER-USD'!$F:$F,'07. Chart_QUỐC GIA'!$AE114,'06. BC BH THEO CUSTOMER-USD'!DU:DU)</f>
        <v>0</v>
      </c>
      <c r="AG114" s="448">
        <f>SUMIF('06. BC BH THEO CUSTOMER-USD'!$F:$F,'07. Chart_QUỐC GIA'!$AE114,'06. BC BH THEO CUSTOMER-USD'!DV:DV)</f>
        <v>0</v>
      </c>
      <c r="AH114" s="448">
        <f>SUMIF('06. BC BH THEO CUSTOMER-USD'!$F:$F,'07. Chart_QUỐC GIA'!$AE114,'06. BC BH THEO CUSTOMER-USD'!DW:DW)</f>
        <v>0</v>
      </c>
      <c r="AI114" s="448">
        <f>SUMIF('06. BC BH THEO CUSTOMER-USD'!$F:$F,'07. Chart_QUỐC GIA'!$AE114,'06. BC BH THEO CUSTOMER-USD'!DX:DX)</f>
        <v>0</v>
      </c>
      <c r="AJ114" s="448">
        <f>SUMIF('06. BC BH THEO CUSTOMER-USD'!$F:$F,'07. Chart_QUỐC GIA'!$AE114,'06. BC BH THEO CUSTOMER-USD'!DY:DY)</f>
        <v>0</v>
      </c>
      <c r="AK114" s="448">
        <f>SUMIF('06. BC BH THEO CUSTOMER-USD'!$F:$F,'07. Chart_QUỐC GIA'!$AE114,'06. BC BH THEO CUSTOMER-USD'!DZ:DZ)</f>
        <v>0</v>
      </c>
      <c r="AL114" s="448">
        <f>SUMIF('06. BC BH THEO CUSTOMER-USD'!$F:$F,'07. Chart_QUỐC GIA'!$AE114,'06. BC BH THEO CUSTOMER-USD'!EA:EA)</f>
        <v>0</v>
      </c>
      <c r="AM114" s="448">
        <f>SUMIF('06. BC BH THEO CUSTOMER-USD'!$F:$F,'07. Chart_QUỐC GIA'!$AE114,'06. BC BH THEO CUSTOMER-USD'!EB:EB)</f>
        <v>0</v>
      </c>
      <c r="AN114" s="448">
        <f>SUMIF('06. BC BH THEO CUSTOMER-USD'!$F:$F,'07. Chart_QUỐC GIA'!$AE114,'06. BC BH THEO CUSTOMER-USD'!EC:EC)</f>
        <v>0</v>
      </c>
      <c r="AO114" s="448">
        <f>SUMIF('06. BC BH THEO CUSTOMER-USD'!$F:$F,'07. Chart_QUỐC GIA'!$AE114,'06. BC BH THEO CUSTOMER-USD'!ED:ED)</f>
        <v>0</v>
      </c>
      <c r="AP114" s="448">
        <f>SUMIF('06. BC BH THEO CUSTOMER-USD'!$F:$F,'07. Chart_QUỐC GIA'!$AE114,'06. BC BH THEO CUSTOMER-USD'!EE:EE)</f>
        <v>0</v>
      </c>
      <c r="AQ114" s="448">
        <f>SUMIF('06. BC BH THEO CUSTOMER-USD'!$F:$F,'07. Chart_QUỐC GIA'!$AE114,'06. BC BH THEO CUSTOMER-USD'!EF:EF)</f>
        <v>0</v>
      </c>
      <c r="AR114" s="640">
        <f t="shared" si="109"/>
        <v>0</v>
      </c>
      <c r="AS114" s="687">
        <f t="shared" ca="1" si="110"/>
        <v>0</v>
      </c>
      <c r="AT114" s="685"/>
      <c r="AV114" s="448">
        <v>0</v>
      </c>
      <c r="AW114" s="448">
        <v>0</v>
      </c>
      <c r="AX114" s="448">
        <v>0</v>
      </c>
      <c r="AY114" s="448">
        <v>0</v>
      </c>
      <c r="AZ114" s="448">
        <v>0</v>
      </c>
      <c r="BA114" s="448">
        <v>0</v>
      </c>
      <c r="BB114" s="448">
        <v>0</v>
      </c>
      <c r="BC114" s="448">
        <v>0</v>
      </c>
      <c r="BD114" s="448">
        <v>0</v>
      </c>
      <c r="BE114" s="448">
        <v>0</v>
      </c>
      <c r="BF114" s="448">
        <v>0</v>
      </c>
      <c r="BG114" s="448">
        <v>0</v>
      </c>
      <c r="BH114" s="640">
        <f>SUM(AV114:BG114)</f>
        <v>0</v>
      </c>
      <c r="BI114" s="640">
        <f t="shared" ca="1" si="112"/>
        <v>0</v>
      </c>
    </row>
    <row r="115" spans="2:61" hidden="1" outlineLevel="1" x14ac:dyDescent="0.35">
      <c r="B115" s="665">
        <v>12</v>
      </c>
      <c r="C115" s="666">
        <f t="shared" si="94"/>
        <v>0</v>
      </c>
      <c r="D115" s="667">
        <f t="shared" si="95"/>
        <v>0</v>
      </c>
      <c r="E115" s="545">
        <f t="shared" si="103"/>
        <v>0</v>
      </c>
      <c r="F115" s="667">
        <f t="shared" si="96"/>
        <v>0</v>
      </c>
      <c r="G115" s="545">
        <f t="shared" si="104"/>
        <v>0</v>
      </c>
      <c r="I115" s="654">
        <v>12</v>
      </c>
      <c r="J115" s="655" t="str">
        <f t="shared" si="105"/>
        <v>Mexico</v>
      </c>
      <c r="K115" s="656">
        <f t="shared" si="97"/>
        <v>0</v>
      </c>
      <c r="L115" s="657" t="str">
        <f t="shared" si="98"/>
        <v>-</v>
      </c>
      <c r="M115" s="1114">
        <f>K115+COUNTA($K$104:K115)*0.001</f>
        <v>1.2E-2</v>
      </c>
      <c r="P115" s="665">
        <v>12</v>
      </c>
      <c r="Q115" s="666" t="str">
        <f t="shared" ca="1" si="99"/>
        <v>Hy Lạp</v>
      </c>
      <c r="R115" s="667">
        <f t="shared" ca="1" si="100"/>
        <v>17.133496171787613</v>
      </c>
      <c r="S115" s="545">
        <f t="shared" ca="1" si="106"/>
        <v>2.7712621858409303E-3</v>
      </c>
      <c r="T115" s="667">
        <f t="shared" ca="1" si="101"/>
        <v>16.378013551020405</v>
      </c>
      <c r="U115" s="545">
        <f t="shared" ca="1" si="113"/>
        <v>6.0582670226679838E-4</v>
      </c>
      <c r="W115" s="654">
        <v>12</v>
      </c>
      <c r="X115" s="655" t="str">
        <f t="shared" si="107"/>
        <v>Mexico</v>
      </c>
      <c r="Y115" s="656">
        <f t="shared" ca="1" si="102"/>
        <v>-2.8404819010114442</v>
      </c>
      <c r="Z115" s="1140">
        <v>17</v>
      </c>
      <c r="AA115" s="1116">
        <f ca="1">Y115+COUNTA($Y$104:Y115)*0.001</f>
        <v>-2.8284819010114441</v>
      </c>
      <c r="AD115" s="322">
        <v>12</v>
      </c>
      <c r="AE115" s="36" t="s">
        <v>229</v>
      </c>
      <c r="AF115" s="448">
        <f>SUMIF('06. BC BH THEO CUSTOMER-USD'!$F:$F,'07. Chart_QUỐC GIA'!$AE115,'06. BC BH THEO CUSTOMER-USD'!DU:DU)</f>
        <v>0</v>
      </c>
      <c r="AG115" s="448">
        <f>SUMIF('06. BC BH THEO CUSTOMER-USD'!$F:$F,'07. Chart_QUỐC GIA'!$AE115,'06. BC BH THEO CUSTOMER-USD'!DV:DV)</f>
        <v>0</v>
      </c>
      <c r="AH115" s="448">
        <f>SUMIF('06. BC BH THEO CUSTOMER-USD'!$F:$F,'07. Chart_QUỐC GIA'!$AE115,'06. BC BH THEO CUSTOMER-USD'!DW:DW)</f>
        <v>-1857.8973622047222</v>
      </c>
      <c r="AI115" s="448">
        <f>SUMIF('06. BC BH THEO CUSTOMER-USD'!$F:$F,'07. Chart_QUỐC GIA'!$AE115,'06. BC BH THEO CUSTOMER-USD'!DX:DX)</f>
        <v>0</v>
      </c>
      <c r="AJ115" s="448">
        <f>SUMIF('06. BC BH THEO CUSTOMER-USD'!$F:$F,'07. Chart_QUỐC GIA'!$AE115,'06. BC BH THEO CUSTOMER-USD'!DY:DY)</f>
        <v>0</v>
      </c>
      <c r="AK115" s="448">
        <f>SUMIF('06. BC BH THEO CUSTOMER-USD'!$F:$F,'07. Chart_QUỐC GIA'!$AE115,'06. BC BH THEO CUSTOMER-USD'!DZ:DZ)</f>
        <v>-575.54131944444543</v>
      </c>
      <c r="AL115" s="448">
        <f>SUMIF('06. BC BH THEO CUSTOMER-USD'!$F:$F,'07. Chart_QUỐC GIA'!$AE115,'06. BC BH THEO CUSTOMER-USD'!EA:EA)</f>
        <v>-407.04321936227643</v>
      </c>
      <c r="AM115" s="448">
        <f>SUMIF('06. BC BH THEO CUSTOMER-USD'!$F:$F,'07. Chart_QUỐC GIA'!$AE115,'06. BC BH THEO CUSTOMER-USD'!EB:EB)</f>
        <v>0</v>
      </c>
      <c r="AN115" s="448">
        <f>SUMIF('06. BC BH THEO CUSTOMER-USD'!$F:$F,'07. Chart_QUỐC GIA'!$AE115,'06. BC BH THEO CUSTOMER-USD'!EC:EC)</f>
        <v>-639.08251428571384</v>
      </c>
      <c r="AO115" s="448">
        <f>SUMIF('06. BC BH THEO CUSTOMER-USD'!$F:$F,'07. Chart_QUỐC GIA'!$AE115,'06. BC BH THEO CUSTOMER-USD'!ED:ED)</f>
        <v>0</v>
      </c>
      <c r="AP115" s="448">
        <f>SUMIF('06. BC BH THEO CUSTOMER-USD'!$F:$F,'07. Chart_QUỐC GIA'!$AE115,'06. BC BH THEO CUSTOMER-USD'!EE:EE)</f>
        <v>0</v>
      </c>
      <c r="AQ115" s="448">
        <f>SUMIF('06. BC BH THEO CUSTOMER-USD'!$F:$F,'07. Chart_QUỐC GIA'!$AE115,'06. BC BH THEO CUSTOMER-USD'!EF:EF)</f>
        <v>0</v>
      </c>
      <c r="AR115" s="640">
        <f t="shared" si="109"/>
        <v>-3479.5644152971581</v>
      </c>
      <c r="AS115" s="687">
        <f t="shared" ca="1" si="110"/>
        <v>-2840.4819010114443</v>
      </c>
      <c r="AT115" s="685"/>
      <c r="AV115" s="448">
        <v>0</v>
      </c>
      <c r="AW115" s="448">
        <v>43184.66285714283</v>
      </c>
      <c r="AX115" s="448">
        <v>42411.003629032261</v>
      </c>
      <c r="AY115" s="448">
        <v>0</v>
      </c>
      <c r="AZ115" s="448">
        <v>40387.651400000002</v>
      </c>
      <c r="BA115" s="448">
        <v>13861.183854372772</v>
      </c>
      <c r="BB115" s="448">
        <v>10372.189088012747</v>
      </c>
      <c r="BC115" s="448">
        <v>19169.355402670986</v>
      </c>
      <c r="BD115" s="448">
        <v>0</v>
      </c>
      <c r="BE115" s="448">
        <v>0</v>
      </c>
      <c r="BF115" s="448">
        <v>0</v>
      </c>
      <c r="BG115" s="448">
        <v>-6617.3703440094905</v>
      </c>
      <c r="BH115" s="640">
        <f t="shared" ref="BH115:BH123" si="114">SUM(AV115:BG115)</f>
        <v>162768.67588722211</v>
      </c>
      <c r="BI115" s="640">
        <f t="shared" ca="1" si="112"/>
        <v>169386.04623123159</v>
      </c>
    </row>
    <row r="116" spans="2:61" ht="15.5" hidden="1" outlineLevel="1" x14ac:dyDescent="0.35">
      <c r="B116" s="665">
        <v>13</v>
      </c>
      <c r="C116" s="666">
        <f t="shared" si="94"/>
        <v>0</v>
      </c>
      <c r="D116" s="667">
        <f t="shared" si="95"/>
        <v>0</v>
      </c>
      <c r="E116" s="545">
        <f t="shared" si="103"/>
        <v>0</v>
      </c>
      <c r="F116" s="667">
        <f t="shared" si="96"/>
        <v>0</v>
      </c>
      <c r="G116" s="545">
        <f t="shared" si="104"/>
        <v>0</v>
      </c>
      <c r="I116" s="654">
        <v>13</v>
      </c>
      <c r="J116" s="655" t="str">
        <f t="shared" si="105"/>
        <v>Nhật</v>
      </c>
      <c r="K116" s="656">
        <f t="shared" si="97"/>
        <v>0</v>
      </c>
      <c r="L116" s="657" t="str">
        <f t="shared" si="98"/>
        <v>-</v>
      </c>
      <c r="M116" s="1114">
        <f>K116+COUNTA($K$104:K116)*0.001</f>
        <v>1.3000000000000001E-2</v>
      </c>
      <c r="P116" s="665">
        <v>13</v>
      </c>
      <c r="Q116" s="666" t="str">
        <f t="shared" ca="1" si="99"/>
        <v>Bulgaria</v>
      </c>
      <c r="R116" s="667">
        <f t="shared" ca="1" si="100"/>
        <v>14.509887220207187</v>
      </c>
      <c r="S116" s="545">
        <f t="shared" ca="1" si="106"/>
        <v>2.3469058136767534E-3</v>
      </c>
      <c r="T116" s="667">
        <f t="shared" ca="1" si="101"/>
        <v>0</v>
      </c>
      <c r="U116" s="545">
        <f t="shared" ca="1" si="113"/>
        <v>0</v>
      </c>
      <c r="W116" s="654">
        <v>13</v>
      </c>
      <c r="X116" s="655" t="str">
        <f t="shared" si="107"/>
        <v>Nhật</v>
      </c>
      <c r="Y116" s="656">
        <f t="shared" ca="1" si="102"/>
        <v>58.269527502549984</v>
      </c>
      <c r="Z116" s="1115">
        <f t="shared" ca="1" si="108"/>
        <v>6</v>
      </c>
      <c r="AA116" s="1116">
        <f ca="1">Y116+COUNTA($Y$104:Y116)*0.001</f>
        <v>58.282527502549982</v>
      </c>
      <c r="AD116" s="322">
        <v>13</v>
      </c>
      <c r="AE116" s="31" t="s">
        <v>251</v>
      </c>
      <c r="AF116" s="448">
        <f>SUMIF('06. BC BH THEO CUSTOMER-USD'!$F:$F,'07. Chart_QUỐC GIA'!$AE116,'06. BC BH THEO CUSTOMER-USD'!DU:DU)</f>
        <v>404.85246888799679</v>
      </c>
      <c r="AG116" s="448">
        <f>SUMIF('06. BC BH THEO CUSTOMER-USD'!$F:$F,'07. Chart_QUỐC GIA'!$AE116,'06. BC BH THEO CUSTOMER-USD'!DV:DV)</f>
        <v>0</v>
      </c>
      <c r="AH116" s="448">
        <f>SUMIF('06. BC BH THEO CUSTOMER-USD'!$F:$F,'07. Chart_QUỐC GIA'!$AE116,'06. BC BH THEO CUSTOMER-USD'!DW:DW)</f>
        <v>0</v>
      </c>
      <c r="AI116" s="448">
        <f>SUMIF('06. BC BH THEO CUSTOMER-USD'!$F:$F,'07. Chart_QUỐC GIA'!$AE116,'06. BC BH THEO CUSTOMER-USD'!DX:DX)</f>
        <v>30292.012349980636</v>
      </c>
      <c r="AJ116" s="448">
        <f>SUMIF('06. BC BH THEO CUSTOMER-USD'!$F:$F,'07. Chart_QUỐC GIA'!$AE116,'06. BC BH THEO CUSTOMER-USD'!DY:DY)</f>
        <v>27572.662683681352</v>
      </c>
      <c r="AK116" s="448">
        <f>SUMIF('06. BC BH THEO CUSTOMER-USD'!$F:$F,'07. Chart_QUỐC GIA'!$AE116,'06. BC BH THEO CUSTOMER-USD'!DZ:DZ)</f>
        <v>0</v>
      </c>
      <c r="AL116" s="448">
        <f>SUMIF('06. BC BH THEO CUSTOMER-USD'!$F:$F,'07. Chart_QUỐC GIA'!$AE116,'06. BC BH THEO CUSTOMER-USD'!EA:EA)</f>
        <v>0</v>
      </c>
      <c r="AM116" s="448">
        <f>SUMIF('06. BC BH THEO CUSTOMER-USD'!$F:$F,'07. Chart_QUỐC GIA'!$AE116,'06. BC BH THEO CUSTOMER-USD'!EB:EB)</f>
        <v>0</v>
      </c>
      <c r="AN116" s="448">
        <f>SUMIF('06. BC BH THEO CUSTOMER-USD'!$F:$F,'07. Chart_QUỐC GIA'!$AE116,'06. BC BH THEO CUSTOMER-USD'!EC:EC)</f>
        <v>0</v>
      </c>
      <c r="AO116" s="448">
        <f>SUMIF('06. BC BH THEO CUSTOMER-USD'!$F:$F,'07. Chart_QUỐC GIA'!$AE116,'06. BC BH THEO CUSTOMER-USD'!ED:ED)</f>
        <v>0</v>
      </c>
      <c r="AP116" s="448">
        <f>SUMIF('06. BC BH THEO CUSTOMER-USD'!$F:$F,'07. Chart_QUỐC GIA'!$AE116,'06. BC BH THEO CUSTOMER-USD'!EE:EE)</f>
        <v>0</v>
      </c>
      <c r="AQ116" s="448">
        <f>SUMIF('06. BC BH THEO CUSTOMER-USD'!$F:$F,'07. Chart_QUỐC GIA'!$AE116,'06. BC BH THEO CUSTOMER-USD'!EF:EF)</f>
        <v>0</v>
      </c>
      <c r="AR116" s="640">
        <f t="shared" si="109"/>
        <v>58269.527502549987</v>
      </c>
      <c r="AS116" s="687">
        <f t="shared" ca="1" si="110"/>
        <v>58269.527502549987</v>
      </c>
      <c r="AT116" s="685"/>
      <c r="AV116" s="448">
        <v>0</v>
      </c>
      <c r="AW116" s="448">
        <v>0</v>
      </c>
      <c r="AX116" s="448">
        <v>0</v>
      </c>
      <c r="AY116" s="448">
        <v>157.31198387096765</v>
      </c>
      <c r="AZ116" s="448">
        <v>0</v>
      </c>
      <c r="BA116" s="448">
        <v>0</v>
      </c>
      <c r="BB116" s="448">
        <v>-373.52891278375159</v>
      </c>
      <c r="BC116" s="448">
        <v>0</v>
      </c>
      <c r="BD116" s="448">
        <v>755.2163599182004</v>
      </c>
      <c r="BE116" s="448">
        <v>0</v>
      </c>
      <c r="BF116" s="448">
        <v>0</v>
      </c>
      <c r="BG116" s="448">
        <v>0</v>
      </c>
      <c r="BH116" s="640">
        <f t="shared" si="114"/>
        <v>538.99943100541645</v>
      </c>
      <c r="BI116" s="640">
        <f t="shared" ca="1" si="112"/>
        <v>-216.21692891278394</v>
      </c>
    </row>
    <row r="117" spans="2:61" ht="15.5" hidden="1" outlineLevel="1" x14ac:dyDescent="0.35">
      <c r="B117" s="665">
        <v>14</v>
      </c>
      <c r="C117" s="666">
        <f t="shared" si="94"/>
        <v>0</v>
      </c>
      <c r="D117" s="667">
        <f t="shared" si="95"/>
        <v>0</v>
      </c>
      <c r="E117" s="545">
        <f t="shared" si="103"/>
        <v>0</v>
      </c>
      <c r="F117" s="667">
        <f t="shared" si="96"/>
        <v>0</v>
      </c>
      <c r="G117" s="545">
        <f t="shared" si="104"/>
        <v>0</v>
      </c>
      <c r="I117" s="654">
        <v>14</v>
      </c>
      <c r="J117" s="655" t="str">
        <f t="shared" si="105"/>
        <v>Phần Lan</v>
      </c>
      <c r="K117" s="656">
        <f t="shared" si="97"/>
        <v>0</v>
      </c>
      <c r="L117" s="657" t="str">
        <f t="shared" si="98"/>
        <v>-</v>
      </c>
      <c r="M117" s="1114">
        <f>K117+COUNTA($K$104:K117)*0.001</f>
        <v>1.4E-2</v>
      </c>
      <c r="P117" s="665">
        <v>14</v>
      </c>
      <c r="Q117" s="666" t="str">
        <f t="shared" ca="1" si="99"/>
        <v>Italy</v>
      </c>
      <c r="R117" s="667">
        <f t="shared" ca="1" si="100"/>
        <v>12.451693619535252</v>
      </c>
      <c r="S117" s="545">
        <f t="shared" ca="1" si="106"/>
        <v>2.0140027074167532E-3</v>
      </c>
      <c r="T117" s="667">
        <f t="shared" ca="1" si="101"/>
        <v>0</v>
      </c>
      <c r="U117" s="545">
        <f t="shared" ca="1" si="113"/>
        <v>0</v>
      </c>
      <c r="W117" s="654">
        <v>14</v>
      </c>
      <c r="X117" s="655" t="str">
        <f t="shared" si="107"/>
        <v>Phần Lan</v>
      </c>
      <c r="Y117" s="656">
        <f t="shared" ca="1" si="102"/>
        <v>0</v>
      </c>
      <c r="Z117" s="1115" t="str">
        <f t="shared" ca="1" si="108"/>
        <v>-</v>
      </c>
      <c r="AA117" s="1116">
        <f ca="1">Y117+COUNTA($Y$104:Y117)*0.001</f>
        <v>1.4E-2</v>
      </c>
      <c r="AD117" s="322">
        <v>14</v>
      </c>
      <c r="AE117" s="31" t="s">
        <v>255</v>
      </c>
      <c r="AF117" s="448">
        <f>SUMIF('06. BC BH THEO CUSTOMER-USD'!$F:$F,'07. Chart_QUỐC GIA'!$AE117,'06. BC BH THEO CUSTOMER-USD'!DU:DU)</f>
        <v>0</v>
      </c>
      <c r="AG117" s="448">
        <f>SUMIF('06. BC BH THEO CUSTOMER-USD'!$F:$F,'07. Chart_QUỐC GIA'!$AE117,'06. BC BH THEO CUSTOMER-USD'!DV:DV)</f>
        <v>0</v>
      </c>
      <c r="AH117" s="448">
        <f>SUMIF('06. BC BH THEO CUSTOMER-USD'!$F:$F,'07. Chart_QUỐC GIA'!$AE117,'06. BC BH THEO CUSTOMER-USD'!DW:DW)</f>
        <v>0</v>
      </c>
      <c r="AI117" s="448">
        <f>SUMIF('06. BC BH THEO CUSTOMER-USD'!$F:$F,'07. Chart_QUỐC GIA'!$AE117,'06. BC BH THEO CUSTOMER-USD'!DX:DX)</f>
        <v>0</v>
      </c>
      <c r="AJ117" s="448">
        <f>SUMIF('06. BC BH THEO CUSTOMER-USD'!$F:$F,'07. Chart_QUỐC GIA'!$AE117,'06. BC BH THEO CUSTOMER-USD'!DY:DY)</f>
        <v>0</v>
      </c>
      <c r="AK117" s="448">
        <f>SUMIF('06. BC BH THEO CUSTOMER-USD'!$F:$F,'07. Chart_QUỐC GIA'!$AE117,'06. BC BH THEO CUSTOMER-USD'!DZ:DZ)</f>
        <v>0</v>
      </c>
      <c r="AL117" s="448">
        <f>SUMIF('06. BC BH THEO CUSTOMER-USD'!$F:$F,'07. Chart_QUỐC GIA'!$AE117,'06. BC BH THEO CUSTOMER-USD'!EA:EA)</f>
        <v>0</v>
      </c>
      <c r="AM117" s="448">
        <f>SUMIF('06. BC BH THEO CUSTOMER-USD'!$F:$F,'07. Chart_QUỐC GIA'!$AE117,'06. BC BH THEO CUSTOMER-USD'!EB:EB)</f>
        <v>0</v>
      </c>
      <c r="AN117" s="448">
        <f>SUMIF('06. BC BH THEO CUSTOMER-USD'!$F:$F,'07. Chart_QUỐC GIA'!$AE117,'06. BC BH THEO CUSTOMER-USD'!EC:EC)</f>
        <v>0</v>
      </c>
      <c r="AO117" s="448">
        <f>SUMIF('06. BC BH THEO CUSTOMER-USD'!$F:$F,'07. Chart_QUỐC GIA'!$AE117,'06. BC BH THEO CUSTOMER-USD'!ED:ED)</f>
        <v>0</v>
      </c>
      <c r="AP117" s="448">
        <f>SUMIF('06. BC BH THEO CUSTOMER-USD'!$F:$F,'07. Chart_QUỐC GIA'!$AE117,'06. BC BH THEO CUSTOMER-USD'!EE:EE)</f>
        <v>0</v>
      </c>
      <c r="AQ117" s="448">
        <f>SUMIF('06. BC BH THEO CUSTOMER-USD'!$F:$F,'07. Chart_QUỐC GIA'!$AE117,'06. BC BH THEO CUSTOMER-USD'!EF:EF)</f>
        <v>0</v>
      </c>
      <c r="AR117" s="640">
        <f t="shared" si="109"/>
        <v>0</v>
      </c>
      <c r="AS117" s="687">
        <f t="shared" ca="1" si="110"/>
        <v>0</v>
      </c>
      <c r="AT117" s="685"/>
      <c r="AV117" s="448">
        <v>0</v>
      </c>
      <c r="AW117" s="448">
        <v>0</v>
      </c>
      <c r="AX117" s="448">
        <v>0</v>
      </c>
      <c r="AY117" s="448">
        <v>0</v>
      </c>
      <c r="AZ117" s="448">
        <v>0</v>
      </c>
      <c r="BA117" s="448">
        <v>0</v>
      </c>
      <c r="BB117" s="448">
        <v>0</v>
      </c>
      <c r="BC117" s="448">
        <v>0</v>
      </c>
      <c r="BD117" s="448">
        <v>0</v>
      </c>
      <c r="BE117" s="448">
        <v>0</v>
      </c>
      <c r="BF117" s="448">
        <v>0</v>
      </c>
      <c r="BG117" s="448">
        <v>0</v>
      </c>
      <c r="BH117" s="640">
        <f t="shared" si="114"/>
        <v>0</v>
      </c>
      <c r="BI117" s="640">
        <f t="shared" ca="1" si="112"/>
        <v>0</v>
      </c>
    </row>
    <row r="118" spans="2:61" ht="15.5" hidden="1" outlineLevel="1" x14ac:dyDescent="0.35">
      <c r="B118" s="665">
        <v>15</v>
      </c>
      <c r="C118" s="666">
        <f t="shared" si="94"/>
        <v>0</v>
      </c>
      <c r="D118" s="667">
        <f t="shared" si="95"/>
        <v>0</v>
      </c>
      <c r="E118" s="545">
        <f t="shared" si="103"/>
        <v>0</v>
      </c>
      <c r="F118" s="667">
        <f t="shared" si="96"/>
        <v>0</v>
      </c>
      <c r="G118" s="545">
        <f t="shared" si="104"/>
        <v>0</v>
      </c>
      <c r="I118" s="654">
        <v>15</v>
      </c>
      <c r="J118" s="655" t="str">
        <f t="shared" si="105"/>
        <v>Singapore</v>
      </c>
      <c r="K118" s="656">
        <f t="shared" si="97"/>
        <v>0</v>
      </c>
      <c r="L118" s="657" t="str">
        <f t="shared" si="98"/>
        <v>-</v>
      </c>
      <c r="M118" s="1114">
        <f>K118+COUNTA($K$104:K118)*0.001</f>
        <v>1.4999999999999999E-2</v>
      </c>
      <c r="P118" s="665">
        <v>15</v>
      </c>
      <c r="Q118" s="666" t="str">
        <f t="shared" ca="1" si="99"/>
        <v>Pháp</v>
      </c>
      <c r="R118" s="667">
        <f t="shared" ca="1" si="100"/>
        <v>7.7829660104066933</v>
      </c>
      <c r="S118" s="545">
        <f t="shared" ca="1" si="106"/>
        <v>1.2588580393673948E-3</v>
      </c>
      <c r="T118" s="667">
        <f t="shared" ca="1" si="101"/>
        <v>0</v>
      </c>
      <c r="U118" s="545">
        <f t="shared" ca="1" si="113"/>
        <v>0</v>
      </c>
      <c r="W118" s="654">
        <v>15</v>
      </c>
      <c r="X118" s="655" t="str">
        <f t="shared" si="107"/>
        <v>Singapore</v>
      </c>
      <c r="Y118" s="656">
        <f t="shared" ca="1" si="102"/>
        <v>17.234863464566907</v>
      </c>
      <c r="Z118" s="1115">
        <f t="shared" ca="1" si="108"/>
        <v>11</v>
      </c>
      <c r="AA118" s="1116">
        <f ca="1">Y118+COUNTA($Y$104:Y118)*0.001</f>
        <v>17.249863464566907</v>
      </c>
      <c r="AD118" s="322">
        <v>15</v>
      </c>
      <c r="AE118" s="12" t="s">
        <v>248</v>
      </c>
      <c r="AF118" s="448">
        <f>SUMIF('06. BC BH THEO CUSTOMER-USD'!$F:$F,'07. Chart_QUỐC GIA'!$AE118,'06. BC BH THEO CUSTOMER-USD'!DU:DU)</f>
        <v>0</v>
      </c>
      <c r="AG118" s="448">
        <f>SUMIF('06. BC BH THEO CUSTOMER-USD'!$F:$F,'07. Chart_QUỐC GIA'!$AE118,'06. BC BH THEO CUSTOMER-USD'!DV:DV)</f>
        <v>0</v>
      </c>
      <c r="AH118" s="448">
        <f>SUMIF('06. BC BH THEO CUSTOMER-USD'!$F:$F,'07. Chart_QUỐC GIA'!$AE118,'06. BC BH THEO CUSTOMER-USD'!DW:DW)</f>
        <v>17234.863464566908</v>
      </c>
      <c r="AI118" s="448">
        <f>SUMIF('06. BC BH THEO CUSTOMER-USD'!$F:$F,'07. Chart_QUỐC GIA'!$AE118,'06. BC BH THEO CUSTOMER-USD'!DX:DX)</f>
        <v>0</v>
      </c>
      <c r="AJ118" s="448">
        <f>SUMIF('06. BC BH THEO CUSTOMER-USD'!$F:$F,'07. Chart_QUỐC GIA'!$AE118,'06. BC BH THEO CUSTOMER-USD'!DY:DY)</f>
        <v>0</v>
      </c>
      <c r="AK118" s="448">
        <f>SUMIF('06. BC BH THEO CUSTOMER-USD'!$F:$F,'07. Chart_QUỐC GIA'!$AE118,'06. BC BH THEO CUSTOMER-USD'!DZ:DZ)</f>
        <v>0</v>
      </c>
      <c r="AL118" s="448">
        <f>SUMIF('06. BC BH THEO CUSTOMER-USD'!$F:$F,'07. Chart_QUỐC GIA'!$AE118,'06. BC BH THEO CUSTOMER-USD'!EA:EA)</f>
        <v>0</v>
      </c>
      <c r="AM118" s="448">
        <f>SUMIF('06. BC BH THEO CUSTOMER-USD'!$F:$F,'07. Chart_QUỐC GIA'!$AE118,'06. BC BH THEO CUSTOMER-USD'!EB:EB)</f>
        <v>0</v>
      </c>
      <c r="AN118" s="448">
        <f>SUMIF('06. BC BH THEO CUSTOMER-USD'!$F:$F,'07. Chart_QUỐC GIA'!$AE118,'06. BC BH THEO CUSTOMER-USD'!EC:EC)</f>
        <v>0</v>
      </c>
      <c r="AO118" s="448">
        <f>SUMIF('06. BC BH THEO CUSTOMER-USD'!$F:$F,'07. Chart_QUỐC GIA'!$AE118,'06. BC BH THEO CUSTOMER-USD'!ED:ED)</f>
        <v>0</v>
      </c>
      <c r="AP118" s="448">
        <f>SUMIF('06. BC BH THEO CUSTOMER-USD'!$F:$F,'07. Chart_QUỐC GIA'!$AE118,'06. BC BH THEO CUSTOMER-USD'!EE:EE)</f>
        <v>0</v>
      </c>
      <c r="AQ118" s="448">
        <f>SUMIF('06. BC BH THEO CUSTOMER-USD'!$F:$F,'07. Chart_QUỐC GIA'!$AE118,'06. BC BH THEO CUSTOMER-USD'!EF:EF)</f>
        <v>0</v>
      </c>
      <c r="AR118" s="640">
        <f t="shared" si="109"/>
        <v>17234.863464566908</v>
      </c>
      <c r="AS118" s="687">
        <f t="shared" ca="1" si="110"/>
        <v>17234.863464566908</v>
      </c>
      <c r="AT118" s="685"/>
      <c r="AV118" s="448">
        <v>0</v>
      </c>
      <c r="AW118" s="448">
        <v>0</v>
      </c>
      <c r="AX118" s="448">
        <v>-74547.594395161286</v>
      </c>
      <c r="AY118" s="448">
        <v>65928.911290322547</v>
      </c>
      <c r="AZ118" s="448">
        <v>-120563.27000000002</v>
      </c>
      <c r="BA118" s="448">
        <v>0</v>
      </c>
      <c r="BB118" s="448">
        <v>0</v>
      </c>
      <c r="BC118" s="448">
        <v>0</v>
      </c>
      <c r="BD118" s="448">
        <v>0</v>
      </c>
      <c r="BE118" s="448">
        <v>0</v>
      </c>
      <c r="BF118" s="448">
        <v>0</v>
      </c>
      <c r="BG118" s="448">
        <v>0</v>
      </c>
      <c r="BH118" s="640">
        <f t="shared" si="114"/>
        <v>-129181.95310483876</v>
      </c>
      <c r="BI118" s="640">
        <f t="shared" ca="1" si="112"/>
        <v>-129181.95310483876</v>
      </c>
    </row>
    <row r="119" spans="2:61" ht="15.5" hidden="1" outlineLevel="1" x14ac:dyDescent="0.35">
      <c r="B119" s="665">
        <v>16</v>
      </c>
      <c r="C119" s="666">
        <f t="shared" si="94"/>
        <v>0</v>
      </c>
      <c r="D119" s="667">
        <f t="shared" si="95"/>
        <v>0</v>
      </c>
      <c r="E119" s="545">
        <f t="shared" si="103"/>
        <v>0</v>
      </c>
      <c r="F119" s="667">
        <f t="shared" si="96"/>
        <v>0</v>
      </c>
      <c r="G119" s="545">
        <f t="shared" si="104"/>
        <v>0</v>
      </c>
      <c r="I119" s="654">
        <v>16</v>
      </c>
      <c r="J119" s="655" t="str">
        <f t="shared" si="105"/>
        <v>Thụy Sĩ</v>
      </c>
      <c r="K119" s="656">
        <f t="shared" si="97"/>
        <v>0</v>
      </c>
      <c r="L119" s="657" t="str">
        <f t="shared" si="98"/>
        <v>-</v>
      </c>
      <c r="M119" s="1114">
        <f>K119+COUNTA($K$104:K119)*0.001</f>
        <v>1.6E-2</v>
      </c>
      <c r="P119" s="665">
        <v>16</v>
      </c>
      <c r="Q119" s="666" t="str">
        <f t="shared" ca="1" si="99"/>
        <v>Canada</v>
      </c>
      <c r="R119" s="667">
        <f t="shared" ca="1" si="100"/>
        <v>3.4385262848590812</v>
      </c>
      <c r="S119" s="545">
        <f t="shared" ca="1" si="106"/>
        <v>5.56165406797757E-4</v>
      </c>
      <c r="T119" s="667">
        <f t="shared" ca="1" si="101"/>
        <v>0</v>
      </c>
      <c r="U119" s="545">
        <f t="shared" ca="1" si="113"/>
        <v>0</v>
      </c>
      <c r="W119" s="654">
        <v>16</v>
      </c>
      <c r="X119" s="655" t="str">
        <f t="shared" si="107"/>
        <v>Thụy Sĩ</v>
      </c>
      <c r="Y119" s="656">
        <f t="shared" ca="1" si="102"/>
        <v>103.20207323211874</v>
      </c>
      <c r="Z119" s="1115">
        <f t="shared" ca="1" si="108"/>
        <v>5</v>
      </c>
      <c r="AA119" s="1116">
        <f ca="1">Y119+COUNTA($Y$104:Y119)*0.001</f>
        <v>103.21807323211874</v>
      </c>
      <c r="AD119" s="322">
        <v>16</v>
      </c>
      <c r="AE119" s="31" t="s">
        <v>733</v>
      </c>
      <c r="AF119" s="448">
        <f>SUMIF('06. BC BH THEO CUSTOMER-USD'!$F:$F,'07. Chart_QUỐC GIA'!$AE119,'06. BC BH THEO CUSTOMER-USD'!DU:DU)</f>
        <v>0</v>
      </c>
      <c r="AG119" s="448">
        <f>SUMIF('06. BC BH THEO CUSTOMER-USD'!$F:$F,'07. Chart_QUỐC GIA'!$AE119,'06. BC BH THEO CUSTOMER-USD'!DV:DV)</f>
        <v>86672.027215439157</v>
      </c>
      <c r="AH119" s="448">
        <f>SUMIF('06. BC BH THEO CUSTOMER-USD'!$F:$F,'07. Chart_QUỐC GIA'!$AE119,'06. BC BH THEO CUSTOMER-USD'!DW:DW)</f>
        <v>0</v>
      </c>
      <c r="AI119" s="448">
        <f>SUMIF('06. BC BH THEO CUSTOMER-USD'!$F:$F,'07. Chart_QUỐC GIA'!$AE119,'06. BC BH THEO CUSTOMER-USD'!DX:DX)</f>
        <v>6023.599070847853</v>
      </c>
      <c r="AJ119" s="448">
        <f>SUMIF('06. BC BH THEO CUSTOMER-USD'!$F:$F,'07. Chart_QUỐC GIA'!$AE119,'06. BC BH THEO CUSTOMER-USD'!DY:DY)</f>
        <v>0</v>
      </c>
      <c r="AK119" s="448">
        <f>SUMIF('06. BC BH THEO CUSTOMER-USD'!$F:$F,'07. Chart_QUỐC GIA'!$AE119,'06. BC BH THEO CUSTOMER-USD'!DZ:DZ)</f>
        <v>0</v>
      </c>
      <c r="AL119" s="448">
        <f>SUMIF('06. BC BH THEO CUSTOMER-USD'!$F:$F,'07. Chart_QUỐC GIA'!$AE119,'06. BC BH THEO CUSTOMER-USD'!EA:EA)</f>
        <v>10506.446945831733</v>
      </c>
      <c r="AM119" s="448">
        <f>SUMIF('06. BC BH THEO CUSTOMER-USD'!$F:$F,'07. Chart_QUỐC GIA'!$AE119,'06. BC BH THEO CUSTOMER-USD'!EB:EB)</f>
        <v>0</v>
      </c>
      <c r="AN119" s="448">
        <f>SUMIF('06. BC BH THEO CUSTOMER-USD'!$F:$F,'07. Chart_QUỐC GIA'!$AE119,'06. BC BH THEO CUSTOMER-USD'!EC:EC)</f>
        <v>0</v>
      </c>
      <c r="AO119" s="448">
        <f>SUMIF('06. BC BH THEO CUSTOMER-USD'!$F:$F,'07. Chart_QUỐC GIA'!$AE119,'06. BC BH THEO CUSTOMER-USD'!ED:ED)</f>
        <v>0</v>
      </c>
      <c r="AP119" s="448">
        <f>SUMIF('06. BC BH THEO CUSTOMER-USD'!$F:$F,'07. Chart_QUỐC GIA'!$AE119,'06. BC BH THEO CUSTOMER-USD'!EE:EE)</f>
        <v>0</v>
      </c>
      <c r="AQ119" s="448">
        <f>SUMIF('06. BC BH THEO CUSTOMER-USD'!$F:$F,'07. Chart_QUỐC GIA'!$AE119,'06. BC BH THEO CUSTOMER-USD'!EF:EF)</f>
        <v>0</v>
      </c>
      <c r="AR119" s="640">
        <f>SUM(AF119:AQ119)</f>
        <v>103202.07323211874</v>
      </c>
      <c r="AS119" s="687">
        <f t="shared" ca="1" si="110"/>
        <v>103202.07323211874</v>
      </c>
      <c r="AT119" s="685"/>
      <c r="AV119" s="448">
        <v>0</v>
      </c>
      <c r="AW119" s="448">
        <v>0</v>
      </c>
      <c r="AX119" s="448">
        <v>0</v>
      </c>
      <c r="AY119" s="448">
        <v>0</v>
      </c>
      <c r="AZ119" s="448">
        <v>5911.4085599999999</v>
      </c>
      <c r="BA119" s="448">
        <v>0</v>
      </c>
      <c r="BB119" s="448">
        <v>0</v>
      </c>
      <c r="BC119" s="448">
        <v>0</v>
      </c>
      <c r="BD119" s="448">
        <v>24192.833701431504</v>
      </c>
      <c r="BE119" s="448">
        <v>0</v>
      </c>
      <c r="BF119" s="448">
        <v>0</v>
      </c>
      <c r="BG119" s="448">
        <v>0</v>
      </c>
      <c r="BH119" s="640">
        <f t="shared" si="114"/>
        <v>30104.242261431504</v>
      </c>
      <c r="BI119" s="640">
        <f t="shared" ca="1" si="112"/>
        <v>5911.4085599999999</v>
      </c>
    </row>
    <row r="120" spans="2:61" ht="15.5" hidden="1" outlineLevel="1" x14ac:dyDescent="0.35">
      <c r="B120" s="665">
        <v>17</v>
      </c>
      <c r="C120" s="666">
        <f t="shared" ref="C120:C122" si="115">_xlfn.XLOOKUP(B120,$L$104:$L$123,$J$104:$J$123,0)</f>
        <v>0</v>
      </c>
      <c r="D120" s="667">
        <f t="shared" si="95"/>
        <v>0</v>
      </c>
      <c r="E120" s="545">
        <f t="shared" ref="E120:E122" si="116">D120/$D$102</f>
        <v>0</v>
      </c>
      <c r="F120" s="667">
        <f t="shared" si="96"/>
        <v>0</v>
      </c>
      <c r="G120" s="545">
        <f t="shared" ref="G120:G122" si="117">F120/$F$102</f>
        <v>0</v>
      </c>
      <c r="I120" s="654">
        <v>17</v>
      </c>
      <c r="J120" s="655" t="str">
        <f t="shared" ref="J120:J122" si="118">AE120</f>
        <v>Canada</v>
      </c>
      <c r="K120" s="656">
        <f t="shared" si="97"/>
        <v>0</v>
      </c>
      <c r="L120" s="657" t="str">
        <f t="shared" si="98"/>
        <v>-</v>
      </c>
      <c r="M120" s="1114">
        <f>K120+COUNTA($K$104:K120)*0.001</f>
        <v>1.7000000000000001E-2</v>
      </c>
      <c r="P120" s="665">
        <v>17</v>
      </c>
      <c r="Q120" s="666" t="str">
        <f t="shared" ca="1" si="99"/>
        <v>Mexico</v>
      </c>
      <c r="R120" s="667">
        <f t="shared" ref="R120:R122" ca="1" si="119">_xlfn.XLOOKUP(Q120,$AE$104:$AE$123,$AS$104:$AS$123,0)/10^3</f>
        <v>-2.8404819010114442</v>
      </c>
      <c r="S120" s="545">
        <f t="shared" ref="S120:S122" ca="1" si="120">R120/$R$102</f>
        <v>-4.5943454872919174E-4</v>
      </c>
      <c r="T120" s="667">
        <f t="shared" ref="T120:T122" ca="1" si="121">_xlfn.XLOOKUP(Q120,$AE$104:$AE$123,$BI$104:$BI$123,0)/10^3</f>
        <v>169.3860462312316</v>
      </c>
      <c r="U120" s="545">
        <f t="shared" ref="U120:U122" ca="1" si="122">T120/$T$54</f>
        <v>6.2656310228712082E-3</v>
      </c>
      <c r="W120" s="654">
        <v>17</v>
      </c>
      <c r="X120" s="655" t="str">
        <f t="shared" ref="X120:X122" si="123">AE120</f>
        <v>Canada</v>
      </c>
      <c r="Y120" s="656">
        <f t="shared" ref="Y120:Y122" ca="1" si="124">_xlfn.XLOOKUP(X120,$AE$104:$AE$123,$AS$104:$AS$123,0)/10^3</f>
        <v>3.4385262848590812</v>
      </c>
      <c r="Z120" s="1140">
        <v>16</v>
      </c>
      <c r="AA120" s="1116">
        <f ca="1">Y120+COUNTA($Y$104:Y120)*0.001</f>
        <v>3.4555262848590811</v>
      </c>
      <c r="AD120" s="322">
        <v>17</v>
      </c>
      <c r="AE120" s="1038" t="s">
        <v>667</v>
      </c>
      <c r="AF120" s="448">
        <f>SUMIF('06. BC BH THEO CUSTOMER-USD'!$F:$F,'07. Chart_QUỐC GIA'!$AE120,'06. BC BH THEO CUSTOMER-USD'!DU:DU)</f>
        <v>0</v>
      </c>
      <c r="AG120" s="448">
        <f>SUMIF('06. BC BH THEO CUSTOMER-USD'!$F:$F,'07. Chart_QUỐC GIA'!$AE120,'06. BC BH THEO CUSTOMER-USD'!DV:DV)</f>
        <v>0</v>
      </c>
      <c r="AH120" s="448">
        <f>SUMIF('06. BC BH THEO CUSTOMER-USD'!$F:$F,'07. Chart_QUỐC GIA'!$AE120,'06. BC BH THEO CUSTOMER-USD'!DW:DW)</f>
        <v>-36.813976377952713</v>
      </c>
      <c r="AI120" s="448">
        <f>SUMIF('06. BC BH THEO CUSTOMER-USD'!$F:$F,'07. Chart_QUỐC GIA'!$AE120,'06. BC BH THEO CUSTOMER-USD'!DX:DX)</f>
        <v>0</v>
      </c>
      <c r="AJ120" s="448">
        <f>SUMIF('06. BC BH THEO CUSTOMER-USD'!$F:$F,'07. Chart_QUỐC GIA'!$AE120,'06. BC BH THEO CUSTOMER-USD'!DY:DY)</f>
        <v>0</v>
      </c>
      <c r="AK120" s="448">
        <f>SUMIF('06. BC BH THEO CUSTOMER-USD'!$F:$F,'07. Chart_QUỐC GIA'!$AE120,'06. BC BH THEO CUSTOMER-USD'!DZ:DZ)</f>
        <v>0</v>
      </c>
      <c r="AL120" s="448">
        <f>SUMIF('06. BC BH THEO CUSTOMER-USD'!$F:$F,'07. Chart_QUỐC GIA'!$AE120,'06. BC BH THEO CUSTOMER-USD'!EA:EA)</f>
        <v>3475.3402612370337</v>
      </c>
      <c r="AM120" s="448">
        <f>SUMIF('06. BC BH THEO CUSTOMER-USD'!$F:$F,'07. Chart_QUỐC GIA'!$AE120,'06. BC BH THEO CUSTOMER-USD'!EB:EB)</f>
        <v>0</v>
      </c>
      <c r="AN120" s="448">
        <f>SUMIF('06. BC BH THEO CUSTOMER-USD'!$F:$F,'07. Chart_QUỐC GIA'!$AE120,'06. BC BH THEO CUSTOMER-USD'!EC:EC)</f>
        <v>0</v>
      </c>
      <c r="AO120" s="448">
        <f>SUMIF('06. BC BH THEO CUSTOMER-USD'!$F:$F,'07. Chart_QUỐC GIA'!$AE120,'06. BC BH THEO CUSTOMER-USD'!ED:ED)</f>
        <v>0</v>
      </c>
      <c r="AP120" s="448">
        <f>SUMIF('06. BC BH THEO CUSTOMER-USD'!$F:$F,'07. Chart_QUỐC GIA'!$AE120,'06. BC BH THEO CUSTOMER-USD'!EE:EE)</f>
        <v>0</v>
      </c>
      <c r="AQ120" s="448">
        <f>SUMIF('06. BC BH THEO CUSTOMER-USD'!$F:$F,'07. Chart_QUỐC GIA'!$AE120,'06. BC BH THEO CUSTOMER-USD'!EF:EF)</f>
        <v>0</v>
      </c>
      <c r="AR120" s="640">
        <f t="shared" ref="AR120:AR122" si="125">SUM(AF120:AQ120)</f>
        <v>3438.526284859081</v>
      </c>
      <c r="AS120" s="687">
        <f t="shared" ref="AS120:AS122" ca="1" si="126">IFERROR(SUM(OFFSET(AF120:AQ120,0,0,1,$AS$102)),"-")</f>
        <v>3438.526284859081</v>
      </c>
      <c r="AT120" s="685"/>
      <c r="AV120" s="1040"/>
      <c r="AW120" s="1040"/>
      <c r="AX120" s="1040"/>
      <c r="AY120" s="1040"/>
      <c r="AZ120" s="1040"/>
      <c r="BA120" s="1040"/>
      <c r="BB120" s="1040"/>
      <c r="BC120" s="1040"/>
      <c r="BD120" s="1040"/>
      <c r="BE120" s="1040"/>
      <c r="BF120" s="1040"/>
      <c r="BG120" s="1040"/>
      <c r="BH120" s="1041"/>
      <c r="BI120" s="1041"/>
    </row>
    <row r="121" spans="2:61" ht="15.5" hidden="1" outlineLevel="1" x14ac:dyDescent="0.35">
      <c r="B121" s="665">
        <v>18</v>
      </c>
      <c r="C121" s="666">
        <f t="shared" si="115"/>
        <v>0</v>
      </c>
      <c r="D121" s="667">
        <f t="shared" si="95"/>
        <v>0</v>
      </c>
      <c r="E121" s="545">
        <f t="shared" si="116"/>
        <v>0</v>
      </c>
      <c r="F121" s="667">
        <f t="shared" si="96"/>
        <v>0</v>
      </c>
      <c r="G121" s="545">
        <f t="shared" si="117"/>
        <v>0</v>
      </c>
      <c r="I121" s="654">
        <v>18</v>
      </c>
      <c r="J121" s="655" t="str">
        <f t="shared" si="118"/>
        <v>Luxembourg</v>
      </c>
      <c r="K121" s="656">
        <f t="shared" si="97"/>
        <v>25.798386860198633</v>
      </c>
      <c r="L121" s="657">
        <f t="shared" si="98"/>
        <v>4</v>
      </c>
      <c r="M121" s="1114">
        <f>K121+COUNTA($K$104:K121)*0.001</f>
        <v>25.816386860198634</v>
      </c>
      <c r="P121" s="665">
        <v>18</v>
      </c>
      <c r="Q121" s="666">
        <f t="shared" ca="1" si="99"/>
        <v>0</v>
      </c>
      <c r="R121" s="667">
        <f t="shared" ca="1" si="119"/>
        <v>0</v>
      </c>
      <c r="S121" s="545">
        <f t="shared" ca="1" si="120"/>
        <v>0</v>
      </c>
      <c r="T121" s="667">
        <f t="shared" ca="1" si="121"/>
        <v>0</v>
      </c>
      <c r="U121" s="545">
        <f t="shared" ca="1" si="122"/>
        <v>0</v>
      </c>
      <c r="W121" s="654">
        <v>18</v>
      </c>
      <c r="X121" s="655" t="str">
        <f t="shared" si="123"/>
        <v>Luxembourg</v>
      </c>
      <c r="Y121" s="656">
        <f t="shared" ca="1" si="124"/>
        <v>333.95791999621474</v>
      </c>
      <c r="Z121" s="1115">
        <f t="shared" ca="1" si="108"/>
        <v>4</v>
      </c>
      <c r="AA121" s="1116">
        <f ca="1">Y121+COUNTA($Y$104:Y121)*0.001</f>
        <v>333.97591999621471</v>
      </c>
      <c r="AD121" s="322">
        <v>18</v>
      </c>
      <c r="AE121" s="1038" t="s">
        <v>671</v>
      </c>
      <c r="AF121" s="448">
        <f>SUMIF('06. BC BH THEO CUSTOMER-USD'!$F:$F,'07. Chart_QUỐC GIA'!$AE121,'06. BC BH THEO CUSTOMER-USD'!DU:DU)</f>
        <v>0</v>
      </c>
      <c r="AG121" s="448">
        <f>SUMIF('06. BC BH THEO CUSTOMER-USD'!$F:$F,'07. Chart_QUỐC GIA'!$AE121,'06. BC BH THEO CUSTOMER-USD'!DV:DV)</f>
        <v>113030.53229617962</v>
      </c>
      <c r="AH121" s="448">
        <f>SUMIF('06. BC BH THEO CUSTOMER-USD'!$F:$F,'07. Chart_QUỐC GIA'!$AE121,'06. BC BH THEO CUSTOMER-USD'!DW:DW)</f>
        <v>46159.005866141742</v>
      </c>
      <c r="AI121" s="448">
        <f>SUMIF('06. BC BH THEO CUSTOMER-USD'!$F:$F,'07. Chart_QUỐC GIA'!$AE121,'06. BC BH THEO CUSTOMER-USD'!DX:DX)</f>
        <v>35684.467324816127</v>
      </c>
      <c r="AJ121" s="448">
        <f>SUMIF('06. BC BH THEO CUSTOMER-USD'!$F:$F,'07. Chart_QUỐC GIA'!$AE121,'06. BC BH THEO CUSTOMER-USD'!DY:DY)</f>
        <v>113285.52764887857</v>
      </c>
      <c r="AK121" s="448">
        <f>SUMIF('06. BC BH THEO CUSTOMER-USD'!$F:$F,'07. Chart_QUỐC GIA'!$AE121,'06. BC BH THEO CUSTOMER-USD'!DZ:DZ)</f>
        <v>0</v>
      </c>
      <c r="AL121" s="448">
        <f>SUMIF('06. BC BH THEO CUSTOMER-USD'!$F:$F,'07. Chart_QUỐC GIA'!$AE121,'06. BC BH THEO CUSTOMER-USD'!EA:EA)</f>
        <v>0</v>
      </c>
      <c r="AM121" s="448">
        <f>SUMIF('06. BC BH THEO CUSTOMER-USD'!$F:$F,'07. Chart_QUỐC GIA'!$AE121,'06. BC BH THEO CUSTOMER-USD'!EB:EB)</f>
        <v>25798.386860198632</v>
      </c>
      <c r="AN121" s="448">
        <f>SUMIF('06. BC BH THEO CUSTOMER-USD'!$F:$F,'07. Chart_QUỐC GIA'!$AE121,'06. BC BH THEO CUSTOMER-USD'!EC:EC)</f>
        <v>0</v>
      </c>
      <c r="AO121" s="448">
        <f>SUMIF('06. BC BH THEO CUSTOMER-USD'!$F:$F,'07. Chart_QUỐC GIA'!$AE121,'06. BC BH THEO CUSTOMER-USD'!ED:ED)</f>
        <v>0</v>
      </c>
      <c r="AP121" s="448">
        <f>SUMIF('06. BC BH THEO CUSTOMER-USD'!$F:$F,'07. Chart_QUỐC GIA'!$AE121,'06. BC BH THEO CUSTOMER-USD'!EE:EE)</f>
        <v>0</v>
      </c>
      <c r="AQ121" s="448">
        <f>SUMIF('06. BC BH THEO CUSTOMER-USD'!$F:$F,'07. Chart_QUỐC GIA'!$AE121,'06. BC BH THEO CUSTOMER-USD'!EF:EF)</f>
        <v>0</v>
      </c>
      <c r="AR121" s="640">
        <f t="shared" si="125"/>
        <v>333957.91999621474</v>
      </c>
      <c r="AS121" s="687">
        <f t="shared" ca="1" si="126"/>
        <v>333957.91999621474</v>
      </c>
      <c r="AT121" s="685"/>
      <c r="AV121" s="1040"/>
      <c r="AW121" s="1040"/>
      <c r="AX121" s="1040"/>
      <c r="AY121" s="1040"/>
      <c r="AZ121" s="1040"/>
      <c r="BA121" s="1040"/>
      <c r="BB121" s="1040"/>
      <c r="BC121" s="1040"/>
      <c r="BD121" s="1040"/>
      <c r="BE121" s="1040"/>
      <c r="BF121" s="1040"/>
      <c r="BG121" s="1040"/>
      <c r="BH121" s="1041"/>
      <c r="BI121" s="1041"/>
    </row>
    <row r="122" spans="2:61" ht="15.5" hidden="1" outlineLevel="1" x14ac:dyDescent="0.35">
      <c r="B122" s="665">
        <v>19</v>
      </c>
      <c r="C122" s="666">
        <f t="shared" si="115"/>
        <v>0</v>
      </c>
      <c r="D122" s="667">
        <f t="shared" si="95"/>
        <v>0</v>
      </c>
      <c r="E122" s="545">
        <f t="shared" si="116"/>
        <v>0</v>
      </c>
      <c r="F122" s="667">
        <f t="shared" si="96"/>
        <v>0</v>
      </c>
      <c r="G122" s="545">
        <f t="shared" si="117"/>
        <v>0</v>
      </c>
      <c r="I122" s="654">
        <v>19</v>
      </c>
      <c r="J122" s="655" t="str">
        <f t="shared" si="118"/>
        <v>Pháp</v>
      </c>
      <c r="K122" s="656">
        <f t="shared" si="97"/>
        <v>0</v>
      </c>
      <c r="L122" s="657" t="str">
        <f t="shared" si="98"/>
        <v>-</v>
      </c>
      <c r="M122" s="1114">
        <f>K122+COUNTA($K$104:K122)*0.001</f>
        <v>1.9E-2</v>
      </c>
      <c r="P122" s="665">
        <v>19</v>
      </c>
      <c r="Q122" s="666">
        <f t="shared" ca="1" si="99"/>
        <v>0</v>
      </c>
      <c r="R122" s="667">
        <f t="shared" ca="1" si="119"/>
        <v>0</v>
      </c>
      <c r="S122" s="545">
        <f t="shared" ca="1" si="120"/>
        <v>0</v>
      </c>
      <c r="T122" s="667">
        <f t="shared" ca="1" si="121"/>
        <v>0</v>
      </c>
      <c r="U122" s="545">
        <f t="shared" ca="1" si="122"/>
        <v>0</v>
      </c>
      <c r="W122" s="654">
        <v>19</v>
      </c>
      <c r="X122" s="655" t="str">
        <f t="shared" si="123"/>
        <v>Pháp</v>
      </c>
      <c r="Y122" s="656">
        <f t="shared" ca="1" si="124"/>
        <v>7.7829660104066933</v>
      </c>
      <c r="Z122" s="1115">
        <f t="shared" ca="1" si="108"/>
        <v>15</v>
      </c>
      <c r="AA122" s="1116">
        <f ca="1">Y122+COUNTA($Y$104:Y122)*0.001</f>
        <v>7.8019660104066935</v>
      </c>
      <c r="AD122" s="322">
        <v>19</v>
      </c>
      <c r="AE122" s="1038" t="s">
        <v>734</v>
      </c>
      <c r="AF122" s="448">
        <f>SUMIF('06. BC BH THEO CUSTOMER-USD'!$F:$F,'07. Chart_QUỐC GIA'!$AE122,'06. BC BH THEO CUSTOMER-USD'!DU:DU)</f>
        <v>0</v>
      </c>
      <c r="AG122" s="448">
        <f>SUMIF('06. BC BH THEO CUSTOMER-USD'!$F:$F,'07. Chart_QUỐC GIA'!$AE122,'06. BC BH THEO CUSTOMER-USD'!DV:DV)</f>
        <v>782.91445450964966</v>
      </c>
      <c r="AH122" s="448">
        <f>SUMIF('06. BC BH THEO CUSTOMER-USD'!$F:$F,'07. Chart_QUỐC GIA'!$AE122,'06. BC BH THEO CUSTOMER-USD'!DW:DW)</f>
        <v>0</v>
      </c>
      <c r="AI122" s="448">
        <f>SUMIF('06. BC BH THEO CUSTOMER-USD'!$F:$F,'07. Chart_QUỐC GIA'!$AE122,'06. BC BH THEO CUSTOMER-USD'!DX:DX)</f>
        <v>0</v>
      </c>
      <c r="AJ122" s="448">
        <f>SUMIF('06. BC BH THEO CUSTOMER-USD'!$F:$F,'07. Chart_QUỐC GIA'!$AE122,'06. BC BH THEO CUSTOMER-USD'!DY:DY)</f>
        <v>0</v>
      </c>
      <c r="AK122" s="448">
        <f>SUMIF('06. BC BH THEO CUSTOMER-USD'!$F:$F,'07. Chart_QUỐC GIA'!$AE122,'06. BC BH THEO CUSTOMER-USD'!DZ:DZ)</f>
        <v>0</v>
      </c>
      <c r="AL122" s="448">
        <f>SUMIF('06. BC BH THEO CUSTOMER-USD'!$F:$F,'07. Chart_QUỐC GIA'!$AE122,'06. BC BH THEO CUSTOMER-USD'!EA:EA)</f>
        <v>7000.0515558970437</v>
      </c>
      <c r="AM122" s="448">
        <f>SUMIF('06. BC BH THEO CUSTOMER-USD'!$F:$F,'07. Chart_QUỐC GIA'!$AE122,'06. BC BH THEO CUSTOMER-USD'!EB:EB)</f>
        <v>0</v>
      </c>
      <c r="AN122" s="448">
        <f>SUMIF('06. BC BH THEO CUSTOMER-USD'!$F:$F,'07. Chart_QUỐC GIA'!$AE122,'06. BC BH THEO CUSTOMER-USD'!EC:EC)</f>
        <v>0</v>
      </c>
      <c r="AO122" s="448">
        <f>SUMIF('06. BC BH THEO CUSTOMER-USD'!$F:$F,'07. Chart_QUỐC GIA'!$AE122,'06. BC BH THEO CUSTOMER-USD'!ED:ED)</f>
        <v>0</v>
      </c>
      <c r="AP122" s="448">
        <f>SUMIF('06. BC BH THEO CUSTOMER-USD'!$F:$F,'07. Chart_QUỐC GIA'!$AE122,'06. BC BH THEO CUSTOMER-USD'!EE:EE)</f>
        <v>0</v>
      </c>
      <c r="AQ122" s="448">
        <f>SUMIF('06. BC BH THEO CUSTOMER-USD'!$F:$F,'07. Chart_QUỐC GIA'!$AE122,'06. BC BH THEO CUSTOMER-USD'!EF:EF)</f>
        <v>0</v>
      </c>
      <c r="AR122" s="640">
        <f t="shared" si="125"/>
        <v>7782.9660104066934</v>
      </c>
      <c r="AS122" s="687">
        <f t="shared" ca="1" si="126"/>
        <v>7782.9660104066934</v>
      </c>
      <c r="AT122" s="685"/>
      <c r="AV122" s="1040"/>
      <c r="AW122" s="1040"/>
      <c r="AX122" s="1040"/>
      <c r="AY122" s="1040"/>
      <c r="AZ122" s="1040"/>
      <c r="BA122" s="1040"/>
      <c r="BB122" s="1040"/>
      <c r="BC122" s="1040"/>
      <c r="BD122" s="1040"/>
      <c r="BE122" s="1040"/>
      <c r="BF122" s="1040"/>
      <c r="BG122" s="1040"/>
      <c r="BH122" s="1041"/>
      <c r="BI122" s="1041"/>
    </row>
    <row r="123" spans="2:61" ht="15.5" hidden="1" outlineLevel="1" x14ac:dyDescent="0.35">
      <c r="B123" s="669"/>
      <c r="C123" s="670"/>
      <c r="D123" s="671">
        <f t="shared" si="95"/>
        <v>0</v>
      </c>
      <c r="E123" s="546">
        <f t="shared" si="103"/>
        <v>0</v>
      </c>
      <c r="F123" s="671">
        <f t="shared" ref="F123" si="127">IFERROR(INDEX($AV$104:$BG$123,MATCH(C123,$AE$104:$AE$123,0),MATCH($D$3,$AV$103:$BG$103,0)),0)/10^3</f>
        <v>0</v>
      </c>
      <c r="G123" s="546">
        <f t="shared" si="104"/>
        <v>0</v>
      </c>
      <c r="I123" s="658"/>
      <c r="J123" s="659"/>
      <c r="K123" s="659"/>
      <c r="L123" s="657" t="str">
        <f t="shared" si="98"/>
        <v>-</v>
      </c>
      <c r="M123" s="1114">
        <f>K123+COUNTA($K$104:K123)*0.001</f>
        <v>1.9E-2</v>
      </c>
      <c r="P123" s="669">
        <v>20</v>
      </c>
      <c r="Q123" s="670">
        <f t="shared" ca="1" si="99"/>
        <v>0</v>
      </c>
      <c r="R123" s="671">
        <f ca="1">_xlfn.XLOOKUP(Q123,$AE$104:$AE$123,$AS$104:$AS$123,0)/10^3</f>
        <v>0</v>
      </c>
      <c r="S123" s="546">
        <f t="shared" ca="1" si="106"/>
        <v>0</v>
      </c>
      <c r="T123" s="671">
        <f ca="1">_xlfn.XLOOKUP(Q123,$AE$104:$AE$123,$BI$104:$BI$123,0)/10^3</f>
        <v>0</v>
      </c>
      <c r="U123" s="546">
        <f t="shared" ca="1" si="113"/>
        <v>0</v>
      </c>
      <c r="W123" s="658"/>
      <c r="X123" s="659"/>
      <c r="Y123" s="656">
        <f ca="1">_xlfn.XLOOKUP(X123,$AE$104:$AE$123,$AS$104:$AS$123,0)/10^3</f>
        <v>0</v>
      </c>
      <c r="Z123" s="1115" t="str">
        <f t="shared" ca="1" si="108"/>
        <v>-</v>
      </c>
      <c r="AA123" s="1116">
        <f ca="1">Y123+COUNTA($Y$104:Y123)*0.001</f>
        <v>0.02</v>
      </c>
      <c r="AD123" s="352"/>
      <c r="AE123" s="619"/>
      <c r="AF123" s="452"/>
      <c r="AG123" s="452"/>
      <c r="AH123" s="452"/>
      <c r="AI123" s="452"/>
      <c r="AJ123" s="452"/>
      <c r="AK123" s="452"/>
      <c r="AL123" s="452"/>
      <c r="AM123" s="452"/>
      <c r="AN123" s="452"/>
      <c r="AO123" s="452"/>
      <c r="AP123" s="452"/>
      <c r="AQ123" s="452"/>
      <c r="AR123" s="641"/>
      <c r="AS123" s="688">
        <f t="shared" ca="1" si="110"/>
        <v>0</v>
      </c>
      <c r="AT123" s="685"/>
      <c r="AV123" s="452"/>
      <c r="AW123" s="452"/>
      <c r="AX123" s="452"/>
      <c r="AY123" s="452"/>
      <c r="AZ123" s="452"/>
      <c r="BA123" s="452"/>
      <c r="BB123" s="452"/>
      <c r="BC123" s="452"/>
      <c r="BD123" s="452"/>
      <c r="BE123" s="452"/>
      <c r="BF123" s="452"/>
      <c r="BG123" s="452"/>
      <c r="BH123" s="641">
        <f t="shared" si="114"/>
        <v>0</v>
      </c>
      <c r="BI123" s="641">
        <f t="shared" ca="1" si="112"/>
        <v>0</v>
      </c>
    </row>
    <row r="124" spans="2:61" collapsed="1" x14ac:dyDescent="0.35"/>
    <row r="125" spans="2:61" ht="21" x14ac:dyDescent="0.35">
      <c r="C125" s="739" t="str">
        <f>"LỢI NHUẬN GỘP THEO QUỐC GIA T"&amp;D3&amp;"/25"</f>
        <v>LỢI NHUẬN GỘP THEO QUỐC GIA T8/25</v>
      </c>
      <c r="R125" s="739" t="str">
        <f>"LŨY KẾ LỢI NHUẬN GỘP THEO QUỐC GIA T"&amp;D3&amp;"/25"</f>
        <v>LŨY KẾ LỢI NHUẬN GỘP THEO QUỐC GIA T8/25</v>
      </c>
    </row>
    <row r="148" spans="2:61" ht="17.5" x14ac:dyDescent="0.35">
      <c r="B148" s="740">
        <v>4</v>
      </c>
      <c r="C148" s="740" t="s">
        <v>666</v>
      </c>
      <c r="AD148" s="122">
        <v>4</v>
      </c>
      <c r="AE148" s="122" t="s">
        <v>666</v>
      </c>
    </row>
    <row r="149" spans="2:61" ht="15.5" hidden="1" outlineLevel="1" x14ac:dyDescent="0.35">
      <c r="D149" s="645"/>
      <c r="E149" s="647"/>
      <c r="F149" s="645"/>
      <c r="G149" s="647"/>
      <c r="K149" s="617"/>
      <c r="R149" s="645"/>
      <c r="S149" s="647"/>
      <c r="T149" s="645"/>
      <c r="U149" s="647"/>
      <c r="Y149" s="617"/>
      <c r="AF149" s="617"/>
      <c r="AG149" s="617"/>
      <c r="AH149" s="617"/>
      <c r="AI149" s="617"/>
      <c r="AJ149" s="617"/>
      <c r="AK149" s="617"/>
      <c r="AL149" s="617"/>
      <c r="AM149" s="617"/>
      <c r="AN149" s="617"/>
      <c r="AO149" s="617"/>
      <c r="AP149" s="617"/>
      <c r="AQ149" s="617"/>
      <c r="AR149" s="617"/>
      <c r="AS149" s="683">
        <f>$D$3</f>
        <v>8</v>
      </c>
      <c r="AT149" s="623"/>
      <c r="AV149" s="617"/>
      <c r="AW149" s="617"/>
      <c r="AX149" s="617"/>
      <c r="AY149" s="617"/>
      <c r="AZ149" s="617"/>
      <c r="BA149" s="617"/>
      <c r="BB149" s="617"/>
      <c r="BC149" s="617"/>
      <c r="BD149" s="617"/>
      <c r="BE149" s="617"/>
      <c r="BF149" s="617"/>
      <c r="BG149" s="617"/>
      <c r="BH149" s="617"/>
      <c r="BI149" s="627">
        <f>$BI$5</f>
        <v>8</v>
      </c>
    </row>
    <row r="150" spans="2:61" ht="15" hidden="1" outlineLevel="1" x14ac:dyDescent="0.35">
      <c r="D150" s="616" t="s">
        <v>673</v>
      </c>
      <c r="E150" s="616" t="s">
        <v>172</v>
      </c>
      <c r="F150" s="646">
        <v>2025</v>
      </c>
      <c r="G150" s="646">
        <v>2024</v>
      </c>
      <c r="I150" s="616" t="s">
        <v>174</v>
      </c>
      <c r="J150" s="616" t="s">
        <v>172</v>
      </c>
      <c r="K150" s="616" t="s">
        <v>203</v>
      </c>
      <c r="L150" s="616" t="s">
        <v>673</v>
      </c>
      <c r="M150" s="1111"/>
      <c r="R150" s="648" t="s">
        <v>673</v>
      </c>
      <c r="S150" s="648" t="s">
        <v>172</v>
      </c>
      <c r="T150" s="649">
        <v>2025</v>
      </c>
      <c r="U150" s="649">
        <v>2024</v>
      </c>
      <c r="W150" s="648" t="s">
        <v>174</v>
      </c>
      <c r="X150" s="648" t="s">
        <v>172</v>
      </c>
      <c r="Y150" s="648" t="s">
        <v>203</v>
      </c>
      <c r="Z150" s="648" t="s">
        <v>673</v>
      </c>
      <c r="AA150" s="1118"/>
      <c r="AD150" s="616" t="s">
        <v>174</v>
      </c>
      <c r="AE150" s="616" t="s">
        <v>172</v>
      </c>
      <c r="AF150" s="443">
        <v>1</v>
      </c>
      <c r="AG150" s="616">
        <v>2</v>
      </c>
      <c r="AH150" s="616">
        <v>3</v>
      </c>
      <c r="AI150" s="616">
        <v>4</v>
      </c>
      <c r="AJ150" s="616">
        <v>5</v>
      </c>
      <c r="AK150" s="616">
        <v>6</v>
      </c>
      <c r="AL150" s="616">
        <v>7</v>
      </c>
      <c r="AM150" s="616">
        <v>8</v>
      </c>
      <c r="AN150" s="616">
        <v>9</v>
      </c>
      <c r="AO150" s="616">
        <v>10</v>
      </c>
      <c r="AP150" s="616">
        <v>11</v>
      </c>
      <c r="AQ150" s="616">
        <v>12</v>
      </c>
      <c r="AR150" s="616">
        <v>2025</v>
      </c>
      <c r="AS150" s="679" t="s">
        <v>409</v>
      </c>
      <c r="AT150" s="450"/>
      <c r="AV150" s="625">
        <v>1</v>
      </c>
      <c r="AW150" s="626">
        <v>2</v>
      </c>
      <c r="AX150" s="626">
        <v>3</v>
      </c>
      <c r="AY150" s="626">
        <v>4</v>
      </c>
      <c r="AZ150" s="626">
        <v>5</v>
      </c>
      <c r="BA150" s="626">
        <v>6</v>
      </c>
      <c r="BB150" s="626">
        <v>7</v>
      </c>
      <c r="BC150" s="626">
        <v>8</v>
      </c>
      <c r="BD150" s="626">
        <v>9</v>
      </c>
      <c r="BE150" s="626">
        <v>10</v>
      </c>
      <c r="BF150" s="626">
        <v>11</v>
      </c>
      <c r="BG150" s="626">
        <v>12</v>
      </c>
      <c r="BH150" s="626">
        <v>2024</v>
      </c>
      <c r="BI150" s="626" t="s">
        <v>410</v>
      </c>
    </row>
    <row r="151" spans="2:61" ht="15.5" hidden="1" outlineLevel="1" x14ac:dyDescent="0.35">
      <c r="D151" s="661">
        <v>1</v>
      </c>
      <c r="E151" s="662" t="str">
        <f t="shared" ref="E151:E166" si="128">_xlfn.XLOOKUP(D151,$L$151:$L$170,$J$151:$J$170,0)</f>
        <v>Bồ Đào Nha</v>
      </c>
      <c r="F151" s="664">
        <f t="shared" ref="F151:F170" si="129">IFERROR(INDEX($AF$151:$AQ$170,MATCH(E151,$AE$151:$AE$170,0),MATCH($D$3,$AF$150:$AQ$150,0)),0)</f>
        <v>0.18221652943677491</v>
      </c>
      <c r="G151" s="664">
        <f>INDEX($AV$151:$BG$170,MATCH(E151,$AE$151:$AE$170,0),MATCH($D$3,$AV$150:$BG$150,0))</f>
        <v>0.17431487011755387</v>
      </c>
      <c r="I151" s="650">
        <v>1</v>
      </c>
      <c r="J151" s="651" t="str">
        <f>AE151</f>
        <v>VN</v>
      </c>
      <c r="K151" s="673">
        <f t="shared" ref="K151:K169" si="130">INDEX($AF$151:$AQ$170,MATCH(J151,$AE$151:$AE$170,0),MATCH($D$3,$AF$150:$AQ$150,0))</f>
        <v>7.3426932680074539E-2</v>
      </c>
      <c r="L151" s="657">
        <f>IF(K151&lt;&gt;0,RANK(M151,$M$151:$M$170,0),"-")</f>
        <v>6</v>
      </c>
      <c r="M151" s="1143">
        <f>K151+COUNTA($K$151:K151)/10^6</f>
        <v>7.342793268007454E-2</v>
      </c>
      <c r="R151" s="661">
        <v>1</v>
      </c>
      <c r="S151" s="662" t="str">
        <f t="shared" ref="S151:S169" ca="1" si="131">_xlfn.XLOOKUP(R151,$Z$151:$Z$170,$X$151:$X$170,0)</f>
        <v>Italy</v>
      </c>
      <c r="T151" s="545">
        <f t="shared" ref="T151:T166" ca="1" si="132">_xlfn.XLOOKUP(S151,$AE$151:$AE$170,$AS$151:$AS$170,0)</f>
        <v>0.22841870217246257</v>
      </c>
      <c r="U151" s="676" t="str">
        <f t="shared" ref="U151:U166" ca="1" si="133">_xlfn.XLOOKUP(S151,$AE$151:$AE$170,$BI$151:$BI$170,0)</f>
        <v>-</v>
      </c>
      <c r="W151" s="650">
        <v>1</v>
      </c>
      <c r="X151" s="651" t="str">
        <f>AE151</f>
        <v>VN</v>
      </c>
      <c r="Y151" s="673">
        <f t="shared" ref="Y151:Y166" ca="1" si="134">_xlfn.XLOOKUP(X151,$AE$151:$AE$170,$AS$151:$AS$170,0)</f>
        <v>0.12176110293092958</v>
      </c>
      <c r="Z151" s="1115">
        <f ca="1">IF(Y151&lt;&gt;0,RANK(AA151,$AA$151:$AA$170),"-")</f>
        <v>12</v>
      </c>
      <c r="AA151" s="1142">
        <f ca="1">Y151+COUNTA($Y$151:Y151)/10^6</f>
        <v>0.12176210293092958</v>
      </c>
      <c r="AD151" s="320">
        <v>1</v>
      </c>
      <c r="AE151" s="618" t="s">
        <v>245</v>
      </c>
      <c r="AF151" s="629">
        <f t="shared" ref="AF151:AF166" si="135">IFERROR(AF104/AF56,0)</f>
        <v>0.21155775061817098</v>
      </c>
      <c r="AG151" s="629">
        <f t="shared" ref="AG151:AQ151" si="136">IFERROR(AG104/AG56,0)</f>
        <v>0.2171016494047491</v>
      </c>
      <c r="AH151" s="629">
        <f t="shared" si="136"/>
        <v>0.15092113006718216</v>
      </c>
      <c r="AI151" s="629">
        <f t="shared" si="136"/>
        <v>0.13704182138286927</v>
      </c>
      <c r="AJ151" s="629">
        <f t="shared" si="136"/>
        <v>0.1186586786849029</v>
      </c>
      <c r="AK151" s="629">
        <f t="shared" si="136"/>
        <v>0.11099989565385843</v>
      </c>
      <c r="AL151" s="629">
        <f t="shared" si="136"/>
        <v>2.0089104004955907E-4</v>
      </c>
      <c r="AM151" s="629">
        <f t="shared" si="136"/>
        <v>7.3426932680074539E-2</v>
      </c>
      <c r="AN151" s="629">
        <f t="shared" si="136"/>
        <v>4.4142909625302391E-3</v>
      </c>
      <c r="AO151" s="629">
        <f t="shared" si="136"/>
        <v>0</v>
      </c>
      <c r="AP151" s="629">
        <f t="shared" si="136"/>
        <v>0</v>
      </c>
      <c r="AQ151" s="629">
        <f t="shared" si="136"/>
        <v>0</v>
      </c>
      <c r="AR151" s="630">
        <f t="shared" ref="AR151:AR166" si="137">IFERROR(AR104/AR56,"-")</f>
        <v>0.10672185618245829</v>
      </c>
      <c r="AS151" s="689">
        <f ca="1">IFERROR(AS104/AS56,0)</f>
        <v>0.12176110293092958</v>
      </c>
      <c r="AT151" s="628"/>
      <c r="AV151" s="631">
        <f t="shared" ref="AV151:AV166" si="138">IFERROR(AV104/AV56,0)</f>
        <v>0.26564219574678111</v>
      </c>
      <c r="AW151" s="631">
        <f t="shared" ref="AW151:BG151" si="139">IFERROR(AW104/AW56,0)</f>
        <v>0.24815775136411675</v>
      </c>
      <c r="AX151" s="631">
        <f t="shared" si="139"/>
        <v>0.22309115029751678</v>
      </c>
      <c r="AY151" s="631">
        <f t="shared" si="139"/>
        <v>0.21898652710741284</v>
      </c>
      <c r="AZ151" s="631">
        <f t="shared" si="139"/>
        <v>0.19941571242268788</v>
      </c>
      <c r="BA151" s="631">
        <f t="shared" si="139"/>
        <v>0.16514690043615615</v>
      </c>
      <c r="BB151" s="631">
        <f t="shared" si="139"/>
        <v>0.1451229550693105</v>
      </c>
      <c r="BC151" s="631">
        <f t="shared" si="139"/>
        <v>0.17098660113380229</v>
      </c>
      <c r="BD151" s="631">
        <f t="shared" si="139"/>
        <v>0.19749339760015405</v>
      </c>
      <c r="BE151" s="631">
        <f t="shared" si="139"/>
        <v>0.17634673756951252</v>
      </c>
      <c r="BF151" s="631">
        <f t="shared" si="139"/>
        <v>0.21545845169566274</v>
      </c>
      <c r="BG151" s="631">
        <f t="shared" si="139"/>
        <v>0.22489194097755061</v>
      </c>
      <c r="BH151" s="630">
        <f t="shared" ref="BH151:BI166" si="140">IFERROR(BH104/BH56,"-")</f>
        <v>0.20348127297380472</v>
      </c>
      <c r="BI151" s="630">
        <f t="shared" ca="1" si="140"/>
        <v>0.20278416453210504</v>
      </c>
    </row>
    <row r="152" spans="2:61" hidden="1" outlineLevel="1" x14ac:dyDescent="0.35">
      <c r="D152" s="665">
        <v>2</v>
      </c>
      <c r="E152" s="666" t="str">
        <f t="shared" si="128"/>
        <v>Luxembourg</v>
      </c>
      <c r="F152" s="668">
        <f t="shared" si="129"/>
        <v>0.1783639741715487</v>
      </c>
      <c r="G152" s="545">
        <f t="shared" ref="G152:G170" si="141">IFERROR(INDEX($AV$151:$BG$170,MATCH(E152,$AE$151:$AE$170,0),MATCH($D$3,$AV$150:$BG$150,0)),0)</f>
        <v>0</v>
      </c>
      <c r="I152" s="654">
        <v>2</v>
      </c>
      <c r="J152" s="655" t="str">
        <f t="shared" ref="J152:J169" si="142">AE152</f>
        <v>Mỹ</v>
      </c>
      <c r="K152" s="675">
        <f t="shared" si="130"/>
        <v>9.8916618258340777E-2</v>
      </c>
      <c r="L152" s="657">
        <f t="shared" ref="L152:L170" si="143">IF(K152&lt;&gt;0,RANK(M152,$M$151:$M$170,0),"-")</f>
        <v>5</v>
      </c>
      <c r="M152" s="1143">
        <f>K152+COUNTA($K$151:K152)/10^6</f>
        <v>9.8918618258340779E-2</v>
      </c>
      <c r="R152" s="665">
        <v>2</v>
      </c>
      <c r="S152" s="666" t="str">
        <f t="shared" ca="1" si="131"/>
        <v>Nhật</v>
      </c>
      <c r="T152" s="545">
        <f t="shared" ca="1" si="132"/>
        <v>0.21577723157044601</v>
      </c>
      <c r="U152" s="677">
        <f t="shared" ca="1" si="133"/>
        <v>-8.1294126248002238E-2</v>
      </c>
      <c r="W152" s="654">
        <v>2</v>
      </c>
      <c r="X152" s="655" t="str">
        <f t="shared" ref="X152:X166" si="144">AE152</f>
        <v>Mỹ</v>
      </c>
      <c r="Y152" s="675">
        <f t="shared" ca="1" si="134"/>
        <v>0.13556893353515143</v>
      </c>
      <c r="Z152" s="657">
        <f t="shared" ref="Z152:Z169" ca="1" si="145">IF(Y152&lt;&gt;0,RANK(AA152,$AA$151:$AA$170),"-")</f>
        <v>8</v>
      </c>
      <c r="AA152" s="1142">
        <f ca="1">Y152+COUNTA($Y$151:Y152)/10^6</f>
        <v>0.13557093353515143</v>
      </c>
      <c r="AD152" s="322">
        <v>2</v>
      </c>
      <c r="AE152" s="247" t="s">
        <v>175</v>
      </c>
      <c r="AF152" s="631">
        <f t="shared" si="135"/>
        <v>0.14087200418310217</v>
      </c>
      <c r="AG152" s="631">
        <f t="shared" ref="AG152:AQ152" si="146">IFERROR(AG105/AG57,0)</f>
        <v>0.1951482303016418</v>
      </c>
      <c r="AH152" s="631">
        <f t="shared" si="146"/>
        <v>0.16261712996077457</v>
      </c>
      <c r="AI152" s="631">
        <f t="shared" si="146"/>
        <v>0.11878084509757375</v>
      </c>
      <c r="AJ152" s="631">
        <f t="shared" si="146"/>
        <v>0.14628842495912481</v>
      </c>
      <c r="AK152" s="631">
        <f t="shared" si="146"/>
        <v>0.10761074568575302</v>
      </c>
      <c r="AL152" s="631">
        <f t="shared" si="146"/>
        <v>7.7691036070405131E-2</v>
      </c>
      <c r="AM152" s="631">
        <f t="shared" si="146"/>
        <v>9.8916618258340777E-2</v>
      </c>
      <c r="AN152" s="631">
        <f t="shared" si="146"/>
        <v>0.12515774358261858</v>
      </c>
      <c r="AO152" s="631">
        <f t="shared" si="146"/>
        <v>0</v>
      </c>
      <c r="AP152" s="631">
        <f t="shared" si="146"/>
        <v>0</v>
      </c>
      <c r="AQ152" s="631">
        <f t="shared" si="146"/>
        <v>0</v>
      </c>
      <c r="AR152" s="632">
        <f t="shared" si="137"/>
        <v>0.13513051461438205</v>
      </c>
      <c r="AS152" s="690">
        <f t="shared" ref="AS152:AS169" ca="1" si="147">IFERROR(AS105/AS57,0)</f>
        <v>0.13556893353515143</v>
      </c>
      <c r="AT152" s="628"/>
      <c r="AV152" s="631">
        <f t="shared" si="138"/>
        <v>0.22570134295403022</v>
      </c>
      <c r="AW152" s="631">
        <f t="shared" ref="AW152:BG152" si="148">IFERROR(AW105/AW57,0)</f>
        <v>0.17286944586260394</v>
      </c>
      <c r="AX152" s="631">
        <f t="shared" si="148"/>
        <v>0.16322353417242372</v>
      </c>
      <c r="AY152" s="631">
        <f t="shared" si="148"/>
        <v>0.12065499002363925</v>
      </c>
      <c r="AZ152" s="631">
        <f t="shared" si="148"/>
        <v>0.15414078900632419</v>
      </c>
      <c r="BA152" s="631">
        <f t="shared" si="148"/>
        <v>0.18001065277514022</v>
      </c>
      <c r="BB152" s="631">
        <f t="shared" si="148"/>
        <v>0.16998794360931399</v>
      </c>
      <c r="BC152" s="631">
        <f t="shared" si="148"/>
        <v>0.13796530138993096</v>
      </c>
      <c r="BD152" s="631">
        <f t="shared" si="148"/>
        <v>0.11528036789356524</v>
      </c>
      <c r="BE152" s="631">
        <f t="shared" si="148"/>
        <v>0.11458941371737671</v>
      </c>
      <c r="BF152" s="631">
        <f t="shared" si="148"/>
        <v>0.23394607087517297</v>
      </c>
      <c r="BG152" s="631">
        <f t="shared" si="148"/>
        <v>0.15714319663312798</v>
      </c>
      <c r="BH152" s="632">
        <f t="shared" si="140"/>
        <v>0.15191247118204507</v>
      </c>
      <c r="BI152" s="632">
        <f t="shared" ca="1" si="140"/>
        <v>0.16212598715121129</v>
      </c>
    </row>
    <row r="153" spans="2:61" ht="15.5" hidden="1" outlineLevel="1" x14ac:dyDescent="0.35">
      <c r="D153" s="665">
        <v>3</v>
      </c>
      <c r="E153" s="666" t="str">
        <f t="shared" si="128"/>
        <v>Australia</v>
      </c>
      <c r="F153" s="545">
        <f t="shared" si="129"/>
        <v>0.12114990404840452</v>
      </c>
      <c r="G153" s="545">
        <f t="shared" si="141"/>
        <v>0</v>
      </c>
      <c r="I153" s="654">
        <v>3</v>
      </c>
      <c r="J153" s="655" t="str">
        <f t="shared" si="142"/>
        <v>Australia</v>
      </c>
      <c r="K153" s="675">
        <f t="shared" si="130"/>
        <v>0.12114990404840452</v>
      </c>
      <c r="L153" s="657">
        <f t="shared" si="143"/>
        <v>3</v>
      </c>
      <c r="M153" s="1143">
        <f>K153+COUNTA($K$151:K153)/10^6</f>
        <v>0.12115290404840452</v>
      </c>
      <c r="R153" s="665">
        <v>3</v>
      </c>
      <c r="S153" s="666" t="str">
        <f t="shared" ca="1" si="131"/>
        <v>Luxembourg</v>
      </c>
      <c r="T153" s="545">
        <f t="shared" ca="1" si="132"/>
        <v>0.20118715420389499</v>
      </c>
      <c r="U153" s="677">
        <f t="shared" ca="1" si="133"/>
        <v>0</v>
      </c>
      <c r="W153" s="654">
        <v>3</v>
      </c>
      <c r="X153" s="655" t="str">
        <f t="shared" si="144"/>
        <v>Australia</v>
      </c>
      <c r="Y153" s="675">
        <f t="shared" ca="1" si="134"/>
        <v>0.15444829963779991</v>
      </c>
      <c r="Z153" s="657">
        <f t="shared" ca="1" si="145"/>
        <v>7</v>
      </c>
      <c r="AA153" s="1142">
        <f ca="1">Y153+COUNTA($Y$151:Y153)/10^6</f>
        <v>0.15445129963779991</v>
      </c>
      <c r="AD153" s="322">
        <v>3</v>
      </c>
      <c r="AE153" s="31" t="s">
        <v>249</v>
      </c>
      <c r="AF153" s="631">
        <f t="shared" si="135"/>
        <v>0</v>
      </c>
      <c r="AG153" s="631">
        <f t="shared" ref="AG153:AQ153" si="149">IFERROR(AG106/AG58,0)</f>
        <v>0</v>
      </c>
      <c r="AH153" s="631">
        <f t="shared" si="149"/>
        <v>0</v>
      </c>
      <c r="AI153" s="631">
        <f t="shared" si="149"/>
        <v>0</v>
      </c>
      <c r="AJ153" s="631">
        <f t="shared" si="149"/>
        <v>0.18623114134642307</v>
      </c>
      <c r="AK153" s="631">
        <f t="shared" si="149"/>
        <v>0</v>
      </c>
      <c r="AL153" s="631">
        <f t="shared" si="149"/>
        <v>0</v>
      </c>
      <c r="AM153" s="631">
        <f t="shared" si="149"/>
        <v>0.12114990404840452</v>
      </c>
      <c r="AN153" s="631">
        <f t="shared" si="149"/>
        <v>0.13657840465716931</v>
      </c>
      <c r="AO153" s="631">
        <f t="shared" si="149"/>
        <v>0</v>
      </c>
      <c r="AP153" s="631">
        <f t="shared" si="149"/>
        <v>0</v>
      </c>
      <c r="AQ153" s="631">
        <f t="shared" si="149"/>
        <v>0</v>
      </c>
      <c r="AR153" s="632">
        <f t="shared" si="137"/>
        <v>0.14698498762793172</v>
      </c>
      <c r="AS153" s="690">
        <f t="shared" ca="1" si="147"/>
        <v>0.15444829963779991</v>
      </c>
      <c r="AT153" s="628"/>
      <c r="AV153" s="631">
        <f t="shared" si="138"/>
        <v>0</v>
      </c>
      <c r="AW153" s="631">
        <f t="shared" ref="AW153:BG153" si="150">IFERROR(AW106/AW58,0)</f>
        <v>0</v>
      </c>
      <c r="AX153" s="631">
        <f t="shared" si="150"/>
        <v>0.19533581522851767</v>
      </c>
      <c r="AY153" s="631">
        <f t="shared" si="150"/>
        <v>0</v>
      </c>
      <c r="AZ153" s="631">
        <f t="shared" si="150"/>
        <v>0.17597735317210048</v>
      </c>
      <c r="BA153" s="631">
        <f t="shared" si="150"/>
        <v>0</v>
      </c>
      <c r="BB153" s="631">
        <f t="shared" si="150"/>
        <v>0</v>
      </c>
      <c r="BC153" s="631">
        <f t="shared" si="150"/>
        <v>0</v>
      </c>
      <c r="BD153" s="631">
        <f t="shared" si="150"/>
        <v>0.13991921485274456</v>
      </c>
      <c r="BE153" s="631">
        <f t="shared" si="150"/>
        <v>0.22429396762388473</v>
      </c>
      <c r="BF153" s="631">
        <f t="shared" si="150"/>
        <v>0.27939128154424614</v>
      </c>
      <c r="BG153" s="631">
        <f t="shared" si="150"/>
        <v>0</v>
      </c>
      <c r="BH153" s="632">
        <f t="shared" si="140"/>
        <v>0.20522733981383179</v>
      </c>
      <c r="BI153" s="632">
        <f t="shared" ca="1" si="140"/>
        <v>0.18562211992159769</v>
      </c>
    </row>
    <row r="154" spans="2:61" ht="15.5" hidden="1" outlineLevel="1" x14ac:dyDescent="0.35">
      <c r="D154" s="665">
        <v>4</v>
      </c>
      <c r="E154" s="666" t="str">
        <f t="shared" si="128"/>
        <v>Hy Lạp</v>
      </c>
      <c r="F154" s="545">
        <f t="shared" si="129"/>
        <v>0.10958284801301654</v>
      </c>
      <c r="G154" s="545">
        <f t="shared" si="141"/>
        <v>0</v>
      </c>
      <c r="I154" s="654">
        <v>4</v>
      </c>
      <c r="J154" s="655" t="str">
        <f t="shared" si="142"/>
        <v>Bồ Đào Nha</v>
      </c>
      <c r="K154" s="675">
        <f t="shared" si="130"/>
        <v>0.18221652943677491</v>
      </c>
      <c r="L154" s="657">
        <f t="shared" si="143"/>
        <v>1</v>
      </c>
      <c r="M154" s="1143">
        <f>K154+COUNTA($K$151:K154)/10^6</f>
        <v>0.18222052943677491</v>
      </c>
      <c r="R154" s="665">
        <v>4</v>
      </c>
      <c r="S154" s="666" t="str">
        <f t="shared" ca="1" si="131"/>
        <v>Thụy Sĩ</v>
      </c>
      <c r="T154" s="545">
        <f t="shared" ca="1" si="132"/>
        <v>0.19072260037364497</v>
      </c>
      <c r="U154" s="677">
        <f t="shared" ca="1" si="133"/>
        <v>0.19714473578895131</v>
      </c>
      <c r="W154" s="654">
        <v>4</v>
      </c>
      <c r="X154" s="655" t="str">
        <f t="shared" si="144"/>
        <v>Bồ Đào Nha</v>
      </c>
      <c r="Y154" s="675">
        <f t="shared" ca="1" si="134"/>
        <v>0.18182778458188634</v>
      </c>
      <c r="Z154" s="657">
        <f t="shared" ca="1" si="145"/>
        <v>6</v>
      </c>
      <c r="AA154" s="1142">
        <f ca="1">Y154+COUNTA($Y$151:Y154)/10^6</f>
        <v>0.18183178458188634</v>
      </c>
      <c r="AD154" s="322">
        <v>4</v>
      </c>
      <c r="AE154" s="12" t="s">
        <v>246</v>
      </c>
      <c r="AF154" s="631">
        <f t="shared" si="135"/>
        <v>0</v>
      </c>
      <c r="AG154" s="631">
        <f t="shared" ref="AG154:AQ154" si="151">IFERROR(AG107/AG59,0)</f>
        <v>0.18647772876723098</v>
      </c>
      <c r="AH154" s="631">
        <f t="shared" si="151"/>
        <v>0.18599173766761834</v>
      </c>
      <c r="AI154" s="631">
        <f t="shared" si="151"/>
        <v>0.20455035435541621</v>
      </c>
      <c r="AJ154" s="631">
        <f t="shared" si="151"/>
        <v>0.18700545443965394</v>
      </c>
      <c r="AK154" s="631">
        <f t="shared" si="151"/>
        <v>0.1556759628218857</v>
      </c>
      <c r="AL154" s="631">
        <f t="shared" si="151"/>
        <v>0.17084078681695666</v>
      </c>
      <c r="AM154" s="631">
        <f t="shared" si="151"/>
        <v>0.18221652943677491</v>
      </c>
      <c r="AN154" s="631">
        <f t="shared" si="151"/>
        <v>0</v>
      </c>
      <c r="AO154" s="631">
        <f t="shared" si="151"/>
        <v>0</v>
      </c>
      <c r="AP154" s="631">
        <f t="shared" si="151"/>
        <v>0</v>
      </c>
      <c r="AQ154" s="631">
        <f t="shared" si="151"/>
        <v>0</v>
      </c>
      <c r="AR154" s="632">
        <f t="shared" si="137"/>
        <v>0.18182778458188634</v>
      </c>
      <c r="AS154" s="690">
        <f t="shared" ca="1" si="147"/>
        <v>0.18182778458188634</v>
      </c>
      <c r="AT154" s="628"/>
      <c r="AV154" s="631">
        <f t="shared" si="138"/>
        <v>0</v>
      </c>
      <c r="AW154" s="631">
        <f t="shared" ref="AW154:BG154" si="152">IFERROR(AW107/AW59,0)</f>
        <v>0</v>
      </c>
      <c r="AX154" s="631">
        <f t="shared" si="152"/>
        <v>0.18577199493113841</v>
      </c>
      <c r="AY154" s="631">
        <f t="shared" si="152"/>
        <v>0.27526726778470595</v>
      </c>
      <c r="AZ154" s="631">
        <f t="shared" si="152"/>
        <v>0</v>
      </c>
      <c r="BA154" s="631">
        <f t="shared" si="152"/>
        <v>0</v>
      </c>
      <c r="BB154" s="631">
        <f t="shared" si="152"/>
        <v>0</v>
      </c>
      <c r="BC154" s="631">
        <f t="shared" si="152"/>
        <v>0.17431487011755387</v>
      </c>
      <c r="BD154" s="631">
        <f t="shared" si="152"/>
        <v>0.18572098092052897</v>
      </c>
      <c r="BE154" s="631">
        <f t="shared" si="152"/>
        <v>0.17665424195285379</v>
      </c>
      <c r="BF154" s="631">
        <f t="shared" si="152"/>
        <v>0</v>
      </c>
      <c r="BG154" s="631">
        <f t="shared" si="152"/>
        <v>0</v>
      </c>
      <c r="BH154" s="632">
        <f t="shared" si="140"/>
        <v>0.20227988282921106</v>
      </c>
      <c r="BI154" s="632">
        <f t="shared" ca="1" si="140"/>
        <v>0.21124746596254934</v>
      </c>
    </row>
    <row r="155" spans="2:61" ht="15.5" hidden="1" outlineLevel="1" x14ac:dyDescent="0.35">
      <c r="D155" s="665">
        <v>5</v>
      </c>
      <c r="E155" s="666" t="str">
        <f t="shared" si="128"/>
        <v>Mỹ</v>
      </c>
      <c r="F155" s="545">
        <f t="shared" si="129"/>
        <v>9.8916618258340777E-2</v>
      </c>
      <c r="G155" s="545">
        <f t="shared" si="141"/>
        <v>0.13796530138993096</v>
      </c>
      <c r="I155" s="654">
        <v>5</v>
      </c>
      <c r="J155" s="655" t="str">
        <f t="shared" si="142"/>
        <v>Bulgaria</v>
      </c>
      <c r="K155" s="675">
        <f t="shared" si="130"/>
        <v>0</v>
      </c>
      <c r="L155" s="657" t="str">
        <f t="shared" si="143"/>
        <v>-</v>
      </c>
      <c r="M155" s="1143">
        <f>K155+COUNTA($K$151:K155)/10^6</f>
        <v>5.0000000000000004E-6</v>
      </c>
      <c r="R155" s="665">
        <v>5</v>
      </c>
      <c r="S155" s="666" t="str">
        <f t="shared" ca="1" si="131"/>
        <v>Israel</v>
      </c>
      <c r="T155" s="545">
        <f t="shared" ca="1" si="132"/>
        <v>0.18875328222730631</v>
      </c>
      <c r="U155" s="677">
        <f t="shared" ca="1" si="133"/>
        <v>2.5662430726358765E-2</v>
      </c>
      <c r="W155" s="654">
        <v>5</v>
      </c>
      <c r="X155" s="655" t="str">
        <f t="shared" si="144"/>
        <v>Bulgaria</v>
      </c>
      <c r="Y155" s="675">
        <f t="shared" ca="1" si="134"/>
        <v>0.11393662342625689</v>
      </c>
      <c r="Z155" s="657">
        <f t="shared" ca="1" si="145"/>
        <v>13</v>
      </c>
      <c r="AA155" s="1142">
        <f ca="1">Y155+COUNTA($Y$151:Y155)/10^6</f>
        <v>0.1139416234262569</v>
      </c>
      <c r="AD155" s="322">
        <v>5</v>
      </c>
      <c r="AE155" s="12" t="s">
        <v>254</v>
      </c>
      <c r="AF155" s="631">
        <f t="shared" si="135"/>
        <v>0</v>
      </c>
      <c r="AG155" s="631">
        <f t="shared" ref="AG155:AQ155" si="153">IFERROR(AG108/AG60,0)</f>
        <v>0.12097738451097749</v>
      </c>
      <c r="AH155" s="631">
        <f t="shared" si="153"/>
        <v>0</v>
      </c>
      <c r="AI155" s="631">
        <f t="shared" si="153"/>
        <v>8.8721525930310213E-2</v>
      </c>
      <c r="AJ155" s="631">
        <f t="shared" si="153"/>
        <v>0</v>
      </c>
      <c r="AK155" s="631">
        <f t="shared" si="153"/>
        <v>0.14922759271166963</v>
      </c>
      <c r="AL155" s="631">
        <f t="shared" si="153"/>
        <v>0</v>
      </c>
      <c r="AM155" s="631">
        <f t="shared" si="153"/>
        <v>0</v>
      </c>
      <c r="AN155" s="631">
        <f t="shared" si="153"/>
        <v>0</v>
      </c>
      <c r="AO155" s="631">
        <f t="shared" si="153"/>
        <v>0</v>
      </c>
      <c r="AP155" s="631">
        <f t="shared" si="153"/>
        <v>0</v>
      </c>
      <c r="AQ155" s="631">
        <f t="shared" si="153"/>
        <v>0</v>
      </c>
      <c r="AR155" s="632">
        <f t="shared" si="137"/>
        <v>0.11393662342625689</v>
      </c>
      <c r="AS155" s="690">
        <f t="shared" ca="1" si="147"/>
        <v>0.11393662342625689</v>
      </c>
      <c r="AT155" s="628"/>
      <c r="AV155" s="631">
        <f t="shared" si="138"/>
        <v>0</v>
      </c>
      <c r="AW155" s="631">
        <f t="shared" ref="AW155:BG155" si="154">IFERROR(AW108/AW60,0)</f>
        <v>0</v>
      </c>
      <c r="AX155" s="631">
        <f t="shared" si="154"/>
        <v>0</v>
      </c>
      <c r="AY155" s="631">
        <f t="shared" si="154"/>
        <v>0</v>
      </c>
      <c r="AZ155" s="631">
        <f t="shared" si="154"/>
        <v>0</v>
      </c>
      <c r="BA155" s="631">
        <f t="shared" si="154"/>
        <v>0</v>
      </c>
      <c r="BB155" s="631">
        <f t="shared" si="154"/>
        <v>0</v>
      </c>
      <c r="BC155" s="631">
        <f t="shared" si="154"/>
        <v>0</v>
      </c>
      <c r="BD155" s="631">
        <f t="shared" si="154"/>
        <v>0</v>
      </c>
      <c r="BE155" s="631">
        <f t="shared" si="154"/>
        <v>0.22354097851228419</v>
      </c>
      <c r="BF155" s="631">
        <f t="shared" si="154"/>
        <v>0</v>
      </c>
      <c r="BG155" s="631">
        <f t="shared" si="154"/>
        <v>0</v>
      </c>
      <c r="BH155" s="632">
        <f t="shared" si="140"/>
        <v>0.22354097851228419</v>
      </c>
      <c r="BI155" s="632" t="str">
        <f t="shared" ca="1" si="140"/>
        <v>-</v>
      </c>
    </row>
    <row r="156" spans="2:61" ht="15.5" hidden="1" outlineLevel="1" x14ac:dyDescent="0.35">
      <c r="D156" s="665">
        <v>6</v>
      </c>
      <c r="E156" s="666" t="str">
        <f t="shared" si="128"/>
        <v>VN</v>
      </c>
      <c r="F156" s="545">
        <f t="shared" si="129"/>
        <v>7.3426932680074539E-2</v>
      </c>
      <c r="G156" s="545">
        <f t="shared" si="141"/>
        <v>0.17098660113380229</v>
      </c>
      <c r="I156" s="654">
        <v>6</v>
      </c>
      <c r="J156" s="655" t="str">
        <f t="shared" si="142"/>
        <v>Hàn Quốc</v>
      </c>
      <c r="K156" s="675">
        <f t="shared" si="130"/>
        <v>0</v>
      </c>
      <c r="L156" s="1141">
        <v>8</v>
      </c>
      <c r="M156" s="1143">
        <f>K156+COUNTA($K$151:K156)/10^6</f>
        <v>6.0000000000000002E-6</v>
      </c>
      <c r="R156" s="665">
        <v>6</v>
      </c>
      <c r="S156" s="666" t="str">
        <f t="shared" ca="1" si="131"/>
        <v>Bồ Đào Nha</v>
      </c>
      <c r="T156" s="545">
        <f t="shared" ca="1" si="132"/>
        <v>0.18182778458188634</v>
      </c>
      <c r="U156" s="677">
        <f t="shared" ca="1" si="133"/>
        <v>0.21124746596254934</v>
      </c>
      <c r="W156" s="654">
        <v>6</v>
      </c>
      <c r="X156" s="655" t="str">
        <f t="shared" si="144"/>
        <v>Hàn Quốc</v>
      </c>
      <c r="Y156" s="675">
        <f t="shared" ca="1" si="134"/>
        <v>0.12313526602401866</v>
      </c>
      <c r="Z156" s="657">
        <f t="shared" ca="1" si="145"/>
        <v>11</v>
      </c>
      <c r="AA156" s="1142">
        <f ca="1">Y156+COUNTA($Y$151:Y156)/10^6</f>
        <v>0.12314126602401866</v>
      </c>
      <c r="AD156" s="322">
        <v>6</v>
      </c>
      <c r="AE156" s="12" t="s">
        <v>253</v>
      </c>
      <c r="AF156" s="631">
        <f t="shared" si="135"/>
        <v>0.16752395271869622</v>
      </c>
      <c r="AG156" s="631">
        <f t="shared" ref="AG156:AQ156" si="155">IFERROR(AG109/AG61,0)</f>
        <v>0</v>
      </c>
      <c r="AH156" s="631">
        <f t="shared" si="155"/>
        <v>0.20340806301724254</v>
      </c>
      <c r="AI156" s="631">
        <f t="shared" si="155"/>
        <v>0.2417000163190256</v>
      </c>
      <c r="AJ156" s="631">
        <f t="shared" si="155"/>
        <v>0</v>
      </c>
      <c r="AK156" s="631">
        <f t="shared" si="155"/>
        <v>-0.5689333469480774</v>
      </c>
      <c r="AL156" s="631">
        <f t="shared" si="155"/>
        <v>0</v>
      </c>
      <c r="AM156" s="631">
        <f t="shared" si="155"/>
        <v>0</v>
      </c>
      <c r="AN156" s="631">
        <f t="shared" si="155"/>
        <v>0</v>
      </c>
      <c r="AO156" s="631">
        <f t="shared" si="155"/>
        <v>0</v>
      </c>
      <c r="AP156" s="631">
        <f t="shared" si="155"/>
        <v>0</v>
      </c>
      <c r="AQ156" s="631">
        <f t="shared" si="155"/>
        <v>0</v>
      </c>
      <c r="AR156" s="632">
        <f t="shared" si="137"/>
        <v>0.12313526602401866</v>
      </c>
      <c r="AS156" s="690">
        <f t="shared" ca="1" si="147"/>
        <v>0.12313526602401866</v>
      </c>
      <c r="AT156" s="628"/>
      <c r="AV156" s="631">
        <f t="shared" si="138"/>
        <v>0.24330674586861542</v>
      </c>
      <c r="AW156" s="631">
        <f t="shared" ref="AW156:BG156" si="156">IFERROR(AW109/AW61,0)</f>
        <v>0</v>
      </c>
      <c r="AX156" s="631">
        <f t="shared" si="156"/>
        <v>0</v>
      </c>
      <c r="AY156" s="631">
        <f t="shared" si="156"/>
        <v>0</v>
      </c>
      <c r="AZ156" s="631">
        <f t="shared" si="156"/>
        <v>0</v>
      </c>
      <c r="BA156" s="631">
        <f t="shared" si="156"/>
        <v>0</v>
      </c>
      <c r="BB156" s="631">
        <f t="shared" si="156"/>
        <v>0</v>
      </c>
      <c r="BC156" s="631">
        <f t="shared" si="156"/>
        <v>0.18034034054937217</v>
      </c>
      <c r="BD156" s="631">
        <f t="shared" si="156"/>
        <v>0</v>
      </c>
      <c r="BE156" s="631">
        <f t="shared" si="156"/>
        <v>0</v>
      </c>
      <c r="BF156" s="631">
        <f t="shared" si="156"/>
        <v>0.21775958714554092</v>
      </c>
      <c r="BG156" s="631">
        <f t="shared" si="156"/>
        <v>0</v>
      </c>
      <c r="BH156" s="632">
        <f t="shared" si="140"/>
        <v>0.20882753944267257</v>
      </c>
      <c r="BI156" s="632">
        <f t="shared" ca="1" si="140"/>
        <v>0.19757088397501704</v>
      </c>
    </row>
    <row r="157" spans="2:61" ht="15.5" hidden="1" outlineLevel="1" x14ac:dyDescent="0.35">
      <c r="D157" s="665">
        <v>7</v>
      </c>
      <c r="E157" s="666" t="str">
        <f t="shared" si="128"/>
        <v>Hong Kong</v>
      </c>
      <c r="F157" s="545">
        <f t="shared" si="129"/>
        <v>1.8149902254908722E-2</v>
      </c>
      <c r="G157" s="668">
        <f t="shared" si="141"/>
        <v>-0.25117560351980339</v>
      </c>
      <c r="I157" s="654">
        <v>7</v>
      </c>
      <c r="J157" s="655" t="str">
        <f t="shared" si="142"/>
        <v>Hong Kong</v>
      </c>
      <c r="K157" s="675">
        <f t="shared" si="130"/>
        <v>1.8149902254908722E-2</v>
      </c>
      <c r="L157" s="657">
        <f t="shared" si="143"/>
        <v>7</v>
      </c>
      <c r="M157" s="1143">
        <f>K157+COUNTA($K$151:K157)/10^6</f>
        <v>1.8156902254908722E-2</v>
      </c>
      <c r="R157" s="665">
        <v>7</v>
      </c>
      <c r="S157" s="666" t="str">
        <f t="shared" ca="1" si="131"/>
        <v>Australia</v>
      </c>
      <c r="T157" s="545">
        <f t="shared" ca="1" si="132"/>
        <v>0.15444829963779991</v>
      </c>
      <c r="U157" s="677">
        <f t="shared" ca="1" si="133"/>
        <v>0.18562211992159769</v>
      </c>
      <c r="W157" s="654">
        <v>7</v>
      </c>
      <c r="X157" s="655" t="str">
        <f t="shared" si="144"/>
        <v>Hong Kong</v>
      </c>
      <c r="Y157" s="675">
        <f t="shared" ca="1" si="134"/>
        <v>4.9847121825300385E-2</v>
      </c>
      <c r="Z157" s="657">
        <f t="shared" ca="1" si="145"/>
        <v>16</v>
      </c>
      <c r="AA157" s="1142">
        <f ca="1">Y157+COUNTA($Y$151:Y157)/10^6</f>
        <v>4.9854121825300385E-2</v>
      </c>
      <c r="AD157" s="322">
        <v>7</v>
      </c>
      <c r="AE157" s="12" t="s">
        <v>247</v>
      </c>
      <c r="AF157" s="631">
        <f t="shared" si="135"/>
        <v>0</v>
      </c>
      <c r="AG157" s="631">
        <f t="shared" ref="AG157:AQ157" si="157">IFERROR(AG110/AG62,0)</f>
        <v>0</v>
      </c>
      <c r="AH157" s="631">
        <f t="shared" si="157"/>
        <v>0</v>
      </c>
      <c r="AI157" s="631">
        <f t="shared" si="157"/>
        <v>0</v>
      </c>
      <c r="AJ157" s="631">
        <f t="shared" si="157"/>
        <v>0</v>
      </c>
      <c r="AK157" s="631">
        <f t="shared" si="157"/>
        <v>8.0173313735016238E-2</v>
      </c>
      <c r="AL157" s="631">
        <f t="shared" si="157"/>
        <v>0</v>
      </c>
      <c r="AM157" s="631">
        <f t="shared" si="157"/>
        <v>1.8149902254908722E-2</v>
      </c>
      <c r="AN157" s="631">
        <f t="shared" si="157"/>
        <v>0</v>
      </c>
      <c r="AO157" s="631">
        <f t="shared" si="157"/>
        <v>0</v>
      </c>
      <c r="AP157" s="631">
        <f t="shared" si="157"/>
        <v>0</v>
      </c>
      <c r="AQ157" s="631">
        <f t="shared" si="157"/>
        <v>0</v>
      </c>
      <c r="AR157" s="632">
        <f t="shared" si="137"/>
        <v>4.9847121825300385E-2</v>
      </c>
      <c r="AS157" s="690">
        <f t="shared" ca="1" si="147"/>
        <v>4.9847121825300385E-2</v>
      </c>
      <c r="AT157" s="628"/>
      <c r="AV157" s="631">
        <f t="shared" si="138"/>
        <v>0</v>
      </c>
      <c r="AW157" s="631">
        <f t="shared" ref="AW157:BG157" si="158">IFERROR(AW110/AW62,0)</f>
        <v>0</v>
      </c>
      <c r="AX157" s="631">
        <f t="shared" si="158"/>
        <v>0</v>
      </c>
      <c r="AY157" s="631">
        <f t="shared" si="158"/>
        <v>0</v>
      </c>
      <c r="AZ157" s="631">
        <f t="shared" si="158"/>
        <v>0</v>
      </c>
      <c r="BA157" s="631">
        <f t="shared" si="158"/>
        <v>0</v>
      </c>
      <c r="BB157" s="631">
        <f t="shared" si="158"/>
        <v>-0.31453386551394036</v>
      </c>
      <c r="BC157" s="631">
        <f t="shared" si="158"/>
        <v>-0.25117560351980339</v>
      </c>
      <c r="BD157" s="631">
        <f t="shared" si="158"/>
        <v>-0.20900193163288641</v>
      </c>
      <c r="BE157" s="631">
        <f t="shared" si="158"/>
        <v>1.3341629307239276E-2</v>
      </c>
      <c r="BF157" s="631">
        <f t="shared" si="158"/>
        <v>0</v>
      </c>
      <c r="BG157" s="631">
        <f t="shared" si="158"/>
        <v>0</v>
      </c>
      <c r="BH157" s="632">
        <f t="shared" si="140"/>
        <v>-0.17322714107366929</v>
      </c>
      <c r="BI157" s="632">
        <f t="shared" ca="1" si="140"/>
        <v>-0.2632709216450167</v>
      </c>
    </row>
    <row r="158" spans="2:61" ht="15.5" hidden="1" outlineLevel="1" x14ac:dyDescent="0.35">
      <c r="D158" s="665">
        <v>8</v>
      </c>
      <c r="E158" s="666" t="str">
        <f t="shared" si="128"/>
        <v>Hàn Quốc</v>
      </c>
      <c r="F158" s="545">
        <f t="shared" si="129"/>
        <v>0</v>
      </c>
      <c r="G158" s="545">
        <f t="shared" si="141"/>
        <v>0.18034034054937217</v>
      </c>
      <c r="I158" s="654">
        <v>8</v>
      </c>
      <c r="J158" s="655" t="str">
        <f t="shared" si="142"/>
        <v>Hy Lạp</v>
      </c>
      <c r="K158" s="675">
        <f t="shared" si="130"/>
        <v>0.10958284801301654</v>
      </c>
      <c r="L158" s="657">
        <f t="shared" si="143"/>
        <v>4</v>
      </c>
      <c r="M158" s="1143">
        <f>K158+COUNTA($K$151:K158)/10^6</f>
        <v>0.10959084801301654</v>
      </c>
      <c r="R158" s="665">
        <v>8</v>
      </c>
      <c r="S158" s="666" t="str">
        <f t="shared" ca="1" si="131"/>
        <v>Mỹ</v>
      </c>
      <c r="T158" s="545">
        <f t="shared" ca="1" si="132"/>
        <v>0.13556893353515143</v>
      </c>
      <c r="U158" s="677">
        <f t="shared" ca="1" si="133"/>
        <v>0.16212598715121129</v>
      </c>
      <c r="W158" s="654">
        <v>8</v>
      </c>
      <c r="X158" s="655" t="str">
        <f t="shared" si="144"/>
        <v>Hy Lạp</v>
      </c>
      <c r="Y158" s="675">
        <f t="shared" ca="1" si="134"/>
        <v>0.13335443579051026</v>
      </c>
      <c r="Z158" s="657">
        <f t="shared" ca="1" si="145"/>
        <v>9</v>
      </c>
      <c r="AA158" s="1142">
        <f ca="1">Y158+COUNTA($Y$151:Y158)/10^6</f>
        <v>0.13336243579051027</v>
      </c>
      <c r="AD158" s="322">
        <v>8</v>
      </c>
      <c r="AE158" s="12" t="s">
        <v>250</v>
      </c>
      <c r="AF158" s="631">
        <f t="shared" si="135"/>
        <v>0</v>
      </c>
      <c r="AG158" s="631">
        <f t="shared" ref="AG158:AQ158" si="159">IFERROR(AG111/AG63,0)</f>
        <v>0</v>
      </c>
      <c r="AH158" s="631">
        <f t="shared" si="159"/>
        <v>0.18265220461458798</v>
      </c>
      <c r="AI158" s="631">
        <f t="shared" si="159"/>
        <v>0</v>
      </c>
      <c r="AJ158" s="631">
        <f t="shared" si="159"/>
        <v>0</v>
      </c>
      <c r="AK158" s="631">
        <f t="shared" si="159"/>
        <v>0.14922759271166963</v>
      </c>
      <c r="AL158" s="631">
        <f t="shared" si="159"/>
        <v>0</v>
      </c>
      <c r="AM158" s="631">
        <f t="shared" si="159"/>
        <v>0.10958284801301654</v>
      </c>
      <c r="AN158" s="631">
        <f t="shared" si="159"/>
        <v>0</v>
      </c>
      <c r="AO158" s="631">
        <f t="shared" si="159"/>
        <v>0</v>
      </c>
      <c r="AP158" s="631">
        <f t="shared" si="159"/>
        <v>0</v>
      </c>
      <c r="AQ158" s="631">
        <f t="shared" si="159"/>
        <v>0</v>
      </c>
      <c r="AR158" s="632">
        <f t="shared" si="137"/>
        <v>0.13335443579051026</v>
      </c>
      <c r="AS158" s="690">
        <f t="shared" ca="1" si="147"/>
        <v>0.13335443579051026</v>
      </c>
      <c r="AT158" s="628"/>
      <c r="AV158" s="631">
        <f t="shared" si="138"/>
        <v>0</v>
      </c>
      <c r="AW158" s="631">
        <f t="shared" ref="AW158:BG158" si="160">IFERROR(AW111/AW63,0)</f>
        <v>0.29295512076199903</v>
      </c>
      <c r="AX158" s="631">
        <f t="shared" si="160"/>
        <v>0</v>
      </c>
      <c r="AY158" s="631">
        <f t="shared" si="160"/>
        <v>0</v>
      </c>
      <c r="AZ158" s="631">
        <f t="shared" si="160"/>
        <v>0</v>
      </c>
      <c r="BA158" s="631">
        <f t="shared" si="160"/>
        <v>0</v>
      </c>
      <c r="BB158" s="631">
        <f t="shared" si="160"/>
        <v>0</v>
      </c>
      <c r="BC158" s="631">
        <f t="shared" si="160"/>
        <v>0</v>
      </c>
      <c r="BD158" s="631">
        <f t="shared" si="160"/>
        <v>0.20995808758966406</v>
      </c>
      <c r="BE158" s="631">
        <f t="shared" si="160"/>
        <v>0</v>
      </c>
      <c r="BF158" s="631">
        <f t="shared" si="160"/>
        <v>0</v>
      </c>
      <c r="BG158" s="631">
        <f t="shared" si="160"/>
        <v>0</v>
      </c>
      <c r="BH158" s="632">
        <f t="shared" si="140"/>
        <v>0.2651457098032135</v>
      </c>
      <c r="BI158" s="632">
        <f t="shared" ca="1" si="140"/>
        <v>0.29295512076199903</v>
      </c>
    </row>
    <row r="159" spans="2:61" ht="15.5" hidden="1" outlineLevel="1" x14ac:dyDescent="0.35">
      <c r="D159" s="665">
        <v>9</v>
      </c>
      <c r="E159" s="666">
        <f t="shared" si="128"/>
        <v>0</v>
      </c>
      <c r="F159" s="545">
        <f t="shared" si="129"/>
        <v>0</v>
      </c>
      <c r="G159" s="545">
        <f t="shared" si="141"/>
        <v>0</v>
      </c>
      <c r="I159" s="654">
        <v>9</v>
      </c>
      <c r="J159" s="655" t="str">
        <f t="shared" si="142"/>
        <v>Israel</v>
      </c>
      <c r="K159" s="675">
        <f t="shared" si="130"/>
        <v>0</v>
      </c>
      <c r="L159" s="657" t="str">
        <f t="shared" si="143"/>
        <v>-</v>
      </c>
      <c r="M159" s="1143">
        <f>K159+COUNTA($K$151:K159)/10^6</f>
        <v>9.0000000000000002E-6</v>
      </c>
      <c r="R159" s="665">
        <v>9</v>
      </c>
      <c r="S159" s="666" t="str">
        <f t="shared" ca="1" si="131"/>
        <v>Hy Lạp</v>
      </c>
      <c r="T159" s="545">
        <f t="shared" ca="1" si="132"/>
        <v>0.13335443579051026</v>
      </c>
      <c r="U159" s="677">
        <f t="shared" ca="1" si="133"/>
        <v>0.29295512076199903</v>
      </c>
      <c r="W159" s="654">
        <v>9</v>
      </c>
      <c r="X159" s="655" t="str">
        <f t="shared" si="144"/>
        <v>Israel</v>
      </c>
      <c r="Y159" s="675">
        <f t="shared" ca="1" si="134"/>
        <v>0.18875328222730631</v>
      </c>
      <c r="Z159" s="657">
        <f t="shared" ca="1" si="145"/>
        <v>5</v>
      </c>
      <c r="AA159" s="1142">
        <f ca="1">Y159+COUNTA($Y$151:Y159)/10^6</f>
        <v>0.18876228222730632</v>
      </c>
      <c r="AD159" s="322">
        <v>9</v>
      </c>
      <c r="AE159" s="12" t="s">
        <v>256</v>
      </c>
      <c r="AF159" s="631">
        <f t="shared" si="135"/>
        <v>0.1923849158770474</v>
      </c>
      <c r="AG159" s="631">
        <f t="shared" ref="AG159:AQ159" si="161">IFERROR(AG112/AG64,0)</f>
        <v>0.1874201565955412</v>
      </c>
      <c r="AH159" s="631">
        <f t="shared" si="161"/>
        <v>0</v>
      </c>
      <c r="AI159" s="631">
        <f t="shared" si="161"/>
        <v>0</v>
      </c>
      <c r="AJ159" s="631">
        <f t="shared" si="161"/>
        <v>0</v>
      </c>
      <c r="AK159" s="631">
        <f t="shared" si="161"/>
        <v>0</v>
      </c>
      <c r="AL159" s="631">
        <f t="shared" si="161"/>
        <v>0</v>
      </c>
      <c r="AM159" s="631">
        <f t="shared" si="161"/>
        <v>0</v>
      </c>
      <c r="AN159" s="631">
        <f t="shared" si="161"/>
        <v>0</v>
      </c>
      <c r="AO159" s="631">
        <f t="shared" si="161"/>
        <v>0</v>
      </c>
      <c r="AP159" s="631">
        <f t="shared" si="161"/>
        <v>0</v>
      </c>
      <c r="AQ159" s="631">
        <f t="shared" si="161"/>
        <v>0</v>
      </c>
      <c r="AR159" s="632">
        <f t="shared" si="137"/>
        <v>0.18875328222730631</v>
      </c>
      <c r="AS159" s="690">
        <f t="shared" ca="1" si="147"/>
        <v>0.18875328222730631</v>
      </c>
      <c r="AT159" s="628"/>
      <c r="AV159" s="631">
        <f t="shared" si="138"/>
        <v>0</v>
      </c>
      <c r="AW159" s="631">
        <f t="shared" ref="AW159:BG159" si="162">IFERROR(AW112/AW64,0)</f>
        <v>0</v>
      </c>
      <c r="AX159" s="631">
        <f t="shared" si="162"/>
        <v>5.0615535968790946E-2</v>
      </c>
      <c r="AY159" s="631">
        <f t="shared" si="162"/>
        <v>0</v>
      </c>
      <c r="AZ159" s="631">
        <f t="shared" si="162"/>
        <v>0</v>
      </c>
      <c r="BA159" s="631">
        <f t="shared" si="162"/>
        <v>0</v>
      </c>
      <c r="BB159" s="631">
        <f t="shared" si="162"/>
        <v>0</v>
      </c>
      <c r="BC159" s="631">
        <f t="shared" si="162"/>
        <v>1.118485431976232E-2</v>
      </c>
      <c r="BD159" s="631">
        <f t="shared" si="162"/>
        <v>0</v>
      </c>
      <c r="BE159" s="631">
        <f t="shared" si="162"/>
        <v>0</v>
      </c>
      <c r="BF159" s="631">
        <f t="shared" si="162"/>
        <v>0</v>
      </c>
      <c r="BG159" s="631">
        <f t="shared" si="162"/>
        <v>0</v>
      </c>
      <c r="BH159" s="632">
        <f t="shared" si="140"/>
        <v>2.5662430726358765E-2</v>
      </c>
      <c r="BI159" s="632">
        <f t="shared" ca="1" si="140"/>
        <v>2.5662430726358765E-2</v>
      </c>
    </row>
    <row r="160" spans="2:61" ht="15.5" hidden="1" outlineLevel="1" x14ac:dyDescent="0.35">
      <c r="D160" s="665">
        <v>10</v>
      </c>
      <c r="E160" s="666">
        <f t="shared" si="128"/>
        <v>0</v>
      </c>
      <c r="F160" s="545">
        <f t="shared" si="129"/>
        <v>0</v>
      </c>
      <c r="G160" s="545">
        <f t="shared" si="141"/>
        <v>0</v>
      </c>
      <c r="I160" s="654">
        <v>10</v>
      </c>
      <c r="J160" s="655" t="str">
        <f t="shared" si="142"/>
        <v>Italy</v>
      </c>
      <c r="K160" s="675">
        <f t="shared" si="130"/>
        <v>0</v>
      </c>
      <c r="L160" s="657" t="str">
        <f t="shared" si="143"/>
        <v>-</v>
      </c>
      <c r="M160" s="1143">
        <f>K160+COUNTA($K$151:K160)/10^6</f>
        <v>1.0000000000000001E-5</v>
      </c>
      <c r="R160" s="665">
        <v>10</v>
      </c>
      <c r="S160" s="666">
        <f t="shared" ca="1" si="131"/>
        <v>0</v>
      </c>
      <c r="T160" s="545">
        <f t="shared" ca="1" si="132"/>
        <v>0</v>
      </c>
      <c r="U160" s="677">
        <f t="shared" ca="1" si="133"/>
        <v>0</v>
      </c>
      <c r="W160" s="654">
        <v>10</v>
      </c>
      <c r="X160" s="655" t="str">
        <f t="shared" si="144"/>
        <v>Italy</v>
      </c>
      <c r="Y160" s="675">
        <f t="shared" ca="1" si="134"/>
        <v>0.22841870217246257</v>
      </c>
      <c r="Z160" s="657">
        <f t="shared" ca="1" si="145"/>
        <v>1</v>
      </c>
      <c r="AA160" s="1142">
        <f ca="1">Y160+COUNTA($Y$151:Y160)/10^6</f>
        <v>0.22842870217246258</v>
      </c>
      <c r="AD160" s="322">
        <v>10</v>
      </c>
      <c r="AE160" s="12" t="s">
        <v>252</v>
      </c>
      <c r="AF160" s="631">
        <f t="shared" si="135"/>
        <v>0</v>
      </c>
      <c r="AG160" s="631">
        <f t="shared" ref="AG160:AQ160" si="163">IFERROR(AG113/AG65,0)</f>
        <v>0.22841870217246257</v>
      </c>
      <c r="AH160" s="631">
        <f t="shared" si="163"/>
        <v>0</v>
      </c>
      <c r="AI160" s="631">
        <f t="shared" si="163"/>
        <v>0</v>
      </c>
      <c r="AJ160" s="631">
        <f t="shared" si="163"/>
        <v>0</v>
      </c>
      <c r="AK160" s="631">
        <f t="shared" si="163"/>
        <v>0</v>
      </c>
      <c r="AL160" s="631">
        <f t="shared" si="163"/>
        <v>0</v>
      </c>
      <c r="AM160" s="631">
        <f t="shared" si="163"/>
        <v>0</v>
      </c>
      <c r="AN160" s="631">
        <f t="shared" si="163"/>
        <v>0</v>
      </c>
      <c r="AO160" s="631">
        <f t="shared" si="163"/>
        <v>0</v>
      </c>
      <c r="AP160" s="631">
        <f t="shared" si="163"/>
        <v>0</v>
      </c>
      <c r="AQ160" s="631">
        <f t="shared" si="163"/>
        <v>0</v>
      </c>
      <c r="AR160" s="632">
        <f t="shared" si="137"/>
        <v>0.22841870217246257</v>
      </c>
      <c r="AS160" s="690">
        <f t="shared" ca="1" si="147"/>
        <v>0.22841870217246257</v>
      </c>
      <c r="AT160" s="628"/>
      <c r="AV160" s="631">
        <f t="shared" si="138"/>
        <v>0</v>
      </c>
      <c r="AW160" s="631">
        <f t="shared" ref="AW160:BG160" si="164">IFERROR(AW113/AW65,0)</f>
        <v>0</v>
      </c>
      <c r="AX160" s="631">
        <f t="shared" si="164"/>
        <v>0</v>
      </c>
      <c r="AY160" s="631">
        <f t="shared" si="164"/>
        <v>0</v>
      </c>
      <c r="AZ160" s="631">
        <f t="shared" si="164"/>
        <v>0</v>
      </c>
      <c r="BA160" s="631">
        <f t="shared" si="164"/>
        <v>0</v>
      </c>
      <c r="BB160" s="631">
        <f t="shared" si="164"/>
        <v>0</v>
      </c>
      <c r="BC160" s="631">
        <f t="shared" si="164"/>
        <v>0</v>
      </c>
      <c r="BD160" s="631">
        <f t="shared" si="164"/>
        <v>0</v>
      </c>
      <c r="BE160" s="631">
        <f t="shared" si="164"/>
        <v>0</v>
      </c>
      <c r="BF160" s="631">
        <f t="shared" si="164"/>
        <v>0</v>
      </c>
      <c r="BG160" s="631">
        <f t="shared" si="164"/>
        <v>0</v>
      </c>
      <c r="BH160" s="632" t="str">
        <f t="shared" si="140"/>
        <v>-</v>
      </c>
      <c r="BI160" s="632" t="str">
        <f t="shared" ca="1" si="140"/>
        <v>-</v>
      </c>
    </row>
    <row r="161" spans="3:61" ht="15.5" hidden="1" outlineLevel="1" x14ac:dyDescent="0.35">
      <c r="D161" s="665">
        <v>11</v>
      </c>
      <c r="E161" s="666">
        <f t="shared" si="128"/>
        <v>0</v>
      </c>
      <c r="F161" s="545">
        <f t="shared" si="129"/>
        <v>0</v>
      </c>
      <c r="G161" s="545">
        <f t="shared" si="141"/>
        <v>0</v>
      </c>
      <c r="I161" s="654">
        <v>11</v>
      </c>
      <c r="J161" s="655" t="str">
        <f t="shared" si="142"/>
        <v>Korea</v>
      </c>
      <c r="K161" s="675">
        <f t="shared" si="130"/>
        <v>0</v>
      </c>
      <c r="L161" s="657" t="str">
        <f t="shared" si="143"/>
        <v>-</v>
      </c>
      <c r="M161" s="1143">
        <f>K161+COUNTA($K$151:K161)/10^6</f>
        <v>1.1E-5</v>
      </c>
      <c r="R161" s="665">
        <v>11</v>
      </c>
      <c r="S161" s="666" t="str">
        <f t="shared" ca="1" si="131"/>
        <v>Hàn Quốc</v>
      </c>
      <c r="T161" s="545">
        <f t="shared" ca="1" si="132"/>
        <v>0.12313526602401866</v>
      </c>
      <c r="U161" s="677">
        <f t="shared" ca="1" si="133"/>
        <v>0.19757088397501704</v>
      </c>
      <c r="W161" s="654">
        <v>11</v>
      </c>
      <c r="X161" s="655" t="str">
        <f t="shared" si="144"/>
        <v>Korea</v>
      </c>
      <c r="Y161" s="675">
        <f t="shared" ca="1" si="134"/>
        <v>0</v>
      </c>
      <c r="Z161" s="657" t="str">
        <f t="shared" ca="1" si="145"/>
        <v>-</v>
      </c>
      <c r="AA161" s="1142">
        <f ca="1">Y161+COUNTA($Y$151:Y161)/10^6</f>
        <v>1.1E-5</v>
      </c>
      <c r="AD161" s="322">
        <v>11</v>
      </c>
      <c r="AE161" s="12" t="s">
        <v>670</v>
      </c>
      <c r="AF161" s="631">
        <f t="shared" si="135"/>
        <v>0</v>
      </c>
      <c r="AG161" s="631">
        <f t="shared" ref="AG161:AQ161" si="165">IFERROR(AG114/AG66,0)</f>
        <v>0</v>
      </c>
      <c r="AH161" s="631">
        <f t="shared" si="165"/>
        <v>0</v>
      </c>
      <c r="AI161" s="631">
        <f t="shared" si="165"/>
        <v>0</v>
      </c>
      <c r="AJ161" s="631">
        <f t="shared" si="165"/>
        <v>0</v>
      </c>
      <c r="AK161" s="631">
        <f t="shared" si="165"/>
        <v>0</v>
      </c>
      <c r="AL161" s="631">
        <f t="shared" si="165"/>
        <v>0</v>
      </c>
      <c r="AM161" s="631">
        <f t="shared" si="165"/>
        <v>0</v>
      </c>
      <c r="AN161" s="631">
        <f t="shared" si="165"/>
        <v>0</v>
      </c>
      <c r="AO161" s="631">
        <f t="shared" si="165"/>
        <v>0</v>
      </c>
      <c r="AP161" s="631">
        <f t="shared" si="165"/>
        <v>0</v>
      </c>
      <c r="AQ161" s="631">
        <f t="shared" si="165"/>
        <v>0</v>
      </c>
      <c r="AR161" s="632" t="str">
        <f t="shared" si="137"/>
        <v>-</v>
      </c>
      <c r="AS161" s="690">
        <f t="shared" ca="1" si="147"/>
        <v>0</v>
      </c>
      <c r="AT161" s="628"/>
      <c r="AV161" s="631">
        <f t="shared" si="138"/>
        <v>0</v>
      </c>
      <c r="AW161" s="631">
        <f t="shared" ref="AW161:BG161" si="166">IFERROR(AW114/AW66,0)</f>
        <v>0</v>
      </c>
      <c r="AX161" s="631">
        <f t="shared" si="166"/>
        <v>0</v>
      </c>
      <c r="AY161" s="631">
        <f t="shared" si="166"/>
        <v>0</v>
      </c>
      <c r="AZ161" s="631">
        <f t="shared" si="166"/>
        <v>0</v>
      </c>
      <c r="BA161" s="631">
        <f t="shared" si="166"/>
        <v>0</v>
      </c>
      <c r="BB161" s="631">
        <f t="shared" si="166"/>
        <v>0</v>
      </c>
      <c r="BC161" s="631">
        <f t="shared" si="166"/>
        <v>0</v>
      </c>
      <c r="BD161" s="631">
        <f t="shared" si="166"/>
        <v>0</v>
      </c>
      <c r="BE161" s="631">
        <f t="shared" si="166"/>
        <v>0</v>
      </c>
      <c r="BF161" s="631">
        <f t="shared" si="166"/>
        <v>0</v>
      </c>
      <c r="BG161" s="631">
        <f t="shared" si="166"/>
        <v>0</v>
      </c>
      <c r="BH161" s="632" t="str">
        <f t="shared" si="140"/>
        <v>-</v>
      </c>
      <c r="BI161" s="632" t="str">
        <f t="shared" ca="1" si="140"/>
        <v>-</v>
      </c>
    </row>
    <row r="162" spans="3:61" hidden="1" outlineLevel="1" x14ac:dyDescent="0.35">
      <c r="D162" s="665">
        <v>12</v>
      </c>
      <c r="E162" s="666">
        <f t="shared" si="128"/>
        <v>0</v>
      </c>
      <c r="F162" s="545">
        <f t="shared" si="129"/>
        <v>0</v>
      </c>
      <c r="G162" s="545">
        <f t="shared" si="141"/>
        <v>0</v>
      </c>
      <c r="I162" s="654">
        <v>12</v>
      </c>
      <c r="J162" s="655" t="str">
        <f t="shared" si="142"/>
        <v>Mexico</v>
      </c>
      <c r="K162" s="675">
        <f t="shared" si="130"/>
        <v>0</v>
      </c>
      <c r="L162" s="1141">
        <v>7</v>
      </c>
      <c r="M162" s="1143">
        <f>K162+COUNTA($K$151:K162)/10^6</f>
        <v>1.2E-5</v>
      </c>
      <c r="R162" s="665">
        <v>12</v>
      </c>
      <c r="S162" s="666" t="str">
        <f t="shared" ca="1" si="131"/>
        <v>VN</v>
      </c>
      <c r="T162" s="545">
        <f t="shared" ca="1" si="132"/>
        <v>0.12176110293092958</v>
      </c>
      <c r="U162" s="677">
        <f t="shared" ca="1" si="133"/>
        <v>0.20278416453210504</v>
      </c>
      <c r="W162" s="654">
        <v>12</v>
      </c>
      <c r="X162" s="655" t="str">
        <f t="shared" si="144"/>
        <v>Mexico</v>
      </c>
      <c r="Y162" s="675">
        <f t="shared" ca="1" si="134"/>
        <v>-3.6569348719813467E-2</v>
      </c>
      <c r="Z162" s="1141">
        <v>17</v>
      </c>
      <c r="AA162" s="1142">
        <f ca="1">Y162+COUNTA($Y$151:Y162)/10^6</f>
        <v>-3.6557348719813469E-2</v>
      </c>
      <c r="AD162" s="322">
        <v>12</v>
      </c>
      <c r="AE162" s="36" t="s">
        <v>229</v>
      </c>
      <c r="AF162" s="631">
        <f t="shared" si="135"/>
        <v>0</v>
      </c>
      <c r="AG162" s="631">
        <f t="shared" ref="AG162:AQ162" si="167">IFERROR(AG115/AG67,0)</f>
        <v>0</v>
      </c>
      <c r="AH162" s="631">
        <f t="shared" si="167"/>
        <v>-7.1585251942637526E-2</v>
      </c>
      <c r="AI162" s="631">
        <f t="shared" si="167"/>
        <v>0</v>
      </c>
      <c r="AJ162" s="631">
        <f t="shared" si="167"/>
        <v>0</v>
      </c>
      <c r="AK162" s="631">
        <f t="shared" si="167"/>
        <v>-2.2264654523963076E-2</v>
      </c>
      <c r="AL162" s="631">
        <f t="shared" si="167"/>
        <v>-1.5734050824946149E-2</v>
      </c>
      <c r="AM162" s="631">
        <f t="shared" si="167"/>
        <v>0</v>
      </c>
      <c r="AN162" s="631">
        <f t="shared" si="167"/>
        <v>-2.4655961199294515E-2</v>
      </c>
      <c r="AO162" s="631">
        <f t="shared" si="167"/>
        <v>0</v>
      </c>
      <c r="AP162" s="631">
        <f t="shared" si="167"/>
        <v>0</v>
      </c>
      <c r="AQ162" s="631">
        <f t="shared" si="167"/>
        <v>0</v>
      </c>
      <c r="AR162" s="632">
        <f t="shared" si="137"/>
        <v>-3.358852484535349E-2</v>
      </c>
      <c r="AS162" s="690">
        <f t="shared" ca="1" si="147"/>
        <v>-3.6569348719813467E-2</v>
      </c>
      <c r="AT162" s="628"/>
      <c r="AV162" s="631">
        <f t="shared" si="138"/>
        <v>0</v>
      </c>
      <c r="AW162" s="631">
        <f t="shared" ref="AW162:BG162" si="168">IFERROR(AW115/AW67,0)</f>
        <v>0.16434970579280597</v>
      </c>
      <c r="AX162" s="631">
        <f t="shared" si="168"/>
        <v>0.16162531347962383</v>
      </c>
      <c r="AY162" s="631">
        <f t="shared" si="168"/>
        <v>0</v>
      </c>
      <c r="AZ162" s="631">
        <f t="shared" si="168"/>
        <v>0.15161895741358081</v>
      </c>
      <c r="BA162" s="631">
        <f t="shared" si="168"/>
        <v>0.23518777576165809</v>
      </c>
      <c r="BB162" s="631">
        <f t="shared" si="168"/>
        <v>0.17543002997145121</v>
      </c>
      <c r="BC162" s="631">
        <f t="shared" si="168"/>
        <v>0.69230454837766742</v>
      </c>
      <c r="BD162" s="631">
        <f t="shared" si="168"/>
        <v>0</v>
      </c>
      <c r="BE162" s="631">
        <f t="shared" si="168"/>
        <v>0</v>
      </c>
      <c r="BF162" s="631">
        <f t="shared" si="168"/>
        <v>0</v>
      </c>
      <c r="BG162" s="631">
        <f t="shared" si="168"/>
        <v>-0.25085635140482787</v>
      </c>
      <c r="BH162" s="632">
        <f t="shared" si="140"/>
        <v>0.168905100940171</v>
      </c>
      <c r="BI162" s="632">
        <f t="shared" ca="1" si="140"/>
        <v>0.18071887837760078</v>
      </c>
    </row>
    <row r="163" spans="3:61" ht="15.5" hidden="1" outlineLevel="1" x14ac:dyDescent="0.35">
      <c r="D163" s="665">
        <v>13</v>
      </c>
      <c r="E163" s="666">
        <f t="shared" si="128"/>
        <v>0</v>
      </c>
      <c r="F163" s="545">
        <f t="shared" si="129"/>
        <v>0</v>
      </c>
      <c r="G163" s="545">
        <f t="shared" si="141"/>
        <v>0</v>
      </c>
      <c r="I163" s="654">
        <v>13</v>
      </c>
      <c r="J163" s="655" t="str">
        <f t="shared" si="142"/>
        <v>Nhật</v>
      </c>
      <c r="K163" s="675">
        <f t="shared" si="130"/>
        <v>0</v>
      </c>
      <c r="L163" s="657" t="str">
        <f t="shared" si="143"/>
        <v>-</v>
      </c>
      <c r="M163" s="1143">
        <f>K163+COUNTA($K$151:K163)/10^6</f>
        <v>1.2999999999999999E-5</v>
      </c>
      <c r="R163" s="665">
        <v>13</v>
      </c>
      <c r="S163" s="666" t="str">
        <f t="shared" ca="1" si="131"/>
        <v>Bulgaria</v>
      </c>
      <c r="T163" s="545">
        <f t="shared" ca="1" si="132"/>
        <v>0.11393662342625689</v>
      </c>
      <c r="U163" s="677" t="str">
        <f t="shared" ca="1" si="133"/>
        <v>-</v>
      </c>
      <c r="W163" s="654">
        <v>13</v>
      </c>
      <c r="X163" s="655" t="str">
        <f t="shared" si="144"/>
        <v>Nhật</v>
      </c>
      <c r="Y163" s="675">
        <f t="shared" ca="1" si="134"/>
        <v>0.21577723157044601</v>
      </c>
      <c r="Z163" s="657">
        <f t="shared" ca="1" si="145"/>
        <v>2</v>
      </c>
      <c r="AA163" s="1142">
        <f ca="1">Y163+COUNTA($Y$151:Y163)/10^6</f>
        <v>0.21579023157044602</v>
      </c>
      <c r="AD163" s="322">
        <v>13</v>
      </c>
      <c r="AE163" s="31" t="s">
        <v>251</v>
      </c>
      <c r="AF163" s="631">
        <f t="shared" si="135"/>
        <v>0.2516732988040441</v>
      </c>
      <c r="AG163" s="631">
        <f t="shared" ref="AG163:AQ163" si="169">IFERROR(AG116/AG68,0)</f>
        <v>0</v>
      </c>
      <c r="AH163" s="631">
        <f t="shared" si="169"/>
        <v>0</v>
      </c>
      <c r="AI163" s="631">
        <f t="shared" si="169"/>
        <v>0.22538699665164164</v>
      </c>
      <c r="AJ163" s="631">
        <f t="shared" si="169"/>
        <v>0.20571057470826634</v>
      </c>
      <c r="AK163" s="631">
        <f t="shared" si="169"/>
        <v>0</v>
      </c>
      <c r="AL163" s="631">
        <f t="shared" si="169"/>
        <v>0</v>
      </c>
      <c r="AM163" s="631">
        <f t="shared" si="169"/>
        <v>0</v>
      </c>
      <c r="AN163" s="631">
        <f t="shared" si="169"/>
        <v>0</v>
      </c>
      <c r="AO163" s="631">
        <f t="shared" si="169"/>
        <v>0</v>
      </c>
      <c r="AP163" s="631">
        <f t="shared" si="169"/>
        <v>0</v>
      </c>
      <c r="AQ163" s="631">
        <f t="shared" si="169"/>
        <v>0</v>
      </c>
      <c r="AR163" s="632">
        <f t="shared" si="137"/>
        <v>0.21577723157044601</v>
      </c>
      <c r="AS163" s="690">
        <f t="shared" ca="1" si="147"/>
        <v>0.21577723157044601</v>
      </c>
      <c r="AT163" s="628"/>
      <c r="AV163" s="631">
        <f t="shared" si="138"/>
        <v>0</v>
      </c>
      <c r="AW163" s="631">
        <f t="shared" ref="AW163:BG163" si="170">IFERROR(AW116/AW68,0)</f>
        <v>0</v>
      </c>
      <c r="AX163" s="631">
        <f t="shared" si="170"/>
        <v>0</v>
      </c>
      <c r="AY163" s="631">
        <f t="shared" si="170"/>
        <v>0.11747052801464561</v>
      </c>
      <c r="AZ163" s="631">
        <f t="shared" si="170"/>
        <v>0</v>
      </c>
      <c r="BA163" s="631">
        <f t="shared" si="170"/>
        <v>0</v>
      </c>
      <c r="BB163" s="631">
        <f t="shared" si="170"/>
        <v>-0.28286379921829774</v>
      </c>
      <c r="BC163" s="631">
        <f t="shared" si="170"/>
        <v>0</v>
      </c>
      <c r="BD163" s="631">
        <f t="shared" si="170"/>
        <v>0.13793262119967134</v>
      </c>
      <c r="BE163" s="631">
        <f t="shared" si="170"/>
        <v>0</v>
      </c>
      <c r="BF163" s="631">
        <f t="shared" si="170"/>
        <v>0</v>
      </c>
      <c r="BG163" s="631">
        <f t="shared" si="170"/>
        <v>0</v>
      </c>
      <c r="BH163" s="632">
        <f t="shared" si="140"/>
        <v>6.6257312121380835E-2</v>
      </c>
      <c r="BI163" s="632">
        <f t="shared" ca="1" si="140"/>
        <v>-8.1294126248002238E-2</v>
      </c>
    </row>
    <row r="164" spans="3:61" ht="15.5" hidden="1" outlineLevel="1" x14ac:dyDescent="0.35">
      <c r="D164" s="665">
        <v>14</v>
      </c>
      <c r="E164" s="666">
        <f t="shared" si="128"/>
        <v>0</v>
      </c>
      <c r="F164" s="545">
        <f t="shared" si="129"/>
        <v>0</v>
      </c>
      <c r="G164" s="545">
        <f t="shared" si="141"/>
        <v>0</v>
      </c>
      <c r="I164" s="654">
        <v>14</v>
      </c>
      <c r="J164" s="655" t="str">
        <f t="shared" si="142"/>
        <v>Phần Lan</v>
      </c>
      <c r="K164" s="675">
        <f t="shared" si="130"/>
        <v>0</v>
      </c>
      <c r="L164" s="657" t="str">
        <f t="shared" si="143"/>
        <v>-</v>
      </c>
      <c r="M164" s="1143">
        <f>K164+COUNTA($K$151:K164)/10^6</f>
        <v>1.4E-5</v>
      </c>
      <c r="R164" s="665">
        <v>14</v>
      </c>
      <c r="S164" s="666" t="str">
        <f t="shared" ca="1" si="131"/>
        <v>Pháp</v>
      </c>
      <c r="T164" s="545">
        <f t="shared" ca="1" si="132"/>
        <v>0.10429323245934889</v>
      </c>
      <c r="U164" s="677">
        <f t="shared" ca="1" si="133"/>
        <v>0</v>
      </c>
      <c r="W164" s="654">
        <v>14</v>
      </c>
      <c r="X164" s="655" t="str">
        <f t="shared" si="144"/>
        <v>Phần Lan</v>
      </c>
      <c r="Y164" s="675">
        <f t="shared" ca="1" si="134"/>
        <v>0</v>
      </c>
      <c r="Z164" s="657" t="str">
        <f t="shared" ca="1" si="145"/>
        <v>-</v>
      </c>
      <c r="AA164" s="1142">
        <f ca="1">Y164+COUNTA($Y$151:Y164)/10^6</f>
        <v>1.4E-5</v>
      </c>
      <c r="AD164" s="322">
        <v>14</v>
      </c>
      <c r="AE164" s="31" t="s">
        <v>255</v>
      </c>
      <c r="AF164" s="631">
        <f t="shared" si="135"/>
        <v>0</v>
      </c>
      <c r="AG164" s="631">
        <f t="shared" ref="AG164:AQ164" si="171">IFERROR(AG117/AG69,0)</f>
        <v>0</v>
      </c>
      <c r="AH164" s="631">
        <f t="shared" si="171"/>
        <v>0</v>
      </c>
      <c r="AI164" s="631">
        <f t="shared" si="171"/>
        <v>0</v>
      </c>
      <c r="AJ164" s="631">
        <f t="shared" si="171"/>
        <v>0</v>
      </c>
      <c r="AK164" s="631">
        <f t="shared" si="171"/>
        <v>0</v>
      </c>
      <c r="AL164" s="631">
        <f t="shared" si="171"/>
        <v>0</v>
      </c>
      <c r="AM164" s="631">
        <f t="shared" si="171"/>
        <v>0</v>
      </c>
      <c r="AN164" s="631">
        <f t="shared" si="171"/>
        <v>0</v>
      </c>
      <c r="AO164" s="631">
        <f t="shared" si="171"/>
        <v>0</v>
      </c>
      <c r="AP164" s="631">
        <f t="shared" si="171"/>
        <v>0</v>
      </c>
      <c r="AQ164" s="631">
        <f t="shared" si="171"/>
        <v>0</v>
      </c>
      <c r="AR164" s="632" t="str">
        <f t="shared" si="137"/>
        <v>-</v>
      </c>
      <c r="AS164" s="690">
        <f t="shared" ca="1" si="147"/>
        <v>0</v>
      </c>
      <c r="AT164" s="628"/>
      <c r="AV164" s="631">
        <f t="shared" si="138"/>
        <v>0</v>
      </c>
      <c r="AW164" s="631">
        <f t="shared" ref="AW164:BG164" si="172">IFERROR(AW117/AW69,0)</f>
        <v>0</v>
      </c>
      <c r="AX164" s="631">
        <f t="shared" si="172"/>
        <v>0</v>
      </c>
      <c r="AY164" s="631">
        <f t="shared" si="172"/>
        <v>0</v>
      </c>
      <c r="AZ164" s="631">
        <f t="shared" si="172"/>
        <v>0</v>
      </c>
      <c r="BA164" s="631">
        <f t="shared" si="172"/>
        <v>0</v>
      </c>
      <c r="BB164" s="631">
        <f t="shared" si="172"/>
        <v>0</v>
      </c>
      <c r="BC164" s="631">
        <f t="shared" si="172"/>
        <v>0</v>
      </c>
      <c r="BD164" s="631">
        <f t="shared" si="172"/>
        <v>0</v>
      </c>
      <c r="BE164" s="631">
        <f t="shared" si="172"/>
        <v>0</v>
      </c>
      <c r="BF164" s="631">
        <f t="shared" si="172"/>
        <v>0</v>
      </c>
      <c r="BG164" s="631">
        <f t="shared" si="172"/>
        <v>0</v>
      </c>
      <c r="BH164" s="632" t="str">
        <f t="shared" si="140"/>
        <v>-</v>
      </c>
      <c r="BI164" s="632" t="str">
        <f t="shared" ca="1" si="140"/>
        <v>-</v>
      </c>
    </row>
    <row r="165" spans="3:61" ht="15.5" hidden="1" outlineLevel="1" x14ac:dyDescent="0.35">
      <c r="D165" s="665">
        <v>15</v>
      </c>
      <c r="E165" s="666">
        <f t="shared" si="128"/>
        <v>0</v>
      </c>
      <c r="F165" s="545">
        <f t="shared" si="129"/>
        <v>0</v>
      </c>
      <c r="G165" s="545">
        <f t="shared" si="141"/>
        <v>0</v>
      </c>
      <c r="I165" s="654">
        <v>15</v>
      </c>
      <c r="J165" s="655" t="str">
        <f t="shared" si="142"/>
        <v>Singapore</v>
      </c>
      <c r="K165" s="675">
        <f t="shared" si="130"/>
        <v>0</v>
      </c>
      <c r="L165" s="657" t="str">
        <f t="shared" si="143"/>
        <v>-</v>
      </c>
      <c r="M165" s="1143">
        <f>K165+COUNTA($K$151:K165)/10^6</f>
        <v>1.5E-5</v>
      </c>
      <c r="R165" s="665">
        <v>15</v>
      </c>
      <c r="S165" s="666" t="str">
        <f t="shared" ca="1" si="131"/>
        <v>Singapore</v>
      </c>
      <c r="T165" s="545">
        <f t="shared" ca="1" si="132"/>
        <v>6.9348419507773026E-2</v>
      </c>
      <c r="U165" s="677">
        <f t="shared" ca="1" si="133"/>
        <v>-0.12333123039856624</v>
      </c>
      <c r="W165" s="654">
        <v>15</v>
      </c>
      <c r="X165" s="655" t="str">
        <f t="shared" si="144"/>
        <v>Singapore</v>
      </c>
      <c r="Y165" s="675">
        <f t="shared" ca="1" si="134"/>
        <v>6.9348419507773026E-2</v>
      </c>
      <c r="Z165" s="657">
        <f t="shared" ca="1" si="145"/>
        <v>15</v>
      </c>
      <c r="AA165" s="1142">
        <f ca="1">Y165+COUNTA($Y$151:Y165)/10^6</f>
        <v>6.9363419507773028E-2</v>
      </c>
      <c r="AD165" s="322">
        <v>15</v>
      </c>
      <c r="AE165" s="12" t="s">
        <v>248</v>
      </c>
      <c r="AF165" s="631">
        <f t="shared" si="135"/>
        <v>0</v>
      </c>
      <c r="AG165" s="631">
        <f t="shared" ref="AG165:AQ165" si="173">IFERROR(AG118/AG70,0)</f>
        <v>0</v>
      </c>
      <c r="AH165" s="631">
        <f t="shared" si="173"/>
        <v>6.9348419507773026E-2</v>
      </c>
      <c r="AI165" s="631">
        <f t="shared" si="173"/>
        <v>0</v>
      </c>
      <c r="AJ165" s="631">
        <f t="shared" si="173"/>
        <v>0</v>
      </c>
      <c r="AK165" s="631">
        <f t="shared" si="173"/>
        <v>0</v>
      </c>
      <c r="AL165" s="631">
        <f t="shared" si="173"/>
        <v>0</v>
      </c>
      <c r="AM165" s="631">
        <f t="shared" si="173"/>
        <v>0</v>
      </c>
      <c r="AN165" s="631">
        <f t="shared" si="173"/>
        <v>0</v>
      </c>
      <c r="AO165" s="631">
        <f t="shared" si="173"/>
        <v>0</v>
      </c>
      <c r="AP165" s="631">
        <f t="shared" si="173"/>
        <v>0</v>
      </c>
      <c r="AQ165" s="631">
        <f t="shared" si="173"/>
        <v>0</v>
      </c>
      <c r="AR165" s="632">
        <f t="shared" si="137"/>
        <v>6.9348419507773026E-2</v>
      </c>
      <c r="AS165" s="690">
        <f t="shared" ca="1" si="147"/>
        <v>6.9348419507773026E-2</v>
      </c>
      <c r="AT165" s="628"/>
      <c r="AV165" s="631">
        <f t="shared" si="138"/>
        <v>0</v>
      </c>
      <c r="AW165" s="631">
        <f t="shared" ref="AW165:BG165" si="174">IFERROR(AW118/AW70,0)</f>
        <v>0</v>
      </c>
      <c r="AX165" s="631">
        <f t="shared" si="174"/>
        <v>-0.38189038693988525</v>
      </c>
      <c r="AY165" s="631">
        <f t="shared" si="174"/>
        <v>0.13493443655212761</v>
      </c>
      <c r="AZ165" s="631">
        <f t="shared" si="174"/>
        <v>-0.33155231465419294</v>
      </c>
      <c r="BA165" s="631">
        <f t="shared" si="174"/>
        <v>0</v>
      </c>
      <c r="BB165" s="631">
        <f t="shared" si="174"/>
        <v>0</v>
      </c>
      <c r="BC165" s="631">
        <f t="shared" si="174"/>
        <v>0</v>
      </c>
      <c r="BD165" s="631">
        <f t="shared" si="174"/>
        <v>0</v>
      </c>
      <c r="BE165" s="631">
        <f t="shared" si="174"/>
        <v>0</v>
      </c>
      <c r="BF165" s="631">
        <f t="shared" si="174"/>
        <v>0</v>
      </c>
      <c r="BG165" s="631">
        <f t="shared" si="174"/>
        <v>0</v>
      </c>
      <c r="BH165" s="632">
        <f t="shared" si="140"/>
        <v>-0.12333123039856624</v>
      </c>
      <c r="BI165" s="632">
        <f t="shared" ca="1" si="140"/>
        <v>-0.12333123039856624</v>
      </c>
    </row>
    <row r="166" spans="3:61" ht="15.5" hidden="1" outlineLevel="1" x14ac:dyDescent="0.35">
      <c r="D166" s="665">
        <v>16</v>
      </c>
      <c r="E166" s="666">
        <f t="shared" si="128"/>
        <v>0</v>
      </c>
      <c r="F166" s="545">
        <f t="shared" si="129"/>
        <v>0</v>
      </c>
      <c r="G166" s="545">
        <f t="shared" si="141"/>
        <v>0</v>
      </c>
      <c r="I166" s="654">
        <v>16</v>
      </c>
      <c r="J166" s="655" t="str">
        <f t="shared" si="142"/>
        <v>Thụy Sĩ</v>
      </c>
      <c r="K166" s="675">
        <f t="shared" si="130"/>
        <v>0</v>
      </c>
      <c r="L166" s="657" t="str">
        <f t="shared" si="143"/>
        <v>-</v>
      </c>
      <c r="M166" s="1143">
        <f>K166+COUNTA($K$151:K166)/10^6</f>
        <v>1.5999999999999999E-5</v>
      </c>
      <c r="R166" s="665">
        <v>16</v>
      </c>
      <c r="S166" s="666" t="str">
        <f t="shared" ca="1" si="131"/>
        <v>Hong Kong</v>
      </c>
      <c r="T166" s="545">
        <f t="shared" ca="1" si="132"/>
        <v>4.9847121825300385E-2</v>
      </c>
      <c r="U166" s="677">
        <f t="shared" ca="1" si="133"/>
        <v>-0.2632709216450167</v>
      </c>
      <c r="W166" s="654">
        <v>16</v>
      </c>
      <c r="X166" s="655" t="str">
        <f t="shared" si="144"/>
        <v>Thụy Sĩ</v>
      </c>
      <c r="Y166" s="675">
        <f t="shared" ca="1" si="134"/>
        <v>0.19072260037364497</v>
      </c>
      <c r="Z166" s="657">
        <f t="shared" ca="1" si="145"/>
        <v>4</v>
      </c>
      <c r="AA166" s="1142">
        <f ca="1">Y166+COUNTA($Y$151:Y166)/10^6</f>
        <v>0.19073860037364496</v>
      </c>
      <c r="AD166" s="322">
        <v>16</v>
      </c>
      <c r="AE166" s="31" t="s">
        <v>733</v>
      </c>
      <c r="AF166" s="631">
        <f t="shared" si="135"/>
        <v>0</v>
      </c>
      <c r="AG166" s="631">
        <f t="shared" ref="AG166:AQ166" si="175">IFERROR(AG119/AG71,0)</f>
        <v>0.19149808828480638</v>
      </c>
      <c r="AH166" s="631">
        <f t="shared" si="175"/>
        <v>0</v>
      </c>
      <c r="AI166" s="631">
        <f t="shared" si="175"/>
        <v>0.21584120457458678</v>
      </c>
      <c r="AJ166" s="631">
        <f t="shared" si="175"/>
        <v>0</v>
      </c>
      <c r="AK166" s="631">
        <f t="shared" si="175"/>
        <v>0</v>
      </c>
      <c r="AL166" s="631">
        <f t="shared" si="175"/>
        <v>0.17336408441275897</v>
      </c>
      <c r="AM166" s="631">
        <f t="shared" si="175"/>
        <v>0</v>
      </c>
      <c r="AN166" s="631">
        <f t="shared" si="175"/>
        <v>0</v>
      </c>
      <c r="AO166" s="631">
        <f t="shared" si="175"/>
        <v>0</v>
      </c>
      <c r="AP166" s="631">
        <f t="shared" si="175"/>
        <v>0</v>
      </c>
      <c r="AQ166" s="631">
        <f t="shared" si="175"/>
        <v>0</v>
      </c>
      <c r="AR166" s="632">
        <f t="shared" si="137"/>
        <v>0.19072260037364497</v>
      </c>
      <c r="AS166" s="690">
        <f t="shared" ca="1" si="147"/>
        <v>0.19072260037364497</v>
      </c>
      <c r="AT166" s="624"/>
      <c r="AV166" s="631">
        <f t="shared" si="138"/>
        <v>0</v>
      </c>
      <c r="AW166" s="631">
        <f t="shared" ref="AW166:BG166" si="176">IFERROR(AW119/AW71,0)</f>
        <v>0</v>
      </c>
      <c r="AX166" s="631">
        <f t="shared" si="176"/>
        <v>0</v>
      </c>
      <c r="AY166" s="631">
        <f t="shared" si="176"/>
        <v>0</v>
      </c>
      <c r="AZ166" s="631">
        <f t="shared" si="176"/>
        <v>0.19714473578895131</v>
      </c>
      <c r="BA166" s="631">
        <f t="shared" si="176"/>
        <v>0</v>
      </c>
      <c r="BB166" s="631">
        <f t="shared" si="176"/>
        <v>0</v>
      </c>
      <c r="BC166" s="631">
        <f t="shared" si="176"/>
        <v>0</v>
      </c>
      <c r="BD166" s="631">
        <f t="shared" si="176"/>
        <v>0.18921207344379767</v>
      </c>
      <c r="BE166" s="631">
        <f t="shared" si="176"/>
        <v>0</v>
      </c>
      <c r="BF166" s="631">
        <f t="shared" si="176"/>
        <v>0</v>
      </c>
      <c r="BG166" s="631">
        <f t="shared" si="176"/>
        <v>0</v>
      </c>
      <c r="BH166" s="632">
        <f t="shared" si="140"/>
        <v>0.19071899627285754</v>
      </c>
      <c r="BI166" s="632">
        <f t="shared" ca="1" si="140"/>
        <v>0.19714473578895131</v>
      </c>
    </row>
    <row r="167" spans="3:61" ht="15.5" hidden="1" outlineLevel="1" x14ac:dyDescent="0.35">
      <c r="D167" s="665">
        <v>17</v>
      </c>
      <c r="E167" s="666">
        <f t="shared" ref="E167:E170" si="177">_xlfn.XLOOKUP(D167,$L$151:$L$170,$J$151:$J$170,0)</f>
        <v>0</v>
      </c>
      <c r="F167" s="545">
        <f t="shared" si="129"/>
        <v>0</v>
      </c>
      <c r="G167" s="545">
        <f t="shared" si="141"/>
        <v>0</v>
      </c>
      <c r="I167" s="654">
        <v>17</v>
      </c>
      <c r="J167" s="655" t="str">
        <f t="shared" si="142"/>
        <v>Canada</v>
      </c>
      <c r="K167" s="675">
        <f t="shared" si="130"/>
        <v>0</v>
      </c>
      <c r="L167" s="657" t="str">
        <f t="shared" si="143"/>
        <v>-</v>
      </c>
      <c r="M167" s="1143">
        <f>K167+COUNTA($K$151:K167)/10^6</f>
        <v>1.7E-5</v>
      </c>
      <c r="R167" s="665">
        <v>17</v>
      </c>
      <c r="S167" s="666" t="str">
        <f t="shared" ca="1" si="131"/>
        <v>Mexico</v>
      </c>
      <c r="T167" s="545">
        <f t="shared" ref="T167:T169" ca="1" si="178">_xlfn.XLOOKUP(S167,$AE$151:$AE$170,$AS$151:$AS$170,0)</f>
        <v>-3.6569348719813467E-2</v>
      </c>
      <c r="U167" s="677">
        <f t="shared" ref="U167:U169" ca="1" si="179">_xlfn.XLOOKUP(S167,$AE$151:$AE$170,$BI$151:$BI$170,0)</f>
        <v>0.18071887837760078</v>
      </c>
      <c r="W167" s="654">
        <v>17</v>
      </c>
      <c r="X167" s="655" t="str">
        <f t="shared" ref="X167:X169" si="180">AE167</f>
        <v>Canada</v>
      </c>
      <c r="Y167" s="675">
        <f t="shared" ref="Y167:Y169" ca="1" si="181">_xlfn.XLOOKUP(X167,$AE$151:$AE$170,$AS$151:$AS$170,0)</f>
        <v>0.12610996516293846</v>
      </c>
      <c r="Z167" s="1141">
        <v>16</v>
      </c>
      <c r="AA167" s="1142">
        <f ca="1">Y167+COUNTA($Y$151:Y167)/10^6</f>
        <v>0.12612696516293845</v>
      </c>
      <c r="AD167" s="322">
        <v>17</v>
      </c>
      <c r="AE167" s="1038" t="s">
        <v>667</v>
      </c>
      <c r="AF167" s="631">
        <f t="shared" ref="AF167:AQ167" si="182">IFERROR(AF120/AF72,0)</f>
        <v>0</v>
      </c>
      <c r="AG167" s="631">
        <f t="shared" si="182"/>
        <v>0</v>
      </c>
      <c r="AH167" s="631">
        <f t="shared" si="182"/>
        <v>-2.8295238187458591E-2</v>
      </c>
      <c r="AI167" s="631">
        <f t="shared" si="182"/>
        <v>0</v>
      </c>
      <c r="AJ167" s="631">
        <f t="shared" si="182"/>
        <v>0</v>
      </c>
      <c r="AK167" s="631">
        <f t="shared" si="182"/>
        <v>0</v>
      </c>
      <c r="AL167" s="631">
        <f t="shared" si="182"/>
        <v>0.1338469634013775</v>
      </c>
      <c r="AM167" s="631">
        <f t="shared" si="182"/>
        <v>0</v>
      </c>
      <c r="AN167" s="631">
        <f t="shared" si="182"/>
        <v>0</v>
      </c>
      <c r="AO167" s="631">
        <f t="shared" si="182"/>
        <v>0</v>
      </c>
      <c r="AP167" s="631">
        <f t="shared" si="182"/>
        <v>0</v>
      </c>
      <c r="AQ167" s="631">
        <f t="shared" si="182"/>
        <v>0</v>
      </c>
      <c r="AR167" s="632">
        <f t="shared" ref="AR167" si="183">IFERROR(AR120/AR72,"-")</f>
        <v>0.12610996516293846</v>
      </c>
      <c r="AS167" s="690">
        <f t="shared" ca="1" si="147"/>
        <v>0.12610996516293846</v>
      </c>
      <c r="AT167" s="624"/>
      <c r="AV167" s="1042"/>
      <c r="AW167" s="1042"/>
      <c r="AX167" s="1042"/>
      <c r="AY167" s="1042"/>
      <c r="AZ167" s="1042"/>
      <c r="BA167" s="1042"/>
      <c r="BB167" s="1042"/>
      <c r="BC167" s="1042"/>
      <c r="BD167" s="1042"/>
      <c r="BE167" s="1042"/>
      <c r="BF167" s="1042"/>
      <c r="BG167" s="1042"/>
      <c r="BH167" s="1043"/>
      <c r="BI167" s="1043"/>
    </row>
    <row r="168" spans="3:61" ht="15.5" hidden="1" outlineLevel="1" x14ac:dyDescent="0.35">
      <c r="D168" s="665">
        <v>18</v>
      </c>
      <c r="E168" s="666">
        <f t="shared" si="177"/>
        <v>0</v>
      </c>
      <c r="F168" s="545">
        <f t="shared" si="129"/>
        <v>0</v>
      </c>
      <c r="G168" s="545">
        <f t="shared" si="141"/>
        <v>0</v>
      </c>
      <c r="I168" s="654">
        <v>18</v>
      </c>
      <c r="J168" s="655" t="str">
        <f t="shared" si="142"/>
        <v>Luxembourg</v>
      </c>
      <c r="K168" s="675">
        <f t="shared" si="130"/>
        <v>0.1783639741715487</v>
      </c>
      <c r="L168" s="657">
        <f t="shared" si="143"/>
        <v>2</v>
      </c>
      <c r="M168" s="1143">
        <f>K168+COUNTA($K$151:K168)/10^6</f>
        <v>0.17838197417154869</v>
      </c>
      <c r="R168" s="665">
        <v>18</v>
      </c>
      <c r="S168" s="666">
        <f t="shared" ca="1" si="131"/>
        <v>0</v>
      </c>
      <c r="T168" s="545">
        <f t="shared" ca="1" si="178"/>
        <v>0</v>
      </c>
      <c r="U168" s="677">
        <f t="shared" ca="1" si="179"/>
        <v>0</v>
      </c>
      <c r="W168" s="654">
        <v>18</v>
      </c>
      <c r="X168" s="655" t="str">
        <f t="shared" si="180"/>
        <v>Luxembourg</v>
      </c>
      <c r="Y168" s="675">
        <f t="shared" ca="1" si="181"/>
        <v>0.20118715420389499</v>
      </c>
      <c r="Z168" s="657">
        <f t="shared" ca="1" si="145"/>
        <v>3</v>
      </c>
      <c r="AA168" s="1142">
        <f ca="1">Y168+COUNTA($Y$151:Y168)/10^6</f>
        <v>0.20120515420389498</v>
      </c>
      <c r="AD168" s="322">
        <v>18</v>
      </c>
      <c r="AE168" s="1038" t="s">
        <v>671</v>
      </c>
      <c r="AF168" s="631">
        <f t="shared" ref="AF168:AQ168" si="184">IFERROR(AF121/AF73,0)</f>
        <v>0</v>
      </c>
      <c r="AG168" s="631">
        <f t="shared" si="184"/>
        <v>0.18922341254080283</v>
      </c>
      <c r="AH168" s="631">
        <f t="shared" si="184"/>
        <v>0.19022953264238363</v>
      </c>
      <c r="AI168" s="631">
        <f t="shared" si="184"/>
        <v>0.2289014688880262</v>
      </c>
      <c r="AJ168" s="631">
        <f t="shared" si="184"/>
        <v>0.21810210339285854</v>
      </c>
      <c r="AK168" s="631">
        <f t="shared" si="184"/>
        <v>0</v>
      </c>
      <c r="AL168" s="631">
        <f t="shared" si="184"/>
        <v>0</v>
      </c>
      <c r="AM168" s="631">
        <f t="shared" si="184"/>
        <v>0.1783639741715487</v>
      </c>
      <c r="AN168" s="631">
        <f t="shared" si="184"/>
        <v>0</v>
      </c>
      <c r="AO168" s="631">
        <f t="shared" si="184"/>
        <v>0</v>
      </c>
      <c r="AP168" s="631">
        <f t="shared" si="184"/>
        <v>0</v>
      </c>
      <c r="AQ168" s="631">
        <f t="shared" si="184"/>
        <v>0</v>
      </c>
      <c r="AR168" s="632">
        <f t="shared" ref="AR168" si="185">IFERROR(AR121/AR73,"-")</f>
        <v>0.20118715420389499</v>
      </c>
      <c r="AS168" s="690">
        <f t="shared" ca="1" si="147"/>
        <v>0.20118715420389499</v>
      </c>
      <c r="AT168" s="624"/>
      <c r="AV168" s="1042"/>
      <c r="AW168" s="1042"/>
      <c r="AX168" s="1042"/>
      <c r="AY168" s="1042"/>
      <c r="AZ168" s="1042"/>
      <c r="BA168" s="1042"/>
      <c r="BB168" s="1042"/>
      <c r="BC168" s="1042"/>
      <c r="BD168" s="1042"/>
      <c r="BE168" s="1042"/>
      <c r="BF168" s="1042"/>
      <c r="BG168" s="1042"/>
      <c r="BH168" s="1043"/>
      <c r="BI168" s="1043"/>
    </row>
    <row r="169" spans="3:61" ht="15.5" hidden="1" outlineLevel="1" x14ac:dyDescent="0.35">
      <c r="D169" s="665">
        <v>19</v>
      </c>
      <c r="E169" s="666">
        <f t="shared" si="177"/>
        <v>0</v>
      </c>
      <c r="F169" s="545">
        <f t="shared" si="129"/>
        <v>0</v>
      </c>
      <c r="G169" s="545">
        <f t="shared" si="141"/>
        <v>0</v>
      </c>
      <c r="I169" s="654">
        <v>19</v>
      </c>
      <c r="J169" s="655" t="str">
        <f t="shared" si="142"/>
        <v>Pháp</v>
      </c>
      <c r="K169" s="675">
        <f t="shared" si="130"/>
        <v>0</v>
      </c>
      <c r="L169" s="657" t="str">
        <f t="shared" si="143"/>
        <v>-</v>
      </c>
      <c r="M169" s="1143">
        <f>K169+COUNTA($K$151:K169)/10^6</f>
        <v>1.9000000000000001E-5</v>
      </c>
      <c r="R169" s="665">
        <v>19</v>
      </c>
      <c r="S169" s="666">
        <f t="shared" ca="1" si="131"/>
        <v>0</v>
      </c>
      <c r="T169" s="545">
        <f t="shared" ca="1" si="178"/>
        <v>0</v>
      </c>
      <c r="U169" s="677">
        <f t="shared" ca="1" si="179"/>
        <v>0</v>
      </c>
      <c r="W169" s="654">
        <v>19</v>
      </c>
      <c r="X169" s="655" t="str">
        <f t="shared" si="180"/>
        <v>Pháp</v>
      </c>
      <c r="Y169" s="675">
        <f t="shared" ca="1" si="181"/>
        <v>0.10429323245934889</v>
      </c>
      <c r="Z169" s="657">
        <f t="shared" ca="1" si="145"/>
        <v>14</v>
      </c>
      <c r="AA169" s="1142">
        <f ca="1">Y169+COUNTA($Y$151:Y169)/10^6</f>
        <v>0.1043122324593489</v>
      </c>
      <c r="AD169" s="322">
        <v>19</v>
      </c>
      <c r="AE169" s="1038" t="s">
        <v>734</v>
      </c>
      <c r="AF169" s="631">
        <f t="shared" ref="AF169:AQ169" si="186">IFERROR(AF122/AF74,0)</f>
        <v>0</v>
      </c>
      <c r="AG169" s="631">
        <f t="shared" si="186"/>
        <v>3.240288522666146E-2</v>
      </c>
      <c r="AH169" s="631">
        <f t="shared" si="186"/>
        <v>0</v>
      </c>
      <c r="AI169" s="631">
        <f t="shared" si="186"/>
        <v>0</v>
      </c>
      <c r="AJ169" s="631">
        <f t="shared" si="186"/>
        <v>0</v>
      </c>
      <c r="AK169" s="631">
        <f t="shared" si="186"/>
        <v>0</v>
      </c>
      <c r="AL169" s="631">
        <f t="shared" si="186"/>
        <v>0.13871397010907632</v>
      </c>
      <c r="AM169" s="631">
        <f t="shared" si="186"/>
        <v>0</v>
      </c>
      <c r="AN169" s="631">
        <f t="shared" si="186"/>
        <v>0</v>
      </c>
      <c r="AO169" s="631">
        <f t="shared" si="186"/>
        <v>0</v>
      </c>
      <c r="AP169" s="631">
        <f t="shared" si="186"/>
        <v>0</v>
      </c>
      <c r="AQ169" s="631">
        <f t="shared" si="186"/>
        <v>0</v>
      </c>
      <c r="AR169" s="632">
        <f t="shared" ref="AR169" si="187">IFERROR(AR122/AR74,"-")</f>
        <v>0.10429323245934889</v>
      </c>
      <c r="AS169" s="690">
        <f t="shared" ca="1" si="147"/>
        <v>0.10429323245934889</v>
      </c>
      <c r="AT169" s="624"/>
      <c r="AV169" s="1042"/>
      <c r="AW169" s="1042"/>
      <c r="AX169" s="1042"/>
      <c r="AY169" s="1042"/>
      <c r="AZ169" s="1042"/>
      <c r="BA169" s="1042"/>
      <c r="BB169" s="1042"/>
      <c r="BC169" s="1042"/>
      <c r="BD169" s="1042"/>
      <c r="BE169" s="1042"/>
      <c r="BF169" s="1042"/>
      <c r="BG169" s="1042"/>
      <c r="BH169" s="1043"/>
      <c r="BI169" s="1043"/>
    </row>
    <row r="170" spans="3:61" ht="15.5" hidden="1" outlineLevel="1" x14ac:dyDescent="0.35">
      <c r="D170" s="669">
        <v>20</v>
      </c>
      <c r="E170" s="670">
        <f t="shared" si="177"/>
        <v>0</v>
      </c>
      <c r="F170" s="546">
        <f t="shared" si="129"/>
        <v>0</v>
      </c>
      <c r="G170" s="546">
        <f t="shared" si="141"/>
        <v>0</v>
      </c>
      <c r="I170" s="658">
        <v>20</v>
      </c>
      <c r="J170" s="655">
        <f t="shared" ref="J170" si="188">AE170</f>
        <v>0</v>
      </c>
      <c r="K170" s="674"/>
      <c r="L170" s="657" t="str">
        <f t="shared" si="143"/>
        <v>-</v>
      </c>
      <c r="M170" s="1143">
        <f>K170+COUNTA($K$151:K170)/10^6</f>
        <v>1.9000000000000001E-5</v>
      </c>
      <c r="R170" s="669"/>
      <c r="S170" s="666"/>
      <c r="T170" s="545"/>
      <c r="U170" s="677"/>
      <c r="W170" s="658"/>
      <c r="X170" s="659"/>
      <c r="Y170" s="675"/>
      <c r="Z170" s="657"/>
      <c r="AA170" s="1112"/>
      <c r="AD170" s="352"/>
      <c r="AE170" s="619"/>
      <c r="AF170" s="633"/>
      <c r="AG170" s="633"/>
      <c r="AH170" s="633"/>
      <c r="AI170" s="633"/>
      <c r="AJ170" s="633"/>
      <c r="AK170" s="633"/>
      <c r="AL170" s="633"/>
      <c r="AM170" s="633"/>
      <c r="AN170" s="633"/>
      <c r="AO170" s="633"/>
      <c r="AP170" s="633"/>
      <c r="AQ170" s="633"/>
      <c r="AR170" s="634"/>
      <c r="AS170" s="691"/>
      <c r="AT170" s="628"/>
      <c r="AV170" s="633"/>
      <c r="AW170" s="633"/>
      <c r="AX170" s="633"/>
      <c r="AY170" s="633"/>
      <c r="AZ170" s="633"/>
      <c r="BA170" s="633"/>
      <c r="BB170" s="633"/>
      <c r="BC170" s="633"/>
      <c r="BD170" s="633"/>
      <c r="BE170" s="633"/>
      <c r="BF170" s="633"/>
      <c r="BG170" s="633"/>
      <c r="BH170" s="634"/>
      <c r="BI170" s="634"/>
    </row>
    <row r="171" spans="3:61" collapsed="1" x14ac:dyDescent="0.35"/>
    <row r="172" spans="3:61" ht="21" x14ac:dyDescent="0.35">
      <c r="C172" s="741" t="str">
        <f>"% LỢI NHUẬN GỘP THEO QUỐC GIA T"&amp;D3&amp;"/25"</f>
        <v>% LỢI NHUẬN GỘP THEO QUỐC GIA T8/25</v>
      </c>
      <c r="Q172" s="739" t="str">
        <f>"LŨY KẾ % LỢI NHUẬN GỘP THEO QUỐC GIA T"&amp;D3&amp;"/25"</f>
        <v>LŨY KẾ % LỢI NHUẬN GỘP THEO QUỐC GIA T8/25</v>
      </c>
    </row>
    <row r="173" spans="3:61" ht="11" customHeight="1" x14ac:dyDescent="0.35">
      <c r="C173" s="741"/>
    </row>
  </sheetData>
  <conditionalFormatting sqref="D104:G123">
    <cfRule type="cellIs" dxfId="22" priority="10" operator="lessThan">
      <formula>0</formula>
    </cfRule>
  </conditionalFormatting>
  <conditionalFormatting sqref="F151:G170">
    <cfRule type="cellIs" dxfId="21" priority="3" operator="lessThan">
      <formula>0</formula>
    </cfRule>
  </conditionalFormatting>
  <conditionalFormatting sqref="K151:K170">
    <cfRule type="cellIs" dxfId="20" priority="4" operator="lessThan">
      <formula>0</formula>
    </cfRule>
  </conditionalFormatting>
  <conditionalFormatting sqref="R104:U123">
    <cfRule type="cellIs" dxfId="19" priority="8" operator="lessThan">
      <formula>0</formula>
    </cfRule>
  </conditionalFormatting>
  <conditionalFormatting sqref="Y104:Y123">
    <cfRule type="cellIs" dxfId="18" priority="9" operator="lessThan">
      <formula>0</formula>
    </cfRule>
  </conditionalFormatting>
  <conditionalFormatting sqref="Y151:Y170">
    <cfRule type="cellIs" dxfId="17" priority="6" operator="lessThan">
      <formula>0</formula>
    </cfRule>
  </conditionalFormatting>
  <conditionalFormatting sqref="AF151:AS170">
    <cfRule type="cellIs" dxfId="16" priority="1" operator="lessThan">
      <formula>0</formula>
    </cfRule>
  </conditionalFormatting>
  <conditionalFormatting sqref="AF104:AT123">
    <cfRule type="cellIs" dxfId="15" priority="2" operator="lessThan">
      <formula>0</formula>
    </cfRule>
  </conditionalFormatting>
  <conditionalFormatting sqref="AV104:BI123 T151:U170">
    <cfRule type="cellIs" dxfId="14" priority="17" operator="lessThan">
      <formula>0</formula>
    </cfRule>
  </conditionalFormatting>
  <conditionalFormatting sqref="AV151:BI170">
    <cfRule type="cellIs" dxfId="13" priority="11" operator="lessThan">
      <formula>0</formula>
    </cfRule>
  </conditionalFormatting>
  <hyperlinks>
    <hyperlink ref="C1" location="'00. DM'!A1" display="00. DM" xr:uid="{40317F2E-4A0C-48D1-B833-45C0B759DF1A}"/>
  </hyperlinks>
  <pageMargins left="0.7" right="0.7" top="0.75" bottom="0.75" header="0.3" footer="0.3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F74D2-D584-4B56-BCD5-E39AA483299B}">
  <sheetPr>
    <tabColor rgb="FF00B050"/>
  </sheetPr>
  <dimension ref="A1:V131"/>
  <sheetViews>
    <sheetView topLeftCell="F110" zoomScale="85" zoomScaleNormal="85" workbookViewId="0">
      <selection activeCell="H16" sqref="H16"/>
    </sheetView>
  </sheetViews>
  <sheetFormatPr defaultRowHeight="14.5" outlineLevelRow="1" x14ac:dyDescent="0.35"/>
  <cols>
    <col min="1" max="1" width="7.36328125" customWidth="1"/>
    <col min="2" max="2" width="14.81640625" customWidth="1"/>
    <col min="3" max="5" width="14.6328125" customWidth="1"/>
    <col min="6" max="6" width="15.453125" bestFit="1" customWidth="1"/>
    <col min="7" max="7" width="14.6328125" customWidth="1"/>
    <col min="8" max="8" width="8.81640625" customWidth="1"/>
    <col min="9" max="9" width="7.36328125" customWidth="1"/>
    <col min="10" max="10" width="8.90625" customWidth="1"/>
    <col min="11" max="11" width="6.6328125" customWidth="1"/>
    <col min="12" max="12" width="15.08984375" customWidth="1"/>
    <col min="13" max="14" width="13.453125" customWidth="1"/>
    <col min="15" max="15" width="14.1796875" customWidth="1"/>
    <col min="16" max="16" width="20.81640625" customWidth="1"/>
    <col min="17" max="17" width="15.1796875" customWidth="1"/>
    <col min="18" max="19" width="8.81640625" customWidth="1"/>
  </cols>
  <sheetData>
    <row r="1" spans="1:22" x14ac:dyDescent="0.35">
      <c r="A1" s="528" t="s">
        <v>587</v>
      </c>
    </row>
    <row r="2" spans="1:22" ht="23.5" x14ac:dyDescent="0.55000000000000004">
      <c r="B2" s="784" t="s">
        <v>766</v>
      </c>
    </row>
    <row r="3" spans="1:22" ht="21" x14ac:dyDescent="0.5">
      <c r="B3" s="785" t="s">
        <v>437</v>
      </c>
      <c r="C3" s="644">
        <f>'07. Chart_QUỐC GIA'!D3</f>
        <v>8</v>
      </c>
      <c r="D3" s="1022">
        <f>D4-'06. BC BH THEO CUSTOMER-USD'!CW3</f>
        <v>583.11470000000008</v>
      </c>
      <c r="M3" s="643" t="str">
        <f>"LŨY KẾ ĐẾN T"&amp;C3&amp;"/25"</f>
        <v>LŨY KẾ ĐẾN T8/25</v>
      </c>
    </row>
    <row r="4" spans="1:22" x14ac:dyDescent="0.35">
      <c r="D4" s="1023">
        <f>SUM(D6:D27)</f>
        <v>5162</v>
      </c>
      <c r="O4" s="1023">
        <f ca="1">SUM(N6:N27)</f>
        <v>35320</v>
      </c>
    </row>
    <row r="5" spans="1:22" ht="29" hidden="1" outlineLevel="1" x14ac:dyDescent="0.35">
      <c r="A5" s="856" t="s">
        <v>174</v>
      </c>
      <c r="B5" s="856"/>
      <c r="C5" s="856" t="s">
        <v>172</v>
      </c>
      <c r="D5" s="856" t="s">
        <v>758</v>
      </c>
      <c r="E5" s="856" t="s">
        <v>757</v>
      </c>
      <c r="F5" s="856" t="s">
        <v>764</v>
      </c>
      <c r="G5" s="856" t="s">
        <v>756</v>
      </c>
      <c r="H5" s="856" t="s">
        <v>684</v>
      </c>
      <c r="I5" s="1144"/>
      <c r="K5" s="774" t="s">
        <v>174</v>
      </c>
      <c r="L5" s="774"/>
      <c r="M5" s="774" t="s">
        <v>172</v>
      </c>
      <c r="N5" s="774" t="s">
        <v>758</v>
      </c>
      <c r="O5" s="774" t="s">
        <v>757</v>
      </c>
      <c r="P5" s="773" t="s">
        <v>764</v>
      </c>
      <c r="Q5" s="774" t="s">
        <v>756</v>
      </c>
      <c r="R5" s="856" t="s">
        <v>684</v>
      </c>
    </row>
    <row r="6" spans="1:22" ht="15.5" hidden="1" outlineLevel="1" x14ac:dyDescent="0.35">
      <c r="A6" s="320">
        <v>1</v>
      </c>
      <c r="B6" s="618" t="str">
        <f>IF(E6&lt;&gt;0,H6&amp;". "&amp;C6,"-")</f>
        <v>6. VN</v>
      </c>
      <c r="C6" s="618" t="s">
        <v>245</v>
      </c>
      <c r="D6" s="1148">
        <f>INDEX('07. Chart_QUỐC GIA'!$AF$7:$AQ$28,MATCH('7.1. Chart Bubble_QUỐC GIA'!C6,'07. Chart_QUỐC GIA'!$AE$7:$AE$28,0),MATCH('7.1. Chart Bubble_QUỐC GIA'!$C$3,'07. Chart_QUỐC GIA'!$AF$6:$AQ$6,0))</f>
        <v>2203</v>
      </c>
      <c r="E6" s="345">
        <f>ROUND(INDEX('07. Chart_QUỐC GIA'!$AF$56:$AQ$75,MATCH('7.1. Chart Bubble_QUỐC GIA'!C6,'07. Chart_QUỐC GIA'!$AE$56:$AE$75,0),MATCH('7.1. Chart Bubble_QUỐC GIA'!$C$3,'07. Chart_QUỐC GIA'!$AF$55:$AQ$55,0))/10^3,0)</f>
        <v>2658</v>
      </c>
      <c r="F6" s="1149">
        <f>ROUND(INDEX('07. Chart_QUỐC GIA'!$AF$104:$AQ$123,MATCH('7.1. Chart Bubble_QUỐC GIA'!C6,'07. Chart_QUỐC GIA'!$AE$104:$AE$123,0),MATCH('7.1. Chart Bubble_QUỐC GIA'!$C$3,'07. Chart_QUỐC GIA'!$AF$103:$AQ$103,0))/10^3,0)</f>
        <v>195</v>
      </c>
      <c r="G6" s="1147">
        <f>IFERROR(F6/E6,0)</f>
        <v>7.336343115124154E-2</v>
      </c>
      <c r="H6" s="1045">
        <f t="shared" ref="H6:H17" si="0">IF(E6&lt;&gt;0,RANK(I6,$I$6:$I$27),"-")</f>
        <v>6</v>
      </c>
      <c r="I6" s="1145">
        <f>G6+COUNT($G$6:G6)/10^6</f>
        <v>7.3364431151241541E-2</v>
      </c>
      <c r="K6" s="320">
        <v>1</v>
      </c>
      <c r="L6" s="618" t="str">
        <f ca="1">IF(O6&lt;&gt;0,R6&amp;". "&amp;M6,"-")</f>
        <v>12. VN</v>
      </c>
      <c r="M6" s="618" t="str">
        <f t="shared" ref="M6:M24" si="1">C6</f>
        <v>VN</v>
      </c>
      <c r="N6" s="1148">
        <f ca="1">_xlfn.XLOOKUP(M6,'07. Chart_QUỐC GIA'!$AE$7:$AE$28,'07. Chart_QUỐC GIA'!$AS$7:$AS$28,0)</f>
        <v>11468</v>
      </c>
      <c r="O6" s="345">
        <f ca="1">ROUND(_xlfn.XLOOKUP(M6,'07. Chart_QUỐC GIA'!$AE$56:$AE$75,'07. Chart_QUỐC GIA'!$AS$56:$AS$75,0)/10^3,0)</f>
        <v>13971</v>
      </c>
      <c r="P6" s="1149">
        <f ca="1">_xlfn.XLOOKUP(M6,'07. Chart_QUỐC GIA'!$AE$104:$AE$123,'07. Chart_QUỐC GIA'!$AS$104:$AS$123,0)/10^3</f>
        <v>1701.1635834727704</v>
      </c>
      <c r="Q6" s="1147">
        <f ca="1">IFERROR(P6/O6,0)</f>
        <v>0.12176390977544703</v>
      </c>
      <c r="R6" s="1044">
        <f t="shared" ref="R6:R16" ca="1" si="2">IF(O6&lt;&gt;0,RANK(S6,$S$6:$S$27),"-")</f>
        <v>12</v>
      </c>
      <c r="S6" s="1121">
        <f ca="1">Q6+COUNT(P6:P6)/10^6</f>
        <v>0.12176490977544703</v>
      </c>
      <c r="V6">
        <v>1</v>
      </c>
    </row>
    <row r="7" spans="1:22" ht="15.5" hidden="1" outlineLevel="1" x14ac:dyDescent="0.35">
      <c r="A7" s="322">
        <v>2</v>
      </c>
      <c r="B7" s="12" t="str">
        <f t="shared" ref="B7:B27" si="3">IF(E7&lt;&gt;0,H7&amp;". "&amp;C7,"-")</f>
        <v>5. Mỹ</v>
      </c>
      <c r="C7" s="247" t="s">
        <v>175</v>
      </c>
      <c r="D7" s="1148">
        <f>INDEX('07. Chart_QUỐC GIA'!$AF$7:$AQ$28,MATCH('7.1. Chart Bubble_QUỐC GIA'!C7,'07. Chart_QUỐC GIA'!$AE$7:$AE$28,0),MATCH('7.1. Chart Bubble_QUỐC GIA'!$C$3,'07. Chart_QUỐC GIA'!$AF$6:$AQ$6,0))</f>
        <v>1650</v>
      </c>
      <c r="E7" s="345">
        <f>ROUND(INDEX('07. Chart_QUỐC GIA'!$AF$56:$AQ$75,MATCH('7.1. Chart Bubble_QUỐC GIA'!C7,'07. Chart_QUỐC GIA'!$AE$56:$AE$75,0),MATCH('7.1. Chart Bubble_QUỐC GIA'!$C$3,'07. Chart_QUỐC GIA'!$AF$55:$AQ$55,0))/10^3,0)</f>
        <v>1971</v>
      </c>
      <c r="F7" s="1149">
        <f>ROUND(INDEX('07. Chart_QUỐC GIA'!$AF$104:$AQ$123,MATCH('7.1. Chart Bubble_QUỐC GIA'!C7,'07. Chart_QUỐC GIA'!$AE$104:$AE$123,0),MATCH('7.1. Chart Bubble_QUỐC GIA'!$C$3,'07. Chart_QUỐC GIA'!$AF$103:$AQ$103,0))/10^3,0)</f>
        <v>195</v>
      </c>
      <c r="G7" s="1147">
        <f t="shared" ref="G7:G21" si="4">IFERROR(F7/E7,0)</f>
        <v>9.8934550989345504E-2</v>
      </c>
      <c r="H7" s="1045">
        <f t="shared" si="0"/>
        <v>5</v>
      </c>
      <c r="I7" s="1145">
        <f>G7+COUNT($G$6:G7)/10^6</f>
        <v>9.8936550989345506E-2</v>
      </c>
      <c r="K7" s="322">
        <v>2</v>
      </c>
      <c r="L7" s="618" t="str">
        <f t="shared" ref="L7:L24" ca="1" si="5">IF(O7&lt;&gt;0,R7&amp;". "&amp;M7,"-")</f>
        <v>8. Mỹ</v>
      </c>
      <c r="M7" s="12" t="str">
        <f t="shared" si="1"/>
        <v>Mỹ</v>
      </c>
      <c r="N7" s="1148">
        <f ca="1">_xlfn.XLOOKUP(M7,'07. Chart_QUỐC GIA'!$AE$7:$AE$28,'07. Chart_QUỐC GIA'!$AS$7:$AS$28,0)</f>
        <v>14171</v>
      </c>
      <c r="O7" s="345">
        <f ca="1">ROUND(_xlfn.XLOOKUP(M7,'07. Chart_QUỐC GIA'!$AE$56:$AE$75,'07. Chart_QUỐC GIA'!$AS$56:$AS$75,0)/10^3,0)</f>
        <v>17515</v>
      </c>
      <c r="P7" s="1149">
        <f ca="1">_xlfn.XLOOKUP(M7,'07. Chart_QUỐC GIA'!$AE$104:$AE$123,'07. Chart_QUỐC GIA'!$AS$104:$AS$123,0)/10^3</f>
        <v>2374.466989313054</v>
      </c>
      <c r="Q7" s="1147">
        <f t="shared" ref="Q7:Q21" ca="1" si="6">IFERROR(P7/O7,0)</f>
        <v>0.13556762713748524</v>
      </c>
      <c r="R7" s="1045">
        <f t="shared" ca="1" si="2"/>
        <v>8</v>
      </c>
      <c r="S7" s="1121">
        <f t="shared" ref="S7:S24" ca="1" si="7">Q7+COUNT(P7:P7)/10^6</f>
        <v>0.13556862713748524</v>
      </c>
      <c r="V7">
        <v>2</v>
      </c>
    </row>
    <row r="8" spans="1:22" ht="15.5" hidden="1" outlineLevel="1" x14ac:dyDescent="0.35">
      <c r="A8" s="322">
        <v>3</v>
      </c>
      <c r="B8" s="12" t="str">
        <f t="shared" si="3"/>
        <v>3. Australia</v>
      </c>
      <c r="C8" s="31" t="s">
        <v>249</v>
      </c>
      <c r="D8" s="1148">
        <f>INDEX('07. Chart_QUỐC GIA'!$AF$7:$AQ$28,MATCH('7.1. Chart Bubble_QUỐC GIA'!C8,'07. Chart_QUỐC GIA'!$AE$7:$AE$28,0),MATCH('7.1. Chart Bubble_QUỐC GIA'!$C$3,'07. Chart_QUỐC GIA'!$AF$6:$AQ$6,0))</f>
        <v>44</v>
      </c>
      <c r="E8" s="345">
        <f>ROUND(INDEX('07. Chart_QUỐC GIA'!$AF$56:$AQ$75,MATCH('7.1. Chart Bubble_QUỐC GIA'!C8,'07. Chart_QUỐC GIA'!$AE$56:$AE$75,0),MATCH('7.1. Chart Bubble_QUỐC GIA'!$C$3,'07. Chart_QUỐC GIA'!$AF$55:$AQ$55,0))/10^3,0)</f>
        <v>56</v>
      </c>
      <c r="F8" s="1149">
        <f>ROUND(INDEX('07. Chart_QUỐC GIA'!$AF$104:$AQ$123,MATCH('7.1. Chart Bubble_QUỐC GIA'!C8,'07. Chart_QUỐC GIA'!$AE$104:$AE$123,0),MATCH('7.1. Chart Bubble_QUỐC GIA'!$C$3,'07. Chart_QUỐC GIA'!$AF$103:$AQ$103,0))/10^3,0)</f>
        <v>7</v>
      </c>
      <c r="G8" s="1147">
        <f t="shared" si="4"/>
        <v>0.125</v>
      </c>
      <c r="H8" s="1045">
        <f t="shared" si="0"/>
        <v>3</v>
      </c>
      <c r="I8" s="1145">
        <f>G8+COUNT($G$6:G8)/10^6</f>
        <v>0.125003</v>
      </c>
      <c r="K8" s="322">
        <v>3</v>
      </c>
      <c r="L8" s="618" t="str">
        <f t="shared" ca="1" si="5"/>
        <v>7. Australia</v>
      </c>
      <c r="M8" s="12" t="str">
        <f t="shared" si="1"/>
        <v>Australia</v>
      </c>
      <c r="N8" s="1148">
        <f ca="1">_xlfn.XLOOKUP(M8,'07. Chart_QUỐC GIA'!$AE$7:$AE$28,'07. Chart_QUỐC GIA'!$AS$7:$AS$28,0)</f>
        <v>88</v>
      </c>
      <c r="O8" s="345">
        <f ca="1">ROUND(_xlfn.XLOOKUP(M8,'07. Chart_QUỐC GIA'!$AE$56:$AE$75,'07. Chart_QUỐC GIA'!$AS$56:$AS$75,0)/10^3,0)</f>
        <v>115</v>
      </c>
      <c r="P8" s="1149">
        <f ca="1">_xlfn.XLOOKUP(M8,'07. Chart_QUỐC GIA'!$AE$104:$AE$123,'07. Chart_QUỐC GIA'!$AS$104:$AS$123,0)/10^3</f>
        <v>17.71659230353605</v>
      </c>
      <c r="Q8" s="1147">
        <f t="shared" ca="1" si="6"/>
        <v>0.15405732437857433</v>
      </c>
      <c r="R8" s="1045">
        <f t="shared" ca="1" si="2"/>
        <v>7</v>
      </c>
      <c r="S8" s="1121">
        <f t="shared" ca="1" si="7"/>
        <v>0.15405832437857434</v>
      </c>
      <c r="V8">
        <v>3</v>
      </c>
    </row>
    <row r="9" spans="1:22" ht="15.5" hidden="1" outlineLevel="1" x14ac:dyDescent="0.35">
      <c r="A9" s="322">
        <v>4</v>
      </c>
      <c r="B9" s="12" t="str">
        <f t="shared" si="3"/>
        <v>1. Bồ Đào Nha</v>
      </c>
      <c r="C9" s="12" t="s">
        <v>246</v>
      </c>
      <c r="D9" s="1148">
        <f>INDEX('07. Chart_QUỐC GIA'!$AF$7:$AQ$28,MATCH('7.1. Chart Bubble_QUỐC GIA'!C9,'07. Chart_QUỐC GIA'!$AE$7:$AE$28,0),MATCH('7.1. Chart Bubble_QUỐC GIA'!$C$3,'07. Chart_QUỐC GIA'!$AF$6:$AQ$6,0))</f>
        <v>880</v>
      </c>
      <c r="E9" s="345">
        <f>ROUND(INDEX('07. Chart_QUỐC GIA'!$AF$56:$AQ$75,MATCH('7.1. Chart Bubble_QUỐC GIA'!C9,'07. Chart_QUỐC GIA'!$AE$56:$AE$75,0),MATCH('7.1. Chart Bubble_QUỐC GIA'!$C$3,'07. Chart_QUỐC GIA'!$AF$55:$AQ$55,0))/10^3,0)</f>
        <v>1101</v>
      </c>
      <c r="F9" s="1149">
        <f>ROUND(INDEX('07. Chart_QUỐC GIA'!$AF$104:$AQ$123,MATCH('7.1. Chart Bubble_QUỐC GIA'!C9,'07. Chart_QUỐC GIA'!$AE$104:$AE$123,0),MATCH('7.1. Chart Bubble_QUỐC GIA'!$C$3,'07. Chart_QUỐC GIA'!$AF$103:$AQ$103,0))/10^3,0)</f>
        <v>201</v>
      </c>
      <c r="G9" s="1147">
        <f t="shared" si="4"/>
        <v>0.18256130790190736</v>
      </c>
      <c r="H9" s="1045">
        <f t="shared" si="0"/>
        <v>1</v>
      </c>
      <c r="I9" s="1145">
        <f>G9+COUNT($G$6:G9)/10^6</f>
        <v>0.18256530790190736</v>
      </c>
      <c r="K9" s="322">
        <v>4</v>
      </c>
      <c r="L9" s="618" t="str">
        <f t="shared" ca="1" si="5"/>
        <v>6. Bồ Đào Nha</v>
      </c>
      <c r="M9" s="12" t="str">
        <f t="shared" si="1"/>
        <v>Bồ Đào Nha</v>
      </c>
      <c r="N9" s="1148">
        <f ca="1">_xlfn.XLOOKUP(M9,'07. Chart_QUỐC GIA'!$AE$7:$AE$28,'07. Chart_QUỐC GIA'!$AS$7:$AS$28,0)</f>
        <v>6185</v>
      </c>
      <c r="O9" s="345">
        <f ca="1">ROUND(_xlfn.XLOOKUP(M9,'07. Chart_QUỐC GIA'!$AE$56:$AE$75,'07. Chart_QUỐC GIA'!$AS$56:$AS$75,0)/10^3,0)</f>
        <v>7713</v>
      </c>
      <c r="P9" s="1149">
        <f ca="1">_xlfn.XLOOKUP(M9,'07. Chart_QUỐC GIA'!$AE$104:$AE$123,'07. Chart_QUỐC GIA'!$AS$104:$AS$123,0)/10^3</f>
        <v>1402.4312992264549</v>
      </c>
      <c r="Q9" s="1147">
        <f t="shared" ca="1" si="6"/>
        <v>0.18182695439212432</v>
      </c>
      <c r="R9" s="1045">
        <f t="shared" ca="1" si="2"/>
        <v>6</v>
      </c>
      <c r="S9" s="1121">
        <f t="shared" ca="1" si="7"/>
        <v>0.18182795439212432</v>
      </c>
      <c r="V9">
        <v>4</v>
      </c>
    </row>
    <row r="10" spans="1:22" ht="15.5" hidden="1" outlineLevel="1" x14ac:dyDescent="0.35">
      <c r="A10" s="322">
        <v>5</v>
      </c>
      <c r="B10" s="12" t="str">
        <f t="shared" si="3"/>
        <v>-</v>
      </c>
      <c r="C10" s="12" t="s">
        <v>254</v>
      </c>
      <c r="D10" s="1148">
        <f>INDEX('07. Chart_QUỐC GIA'!$AF$7:$AQ$28,MATCH('7.1. Chart Bubble_QUỐC GIA'!C10,'07. Chart_QUỐC GIA'!$AE$7:$AE$28,0),MATCH('7.1. Chart Bubble_QUỐC GIA'!$C$3,'07. Chart_QUỐC GIA'!$AF$6:$AQ$6,0))</f>
        <v>0</v>
      </c>
      <c r="E10" s="345">
        <f>ROUND(INDEX('07. Chart_QUỐC GIA'!$AF$56:$AQ$75,MATCH('7.1. Chart Bubble_QUỐC GIA'!C10,'07. Chart_QUỐC GIA'!$AE$56:$AE$75,0),MATCH('7.1. Chart Bubble_QUỐC GIA'!$C$3,'07. Chart_QUỐC GIA'!$AF$55:$AQ$55,0))/10^3,0)</f>
        <v>0</v>
      </c>
      <c r="F10" s="1149">
        <f>ROUND(INDEX('07. Chart_QUỐC GIA'!$AF$104:$AQ$123,MATCH('7.1. Chart Bubble_QUỐC GIA'!C10,'07. Chart_QUỐC GIA'!$AE$104:$AE$123,0),MATCH('7.1. Chart Bubble_QUỐC GIA'!$C$3,'07. Chart_QUỐC GIA'!$AF$103:$AQ$103,0))/10^3,0)</f>
        <v>0</v>
      </c>
      <c r="G10" s="1147">
        <f t="shared" si="4"/>
        <v>0</v>
      </c>
      <c r="H10" s="1045" t="str">
        <f t="shared" si="0"/>
        <v>-</v>
      </c>
      <c r="I10" s="1145">
        <f>G10+COUNT($G$6:G10)/10^6</f>
        <v>5.0000000000000004E-6</v>
      </c>
      <c r="K10" s="322">
        <v>5</v>
      </c>
      <c r="L10" s="618" t="str">
        <f t="shared" ca="1" si="5"/>
        <v>13. Bulgaria</v>
      </c>
      <c r="M10" s="12" t="str">
        <f t="shared" si="1"/>
        <v>Bulgaria</v>
      </c>
      <c r="N10" s="1148">
        <f ca="1">_xlfn.XLOOKUP(M10,'07. Chart_QUỐC GIA'!$AE$7:$AE$28,'07. Chart_QUỐC GIA'!$AS$7:$AS$28,0)</f>
        <v>110</v>
      </c>
      <c r="O10" s="345">
        <f ca="1">ROUND(_xlfn.XLOOKUP(M10,'07. Chart_QUỐC GIA'!$AE$56:$AE$75,'07. Chart_QUỐC GIA'!$AS$56:$AS$75,0)/10^3,0)</f>
        <v>127</v>
      </c>
      <c r="P10" s="1149">
        <f ca="1">_xlfn.XLOOKUP(M10,'07. Chart_QUỐC GIA'!$AE$104:$AE$123,'07. Chart_QUỐC GIA'!$AS$104:$AS$123,0)/10^3</f>
        <v>14.509887220207187</v>
      </c>
      <c r="Q10" s="1147">
        <f t="shared" ca="1" si="6"/>
        <v>0.11425108047407234</v>
      </c>
      <c r="R10" s="1045">
        <f t="shared" ca="1" si="2"/>
        <v>13</v>
      </c>
      <c r="S10" s="1121">
        <f t="shared" ca="1" si="7"/>
        <v>0.11425208047407234</v>
      </c>
      <c r="V10">
        <v>5</v>
      </c>
    </row>
    <row r="11" spans="1:22" ht="15.5" hidden="1" outlineLevel="1" x14ac:dyDescent="0.35">
      <c r="A11" s="322">
        <v>6</v>
      </c>
      <c r="B11" s="12" t="str">
        <f t="shared" si="3"/>
        <v>-</v>
      </c>
      <c r="C11" s="12" t="s">
        <v>253</v>
      </c>
      <c r="D11" s="1148">
        <f>INDEX('07. Chart_QUỐC GIA'!$AF$7:$AQ$28,MATCH('7.1. Chart Bubble_QUỐC GIA'!C11,'07. Chart_QUỐC GIA'!$AE$7:$AE$28,0),MATCH('7.1. Chart Bubble_QUỐC GIA'!$C$3,'07. Chart_QUỐC GIA'!$AF$6:$AQ$6,0))</f>
        <v>0</v>
      </c>
      <c r="E11" s="345">
        <f>ROUND(INDEX('07. Chart_QUỐC GIA'!$AF$56:$AQ$75,MATCH('7.1. Chart Bubble_QUỐC GIA'!C11,'07. Chart_QUỐC GIA'!$AE$56:$AE$75,0),MATCH('7.1. Chart Bubble_QUỐC GIA'!$C$3,'07. Chart_QUỐC GIA'!$AF$55:$AQ$55,0))/10^3,0)</f>
        <v>0</v>
      </c>
      <c r="F11" s="1149">
        <f>ROUND(INDEX('07. Chart_QUỐC GIA'!$AF$104:$AQ$123,MATCH('7.1. Chart Bubble_QUỐC GIA'!C11,'07. Chart_QUỐC GIA'!$AE$104:$AE$123,0),MATCH('7.1. Chart Bubble_QUỐC GIA'!$C$3,'07. Chart_QUỐC GIA'!$AF$103:$AQ$103,0))/10^3,0)</f>
        <v>0</v>
      </c>
      <c r="G11" s="1147">
        <f t="shared" si="4"/>
        <v>0</v>
      </c>
      <c r="H11" s="1045" t="str">
        <f t="shared" si="0"/>
        <v>-</v>
      </c>
      <c r="I11" s="1145">
        <f>G11+COUNT($G$6:G11)/10^6</f>
        <v>6.0000000000000002E-6</v>
      </c>
      <c r="K11" s="322">
        <v>6</v>
      </c>
      <c r="L11" s="618" t="str">
        <f t="shared" ca="1" si="5"/>
        <v>11. Hàn Quốc</v>
      </c>
      <c r="M11" s="12" t="str">
        <f t="shared" si="1"/>
        <v>Hàn Quốc</v>
      </c>
      <c r="N11" s="1148">
        <f ca="1">_xlfn.XLOOKUP(M11,'07. Chart_QUỐC GIA'!$AE$7:$AE$28,'07. Chart_QUỐC GIA'!$AS$7:$AS$28,0)</f>
        <v>327</v>
      </c>
      <c r="O11" s="345">
        <f ca="1">ROUND(_xlfn.XLOOKUP(M11,'07. Chart_QUỐC GIA'!$AE$56:$AE$75,'07. Chart_QUỐC GIA'!$AS$56:$AS$75,0)/10^3,0)</f>
        <v>406</v>
      </c>
      <c r="P11" s="1149">
        <f ca="1">_xlfn.XLOOKUP(M11,'07. Chart_QUỐC GIA'!$AE$104:$AE$123,'07. Chart_QUỐC GIA'!$AS$104:$AS$123,0)/10^3</f>
        <v>49.982992535633272</v>
      </c>
      <c r="Q11" s="1147">
        <f t="shared" ca="1" si="6"/>
        <v>0.12311081905328392</v>
      </c>
      <c r="R11" s="1045">
        <f t="shared" ca="1" si="2"/>
        <v>11</v>
      </c>
      <c r="S11" s="1121">
        <f t="shared" ca="1" si="7"/>
        <v>0.12311181905328392</v>
      </c>
      <c r="V11">
        <v>6</v>
      </c>
    </row>
    <row r="12" spans="1:22" ht="15.5" hidden="1" outlineLevel="1" x14ac:dyDescent="0.35">
      <c r="A12" s="322">
        <v>7</v>
      </c>
      <c r="B12" s="12" t="str">
        <f t="shared" si="3"/>
        <v>7. Hong Kong</v>
      </c>
      <c r="C12" s="12" t="s">
        <v>247</v>
      </c>
      <c r="D12" s="1148">
        <f>INDEX('07. Chart_QUỐC GIA'!$AF$7:$AQ$28,MATCH('7.1. Chart Bubble_QUỐC GIA'!C12,'07. Chart_QUỐC GIA'!$AE$7:$AE$28,0),MATCH('7.1. Chart Bubble_QUỐC GIA'!$C$3,'07. Chart_QUỐC GIA'!$AF$6:$AQ$6,0))</f>
        <v>220</v>
      </c>
      <c r="E12" s="345">
        <f>ROUND(INDEX('07. Chart_QUỐC GIA'!$AF$56:$AQ$75,MATCH('7.1. Chart Bubble_QUỐC GIA'!C12,'07. Chart_QUỐC GIA'!$AE$56:$AE$75,0),MATCH('7.1. Chart Bubble_QUỐC GIA'!$C$3,'07. Chart_QUỐC GIA'!$AF$55:$AQ$55,0))/10^3,0)</f>
        <v>223</v>
      </c>
      <c r="F12" s="1149">
        <f>ROUND(INDEX('07. Chart_QUỐC GIA'!$AF$104:$AQ$123,MATCH('7.1. Chart Bubble_QUỐC GIA'!C12,'07. Chart_QUỐC GIA'!$AE$104:$AE$123,0),MATCH('7.1. Chart Bubble_QUỐC GIA'!$C$3,'07. Chart_QUỐC GIA'!$AF$103:$AQ$103,0))/10^3,0)</f>
        <v>4</v>
      </c>
      <c r="G12" s="1147">
        <f t="shared" si="4"/>
        <v>1.7937219730941704E-2</v>
      </c>
      <c r="H12" s="1045">
        <f t="shared" si="0"/>
        <v>7</v>
      </c>
      <c r="I12" s="1145">
        <f>G12+COUNT($G$6:G12)/10^6</f>
        <v>1.7944219730941704E-2</v>
      </c>
      <c r="K12" s="322">
        <v>7</v>
      </c>
      <c r="L12" s="618" t="str">
        <f t="shared" ca="1" si="5"/>
        <v>16. Hong Kong</v>
      </c>
      <c r="M12" s="12" t="str">
        <f t="shared" si="1"/>
        <v>Hong Kong</v>
      </c>
      <c r="N12" s="1148">
        <f ca="1">_xlfn.XLOOKUP(M12,'07. Chart_QUỐC GIA'!$AE$7:$AE$28,'07. Chart_QUỐC GIA'!$AS$7:$AS$28,0)</f>
        <v>440</v>
      </c>
      <c r="O12" s="345">
        <f ca="1">ROUND(_xlfn.XLOOKUP(M12,'07. Chart_QUỐC GIA'!$AE$56:$AE$75,'07. Chart_QUỐC GIA'!$AS$56:$AS$75,0)/10^3,0)</f>
        <v>457</v>
      </c>
      <c r="P12" s="1149">
        <f ca="1">_xlfn.XLOOKUP(M12,'07. Chart_QUỐC GIA'!$AE$104:$AE$123,'07. Chart_QUỐC GIA'!$AS$104:$AS$123,0)/10^3</f>
        <v>22.772225729370025</v>
      </c>
      <c r="Q12" s="1147">
        <f t="shared" ca="1" si="6"/>
        <v>4.9829815600372043E-2</v>
      </c>
      <c r="R12" s="1045">
        <f t="shared" ca="1" si="2"/>
        <v>16</v>
      </c>
      <c r="S12" s="1121">
        <f t="shared" ca="1" si="7"/>
        <v>4.9830815600372044E-2</v>
      </c>
      <c r="V12">
        <v>7</v>
      </c>
    </row>
    <row r="13" spans="1:22" ht="15.5" hidden="1" outlineLevel="1" x14ac:dyDescent="0.35">
      <c r="A13" s="322">
        <v>8</v>
      </c>
      <c r="B13" s="12" t="str">
        <f t="shared" si="3"/>
        <v>4. Hy Lạp</v>
      </c>
      <c r="C13" s="12" t="s">
        <v>250</v>
      </c>
      <c r="D13" s="1148">
        <f>INDEX('07. Chart_QUỐC GIA'!$AF$7:$AQ$28,MATCH('7.1. Chart Bubble_QUỐC GIA'!C13,'07. Chart_QUỐC GIA'!$AE$7:$AE$28,0),MATCH('7.1. Chart Bubble_QUỐC GIA'!$C$3,'07. Chart_QUỐC GIA'!$AF$6:$AQ$6,0))</f>
        <v>66</v>
      </c>
      <c r="E13" s="345">
        <f>ROUND(INDEX('07. Chart_QUỐC GIA'!$AF$56:$AQ$75,MATCH('7.1. Chart Bubble_QUỐC GIA'!C13,'07. Chart_QUỐC GIA'!$AE$56:$AE$75,0),MATCH('7.1. Chart Bubble_QUỐC GIA'!$C$3,'07. Chart_QUỐC GIA'!$AF$55:$AQ$55,0))/10^3,0)</f>
        <v>75</v>
      </c>
      <c r="F13" s="1149">
        <f>ROUND(INDEX('07. Chart_QUỐC GIA'!$AF$104:$AQ$123,MATCH('7.1. Chart Bubble_QUỐC GIA'!C13,'07. Chart_QUỐC GIA'!$AE$104:$AE$123,0),MATCH('7.1. Chart Bubble_QUỐC GIA'!$C$3,'07. Chart_QUỐC GIA'!$AF$103:$AQ$103,0))/10^3,0)</f>
        <v>8</v>
      </c>
      <c r="G13" s="1147">
        <f t="shared" si="4"/>
        <v>0.10666666666666667</v>
      </c>
      <c r="H13" s="1045">
        <f t="shared" si="0"/>
        <v>4</v>
      </c>
      <c r="I13" s="1145">
        <f>G13+COUNT($G$6:G13)/10^6</f>
        <v>0.10667466666666667</v>
      </c>
      <c r="K13" s="322">
        <v>8</v>
      </c>
      <c r="L13" s="618" t="str">
        <f t="shared" ca="1" si="5"/>
        <v>9. Hy Lạp</v>
      </c>
      <c r="M13" s="12" t="str">
        <f t="shared" si="1"/>
        <v>Hy Lạp</v>
      </c>
      <c r="N13" s="1148">
        <f ca="1">_xlfn.XLOOKUP(M13,'07. Chart_QUỐC GIA'!$AE$7:$AE$28,'07. Chart_QUỐC GIA'!$AS$7:$AS$28,0)</f>
        <v>110</v>
      </c>
      <c r="O13" s="345">
        <f ca="1">ROUND(_xlfn.XLOOKUP(M13,'07. Chart_QUỐC GIA'!$AE$56:$AE$75,'07. Chart_QUỐC GIA'!$AS$56:$AS$75,0)/10^3,0)</f>
        <v>128</v>
      </c>
      <c r="P13" s="1149">
        <f ca="1">_xlfn.XLOOKUP(M13,'07. Chart_QUỐC GIA'!$AE$104:$AE$123,'07. Chart_QUỐC GIA'!$AS$104:$AS$123,0)/10^3</f>
        <v>17.133496171787613</v>
      </c>
      <c r="Q13" s="1147">
        <f t="shared" ca="1" si="6"/>
        <v>0.13385543884209072</v>
      </c>
      <c r="R13" s="1045">
        <f t="shared" ca="1" si="2"/>
        <v>9</v>
      </c>
      <c r="S13" s="1121">
        <f t="shared" ca="1" si="7"/>
        <v>0.13385643884209072</v>
      </c>
      <c r="V13">
        <v>8</v>
      </c>
    </row>
    <row r="14" spans="1:22" ht="15.5" hidden="1" outlineLevel="1" x14ac:dyDescent="0.35">
      <c r="A14" s="322">
        <v>9</v>
      </c>
      <c r="B14" s="12" t="str">
        <f t="shared" si="3"/>
        <v>-</v>
      </c>
      <c r="C14" s="12" t="s">
        <v>256</v>
      </c>
      <c r="D14" s="1148">
        <f>INDEX('07. Chart_QUỐC GIA'!$AF$7:$AQ$28,MATCH('7.1. Chart Bubble_QUỐC GIA'!C14,'07. Chart_QUỐC GIA'!$AE$7:$AE$28,0),MATCH('7.1. Chart Bubble_QUỐC GIA'!$C$3,'07. Chart_QUỐC GIA'!$AF$6:$AQ$6,0))</f>
        <v>0</v>
      </c>
      <c r="E14" s="345">
        <f>ROUND(INDEX('07. Chart_QUỐC GIA'!$AF$56:$AQ$75,MATCH('7.1. Chart Bubble_QUỐC GIA'!C14,'07. Chart_QUỐC GIA'!$AE$56:$AE$75,0),MATCH('7.1. Chart Bubble_QUỐC GIA'!$C$3,'07. Chart_QUỐC GIA'!$AF$55:$AQ$55,0))/10^3,0)</f>
        <v>0</v>
      </c>
      <c r="F14" s="1149">
        <f>ROUND(INDEX('07. Chart_QUỐC GIA'!$AF$104:$AQ$123,MATCH('7.1. Chart Bubble_QUỐC GIA'!C14,'07. Chart_QUỐC GIA'!$AE$104:$AE$123,0),MATCH('7.1. Chart Bubble_QUỐC GIA'!$C$3,'07. Chart_QUỐC GIA'!$AF$103:$AQ$103,0))/10^3,0)</f>
        <v>0</v>
      </c>
      <c r="G14" s="1147">
        <f t="shared" si="4"/>
        <v>0</v>
      </c>
      <c r="H14" s="1045" t="str">
        <f t="shared" si="0"/>
        <v>-</v>
      </c>
      <c r="I14" s="1145">
        <f>G14+COUNT($G$6:G14)/10^6</f>
        <v>9.0000000000000002E-6</v>
      </c>
      <c r="K14" s="322">
        <v>9</v>
      </c>
      <c r="L14" s="618" t="str">
        <f t="shared" ca="1" si="5"/>
        <v>5. Israel</v>
      </c>
      <c r="M14" s="12" t="str">
        <f t="shared" si="1"/>
        <v>Israel</v>
      </c>
      <c r="N14" s="1148">
        <f ca="1">_xlfn.XLOOKUP(M14,'07. Chart_QUỐC GIA'!$AE$7:$AE$28,'07. Chart_QUỐC GIA'!$AS$7:$AS$28,0)</f>
        <v>176</v>
      </c>
      <c r="O14" s="345">
        <f ca="1">ROUND(_xlfn.XLOOKUP(M14,'07. Chart_QUỐC GIA'!$AE$56:$AE$75,'07. Chart_QUỐC GIA'!$AS$56:$AS$75,0)/10^3,0)</f>
        <v>259</v>
      </c>
      <c r="P14" s="1149">
        <f ca="1">_xlfn.XLOOKUP(M14,'07. Chart_QUỐC GIA'!$AE$104:$AE$123,'07. Chart_QUỐC GIA'!$AS$104:$AS$123,0)/10^3</f>
        <v>48.886362584247749</v>
      </c>
      <c r="Q14" s="1147">
        <f t="shared" ca="1" si="6"/>
        <v>0.18875043468821526</v>
      </c>
      <c r="R14" s="1045">
        <f t="shared" ca="1" si="2"/>
        <v>5</v>
      </c>
      <c r="S14" s="1121">
        <f t="shared" ca="1" si="7"/>
        <v>0.18875143468821526</v>
      </c>
      <c r="V14">
        <v>9</v>
      </c>
    </row>
    <row r="15" spans="1:22" ht="15.5" hidden="1" outlineLevel="1" x14ac:dyDescent="0.35">
      <c r="A15" s="322">
        <v>10</v>
      </c>
      <c r="B15" s="12" t="str">
        <f t="shared" si="3"/>
        <v>-</v>
      </c>
      <c r="C15" s="12" t="s">
        <v>252</v>
      </c>
      <c r="D15" s="1148">
        <f>INDEX('07. Chart_QUỐC GIA'!$AF$7:$AQ$28,MATCH('7.1. Chart Bubble_QUỐC GIA'!C15,'07. Chart_QUỐC GIA'!$AE$7:$AE$28,0),MATCH('7.1. Chart Bubble_QUỐC GIA'!$C$3,'07. Chart_QUỐC GIA'!$AF$6:$AQ$6,0))</f>
        <v>0</v>
      </c>
      <c r="E15" s="345">
        <f>ROUND(INDEX('07. Chart_QUỐC GIA'!$AF$56:$AQ$75,MATCH('7.1. Chart Bubble_QUỐC GIA'!C15,'07. Chart_QUỐC GIA'!$AE$56:$AE$75,0),MATCH('7.1. Chart Bubble_QUỐC GIA'!$C$3,'07. Chart_QUỐC GIA'!$AF$55:$AQ$55,0))/10^3,0)</f>
        <v>0</v>
      </c>
      <c r="F15" s="1149">
        <f>ROUND(INDEX('07. Chart_QUỐC GIA'!$AF$104:$AQ$123,MATCH('7.1. Chart Bubble_QUỐC GIA'!C15,'07. Chart_QUỐC GIA'!$AE$104:$AE$123,0),MATCH('7.1. Chart Bubble_QUỐC GIA'!$C$3,'07. Chart_QUỐC GIA'!$AF$103:$AQ$103,0))/10^3,0)</f>
        <v>0</v>
      </c>
      <c r="G15" s="1147">
        <f t="shared" si="4"/>
        <v>0</v>
      </c>
      <c r="H15" s="1045" t="str">
        <f t="shared" si="0"/>
        <v>-</v>
      </c>
      <c r="I15" s="1145">
        <f>G15+COUNT($G$6:G15)/10^6</f>
        <v>1.0000000000000001E-5</v>
      </c>
      <c r="K15" s="322">
        <v>10</v>
      </c>
      <c r="L15" s="618" t="str">
        <f t="shared" ca="1" si="5"/>
        <v>1. Italy</v>
      </c>
      <c r="M15" s="12" t="str">
        <f t="shared" si="1"/>
        <v>Italy</v>
      </c>
      <c r="N15" s="1148">
        <f ca="1">_xlfn.XLOOKUP(M15,'07. Chart_QUỐC GIA'!$AE$7:$AE$28,'07. Chart_QUỐC GIA'!$AS$7:$AS$28,0)</f>
        <v>47</v>
      </c>
      <c r="O15" s="345">
        <f ca="1">ROUND(_xlfn.XLOOKUP(M15,'07. Chart_QUỐC GIA'!$AE$56:$AE$75,'07. Chart_QUỐC GIA'!$AS$56:$AS$75,0)/10^3,0)</f>
        <v>55</v>
      </c>
      <c r="P15" s="1149">
        <f ca="1">_xlfn.XLOOKUP(M15,'07. Chart_QUỐC GIA'!$AE$104:$AE$123,'07. Chart_QUỐC GIA'!$AS$104:$AS$123,0)/10^3</f>
        <v>12.451693619535252</v>
      </c>
      <c r="Q15" s="1147">
        <f t="shared" ca="1" si="6"/>
        <v>0.2263944294460955</v>
      </c>
      <c r="R15" s="1045">
        <f t="shared" ca="1" si="2"/>
        <v>1</v>
      </c>
      <c r="S15" s="1121">
        <f t="shared" ca="1" si="7"/>
        <v>0.2263954294460955</v>
      </c>
      <c r="V15">
        <v>10</v>
      </c>
    </row>
    <row r="16" spans="1:22" ht="15.5" hidden="1" outlineLevel="1" x14ac:dyDescent="0.35">
      <c r="A16" s="322">
        <v>11</v>
      </c>
      <c r="B16" s="12" t="str">
        <f t="shared" si="3"/>
        <v>-</v>
      </c>
      <c r="C16" s="12" t="s">
        <v>670</v>
      </c>
      <c r="D16" s="1148">
        <f>INDEX('07. Chart_QUỐC GIA'!$AF$7:$AQ$28,MATCH('7.1. Chart Bubble_QUỐC GIA'!C16,'07. Chart_QUỐC GIA'!$AE$7:$AE$28,0),MATCH('7.1. Chart Bubble_QUỐC GIA'!$C$3,'07. Chart_QUỐC GIA'!$AF$6:$AQ$6,0))</f>
        <v>0</v>
      </c>
      <c r="E16" s="345">
        <f>ROUND(INDEX('07. Chart_QUỐC GIA'!$AF$56:$AQ$75,MATCH('7.1. Chart Bubble_QUỐC GIA'!C16,'07. Chart_QUỐC GIA'!$AE$56:$AE$75,0),MATCH('7.1. Chart Bubble_QUỐC GIA'!$C$3,'07. Chart_QUỐC GIA'!$AF$55:$AQ$55,0))/10^3,0)</f>
        <v>0</v>
      </c>
      <c r="F16" s="1149">
        <f>ROUND(INDEX('07. Chart_QUỐC GIA'!$AF$104:$AQ$123,MATCH('7.1. Chart Bubble_QUỐC GIA'!C16,'07. Chart_QUỐC GIA'!$AE$104:$AE$123,0),MATCH('7.1. Chart Bubble_QUỐC GIA'!$C$3,'07. Chart_QUỐC GIA'!$AF$103:$AQ$103,0))/10^3,0)</f>
        <v>0</v>
      </c>
      <c r="G16" s="1147">
        <f t="shared" si="4"/>
        <v>0</v>
      </c>
      <c r="H16" s="1045" t="str">
        <f t="shared" si="0"/>
        <v>-</v>
      </c>
      <c r="I16" s="1145">
        <f>G16+COUNT($G$6:G16)/10^6</f>
        <v>1.1E-5</v>
      </c>
      <c r="K16" s="322">
        <v>11</v>
      </c>
      <c r="L16" s="618" t="str">
        <f t="shared" ca="1" si="5"/>
        <v>-</v>
      </c>
      <c r="M16" s="12" t="str">
        <f t="shared" si="1"/>
        <v>Korea</v>
      </c>
      <c r="N16" s="1148">
        <f ca="1">_xlfn.XLOOKUP(M16,'07. Chart_QUỐC GIA'!$AE$7:$AE$28,'07. Chart_QUỐC GIA'!$AS$7:$AS$28,0)</f>
        <v>0</v>
      </c>
      <c r="O16" s="345">
        <f ca="1">ROUND(_xlfn.XLOOKUP(M16,'07. Chart_QUỐC GIA'!$AE$56:$AE$75,'07. Chart_QUỐC GIA'!$AS$56:$AS$75,0)/10^3,0)</f>
        <v>0</v>
      </c>
      <c r="P16" s="1149">
        <f ca="1">_xlfn.XLOOKUP(M16,'07. Chart_QUỐC GIA'!$AE$104:$AE$123,'07. Chart_QUỐC GIA'!$AS$104:$AS$123,0)/10^3</f>
        <v>0</v>
      </c>
      <c r="Q16" s="1147">
        <f t="shared" ca="1" si="6"/>
        <v>0</v>
      </c>
      <c r="R16" s="1045" t="str">
        <f t="shared" ca="1" si="2"/>
        <v>-</v>
      </c>
      <c r="S16" s="1121">
        <f t="shared" ca="1" si="7"/>
        <v>9.9999999999999995E-7</v>
      </c>
      <c r="V16">
        <v>11</v>
      </c>
    </row>
    <row r="17" spans="1:22" ht="15.5" hidden="1" outlineLevel="1" x14ac:dyDescent="0.35">
      <c r="A17" s="322">
        <v>12</v>
      </c>
      <c r="B17" s="12" t="str">
        <f t="shared" si="3"/>
        <v>-</v>
      </c>
      <c r="C17" s="36" t="s">
        <v>229</v>
      </c>
      <c r="D17" s="1148">
        <f>INDEX('07. Chart_QUỐC GIA'!$AF$7:$AQ$28,MATCH('7.1. Chart Bubble_QUỐC GIA'!C17,'07. Chart_QUỐC GIA'!$AE$7:$AE$28,0),MATCH('7.1. Chart Bubble_QUỐC GIA'!$C$3,'07. Chart_QUỐC GIA'!$AF$6:$AQ$6,0))</f>
        <v>0</v>
      </c>
      <c r="E17" s="345">
        <f>ROUND(INDEX('07. Chart_QUỐC GIA'!$AF$56:$AQ$75,MATCH('7.1. Chart Bubble_QUỐC GIA'!C17,'07. Chart_QUỐC GIA'!$AE$56:$AE$75,0),MATCH('7.1. Chart Bubble_QUỐC GIA'!$C$3,'07. Chart_QUỐC GIA'!$AF$55:$AQ$55,0))/10^3,0)</f>
        <v>0</v>
      </c>
      <c r="F17" s="1149">
        <f>ROUND(INDEX('07. Chart_QUỐC GIA'!$AF$104:$AQ$123,MATCH('7.1. Chart Bubble_QUỐC GIA'!C17,'07. Chart_QUỐC GIA'!$AE$104:$AE$123,0),MATCH('7.1. Chart Bubble_QUỐC GIA'!$C$3,'07. Chart_QUỐC GIA'!$AF$103:$AQ$103,0))/10^3,0)</f>
        <v>0</v>
      </c>
      <c r="G17" s="1147">
        <f t="shared" si="4"/>
        <v>0</v>
      </c>
      <c r="H17" s="1045" t="str">
        <f t="shared" si="0"/>
        <v>-</v>
      </c>
      <c r="I17" s="1145">
        <f>G17+COUNT($G$6:G17)/10^6</f>
        <v>1.2E-5</v>
      </c>
      <c r="K17" s="322">
        <v>12</v>
      </c>
      <c r="L17" s="618" t="str">
        <f t="shared" ca="1" si="5"/>
        <v>17. Mexico</v>
      </c>
      <c r="M17" s="12" t="str">
        <f t="shared" si="1"/>
        <v>Mexico</v>
      </c>
      <c r="N17" s="1148">
        <f ca="1">_xlfn.XLOOKUP(M17,'07. Chart_QUỐC GIA'!$AE$7:$AE$28,'07. Chart_QUỐC GIA'!$AS$7:$AS$28,0)</f>
        <v>72</v>
      </c>
      <c r="O17" s="345">
        <f ca="1">ROUND(_xlfn.XLOOKUP(M17,'07. Chart_QUỐC GIA'!$AE$56:$AE$75,'07. Chart_QUỐC GIA'!$AS$56:$AS$75,0)/10^3,0)</f>
        <v>78</v>
      </c>
      <c r="P17" s="1149">
        <f ca="1">_xlfn.XLOOKUP(M17,'07. Chart_QUỐC GIA'!$AE$104:$AE$123,'07. Chart_QUỐC GIA'!$AS$104:$AS$123,0)/10^3</f>
        <v>-2.8404819010114442</v>
      </c>
      <c r="Q17" s="1147">
        <f t="shared" ca="1" si="6"/>
        <v>-3.6416434628351847E-2</v>
      </c>
      <c r="R17" s="1047">
        <v>17</v>
      </c>
      <c r="S17" s="1121">
        <f t="shared" ca="1" si="7"/>
        <v>-3.6415434628351846E-2</v>
      </c>
      <c r="V17">
        <v>12</v>
      </c>
    </row>
    <row r="18" spans="1:22" ht="15.5" hidden="1" outlineLevel="1" x14ac:dyDescent="0.35">
      <c r="A18" s="322">
        <v>13</v>
      </c>
      <c r="B18" s="12" t="str">
        <f t="shared" si="3"/>
        <v>-</v>
      </c>
      <c r="C18" s="31" t="s">
        <v>251</v>
      </c>
      <c r="D18" s="1148">
        <f>INDEX('07. Chart_QUỐC GIA'!$AF$7:$AQ$28,MATCH('7.1. Chart Bubble_QUỐC GIA'!C18,'07. Chart_QUỐC GIA'!$AE$7:$AE$28,0),MATCH('7.1. Chart Bubble_QUỐC GIA'!$C$3,'07. Chart_QUỐC GIA'!$AF$6:$AQ$6,0))</f>
        <v>0</v>
      </c>
      <c r="E18" s="345">
        <f>ROUND(INDEX('07. Chart_QUỐC GIA'!$AF$56:$AQ$75,MATCH('7.1. Chart Bubble_QUỐC GIA'!C18,'07. Chart_QUỐC GIA'!$AE$56:$AE$75,0),MATCH('7.1. Chart Bubble_QUỐC GIA'!$C$3,'07. Chart_QUỐC GIA'!$AF$55:$AQ$55,0))/10^3,0)</f>
        <v>0</v>
      </c>
      <c r="F18" s="1149">
        <f>ROUND(INDEX('07. Chart_QUỐC GIA'!$AF$104:$AQ$123,MATCH('7.1. Chart Bubble_QUỐC GIA'!C18,'07. Chart_QUỐC GIA'!$AE$104:$AE$123,0),MATCH('7.1. Chart Bubble_QUỐC GIA'!$C$3,'07. Chart_QUỐC GIA'!$AF$103:$AQ$103,0))/10^3,0)</f>
        <v>0</v>
      </c>
      <c r="G18" s="1147">
        <f t="shared" si="4"/>
        <v>0</v>
      </c>
      <c r="H18" s="1045" t="str">
        <f t="shared" ref="H18:H24" si="8">IF(E18&lt;&gt;0,RANK(I18,$I$6:$I$27),"-")</f>
        <v>-</v>
      </c>
      <c r="I18" s="1145">
        <f>G18+COUNT($G$6:G18)/10^6</f>
        <v>1.2999999999999999E-5</v>
      </c>
      <c r="K18" s="322">
        <v>13</v>
      </c>
      <c r="L18" s="618" t="str">
        <f t="shared" ca="1" si="5"/>
        <v>2. Nhật</v>
      </c>
      <c r="M18" s="12" t="str">
        <f t="shared" si="1"/>
        <v>Nhật</v>
      </c>
      <c r="N18" s="1148">
        <f ca="1">_xlfn.XLOOKUP(M18,'07. Chart_QUỐC GIA'!$AE$7:$AE$28,'07. Chart_QUỐC GIA'!$AS$7:$AS$28,0)</f>
        <v>211</v>
      </c>
      <c r="O18" s="345">
        <f ca="1">ROUND(_xlfn.XLOOKUP(M18,'07. Chart_QUỐC GIA'!$AE$56:$AE$75,'07. Chart_QUỐC GIA'!$AS$56:$AS$75,0)/10^3,0)</f>
        <v>270</v>
      </c>
      <c r="P18" s="1149">
        <f ca="1">_xlfn.XLOOKUP(M18,'07. Chart_QUỐC GIA'!$AE$104:$AE$123,'07. Chart_QUỐC GIA'!$AS$104:$AS$123,0)/10^3</f>
        <v>58.269527502549984</v>
      </c>
      <c r="Q18" s="1147">
        <f t="shared" ca="1" si="6"/>
        <v>0.21581306482425919</v>
      </c>
      <c r="R18" s="1045">
        <f t="shared" ref="R18:R24" ca="1" si="9">IF(O18&lt;&gt;0,RANK(S18,$S$6:$S$27),"-")</f>
        <v>2</v>
      </c>
      <c r="S18" s="1121">
        <f t="shared" ca="1" si="7"/>
        <v>0.21581406482425919</v>
      </c>
      <c r="V18">
        <v>13</v>
      </c>
    </row>
    <row r="19" spans="1:22" ht="15.5" hidden="1" outlineLevel="1" x14ac:dyDescent="0.35">
      <c r="A19" s="322">
        <v>14</v>
      </c>
      <c r="B19" s="12" t="str">
        <f t="shared" si="3"/>
        <v>-</v>
      </c>
      <c r="C19" s="31" t="s">
        <v>255</v>
      </c>
      <c r="D19" s="1148">
        <f>INDEX('07. Chart_QUỐC GIA'!$AF$7:$AQ$28,MATCH('7.1. Chart Bubble_QUỐC GIA'!C19,'07. Chart_QUỐC GIA'!$AE$7:$AE$28,0),MATCH('7.1. Chart Bubble_QUỐC GIA'!$C$3,'07. Chart_QUỐC GIA'!$AF$6:$AQ$6,0))</f>
        <v>0</v>
      </c>
      <c r="E19" s="345">
        <f>ROUND(INDEX('07. Chart_QUỐC GIA'!$AF$56:$AQ$75,MATCH('7.1. Chart Bubble_QUỐC GIA'!C19,'07. Chart_QUỐC GIA'!$AE$56:$AE$75,0),MATCH('7.1. Chart Bubble_QUỐC GIA'!$C$3,'07. Chart_QUỐC GIA'!$AF$55:$AQ$55,0))/10^3,0)</f>
        <v>0</v>
      </c>
      <c r="F19" s="1149">
        <f>ROUND(INDEX('07. Chart_QUỐC GIA'!$AF$104:$AQ$123,MATCH('7.1. Chart Bubble_QUỐC GIA'!C19,'07. Chart_QUỐC GIA'!$AE$104:$AE$123,0),MATCH('7.1. Chart Bubble_QUỐC GIA'!$C$3,'07. Chart_QUỐC GIA'!$AF$103:$AQ$103,0))/10^3,0)</f>
        <v>0</v>
      </c>
      <c r="G19" s="1147">
        <f t="shared" si="4"/>
        <v>0</v>
      </c>
      <c r="H19" s="1045" t="str">
        <f t="shared" si="8"/>
        <v>-</v>
      </c>
      <c r="I19" s="1145">
        <f>G19+COUNT($G$6:G19)/10^6</f>
        <v>1.4E-5</v>
      </c>
      <c r="K19" s="322">
        <v>14</v>
      </c>
      <c r="L19" s="618" t="str">
        <f t="shared" ca="1" si="5"/>
        <v>-</v>
      </c>
      <c r="M19" s="12" t="str">
        <f t="shared" si="1"/>
        <v>Phần Lan</v>
      </c>
      <c r="N19" s="1148">
        <f ca="1">_xlfn.XLOOKUP(M19,'07. Chart_QUỐC GIA'!$AE$7:$AE$28,'07. Chart_QUỐC GIA'!$AS$7:$AS$28,0)</f>
        <v>0</v>
      </c>
      <c r="O19" s="345">
        <f ca="1">ROUND(_xlfn.XLOOKUP(M19,'07. Chart_QUỐC GIA'!$AE$56:$AE$75,'07. Chart_QUỐC GIA'!$AS$56:$AS$75,0)/10^3,0)</f>
        <v>0</v>
      </c>
      <c r="P19" s="1149">
        <f ca="1">_xlfn.XLOOKUP(M19,'07. Chart_QUỐC GIA'!$AE$104:$AE$123,'07. Chart_QUỐC GIA'!$AS$104:$AS$123,0)/10^3</f>
        <v>0</v>
      </c>
      <c r="Q19" s="1147">
        <f t="shared" ca="1" si="6"/>
        <v>0</v>
      </c>
      <c r="R19" s="1045" t="str">
        <f t="shared" ca="1" si="9"/>
        <v>-</v>
      </c>
      <c r="S19" s="1121">
        <f t="shared" ca="1" si="7"/>
        <v>9.9999999999999995E-7</v>
      </c>
      <c r="V19">
        <v>14</v>
      </c>
    </row>
    <row r="20" spans="1:22" ht="15.5" hidden="1" outlineLevel="1" x14ac:dyDescent="0.35">
      <c r="A20" s="322">
        <v>15</v>
      </c>
      <c r="B20" s="12" t="str">
        <f t="shared" si="3"/>
        <v>-</v>
      </c>
      <c r="C20" s="12" t="s">
        <v>248</v>
      </c>
      <c r="D20" s="1148">
        <f>INDEX('07. Chart_QUỐC GIA'!$AF$7:$AQ$28,MATCH('7.1. Chart Bubble_QUỐC GIA'!C20,'07. Chart_QUỐC GIA'!$AE$7:$AE$28,0),MATCH('7.1. Chart Bubble_QUỐC GIA'!$C$3,'07. Chart_QUỐC GIA'!$AF$6:$AQ$6,0))</f>
        <v>0</v>
      </c>
      <c r="E20" s="345">
        <f>ROUND(INDEX('07. Chart_QUỐC GIA'!$AF$56:$AQ$75,MATCH('7.1. Chart Bubble_QUỐC GIA'!C20,'07. Chart_QUỐC GIA'!$AE$56:$AE$75,0),MATCH('7.1. Chart Bubble_QUỐC GIA'!$C$3,'07. Chart_QUỐC GIA'!$AF$55:$AQ$55,0))/10^3,0)</f>
        <v>0</v>
      </c>
      <c r="F20" s="1149">
        <f>ROUND(INDEX('07. Chart_QUỐC GIA'!$AF$104:$AQ$123,MATCH('7.1. Chart Bubble_QUỐC GIA'!C20,'07. Chart_QUỐC GIA'!$AE$104:$AE$123,0),MATCH('7.1. Chart Bubble_QUỐC GIA'!$C$3,'07. Chart_QUỐC GIA'!$AF$103:$AQ$103,0))/10^3,0)</f>
        <v>0</v>
      </c>
      <c r="G20" s="1147">
        <f t="shared" si="4"/>
        <v>0</v>
      </c>
      <c r="H20" s="1045" t="str">
        <f t="shared" si="8"/>
        <v>-</v>
      </c>
      <c r="I20" s="1145">
        <f>G20+COUNT($G$6:G20)/10^6</f>
        <v>1.5E-5</v>
      </c>
      <c r="K20" s="322">
        <v>15</v>
      </c>
      <c r="L20" s="618" t="str">
        <f t="shared" ca="1" si="5"/>
        <v>15. Singapore</v>
      </c>
      <c r="M20" s="12" t="str">
        <f t="shared" si="1"/>
        <v>Singapore</v>
      </c>
      <c r="N20" s="1148">
        <f ca="1">_xlfn.XLOOKUP(M20,'07. Chart_QUỐC GIA'!$AE$7:$AE$28,'07. Chart_QUỐC GIA'!$AS$7:$AS$28,0)</f>
        <v>220</v>
      </c>
      <c r="O20" s="345">
        <f ca="1">ROUND(_xlfn.XLOOKUP(M20,'07. Chart_QUỐC GIA'!$AE$56:$AE$75,'07. Chart_QUỐC GIA'!$AS$56:$AS$75,0)/10^3,0)</f>
        <v>249</v>
      </c>
      <c r="P20" s="1149">
        <f ca="1">_xlfn.XLOOKUP(M20,'07. Chart_QUỐC GIA'!$AE$104:$AE$123,'07. Chart_QUỐC GIA'!$AS$104:$AS$123,0)/10^3</f>
        <v>17.234863464566907</v>
      </c>
      <c r="Q20" s="1147">
        <f t="shared" ca="1" si="6"/>
        <v>6.9216319134806858E-2</v>
      </c>
      <c r="R20" s="1045">
        <f t="shared" ca="1" si="9"/>
        <v>15</v>
      </c>
      <c r="S20" s="1121">
        <f t="shared" ca="1" si="7"/>
        <v>6.9217319134806859E-2</v>
      </c>
      <c r="V20">
        <v>15</v>
      </c>
    </row>
    <row r="21" spans="1:22" ht="15.5" hidden="1" outlineLevel="1" x14ac:dyDescent="0.35">
      <c r="A21" s="322">
        <v>16</v>
      </c>
      <c r="B21" s="12" t="str">
        <f t="shared" si="3"/>
        <v>-</v>
      </c>
      <c r="C21" s="31" t="s">
        <v>733</v>
      </c>
      <c r="D21" s="1148">
        <f>INDEX('07. Chart_QUỐC GIA'!$AF$7:$AQ$28,MATCH('7.1. Chart Bubble_QUỐC GIA'!C21,'07. Chart_QUỐC GIA'!$AE$7:$AE$28,0),MATCH('7.1. Chart Bubble_QUỐC GIA'!$C$3,'07. Chart_QUỐC GIA'!$AF$6:$AQ$6,0))</f>
        <v>0</v>
      </c>
      <c r="E21" s="345">
        <f>ROUND(INDEX('07. Chart_QUỐC GIA'!$AF$56:$AQ$75,MATCH('7.1. Chart Bubble_QUỐC GIA'!C21,'07. Chart_QUỐC GIA'!$AE$56:$AE$75,0),MATCH('7.1. Chart Bubble_QUỐC GIA'!$C$3,'07. Chart_QUỐC GIA'!$AF$55:$AQ$55,0))/10^3,0)</f>
        <v>0</v>
      </c>
      <c r="F21" s="1149">
        <f>ROUND(INDEX('07. Chart_QUỐC GIA'!$AF$104:$AQ$123,MATCH('7.1. Chart Bubble_QUỐC GIA'!C21,'07. Chart_QUỐC GIA'!$AE$104:$AE$123,0),MATCH('7.1. Chart Bubble_QUỐC GIA'!$C$3,'07. Chart_QUỐC GIA'!$AF$103:$AQ$103,0))/10^3,0)</f>
        <v>0</v>
      </c>
      <c r="G21" s="1147">
        <f t="shared" si="4"/>
        <v>0</v>
      </c>
      <c r="H21" s="1045" t="str">
        <f t="shared" si="8"/>
        <v>-</v>
      </c>
      <c r="I21" s="1145">
        <f>G21+COUNT($G$6:G21)/10^6</f>
        <v>1.5999999999999999E-5</v>
      </c>
      <c r="K21" s="322">
        <v>16</v>
      </c>
      <c r="L21" s="618" t="str">
        <f t="shared" ca="1" si="5"/>
        <v>4. Thụy Sĩ</v>
      </c>
      <c r="M21" s="12" t="str">
        <f t="shared" si="1"/>
        <v>Thụy Sĩ</v>
      </c>
      <c r="N21" s="1148">
        <f ca="1">_xlfn.XLOOKUP(M21,'07. Chart_QUỐC GIA'!$AE$7:$AE$28,'07. Chart_QUỐC GIA'!$AS$7:$AS$28,0)</f>
        <v>418</v>
      </c>
      <c r="O21" s="345">
        <f ca="1">ROUND(_xlfn.XLOOKUP(M21,'07. Chart_QUỐC GIA'!$AE$56:$AE$75,'07. Chart_QUỐC GIA'!$AS$56:$AS$75,0)/10^3,0)</f>
        <v>541</v>
      </c>
      <c r="P21" s="1149">
        <f ca="1">_xlfn.XLOOKUP(M21,'07. Chart_QUỐC GIA'!$AE$104:$AE$123,'07. Chart_QUỐC GIA'!$AS$104:$AS$123,0)/10^3</f>
        <v>103.20207323211874</v>
      </c>
      <c r="Q21" s="1147">
        <f t="shared" ca="1" si="6"/>
        <v>0.19076168804458177</v>
      </c>
      <c r="R21" s="1045">
        <f t="shared" ca="1" si="9"/>
        <v>4</v>
      </c>
      <c r="S21" s="1121">
        <f t="shared" ca="1" si="7"/>
        <v>0.19076268804458177</v>
      </c>
      <c r="V21">
        <v>16</v>
      </c>
    </row>
    <row r="22" spans="1:22" ht="15.5" hidden="1" outlineLevel="1" x14ac:dyDescent="0.35">
      <c r="A22" s="322">
        <v>17</v>
      </c>
      <c r="B22" s="12" t="str">
        <f t="shared" si="3"/>
        <v>-</v>
      </c>
      <c r="C22" s="12" t="s">
        <v>667</v>
      </c>
      <c r="D22" s="1148">
        <f>INDEX('07. Chart_QUỐC GIA'!$AF$7:$AQ$28,MATCH('7.1. Chart Bubble_QUỐC GIA'!C22,'07. Chart_QUỐC GIA'!$AE$7:$AE$28,0),MATCH('7.1. Chart Bubble_QUỐC GIA'!$C$3,'07. Chart_QUỐC GIA'!$AF$6:$AQ$6,0))</f>
        <v>0</v>
      </c>
      <c r="E22" s="345">
        <f>ROUND(INDEX('07. Chart_QUỐC GIA'!$AF$56:$AQ$75,MATCH('7.1. Chart Bubble_QUỐC GIA'!C22,'07. Chart_QUỐC GIA'!$AE$56:$AE$75,0),MATCH('7.1. Chart Bubble_QUỐC GIA'!$C$3,'07. Chart_QUỐC GIA'!$AF$55:$AQ$55,0))/10^3,0)</f>
        <v>0</v>
      </c>
      <c r="F22" s="1149">
        <f>ROUND(INDEX('07. Chart_QUỐC GIA'!$AF$104:$AQ$123,MATCH('7.1. Chart Bubble_QUỐC GIA'!C22,'07. Chart_QUỐC GIA'!$AE$104:$AE$123,0),MATCH('7.1. Chart Bubble_QUỐC GIA'!$C$3,'07. Chart_QUỐC GIA'!$AF$103:$AQ$103,0))/10^3,0)</f>
        <v>0</v>
      </c>
      <c r="G22" s="1147">
        <f t="shared" ref="G22:G24" si="10">IFERROR(F22/E22,0)</f>
        <v>0</v>
      </c>
      <c r="H22" s="1045" t="str">
        <f t="shared" si="8"/>
        <v>-</v>
      </c>
      <c r="I22" s="1145">
        <f>G22+COUNT($G$6:G22)/10^6</f>
        <v>1.7E-5</v>
      </c>
      <c r="K22" s="322">
        <v>17</v>
      </c>
      <c r="L22" s="618" t="str">
        <f t="shared" ca="1" si="5"/>
        <v>10. Canada</v>
      </c>
      <c r="M22" s="12" t="str">
        <f t="shared" si="1"/>
        <v>Canada</v>
      </c>
      <c r="N22" s="1148">
        <f ca="1">_xlfn.XLOOKUP(M22,'07. Chart_QUỐC GIA'!$AE$7:$AE$28,'07. Chart_QUỐC GIA'!$AS$7:$AS$28,0)</f>
        <v>23</v>
      </c>
      <c r="O22" s="345">
        <f ca="1">ROUND(_xlfn.XLOOKUP(M22,'07. Chart_QUỐC GIA'!$AE$56:$AE$75,'07. Chart_QUỐC GIA'!$AS$56:$AS$75,0)/10^3,0)</f>
        <v>27</v>
      </c>
      <c r="P22" s="1150">
        <f ca="1">_xlfn.XLOOKUP(M22,'07. Chart_QUỐC GIA'!$AE$104:$AE$123,'07. Chart_QUỐC GIA'!$AS$104:$AS$123,0)/10^3</f>
        <v>3.4385262848590812</v>
      </c>
      <c r="Q22" s="1147">
        <f t="shared" ref="Q22:Q24" ca="1" si="11">IFERROR(P22/O22,0)</f>
        <v>0.12735282536515116</v>
      </c>
      <c r="R22" s="1045">
        <f t="shared" ca="1" si="9"/>
        <v>10</v>
      </c>
      <c r="S22" s="1121">
        <f t="shared" ca="1" si="7"/>
        <v>0.12735382536515116</v>
      </c>
      <c r="V22">
        <v>20</v>
      </c>
    </row>
    <row r="23" spans="1:22" ht="15.5" hidden="1" outlineLevel="1" x14ac:dyDescent="0.35">
      <c r="A23" s="322">
        <v>18</v>
      </c>
      <c r="B23" s="12" t="str">
        <f t="shared" si="3"/>
        <v>2. Luxembourg</v>
      </c>
      <c r="C23" s="31" t="s">
        <v>671</v>
      </c>
      <c r="D23" s="1148">
        <f>INDEX('07. Chart_QUỐC GIA'!$AF$7:$AQ$28,MATCH('7.1. Chart Bubble_QUỐC GIA'!C23,'07. Chart_QUỐC GIA'!$AE$7:$AE$28,0),MATCH('7.1. Chart Bubble_QUỐC GIA'!$C$3,'07. Chart_QUỐC GIA'!$AF$6:$AQ$6,0))</f>
        <v>99</v>
      </c>
      <c r="E23" s="345">
        <f>ROUND(INDEX('07. Chart_QUỐC GIA'!$AF$56:$AQ$75,MATCH('7.1. Chart Bubble_QUỐC GIA'!C23,'07. Chart_QUỐC GIA'!$AE$56:$AE$75,0),MATCH('7.1. Chart Bubble_QUỐC GIA'!$C$3,'07. Chart_QUỐC GIA'!$AF$55:$AQ$55,0))/10^3,0)</f>
        <v>145</v>
      </c>
      <c r="F23" s="1149">
        <f>ROUND(INDEX('07. Chart_QUỐC GIA'!$AF$104:$AQ$123,MATCH('7.1. Chart Bubble_QUỐC GIA'!C23,'07. Chart_QUỐC GIA'!$AE$104:$AE$123,0),MATCH('7.1. Chart Bubble_QUỐC GIA'!$C$3,'07. Chart_QUỐC GIA'!$AF$103:$AQ$103,0))/10^3,0)</f>
        <v>26</v>
      </c>
      <c r="G23" s="1147">
        <f t="shared" si="10"/>
        <v>0.1793103448275862</v>
      </c>
      <c r="H23" s="1045">
        <f t="shared" si="8"/>
        <v>2</v>
      </c>
      <c r="I23" s="1145">
        <f>G23+COUNT($G$6:G23)/10^6</f>
        <v>0.17932834482758619</v>
      </c>
      <c r="K23" s="322">
        <v>18</v>
      </c>
      <c r="L23" s="618" t="str">
        <f t="shared" ca="1" si="5"/>
        <v>3. Luxembourg</v>
      </c>
      <c r="M23" s="12" t="str">
        <f t="shared" si="1"/>
        <v>Luxembourg</v>
      </c>
      <c r="N23" s="1148">
        <f ca="1">_xlfn.XLOOKUP(M23,'07. Chart_QUỐC GIA'!$AE$7:$AE$28,'07. Chart_QUỐC GIA'!$AS$7:$AS$28,0)</f>
        <v>1188</v>
      </c>
      <c r="O23" s="345">
        <f ca="1">ROUND(_xlfn.XLOOKUP(M23,'07. Chart_QUỐC GIA'!$AE$56:$AE$75,'07. Chart_QUỐC GIA'!$AS$56:$AS$75,0)/10^3,0)</f>
        <v>1660</v>
      </c>
      <c r="P23" s="1149">
        <f ca="1">_xlfn.XLOOKUP(M23,'07. Chart_QUỐC GIA'!$AE$104:$AE$123,'07. Chart_QUỐC GIA'!$AS$104:$AS$123,0)/10^3</f>
        <v>333.95791999621474</v>
      </c>
      <c r="Q23" s="1147">
        <f t="shared" ca="1" si="11"/>
        <v>0.20117946987723781</v>
      </c>
      <c r="R23" s="1045">
        <f t="shared" ca="1" si="9"/>
        <v>3</v>
      </c>
      <c r="S23" s="1121">
        <f t="shared" ca="1" si="7"/>
        <v>0.20118046987723781</v>
      </c>
      <c r="V23" t="s">
        <v>489</v>
      </c>
    </row>
    <row r="24" spans="1:22" ht="15.5" hidden="1" outlineLevel="1" x14ac:dyDescent="0.35">
      <c r="A24" s="322">
        <v>19</v>
      </c>
      <c r="B24" s="12" t="str">
        <f t="shared" si="3"/>
        <v>-</v>
      </c>
      <c r="C24" s="31" t="s">
        <v>734</v>
      </c>
      <c r="D24" s="1148">
        <f>INDEX('07. Chart_QUỐC GIA'!$AF$7:$AQ$28,MATCH('7.1. Chart Bubble_QUỐC GIA'!C24,'07. Chart_QUỐC GIA'!$AE$7:$AE$28,0),MATCH('7.1. Chart Bubble_QUỐC GIA'!$C$3,'07. Chart_QUỐC GIA'!$AF$6:$AQ$6,0))</f>
        <v>0</v>
      </c>
      <c r="E24" s="345">
        <f>ROUND(INDEX('07. Chart_QUỐC GIA'!$AF$56:$AQ$75,MATCH('7.1. Chart Bubble_QUỐC GIA'!C24,'07. Chart_QUỐC GIA'!$AE$56:$AE$75,0),MATCH('7.1. Chart Bubble_QUỐC GIA'!$C$3,'07. Chart_QUỐC GIA'!$AF$55:$AQ$55,0))/10^3,0)</f>
        <v>0</v>
      </c>
      <c r="F24" s="1149">
        <f>ROUND(INDEX('07. Chart_QUỐC GIA'!$AF$104:$AQ$123,MATCH('7.1. Chart Bubble_QUỐC GIA'!C24,'07. Chart_QUỐC GIA'!$AE$104:$AE$123,0),MATCH('7.1. Chart Bubble_QUỐC GIA'!$C$3,'07. Chart_QUỐC GIA'!$AF$103:$AQ$103,0))/10^3,0)</f>
        <v>0</v>
      </c>
      <c r="G24" s="1147">
        <f t="shared" si="10"/>
        <v>0</v>
      </c>
      <c r="H24" s="1045" t="str">
        <f t="shared" si="8"/>
        <v>-</v>
      </c>
      <c r="I24" s="1145">
        <f>G24+COUNT($G$6:G24)/10^6</f>
        <v>1.9000000000000001E-5</v>
      </c>
      <c r="K24" s="322">
        <v>19</v>
      </c>
      <c r="L24" s="618" t="str">
        <f t="shared" ca="1" si="5"/>
        <v>14. Pháp</v>
      </c>
      <c r="M24" s="12" t="str">
        <f t="shared" si="1"/>
        <v>Pháp</v>
      </c>
      <c r="N24" s="1148">
        <f ca="1">_xlfn.XLOOKUP(M24,'07. Chart_QUỐC GIA'!$AE$7:$AE$28,'07. Chart_QUỐC GIA'!$AS$7:$AS$28,0)</f>
        <v>66</v>
      </c>
      <c r="O24" s="345">
        <f ca="1">ROUND(_xlfn.XLOOKUP(M24,'07. Chart_QUỐC GIA'!$AE$56:$AE$75,'07. Chart_QUỐC GIA'!$AS$56:$AS$75,0)/10^3,0)</f>
        <v>75</v>
      </c>
      <c r="P24" s="1149">
        <f ca="1">_xlfn.XLOOKUP(M24,'07. Chart_QUỐC GIA'!$AE$104:$AE$123,'07. Chart_QUỐC GIA'!$AS$104:$AS$123,0)/10^3</f>
        <v>7.7829660104066933</v>
      </c>
      <c r="Q24" s="1147">
        <f t="shared" ca="1" si="11"/>
        <v>0.10377288013875591</v>
      </c>
      <c r="R24" s="1045">
        <f t="shared" ca="1" si="9"/>
        <v>14</v>
      </c>
      <c r="S24" s="1121">
        <f t="shared" ca="1" si="7"/>
        <v>0.10377388013875591</v>
      </c>
      <c r="V24" t="s">
        <v>489</v>
      </c>
    </row>
    <row r="25" spans="1:22" ht="15.5" hidden="1" outlineLevel="1" x14ac:dyDescent="0.35">
      <c r="A25" s="322">
        <v>20</v>
      </c>
      <c r="B25" s="12" t="e">
        <f t="shared" si="3"/>
        <v>#N/A</v>
      </c>
      <c r="C25" s="1038" t="s">
        <v>923</v>
      </c>
      <c r="D25" s="1148">
        <f>INDEX('07. Chart_QUỐC GIA'!$AF$7:$AQ$28,MATCH('7.1. Chart Bubble_QUỐC GIA'!C25,'07. Chart_QUỐC GIA'!$AE$7:$AE$28,0),MATCH('7.1. Chart Bubble_QUỐC GIA'!$C$3,'07. Chart_QUỐC GIA'!$AF$6:$AQ$6,0))</f>
        <v>0</v>
      </c>
      <c r="E25" s="345" t="e">
        <f>ROUND(INDEX('07. Chart_QUỐC GIA'!$AF$56:$AQ$75,MATCH('7.1. Chart Bubble_QUỐC GIA'!C25,'07. Chart_QUỐC GIA'!$AE$56:$AE$75,0),MATCH('7.1. Chart Bubble_QUỐC GIA'!$C$3,'07. Chart_QUỐC GIA'!$AF$55:$AQ$55,0))/10^3,0)</f>
        <v>#N/A</v>
      </c>
      <c r="F25" s="1149" t="e">
        <f>ROUND(INDEX('07. Chart_QUỐC GIA'!$AF$104:$AQ$123,MATCH('7.1. Chart Bubble_QUỐC GIA'!C25,'07. Chart_QUỐC GIA'!$AE$104:$AE$123,0),MATCH('7.1. Chart Bubble_QUỐC GIA'!$C$3,'07. Chart_QUỐC GIA'!$AF$103:$AQ$103,0))/10^3,0)</f>
        <v>#N/A</v>
      </c>
      <c r="G25" s="1147">
        <f t="shared" ref="G25:G26" si="12">IFERROR(F25/E25,0)</f>
        <v>0</v>
      </c>
      <c r="H25" s="1045" t="e">
        <f t="shared" ref="H25:H26" si="13">IF(E25&lt;&gt;0,RANK(I25,$I$6:$I$27),"-")</f>
        <v>#N/A</v>
      </c>
      <c r="I25" s="1145">
        <f>G25+COUNT($G$6:G25)/10^6</f>
        <v>2.0000000000000002E-5</v>
      </c>
      <c r="K25" s="322">
        <v>20</v>
      </c>
      <c r="L25" s="618" t="str">
        <f t="shared" ref="L25:L26" si="14">IF(O25&lt;&gt;0,R25&amp;". "&amp;M25,"-")</f>
        <v>-</v>
      </c>
      <c r="M25" s="12" t="str">
        <f t="shared" ref="M25:M26" si="15">C25</f>
        <v>Colombia</v>
      </c>
      <c r="N25" s="1244"/>
      <c r="O25" s="345">
        <f>ROUND(_xlfn.XLOOKUP(M25,'07. Chart_QUỐC GIA'!$AE$56:$AE$75,'07. Chart_QUỐC GIA'!$AS$56:$AS$75,0)/10^3,0)</f>
        <v>0</v>
      </c>
      <c r="P25" s="1149">
        <f>_xlfn.XLOOKUP(M25,'07. Chart_QUỐC GIA'!$AE$104:$AE$123,'07. Chart_QUỐC GIA'!$AS$104:$AS$123,0)/10^3</f>
        <v>0</v>
      </c>
      <c r="Q25" s="1147">
        <f t="shared" ref="Q25:Q26" si="16">IFERROR(P25/O25,0)</f>
        <v>0</v>
      </c>
      <c r="R25" s="1045" t="str">
        <f t="shared" ref="R25:R26" si="17">IF(O25&lt;&gt;0,RANK(S25,$S$6:$S$27),"-")</f>
        <v>-</v>
      </c>
      <c r="S25" s="193">
        <f t="shared" ref="S25:S26" si="18">Q25+COUNT(P25:P25)/10^6</f>
        <v>9.9999999999999995E-7</v>
      </c>
    </row>
    <row r="26" spans="1:22" ht="15.5" hidden="1" outlineLevel="1" x14ac:dyDescent="0.35">
      <c r="A26" s="322">
        <v>21</v>
      </c>
      <c r="B26" s="12" t="e">
        <f t="shared" si="3"/>
        <v>#N/A</v>
      </c>
      <c r="C26" s="1038" t="s">
        <v>924</v>
      </c>
      <c r="D26" s="1148">
        <f>INDEX('07. Chart_QUỐC GIA'!$AF$7:$AQ$28,MATCH('7.1. Chart Bubble_QUỐC GIA'!C26,'07. Chart_QUỐC GIA'!$AE$7:$AE$28,0),MATCH('7.1. Chart Bubble_QUỐC GIA'!$C$3,'07. Chart_QUỐC GIA'!$AF$6:$AQ$6,0))</f>
        <v>0</v>
      </c>
      <c r="E26" s="345" t="e">
        <f>ROUND(INDEX('07. Chart_QUỐC GIA'!$AF$56:$AQ$75,MATCH('7.1. Chart Bubble_QUỐC GIA'!C26,'07. Chart_QUỐC GIA'!$AE$56:$AE$75,0),MATCH('7.1. Chart Bubble_QUỐC GIA'!$C$3,'07. Chart_QUỐC GIA'!$AF$55:$AQ$55,0))/10^3,0)</f>
        <v>#N/A</v>
      </c>
      <c r="F26" s="1149" t="e">
        <f>ROUND(INDEX('07. Chart_QUỐC GIA'!$AF$104:$AQ$123,MATCH('7.1. Chart Bubble_QUỐC GIA'!C26,'07. Chart_QUỐC GIA'!$AE$104:$AE$123,0),MATCH('7.1. Chart Bubble_QUỐC GIA'!$C$3,'07. Chart_QUỐC GIA'!$AF$103:$AQ$103,0))/10^3,0)</f>
        <v>#N/A</v>
      </c>
      <c r="G26" s="1147">
        <f t="shared" si="12"/>
        <v>0</v>
      </c>
      <c r="H26" s="1045" t="e">
        <f t="shared" si="13"/>
        <v>#N/A</v>
      </c>
      <c r="I26" s="1145">
        <f>G26+COUNT($G$6:G26)/10^6</f>
        <v>2.0999999999999999E-5</v>
      </c>
      <c r="K26" s="322">
        <v>21</v>
      </c>
      <c r="L26" s="618" t="str">
        <f t="shared" si="14"/>
        <v>-</v>
      </c>
      <c r="M26" s="12" t="str">
        <f t="shared" si="15"/>
        <v>Anh</v>
      </c>
      <c r="N26" s="1244"/>
      <c r="O26" s="345">
        <f>ROUND(_xlfn.XLOOKUP(M26,'07. Chart_QUỐC GIA'!$AE$56:$AE$75,'07. Chart_QUỐC GIA'!$AS$56:$AS$75,0)/10^3,0)</f>
        <v>0</v>
      </c>
      <c r="P26" s="1149">
        <f>_xlfn.XLOOKUP(M26,'07. Chart_QUỐC GIA'!$AE$104:$AE$123,'07. Chart_QUỐC GIA'!$AS$104:$AS$123,0)/10^3</f>
        <v>0</v>
      </c>
      <c r="Q26" s="1147">
        <f t="shared" si="16"/>
        <v>0</v>
      </c>
      <c r="R26" s="1045" t="str">
        <f t="shared" si="17"/>
        <v>-</v>
      </c>
      <c r="S26" s="193">
        <f t="shared" si="18"/>
        <v>9.9999999999999995E-7</v>
      </c>
    </row>
    <row r="27" spans="1:22" ht="15.5" hidden="1" outlineLevel="1" x14ac:dyDescent="0.35">
      <c r="A27" s="352"/>
      <c r="B27" s="12" t="str">
        <f t="shared" si="3"/>
        <v>-</v>
      </c>
      <c r="C27" s="619"/>
      <c r="D27" s="311"/>
      <c r="E27" s="311"/>
      <c r="F27" s="1149" t="e">
        <f>ROUND(INDEX('07. Chart_QUỐC GIA'!$AF$104:$AQ$123,MATCH('7.1. Chart Bubble_QUỐC GIA'!C27,'07. Chart_QUỐC GIA'!$AE$104:$AE$123,0),MATCH('7.1. Chart Bubble_QUỐC GIA'!$C$3,'07. Chart_QUỐC GIA'!$AF$103:$AQ$103,0))/10^3,0)</f>
        <v>#N/A</v>
      </c>
      <c r="G27" s="780"/>
      <c r="H27" s="1046" t="str">
        <f t="shared" ref="H27" si="19">IF(E27&lt;&gt;0,RANK(G27,$G$6:$G$27),"-")</f>
        <v>-</v>
      </c>
      <c r="I27" s="1146"/>
      <c r="K27" s="352"/>
      <c r="L27" s="940" t="str">
        <f>IF(O27&lt;&gt;0,#REF!&amp;". "&amp;M27,"-")</f>
        <v>-</v>
      </c>
      <c r="M27" s="619"/>
      <c r="N27" s="1148"/>
      <c r="O27" s="345"/>
      <c r="P27" s="1149">
        <f ca="1">_xlfn.XLOOKUP(M27,'07. Chart_QUỐC GIA'!$AE$104:$AE$123,'07. Chart_QUỐC GIA'!$AS$104:$AS$123,0)/10^3</f>
        <v>0</v>
      </c>
      <c r="Q27" s="1147"/>
      <c r="R27" s="1045" t="str">
        <f>IF(O27&lt;&gt;0,RANK(S27,$S$6:$S$27),"-")</f>
        <v>-</v>
      </c>
      <c r="S27" s="1121">
        <f ca="1">Q27+COUNT(P27:P27)/10^6</f>
        <v>9.9999999999999995E-7</v>
      </c>
    </row>
    <row r="28" spans="1:22" collapsed="1" x14ac:dyDescent="0.35"/>
    <row r="29" spans="1:22" ht="20" x14ac:dyDescent="0.35">
      <c r="B29" s="783" t="str">
        <f>"SẢN LƯỢNG_ LỢI NHUẬN GỘP THEO QUỐC GIA T"&amp;C3&amp;".2025"</f>
        <v>SẢN LƯỢNG_ LỢI NHUẬN GỘP THEO QUỐC GIA T8.2025</v>
      </c>
      <c r="M29" s="783" t="str">
        <f>"LŨY KẾ SẢN LƯỢNG_ LỢI NHUẬN GỘP THEO QUỐC GIA T"&amp;C3&amp;".2025"</f>
        <v>LŨY KẾ SẢN LƯỢNG_ LỢI NHUẬN GỘP THEO QUỐC GIA T8.2025</v>
      </c>
    </row>
    <row r="57" hidden="1" x14ac:dyDescent="0.35"/>
    <row r="58" hidden="1" x14ac:dyDescent="0.35"/>
    <row r="59" hidden="1" x14ac:dyDescent="0.35"/>
    <row r="60" hidden="1" x14ac:dyDescent="0.35"/>
    <row r="61" hidden="1" x14ac:dyDescent="0.35"/>
    <row r="62" hidden="1" x14ac:dyDescent="0.35"/>
    <row r="63" hidden="1" x14ac:dyDescent="0.35"/>
    <row r="64" hidden="1" x14ac:dyDescent="0.35"/>
    <row r="65" hidden="1" x14ac:dyDescent="0.35"/>
    <row r="66" hidden="1" x14ac:dyDescent="0.35"/>
    <row r="67" hidden="1" x14ac:dyDescent="0.35"/>
    <row r="68" hidden="1" x14ac:dyDescent="0.35"/>
    <row r="69" hidden="1" x14ac:dyDescent="0.35"/>
    <row r="70" hidden="1" x14ac:dyDescent="0.35"/>
    <row r="71" hidden="1" x14ac:dyDescent="0.35"/>
    <row r="72" hidden="1" x14ac:dyDescent="0.35"/>
    <row r="73" hidden="1" x14ac:dyDescent="0.35"/>
    <row r="74" hidden="1" x14ac:dyDescent="0.35"/>
    <row r="75" hidden="1" x14ac:dyDescent="0.35"/>
    <row r="76" hidden="1" x14ac:dyDescent="0.35"/>
    <row r="77" hidden="1" x14ac:dyDescent="0.35"/>
    <row r="78" hidden="1" x14ac:dyDescent="0.35"/>
    <row r="79" hidden="1" x14ac:dyDescent="0.35"/>
    <row r="80" hidden="1" x14ac:dyDescent="0.35"/>
    <row r="81" spans="1:10" hidden="1" x14ac:dyDescent="0.35"/>
    <row r="83" spans="1:10" ht="21" x14ac:dyDescent="0.5">
      <c r="B83" s="1049" t="s">
        <v>864</v>
      </c>
    </row>
    <row r="84" spans="1:10" ht="18.5" x14ac:dyDescent="0.45">
      <c r="B84" s="735" t="s">
        <v>788</v>
      </c>
    </row>
    <row r="86" spans="1:10" ht="29" x14ac:dyDescent="0.35">
      <c r="A86" s="856" t="s">
        <v>174</v>
      </c>
      <c r="B86" s="856" t="s">
        <v>172</v>
      </c>
      <c r="C86" s="856" t="s">
        <v>789</v>
      </c>
      <c r="D86" s="856" t="s">
        <v>790</v>
      </c>
      <c r="E86" s="856" t="s">
        <v>757</v>
      </c>
      <c r="F86" s="856" t="s">
        <v>764</v>
      </c>
      <c r="G86" s="856" t="s">
        <v>756</v>
      </c>
      <c r="H86" s="856" t="s">
        <v>684</v>
      </c>
      <c r="I86" s="856"/>
    </row>
    <row r="87" spans="1:10" ht="15.5" x14ac:dyDescent="0.35">
      <c r="A87" s="1122">
        <v>1</v>
      </c>
      <c r="B87" s="1125" t="str">
        <f t="shared" ref="B87:B105" si="20">C6</f>
        <v>VN</v>
      </c>
      <c r="C87" s="868">
        <f t="shared" ref="C87:C98" si="21">D87/$D$107</f>
        <v>0.35262977692327951</v>
      </c>
      <c r="D87" s="867">
        <f>_xlfn.XLOOKUP(B87,'07. Chart_QUỐC GIA'!$AE$7:$AE$28,'07. Chart_QUỐC GIA'!$AR$7:$AR$28,0)</f>
        <v>13389</v>
      </c>
      <c r="E87" s="867">
        <f t="shared" ref="E87:E105" ca="1" si="22">_xlfn.XLOOKUP(B87,$M$6:$M$27,$O$6:$O$27,0)</f>
        <v>13971</v>
      </c>
      <c r="F87" s="867">
        <f>_xlfn.XLOOKUP(B87,'07. Chart_QUỐC GIA'!$AE$104:$AE$123,'07. Chart_QUỐC GIA'!$AR$104:$AR$123,0)/10^3</f>
        <v>1710.2296060310778</v>
      </c>
      <c r="G87" s="868">
        <f ca="1">IFERROR(F87/E87,0)</f>
        <v>0.12241282700100764</v>
      </c>
      <c r="H87" s="1044">
        <f ca="1">IF(E87&lt;&gt;0,RANK(I87,$I$87:$I$106),"-")</f>
        <v>12</v>
      </c>
      <c r="I87" s="1151">
        <f ca="1">G87+COUNT($G$87:G87)/10^6</f>
        <v>0.12241382700100764</v>
      </c>
      <c r="J87" s="1050"/>
    </row>
    <row r="88" spans="1:10" ht="15.5" x14ac:dyDescent="0.35">
      <c r="A88" s="792">
        <v>2</v>
      </c>
      <c r="B88" s="1152" t="str">
        <f t="shared" si="20"/>
        <v>Mỹ</v>
      </c>
      <c r="C88" s="870">
        <f t="shared" si="21"/>
        <v>0.3900287076299086</v>
      </c>
      <c r="D88" s="378">
        <f>_xlfn.XLOOKUP(B88,'07. Chart_QUỐC GIA'!$AE$7:$AE$28,'07. Chart_QUỐC GIA'!$AR$7:$AR$28,0)</f>
        <v>14809</v>
      </c>
      <c r="E88" s="378">
        <f t="shared" ca="1" si="22"/>
        <v>17515</v>
      </c>
      <c r="F88" s="378">
        <f>_xlfn.XLOOKUP(B88,'07. Chart_QUỐC GIA'!$AE$104:$AE$123,'07. Chart_QUỐC GIA'!$AR$104:$AR$123,0)/10^3</f>
        <v>2470.8359381892442</v>
      </c>
      <c r="G88" s="870">
        <f t="shared" ref="G88:G98" ca="1" si="23">IFERROR(F88/E88,0)</f>
        <v>0.14106970814668823</v>
      </c>
      <c r="H88" s="1045">
        <f t="shared" ref="H88:H106" ca="1" si="24">IF(E88&lt;&gt;0,RANK(I88,$I$87:$I$106),"-")</f>
        <v>8</v>
      </c>
      <c r="I88" s="1153">
        <f ca="1">G88+COUNT($G$87:G88)/10^6</f>
        <v>0.14107170814668823</v>
      </c>
      <c r="J88" s="1050"/>
    </row>
    <row r="89" spans="1:10" ht="15.5" x14ac:dyDescent="0.35">
      <c r="A89" s="792">
        <v>3</v>
      </c>
      <c r="B89" s="1152" t="str">
        <f t="shared" si="20"/>
        <v>Australia</v>
      </c>
      <c r="C89" s="870">
        <f t="shared" si="21"/>
        <v>4.0559403724090707E-3</v>
      </c>
      <c r="D89" s="378">
        <f>_xlfn.XLOOKUP(B89,'07. Chart_QUỐC GIA'!$AE$7:$AE$28,'07. Chart_QUỐC GIA'!$AR$7:$AR$28,0)</f>
        <v>154</v>
      </c>
      <c r="E89" s="378">
        <f t="shared" ca="1" si="22"/>
        <v>115</v>
      </c>
      <c r="F89" s="378">
        <f>_xlfn.XLOOKUP(B89,'07. Chart_QUỐC GIA'!$AE$104:$AE$123,'07. Chart_QUỐC GIA'!$AR$104:$AR$123,0)/10^3</f>
        <v>28.952354587726532</v>
      </c>
      <c r="G89" s="870">
        <f t="shared" ca="1" si="23"/>
        <v>0.25175960511066547</v>
      </c>
      <c r="H89" s="1045">
        <f t="shared" ca="1" si="24"/>
        <v>1</v>
      </c>
      <c r="I89" s="1153">
        <f ca="1">G89+COUNT($G$87:G89)/10^6</f>
        <v>0.25176260511066545</v>
      </c>
      <c r="J89" s="1050"/>
    </row>
    <row r="90" spans="1:10" ht="15.5" x14ac:dyDescent="0.35">
      <c r="A90" s="792">
        <v>4</v>
      </c>
      <c r="B90" s="1152" t="str">
        <f t="shared" si="20"/>
        <v>Bồ Đào Nha</v>
      </c>
      <c r="C90" s="870">
        <f t="shared" si="21"/>
        <v>0.16289604677500066</v>
      </c>
      <c r="D90" s="378">
        <f>_xlfn.XLOOKUP(B90,'07. Chart_QUỐC GIA'!$AE$7:$AE$28,'07. Chart_QUỐC GIA'!$AR$7:$AR$28,0)</f>
        <v>6185</v>
      </c>
      <c r="E90" s="378">
        <f t="shared" ca="1" si="22"/>
        <v>7713</v>
      </c>
      <c r="F90" s="378">
        <f>_xlfn.XLOOKUP(B90,'07. Chart_QUỐC GIA'!$AE$104:$AE$123,'07. Chart_QUỐC GIA'!$AR$104:$AR$123,0)/10^3</f>
        <v>1402.4312992264549</v>
      </c>
      <c r="G90" s="870">
        <f t="shared" ca="1" si="23"/>
        <v>0.18182695439212432</v>
      </c>
      <c r="H90" s="1045">
        <f t="shared" ca="1" si="24"/>
        <v>7</v>
      </c>
      <c r="I90" s="1153">
        <f ca="1">G90+COUNT($G$87:G90)/10^6</f>
        <v>0.18183095439212432</v>
      </c>
      <c r="J90" s="1050"/>
    </row>
    <row r="91" spans="1:10" ht="15.5" x14ac:dyDescent="0.35">
      <c r="A91" s="792">
        <v>5</v>
      </c>
      <c r="B91" s="1152" t="str">
        <f t="shared" si="20"/>
        <v>Bulgaria</v>
      </c>
      <c r="C91" s="870">
        <f t="shared" si="21"/>
        <v>2.8971002660064791E-3</v>
      </c>
      <c r="D91" s="378">
        <f>_xlfn.XLOOKUP(B91,'07. Chart_QUỐC GIA'!$AE$7:$AE$28,'07. Chart_QUỐC GIA'!$AR$7:$AR$28,0)</f>
        <v>110</v>
      </c>
      <c r="E91" s="378">
        <f t="shared" ca="1" si="22"/>
        <v>127</v>
      </c>
      <c r="F91" s="378">
        <f>_xlfn.XLOOKUP(B91,'07. Chart_QUỐC GIA'!$AE$104:$AE$123,'07. Chart_QUỐC GIA'!$AR$104:$AR$123,0)/10^3</f>
        <v>14.509887220207187</v>
      </c>
      <c r="G91" s="870">
        <f t="shared" ca="1" si="23"/>
        <v>0.11425108047407234</v>
      </c>
      <c r="H91" s="1045">
        <f t="shared" ca="1" si="24"/>
        <v>13</v>
      </c>
      <c r="I91" s="1153">
        <f ca="1">G91+COUNT($G$87:G91)/10^6</f>
        <v>0.11425608047407235</v>
      </c>
      <c r="J91" s="1050"/>
    </row>
    <row r="92" spans="1:10" ht="15.5" x14ac:dyDescent="0.35">
      <c r="A92" s="792">
        <v>6</v>
      </c>
      <c r="B92" s="1152" t="str">
        <f t="shared" si="20"/>
        <v>Hàn Quốc</v>
      </c>
      <c r="C92" s="870">
        <f t="shared" si="21"/>
        <v>8.6122889725828971E-3</v>
      </c>
      <c r="D92" s="378">
        <f>_xlfn.XLOOKUP(B92,'07. Chart_QUỐC GIA'!$AE$7:$AE$28,'07. Chart_QUỐC GIA'!$AR$7:$AR$28,0)</f>
        <v>327</v>
      </c>
      <c r="E92" s="378">
        <f t="shared" ca="1" si="22"/>
        <v>406</v>
      </c>
      <c r="F92" s="378">
        <f>_xlfn.XLOOKUP(B92,'07. Chart_QUỐC GIA'!$AE$104:$AE$123,'07. Chart_QUỐC GIA'!$AR$104:$AR$123,0)/10^3</f>
        <v>49.982992535633272</v>
      </c>
      <c r="G92" s="870">
        <f t="shared" ca="1" si="23"/>
        <v>0.12311081905328392</v>
      </c>
      <c r="H92" s="1045">
        <f t="shared" ca="1" si="24"/>
        <v>11</v>
      </c>
      <c r="I92" s="1153">
        <f ca="1">G92+COUNT($G$87:G92)/10^6</f>
        <v>0.12311681905328392</v>
      </c>
      <c r="J92" s="1050"/>
    </row>
    <row r="93" spans="1:10" ht="15.5" x14ac:dyDescent="0.35">
      <c r="A93" s="792">
        <v>7</v>
      </c>
      <c r="B93" s="1152" t="str">
        <f t="shared" si="20"/>
        <v>Hong Kong</v>
      </c>
      <c r="C93" s="870">
        <f t="shared" si="21"/>
        <v>1.1588401064025916E-2</v>
      </c>
      <c r="D93" s="378">
        <f>_xlfn.XLOOKUP(B93,'07. Chart_QUỐC GIA'!$AE$7:$AE$28,'07. Chart_QUỐC GIA'!$AR$7:$AR$28,0)</f>
        <v>440</v>
      </c>
      <c r="E93" s="378">
        <f t="shared" ca="1" si="22"/>
        <v>457</v>
      </c>
      <c r="F93" s="378">
        <f>_xlfn.XLOOKUP(B93,'07. Chart_QUỐC GIA'!$AE$104:$AE$123,'07. Chart_QUỐC GIA'!$AR$104:$AR$123,0)/10^3</f>
        <v>22.772225729370025</v>
      </c>
      <c r="G93" s="870">
        <f t="shared" ca="1" si="23"/>
        <v>4.9829815600372043E-2</v>
      </c>
      <c r="H93" s="1045">
        <f t="shared" ca="1" si="24"/>
        <v>16</v>
      </c>
      <c r="I93" s="1153">
        <f ca="1">G93+COUNT($G$87:G93)/10^6</f>
        <v>4.9836815600372043E-2</v>
      </c>
      <c r="J93" s="1050"/>
    </row>
    <row r="94" spans="1:10" ht="15.5" x14ac:dyDescent="0.35">
      <c r="A94" s="792">
        <v>8</v>
      </c>
      <c r="B94" s="1152" t="str">
        <f t="shared" si="20"/>
        <v>Hy Lạp</v>
      </c>
      <c r="C94" s="870">
        <f t="shared" si="21"/>
        <v>2.8971002660064791E-3</v>
      </c>
      <c r="D94" s="378">
        <f>_xlfn.XLOOKUP(B94,'07. Chart_QUỐC GIA'!$AE$7:$AE$28,'07. Chart_QUỐC GIA'!$AR$7:$AR$28,0)</f>
        <v>110</v>
      </c>
      <c r="E94" s="378">
        <f t="shared" ca="1" si="22"/>
        <v>128</v>
      </c>
      <c r="F94" s="378">
        <f>_xlfn.XLOOKUP(B94,'07. Chart_QUỐC GIA'!$AE$104:$AE$123,'07. Chart_QUỐC GIA'!$AR$104:$AR$123,0)/10^3</f>
        <v>17.133496171787613</v>
      </c>
      <c r="G94" s="870">
        <f t="shared" ca="1" si="23"/>
        <v>0.13385543884209072</v>
      </c>
      <c r="H94" s="1045">
        <f t="shared" ca="1" si="24"/>
        <v>9</v>
      </c>
      <c r="I94" s="1153">
        <f ca="1">G94+COUNT($G$87:G94)/10^6</f>
        <v>0.13386343884209073</v>
      </c>
    </row>
    <row r="95" spans="1:10" ht="15.5" x14ac:dyDescent="0.35">
      <c r="A95" s="792">
        <v>9</v>
      </c>
      <c r="B95" s="1152" t="str">
        <f t="shared" si="20"/>
        <v>Israel</v>
      </c>
      <c r="C95" s="870">
        <f t="shared" si="21"/>
        <v>4.6353604256103662E-3</v>
      </c>
      <c r="D95" s="378">
        <f>_xlfn.XLOOKUP(B95,'07. Chart_QUỐC GIA'!$AE$7:$AE$28,'07. Chart_QUỐC GIA'!$AR$7:$AR$28,0)</f>
        <v>176</v>
      </c>
      <c r="E95" s="378">
        <f t="shared" ca="1" si="22"/>
        <v>259</v>
      </c>
      <c r="F95" s="378">
        <f>_xlfn.XLOOKUP(B95,'07. Chart_QUỐC GIA'!$AE$104:$AE$123,'07. Chart_QUỐC GIA'!$AR$104:$AR$123,0)/10^3</f>
        <v>48.886362584247749</v>
      </c>
      <c r="G95" s="870">
        <f t="shared" ca="1" si="23"/>
        <v>0.18875043468821526</v>
      </c>
      <c r="H95" s="1045">
        <f t="shared" ca="1" si="24"/>
        <v>6</v>
      </c>
      <c r="I95" s="1153">
        <f ca="1">G95+COUNT($G$87:G95)/10^6</f>
        <v>0.18875943468821527</v>
      </c>
      <c r="J95" s="1050"/>
    </row>
    <row r="96" spans="1:10" ht="15.5" x14ac:dyDescent="0.35">
      <c r="A96" s="792">
        <v>10</v>
      </c>
      <c r="B96" s="1152" t="str">
        <f t="shared" si="20"/>
        <v>Italy</v>
      </c>
      <c r="C96" s="870">
        <f t="shared" si="21"/>
        <v>1.237851931839132E-3</v>
      </c>
      <c r="D96" s="378">
        <f>_xlfn.XLOOKUP(B96,'07. Chart_QUỐC GIA'!$AE$7:$AE$28,'07. Chart_QUỐC GIA'!$AR$7:$AR$28,0)</f>
        <v>47</v>
      </c>
      <c r="E96" s="378">
        <f t="shared" ca="1" si="22"/>
        <v>55</v>
      </c>
      <c r="F96" s="378">
        <f>_xlfn.XLOOKUP(B96,'07. Chart_QUỐC GIA'!$AE$104:$AE$123,'07. Chart_QUỐC GIA'!$AR$104:$AR$123,0)/10^3</f>
        <v>12.451693619535252</v>
      </c>
      <c r="G96" s="870">
        <f t="shared" ca="1" si="23"/>
        <v>0.2263944294460955</v>
      </c>
      <c r="H96" s="1045">
        <f t="shared" ca="1" si="24"/>
        <v>2</v>
      </c>
      <c r="I96" s="1153">
        <f ca="1">G96+COUNT($G$87:G96)/10^6</f>
        <v>0.22640442944609551</v>
      </c>
      <c r="J96" s="1050"/>
    </row>
    <row r="97" spans="1:10" ht="15.5" x14ac:dyDescent="0.35">
      <c r="A97" s="792">
        <v>11</v>
      </c>
      <c r="B97" s="1152" t="str">
        <f t="shared" si="20"/>
        <v>Korea</v>
      </c>
      <c r="C97" s="870">
        <f t="shared" si="21"/>
        <v>0</v>
      </c>
      <c r="D97" s="378">
        <f>_xlfn.XLOOKUP(B97,'07. Chart_QUỐC GIA'!$AE$7:$AE$28,'07. Chart_QUỐC GIA'!$AR$7:$AR$28,0)</f>
        <v>0</v>
      </c>
      <c r="E97" s="378">
        <f t="shared" ca="1" si="22"/>
        <v>0</v>
      </c>
      <c r="F97" s="378">
        <f>_xlfn.XLOOKUP(B97,'07. Chart_QUỐC GIA'!$AE$104:$AE$123,'07. Chart_QUỐC GIA'!$AR$104:$AR$123,0)/10^3</f>
        <v>0</v>
      </c>
      <c r="G97" s="870">
        <f t="shared" ca="1" si="23"/>
        <v>0</v>
      </c>
      <c r="H97" s="1045" t="str">
        <f t="shared" ca="1" si="24"/>
        <v>-</v>
      </c>
      <c r="I97" s="1153">
        <f ca="1">G97+COUNT($G$87:G97)/10^6</f>
        <v>1.1E-5</v>
      </c>
      <c r="J97" s="1050"/>
    </row>
    <row r="98" spans="1:10" ht="15.5" x14ac:dyDescent="0.35">
      <c r="A98" s="792">
        <v>12</v>
      </c>
      <c r="B98" s="1152" t="str">
        <f t="shared" si="20"/>
        <v>Mexico</v>
      </c>
      <c r="C98" s="870">
        <f t="shared" si="21"/>
        <v>2.5283784139692907E-3</v>
      </c>
      <c r="D98" s="378">
        <f>_xlfn.XLOOKUP(B98,'07. Chart_QUỐC GIA'!$AE$7:$AE$28,'07. Chart_QUỐC GIA'!$AR$7:$AR$28,0)</f>
        <v>96</v>
      </c>
      <c r="E98" s="378">
        <f t="shared" ca="1" si="22"/>
        <v>78</v>
      </c>
      <c r="F98" s="378">
        <f>_xlfn.XLOOKUP(B98,'07. Chart_QUỐC GIA'!$AE$104:$AE$123,'07. Chart_QUỐC GIA'!$AR$104:$AR$123,0)/10^3</f>
        <v>-3.4795644152971583</v>
      </c>
      <c r="G98" s="870">
        <f t="shared" ca="1" si="23"/>
        <v>-4.4609800196117412E-2</v>
      </c>
      <c r="H98" s="1047">
        <v>17</v>
      </c>
      <c r="I98" s="1153">
        <f ca="1">G98+COUNT($G$87:G98)/10^6</f>
        <v>-4.4597800196117414E-2</v>
      </c>
      <c r="J98" s="1050"/>
    </row>
    <row r="99" spans="1:10" ht="15.5" x14ac:dyDescent="0.35">
      <c r="A99" s="792">
        <v>13</v>
      </c>
      <c r="B99" s="1152" t="str">
        <f t="shared" si="20"/>
        <v>Nhật</v>
      </c>
      <c r="C99" s="870">
        <f t="shared" ref="C99:C105" si="25">D99/$D$107</f>
        <v>5.5571650557033371E-3</v>
      </c>
      <c r="D99" s="378">
        <f>_xlfn.XLOOKUP(B99,'07. Chart_QUỐC GIA'!$AE$7:$AE$28,'07. Chart_QUỐC GIA'!$AR$7:$AR$28,0)</f>
        <v>211</v>
      </c>
      <c r="E99" s="378">
        <f t="shared" ca="1" si="22"/>
        <v>270</v>
      </c>
      <c r="F99" s="378">
        <f>_xlfn.XLOOKUP(B99,'07. Chart_QUỐC GIA'!$AE$104:$AE$123,'07. Chart_QUỐC GIA'!$AR$104:$AR$123,0)/10^3</f>
        <v>58.269527502549984</v>
      </c>
      <c r="G99" s="870">
        <f t="shared" ref="G99:G105" ca="1" si="26">IFERROR(F99/E99,0)</f>
        <v>0.21581306482425919</v>
      </c>
      <c r="H99" s="1045">
        <f t="shared" ca="1" si="24"/>
        <v>3</v>
      </c>
      <c r="I99" s="1153">
        <f ca="1">G99+COUNT($G$87:G99)/10^6</f>
        <v>0.2158260648242592</v>
      </c>
      <c r="J99" s="1050"/>
    </row>
    <row r="100" spans="1:10" ht="15.5" x14ac:dyDescent="0.35">
      <c r="A100" s="792">
        <v>14</v>
      </c>
      <c r="B100" s="1152" t="str">
        <f t="shared" si="20"/>
        <v>Phần Lan</v>
      </c>
      <c r="C100" s="870">
        <f t="shared" si="25"/>
        <v>0</v>
      </c>
      <c r="D100" s="378">
        <f>_xlfn.XLOOKUP(B100,'07. Chart_QUỐC GIA'!$AE$7:$AE$28,'07. Chart_QUỐC GIA'!$AR$7:$AR$28,0)</f>
        <v>0</v>
      </c>
      <c r="E100" s="378">
        <f t="shared" ca="1" si="22"/>
        <v>0</v>
      </c>
      <c r="F100" s="378">
        <f>_xlfn.XLOOKUP(B100,'07. Chart_QUỐC GIA'!$AE$104:$AE$123,'07. Chart_QUỐC GIA'!$AR$104:$AR$123,0)/10^3</f>
        <v>0</v>
      </c>
      <c r="G100" s="870">
        <f t="shared" ca="1" si="26"/>
        <v>0</v>
      </c>
      <c r="H100" s="1045" t="str">
        <f t="shared" ca="1" si="24"/>
        <v>-</v>
      </c>
      <c r="I100" s="1153">
        <f ca="1">G100+COUNT($G$87:G100)/10^6</f>
        <v>1.4E-5</v>
      </c>
      <c r="J100" s="1050"/>
    </row>
    <row r="101" spans="1:10" ht="15.5" x14ac:dyDescent="0.35">
      <c r="A101" s="792">
        <v>15</v>
      </c>
      <c r="B101" s="1152" t="str">
        <f t="shared" si="20"/>
        <v>Singapore</v>
      </c>
      <c r="C101" s="870">
        <f t="shared" si="25"/>
        <v>5.7942005320129582E-3</v>
      </c>
      <c r="D101" s="378">
        <f>_xlfn.XLOOKUP(B101,'07. Chart_QUỐC GIA'!$AE$7:$AE$28,'07. Chart_QUỐC GIA'!$AR$7:$AR$28,0)</f>
        <v>220</v>
      </c>
      <c r="E101" s="378">
        <f t="shared" ca="1" si="22"/>
        <v>249</v>
      </c>
      <c r="F101" s="378">
        <f>_xlfn.XLOOKUP(B101,'07. Chart_QUỐC GIA'!$AE$104:$AE$123,'07. Chart_QUỐC GIA'!$AR$104:$AR$123,0)/10^3</f>
        <v>17.234863464566907</v>
      </c>
      <c r="G101" s="870">
        <f t="shared" ca="1" si="26"/>
        <v>6.9216319134806858E-2</v>
      </c>
      <c r="H101" s="1045">
        <f t="shared" ca="1" si="24"/>
        <v>15</v>
      </c>
      <c r="I101" s="1153">
        <f ca="1">G101+COUNT($G$87:G101)/10^6</f>
        <v>6.923131913480686E-2</v>
      </c>
      <c r="J101" s="1050"/>
    </row>
    <row r="102" spans="1:10" ht="15.5" x14ac:dyDescent="0.35">
      <c r="A102" s="792">
        <v>16</v>
      </c>
      <c r="B102" s="1152" t="str">
        <f t="shared" si="20"/>
        <v>Thụy Sĩ</v>
      </c>
      <c r="C102" s="870">
        <f t="shared" si="25"/>
        <v>1.100898101082462E-2</v>
      </c>
      <c r="D102" s="378">
        <f>_xlfn.XLOOKUP(B102,'07. Chart_QUỐC GIA'!$AE$7:$AE$28,'07. Chart_QUỐC GIA'!$AR$7:$AR$28,0)</f>
        <v>418</v>
      </c>
      <c r="E102" s="378">
        <f t="shared" ca="1" si="22"/>
        <v>541</v>
      </c>
      <c r="F102" s="378">
        <f>_xlfn.XLOOKUP(B102,'07. Chart_QUỐC GIA'!$AE$104:$AE$123,'07. Chart_QUỐC GIA'!$AR$104:$AR$123,0)/10^3</f>
        <v>103.20207323211874</v>
      </c>
      <c r="G102" s="870">
        <f t="shared" ca="1" si="26"/>
        <v>0.19076168804458177</v>
      </c>
      <c r="H102" s="1045">
        <f t="shared" ca="1" si="24"/>
        <v>5</v>
      </c>
      <c r="I102" s="1153">
        <f ca="1">G102+COUNT($G$87:G102)/10^6</f>
        <v>0.19077768804458176</v>
      </c>
      <c r="J102" s="1050"/>
    </row>
    <row r="103" spans="1:10" ht="15.5" x14ac:dyDescent="0.35">
      <c r="A103" s="792">
        <v>17</v>
      </c>
      <c r="B103" s="1152" t="str">
        <f t="shared" si="20"/>
        <v>Canada</v>
      </c>
      <c r="C103" s="870">
        <f t="shared" si="25"/>
        <v>6.0575732834680922E-4</v>
      </c>
      <c r="D103" s="378">
        <f>_xlfn.XLOOKUP(B103,'07. Chart_QUỐC GIA'!$AE$7:$AE$28,'07. Chart_QUỐC GIA'!$AR$7:$AR$28,0)</f>
        <v>23</v>
      </c>
      <c r="E103" s="378">
        <f t="shared" ca="1" si="22"/>
        <v>27</v>
      </c>
      <c r="F103" s="378">
        <f>_xlfn.XLOOKUP(B103,'07. Chart_QUỐC GIA'!$AE$104:$AE$123,'07. Chart_QUỐC GIA'!$AR$104:$AR$123,0)/10^3</f>
        <v>3.4385262848590812</v>
      </c>
      <c r="G103" s="870">
        <f t="shared" ca="1" si="26"/>
        <v>0.12735282536515116</v>
      </c>
      <c r="H103" s="1045">
        <f t="shared" ca="1" si="24"/>
        <v>10</v>
      </c>
      <c r="I103" s="1153">
        <f ca="1">G103+COUNT($G$87:G103)/10^6</f>
        <v>0.12736982536515115</v>
      </c>
      <c r="J103" s="1050"/>
    </row>
    <row r="104" spans="1:10" ht="15.5" x14ac:dyDescent="0.35">
      <c r="A104" s="792">
        <v>18</v>
      </c>
      <c r="B104" s="1152" t="str">
        <f t="shared" si="20"/>
        <v>Luxembourg</v>
      </c>
      <c r="C104" s="870">
        <f t="shared" si="25"/>
        <v>3.1288682872869976E-2</v>
      </c>
      <c r="D104" s="378">
        <f>_xlfn.XLOOKUP(B104,'07. Chart_QUỐC GIA'!$AE$7:$AE$28,'07. Chart_QUỐC GIA'!$AR$7:$AR$28,0)</f>
        <v>1188</v>
      </c>
      <c r="E104" s="378">
        <f t="shared" ca="1" si="22"/>
        <v>1660</v>
      </c>
      <c r="F104" s="378">
        <f>_xlfn.XLOOKUP(B104,'07. Chart_QUỐC GIA'!$AE$104:$AE$123,'07. Chart_QUỐC GIA'!$AR$104:$AR$123,0)/10^3</f>
        <v>333.95791999621474</v>
      </c>
      <c r="G104" s="870">
        <f t="shared" ca="1" si="26"/>
        <v>0.20117946987723781</v>
      </c>
      <c r="H104" s="1045">
        <f t="shared" ca="1" si="24"/>
        <v>4</v>
      </c>
      <c r="I104" s="1153">
        <f ca="1">G104+COUNT($G$87:G104)/10^6</f>
        <v>0.2011974698772378</v>
      </c>
      <c r="J104" s="1050"/>
    </row>
    <row r="105" spans="1:10" ht="15.5" x14ac:dyDescent="0.35">
      <c r="A105" s="792">
        <v>19</v>
      </c>
      <c r="B105" s="1152" t="str">
        <f t="shared" si="20"/>
        <v>Pháp</v>
      </c>
      <c r="C105" s="870">
        <f t="shared" si="25"/>
        <v>1.7382601596038873E-3</v>
      </c>
      <c r="D105" s="378">
        <f>_xlfn.XLOOKUP(B105,'07. Chart_QUỐC GIA'!$AE$7:$AE$28,'07. Chart_QUỐC GIA'!$AR$7:$AR$28,0)</f>
        <v>66</v>
      </c>
      <c r="E105" s="378">
        <f t="shared" ca="1" si="22"/>
        <v>75</v>
      </c>
      <c r="F105" s="378">
        <f>_xlfn.XLOOKUP(B105,'07. Chart_QUỐC GIA'!$AE$104:$AE$123,'07. Chart_QUỐC GIA'!$AR$104:$AR$123,0)/10^3</f>
        <v>7.7829660104066933</v>
      </c>
      <c r="G105" s="870">
        <f t="shared" ca="1" si="26"/>
        <v>0.10377288013875591</v>
      </c>
      <c r="H105" s="1045">
        <f t="shared" ca="1" si="24"/>
        <v>14</v>
      </c>
      <c r="I105" s="1153">
        <f ca="1">G105+COUNT($G$87:G105)/10^6</f>
        <v>0.10379188013875591</v>
      </c>
      <c r="J105" s="1050"/>
    </row>
    <row r="106" spans="1:10" x14ac:dyDescent="0.35">
      <c r="A106" s="795">
        <v>20</v>
      </c>
      <c r="B106" s="797"/>
      <c r="C106" s="797"/>
      <c r="D106" s="797"/>
      <c r="E106" s="797"/>
      <c r="F106" s="797"/>
      <c r="G106" s="797"/>
      <c r="H106" s="1046" t="str">
        <f t="shared" si="24"/>
        <v>-</v>
      </c>
      <c r="I106" s="1154">
        <f ca="1">G106+COUNT($G$87:G106)/10^6</f>
        <v>1.9000000000000001E-5</v>
      </c>
      <c r="J106" s="1050"/>
    </row>
    <row r="107" spans="1:10" ht="15.5" x14ac:dyDescent="0.35">
      <c r="A107" s="517"/>
      <c r="B107" s="883" t="s">
        <v>436</v>
      </c>
      <c r="C107" s="1233">
        <f>SUM(C87:C106)</f>
        <v>0.99999999999999989</v>
      </c>
      <c r="D107" s="884">
        <f>SUM(D87:D106)</f>
        <v>37969</v>
      </c>
      <c r="E107" s="517"/>
      <c r="F107" s="517"/>
      <c r="G107" s="517"/>
      <c r="H107" s="517"/>
      <c r="I107" s="517"/>
    </row>
    <row r="110" spans="1:10" ht="29" x14ac:dyDescent="0.35">
      <c r="A110" s="885" t="s">
        <v>174</v>
      </c>
      <c r="B110" s="885" t="s">
        <v>172</v>
      </c>
      <c r="C110" s="885" t="s">
        <v>756</v>
      </c>
      <c r="D110" s="885" t="s">
        <v>789</v>
      </c>
      <c r="E110" s="885" t="s">
        <v>790</v>
      </c>
      <c r="F110" s="885" t="s">
        <v>757</v>
      </c>
      <c r="G110" s="885" t="s">
        <v>764</v>
      </c>
    </row>
    <row r="111" spans="1:10" ht="15.5" x14ac:dyDescent="0.35">
      <c r="A111" s="322">
        <v>1</v>
      </c>
      <c r="B111" s="12" t="str">
        <f ca="1">_xlfn.XLOOKUP(A111,$H$87:$H$106,$B$87:$B$106,0)</f>
        <v>Australia</v>
      </c>
      <c r="C111" s="354">
        <f t="shared" ref="C111:C121" ca="1" si="27">IFERROR(G111/F111,0)</f>
        <v>0.14698498762793172</v>
      </c>
      <c r="D111" s="405">
        <f t="shared" ref="D111:D121" ca="1" si="28">E111/$D$107</f>
        <v>4.0559403724090707E-3</v>
      </c>
      <c r="E111" s="346">
        <f ca="1">_xlfn.XLOOKUP(B111,'07. Chart_QUỐC GIA'!$AE$7:$AE$28,'07. Chart_QUỐC GIA'!$AR$7:$AR$28,0)</f>
        <v>154</v>
      </c>
      <c r="F111" s="346">
        <f ca="1">_xlfn.XLOOKUP(B111,'07. Chart_QUỐC GIA'!$AE$56:$AE$75,'07. Chart_QUỐC GIA'!$AR$56:$AR$75,0)/10^3</f>
        <v>196.97490917245676</v>
      </c>
      <c r="G111" s="346">
        <f ca="1">_xlfn.XLOOKUP(B111,'07. Chart_QUỐC GIA'!$AE$104:$AE$123,'07. Chart_QUỐC GIA'!$AR$104:$AR$123,0)/10^3</f>
        <v>28.952354587726532</v>
      </c>
    </row>
    <row r="112" spans="1:10" ht="15.5" x14ac:dyDescent="0.35">
      <c r="A112" s="322">
        <v>2</v>
      </c>
      <c r="B112" s="12" t="str">
        <f ca="1">_xlfn.XLOOKUP(A112,$H$87:$H$106,$B$87:$B$106,0)</f>
        <v>Italy</v>
      </c>
      <c r="C112" s="354">
        <f t="shared" ca="1" si="27"/>
        <v>0.22841870217246257</v>
      </c>
      <c r="D112" s="405">
        <f t="shared" ca="1" si="28"/>
        <v>1.237851931839132E-3</v>
      </c>
      <c r="E112" s="346">
        <f ca="1">_xlfn.XLOOKUP(B112,'07. Chart_QUỐC GIA'!$AE$7:$AE$28,'07. Chart_QUỐC GIA'!$AR$7:$AR$28,0)</f>
        <v>47</v>
      </c>
      <c r="F112" s="346">
        <f ca="1">_xlfn.XLOOKUP(B112,'07. Chart_QUỐC GIA'!$AE$56:$AE$75,'07. Chart_QUỐC GIA'!$AR$56:$AR$75,0)/10^3</f>
        <v>54.512583694367862</v>
      </c>
      <c r="G112" s="346">
        <f ca="1">_xlfn.XLOOKUP(B112,'07. Chart_QUỐC GIA'!$AE$104:$AE$123,'07. Chart_QUỐC GIA'!$AR$104:$AR$123,0)/10^3</f>
        <v>12.451693619535252</v>
      </c>
    </row>
    <row r="113" spans="1:7" ht="15.5" x14ac:dyDescent="0.35">
      <c r="A113" s="322">
        <v>3</v>
      </c>
      <c r="B113" s="12" t="str">
        <f t="shared" ref="B113:B130" ca="1" si="29">_xlfn.XLOOKUP(A113,$H$87:$H$106,$B$87:$B$106,0)</f>
        <v>Nhật</v>
      </c>
      <c r="C113" s="354">
        <f t="shared" ca="1" si="27"/>
        <v>0.21577723157044598</v>
      </c>
      <c r="D113" s="405">
        <f t="shared" ca="1" si="28"/>
        <v>5.5571650557033371E-3</v>
      </c>
      <c r="E113" s="346">
        <f ca="1">_xlfn.XLOOKUP(B113,'07. Chart_QUỐC GIA'!$AE$7:$AE$28,'07. Chart_QUỐC GIA'!$AR$7:$AR$28,0)</f>
        <v>211</v>
      </c>
      <c r="F113" s="346">
        <f ca="1">_xlfn.XLOOKUP(B113,'07. Chart_QUỐC GIA'!$AE$56:$AE$75,'07. Chart_QUỐC GIA'!$AR$56:$AR$75,0)/10^3</f>
        <v>270.04483781008383</v>
      </c>
      <c r="G113" s="346">
        <f ca="1">_xlfn.XLOOKUP(B113,'07. Chart_QUỐC GIA'!$AE$104:$AE$123,'07. Chart_QUỐC GIA'!$AR$104:$AR$123,0)/10^3</f>
        <v>58.269527502549984</v>
      </c>
    </row>
    <row r="114" spans="1:7" ht="15.5" x14ac:dyDescent="0.35">
      <c r="A114" s="322">
        <v>4</v>
      </c>
      <c r="B114" s="12" t="str">
        <f t="shared" ca="1" si="29"/>
        <v>Luxembourg</v>
      </c>
      <c r="C114" s="354">
        <f t="shared" ca="1" si="27"/>
        <v>0.20118715420389499</v>
      </c>
      <c r="D114" s="405">
        <f t="shared" ca="1" si="28"/>
        <v>3.1288682872869976E-2</v>
      </c>
      <c r="E114" s="346">
        <f ca="1">_xlfn.XLOOKUP(B114,'07. Chart_QUỐC GIA'!$AE$7:$AE$28,'07. Chart_QUỐC GIA'!$AR$7:$AR$28,0)</f>
        <v>1188</v>
      </c>
      <c r="F114" s="346">
        <f ca="1">_xlfn.XLOOKUP(B114,'07. Chart_QUỐC GIA'!$AE$56:$AE$75,'07. Chart_QUỐC GIA'!$AR$56:$AR$75,0)/10^3</f>
        <v>1659.9365964377726</v>
      </c>
      <c r="G114" s="346">
        <f ca="1">_xlfn.XLOOKUP(B114,'07. Chart_QUỐC GIA'!$AE$104:$AE$123,'07. Chart_QUỐC GIA'!$AR$104:$AR$123,0)/10^3</f>
        <v>333.95791999621474</v>
      </c>
    </row>
    <row r="115" spans="1:7" ht="16" thickBot="1" x14ac:dyDescent="0.4">
      <c r="A115" s="322">
        <v>5</v>
      </c>
      <c r="B115" s="12" t="str">
        <f t="shared" ca="1" si="29"/>
        <v>Thụy Sĩ</v>
      </c>
      <c r="C115" s="354">
        <f t="shared" ca="1" si="27"/>
        <v>0.19072260037364497</v>
      </c>
      <c r="D115" s="405">
        <f t="shared" ca="1" si="28"/>
        <v>1.100898101082462E-2</v>
      </c>
      <c r="E115" s="346">
        <f ca="1">_xlfn.XLOOKUP(B115,'07. Chart_QUỐC GIA'!$AE$7:$AE$28,'07. Chart_QUỐC GIA'!$AR$7:$AR$28,0)</f>
        <v>418</v>
      </c>
      <c r="F115" s="346">
        <f ca="1">_xlfn.XLOOKUP(B115,'07. Chart_QUỐC GIA'!$AE$56:$AE$75,'07. Chart_QUỐC GIA'!$AR$56:$AR$75,0)/10^3</f>
        <v>541.11087532329873</v>
      </c>
      <c r="G115" s="346">
        <f ca="1">_xlfn.XLOOKUP(B115,'07. Chart_QUỐC GIA'!$AE$104:$AE$123,'07. Chart_QUỐC GIA'!$AR$104:$AR$123,0)/10^3</f>
        <v>103.20207323211874</v>
      </c>
    </row>
    <row r="116" spans="1:7" ht="16" thickBot="1" x14ac:dyDescent="0.4">
      <c r="A116" s="888">
        <v>6</v>
      </c>
      <c r="B116" s="889" t="str">
        <f t="shared" ca="1" si="29"/>
        <v>Israel</v>
      </c>
      <c r="C116" s="891">
        <f t="shared" ca="1" si="27"/>
        <v>0.18875328222730628</v>
      </c>
      <c r="D116" s="906">
        <f t="shared" ca="1" si="28"/>
        <v>4.6353604256103662E-3</v>
      </c>
      <c r="E116" s="890">
        <f ca="1">_xlfn.XLOOKUP(B116,'07. Chart_QUỐC GIA'!$AE$7:$AE$28,'07. Chart_QUỐC GIA'!$AR$7:$AR$28,0)</f>
        <v>176</v>
      </c>
      <c r="F116" s="890">
        <f ca="1">_xlfn.XLOOKUP(B116,'07. Chart_QUỐC GIA'!$AE$56:$AE$75,'07. Chart_QUỐC GIA'!$AR$56:$AR$75,0)/10^3</f>
        <v>258.99609271629146</v>
      </c>
      <c r="G116" s="890">
        <f ca="1">_xlfn.XLOOKUP(B116,'07. Chart_QUỐC GIA'!$AE$104:$AE$123,'07. Chart_QUỐC GIA'!$AR$104:$AR$123,0)/10^3</f>
        <v>48.886362584247749</v>
      </c>
    </row>
    <row r="117" spans="1:7" ht="16" thickBot="1" x14ac:dyDescent="0.4">
      <c r="A117" s="322">
        <v>7</v>
      </c>
      <c r="B117" s="12" t="str">
        <f t="shared" ca="1" si="29"/>
        <v>Bồ Đào Nha</v>
      </c>
      <c r="C117" s="354">
        <f t="shared" ca="1" si="27"/>
        <v>0.18182778458188634</v>
      </c>
      <c r="D117" s="405">
        <f t="shared" ca="1" si="28"/>
        <v>0.16289604677500066</v>
      </c>
      <c r="E117" s="346">
        <f ca="1">_xlfn.XLOOKUP(B117,'07. Chart_QUỐC GIA'!$AE$7:$AE$28,'07. Chart_QUỐC GIA'!$AR$7:$AR$28,0)</f>
        <v>6185</v>
      </c>
      <c r="F117" s="346">
        <f ca="1">_xlfn.XLOOKUP(B117,'07. Chart_QUỐC GIA'!$AE$56:$AE$75,'07. Chart_QUỐC GIA'!$AR$56:$AR$75,0)/10^3</f>
        <v>7712.9647839649524</v>
      </c>
      <c r="G117" s="346">
        <f ca="1">_xlfn.XLOOKUP(B117,'07. Chart_QUỐC GIA'!$AE$104:$AE$123,'07. Chart_QUỐC GIA'!$AR$104:$AR$123,0)/10^3</f>
        <v>1402.4312992264549</v>
      </c>
    </row>
    <row r="118" spans="1:7" ht="16" thickBot="1" x14ac:dyDescent="0.4">
      <c r="A118" s="888">
        <v>8</v>
      </c>
      <c r="B118" s="889" t="str">
        <f t="shared" ca="1" si="29"/>
        <v>Mỹ</v>
      </c>
      <c r="C118" s="891">
        <f t="shared" ca="1" si="27"/>
        <v>0.13513051461438205</v>
      </c>
      <c r="D118" s="906">
        <f t="shared" ca="1" si="28"/>
        <v>0.3900287076299086</v>
      </c>
      <c r="E118" s="890">
        <f ca="1">_xlfn.XLOOKUP(B118,'07. Chart_QUỐC GIA'!$AE$7:$AE$28,'07. Chart_QUỐC GIA'!$AR$7:$AR$28,0)</f>
        <v>14809</v>
      </c>
      <c r="F118" s="890">
        <f ca="1">_xlfn.XLOOKUP(B118,'07. Chart_QUỐC GIA'!$AE$56:$AE$75,'07. Chart_QUỐC GIA'!$AR$56:$AR$75,0)/10^3</f>
        <v>18284.811134185315</v>
      </c>
      <c r="G118" s="890">
        <f ca="1">_xlfn.XLOOKUP(B118,'07. Chart_QUỐC GIA'!$AE$104:$AE$123,'07. Chart_QUỐC GIA'!$AR$104:$AR$123,0)/10^3</f>
        <v>2470.8359381892442</v>
      </c>
    </row>
    <row r="119" spans="1:7" ht="15.5" x14ac:dyDescent="0.35">
      <c r="A119" s="322">
        <v>9</v>
      </c>
      <c r="B119" s="12" t="str">
        <f t="shared" ca="1" si="29"/>
        <v>Hy Lạp</v>
      </c>
      <c r="C119" s="354">
        <f t="shared" ca="1" si="27"/>
        <v>0.13335443579051026</v>
      </c>
      <c r="D119" s="405">
        <f t="shared" ca="1" si="28"/>
        <v>2.8971002660064791E-3</v>
      </c>
      <c r="E119" s="346">
        <f ca="1">_xlfn.XLOOKUP(B119,'07. Chart_QUỐC GIA'!$AE$7:$AE$28,'07. Chart_QUỐC GIA'!$AR$7:$AR$28,0)</f>
        <v>110</v>
      </c>
      <c r="F119" s="346">
        <f ca="1">_xlfn.XLOOKUP(B119,'07. Chart_QUỐC GIA'!$AE$56:$AE$75,'07. Chart_QUỐC GIA'!$AR$56:$AR$75,0)/10^3</f>
        <v>128.48088682031576</v>
      </c>
      <c r="G119" s="346">
        <f ca="1">_xlfn.XLOOKUP(B119,'07. Chart_QUỐC GIA'!$AE$104:$AE$123,'07. Chart_QUỐC GIA'!$AR$104:$AR$123,0)/10^3</f>
        <v>17.133496171787613</v>
      </c>
    </row>
    <row r="120" spans="1:7" ht="15.5" x14ac:dyDescent="0.35">
      <c r="A120" s="322">
        <v>10</v>
      </c>
      <c r="B120" s="12" t="str">
        <f t="shared" ca="1" si="29"/>
        <v>Canada</v>
      </c>
      <c r="C120" s="354">
        <f t="shared" ca="1" si="27"/>
        <v>0.12610996516293846</v>
      </c>
      <c r="D120" s="405">
        <f t="shared" ca="1" si="28"/>
        <v>6.0575732834680922E-4</v>
      </c>
      <c r="E120" s="346">
        <f ca="1">_xlfn.XLOOKUP(B120,'07. Chart_QUỐC GIA'!$AE$7:$AE$28,'07. Chart_QUỐC GIA'!$AR$7:$AR$28,0)</f>
        <v>23</v>
      </c>
      <c r="F120" s="346">
        <f ca="1">_xlfn.XLOOKUP(B120,'07. Chart_QUỐC GIA'!$AE$56:$AE$75,'07. Chart_QUỐC GIA'!$AR$56:$AR$75,0)/10^3</f>
        <v>27.266094954640465</v>
      </c>
      <c r="G120" s="346">
        <f ca="1">_xlfn.XLOOKUP(B120,'07. Chart_QUỐC GIA'!$AE$104:$AE$123,'07. Chart_QUỐC GIA'!$AR$104:$AR$123,0)/10^3</f>
        <v>3.4385262848590812</v>
      </c>
    </row>
    <row r="121" spans="1:7" ht="16" thickBot="1" x14ac:dyDescent="0.4">
      <c r="A121" s="322">
        <v>11</v>
      </c>
      <c r="B121" s="12" t="str">
        <f t="shared" ca="1" si="29"/>
        <v>Hàn Quốc</v>
      </c>
      <c r="C121" s="354">
        <f t="shared" ca="1" si="27"/>
        <v>0.12313526602401864</v>
      </c>
      <c r="D121" s="405">
        <f t="shared" ca="1" si="28"/>
        <v>8.6122889725828971E-3</v>
      </c>
      <c r="E121" s="346">
        <f ca="1">_xlfn.XLOOKUP(B121,'07. Chart_QUỐC GIA'!$AE$7:$AE$28,'07. Chart_QUỐC GIA'!$AR$7:$AR$28,0)</f>
        <v>327</v>
      </c>
      <c r="F121" s="346">
        <f ca="1">_xlfn.XLOOKUP(B121,'07. Chart_QUỐC GIA'!$AE$56:$AE$75,'07. Chart_QUỐC GIA'!$AR$56:$AR$75,0)/10^3</f>
        <v>405.91939376558167</v>
      </c>
      <c r="G121" s="346">
        <f ca="1">_xlfn.XLOOKUP(B121,'07. Chart_QUỐC GIA'!$AE$104:$AE$123,'07. Chart_QUỐC GIA'!$AR$104:$AR$123,0)/10^3</f>
        <v>49.982992535633272</v>
      </c>
    </row>
    <row r="122" spans="1:7" ht="16" thickBot="1" x14ac:dyDescent="0.4">
      <c r="A122" s="888">
        <v>12</v>
      </c>
      <c r="B122" s="889" t="str">
        <f t="shared" ca="1" si="29"/>
        <v>VN</v>
      </c>
      <c r="C122" s="891">
        <f t="shared" ref="C122:C129" ca="1" si="30">IFERROR(G122/F122,0)</f>
        <v>0.1067218561824583</v>
      </c>
      <c r="D122" s="906">
        <f t="shared" ref="D122:D129" ca="1" si="31">E122/$D$107</f>
        <v>0.35262977692327951</v>
      </c>
      <c r="E122" s="890">
        <f ca="1">_xlfn.XLOOKUP(B122,'07. Chart_QUỐC GIA'!$AE$7:$AE$28,'07. Chart_QUỐC GIA'!$AR$7:$AR$28,0)</f>
        <v>13389</v>
      </c>
      <c r="F122" s="890">
        <f ca="1">_xlfn.XLOOKUP(B122,'07. Chart_QUỐC GIA'!$AE$56:$AE$75,'07. Chart_QUỐC GIA'!$AR$56:$AR$75,0)/10^3</f>
        <v>16025.111136627564</v>
      </c>
      <c r="G122" s="890">
        <f ca="1">_xlfn.XLOOKUP(B122,'07. Chart_QUỐC GIA'!$AE$104:$AE$123,'07. Chart_QUỐC GIA'!$AR$104:$AR$123,0)/10^3</f>
        <v>1710.2296060310778</v>
      </c>
    </row>
    <row r="123" spans="1:7" ht="15.5" x14ac:dyDescent="0.35">
      <c r="A123" s="322">
        <v>13</v>
      </c>
      <c r="B123" s="12" t="str">
        <f t="shared" ca="1" si="29"/>
        <v>Bulgaria</v>
      </c>
      <c r="C123" s="354">
        <f t="shared" ca="1" si="30"/>
        <v>0.11393662342625689</v>
      </c>
      <c r="D123" s="405">
        <f t="shared" ca="1" si="31"/>
        <v>2.8971002660064791E-3</v>
      </c>
      <c r="E123" s="346">
        <f ca="1">_xlfn.XLOOKUP(B123,'07. Chart_QUỐC GIA'!$AE$7:$AE$28,'07. Chart_QUỐC GIA'!$AR$7:$AR$28,0)</f>
        <v>110</v>
      </c>
      <c r="F123" s="346">
        <f ca="1">_xlfn.XLOOKUP(B123,'07. Chart_QUỐC GIA'!$AE$56:$AE$75,'07. Chart_QUỐC GIA'!$AR$56:$AR$75,0)/10^3</f>
        <v>127.35051104615549</v>
      </c>
      <c r="G123" s="346">
        <f ca="1">_xlfn.XLOOKUP(B123,'07. Chart_QUỐC GIA'!$AE$104:$AE$123,'07. Chart_QUỐC GIA'!$AR$104:$AR$123,0)/10^3</f>
        <v>14.509887220207187</v>
      </c>
    </row>
    <row r="124" spans="1:7" ht="15.5" x14ac:dyDescent="0.35">
      <c r="A124" s="322">
        <v>14</v>
      </c>
      <c r="B124" s="12" t="str">
        <f t="shared" ca="1" si="29"/>
        <v>Pháp</v>
      </c>
      <c r="C124" s="354">
        <f t="shared" ca="1" si="30"/>
        <v>0.10429323245934889</v>
      </c>
      <c r="D124" s="405">
        <f t="shared" ca="1" si="31"/>
        <v>1.7382601596038873E-3</v>
      </c>
      <c r="E124" s="346">
        <f ca="1">_xlfn.XLOOKUP(B124,'07. Chart_QUỐC GIA'!$AE$7:$AE$28,'07. Chart_QUỐC GIA'!$AR$7:$AR$28,0)</f>
        <v>66</v>
      </c>
      <c r="F124" s="346">
        <f ca="1">_xlfn.XLOOKUP(B124,'07. Chart_QUỐC GIA'!$AE$56:$AE$75,'07. Chart_QUỐC GIA'!$AR$56:$AR$75,0)/10^3</f>
        <v>74.625800992795149</v>
      </c>
      <c r="G124" s="346">
        <f ca="1">_xlfn.XLOOKUP(B124,'07. Chart_QUỐC GIA'!$AE$104:$AE$123,'07. Chart_QUỐC GIA'!$AR$104:$AR$123,0)/10^3</f>
        <v>7.7829660104066933</v>
      </c>
    </row>
    <row r="125" spans="1:7" ht="15.5" x14ac:dyDescent="0.35">
      <c r="A125" s="322">
        <v>15</v>
      </c>
      <c r="B125" s="12" t="str">
        <f t="shared" ca="1" si="29"/>
        <v>Singapore</v>
      </c>
      <c r="C125" s="354">
        <f t="shared" ca="1" si="30"/>
        <v>6.9348419507773026E-2</v>
      </c>
      <c r="D125" s="405">
        <f t="shared" ca="1" si="31"/>
        <v>5.7942005320129582E-3</v>
      </c>
      <c r="E125" s="346">
        <f ca="1">_xlfn.XLOOKUP(B125,'07. Chart_QUỐC GIA'!$AE$7:$AE$28,'07. Chart_QUỐC GIA'!$AR$7:$AR$28,0)</f>
        <v>220</v>
      </c>
      <c r="F125" s="346">
        <f ca="1">_xlfn.XLOOKUP(B125,'07. Chart_QUỐC GIA'!$AE$56:$AE$75,'07. Chart_QUỐC GIA'!$AR$56:$AR$75,0)/10^3</f>
        <v>248.52568503937007</v>
      </c>
      <c r="G125" s="346">
        <f ca="1">_xlfn.XLOOKUP(B125,'07. Chart_QUỐC GIA'!$AE$104:$AE$123,'07. Chart_QUỐC GIA'!$AR$104:$AR$123,0)/10^3</f>
        <v>17.234863464566907</v>
      </c>
    </row>
    <row r="126" spans="1:7" ht="15.5" x14ac:dyDescent="0.35">
      <c r="A126" s="322">
        <v>16</v>
      </c>
      <c r="B126" s="12" t="str">
        <f t="shared" ca="1" si="29"/>
        <v>Hong Kong</v>
      </c>
      <c r="C126" s="354">
        <f t="shared" ca="1" si="30"/>
        <v>4.9847121825300385E-2</v>
      </c>
      <c r="D126" s="405">
        <f t="shared" ca="1" si="31"/>
        <v>1.1588401064025916E-2</v>
      </c>
      <c r="E126" s="346">
        <f ca="1">_xlfn.XLOOKUP(B126,'07. Chart_QUỐC GIA'!$AE$7:$AE$28,'07. Chart_QUỐC GIA'!$AR$7:$AR$28,0)</f>
        <v>440</v>
      </c>
      <c r="F126" s="346">
        <f ca="1">_xlfn.XLOOKUP(B126,'07. Chart_QUỐC GIA'!$AE$56:$AE$75,'07. Chart_QUỐC GIA'!$AR$56:$AR$75,0)/10^3</f>
        <v>456.84133597883607</v>
      </c>
      <c r="G126" s="346">
        <f ca="1">_xlfn.XLOOKUP(B126,'07. Chart_QUỐC GIA'!$AE$104:$AE$123,'07. Chart_QUỐC GIA'!$AR$104:$AR$123,0)/10^3</f>
        <v>22.772225729370025</v>
      </c>
    </row>
    <row r="127" spans="1:7" ht="15.5" hidden="1" x14ac:dyDescent="0.35">
      <c r="A127" s="322">
        <v>17</v>
      </c>
      <c r="B127" s="12" t="str">
        <f t="shared" ca="1" si="29"/>
        <v>Mexico</v>
      </c>
      <c r="C127" s="354">
        <f t="shared" ca="1" si="30"/>
        <v>-3.3588524845353497E-2</v>
      </c>
      <c r="D127" s="354">
        <f t="shared" ca="1" si="31"/>
        <v>2.5283784139692907E-3</v>
      </c>
      <c r="E127" s="346">
        <f ca="1">_xlfn.XLOOKUP(B127,'07. Chart_QUỐC GIA'!$AE$7:$AE$28,'07. Chart_QUỐC GIA'!$AR$7:$AR$28,0)</f>
        <v>96</v>
      </c>
      <c r="F127" s="346">
        <f ca="1">_xlfn.XLOOKUP(B127,'07. Chart_QUỐC GIA'!$AE$56:$AE$75,'07. Chart_QUỐC GIA'!$AR$56:$AR$75,0)/10^3</f>
        <v>103.59384436552615</v>
      </c>
      <c r="G127" s="1155">
        <f ca="1">_xlfn.XLOOKUP(B127,'07. Chart_QUỐC GIA'!$AE$104:$AE$123,'07. Chart_QUỐC GIA'!$AR$104:$AR$123,0)/10^3</f>
        <v>-3.4795644152971583</v>
      </c>
    </row>
    <row r="128" spans="1:7" ht="15.5" hidden="1" x14ac:dyDescent="0.35">
      <c r="A128" s="322">
        <v>18</v>
      </c>
      <c r="B128" s="12">
        <f t="shared" ca="1" si="29"/>
        <v>0</v>
      </c>
      <c r="C128" s="354">
        <f t="shared" ca="1" si="30"/>
        <v>0</v>
      </c>
      <c r="D128" s="354">
        <f t="shared" ca="1" si="31"/>
        <v>0</v>
      </c>
      <c r="E128" s="346">
        <f ca="1">_xlfn.XLOOKUP(B128,'07. Chart_QUỐC GIA'!$AE$7:$AE$28,'07. Chart_QUỐC GIA'!$AR$7:$AR$28,0)</f>
        <v>0</v>
      </c>
      <c r="F128" s="346">
        <f ca="1">_xlfn.XLOOKUP(B128,'07. Chart_QUỐC GIA'!$AE$56:$AE$75,'07. Chart_QUỐC GIA'!$AR$56:$AR$75,0)/10^3</f>
        <v>0</v>
      </c>
      <c r="G128" s="346">
        <f ca="1">_xlfn.XLOOKUP(B128,'07. Chart_QUỐC GIA'!$AE$104:$AE$123,'07. Chart_QUỐC GIA'!$AR$104:$AR$123,0)/10^3</f>
        <v>0</v>
      </c>
    </row>
    <row r="129" spans="1:7" ht="15.5" hidden="1" x14ac:dyDescent="0.35">
      <c r="A129" s="322">
        <v>19</v>
      </c>
      <c r="B129" s="12">
        <f t="shared" ca="1" si="29"/>
        <v>0</v>
      </c>
      <c r="C129" s="354">
        <f t="shared" ca="1" si="30"/>
        <v>0</v>
      </c>
      <c r="D129" s="354">
        <f t="shared" ca="1" si="31"/>
        <v>0</v>
      </c>
      <c r="E129" s="346">
        <f ca="1">_xlfn.XLOOKUP(B129,'07. Chart_QUỐC GIA'!$AE$7:$AE$28,'07. Chart_QUỐC GIA'!$AR$7:$AR$28,0)</f>
        <v>0</v>
      </c>
      <c r="F129" s="346">
        <f ca="1">_xlfn.XLOOKUP(B129,'07. Chart_QUỐC GIA'!$AE$56:$AE$75,'07. Chart_QUỐC GIA'!$AR$56:$AR$75,0)/10^3</f>
        <v>0</v>
      </c>
      <c r="G129" s="346">
        <f ca="1">_xlfn.XLOOKUP(B129,'07. Chart_QUỐC GIA'!$AE$104:$AE$123,'07. Chart_QUỐC GIA'!$AR$104:$AR$123,0)/10^3</f>
        <v>0</v>
      </c>
    </row>
    <row r="130" spans="1:7" hidden="1" x14ac:dyDescent="0.35">
      <c r="A130" s="332">
        <v>20</v>
      </c>
      <c r="B130" s="437">
        <f t="shared" ca="1" si="29"/>
        <v>0</v>
      </c>
      <c r="C130" s="437"/>
      <c r="D130" s="437"/>
      <c r="E130" s="437"/>
      <c r="F130" s="437"/>
      <c r="G130" s="437"/>
    </row>
    <row r="131" spans="1:7" ht="15" x14ac:dyDescent="0.35">
      <c r="A131" s="886"/>
      <c r="B131" s="921" t="s">
        <v>436</v>
      </c>
      <c r="C131" s="886"/>
      <c r="D131" s="887">
        <f ca="1">SUM(D111:D130)</f>
        <v>0.99999999999999989</v>
      </c>
      <c r="E131" s="444">
        <f ca="1">SUM(E111:E130)</f>
        <v>37969</v>
      </c>
      <c r="F131" s="444">
        <f ca="1">SUM(F111:F130)</f>
        <v>46577.066502895323</v>
      </c>
      <c r="G131" s="444">
        <f ca="1">SUM(G111:G130)</f>
        <v>6298.5921679707044</v>
      </c>
    </row>
  </sheetData>
  <sortState xmlns:xlrd2="http://schemas.microsoft.com/office/spreadsheetml/2017/richdata2" ref="V6:V24">
    <sortCondition ref="V6:V24"/>
  </sortState>
  <conditionalFormatting sqref="C127:C129">
    <cfRule type="cellIs" dxfId="12" priority="2" operator="lessThan">
      <formula>0</formula>
    </cfRule>
  </conditionalFormatting>
  <conditionalFormatting sqref="C111:G126">
    <cfRule type="cellIs" dxfId="11" priority="6" operator="lessThan">
      <formula>0</formula>
    </cfRule>
  </conditionalFormatting>
  <conditionalFormatting sqref="F6:I27 C87:G105">
    <cfRule type="cellIs" dxfId="10" priority="7" operator="lessThan">
      <formula>0</formula>
    </cfRule>
  </conditionalFormatting>
  <conditionalFormatting sqref="G127:G129">
    <cfRule type="cellIs" dxfId="9" priority="1" operator="lessThan">
      <formula>0</formula>
    </cfRule>
  </conditionalFormatting>
  <conditionalFormatting sqref="H87:I106">
    <cfRule type="cellIs" dxfId="8" priority="3" operator="lessThan">
      <formula>0</formula>
    </cfRule>
  </conditionalFormatting>
  <conditionalFormatting sqref="P6:R27">
    <cfRule type="cellIs" dxfId="7" priority="4" operator="lessThan">
      <formula>0</formula>
    </cfRule>
  </conditionalFormatting>
  <hyperlinks>
    <hyperlink ref="A1" location="'00. DM'!A1" display="00. DM" xr:uid="{0C4DA86F-202C-4D2E-8E60-9554CE59F27C}"/>
  </hyperlinks>
  <pageMargins left="0.7" right="0.7" top="0.75" bottom="0.75" header="0.3" footer="0.3"/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88DDA-5985-412A-B6A0-5E9626516859}">
  <dimension ref="A1:CH147"/>
  <sheetViews>
    <sheetView zoomScale="85" zoomScaleNormal="85" workbookViewId="0">
      <pane ySplit="2" topLeftCell="A3" activePane="bottomLeft" state="frozen"/>
      <selection pane="bottomLeft"/>
    </sheetView>
  </sheetViews>
  <sheetFormatPr defaultRowHeight="14.5" x14ac:dyDescent="0.35"/>
  <cols>
    <col min="1" max="1" width="7.453125" customWidth="1"/>
    <col min="2" max="2" width="13.81640625" customWidth="1"/>
    <col min="3" max="3" width="33.90625" customWidth="1"/>
    <col min="4" max="5" width="13.81640625" customWidth="1"/>
    <col min="6" max="11" width="7.453125" customWidth="1"/>
    <col min="12" max="12" width="0.81640625" style="745" customWidth="1"/>
    <col min="13" max="13" width="7.453125" customWidth="1"/>
    <col min="14" max="17" width="14.453125" customWidth="1"/>
    <col min="18" max="18" width="26.453125" customWidth="1"/>
    <col min="19" max="20" width="14.453125" customWidth="1"/>
    <col min="21" max="21" width="0.81640625" style="745" customWidth="1"/>
    <col min="22" max="23" width="10.453125" customWidth="1"/>
    <col min="24" max="24" width="26" customWidth="1"/>
    <col min="25" max="25" width="41.08984375" customWidth="1"/>
    <col min="26" max="28" width="10.453125" customWidth="1"/>
    <col min="29" max="29" width="0.81640625" style="745" customWidth="1"/>
    <col min="30" max="34" width="6.08984375" customWidth="1"/>
    <col min="35" max="35" width="20.6328125" customWidth="1"/>
    <col min="36" max="42" width="6.08984375" customWidth="1"/>
    <col min="43" max="43" width="0.81640625" style="745" customWidth="1"/>
    <col min="44" max="44" width="4.1796875" customWidth="1"/>
    <col min="45" max="58" width="6.08984375" customWidth="1"/>
    <col min="59" max="59" width="30.54296875" customWidth="1"/>
    <col min="60" max="60" width="0.81640625" style="745" customWidth="1"/>
    <col min="61" max="86" width="6.08984375" customWidth="1"/>
  </cols>
  <sheetData>
    <row r="1" spans="1:86" ht="26" x14ac:dyDescent="0.6">
      <c r="A1" s="528" t="s">
        <v>587</v>
      </c>
      <c r="B1" s="678" t="s">
        <v>679</v>
      </c>
      <c r="C1" s="1156"/>
      <c r="D1" s="1156"/>
      <c r="E1" s="1156"/>
      <c r="F1" s="1156"/>
      <c r="G1" s="1156"/>
      <c r="H1" s="1156"/>
      <c r="I1" s="1156"/>
      <c r="J1" s="1156"/>
      <c r="K1" s="1156"/>
      <c r="L1" s="743"/>
      <c r="N1" s="1156"/>
      <c r="P1" s="1156"/>
      <c r="Q1" s="1156"/>
      <c r="R1" s="1156"/>
      <c r="S1" s="1156"/>
      <c r="T1" s="1156"/>
      <c r="U1" s="743"/>
      <c r="V1" s="1156"/>
      <c r="W1" s="1156"/>
      <c r="X1" s="1156"/>
      <c r="Y1" s="1156"/>
      <c r="Z1" s="1156"/>
      <c r="AA1" s="1156"/>
      <c r="AC1" s="743"/>
      <c r="AD1" s="678"/>
      <c r="AE1" s="678"/>
      <c r="AF1" s="678"/>
      <c r="AG1" s="678"/>
      <c r="AH1" s="678"/>
      <c r="AI1" s="678"/>
      <c r="AJ1" s="678"/>
      <c r="AK1" s="678"/>
      <c r="AL1" s="678"/>
      <c r="AM1" s="678"/>
      <c r="AN1" s="678"/>
      <c r="AO1" s="678"/>
      <c r="AP1" s="678"/>
      <c r="AQ1" s="743"/>
      <c r="AR1" s="678"/>
      <c r="AS1" s="678"/>
      <c r="AT1" s="678"/>
      <c r="AU1" s="678"/>
      <c r="AV1" s="678"/>
      <c r="AW1" s="678"/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743"/>
      <c r="BI1" s="678"/>
      <c r="BJ1" s="678"/>
      <c r="BK1" s="678"/>
      <c r="BL1" s="678"/>
      <c r="BM1" s="678"/>
      <c r="BN1" s="678"/>
      <c r="BO1" s="678"/>
      <c r="BP1" s="678"/>
      <c r="BQ1" s="678"/>
      <c r="BR1" s="678"/>
      <c r="BS1" s="678"/>
      <c r="BT1" s="678"/>
      <c r="BU1" s="678"/>
      <c r="BV1" s="678"/>
      <c r="BW1" s="678"/>
      <c r="BX1" s="678"/>
      <c r="BY1" s="678"/>
      <c r="BZ1" s="678"/>
      <c r="CA1" s="678"/>
      <c r="CB1" s="678"/>
      <c r="CC1" s="678"/>
      <c r="CD1" s="678"/>
      <c r="CE1" s="678"/>
      <c r="CF1" s="678"/>
      <c r="CG1" s="678"/>
      <c r="CH1" s="678"/>
    </row>
    <row r="2" spans="1:86" x14ac:dyDescent="0.35">
      <c r="C2" s="377" t="s">
        <v>1048</v>
      </c>
      <c r="N2" s="377" t="s">
        <v>986</v>
      </c>
      <c r="W2" s="377" t="s">
        <v>866</v>
      </c>
      <c r="AE2" s="377" t="s">
        <v>863</v>
      </c>
      <c r="AS2" s="377" t="s">
        <v>862</v>
      </c>
    </row>
    <row r="3" spans="1:86" x14ac:dyDescent="0.35">
      <c r="AH3" s="377"/>
      <c r="AS3" s="377"/>
    </row>
    <row r="4" spans="1:86" x14ac:dyDescent="0.35">
      <c r="AH4" s="377"/>
      <c r="AS4" s="377"/>
    </row>
    <row r="5" spans="1:86" x14ac:dyDescent="0.35">
      <c r="AH5" s="377"/>
      <c r="AS5" s="377"/>
    </row>
    <row r="6" spans="1:86" x14ac:dyDescent="0.35">
      <c r="AH6" s="377"/>
      <c r="AS6" s="377"/>
    </row>
    <row r="7" spans="1:86" x14ac:dyDescent="0.35">
      <c r="AH7" s="377"/>
      <c r="AS7" s="377"/>
    </row>
    <row r="8" spans="1:86" x14ac:dyDescent="0.35">
      <c r="AH8" s="377"/>
      <c r="AS8" s="377"/>
    </row>
    <row r="9" spans="1:86" x14ac:dyDescent="0.35">
      <c r="AH9" s="377"/>
      <c r="AS9" s="377"/>
    </row>
    <row r="10" spans="1:86" x14ac:dyDescent="0.35">
      <c r="AH10" s="377"/>
      <c r="AS10" s="377"/>
    </row>
    <row r="11" spans="1:86" x14ac:dyDescent="0.35">
      <c r="AH11" s="377"/>
      <c r="AS11" s="377"/>
    </row>
    <row r="12" spans="1:86" x14ac:dyDescent="0.35">
      <c r="AH12" s="377"/>
      <c r="AS12" s="377"/>
    </row>
    <row r="13" spans="1:86" x14ac:dyDescent="0.35">
      <c r="AH13" s="377"/>
      <c r="AS13" s="377"/>
    </row>
    <row r="14" spans="1:86" x14ac:dyDescent="0.35">
      <c r="AH14" s="377"/>
      <c r="AS14" s="377"/>
    </row>
    <row r="15" spans="1:86" x14ac:dyDescent="0.35">
      <c r="AH15" s="377"/>
      <c r="AS15" s="377"/>
    </row>
    <row r="16" spans="1:86" x14ac:dyDescent="0.35">
      <c r="AH16" s="377"/>
      <c r="AS16" s="377"/>
    </row>
    <row r="17" spans="34:45" x14ac:dyDescent="0.35">
      <c r="AH17" s="377"/>
      <c r="AS17" s="377"/>
    </row>
    <row r="18" spans="34:45" x14ac:dyDescent="0.35">
      <c r="AH18" s="377"/>
      <c r="AS18" s="377"/>
    </row>
    <row r="19" spans="34:45" x14ac:dyDescent="0.35">
      <c r="AH19" s="377"/>
      <c r="AS19" s="377"/>
    </row>
    <row r="20" spans="34:45" x14ac:dyDescent="0.35">
      <c r="AH20" s="377"/>
      <c r="AS20" s="377"/>
    </row>
    <row r="21" spans="34:45" x14ac:dyDescent="0.35">
      <c r="AH21" s="377"/>
      <c r="AS21" s="377"/>
    </row>
    <row r="22" spans="34:45" x14ac:dyDescent="0.35">
      <c r="AH22" s="377"/>
      <c r="AS22" s="377"/>
    </row>
    <row r="23" spans="34:45" x14ac:dyDescent="0.35">
      <c r="AH23" s="377"/>
      <c r="AS23" s="377"/>
    </row>
    <row r="24" spans="34:45" x14ac:dyDescent="0.35">
      <c r="AH24" s="377"/>
      <c r="AS24" s="377"/>
    </row>
    <row r="25" spans="34:45" x14ac:dyDescent="0.35">
      <c r="AH25" s="377"/>
      <c r="AS25" s="377"/>
    </row>
    <row r="26" spans="34:45" x14ac:dyDescent="0.35">
      <c r="AH26" s="377"/>
      <c r="AS26" s="377"/>
    </row>
    <row r="27" spans="34:45" x14ac:dyDescent="0.35">
      <c r="AH27" s="377"/>
      <c r="AS27" s="377"/>
    </row>
    <row r="28" spans="34:45" x14ac:dyDescent="0.35">
      <c r="AH28" s="377"/>
      <c r="AS28" s="377"/>
    </row>
    <row r="29" spans="34:45" x14ac:dyDescent="0.35">
      <c r="AH29" s="377"/>
      <c r="AS29" s="377"/>
    </row>
    <row r="30" spans="34:45" x14ac:dyDescent="0.35">
      <c r="AH30" s="377"/>
      <c r="AS30" s="377"/>
    </row>
    <row r="31" spans="34:45" x14ac:dyDescent="0.35">
      <c r="AH31" s="377"/>
      <c r="AS31" s="377"/>
    </row>
    <row r="32" spans="34:45" x14ac:dyDescent="0.35">
      <c r="AH32" s="377"/>
      <c r="AS32" s="377"/>
    </row>
    <row r="33" spans="1:86" x14ac:dyDescent="0.35">
      <c r="AH33" s="377"/>
      <c r="AS33" s="377"/>
    </row>
    <row r="34" spans="1:86" x14ac:dyDescent="0.35">
      <c r="AH34" s="377"/>
      <c r="AS34" s="377"/>
    </row>
    <row r="35" spans="1:86" x14ac:dyDescent="0.35">
      <c r="AH35" s="377"/>
      <c r="AS35" s="377"/>
    </row>
    <row r="36" spans="1:86" x14ac:dyDescent="0.35">
      <c r="AH36" s="377"/>
      <c r="AS36" s="377"/>
    </row>
    <row r="37" spans="1:86" x14ac:dyDescent="0.35">
      <c r="AH37" s="377"/>
      <c r="AS37" s="377"/>
    </row>
    <row r="38" spans="1:86" x14ac:dyDescent="0.35">
      <c r="AH38" s="377"/>
      <c r="AS38" s="377"/>
    </row>
    <row r="39" spans="1:86" x14ac:dyDescent="0.35">
      <c r="AH39" s="377"/>
      <c r="AS39" s="377"/>
    </row>
    <row r="40" spans="1:86" x14ac:dyDescent="0.35">
      <c r="AH40" s="377"/>
      <c r="AS40" s="377"/>
    </row>
    <row r="41" spans="1:86" ht="17.5" x14ac:dyDescent="0.35">
      <c r="AH41" s="377"/>
      <c r="AS41" s="122">
        <v>1</v>
      </c>
      <c r="AT41" s="122" t="s">
        <v>665</v>
      </c>
    </row>
    <row r="42" spans="1:86" ht="17.5" x14ac:dyDescent="0.35">
      <c r="A42" s="122"/>
      <c r="B42" s="122"/>
      <c r="C42" s="122"/>
      <c r="D42" s="122"/>
      <c r="E42" s="122"/>
      <c r="F42" s="122"/>
      <c r="G42" s="122"/>
      <c r="H42" s="122"/>
      <c r="I42" s="122"/>
      <c r="J42" s="122"/>
      <c r="K42" s="122"/>
      <c r="L42" s="744"/>
      <c r="M42" s="122"/>
      <c r="N42" s="122"/>
      <c r="O42" s="122"/>
      <c r="P42" s="122"/>
      <c r="Q42" s="122"/>
      <c r="R42" s="122"/>
      <c r="S42" s="122"/>
      <c r="T42" s="122"/>
      <c r="U42" s="744"/>
      <c r="V42" s="122"/>
      <c r="W42" s="122"/>
      <c r="X42" s="122"/>
      <c r="Y42" s="122"/>
      <c r="Z42" s="122"/>
      <c r="AA42" s="122"/>
      <c r="AB42" s="122"/>
      <c r="AC42" s="744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744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744"/>
      <c r="BI42" s="122"/>
      <c r="BJ42" s="122"/>
      <c r="BK42" s="122"/>
      <c r="BL42" s="122"/>
      <c r="BM42" s="122"/>
      <c r="BN42" s="122"/>
      <c r="BO42" s="122"/>
      <c r="BP42" s="122"/>
      <c r="BQ42" s="122"/>
      <c r="BR42" s="122"/>
      <c r="BS42" s="122"/>
      <c r="BT42" s="122"/>
      <c r="BU42" s="122"/>
      <c r="BV42" s="122"/>
      <c r="BW42" s="122"/>
      <c r="BX42" s="122"/>
      <c r="BY42" s="122"/>
      <c r="BZ42" s="122"/>
      <c r="CA42" s="122"/>
      <c r="CB42" s="122"/>
      <c r="CC42" s="122"/>
      <c r="CD42" s="122"/>
      <c r="CE42" s="122"/>
      <c r="CF42" s="122"/>
      <c r="CG42" s="122"/>
      <c r="CH42" s="122"/>
    </row>
    <row r="76" spans="1:86" ht="17.5" x14ac:dyDescent="0.35">
      <c r="A76" s="122">
        <v>2</v>
      </c>
      <c r="B76" s="122"/>
      <c r="C76" s="122"/>
      <c r="D76" s="122"/>
      <c r="E76" s="122"/>
      <c r="F76" s="122"/>
      <c r="G76" s="122"/>
      <c r="H76" s="122"/>
      <c r="I76" s="122"/>
      <c r="J76" s="122"/>
      <c r="K76" s="122"/>
      <c r="L76" s="744"/>
      <c r="M76" s="122"/>
      <c r="N76" s="122"/>
      <c r="O76" s="122"/>
      <c r="P76" s="122"/>
      <c r="Q76" s="122"/>
      <c r="R76" s="122"/>
      <c r="S76" s="122"/>
      <c r="T76" s="122"/>
      <c r="U76" s="744"/>
      <c r="V76" s="122"/>
      <c r="W76" s="122"/>
      <c r="X76" s="122"/>
      <c r="Y76" s="122"/>
      <c r="Z76" s="122"/>
      <c r="AA76" s="122"/>
      <c r="AB76" s="122" t="s">
        <v>676</v>
      </c>
      <c r="AC76" s="744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744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744"/>
      <c r="BI76" s="122"/>
      <c r="BJ76" s="122"/>
      <c r="BK76" s="122"/>
      <c r="BL76" s="122"/>
      <c r="BM76" s="122"/>
      <c r="BN76" s="122"/>
      <c r="BO76" s="122"/>
      <c r="BP76" s="122"/>
      <c r="BQ76" s="122"/>
      <c r="BR76" s="122"/>
      <c r="BS76" s="122"/>
      <c r="BT76" s="122"/>
      <c r="BU76" s="122"/>
      <c r="BV76" s="122"/>
      <c r="BW76" s="122"/>
      <c r="BX76" s="122"/>
      <c r="BY76" s="122"/>
      <c r="BZ76" s="122"/>
      <c r="CA76" s="122"/>
      <c r="CB76" s="122"/>
      <c r="CC76" s="122"/>
      <c r="CD76" s="122"/>
      <c r="CE76" s="122"/>
      <c r="CF76" s="122"/>
      <c r="CG76" s="122"/>
      <c r="CH76" s="122"/>
    </row>
    <row r="112" spans="1:86" ht="17.5" x14ac:dyDescent="0.35">
      <c r="A112" s="122">
        <v>3</v>
      </c>
      <c r="B112" s="122"/>
      <c r="C112" s="122"/>
      <c r="D112" s="122"/>
      <c r="E112" s="122"/>
      <c r="F112" s="122"/>
      <c r="G112" s="122"/>
      <c r="H112" s="122"/>
      <c r="I112" s="122"/>
      <c r="J112" s="122"/>
      <c r="K112" s="122"/>
      <c r="L112" s="744"/>
      <c r="M112" s="122"/>
      <c r="N112" s="122"/>
      <c r="O112" s="122"/>
      <c r="P112" s="122"/>
      <c r="Q112" s="122"/>
      <c r="R112" s="122"/>
      <c r="S112" s="122"/>
      <c r="T112" s="122"/>
      <c r="U112" s="744"/>
      <c r="V112" s="122"/>
      <c r="W112" s="122"/>
      <c r="X112" s="122"/>
      <c r="Y112" s="122"/>
      <c r="Z112" s="122"/>
      <c r="AA112" s="122"/>
      <c r="AB112" s="122" t="s">
        <v>680</v>
      </c>
      <c r="AC112" s="744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744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744"/>
      <c r="BI112" s="122"/>
      <c r="BJ112" s="122"/>
      <c r="BK112" s="122"/>
      <c r="BL112" s="122"/>
      <c r="BM112" s="122"/>
      <c r="BN112" s="122"/>
      <c r="BO112" s="122"/>
      <c r="BP112" s="122"/>
      <c r="BQ112" s="122"/>
      <c r="BR112" s="122"/>
      <c r="BS112" s="122"/>
      <c r="BT112" s="122"/>
      <c r="BU112" s="122"/>
      <c r="BV112" s="122"/>
      <c r="BW112" s="122"/>
      <c r="BX112" s="122"/>
      <c r="BY112" s="122"/>
      <c r="BZ112" s="122"/>
      <c r="CA112" s="122"/>
      <c r="CB112" s="122"/>
      <c r="CC112" s="122"/>
      <c r="CD112" s="122"/>
      <c r="CE112" s="122"/>
      <c r="CF112" s="122"/>
      <c r="CG112" s="122"/>
      <c r="CH112" s="122"/>
    </row>
    <row r="147" spans="1:86" ht="17.5" x14ac:dyDescent="0.35">
      <c r="A147" s="122">
        <v>4</v>
      </c>
      <c r="B147" s="122"/>
      <c r="C147" s="122"/>
      <c r="D147" s="122"/>
      <c r="E147" s="122"/>
      <c r="F147" s="122"/>
      <c r="G147" s="122"/>
      <c r="H147" s="122"/>
      <c r="I147" s="122"/>
      <c r="J147" s="122"/>
      <c r="K147" s="122"/>
      <c r="L147" s="744"/>
      <c r="M147" s="122"/>
      <c r="N147" s="122"/>
      <c r="O147" s="122"/>
      <c r="P147" s="122"/>
      <c r="Q147" s="122"/>
      <c r="R147" s="122"/>
      <c r="S147" s="122"/>
      <c r="T147" s="122"/>
      <c r="U147" s="744"/>
      <c r="V147" s="122"/>
      <c r="W147" s="122"/>
      <c r="X147" s="122"/>
      <c r="Y147" s="122"/>
      <c r="Z147" s="122"/>
      <c r="AA147" s="122"/>
      <c r="AB147" s="122" t="s">
        <v>666</v>
      </c>
      <c r="AC147" s="744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O147" s="122"/>
      <c r="AP147" s="122"/>
      <c r="AQ147" s="744"/>
      <c r="AR147" s="122"/>
      <c r="AS147" s="122"/>
      <c r="AT147" s="122"/>
      <c r="AU147" s="122"/>
      <c r="AV147" s="122"/>
      <c r="AW147" s="122"/>
      <c r="AX147" s="122"/>
      <c r="AY147" s="122"/>
      <c r="AZ147" s="122"/>
      <c r="BA147" s="122"/>
      <c r="BB147" s="122"/>
      <c r="BC147" s="122"/>
      <c r="BD147" s="122"/>
      <c r="BE147" s="122"/>
      <c r="BF147" s="122"/>
      <c r="BG147" s="122"/>
      <c r="BH147" s="744"/>
      <c r="BI147" s="122"/>
      <c r="BJ147" s="122"/>
      <c r="BK147" s="122"/>
      <c r="BL147" s="122"/>
      <c r="BM147" s="122"/>
      <c r="BN147" s="122"/>
      <c r="BO147" s="122"/>
      <c r="BP147" s="122"/>
      <c r="BQ147" s="122"/>
      <c r="BR147" s="122"/>
      <c r="BS147" s="122"/>
      <c r="BT147" s="122"/>
      <c r="BU147" s="122"/>
      <c r="BV147" s="122"/>
      <c r="BW147" s="122"/>
      <c r="BX147" s="122"/>
      <c r="BY147" s="122"/>
      <c r="BZ147" s="122"/>
      <c r="CA147" s="122"/>
      <c r="CB147" s="122"/>
      <c r="CC147" s="122"/>
      <c r="CD147" s="122"/>
      <c r="CE147" s="122"/>
      <c r="CF147" s="122"/>
      <c r="CG147" s="122"/>
      <c r="CH147" s="122"/>
    </row>
  </sheetData>
  <hyperlinks>
    <hyperlink ref="A1" location="'00. DM'!A1" display="00. DM" xr:uid="{DC6D6141-360B-4D53-AA2A-ABA3B46BEC6A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08639-60B5-47E9-A3F6-12B86A863852}">
  <sheetPr>
    <tabColor rgb="FF00B0F0"/>
  </sheetPr>
  <dimension ref="A1:BD116"/>
  <sheetViews>
    <sheetView topLeftCell="X1" zoomScale="85" zoomScaleNormal="85" workbookViewId="0">
      <pane ySplit="3" topLeftCell="A4" activePane="bottomLeft" state="frozen"/>
      <selection pane="bottomLeft" activeCell="AI17" sqref="AI17"/>
    </sheetView>
  </sheetViews>
  <sheetFormatPr defaultRowHeight="14.5" outlineLevelRow="1" outlineLevelCol="1" x14ac:dyDescent="0.35"/>
  <cols>
    <col min="1" max="1" width="5.08984375" bestFit="1" customWidth="1"/>
    <col min="2" max="2" width="10.6328125" bestFit="1" customWidth="1"/>
    <col min="3" max="3" width="10.81640625" bestFit="1" customWidth="1"/>
    <col min="4" max="4" width="10.1796875" bestFit="1" customWidth="1"/>
    <col min="5" max="5" width="9.1796875" bestFit="1" customWidth="1"/>
    <col min="6" max="6" width="10.1796875" bestFit="1" customWidth="1"/>
    <col min="7" max="7" width="2" customWidth="1"/>
    <col min="8" max="8" width="6.1796875" customWidth="1" outlineLevel="1"/>
    <col min="9" max="9" width="12.90625" customWidth="1" outlineLevel="1"/>
    <col min="10" max="10" width="10.81640625" customWidth="1" outlineLevel="1"/>
    <col min="11" max="11" width="8.81640625" customWidth="1" outlineLevel="1"/>
    <col min="12" max="12" width="2.08984375" customWidth="1" outlineLevel="1"/>
    <col min="13" max="13" width="6.453125" customWidth="1"/>
    <col min="14" max="14" width="13.453125" customWidth="1"/>
    <col min="15" max="15" width="10.81640625" bestFit="1" customWidth="1"/>
    <col min="16" max="16" width="10.1796875" bestFit="1" customWidth="1"/>
    <col min="18" max="18" width="10.1796875" bestFit="1" customWidth="1"/>
    <col min="19" max="19" width="1.90625" customWidth="1"/>
    <col min="20" max="20" width="8.81640625" customWidth="1" outlineLevel="1"/>
    <col min="21" max="21" width="10.6328125" customWidth="1" outlineLevel="1"/>
    <col min="22" max="22" width="10.81640625" customWidth="1" outlineLevel="1"/>
    <col min="23" max="23" width="8.81640625" customWidth="1" outlineLevel="1"/>
    <col min="24" max="24" width="3.36328125" customWidth="1"/>
    <col min="25" max="25" width="5.54296875" style="173" customWidth="1"/>
    <col min="26" max="26" width="16.453125" customWidth="1"/>
    <col min="27" max="33" width="10.54296875" customWidth="1"/>
    <col min="34" max="38" width="10.54296875" customWidth="1" outlineLevel="1"/>
    <col min="39" max="40" width="11.81640625" customWidth="1"/>
    <col min="41" max="41" width="4.1796875" style="481" customWidth="1"/>
    <col min="42" max="42" width="1.90625" customWidth="1"/>
    <col min="43" max="54" width="10.81640625" customWidth="1" outlineLevel="1"/>
    <col min="55" max="55" width="11.81640625" bestFit="1" customWidth="1"/>
    <col min="56" max="56" width="10.54296875" customWidth="1"/>
    <col min="67" max="67" width="1.81640625" customWidth="1"/>
  </cols>
  <sheetData>
    <row r="1" spans="1:56" ht="26" x14ac:dyDescent="0.6">
      <c r="B1" s="528" t="s">
        <v>587</v>
      </c>
      <c r="C1" s="678" t="s">
        <v>822</v>
      </c>
      <c r="AA1" s="610"/>
    </row>
    <row r="2" spans="1:56" ht="17.5" x14ac:dyDescent="0.35">
      <c r="AA2" s="184"/>
    </row>
    <row r="3" spans="1:56" ht="21" x14ac:dyDescent="0.5">
      <c r="B3" s="643" t="s">
        <v>669</v>
      </c>
      <c r="C3" s="644">
        <v>8</v>
      </c>
      <c r="M3" s="643" t="str">
        <f>"LŨY KẾ ĐẾN T"&amp;C3&amp;"/25"</f>
        <v>LŨY KẾ ĐẾN T8/25</v>
      </c>
      <c r="AA3" s="184"/>
    </row>
    <row r="4" spans="1:56" ht="21" x14ac:dyDescent="0.5">
      <c r="A4" s="740">
        <v>1</v>
      </c>
      <c r="B4" s="740" t="s">
        <v>665</v>
      </c>
      <c r="Y4" s="122">
        <v>1</v>
      </c>
      <c r="Z4" s="122" t="s">
        <v>665</v>
      </c>
      <c r="AQ4" s="643">
        <v>2024</v>
      </c>
    </row>
    <row r="5" spans="1:56" ht="17.5" outlineLevel="1" x14ac:dyDescent="0.35">
      <c r="C5" s="645">
        <f>SUM(C7:C12)</f>
        <v>5162</v>
      </c>
      <c r="D5" s="647">
        <f>SUM(D7:D12)</f>
        <v>1</v>
      </c>
      <c r="E5" s="645">
        <f>SUM(E7:E12)</f>
        <v>4611.4182000000001</v>
      </c>
      <c r="F5" s="647">
        <f>SUM(F7:F12)</f>
        <v>0.99999999999999989</v>
      </c>
      <c r="J5" s="617">
        <f>SUM(J7:J12)</f>
        <v>5162</v>
      </c>
      <c r="O5" s="645">
        <f ca="1">SUM(O7:O12)</f>
        <v>35364</v>
      </c>
      <c r="P5" s="647">
        <f ca="1">SUM(P7:P12)</f>
        <v>1</v>
      </c>
      <c r="Q5" s="645">
        <f ca="1">SUM(Q7:Q12)</f>
        <v>21800.868199999997</v>
      </c>
      <c r="R5" s="647">
        <f ca="1">SUM(R7:R12)</f>
        <v>1</v>
      </c>
      <c r="V5" s="617">
        <f ca="1">SUM(V7:V12)</f>
        <v>35364</v>
      </c>
      <c r="Z5" s="642">
        <v>2025</v>
      </c>
      <c r="AA5" s="617">
        <f t="shared" ref="AA5:AM5" si="0">SUM(AA7:AA12)</f>
        <v>3488</v>
      </c>
      <c r="AB5" s="617">
        <f t="shared" si="0"/>
        <v>5477</v>
      </c>
      <c r="AC5" s="617">
        <f t="shared" si="0"/>
        <v>4574</v>
      </c>
      <c r="AD5" s="617">
        <f t="shared" si="0"/>
        <v>3851</v>
      </c>
      <c r="AE5" s="617">
        <f t="shared" si="0"/>
        <v>4579</v>
      </c>
      <c r="AF5" s="617">
        <f t="shared" si="0"/>
        <v>3673</v>
      </c>
      <c r="AG5" s="617">
        <f t="shared" si="0"/>
        <v>4560</v>
      </c>
      <c r="AH5" s="617">
        <f t="shared" si="0"/>
        <v>5162</v>
      </c>
      <c r="AI5" s="617">
        <f t="shared" si="0"/>
        <v>2649</v>
      </c>
      <c r="AJ5" s="617">
        <f t="shared" si="0"/>
        <v>0</v>
      </c>
      <c r="AK5" s="617">
        <f t="shared" si="0"/>
        <v>0</v>
      </c>
      <c r="AL5" s="617">
        <f t="shared" si="0"/>
        <v>0</v>
      </c>
      <c r="AM5" s="617">
        <f t="shared" si="0"/>
        <v>38013</v>
      </c>
      <c r="AN5" s="627">
        <f>$C$3</f>
        <v>8</v>
      </c>
      <c r="AO5" s="623"/>
      <c r="AQ5" s="617">
        <f t="shared" ref="AQ5:BC5" si="1">SUM(AQ7:AQ12)</f>
        <v>2153.3249999999998</v>
      </c>
      <c r="AR5" s="617">
        <f t="shared" si="1"/>
        <v>2064.375</v>
      </c>
      <c r="AS5" s="617">
        <f t="shared" si="1"/>
        <v>2908.3999999999996</v>
      </c>
      <c r="AT5" s="617">
        <f t="shared" si="1"/>
        <v>3200.75</v>
      </c>
      <c r="AU5" s="617">
        <f t="shared" si="1"/>
        <v>3196.6249999999995</v>
      </c>
      <c r="AV5" s="617">
        <f t="shared" si="1"/>
        <v>1881.7499999999998</v>
      </c>
      <c r="AW5" s="617">
        <f t="shared" si="1"/>
        <v>1784.2249999999999</v>
      </c>
      <c r="AX5" s="617">
        <f t="shared" si="1"/>
        <v>4611.4182000000001</v>
      </c>
      <c r="AY5" s="617">
        <f t="shared" si="1"/>
        <v>4683.6000000000004</v>
      </c>
      <c r="AZ5" s="617">
        <f t="shared" si="1"/>
        <v>3573.5250000000001</v>
      </c>
      <c r="BA5" s="617">
        <f t="shared" si="1"/>
        <v>1971.9250000000004</v>
      </c>
      <c r="BB5" s="617">
        <f t="shared" si="1"/>
        <v>2927.35</v>
      </c>
      <c r="BC5" s="617">
        <f t="shared" si="1"/>
        <v>34957.268200000006</v>
      </c>
      <c r="BD5" s="627">
        <f>$C$3</f>
        <v>8</v>
      </c>
    </row>
    <row r="6" spans="1:56" ht="15" outlineLevel="1" x14ac:dyDescent="0.35">
      <c r="A6" s="616" t="s">
        <v>673</v>
      </c>
      <c r="B6" s="616" t="s">
        <v>799</v>
      </c>
      <c r="C6" s="646">
        <v>2025</v>
      </c>
      <c r="D6" s="616" t="s">
        <v>674</v>
      </c>
      <c r="E6" s="646">
        <v>2024</v>
      </c>
      <c r="F6" s="616" t="s">
        <v>675</v>
      </c>
      <c r="H6" s="616" t="s">
        <v>174</v>
      </c>
      <c r="I6" s="616" t="s">
        <v>799</v>
      </c>
      <c r="J6" s="616" t="s">
        <v>672</v>
      </c>
      <c r="K6" s="616" t="s">
        <v>673</v>
      </c>
      <c r="M6" s="648" t="s">
        <v>673</v>
      </c>
      <c r="N6" s="648" t="s">
        <v>799</v>
      </c>
      <c r="O6" s="649">
        <v>2025</v>
      </c>
      <c r="P6" s="648" t="s">
        <v>674</v>
      </c>
      <c r="Q6" s="649">
        <v>2024</v>
      </c>
      <c r="R6" s="648" t="s">
        <v>675</v>
      </c>
      <c r="T6" s="648" t="s">
        <v>174</v>
      </c>
      <c r="U6" s="648" t="s">
        <v>799</v>
      </c>
      <c r="V6" s="648" t="s">
        <v>672</v>
      </c>
      <c r="W6" s="648" t="s">
        <v>673</v>
      </c>
      <c r="Y6" s="616" t="s">
        <v>174</v>
      </c>
      <c r="Z6" s="616" t="s">
        <v>799</v>
      </c>
      <c r="AA6" s="443">
        <v>1</v>
      </c>
      <c r="AB6" s="616">
        <v>2</v>
      </c>
      <c r="AC6" s="616">
        <v>3</v>
      </c>
      <c r="AD6" s="616">
        <v>4</v>
      </c>
      <c r="AE6" s="616">
        <v>5</v>
      </c>
      <c r="AF6" s="616">
        <v>6</v>
      </c>
      <c r="AG6" s="616">
        <v>7</v>
      </c>
      <c r="AH6" s="616">
        <v>8</v>
      </c>
      <c r="AI6" s="616">
        <v>9</v>
      </c>
      <c r="AJ6" s="616">
        <v>10</v>
      </c>
      <c r="AK6" s="616">
        <v>11</v>
      </c>
      <c r="AL6" s="616">
        <v>12</v>
      </c>
      <c r="AM6" s="616">
        <v>2025</v>
      </c>
      <c r="AN6" s="616" t="s">
        <v>409</v>
      </c>
      <c r="AO6" s="450"/>
      <c r="AQ6" s="625">
        <v>1</v>
      </c>
      <c r="AR6" s="626">
        <v>2</v>
      </c>
      <c r="AS6" s="626">
        <v>3</v>
      </c>
      <c r="AT6" s="626">
        <v>4</v>
      </c>
      <c r="AU6" s="626">
        <v>5</v>
      </c>
      <c r="AV6" s="626">
        <v>6</v>
      </c>
      <c r="AW6" s="626">
        <v>7</v>
      </c>
      <c r="AX6" s="626">
        <v>8</v>
      </c>
      <c r="AY6" s="626">
        <v>9</v>
      </c>
      <c r="AZ6" s="626">
        <v>10</v>
      </c>
      <c r="BA6" s="626">
        <v>11</v>
      </c>
      <c r="BB6" s="626">
        <v>12</v>
      </c>
      <c r="BC6" s="626">
        <v>2024</v>
      </c>
      <c r="BD6" s="626" t="s">
        <v>410</v>
      </c>
    </row>
    <row r="7" spans="1:56" ht="15.5" outlineLevel="1" x14ac:dyDescent="0.35">
      <c r="A7" s="661">
        <v>1</v>
      </c>
      <c r="B7" s="666" t="str">
        <f>_xlfn.XLOOKUP(A7,$K$7:$K$12,$I$7:$I$12,0)</f>
        <v>Nội địa</v>
      </c>
      <c r="C7" s="663">
        <f>IFERROR(INDEX($AA$7:$AL$12,MATCH(B7,$Z$7:$Z$12,0),MATCH($C$3,$AA$6:$AL$6,0)),0)</f>
        <v>2203</v>
      </c>
      <c r="D7" s="664">
        <f>C7/$C$5</f>
        <v>0.42677256877179387</v>
      </c>
      <c r="E7" s="663">
        <f>IFERROR(INDEX($AQ$7:$BB$12,MATCH(B7,$Z$7:$Z$12,0),MATCH($C$3,$AQ$6:$BB$6,0)),0)</f>
        <v>1301.1181999999999</v>
      </c>
      <c r="F7" s="664">
        <f>E7/$E$5</f>
        <v>0.28215142144340755</v>
      </c>
      <c r="H7" s="650">
        <v>1</v>
      </c>
      <c r="I7" s="651" t="str">
        <f>Z7</f>
        <v>Bắc mỹ</v>
      </c>
      <c r="J7" s="652">
        <f>INDEX($AA$7:$AL$12,MATCH(I7,$Z$7:$Z$12,0),MATCH($C$3,$AA$6:$AL$6,0))</f>
        <v>1650</v>
      </c>
      <c r="K7" s="653">
        <f>IF(J7&lt;&gt;0,RANK(J7,$J$7:$J$12),"-")</f>
        <v>2</v>
      </c>
      <c r="M7" s="661">
        <v>1</v>
      </c>
      <c r="N7" s="666" t="str">
        <f ca="1">_xlfn.XLOOKUP(M7,$W$7:$W$12,$U$7:$U$12,0)</f>
        <v>Bắc mỹ</v>
      </c>
      <c r="O7" s="663">
        <f ca="1">_xlfn.XLOOKUP(N7,$Z$7:$Z$12,$AN$7:$AN$12,0)</f>
        <v>14265</v>
      </c>
      <c r="P7" s="664">
        <f ca="1">O7/$O$5</f>
        <v>0.40337631489650494</v>
      </c>
      <c r="Q7" s="663">
        <f ca="1">_xlfn.XLOOKUP(N7,$Z$7:$Z$12,$BD$7:$BD$12,0)</f>
        <v>7813</v>
      </c>
      <c r="R7" s="664">
        <f ca="1">Q7/$Q$5</f>
        <v>0.3583802226738842</v>
      </c>
      <c r="T7" s="650">
        <v>1</v>
      </c>
      <c r="U7" s="651" t="str">
        <f>Z7</f>
        <v>Bắc mỹ</v>
      </c>
      <c r="V7" s="656">
        <f ca="1">_xlfn.XLOOKUP(U7,$Z$7:$Z$12,$AN$7:$AN$12,0)</f>
        <v>14265</v>
      </c>
      <c r="W7" s="653">
        <f ca="1">IF(V7&lt;&gt;0,_xlfn.RANK.AVG(V7,$V$7:$V$12),"-")</f>
        <v>1</v>
      </c>
      <c r="X7">
        <v>2</v>
      </c>
      <c r="Y7" s="320">
        <v>1</v>
      </c>
      <c r="Z7" s="31" t="s">
        <v>824</v>
      </c>
      <c r="AA7" s="508">
        <f>ROUND(SUMIF('06. BC BH THEO CUSTOMER-USD'!$G:$G,'8.1. Chart_Khu vực'!$Z7,'06. BC BH THEO CUSTOMER-USD'!CS:CS),0)</f>
        <v>2376</v>
      </c>
      <c r="AB7" s="508">
        <f>ROUND(SUMIF('06. BC BH THEO CUSTOMER-USD'!$G:$G,'8.1. Chart_Khu vực'!$Z7,'06. BC BH THEO CUSTOMER-USD'!CT:CT),0)</f>
        <v>2002</v>
      </c>
      <c r="AC7" s="508">
        <f>ROUND(SUMIF('06. BC BH THEO CUSTOMER-USD'!$G:$G,'8.1. Chart_Khu vực'!$Z7,'06. BC BH THEO CUSTOMER-USD'!CU:CU),0)</f>
        <v>1917</v>
      </c>
      <c r="AD7" s="508">
        <f>ROUND(SUMIF('06. BC BH THEO CUSTOMER-USD'!$G:$G,'8.1. Chart_Khu vực'!$Z7,'06. BC BH THEO CUSTOMER-USD'!CV:CV),0)</f>
        <v>1452</v>
      </c>
      <c r="AE7" s="508">
        <f>ROUND(SUMIF('06. BC BH THEO CUSTOMER-USD'!$G:$G,'8.1. Chart_Khu vực'!$Z7,'06. BC BH THEO CUSTOMER-USD'!CW:CW),0)</f>
        <v>2090</v>
      </c>
      <c r="AF7" s="508">
        <f>ROUND(SUMIF('06. BC BH THEO CUSTOMER-USD'!$G:$G,'8.1. Chart_Khu vực'!$Z7,'06. BC BH THEO CUSTOMER-USD'!CX:CX),0)</f>
        <v>996</v>
      </c>
      <c r="AG7" s="508">
        <f>ROUND(SUMIF('06. BC BH THEO CUSTOMER-USD'!$G:$G,'8.1. Chart_Khu vực'!$Z7,'06. BC BH THEO CUSTOMER-USD'!CY:CY),0)</f>
        <v>1782</v>
      </c>
      <c r="AH7" s="508">
        <f>ROUND(SUMIF('06. BC BH THEO CUSTOMER-USD'!$G:$G,'8.1. Chart_Khu vực'!$Z7,'06. BC BH THEO CUSTOMER-USD'!CZ:CZ),0)</f>
        <v>1650</v>
      </c>
      <c r="AI7" s="508">
        <f>ROUND(SUMIF('06. BC BH THEO CUSTOMER-USD'!$G:$G,'8.1. Chart_Khu vực'!$Z7,'06. BC BH THEO CUSTOMER-USD'!DA:DA),0)</f>
        <v>662</v>
      </c>
      <c r="AJ7" s="508">
        <f>ROUND(SUMIF('06. BC BH THEO CUSTOMER-USD'!$G:$G,'8.1. Chart_Khu vực'!$Z7,'06. BC BH THEO CUSTOMER-USD'!DB:DB),0)</f>
        <v>0</v>
      </c>
      <c r="AK7" s="508">
        <f>ROUND(SUMIF('06. BC BH THEO CUSTOMER-USD'!$G:$G,'8.1. Chart_Khu vực'!$Z7,'06. BC BH THEO CUSTOMER-USD'!DC:DC),0)</f>
        <v>0</v>
      </c>
      <c r="AL7" s="508">
        <f>ROUND(SUMIF('06. BC BH THEO CUSTOMER-USD'!$G:$G,'8.1. Chart_Khu vực'!$Z7,'06. BC BH THEO CUSTOMER-USD'!DD:DD),0)</f>
        <v>0</v>
      </c>
      <c r="AM7" s="620">
        <f>SUM(AA7:AL7)</f>
        <v>14927</v>
      </c>
      <c r="AN7" s="345">
        <f ca="1">IFERROR(SUM(OFFSET(AA7:AL7,0,0,1,$AN$5)),"-")</f>
        <v>14265</v>
      </c>
      <c r="AO7" s="624">
        <f>RANK(AM7,$AM$7:$AM$12)</f>
        <v>1</v>
      </c>
      <c r="AQ7" s="345">
        <v>1166</v>
      </c>
      <c r="AR7" s="345">
        <v>990</v>
      </c>
      <c r="AS7" s="345">
        <v>924</v>
      </c>
      <c r="AT7" s="345">
        <v>1254</v>
      </c>
      <c r="AU7" s="345">
        <v>660</v>
      </c>
      <c r="AV7" s="345">
        <v>242</v>
      </c>
      <c r="AW7" s="345">
        <v>880</v>
      </c>
      <c r="AX7" s="345">
        <v>1697</v>
      </c>
      <c r="AY7" s="345">
        <v>2046</v>
      </c>
      <c r="AZ7" s="345">
        <v>1188</v>
      </c>
      <c r="BA7" s="345">
        <v>462</v>
      </c>
      <c r="BB7" s="345">
        <v>1454</v>
      </c>
      <c r="BC7" s="620">
        <f>SUM(AQ7:BB7)</f>
        <v>12963</v>
      </c>
      <c r="BD7" s="345">
        <f ca="1">IFERROR(SUM(OFFSET(AQ7:BB7,0,0,1,$BD$5)),"-")</f>
        <v>7813</v>
      </c>
    </row>
    <row r="8" spans="1:56" outlineLevel="1" x14ac:dyDescent="0.35">
      <c r="A8" s="665">
        <v>2</v>
      </c>
      <c r="B8" s="666" t="str">
        <f>_xlfn.XLOOKUP(A8,$K$7:$K$12,$I$7:$I$12,0)</f>
        <v>Bắc mỹ</v>
      </c>
      <c r="C8" s="667">
        <f>IFERROR(INDEX($AA$7:$AL$12,MATCH(B8,$Z$7:$Z$12,0),MATCH($C$3,$AA$6:$AL$6,0)),0)</f>
        <v>1650</v>
      </c>
      <c r="D8" s="545">
        <f t="shared" ref="D8:D10" si="2">C8/$C$5</f>
        <v>0.31964354901201086</v>
      </c>
      <c r="E8" s="667">
        <f>IFERROR(INDEX($AQ$7:$BB$12,MATCH(B8,$Z$7:$Z$12,0),MATCH($C$3,$AQ$6:$BB$6,0)),0)</f>
        <v>1697</v>
      </c>
      <c r="F8" s="545">
        <f>E8/$E$5</f>
        <v>0.36799958849969405</v>
      </c>
      <c r="H8" s="654">
        <v>2</v>
      </c>
      <c r="I8" s="655" t="str">
        <f t="shared" ref="I8:I10" si="3">Z8</f>
        <v>Châu Âu</v>
      </c>
      <c r="J8" s="656">
        <f>INDEX($AA$7:$AL$12,MATCH(I8,$Z$7:$Z$12,0),MATCH($C$3,$AA$6:$AL$6,0))</f>
        <v>1045</v>
      </c>
      <c r="K8" s="657">
        <f>IF(J8&lt;&gt;0,RANK(J8,$J$7:$J$12),"-")</f>
        <v>3</v>
      </c>
      <c r="M8" s="665">
        <v>2</v>
      </c>
      <c r="N8" s="666" t="str">
        <f ca="1">_xlfn.XLOOKUP(M8,$W$7:$W$12,$U$7:$U$12,0)</f>
        <v>Nội địa</v>
      </c>
      <c r="O8" s="667">
        <f ca="1">_xlfn.XLOOKUP(N8,$Z$7:$Z$12,$AN$7:$AN$12,0)</f>
        <v>11468</v>
      </c>
      <c r="P8" s="545">
        <f t="shared" ref="P8:P10" ca="1" si="4">O8/$O$5</f>
        <v>0.32428458319194658</v>
      </c>
      <c r="Q8" s="667">
        <f ca="1">_xlfn.XLOOKUP(N8,$Z$7:$Z$12,$BD$7:$BD$12,0)</f>
        <v>9707.0931999999993</v>
      </c>
      <c r="R8" s="545">
        <f t="shared" ref="R8:R10" ca="1" si="5">Q8/$Q$5</f>
        <v>0.44526177173072401</v>
      </c>
      <c r="T8" s="654">
        <v>2</v>
      </c>
      <c r="U8" s="655" t="str">
        <f t="shared" ref="U8:U11" si="6">Z8</f>
        <v>Châu Âu</v>
      </c>
      <c r="V8" s="656">
        <f ca="1">_xlfn.XLOOKUP(U8,$Z$7:$Z$12,$AN$7:$AN$12,0)</f>
        <v>8126</v>
      </c>
      <c r="W8" s="657">
        <f ca="1">IF(V8&lt;&gt;0,_xlfn.RANK.EQ(V8,$V$7:$V$12),"-")</f>
        <v>3</v>
      </c>
      <c r="X8">
        <v>4</v>
      </c>
      <c r="Y8" s="322">
        <v>2</v>
      </c>
      <c r="Z8" s="247" t="s">
        <v>820</v>
      </c>
      <c r="AA8" s="510">
        <f>ROUND(SUMIF('06. BC BH THEO CUSTOMER-USD'!$G:$G,'8.1. Chart_Khu vực'!$Z8,'06. BC BH THEO CUSTOMER-USD'!CS:CS),0)</f>
        <v>0</v>
      </c>
      <c r="AB8" s="510">
        <f>ROUND(SUMIF('06. BC BH THEO CUSTOMER-USD'!$G:$G,'8.1. Chart_Khu vực'!$Z8,'06. BC BH THEO CUSTOMER-USD'!CT:CT),0)</f>
        <v>1810</v>
      </c>
      <c r="AC8" s="510">
        <f>ROUND(SUMIF('06. BC BH THEO CUSTOMER-USD'!$G:$G,'8.1. Chart_Khu vực'!$Z8,'06. BC BH THEO CUSTOMER-USD'!CU:CU),0)</f>
        <v>1067</v>
      </c>
      <c r="AD8" s="510">
        <f>ROUND(SUMIF('06. BC BH THEO CUSTOMER-USD'!$G:$G,'8.1. Chart_Khu vực'!$Z8,'06. BC BH THEO CUSTOMER-USD'!CV:CV),0)</f>
        <v>1056</v>
      </c>
      <c r="AE8" s="510">
        <f>ROUND(SUMIF('06. BC BH THEO CUSTOMER-USD'!$G:$G,'8.1. Chart_Khu vực'!$Z8,'06. BC BH THEO CUSTOMER-USD'!CW:CW),0)</f>
        <v>1254</v>
      </c>
      <c r="AF8" s="510">
        <f>ROUND(SUMIF('06. BC BH THEO CUSTOMER-USD'!$G:$G,'8.1. Chart_Khu vực'!$Z8,'06. BC BH THEO CUSTOMER-USD'!CX:CX),0)</f>
        <v>926</v>
      </c>
      <c r="AG8" s="510">
        <f>ROUND(SUMIF('06. BC BH THEO CUSTOMER-USD'!$G:$G,'8.1. Chart_Khu vực'!$Z8,'06. BC BH THEO CUSTOMER-USD'!CY:CY),0)</f>
        <v>968</v>
      </c>
      <c r="AH8" s="510">
        <f>ROUND(SUMIF('06. BC BH THEO CUSTOMER-USD'!$G:$G,'8.1. Chart_Khu vực'!$Z8,'06. BC BH THEO CUSTOMER-USD'!CZ:CZ),0)</f>
        <v>1045</v>
      </c>
      <c r="AI8" s="510">
        <f>ROUND(SUMIF('06. BC BH THEO CUSTOMER-USD'!$G:$G,'8.1. Chart_Khu vực'!$Z8,'06. BC BH THEO CUSTOMER-USD'!DA:DA),0)</f>
        <v>0</v>
      </c>
      <c r="AJ8" s="510">
        <f>ROUND(SUMIF('06. BC BH THEO CUSTOMER-USD'!$G:$G,'8.1. Chart_Khu vực'!$Z8,'06. BC BH THEO CUSTOMER-USD'!DB:DB),0)</f>
        <v>0</v>
      </c>
      <c r="AK8" s="510">
        <f>ROUND(SUMIF('06. BC BH THEO CUSTOMER-USD'!$G:$G,'8.1. Chart_Khu vực'!$Z8,'06. BC BH THEO CUSTOMER-USD'!DC:DC),0)</f>
        <v>0</v>
      </c>
      <c r="AL8" s="510">
        <f>ROUND(SUMIF('06. BC BH THEO CUSTOMER-USD'!$G:$G,'8.1. Chart_Khu vực'!$Z8,'06. BC BH THEO CUSTOMER-USD'!DD:DD),0)</f>
        <v>0</v>
      </c>
      <c r="AM8" s="621">
        <f t="shared" ref="AM8:AM11" si="7">SUM(AA8:AL8)</f>
        <v>8126</v>
      </c>
      <c r="AN8" s="346">
        <f t="shared" ref="AN8:AN12" ca="1" si="8">IFERROR(SUM(OFFSET(AA8:AL8,0,0,1,$AN$5)),"-")</f>
        <v>8126</v>
      </c>
      <c r="AO8" s="624">
        <f>RANK(AM8,$AM$7:$AM$12)</f>
        <v>3</v>
      </c>
      <c r="AQ8" s="346">
        <v>0</v>
      </c>
      <c r="AR8" s="346">
        <v>44</v>
      </c>
      <c r="AS8" s="346">
        <v>660</v>
      </c>
      <c r="AT8" s="346">
        <v>660</v>
      </c>
      <c r="AU8" s="346">
        <v>22</v>
      </c>
      <c r="AV8" s="346">
        <v>0</v>
      </c>
      <c r="AW8" s="346">
        <v>0</v>
      </c>
      <c r="AX8" s="346">
        <v>660</v>
      </c>
      <c r="AY8" s="346">
        <v>880</v>
      </c>
      <c r="AZ8" s="346">
        <v>308</v>
      </c>
      <c r="BA8" s="346">
        <v>0</v>
      </c>
      <c r="BB8" s="346">
        <v>0</v>
      </c>
      <c r="BC8" s="621">
        <f t="shared" ref="BC8:BC10" si="9">SUM(AQ8:BB8)</f>
        <v>3234</v>
      </c>
      <c r="BD8" s="346">
        <f t="shared" ref="BD8:BD12" ca="1" si="10">IFERROR(SUM(OFFSET(AQ8:BB8,0,0,1,$BD$5)),"-")</f>
        <v>2046</v>
      </c>
    </row>
    <row r="9" spans="1:56" ht="15.5" outlineLevel="1" x14ac:dyDescent="0.35">
      <c r="A9" s="665">
        <v>3</v>
      </c>
      <c r="B9" s="666" t="str">
        <f>_xlfn.XLOOKUP(A9,$K$7:$K$12,$I$7:$I$12,0)</f>
        <v>Châu Âu</v>
      </c>
      <c r="C9" s="667">
        <f>IFERROR(INDEX($AA$7:$AL$12,MATCH(B9,$Z$7:$Z$12,0),MATCH($C$3,$AA$6:$AL$6,0)),0)</f>
        <v>1045</v>
      </c>
      <c r="D9" s="545">
        <f t="shared" si="2"/>
        <v>0.20244091437427353</v>
      </c>
      <c r="E9" s="667">
        <f>IFERROR(INDEX($AQ$7:$BB$12,MATCH(B9,$Z$7:$Z$12,0),MATCH($C$3,$AQ$6:$BB$6,0)),0)</f>
        <v>660</v>
      </c>
      <c r="F9" s="545">
        <f t="shared" ref="F9:F10" si="11">E9/$E$5</f>
        <v>0.14312299847365828</v>
      </c>
      <c r="H9" s="654">
        <v>3</v>
      </c>
      <c r="I9" s="655" t="str">
        <f t="shared" si="3"/>
        <v>Nội địa</v>
      </c>
      <c r="J9" s="656">
        <f>INDEX($AA$7:$AL$12,MATCH(I9,$Z$7:$Z$12,0),MATCH($C$3,$AA$6:$AL$6,0))</f>
        <v>2203</v>
      </c>
      <c r="K9" s="657">
        <f>IF(J9&lt;&gt;0,RANK(J9,$J$7:$J$12),"-")</f>
        <v>1</v>
      </c>
      <c r="M9" s="665">
        <v>3</v>
      </c>
      <c r="N9" s="666" t="str">
        <f ca="1">_xlfn.XLOOKUP(M9,$W$7:$W$12,$U$7:$U$12,0)</f>
        <v>Châu Âu</v>
      </c>
      <c r="O9" s="667">
        <f ca="1">_xlfn.XLOOKUP(N9,$Z$7:$Z$12,$AN$7:$AN$12,0)</f>
        <v>8126</v>
      </c>
      <c r="P9" s="545">
        <f t="shared" ca="1" si="4"/>
        <v>0.22978169890283903</v>
      </c>
      <c r="Q9" s="667">
        <f ca="1">_xlfn.XLOOKUP(N9,$Z$7:$Z$12,$BD$7:$BD$12,0)</f>
        <v>2046</v>
      </c>
      <c r="R9" s="545">
        <f t="shared" ca="1" si="5"/>
        <v>9.3849473389321272E-2</v>
      </c>
      <c r="T9" s="654">
        <v>3</v>
      </c>
      <c r="U9" s="655" t="str">
        <f t="shared" si="6"/>
        <v>Nội địa</v>
      </c>
      <c r="V9" s="656">
        <f ca="1">_xlfn.XLOOKUP(U9,$Z$7:$Z$12,$AN$7:$AN$12,0)</f>
        <v>11468</v>
      </c>
      <c r="W9" s="657">
        <f ca="1">IF(V9&lt;&gt;0,_xlfn.RANK.EQ(V9,$V$7:$V$12),"-")</f>
        <v>2</v>
      </c>
      <c r="X9">
        <v>1</v>
      </c>
      <c r="Y9" s="322">
        <v>3</v>
      </c>
      <c r="Z9" s="31" t="s">
        <v>261</v>
      </c>
      <c r="AA9" s="510">
        <f>ROUND(SUMIF('06. BC BH THEO CUSTOMER-USD'!$G:$G,'8.1. Chart_Khu vực'!$Z9,'06. BC BH THEO CUSTOMER-USD'!CS:CS),0)</f>
        <v>935</v>
      </c>
      <c r="AB9" s="510">
        <f>ROUND(SUMIF('06. BC BH THEO CUSTOMER-USD'!$G:$G,'8.1. Chart_Khu vực'!$Z9,'06. BC BH THEO CUSTOMER-USD'!CT:CT),0)</f>
        <v>1533</v>
      </c>
      <c r="AC9" s="510">
        <f>ROUND(SUMIF('06. BC BH THEO CUSTOMER-USD'!$G:$G,'8.1. Chart_Khu vực'!$Z9,'06. BC BH THEO CUSTOMER-USD'!CU:CU),0)</f>
        <v>1326</v>
      </c>
      <c r="AD9" s="510">
        <f>ROUND(SUMIF('06. BC BH THEO CUSTOMER-USD'!$G:$G,'8.1. Chart_Khu vực'!$Z9,'06. BC BH THEO CUSTOMER-USD'!CV:CV),0)</f>
        <v>1150</v>
      </c>
      <c r="AE9" s="510">
        <f>ROUND(SUMIF('06. BC BH THEO CUSTOMER-USD'!$G:$G,'8.1. Chart_Khu vực'!$Z9,'06. BC BH THEO CUSTOMER-USD'!CW:CW),0)</f>
        <v>1086</v>
      </c>
      <c r="AF9" s="510">
        <f>ROUND(SUMIF('06. BC BH THEO CUSTOMER-USD'!$G:$G,'8.1. Chart_Khu vực'!$Z9,'06. BC BH THEO CUSTOMER-USD'!CX:CX),0)</f>
        <v>1425</v>
      </c>
      <c r="AG9" s="510">
        <f>ROUND(SUMIF('06. BC BH THEO CUSTOMER-USD'!$G:$G,'8.1. Chart_Khu vực'!$Z9,'06. BC BH THEO CUSTOMER-USD'!CY:CY),0)</f>
        <v>1810</v>
      </c>
      <c r="AH9" s="510">
        <f>ROUND(SUMIF('06. BC BH THEO CUSTOMER-USD'!$G:$G,'8.1. Chart_Khu vực'!$Z9,'06. BC BH THEO CUSTOMER-USD'!CZ:CZ),0)</f>
        <v>2203</v>
      </c>
      <c r="AI9" s="510">
        <f>ROUND(SUMIF('06. BC BH THEO CUSTOMER-USD'!$G:$G,'8.1. Chart_Khu vực'!$Z9,'06. BC BH THEO CUSTOMER-USD'!DA:DA),0)</f>
        <v>1921</v>
      </c>
      <c r="AJ9" s="510">
        <f>ROUND(SUMIF('06. BC BH THEO CUSTOMER-USD'!$G:$G,'8.1. Chart_Khu vực'!$Z9,'06. BC BH THEO CUSTOMER-USD'!DB:DB),0)</f>
        <v>0</v>
      </c>
      <c r="AK9" s="510">
        <f>ROUND(SUMIF('06. BC BH THEO CUSTOMER-USD'!$G:$G,'8.1. Chart_Khu vực'!$Z9,'06. BC BH THEO CUSTOMER-USD'!DC:DC),0)</f>
        <v>0</v>
      </c>
      <c r="AL9" s="510">
        <f>ROUND(SUMIF('06. BC BH THEO CUSTOMER-USD'!$G:$G,'8.1. Chart_Khu vực'!$Z9,'06. BC BH THEO CUSTOMER-USD'!DD:DD),0)</f>
        <v>0</v>
      </c>
      <c r="AM9" s="621">
        <f t="shared" si="7"/>
        <v>13389</v>
      </c>
      <c r="AN9" s="346">
        <f t="shared" ca="1" si="8"/>
        <v>11468</v>
      </c>
      <c r="AO9" s="624">
        <f>RANK(AM9,$AM$7:$AM$12)</f>
        <v>2</v>
      </c>
      <c r="AQ9" s="346">
        <v>965.32499999999982</v>
      </c>
      <c r="AR9" s="346">
        <v>1030.375</v>
      </c>
      <c r="AS9" s="346">
        <v>1092.3249999999998</v>
      </c>
      <c r="AT9" s="346">
        <v>845.65</v>
      </c>
      <c r="AU9" s="346">
        <v>2140.6249999999995</v>
      </c>
      <c r="AV9" s="346">
        <v>1639.7499999999998</v>
      </c>
      <c r="AW9" s="346">
        <v>691.92499999999995</v>
      </c>
      <c r="AX9" s="346">
        <v>1301.1181999999999</v>
      </c>
      <c r="AY9" s="346">
        <v>1049.2000000000003</v>
      </c>
      <c r="AZ9" s="346">
        <v>1373.5250000000001</v>
      </c>
      <c r="BA9" s="346">
        <v>1377.9250000000004</v>
      </c>
      <c r="BB9" s="346">
        <v>1473.35</v>
      </c>
      <c r="BC9" s="621">
        <f t="shared" si="9"/>
        <v>14981.093200000001</v>
      </c>
      <c r="BD9" s="346">
        <f t="shared" ca="1" si="10"/>
        <v>9707.0931999999993</v>
      </c>
    </row>
    <row r="10" spans="1:56" outlineLevel="1" x14ac:dyDescent="0.35">
      <c r="A10" s="665">
        <v>4</v>
      </c>
      <c r="B10" s="666" t="str">
        <f>_xlfn.XLOOKUP(A10,$K$7:$K$12,$I$7:$I$12,0)</f>
        <v>Châu á</v>
      </c>
      <c r="C10" s="667">
        <f>IFERROR(INDEX($AA$7:$AL$12,MATCH(B10,$Z$7:$Z$12,0),MATCH($C$3,$AA$6:$AL$6,0)),0)</f>
        <v>264</v>
      </c>
      <c r="D10" s="545">
        <f t="shared" si="2"/>
        <v>5.1142967841921738E-2</v>
      </c>
      <c r="E10" s="667">
        <f>IFERROR(INDEX($AQ$7:$BB$12,MATCH(B10,$Z$7:$Z$12,0),MATCH($C$3,$AQ$6:$BB$6,0)),0)</f>
        <v>953.3</v>
      </c>
      <c r="F10" s="545">
        <f t="shared" si="11"/>
        <v>0.20672599158324004</v>
      </c>
      <c r="H10" s="654">
        <v>4</v>
      </c>
      <c r="I10" s="655" t="str">
        <f t="shared" si="3"/>
        <v>Châu á</v>
      </c>
      <c r="J10" s="656">
        <f>INDEX($AA$7:$AL$12,MATCH(I10,$Z$7:$Z$12,0),MATCH($C$3,$AA$6:$AL$6,0))</f>
        <v>264</v>
      </c>
      <c r="K10" s="657">
        <f>IF(J10&lt;&gt;0,RANK(J10,$J$7:$J$12),"-")</f>
        <v>4</v>
      </c>
      <c r="M10" s="665">
        <v>4</v>
      </c>
      <c r="N10" s="666" t="str">
        <f ca="1">_xlfn.XLOOKUP(M10,$W$7:$W$12,$U$7:$U$12,0)</f>
        <v>Châu á</v>
      </c>
      <c r="O10" s="667">
        <f ca="1">_xlfn.XLOOKUP(N10,$Z$7:$Z$12,$AN$7:$AN$12,0)</f>
        <v>1505</v>
      </c>
      <c r="P10" s="545">
        <f t="shared" ca="1" si="4"/>
        <v>4.2557403008709423E-2</v>
      </c>
      <c r="Q10" s="667">
        <f ca="1">_xlfn.XLOOKUP(N10,$Z$7:$Z$12,$BD$7:$BD$12,0)</f>
        <v>2234.7749999999996</v>
      </c>
      <c r="R10" s="545">
        <f t="shared" ca="1" si="5"/>
        <v>0.10250853220607058</v>
      </c>
      <c r="T10" s="654">
        <v>4</v>
      </c>
      <c r="U10" s="655" t="str">
        <f t="shared" si="6"/>
        <v>Châu á</v>
      </c>
      <c r="V10" s="656">
        <f ca="1">_xlfn.XLOOKUP(U10,$Z$7:$Z$12,$AN$7:$AN$12,0)</f>
        <v>1505</v>
      </c>
      <c r="W10" s="657">
        <f ca="1">IF(V10&lt;&gt;0,_xlfn.RANK.EQ(V10,$V$7:$V$12),"-")</f>
        <v>4</v>
      </c>
      <c r="X10">
        <v>3</v>
      </c>
      <c r="Y10" s="322">
        <v>4</v>
      </c>
      <c r="Z10" s="247" t="s">
        <v>801</v>
      </c>
      <c r="AA10" s="510">
        <f>ROUND(SUMIF('06. BC BH THEO CUSTOMER-USD'!$G:$G,'8.1. Chart_Khu vực'!$Z10,'06. BC BH THEO CUSTOMER-USD'!CS:CS),0)</f>
        <v>177</v>
      </c>
      <c r="AB10" s="510">
        <f>ROUND(SUMIF('06. BC BH THEO CUSTOMER-USD'!$G:$G,'8.1. Chart_Khu vực'!$Z10,'06. BC BH THEO CUSTOMER-USD'!CT:CT),0)</f>
        <v>132</v>
      </c>
      <c r="AC10" s="510">
        <f>ROUND(SUMIF('06. BC BH THEO CUSTOMER-USD'!$G:$G,'8.1. Chart_Khu vực'!$Z10,'06. BC BH THEO CUSTOMER-USD'!CU:CU),0)</f>
        <v>264</v>
      </c>
      <c r="AD10" s="510">
        <f>ROUND(SUMIF('06. BC BH THEO CUSTOMER-USD'!$G:$G,'8.1. Chart_Khu vực'!$Z10,'06. BC BH THEO CUSTOMER-USD'!CV:CV),0)</f>
        <v>193</v>
      </c>
      <c r="AE10" s="510">
        <f>ROUND(SUMIF('06. BC BH THEO CUSTOMER-USD'!$G:$G,'8.1. Chart_Khu vực'!$Z10,'06. BC BH THEO CUSTOMER-USD'!CW:CW),0)</f>
        <v>149</v>
      </c>
      <c r="AF10" s="510">
        <f>ROUND(SUMIF('06. BC BH THEO CUSTOMER-USD'!$G:$G,'8.1. Chart_Khu vực'!$Z10,'06. BC BH THEO CUSTOMER-USD'!CX:CX),0)</f>
        <v>326</v>
      </c>
      <c r="AG10" s="510">
        <f>ROUND(SUMIF('06. BC BH THEO CUSTOMER-USD'!$G:$G,'8.1. Chart_Khu vực'!$Z10,'06. BC BH THEO CUSTOMER-USD'!CY:CY),0)</f>
        <v>0</v>
      </c>
      <c r="AH10" s="510">
        <f>ROUND(SUMIF('06. BC BH THEO CUSTOMER-USD'!$G:$G,'8.1. Chart_Khu vực'!$Z10,'06. BC BH THEO CUSTOMER-USD'!CZ:CZ),0)</f>
        <v>264</v>
      </c>
      <c r="AI10" s="510">
        <f>ROUND(SUMIF('06. BC BH THEO CUSTOMER-USD'!$G:$G,'8.1. Chart_Khu vực'!$Z10,'06. BC BH THEO CUSTOMER-USD'!DA:DA),0)</f>
        <v>66</v>
      </c>
      <c r="AJ10" s="510">
        <f>ROUND(SUMIF('06. BC BH THEO CUSTOMER-USD'!$G:$G,'8.1. Chart_Khu vực'!$Z10,'06. BC BH THEO CUSTOMER-USD'!DB:DB),0)</f>
        <v>0</v>
      </c>
      <c r="AK10" s="510">
        <f>ROUND(SUMIF('06. BC BH THEO CUSTOMER-USD'!$G:$G,'8.1. Chart_Khu vực'!$Z10,'06. BC BH THEO CUSTOMER-USD'!DC:DC),0)</f>
        <v>0</v>
      </c>
      <c r="AL10" s="510">
        <f>ROUND(SUMIF('06. BC BH THEO CUSTOMER-USD'!$G:$G,'8.1. Chart_Khu vực'!$Z10,'06. BC BH THEO CUSTOMER-USD'!DD:DD),0)</f>
        <v>0</v>
      </c>
      <c r="AM10" s="621">
        <f t="shared" si="7"/>
        <v>1571</v>
      </c>
      <c r="AN10" s="346">
        <f t="shared" ca="1" si="8"/>
        <v>1505</v>
      </c>
      <c r="AO10" s="624">
        <f>RANK(AM10,$AM$7:$AM$12)</f>
        <v>4</v>
      </c>
      <c r="AQ10" s="346">
        <v>22</v>
      </c>
      <c r="AR10" s="346">
        <v>0</v>
      </c>
      <c r="AS10" s="346">
        <v>232.07499999999999</v>
      </c>
      <c r="AT10" s="346">
        <v>441.1</v>
      </c>
      <c r="AU10" s="346">
        <v>374</v>
      </c>
      <c r="AV10" s="346">
        <v>0</v>
      </c>
      <c r="AW10" s="346">
        <v>212.29999999999998</v>
      </c>
      <c r="AX10" s="346">
        <v>953.3</v>
      </c>
      <c r="AY10" s="346">
        <v>708.4</v>
      </c>
      <c r="AZ10" s="346">
        <v>704</v>
      </c>
      <c r="BA10" s="346">
        <v>132</v>
      </c>
      <c r="BB10" s="346">
        <v>0</v>
      </c>
      <c r="BC10" s="621">
        <f t="shared" si="9"/>
        <v>3779.1749999999997</v>
      </c>
      <c r="BD10" s="346">
        <f t="shared" ca="1" si="10"/>
        <v>2234.7749999999996</v>
      </c>
    </row>
    <row r="11" spans="1:56" ht="15.5" outlineLevel="1" x14ac:dyDescent="0.35">
      <c r="A11" s="665"/>
      <c r="B11" s="666"/>
      <c r="C11" s="667"/>
      <c r="D11" s="545"/>
      <c r="E11" s="667"/>
      <c r="F11" s="545"/>
      <c r="H11" s="654"/>
      <c r="I11" s="655"/>
      <c r="J11" s="656"/>
      <c r="K11" s="657"/>
      <c r="M11" s="665"/>
      <c r="N11" s="666"/>
      <c r="O11" s="667"/>
      <c r="P11" s="545"/>
      <c r="Q11" s="667"/>
      <c r="R11" s="668"/>
      <c r="T11" s="654">
        <v>5</v>
      </c>
      <c r="U11" s="655">
        <f t="shared" si="6"/>
        <v>0</v>
      </c>
      <c r="V11" s="656">
        <f>_xlfn.XLOOKUP(U11,$Z$7:$Z$12,$AN$7:$AN$12,0)</f>
        <v>0</v>
      </c>
      <c r="W11" s="657" t="str">
        <f>IF(V11&lt;&gt;0,_xlfn.RANK.EQ(V11,$V$7:$V$12),"-")</f>
        <v>-</v>
      </c>
      <c r="Y11" s="322">
        <v>5</v>
      </c>
      <c r="Z11" s="12"/>
      <c r="AA11" s="510">
        <f>ROUND(SUMIF('06. BC BH THEO CUSTOMER-USD'!$G:$G,'8.1. Chart_Khu vực'!$Z11,'06. BC BH THEO CUSTOMER-USD'!CS:CS),0)</f>
        <v>0</v>
      </c>
      <c r="AB11" s="510">
        <f>ROUND(SUMIF('06. BC BH THEO CUSTOMER-USD'!$G:$G,'8.1. Chart_Khu vực'!$Z11,'06. BC BH THEO CUSTOMER-USD'!CT:CT),0)</f>
        <v>0</v>
      </c>
      <c r="AC11" s="510">
        <f>ROUND(SUMIF('06. BC BH THEO CUSTOMER-USD'!$G:$G,'8.1. Chart_Khu vực'!$Z11,'06. BC BH THEO CUSTOMER-USD'!CU:CU),0)</f>
        <v>0</v>
      </c>
      <c r="AD11" s="510">
        <f>ROUND(SUMIF('06. BC BH THEO CUSTOMER-USD'!$G:$G,'8.1. Chart_Khu vực'!$Z11,'06. BC BH THEO CUSTOMER-USD'!CV:CV),0)</f>
        <v>0</v>
      </c>
      <c r="AE11" s="510">
        <f>ROUND(SUMIF('06. BC BH THEO CUSTOMER-USD'!$G:$G,'8.1. Chart_Khu vực'!$Z11,'06. BC BH THEO CUSTOMER-USD'!CW:CW),0)</f>
        <v>0</v>
      </c>
      <c r="AF11" s="510">
        <f>ROUND(SUMIF('06. BC BH THEO CUSTOMER-USD'!$G:$G,'8.1. Chart_Khu vực'!$Z11,'06. BC BH THEO CUSTOMER-USD'!CX:CX),0)</f>
        <v>0</v>
      </c>
      <c r="AG11" s="510">
        <f>ROUND(SUMIF('06. BC BH THEO CUSTOMER-USD'!$G:$G,'8.1. Chart_Khu vực'!$Z11,'06. BC BH THEO CUSTOMER-USD'!CY:CY),0)</f>
        <v>0</v>
      </c>
      <c r="AH11" s="510">
        <f>ROUND(SUMIF('06. BC BH THEO CUSTOMER-USD'!$G:$G,'8.1. Chart_Khu vực'!$Z11,'06. BC BH THEO CUSTOMER-USD'!CZ:CZ),0)</f>
        <v>0</v>
      </c>
      <c r="AI11" s="510">
        <f>ROUND(SUMIF('06. BC BH THEO CUSTOMER-USD'!$G:$G,'8.1. Chart_Khu vực'!$Z11,'06. BC BH THEO CUSTOMER-USD'!DA:DA),0)</f>
        <v>0</v>
      </c>
      <c r="AJ11" s="510">
        <f>ROUND(SUMIF('06. BC BH THEO CUSTOMER-USD'!$G:$G,'8.1. Chart_Khu vực'!$Z11,'06. BC BH THEO CUSTOMER-USD'!DB:DB),0)</f>
        <v>0</v>
      </c>
      <c r="AK11" s="510">
        <f>ROUND(SUMIF('06. BC BH THEO CUSTOMER-USD'!$G:$G,'8.1. Chart_Khu vực'!$Z11,'06. BC BH THEO CUSTOMER-USD'!DC:DC),0)</f>
        <v>0</v>
      </c>
      <c r="AL11" s="510">
        <f>ROUND(SUMIF('06. BC BH THEO CUSTOMER-USD'!$G:$G,'8.1. Chart_Khu vực'!$Z11,'06. BC BH THEO CUSTOMER-USD'!DD:DD),0)</f>
        <v>0</v>
      </c>
      <c r="AM11" s="621">
        <f t="shared" si="7"/>
        <v>0</v>
      </c>
      <c r="AN11" s="346">
        <f t="shared" ca="1" si="8"/>
        <v>0</v>
      </c>
      <c r="AO11" s="624">
        <f>RANK(AM11,$AM$7:$AM$12)</f>
        <v>5</v>
      </c>
      <c r="AQ11" s="346"/>
      <c r="AR11" s="346"/>
      <c r="AS11" s="346"/>
      <c r="AT11" s="346"/>
      <c r="AU11" s="346"/>
      <c r="AV11" s="346"/>
      <c r="AW11" s="346"/>
      <c r="AX11" s="346"/>
      <c r="AY11" s="346"/>
      <c r="AZ11" s="346"/>
      <c r="BA11" s="346"/>
      <c r="BB11" s="346"/>
      <c r="BC11" s="621"/>
      <c r="BD11" s="346">
        <f t="shared" ca="1" si="10"/>
        <v>0</v>
      </c>
    </row>
    <row r="12" spans="1:56" ht="15.5" outlineLevel="1" x14ac:dyDescent="0.35">
      <c r="A12" s="669"/>
      <c r="B12" s="670"/>
      <c r="C12" s="671"/>
      <c r="D12" s="546"/>
      <c r="E12" s="671"/>
      <c r="F12" s="546"/>
      <c r="H12" s="658"/>
      <c r="I12" s="659"/>
      <c r="J12" s="659"/>
      <c r="K12" s="660"/>
      <c r="M12" s="669"/>
      <c r="N12" s="670"/>
      <c r="O12" s="667"/>
      <c r="P12" s="546"/>
      <c r="Q12" s="671"/>
      <c r="R12" s="546"/>
      <c r="T12" s="658"/>
      <c r="U12" s="659"/>
      <c r="V12" s="659"/>
      <c r="W12" s="660" t="str">
        <f>IF(V12&lt;&gt;0,_xlfn.RANK.EQ(V12,$V$7:$V$12),"-")</f>
        <v>-</v>
      </c>
      <c r="Y12" s="352"/>
      <c r="Z12" s="619"/>
      <c r="AA12" s="515"/>
      <c r="AB12" s="515"/>
      <c r="AC12" s="515"/>
      <c r="AD12" s="515"/>
      <c r="AE12" s="515"/>
      <c r="AF12" s="515"/>
      <c r="AG12" s="515"/>
      <c r="AH12" s="515"/>
      <c r="AI12" s="515"/>
      <c r="AJ12" s="515"/>
      <c r="AK12" s="515"/>
      <c r="AL12" s="515"/>
      <c r="AM12" s="622"/>
      <c r="AN12" s="406">
        <f t="shared" ca="1" si="8"/>
        <v>0</v>
      </c>
      <c r="AO12" s="624"/>
      <c r="AQ12" s="406"/>
      <c r="AR12" s="406"/>
      <c r="AS12" s="406"/>
      <c r="AT12" s="406"/>
      <c r="AU12" s="406"/>
      <c r="AV12" s="406"/>
      <c r="AW12" s="406"/>
      <c r="AX12" s="406"/>
      <c r="AY12" s="406"/>
      <c r="AZ12" s="406"/>
      <c r="BA12" s="406"/>
      <c r="BB12" s="406"/>
      <c r="BC12" s="622"/>
      <c r="BD12" s="406">
        <f t="shared" ca="1" si="10"/>
        <v>0</v>
      </c>
    </row>
    <row r="13" spans="1:56" x14ac:dyDescent="0.35">
      <c r="F13" s="672"/>
    </row>
    <row r="14" spans="1:56" ht="21" x14ac:dyDescent="0.45">
      <c r="B14" s="735" t="str">
        <f>"SẢN LƯỢNG BÁN THEO KHU VỰC T"&amp;C3&amp;"/25"</f>
        <v>SẢN LƯỢNG BÁN THEO KHU VỰC T8/25</v>
      </c>
      <c r="O14" s="739" t="str">
        <f>"LŨY KẾ SẢN LƯỢNG BÁN THEO KHU VỰC T"&amp;C3&amp;"/25"</f>
        <v>LŨY KẾ SẢN LƯỢNG BÁN THEO KHU VỰC T8/25</v>
      </c>
    </row>
    <row r="25" spans="27:27" x14ac:dyDescent="0.35">
      <c r="AA25" s="672"/>
    </row>
    <row r="36" spans="1:56" x14ac:dyDescent="0.35">
      <c r="J36" t="s">
        <v>823</v>
      </c>
    </row>
    <row r="37" spans="1:56" ht="17.5" x14ac:dyDescent="0.35">
      <c r="A37" s="740">
        <v>2</v>
      </c>
      <c r="B37" s="740" t="s">
        <v>676</v>
      </c>
      <c r="Y37" s="122">
        <v>2</v>
      </c>
      <c r="Z37" s="122" t="s">
        <v>262</v>
      </c>
    </row>
    <row r="38" spans="1:56" ht="15.5" outlineLevel="1" x14ac:dyDescent="0.35">
      <c r="C38" s="645">
        <f>SUM(C40:C46)</f>
        <v>6229.575565622612</v>
      </c>
      <c r="D38" s="647">
        <f>SUM(D40:D46)</f>
        <v>1</v>
      </c>
      <c r="E38" s="645">
        <f>SUM(E40:E46)</f>
        <v>5891.4448733306353</v>
      </c>
      <c r="F38" s="647">
        <f>SUM(F40:F46)</f>
        <v>0.99999999999999989</v>
      </c>
      <c r="J38" s="617">
        <f>SUM(J40:J46)</f>
        <v>6229.575565622612</v>
      </c>
      <c r="O38" s="645">
        <f ca="1">SUM(O40:O46)</f>
        <v>43697.772922346798</v>
      </c>
      <c r="P38" s="647">
        <f ca="1">SUM(P40:P46)</f>
        <v>1</v>
      </c>
      <c r="Q38" s="645">
        <f ca="1">SUM(Q40:Q46)</f>
        <v>27034.155955390255</v>
      </c>
      <c r="R38" s="647">
        <f ca="1">SUM(R40:R46)</f>
        <v>1.0000000000000002</v>
      </c>
      <c r="V38" s="617">
        <f ca="1">SUM(V40:V46)</f>
        <v>43697.77292234679</v>
      </c>
      <c r="AA38" s="617">
        <f t="shared" ref="AA38:AM38" si="12">SUM(AA40:AA45)</f>
        <v>4454931.6018065037</v>
      </c>
      <c r="AB38" s="617">
        <f t="shared" si="12"/>
        <v>7079267.9169751881</v>
      </c>
      <c r="AC38" s="617">
        <f t="shared" si="12"/>
        <v>5723231.3974015759</v>
      </c>
      <c r="AD38" s="617">
        <f t="shared" si="12"/>
        <v>4750311.9767711964</v>
      </c>
      <c r="AE38" s="617">
        <f t="shared" si="12"/>
        <v>5760213.3934261417</v>
      </c>
      <c r="AF38" s="617">
        <f t="shared" si="12"/>
        <v>4439262.682214505</v>
      </c>
      <c r="AG38" s="617">
        <f t="shared" si="12"/>
        <v>5260978.3881290816</v>
      </c>
      <c r="AH38" s="617">
        <f t="shared" si="12"/>
        <v>6229575.5656226119</v>
      </c>
      <c r="AI38" s="617">
        <f t="shared" si="12"/>
        <v>2931955.0159238097</v>
      </c>
      <c r="AJ38" s="617">
        <f t="shared" si="12"/>
        <v>0</v>
      </c>
      <c r="AK38" s="617">
        <f t="shared" si="12"/>
        <v>0</v>
      </c>
      <c r="AL38" s="617">
        <f t="shared" si="12"/>
        <v>0</v>
      </c>
      <c r="AM38" s="617">
        <f t="shared" si="12"/>
        <v>46629727.938270606</v>
      </c>
      <c r="AN38" s="683">
        <f>$C$3</f>
        <v>8</v>
      </c>
      <c r="AO38" s="623"/>
      <c r="AQ38" s="617">
        <f t="shared" ref="AQ38:BC38" si="13">SUM(AQ40:AQ46)</f>
        <v>2685893.0331836734</v>
      </c>
      <c r="AR38" s="617">
        <f t="shared" si="13"/>
        <v>2604968.0822448982</v>
      </c>
      <c r="AS38" s="617">
        <f t="shared" si="13"/>
        <v>3665506.6101612905</v>
      </c>
      <c r="AT38" s="617">
        <f t="shared" si="13"/>
        <v>3925010.4798387093</v>
      </c>
      <c r="AU38" s="617">
        <f t="shared" si="13"/>
        <v>3896950.7992000002</v>
      </c>
      <c r="AV38" s="617">
        <f t="shared" si="13"/>
        <v>2262905.4606648199</v>
      </c>
      <c r="AW38" s="617">
        <f t="shared" si="13"/>
        <v>2101476.6167662288</v>
      </c>
      <c r="AX38" s="617">
        <f t="shared" si="13"/>
        <v>5891444.873330635</v>
      </c>
      <c r="AY38" s="617">
        <f t="shared" si="13"/>
        <v>5885901.6495296517</v>
      </c>
      <c r="AZ38" s="617">
        <f t="shared" si="13"/>
        <v>4355138.9070859877</v>
      </c>
      <c r="BA38" s="617">
        <f t="shared" si="13"/>
        <v>2619359.3128775833</v>
      </c>
      <c r="BB38" s="617">
        <f t="shared" si="13"/>
        <v>3797094.2216686434</v>
      </c>
      <c r="BC38" s="617">
        <f t="shared" si="13"/>
        <v>43691650.046552122</v>
      </c>
      <c r="BD38" s="627">
        <f>$BD$5</f>
        <v>8</v>
      </c>
    </row>
    <row r="39" spans="1:56" ht="15" outlineLevel="1" x14ac:dyDescent="0.35">
      <c r="A39" s="616" t="s">
        <v>673</v>
      </c>
      <c r="B39" s="616" t="s">
        <v>799</v>
      </c>
      <c r="C39" s="646">
        <v>2025</v>
      </c>
      <c r="D39" s="616" t="s">
        <v>674</v>
      </c>
      <c r="E39" s="646">
        <v>2024</v>
      </c>
      <c r="F39" s="616" t="s">
        <v>675</v>
      </c>
      <c r="H39" s="616" t="s">
        <v>174</v>
      </c>
      <c r="I39" s="616" t="s">
        <v>799</v>
      </c>
      <c r="J39" s="616" t="s">
        <v>677</v>
      </c>
      <c r="K39" s="616" t="s">
        <v>673</v>
      </c>
      <c r="M39" s="648" t="s">
        <v>673</v>
      </c>
      <c r="N39" s="648" t="s">
        <v>799</v>
      </c>
      <c r="O39" s="649">
        <v>2025</v>
      </c>
      <c r="P39" s="648" t="s">
        <v>674</v>
      </c>
      <c r="Q39" s="649">
        <v>2024</v>
      </c>
      <c r="R39" s="648" t="s">
        <v>675</v>
      </c>
      <c r="T39" s="648" t="s">
        <v>174</v>
      </c>
      <c r="U39" s="648" t="s">
        <v>799</v>
      </c>
      <c r="V39" s="648" t="s">
        <v>677</v>
      </c>
      <c r="W39" s="648" t="s">
        <v>673</v>
      </c>
      <c r="Y39" s="616" t="s">
        <v>174</v>
      </c>
      <c r="Z39" s="616" t="s">
        <v>799</v>
      </c>
      <c r="AA39" s="443">
        <v>1</v>
      </c>
      <c r="AB39" s="616">
        <v>2</v>
      </c>
      <c r="AC39" s="616">
        <v>3</v>
      </c>
      <c r="AD39" s="616">
        <v>4</v>
      </c>
      <c r="AE39" s="616">
        <v>5</v>
      </c>
      <c r="AF39" s="616">
        <v>6</v>
      </c>
      <c r="AG39" s="616">
        <v>7</v>
      </c>
      <c r="AH39" s="616">
        <v>8</v>
      </c>
      <c r="AI39" s="616">
        <v>9</v>
      </c>
      <c r="AJ39" s="616">
        <v>10</v>
      </c>
      <c r="AK39" s="616">
        <v>11</v>
      </c>
      <c r="AL39" s="616">
        <v>12</v>
      </c>
      <c r="AM39" s="679">
        <v>2025</v>
      </c>
      <c r="AN39" s="616" t="s">
        <v>409</v>
      </c>
      <c r="AO39" s="450"/>
      <c r="AQ39" s="625">
        <v>1</v>
      </c>
      <c r="AR39" s="626">
        <v>2</v>
      </c>
      <c r="AS39" s="626">
        <v>3</v>
      </c>
      <c r="AT39" s="626">
        <v>4</v>
      </c>
      <c r="AU39" s="626">
        <v>5</v>
      </c>
      <c r="AV39" s="626">
        <v>6</v>
      </c>
      <c r="AW39" s="626">
        <v>7</v>
      </c>
      <c r="AX39" s="626">
        <v>8</v>
      </c>
      <c r="AY39" s="626">
        <v>9</v>
      </c>
      <c r="AZ39" s="626">
        <v>10</v>
      </c>
      <c r="BA39" s="626">
        <v>11</v>
      </c>
      <c r="BB39" s="626">
        <v>12</v>
      </c>
      <c r="BC39" s="626">
        <v>2024</v>
      </c>
      <c r="BD39" s="626" t="s">
        <v>410</v>
      </c>
    </row>
    <row r="40" spans="1:56" ht="15.5" outlineLevel="1" x14ac:dyDescent="0.35">
      <c r="A40" s="661">
        <v>1</v>
      </c>
      <c r="B40" s="662" t="str">
        <f>_xlfn.XLOOKUP(A40,$K$40:$K$46,$I$40:$I$46,0)</f>
        <v>Nội địa</v>
      </c>
      <c r="C40" s="663">
        <f>IFERROR(INDEX($AA$40:$AL$46,MATCH(B40,$Z$40:$Z$46,0),MATCH($C$3,$AA$39:$AL$39,0)),0)/10^3</f>
        <v>2658.1882522536284</v>
      </c>
      <c r="D40" s="664">
        <f>C40/$C$38</f>
        <v>0.42670455222063863</v>
      </c>
      <c r="E40" s="663">
        <f>IFERROR(INDEX($AQ$40:$BB$46,MATCH(B40,$Z$40:$Z$46,0),MATCH($C$3,$AQ$39:$BB$39,0)),0)/10^3</f>
        <v>1820.3523902468637</v>
      </c>
      <c r="F40" s="664">
        <f>E40/$E$38</f>
        <v>0.30898233445028506</v>
      </c>
      <c r="H40" s="650">
        <v>1</v>
      </c>
      <c r="I40" s="651" t="str">
        <f>Z40</f>
        <v>Bắc mỹ</v>
      </c>
      <c r="J40" s="652">
        <f t="shared" ref="J40:J45" si="14">INDEX($AA$40:$AL$46,MATCH(I40,$Z$40:$Z$46,0),MATCH($C$3,$AA$39:$AL$39,0))/10^3</f>
        <v>1971.3432117647058</v>
      </c>
      <c r="K40" s="653">
        <f t="shared" ref="K40:K46" si="15">IF(J40&lt;&gt;0,RANK(J40,$J$40:$J$46),"-")</f>
        <v>2</v>
      </c>
      <c r="M40" s="661">
        <v>1</v>
      </c>
      <c r="N40" s="662" t="str">
        <f ca="1">_xlfn.XLOOKUP(M40,$W$40:$W$46,$U$40:$U$46,0)</f>
        <v>Bắc mỹ</v>
      </c>
      <c r="O40" s="663">
        <f ca="1">_xlfn.XLOOKUP(N40,$Z$40:$Z$46,$AN$40:$AN$46,0)/10^3</f>
        <v>17619.771157619765</v>
      </c>
      <c r="P40" s="664">
        <f ca="1">O40/$O$38</f>
        <v>0.40321897385779842</v>
      </c>
      <c r="Q40" s="663">
        <f ca="1">_xlfn.XLOOKUP(N40,$Z$40:$Z$46,$BD$40:$BD$46,0)/10^3</f>
        <v>9350.4142420814824</v>
      </c>
      <c r="R40" s="545">
        <f ca="1">Q40/$Q$38</f>
        <v>0.34587409562594956</v>
      </c>
      <c r="T40" s="650">
        <v>1</v>
      </c>
      <c r="U40" s="651" t="str">
        <f>Z40</f>
        <v>Bắc mỹ</v>
      </c>
      <c r="V40" s="652">
        <f t="shared" ref="V40:V46" ca="1" si="16">_xlfn.XLOOKUP(U40,$Z$40:$Z$46,$AN$40:$AN$46,0)/10^3</f>
        <v>17619.771157619765</v>
      </c>
      <c r="W40" s="657">
        <f t="shared" ref="W40:W46" ca="1" si="17">IF(V40&lt;&gt;0,_xlfn.RANK.EQ(V40,$V$40:$V$46),"-")</f>
        <v>1</v>
      </c>
      <c r="Y40" s="320">
        <v>1</v>
      </c>
      <c r="Z40" s="618" t="str">
        <f>Z7</f>
        <v>Bắc mỹ</v>
      </c>
      <c r="AA40" s="510">
        <f>SUMIF('06. BC BH THEO CUSTOMER-USD'!$G:$G,'8.1. Chart_Khu vực'!$Z40,'06. BC BH THEO CUSTOMER-USD'!DG:DG)</f>
        <v>2922025.1493376154</v>
      </c>
      <c r="AB40" s="510">
        <f>SUMIF('06. BC BH THEO CUSTOMER-USD'!$G:$G,'8.1. Chart_Khu vực'!$Z40,'06. BC BH THEO CUSTOMER-USD'!DH:DH)</f>
        <v>2534062.7218983853</v>
      </c>
      <c r="AC40" s="510">
        <f>SUMIF('06. BC BH THEO CUSTOMER-USD'!$G:$G,'8.1. Chart_Khu vực'!$Z40,'06. BC BH THEO CUSTOMER-USD'!DI:DI)</f>
        <v>2388105.3690944882</v>
      </c>
      <c r="AD40" s="510">
        <f>SUMIF('06. BC BH THEO CUSTOMER-USD'!$G:$G,'8.1. Chart_Khu vực'!$Z40,'06. BC BH THEO CUSTOMER-USD'!DJ:DJ)</f>
        <v>1767443.6796360819</v>
      </c>
      <c r="AE40" s="510">
        <f>SUMIF('06. BC BH THEO CUSTOMER-USD'!$G:$G,'8.1. Chart_Khu vực'!$Z40,'06. BC BH THEO CUSTOMER-USD'!DK:DK)</f>
        <v>2631586.7474864656</v>
      </c>
      <c r="AF40" s="510">
        <f>SUMIF('06. BC BH THEO CUSTOMER-USD'!$G:$G,'8.1. Chart_Khu vực'!$Z40,'06. BC BH THEO CUSTOMER-USD'!DL:DL)</f>
        <v>1228291.2982253085</v>
      </c>
      <c r="AG40" s="510">
        <f>SUMIF('06. BC BH THEO CUSTOMER-USD'!$G:$G,'8.1. Chart_Khu vực'!$Z40,'06. BC BH THEO CUSTOMER-USD'!DM:DM)</f>
        <v>2176912.9801767194</v>
      </c>
      <c r="AH40" s="510">
        <f>SUMIF('06. BC BH THEO CUSTOMER-USD'!$G:$G,'8.1. Chart_Khu vực'!$Z40,'06. BC BH THEO CUSTOMER-USD'!DN:DN)</f>
        <v>1971343.2117647058</v>
      </c>
      <c r="AI40" s="510">
        <f>SUMIF('06. BC BH THEO CUSTOMER-USD'!$G:$G,'8.1. Chart_Khu vực'!$Z40,'06. BC BH THEO CUSTOMER-USD'!DO:DO)</f>
        <v>795899.91588571435</v>
      </c>
      <c r="AJ40" s="510">
        <f>SUMIF('06. BC BH THEO CUSTOMER-USD'!$G:$G,'8.1. Chart_Khu vực'!$Z40,'06. BC BH THEO CUSTOMER-USD'!DP:DP)</f>
        <v>0</v>
      </c>
      <c r="AK40" s="510">
        <f>SUMIF('06. BC BH THEO CUSTOMER-USD'!$G:$G,'8.1. Chart_Khu vực'!$Z40,'06. BC BH THEO CUSTOMER-USD'!DQ:DQ)</f>
        <v>0</v>
      </c>
      <c r="AL40" s="510">
        <f>SUMIF('06. BC BH THEO CUSTOMER-USD'!$G:$G,'8.1. Chart_Khu vực'!$Z40,'06. BC BH THEO CUSTOMER-USD'!DR:DR)</f>
        <v>0</v>
      </c>
      <c r="AM40" s="680">
        <f>SUM(AA40:AL40)</f>
        <v>18415671.07350548</v>
      </c>
      <c r="AN40" s="345">
        <f ca="1">IFERROR(SUM(OFFSET(AA40:AL40,0,0,1,$AN$38)),"-")</f>
        <v>17619771.157619767</v>
      </c>
      <c r="AO40" s="624"/>
      <c r="AQ40" s="345">
        <v>1401022.1469795918</v>
      </c>
      <c r="AR40" s="345">
        <v>1190185.7002040816</v>
      </c>
      <c r="AS40" s="345">
        <v>1101840.814516129</v>
      </c>
      <c r="AT40" s="345">
        <v>1421909.6774193547</v>
      </c>
      <c r="AU40" s="345">
        <v>800367.60320000001</v>
      </c>
      <c r="AV40" s="345">
        <v>306835.63672338746</v>
      </c>
      <c r="AW40" s="345">
        <v>1068602.2932696138</v>
      </c>
      <c r="AX40" s="345">
        <v>2059650.3697693239</v>
      </c>
      <c r="AY40" s="345">
        <v>2481503.8064621678</v>
      </c>
      <c r="AZ40" s="345">
        <v>1404508.8539808916</v>
      </c>
      <c r="BA40" s="345">
        <v>588199.75945945934</v>
      </c>
      <c r="BB40" s="345">
        <v>1774425.1342427833</v>
      </c>
      <c r="BC40" s="620">
        <f>SUM(AQ40:BB40)</f>
        <v>15599051.796226785</v>
      </c>
      <c r="BD40" s="636">
        <f ca="1">IFERROR(SUM(OFFSET(AQ40:BB40,0,0,1,$BD$38)),"-")</f>
        <v>9350414.242081482</v>
      </c>
    </row>
    <row r="41" spans="1:56" ht="15.5" outlineLevel="1" x14ac:dyDescent="0.35">
      <c r="A41" s="665">
        <v>2</v>
      </c>
      <c r="B41" s="666" t="str">
        <f>_xlfn.XLOOKUP(A41,$K$7:$K$12,$I$7:$I$12,0)</f>
        <v>Bắc mỹ</v>
      </c>
      <c r="C41" s="667">
        <f>IFERROR(INDEX($AA$40:$AL$46,MATCH(B41,$Z$40:$Z$46,0),MATCH($C$3,$AA$39:$AL$39,0)),0)/10^3</f>
        <v>1971.3432117647058</v>
      </c>
      <c r="D41" s="545">
        <f t="shared" ref="D41:D43" si="18">C41/$C$38</f>
        <v>0.31644904070887225</v>
      </c>
      <c r="E41" s="667">
        <f>IFERROR(INDEX($AQ$40:$BB$46,MATCH(B41,$Z$40:$Z$46,0),MATCH($C$3,$AQ$39:$BB$39,0)),0)/10^3</f>
        <v>2059.6503697693238</v>
      </c>
      <c r="F41" s="545">
        <f t="shared" ref="F41:F43" si="19">E41/$E$38</f>
        <v>0.34960021082314446</v>
      </c>
      <c r="H41" s="654">
        <v>2</v>
      </c>
      <c r="I41" s="655" t="str">
        <f t="shared" ref="I41:I45" si="20">Z41</f>
        <v>Châu Âu</v>
      </c>
      <c r="J41" s="656">
        <f t="shared" si="14"/>
        <v>1320.2644453781513</v>
      </c>
      <c r="K41" s="657">
        <f t="shared" si="15"/>
        <v>3</v>
      </c>
      <c r="M41" s="665">
        <v>2</v>
      </c>
      <c r="N41" s="666" t="str">
        <f ca="1">_xlfn.XLOOKUP(M41,$W$40:$W$46,$U$40:$U$46,0)</f>
        <v>Nội địa</v>
      </c>
      <c r="O41" s="667">
        <f ca="1">_xlfn.XLOOKUP(N41,$Z$40:$Z$46,$AN$40:$AN$46,0)/10^3</f>
        <v>13971.322060360897</v>
      </c>
      <c r="P41" s="545">
        <f ca="1">O41/$O$38</f>
        <v>0.31972618113029833</v>
      </c>
      <c r="Q41" s="667">
        <f ca="1">_xlfn.XLOOKUP(N41,$Z$40:$Z$46,$BD$40:$BD$46,0)/10^3</f>
        <v>12341.23872195747</v>
      </c>
      <c r="R41" s="545">
        <f ca="1">Q41/$Q$38</f>
        <v>0.4565054201182408</v>
      </c>
      <c r="T41" s="654">
        <v>2</v>
      </c>
      <c r="U41" s="655" t="str">
        <f t="shared" ref="U41:U45" si="21">Z41</f>
        <v>Châu Âu</v>
      </c>
      <c r="V41" s="656">
        <f t="shared" ca="1" si="16"/>
        <v>10301.505188742622</v>
      </c>
      <c r="W41" s="657">
        <f t="shared" ca="1" si="17"/>
        <v>3</v>
      </c>
      <c r="Y41" s="322">
        <v>2</v>
      </c>
      <c r="Z41" s="12" t="str">
        <f t="shared" ref="Z41:Z45" si="22">Z8</f>
        <v>Châu Âu</v>
      </c>
      <c r="AA41" s="510">
        <f>SUMIF('06. BC BH THEO CUSTOMER-USD'!$G:$G,'8.1. Chart_Khu vực'!$Z41,'06. BC BH THEO CUSTOMER-USD'!DG:DG)</f>
        <v>0</v>
      </c>
      <c r="AB41" s="510">
        <f>SUMIF('06. BC BH THEO CUSTOMER-USD'!$G:$G,'8.1. Chart_Khu vực'!$Z41,'06. BC BH THEO CUSTOMER-USD'!DH:DH)</f>
        <v>2308187.0744387554</v>
      </c>
      <c r="AC41" s="510">
        <f>SUMIF('06. BC BH THEO CUSTOMER-USD'!$G:$G,'8.1. Chart_Khu vực'!$Z41,'06. BC BH THEO CUSTOMER-USD'!DI:DI)</f>
        <v>1367743.5944881893</v>
      </c>
      <c r="AD41" s="510">
        <f>SUMIF('06. BC BH THEO CUSTOMER-USD'!$G:$G,'8.1. Chart_Khu vực'!$Z41,'06. BC BH THEO CUSTOMER-USD'!DJ:DJ)</f>
        <v>1328771.2543554008</v>
      </c>
      <c r="AE41" s="510">
        <f>SUMIF('06. BC BH THEO CUSTOMER-USD'!$G:$G,'8.1. Chart_Khu vực'!$Z41,'06. BC BH THEO CUSTOMER-USD'!DK:DK)</f>
        <v>1615905.8275328695</v>
      </c>
      <c r="AF41" s="510">
        <f>SUMIF('06. BC BH THEO CUSTOMER-USD'!$G:$G,'8.1. Chart_Khu vực'!$Z41,'06. BC BH THEO CUSTOMER-USD'!DL:DL)</f>
        <v>1152101.2368827157</v>
      </c>
      <c r="AG41" s="510">
        <f>SUMIF('06. BC BH THEO CUSTOMER-USD'!$G:$G,'8.1. Chart_Khu vực'!$Z41,'06. BC BH THEO CUSTOMER-USD'!DM:DM)</f>
        <v>1208531.7556665386</v>
      </c>
      <c r="AH41" s="510">
        <f>SUMIF('06. BC BH THEO CUSTOMER-USD'!$G:$G,'8.1. Chart_Khu vực'!$Z41,'06. BC BH THEO CUSTOMER-USD'!DN:DN)</f>
        <v>1320264.4453781513</v>
      </c>
      <c r="AI41" s="510">
        <f>SUMIF('06. BC BH THEO CUSTOMER-USD'!$G:$G,'8.1. Chart_Khu vực'!$Z41,'06. BC BH THEO CUSTOMER-USD'!DO:DO)</f>
        <v>0</v>
      </c>
      <c r="AJ41" s="510">
        <f>SUMIF('06. BC BH THEO CUSTOMER-USD'!$G:$G,'8.1. Chart_Khu vực'!$Z41,'06. BC BH THEO CUSTOMER-USD'!DP:DP)</f>
        <v>0</v>
      </c>
      <c r="AK41" s="510">
        <f>SUMIF('06. BC BH THEO CUSTOMER-USD'!$G:$G,'8.1. Chart_Khu vực'!$Z41,'06. BC BH THEO CUSTOMER-USD'!DQ:DQ)</f>
        <v>0</v>
      </c>
      <c r="AL41" s="510">
        <f>SUMIF('06. BC BH THEO CUSTOMER-USD'!$G:$G,'8.1. Chart_Khu vực'!$Z41,'06. BC BH THEO CUSTOMER-USD'!DR:DR)</f>
        <v>0</v>
      </c>
      <c r="AM41" s="681">
        <f t="shared" ref="AM41:AM45" si="23">SUM(AA41:AL41)</f>
        <v>10301505.188742621</v>
      </c>
      <c r="AN41" s="346">
        <f t="shared" ref="AN41:AN46" ca="1" si="24">IFERROR(SUM(OFFSET(AA41:AL41,0,0,1,$AN$38)),"-")</f>
        <v>10301505.188742621</v>
      </c>
      <c r="AO41" s="624"/>
      <c r="AQ41" s="346">
        <v>0</v>
      </c>
      <c r="AR41" s="346">
        <v>55906.220408163266</v>
      </c>
      <c r="AS41" s="346">
        <v>901535.38306451612</v>
      </c>
      <c r="AT41" s="346">
        <v>916593.09677419357</v>
      </c>
      <c r="AU41" s="346">
        <v>29985.120000000003</v>
      </c>
      <c r="AV41" s="346">
        <v>0</v>
      </c>
      <c r="AW41" s="346">
        <v>0</v>
      </c>
      <c r="AX41" s="346">
        <v>966979.6843383247</v>
      </c>
      <c r="AY41" s="346">
        <v>1211265.2924335378</v>
      </c>
      <c r="AZ41" s="346">
        <v>405980.92356687901</v>
      </c>
      <c r="BA41" s="346">
        <v>0</v>
      </c>
      <c r="BB41" s="346">
        <v>0</v>
      </c>
      <c r="BC41" s="621">
        <f t="shared" ref="BC41:BC46" si="25">SUM(AQ41:BB41)</f>
        <v>4488245.7205856144</v>
      </c>
      <c r="BD41" s="637">
        <f t="shared" ref="BD41:BD46" ca="1" si="26">IFERROR(SUM(OFFSET(AQ41:BB41,0,0,1,$BD$38)),"-")</f>
        <v>2870999.5045851977</v>
      </c>
    </row>
    <row r="42" spans="1:56" ht="15.5" outlineLevel="1" x14ac:dyDescent="0.35">
      <c r="A42" s="665">
        <v>3</v>
      </c>
      <c r="B42" s="666" t="str">
        <f>_xlfn.XLOOKUP(A42,$K$7:$K$12,$I$7:$I$12,0)</f>
        <v>Châu Âu</v>
      </c>
      <c r="C42" s="667">
        <f>IFERROR(INDEX($AA$40:$AL$46,MATCH(B42,$Z$40:$Z$46,0),MATCH($C$3,$AA$39:$AL$39,0)),0)/10^3</f>
        <v>1320.2644453781513</v>
      </c>
      <c r="D42" s="545">
        <f t="shared" si="18"/>
        <v>0.21193489531837761</v>
      </c>
      <c r="E42" s="667">
        <f>IFERROR(INDEX($AQ$40:$BB$46,MATCH(B42,$Z$40:$Z$46,0),MATCH($C$3,$AQ$39:$BB$39,0)),0)/10^3</f>
        <v>966.97968433832466</v>
      </c>
      <c r="F42" s="545">
        <f t="shared" si="19"/>
        <v>0.16413285792007384</v>
      </c>
      <c r="H42" s="654">
        <v>3</v>
      </c>
      <c r="I42" s="655" t="str">
        <f t="shared" si="20"/>
        <v>Nội địa</v>
      </c>
      <c r="J42" s="656">
        <f t="shared" si="14"/>
        <v>2658.1882522536284</v>
      </c>
      <c r="K42" s="657">
        <f t="shared" si="15"/>
        <v>1</v>
      </c>
      <c r="M42" s="665">
        <v>3</v>
      </c>
      <c r="N42" s="666" t="str">
        <f ca="1">_xlfn.XLOOKUP(M42,$W$40:$W$46,$U$40:$U$46,0)</f>
        <v>Châu Âu</v>
      </c>
      <c r="O42" s="667">
        <f ca="1">_xlfn.XLOOKUP(N42,$Z$40:$Z$46,$AN$40:$AN$46,0)/10^3</f>
        <v>10301.505188742622</v>
      </c>
      <c r="P42" s="545">
        <f t="shared" ref="P42:P43" ca="1" si="27">O42/$O$38</f>
        <v>0.23574439839414538</v>
      </c>
      <c r="Q42" s="667">
        <f ca="1">_xlfn.XLOOKUP(N42,$Z$40:$Z$46,$BD$40:$BD$46,0)/10^3</f>
        <v>2870.9995045851979</v>
      </c>
      <c r="R42" s="545">
        <f t="shared" ref="R42:R43" ca="1" si="28">Q42/$Q$38</f>
        <v>0.1061989695303492</v>
      </c>
      <c r="T42" s="654">
        <v>3</v>
      </c>
      <c r="U42" s="655" t="str">
        <f t="shared" si="21"/>
        <v>Nội địa</v>
      </c>
      <c r="V42" s="656">
        <f t="shared" ca="1" si="16"/>
        <v>13971.322060360897</v>
      </c>
      <c r="W42" s="657">
        <f t="shared" ca="1" si="17"/>
        <v>2</v>
      </c>
      <c r="Y42" s="322">
        <v>3</v>
      </c>
      <c r="Z42" s="12" t="str">
        <f t="shared" si="22"/>
        <v>Nội địa</v>
      </c>
      <c r="AA42" s="510">
        <f>SUMIF('06. BC BH THEO CUSTOMER-USD'!$G:$G,'8.1. Chart_Khu vực'!$Z42,'06. BC BH THEO CUSTOMER-USD'!DG:DG)</f>
        <v>1272650.8131674025</v>
      </c>
      <c r="AB42" s="510">
        <f>SUMIF('06. BC BH THEO CUSTOMER-USD'!$G:$G,'8.1. Chart_Khu vực'!$Z42,'06. BC BH THEO CUSTOMER-USD'!DH:DH)</f>
        <v>2047567.0572272558</v>
      </c>
      <c r="AC42" s="510">
        <f>SUMIF('06. BC BH THEO CUSTOMER-USD'!$G:$G,'8.1. Chart_Khu vực'!$Z42,'06. BC BH THEO CUSTOMER-USD'!DI:DI)</f>
        <v>1656156.7487795281</v>
      </c>
      <c r="AD42" s="510">
        <f>SUMIF('06. BC BH THEO CUSTOMER-USD'!$G:$G,'8.1. Chart_Khu vực'!$Z42,'06. BC BH THEO CUSTOMER-USD'!DJ:DJ)</f>
        <v>1404684.8244289584</v>
      </c>
      <c r="AE42" s="510">
        <f>SUMIF('06. BC BH THEO CUSTOMER-USD'!$G:$G,'8.1. Chart_Khu vực'!$Z42,'06. BC BH THEO CUSTOMER-USD'!DK:DK)</f>
        <v>1319994.5616395986</v>
      </c>
      <c r="AF42" s="510">
        <f>SUMIF('06. BC BH THEO CUSTOMER-USD'!$G:$G,'8.1. Chart_Khu vực'!$Z42,'06. BC BH THEO CUSTOMER-USD'!DL:DL)</f>
        <v>1736546.150578703</v>
      </c>
      <c r="AG42" s="510">
        <f>SUMIF('06. BC BH THEO CUSTOMER-USD'!$G:$G,'8.1. Chart_Khu vực'!$Z42,'06. BC BH THEO CUSTOMER-USD'!DM:DM)</f>
        <v>1875533.6522858238</v>
      </c>
      <c r="AH42" s="510">
        <f>SUMIF('06. BC BH THEO CUSTOMER-USD'!$G:$G,'8.1. Chart_Khu vực'!$Z42,'06. BC BH THEO CUSTOMER-USD'!DN:DN)</f>
        <v>2658188.2522536283</v>
      </c>
      <c r="AI42" s="510">
        <f>SUMIF('06. BC BH THEO CUSTOMER-USD'!$G:$G,'8.1. Chart_Khu vực'!$Z42,'06. BC BH THEO CUSTOMER-USD'!DO:DO)</f>
        <v>2053789.0762666669</v>
      </c>
      <c r="AJ42" s="510">
        <f>SUMIF('06. BC BH THEO CUSTOMER-USD'!$G:$G,'8.1. Chart_Khu vực'!$Z42,'06. BC BH THEO CUSTOMER-USD'!DP:DP)</f>
        <v>0</v>
      </c>
      <c r="AK42" s="510">
        <f>SUMIF('06. BC BH THEO CUSTOMER-USD'!$G:$G,'8.1. Chart_Khu vực'!$Z42,'06. BC BH THEO CUSTOMER-USD'!DQ:DQ)</f>
        <v>0</v>
      </c>
      <c r="AL42" s="510">
        <f>SUMIF('06. BC BH THEO CUSTOMER-USD'!$G:$G,'8.1. Chart_Khu vực'!$Z42,'06. BC BH THEO CUSTOMER-USD'!DR:DR)</f>
        <v>0</v>
      </c>
      <c r="AM42" s="681">
        <f t="shared" si="23"/>
        <v>16025111.136627564</v>
      </c>
      <c r="AN42" s="346">
        <f t="shared" ca="1" si="24"/>
        <v>13971322.060360897</v>
      </c>
      <c r="AO42" s="624"/>
      <c r="AQ42" s="346">
        <v>1260287.9137959185</v>
      </c>
      <c r="AR42" s="346">
        <v>1358876.1616326531</v>
      </c>
      <c r="AS42" s="346">
        <v>1394802.4992338712</v>
      </c>
      <c r="AT42" s="346">
        <v>1096568.9475806453</v>
      </c>
      <c r="AU42" s="346">
        <v>2647026.3960000002</v>
      </c>
      <c r="AV42" s="346">
        <v>1956069.8239414326</v>
      </c>
      <c r="AW42" s="346">
        <v>807254.58952608507</v>
      </c>
      <c r="AX42" s="346">
        <v>1820352.3902468637</v>
      </c>
      <c r="AY42" s="346">
        <v>1432291.7489979549</v>
      </c>
      <c r="AZ42" s="346">
        <v>1781731.1852707011</v>
      </c>
      <c r="BA42" s="346">
        <v>1855137.8682034975</v>
      </c>
      <c r="BB42" s="346">
        <v>2022669.0874258601</v>
      </c>
      <c r="BC42" s="621">
        <f t="shared" si="25"/>
        <v>19433068.611855485</v>
      </c>
      <c r="BD42" s="637">
        <f t="shared" ca="1" si="26"/>
        <v>12341238.721957469</v>
      </c>
    </row>
    <row r="43" spans="1:56" ht="15.5" outlineLevel="1" x14ac:dyDescent="0.35">
      <c r="A43" s="665">
        <v>4</v>
      </c>
      <c r="B43" s="666" t="str">
        <f>_xlfn.XLOOKUP(A43,$K$7:$K$12,$I$7:$I$12,0)</f>
        <v>Châu á</v>
      </c>
      <c r="C43" s="667">
        <f>IFERROR(INDEX($AA$40:$AL$46,MATCH(B43,$Z$40:$Z$46,0),MATCH($C$3,$AA$39:$AL$39,0)),0)/10^3</f>
        <v>279.7796562261268</v>
      </c>
      <c r="D43" s="545">
        <f t="shared" si="18"/>
        <v>4.4911511752111534E-2</v>
      </c>
      <c r="E43" s="667">
        <f>IFERROR(INDEX($AQ$40:$BB$46,MATCH(B43,$Z$40:$Z$46,0),MATCH($C$3,$AQ$39:$BB$39,0)),0)/10^3</f>
        <v>1044.462428976123</v>
      </c>
      <c r="F43" s="545">
        <f t="shared" si="19"/>
        <v>0.17728459680649658</v>
      </c>
      <c r="H43" s="654">
        <v>4</v>
      </c>
      <c r="I43" s="655" t="str">
        <f t="shared" si="20"/>
        <v>Châu á</v>
      </c>
      <c r="J43" s="656">
        <f t="shared" si="14"/>
        <v>279.7796562261268</v>
      </c>
      <c r="K43" s="657">
        <f t="shared" si="15"/>
        <v>4</v>
      </c>
      <c r="M43" s="665">
        <v>4</v>
      </c>
      <c r="N43" s="666" t="str">
        <f ca="1">_xlfn.XLOOKUP(M43,$W$40:$W$46,$U$40:$U$46,0)</f>
        <v>Châu á</v>
      </c>
      <c r="O43" s="667">
        <f ca="1">_xlfn.XLOOKUP(N43,$Z$40:$Z$46,$AN$40:$AN$46,0)/10^3</f>
        <v>1805.1745156235145</v>
      </c>
      <c r="P43" s="545">
        <f t="shared" ca="1" si="27"/>
        <v>4.1310446617757908E-2</v>
      </c>
      <c r="Q43" s="667">
        <f ca="1">_xlfn.XLOOKUP(N43,$Z$40:$Z$46,$BD$40:$BD$46,0)/10^3</f>
        <v>2471.5034867661066</v>
      </c>
      <c r="R43" s="545">
        <f t="shared" ca="1" si="28"/>
        <v>9.142151472546052E-2</v>
      </c>
      <c r="T43" s="654">
        <v>4</v>
      </c>
      <c r="U43" s="655" t="str">
        <f t="shared" si="21"/>
        <v>Châu á</v>
      </c>
      <c r="V43" s="656">
        <f t="shared" ca="1" si="16"/>
        <v>1805.1745156235145</v>
      </c>
      <c r="W43" s="657">
        <f t="shared" ca="1" si="17"/>
        <v>4</v>
      </c>
      <c r="Y43" s="322">
        <v>4</v>
      </c>
      <c r="Z43" s="12" t="str">
        <f t="shared" si="22"/>
        <v>Châu á</v>
      </c>
      <c r="AA43" s="510">
        <f>SUMIF('06. BC BH THEO CUSTOMER-USD'!$G:$G,'8.1. Chart_Khu vực'!$Z43,'06. BC BH THEO CUSTOMER-USD'!DG:DG)</f>
        <v>260255.63930148538</v>
      </c>
      <c r="AB43" s="510">
        <f>SUMIF('06. BC BH THEO CUSTOMER-USD'!$G:$G,'8.1. Chart_Khu vực'!$Z43,'06. BC BH THEO CUSTOMER-USD'!DH:DH)</f>
        <v>189451.06341079163</v>
      </c>
      <c r="AC43" s="510">
        <f>SUMIF('06. BC BH THEO CUSTOMER-USD'!$G:$G,'8.1. Chart_Khu vực'!$Z43,'06. BC BH THEO CUSTOMER-USD'!DI:DI)</f>
        <v>311225.68503937009</v>
      </c>
      <c r="AD43" s="510">
        <f>SUMIF('06. BC BH THEO CUSTOMER-USD'!$G:$G,'8.1. Chart_Khu vực'!$Z43,'06. BC BH THEO CUSTOMER-USD'!DJ:DJ)</f>
        <v>249412.21835075493</v>
      </c>
      <c r="AE43" s="510">
        <f>SUMIF('06. BC BH THEO CUSTOMER-USD'!$G:$G,'8.1. Chart_Khu vực'!$Z43,'06. BC BH THEO CUSTOMER-USD'!DK:DK)</f>
        <v>192726.25676720805</v>
      </c>
      <c r="AF43" s="510">
        <f>SUMIF('06. BC BH THEO CUSTOMER-USD'!$G:$G,'8.1. Chart_Khu vực'!$Z43,'06. BC BH THEO CUSTOMER-USD'!DL:DL)</f>
        <v>322323.99652777775</v>
      </c>
      <c r="AG43" s="510">
        <f>SUMIF('06. BC BH THEO CUSTOMER-USD'!$G:$G,'8.1. Chart_Khu vực'!$Z43,'06. BC BH THEO CUSTOMER-USD'!DM:DM)</f>
        <v>0</v>
      </c>
      <c r="AH43" s="510">
        <f>SUMIF('06. BC BH THEO CUSTOMER-USD'!$G:$G,'8.1. Chart_Khu vực'!$Z43,'06. BC BH THEO CUSTOMER-USD'!DN:DN)</f>
        <v>279779.65622612683</v>
      </c>
      <c r="AI43" s="510">
        <f>SUMIF('06. BC BH THEO CUSTOMER-USD'!$G:$G,'8.1. Chart_Khu vực'!$Z43,'06. BC BH THEO CUSTOMER-USD'!DO:DO)</f>
        <v>82266.023771428576</v>
      </c>
      <c r="AJ43" s="510">
        <f>SUMIF('06. BC BH THEO CUSTOMER-USD'!$G:$G,'8.1. Chart_Khu vực'!$Z43,'06. BC BH THEO CUSTOMER-USD'!DP:DP)</f>
        <v>0</v>
      </c>
      <c r="AK43" s="510">
        <f>SUMIF('06. BC BH THEO CUSTOMER-USD'!$G:$G,'8.1. Chart_Khu vực'!$Z43,'06. BC BH THEO CUSTOMER-USD'!DQ:DQ)</f>
        <v>0</v>
      </c>
      <c r="AL43" s="510">
        <f>SUMIF('06. BC BH THEO CUSTOMER-USD'!$G:$G,'8.1. Chart_Khu vực'!$Z43,'06. BC BH THEO CUSTOMER-USD'!DR:DR)</f>
        <v>0</v>
      </c>
      <c r="AM43" s="681">
        <f t="shared" si="23"/>
        <v>1887440.539394943</v>
      </c>
      <c r="AN43" s="346">
        <f t="shared" ca="1" si="24"/>
        <v>1805174.5156235145</v>
      </c>
      <c r="AO43" s="624"/>
      <c r="AQ43" s="346">
        <v>24582.972408163263</v>
      </c>
      <c r="AR43" s="346">
        <v>0</v>
      </c>
      <c r="AS43" s="346">
        <v>267327.91334677418</v>
      </c>
      <c r="AT43" s="346">
        <v>489938.75806451612</v>
      </c>
      <c r="AU43" s="346">
        <v>419571.68</v>
      </c>
      <c r="AV43" s="346">
        <v>0</v>
      </c>
      <c r="AW43" s="346">
        <v>225619.73397052969</v>
      </c>
      <c r="AX43" s="346">
        <v>1044462.428976123</v>
      </c>
      <c r="AY43" s="346">
        <v>760840.80163599178</v>
      </c>
      <c r="AZ43" s="346">
        <v>762917.94426751591</v>
      </c>
      <c r="BA43" s="346">
        <v>176021.6852146264</v>
      </c>
      <c r="BB43" s="346">
        <v>0</v>
      </c>
      <c r="BC43" s="621">
        <f t="shared" si="25"/>
        <v>4171283.9178842409</v>
      </c>
      <c r="BD43" s="637">
        <f t="shared" ca="1" si="26"/>
        <v>2471503.4867661064</v>
      </c>
    </row>
    <row r="44" spans="1:56" ht="15.5" outlineLevel="1" x14ac:dyDescent="0.35">
      <c r="A44" s="665"/>
      <c r="B44" s="666"/>
      <c r="C44" s="667"/>
      <c r="D44" s="545"/>
      <c r="E44" s="667"/>
      <c r="F44" s="545"/>
      <c r="H44" s="654">
        <v>5</v>
      </c>
      <c r="I44" s="655">
        <f t="shared" si="20"/>
        <v>0</v>
      </c>
      <c r="J44" s="656">
        <f t="shared" si="14"/>
        <v>0</v>
      </c>
      <c r="K44" s="657" t="str">
        <f t="shared" si="15"/>
        <v>-</v>
      </c>
      <c r="M44" s="665"/>
      <c r="N44" s="666"/>
      <c r="O44" s="667"/>
      <c r="P44" s="545"/>
      <c r="Q44" s="667"/>
      <c r="R44" s="545"/>
      <c r="T44" s="654">
        <v>5</v>
      </c>
      <c r="U44" s="655">
        <f t="shared" si="21"/>
        <v>0</v>
      </c>
      <c r="V44" s="656">
        <f t="shared" ca="1" si="16"/>
        <v>0</v>
      </c>
      <c r="W44" s="657" t="str">
        <f t="shared" ca="1" si="17"/>
        <v>-</v>
      </c>
      <c r="Y44" s="322">
        <v>5</v>
      </c>
      <c r="Z44" s="12">
        <f t="shared" si="22"/>
        <v>0</v>
      </c>
      <c r="AA44" s="510">
        <f>SUMIF('06. BC BH THEO CUSTOMER-USD'!$G:$G,'8.1. Chart_Khu vực'!$Z44,'06. BC BH THEO CUSTOMER-USD'!DG:DG)</f>
        <v>0</v>
      </c>
      <c r="AB44" s="510">
        <f>SUMIF('06. BC BH THEO CUSTOMER-USD'!$G:$G,'8.1. Chart_Khu vực'!$Z44,'06. BC BH THEO CUSTOMER-USD'!DH:DH)</f>
        <v>0</v>
      </c>
      <c r="AC44" s="510">
        <f>SUMIF('06. BC BH THEO CUSTOMER-USD'!$G:$G,'8.1. Chart_Khu vực'!$Z44,'06. BC BH THEO CUSTOMER-USD'!DI:DI)</f>
        <v>0</v>
      </c>
      <c r="AD44" s="510">
        <f>SUMIF('06. BC BH THEO CUSTOMER-USD'!$G:$G,'8.1. Chart_Khu vực'!$Z44,'06. BC BH THEO CUSTOMER-USD'!DJ:DJ)</f>
        <v>0</v>
      </c>
      <c r="AE44" s="510">
        <f>SUMIF('06. BC BH THEO CUSTOMER-USD'!$G:$G,'8.1. Chart_Khu vực'!$Z44,'06. BC BH THEO CUSTOMER-USD'!DK:DK)</f>
        <v>0</v>
      </c>
      <c r="AF44" s="510">
        <f>SUMIF('06. BC BH THEO CUSTOMER-USD'!$G:$G,'8.1. Chart_Khu vực'!$Z44,'06. BC BH THEO CUSTOMER-USD'!DL:DL)</f>
        <v>0</v>
      </c>
      <c r="AG44" s="510">
        <f>SUMIF('06. BC BH THEO CUSTOMER-USD'!$G:$G,'8.1. Chart_Khu vực'!$Z44,'06. BC BH THEO CUSTOMER-USD'!DM:DM)</f>
        <v>0</v>
      </c>
      <c r="AH44" s="510">
        <f>SUMIF('06. BC BH THEO CUSTOMER-USD'!$G:$G,'8.1. Chart_Khu vực'!$Z44,'06. BC BH THEO CUSTOMER-USD'!DN:DN)</f>
        <v>0</v>
      </c>
      <c r="AI44" s="510">
        <f>SUMIF('06. BC BH THEO CUSTOMER-USD'!$G:$G,'8.1. Chart_Khu vực'!$Z44,'06. BC BH THEO CUSTOMER-USD'!DO:DO)</f>
        <v>0</v>
      </c>
      <c r="AJ44" s="510">
        <f>SUMIF('06. BC BH THEO CUSTOMER-USD'!$G:$G,'8.1. Chart_Khu vực'!$Z44,'06. BC BH THEO CUSTOMER-USD'!DP:DP)</f>
        <v>0</v>
      </c>
      <c r="AK44" s="510">
        <f>SUMIF('06. BC BH THEO CUSTOMER-USD'!$G:$G,'8.1. Chart_Khu vực'!$Z44,'06. BC BH THEO CUSTOMER-USD'!DQ:DQ)</f>
        <v>0</v>
      </c>
      <c r="AL44" s="510">
        <f>SUMIF('06. BC BH THEO CUSTOMER-USD'!$G:$G,'8.1. Chart_Khu vực'!$Z44,'06. BC BH THEO CUSTOMER-USD'!DR:DR)</f>
        <v>0</v>
      </c>
      <c r="AM44" s="681">
        <f t="shared" si="23"/>
        <v>0</v>
      </c>
      <c r="AN44" s="346">
        <f t="shared" ca="1" si="24"/>
        <v>0</v>
      </c>
      <c r="AO44" s="624"/>
      <c r="AQ44" s="346"/>
      <c r="AR44" s="346"/>
      <c r="AS44" s="346"/>
      <c r="AT44" s="346"/>
      <c r="AU44" s="346"/>
      <c r="AV44" s="346"/>
      <c r="AW44" s="346"/>
      <c r="AX44" s="346"/>
      <c r="AY44" s="346"/>
      <c r="AZ44" s="346"/>
      <c r="BA44" s="346"/>
      <c r="BB44" s="346"/>
      <c r="BC44" s="621">
        <f t="shared" si="25"/>
        <v>0</v>
      </c>
      <c r="BD44" s="637">
        <f t="shared" ca="1" si="26"/>
        <v>0</v>
      </c>
    </row>
    <row r="45" spans="1:56" ht="15.5" outlineLevel="1" x14ac:dyDescent="0.35">
      <c r="A45" s="665"/>
      <c r="B45" s="666"/>
      <c r="C45" s="667"/>
      <c r="D45" s="545"/>
      <c r="E45" s="667"/>
      <c r="F45" s="545"/>
      <c r="H45" s="654">
        <v>6</v>
      </c>
      <c r="I45" s="655">
        <f t="shared" si="20"/>
        <v>0</v>
      </c>
      <c r="J45" s="656">
        <f t="shared" si="14"/>
        <v>0</v>
      </c>
      <c r="K45" s="657" t="str">
        <f t="shared" si="15"/>
        <v>-</v>
      </c>
      <c r="M45" s="665"/>
      <c r="N45" s="666"/>
      <c r="O45" s="667"/>
      <c r="P45" s="545"/>
      <c r="Q45" s="667"/>
      <c r="R45" s="545"/>
      <c r="T45" s="654">
        <v>6</v>
      </c>
      <c r="U45" s="655">
        <f t="shared" si="21"/>
        <v>0</v>
      </c>
      <c r="V45" s="656">
        <f t="shared" ca="1" si="16"/>
        <v>0</v>
      </c>
      <c r="W45" s="657" t="str">
        <f t="shared" ca="1" si="17"/>
        <v>-</v>
      </c>
      <c r="Y45" s="322">
        <v>6</v>
      </c>
      <c r="Z45" s="12">
        <f t="shared" si="22"/>
        <v>0</v>
      </c>
      <c r="AA45" s="510">
        <f>SUMIF('06. BC BH THEO CUSTOMER-USD'!$G:$G,'8.1. Chart_Khu vực'!$Z45,'06. BC BH THEO CUSTOMER-USD'!DG:DG)</f>
        <v>0</v>
      </c>
      <c r="AB45" s="510">
        <f>SUMIF('06. BC BH THEO CUSTOMER-USD'!$G:$G,'8.1. Chart_Khu vực'!$Z45,'06. BC BH THEO CUSTOMER-USD'!DH:DH)</f>
        <v>0</v>
      </c>
      <c r="AC45" s="510">
        <f>SUMIF('06. BC BH THEO CUSTOMER-USD'!$G:$G,'8.1. Chart_Khu vực'!$Z45,'06. BC BH THEO CUSTOMER-USD'!DI:DI)</f>
        <v>0</v>
      </c>
      <c r="AD45" s="510">
        <f>SUMIF('06. BC BH THEO CUSTOMER-USD'!$G:$G,'8.1. Chart_Khu vực'!$Z45,'06. BC BH THEO CUSTOMER-USD'!DJ:DJ)</f>
        <v>0</v>
      </c>
      <c r="AE45" s="510">
        <f>SUMIF('06. BC BH THEO CUSTOMER-USD'!$G:$G,'8.1. Chart_Khu vực'!$Z45,'06. BC BH THEO CUSTOMER-USD'!DK:DK)</f>
        <v>0</v>
      </c>
      <c r="AF45" s="510">
        <f>SUMIF('06. BC BH THEO CUSTOMER-USD'!$G:$G,'8.1. Chart_Khu vực'!$Z45,'06. BC BH THEO CUSTOMER-USD'!DL:DL)</f>
        <v>0</v>
      </c>
      <c r="AG45" s="510">
        <f>SUMIF('06. BC BH THEO CUSTOMER-USD'!$G:$G,'8.1. Chart_Khu vực'!$Z45,'06. BC BH THEO CUSTOMER-USD'!DM:DM)</f>
        <v>0</v>
      </c>
      <c r="AH45" s="510">
        <f>SUMIF('06. BC BH THEO CUSTOMER-USD'!$G:$G,'8.1. Chart_Khu vực'!$Z45,'06. BC BH THEO CUSTOMER-USD'!DN:DN)</f>
        <v>0</v>
      </c>
      <c r="AI45" s="510">
        <f>SUMIF('06. BC BH THEO CUSTOMER-USD'!$G:$G,'8.1. Chart_Khu vực'!$Z45,'06. BC BH THEO CUSTOMER-USD'!DO:DO)</f>
        <v>0</v>
      </c>
      <c r="AJ45" s="510">
        <f>SUMIF('06. BC BH THEO CUSTOMER-USD'!$G:$G,'8.1. Chart_Khu vực'!$Z45,'06. BC BH THEO CUSTOMER-USD'!DP:DP)</f>
        <v>0</v>
      </c>
      <c r="AK45" s="510">
        <f>SUMIF('06. BC BH THEO CUSTOMER-USD'!$G:$G,'8.1. Chart_Khu vực'!$Z45,'06. BC BH THEO CUSTOMER-USD'!DQ:DQ)</f>
        <v>0</v>
      </c>
      <c r="AL45" s="510">
        <f>SUMIF('06. BC BH THEO CUSTOMER-USD'!$G:$G,'8.1. Chart_Khu vực'!$Z45,'06. BC BH THEO CUSTOMER-USD'!DR:DR)</f>
        <v>0</v>
      </c>
      <c r="AM45" s="681">
        <f t="shared" si="23"/>
        <v>0</v>
      </c>
      <c r="AN45" s="346">
        <f t="shared" ca="1" si="24"/>
        <v>0</v>
      </c>
      <c r="AO45" s="624"/>
      <c r="AQ45" s="346"/>
      <c r="AR45" s="346"/>
      <c r="AS45" s="346"/>
      <c r="AT45" s="346"/>
      <c r="AU45" s="346"/>
      <c r="AV45" s="346"/>
      <c r="AW45" s="346"/>
      <c r="AX45" s="346"/>
      <c r="AY45" s="346"/>
      <c r="AZ45" s="346"/>
      <c r="BA45" s="346"/>
      <c r="BB45" s="346"/>
      <c r="BC45" s="621">
        <f t="shared" si="25"/>
        <v>0</v>
      </c>
      <c r="BD45" s="637">
        <f t="shared" ca="1" si="26"/>
        <v>0</v>
      </c>
    </row>
    <row r="46" spans="1:56" ht="15.5" outlineLevel="1" x14ac:dyDescent="0.35">
      <c r="A46" s="669"/>
      <c r="B46" s="670"/>
      <c r="C46" s="671"/>
      <c r="D46" s="546"/>
      <c r="E46" s="671"/>
      <c r="F46" s="546"/>
      <c r="H46" s="658"/>
      <c r="I46" s="659"/>
      <c r="J46" s="659"/>
      <c r="K46" s="660" t="str">
        <f t="shared" si="15"/>
        <v>-</v>
      </c>
      <c r="M46" s="669"/>
      <c r="N46" s="670"/>
      <c r="O46" s="671"/>
      <c r="P46" s="546"/>
      <c r="Q46" s="671"/>
      <c r="R46" s="545"/>
      <c r="T46" s="658"/>
      <c r="U46" s="659"/>
      <c r="V46" s="692">
        <f t="shared" ca="1" si="16"/>
        <v>0</v>
      </c>
      <c r="W46" s="660" t="str">
        <f t="shared" ca="1" si="17"/>
        <v>-</v>
      </c>
      <c r="Y46" s="352"/>
      <c r="Z46" s="619"/>
      <c r="AA46" s="515"/>
      <c r="AB46" s="515"/>
      <c r="AC46" s="515"/>
      <c r="AD46" s="515"/>
      <c r="AE46" s="515"/>
      <c r="AF46" s="515"/>
      <c r="AG46" s="515"/>
      <c r="AH46" s="515"/>
      <c r="AI46" s="515"/>
      <c r="AJ46" s="515"/>
      <c r="AK46" s="515"/>
      <c r="AL46" s="515"/>
      <c r="AM46" s="682"/>
      <c r="AN46" s="406">
        <f t="shared" ca="1" si="24"/>
        <v>0</v>
      </c>
      <c r="AO46" s="628"/>
      <c r="AQ46" s="406"/>
      <c r="AR46" s="406"/>
      <c r="AS46" s="406"/>
      <c r="AT46" s="406"/>
      <c r="AU46" s="406"/>
      <c r="AV46" s="406"/>
      <c r="AW46" s="406"/>
      <c r="AX46" s="406"/>
      <c r="AY46" s="406"/>
      <c r="AZ46" s="406"/>
      <c r="BA46" s="406"/>
      <c r="BB46" s="406"/>
      <c r="BC46" s="622">
        <f t="shared" si="25"/>
        <v>0</v>
      </c>
      <c r="BD46" s="638">
        <f t="shared" ca="1" si="26"/>
        <v>0</v>
      </c>
    </row>
    <row r="48" spans="1:56" ht="21" x14ac:dyDescent="0.5">
      <c r="B48" s="738" t="str">
        <f>"DOANH THU THEO KHU VỰC T"&amp;C3&amp;"/25"</f>
        <v>DOANH THU THEO KHU VỰC T8/25</v>
      </c>
      <c r="O48" s="739" t="str">
        <f>"LŨY KẾ DOANH THU THEO KHU VỰC T"&amp;C3&amp;"/25"</f>
        <v>LŨY KẾ DOANH THU THEO KHU VỰC T8/25</v>
      </c>
    </row>
    <row r="72" spans="1:56" ht="17.5" x14ac:dyDescent="0.35">
      <c r="A72" s="740">
        <v>3</v>
      </c>
      <c r="B72" s="740" t="s">
        <v>680</v>
      </c>
      <c r="Y72" s="122">
        <v>3</v>
      </c>
      <c r="Z72" s="122" t="s">
        <v>668</v>
      </c>
    </row>
    <row r="73" spans="1:56" ht="15.5" outlineLevel="1" x14ac:dyDescent="0.35">
      <c r="C73" s="645">
        <f>SUM(C75:C80)</f>
        <v>635.47914124720569</v>
      </c>
      <c r="D73" s="647">
        <f>SUM(D75:D80)</f>
        <v>1</v>
      </c>
      <c r="E73" s="645">
        <f>SUM(E75:E80)</f>
        <v>552.63501041728489</v>
      </c>
      <c r="F73" s="647">
        <f>SUM(F75:F80)</f>
        <v>1</v>
      </c>
      <c r="J73" s="617">
        <f>SUM(J75:J80)</f>
        <v>635.4791412472058</v>
      </c>
      <c r="O73" s="645">
        <f ca="1">SUM(O75:O80)</f>
        <v>6182.1446799756004</v>
      </c>
      <c r="P73" s="647">
        <f ca="1">SUM(P75:P80)</f>
        <v>0.99999999999999989</v>
      </c>
      <c r="Q73" s="645">
        <f ca="1">SUM(Q75:Q80)</f>
        <v>4247.1622225879419</v>
      </c>
      <c r="R73" s="647">
        <f ca="1">SUM(R75:R80)</f>
        <v>0.46141825385906837</v>
      </c>
      <c r="V73" s="617">
        <f ca="1">SUM(V75:V80)</f>
        <v>6182.1446799756004</v>
      </c>
      <c r="AA73" s="617">
        <f t="shared" ref="AA73:AM73" si="29">SUM(AA75:AA79)</f>
        <v>726334.05849056598</v>
      </c>
      <c r="AB73" s="617">
        <f t="shared" si="29"/>
        <v>1404046.5570332445</v>
      </c>
      <c r="AC73" s="617">
        <f t="shared" si="29"/>
        <v>917281.23943809397</v>
      </c>
      <c r="AD73" s="617">
        <f t="shared" si="29"/>
        <v>730653.09317331272</v>
      </c>
      <c r="AE73" s="617">
        <f t="shared" si="29"/>
        <v>898437.34377273626</v>
      </c>
      <c r="AF73" s="617">
        <f t="shared" si="29"/>
        <v>496370.48946759262</v>
      </c>
      <c r="AG73" s="617">
        <f t="shared" si="29"/>
        <v>373542.75735284766</v>
      </c>
      <c r="AH73" s="617">
        <f t="shared" si="29"/>
        <v>635479.14124720567</v>
      </c>
      <c r="AI73" s="617">
        <f t="shared" si="29"/>
        <v>116031.65120440251</v>
      </c>
      <c r="AJ73" s="617">
        <f t="shared" si="29"/>
        <v>0</v>
      </c>
      <c r="AK73" s="617">
        <f t="shared" si="29"/>
        <v>0</v>
      </c>
      <c r="AL73" s="617">
        <f t="shared" si="29"/>
        <v>0</v>
      </c>
      <c r="AM73" s="617">
        <f t="shared" si="29"/>
        <v>6298176.3311800025</v>
      </c>
      <c r="AN73" s="683">
        <f>$C$3</f>
        <v>8</v>
      </c>
      <c r="AO73" s="623"/>
      <c r="AQ73" s="617">
        <f t="shared" ref="AQ73:BC73" si="30">SUM(AQ75:AQ80)</f>
        <v>656979.4317959185</v>
      </c>
      <c r="AR73" s="617">
        <f t="shared" si="30"/>
        <v>557101.75481632655</v>
      </c>
      <c r="AS73" s="617">
        <f t="shared" si="30"/>
        <v>595216.00547056459</v>
      </c>
      <c r="AT73" s="617">
        <f t="shared" si="30"/>
        <v>729757.97904032248</v>
      </c>
      <c r="AU73" s="617">
        <f t="shared" si="30"/>
        <v>545748.32167999982</v>
      </c>
      <c r="AV73" s="617">
        <f t="shared" si="30"/>
        <v>381524.50749974354</v>
      </c>
      <c r="AW73" s="617">
        <f t="shared" si="30"/>
        <v>228199.21186778185</v>
      </c>
      <c r="AX73" s="617">
        <f t="shared" si="30"/>
        <v>552635.01041728491</v>
      </c>
      <c r="AY73" s="617">
        <f t="shared" si="30"/>
        <v>657403.45613421174</v>
      </c>
      <c r="AZ73" s="617">
        <f t="shared" si="30"/>
        <v>575372.04596013203</v>
      </c>
      <c r="BA73" s="617">
        <f t="shared" si="30"/>
        <v>579513.42655730597</v>
      </c>
      <c r="BB73" s="617">
        <f t="shared" si="30"/>
        <v>722958.11793092906</v>
      </c>
      <c r="BC73" s="617">
        <f t="shared" si="30"/>
        <v>6782409.2691705218</v>
      </c>
      <c r="BD73" s="627">
        <f>$BD$5</f>
        <v>8</v>
      </c>
    </row>
    <row r="74" spans="1:56" ht="15" outlineLevel="1" x14ac:dyDescent="0.35">
      <c r="A74" s="616" t="s">
        <v>673</v>
      </c>
      <c r="B74" s="616" t="s">
        <v>799</v>
      </c>
      <c r="C74" s="646">
        <v>2025</v>
      </c>
      <c r="D74" s="616" t="s">
        <v>674</v>
      </c>
      <c r="E74" s="646">
        <v>2024</v>
      </c>
      <c r="F74" s="616" t="s">
        <v>675</v>
      </c>
      <c r="H74" s="616" t="s">
        <v>174</v>
      </c>
      <c r="I74" s="616" t="s">
        <v>799</v>
      </c>
      <c r="J74" s="616" t="s">
        <v>371</v>
      </c>
      <c r="K74" s="616" t="s">
        <v>673</v>
      </c>
      <c r="M74" s="648" t="s">
        <v>673</v>
      </c>
      <c r="N74" s="648" t="s">
        <v>799</v>
      </c>
      <c r="O74" s="649">
        <v>2025</v>
      </c>
      <c r="P74" s="648" t="s">
        <v>674</v>
      </c>
      <c r="Q74" s="649">
        <v>2024</v>
      </c>
      <c r="R74" s="648" t="s">
        <v>675</v>
      </c>
      <c r="T74" s="648" t="s">
        <v>174</v>
      </c>
      <c r="U74" s="648" t="s">
        <v>799</v>
      </c>
      <c r="V74" s="648" t="s">
        <v>371</v>
      </c>
      <c r="W74" s="648" t="s">
        <v>673</v>
      </c>
      <c r="Y74" s="616" t="s">
        <v>174</v>
      </c>
      <c r="Z74" s="616" t="s">
        <v>799</v>
      </c>
      <c r="AA74" s="443">
        <v>1</v>
      </c>
      <c r="AB74" s="616">
        <v>2</v>
      </c>
      <c r="AC74" s="616">
        <v>3</v>
      </c>
      <c r="AD74" s="616">
        <v>4</v>
      </c>
      <c r="AE74" s="616">
        <v>5</v>
      </c>
      <c r="AF74" s="616">
        <v>6</v>
      </c>
      <c r="AG74" s="616">
        <v>7</v>
      </c>
      <c r="AH74" s="616">
        <v>8</v>
      </c>
      <c r="AI74" s="616">
        <v>9</v>
      </c>
      <c r="AJ74" s="616">
        <v>10</v>
      </c>
      <c r="AK74" s="616">
        <v>11</v>
      </c>
      <c r="AL74" s="616">
        <v>12</v>
      </c>
      <c r="AM74" s="616">
        <v>2025</v>
      </c>
      <c r="AN74" s="679" t="s">
        <v>409</v>
      </c>
      <c r="AO74" s="684"/>
      <c r="AQ74" s="625">
        <v>1</v>
      </c>
      <c r="AR74" s="626">
        <v>2</v>
      </c>
      <c r="AS74" s="626">
        <v>3</v>
      </c>
      <c r="AT74" s="626">
        <v>4</v>
      </c>
      <c r="AU74" s="626">
        <v>5</v>
      </c>
      <c r="AV74" s="626">
        <v>6</v>
      </c>
      <c r="AW74" s="626">
        <v>7</v>
      </c>
      <c r="AX74" s="626">
        <v>8</v>
      </c>
      <c r="AY74" s="626">
        <v>9</v>
      </c>
      <c r="AZ74" s="626">
        <v>10</v>
      </c>
      <c r="BA74" s="626">
        <v>11</v>
      </c>
      <c r="BB74" s="626">
        <v>12</v>
      </c>
      <c r="BC74" s="626">
        <v>2024</v>
      </c>
      <c r="BD74" s="626" t="s">
        <v>410</v>
      </c>
    </row>
    <row r="75" spans="1:56" ht="15.5" outlineLevel="1" x14ac:dyDescent="0.35">
      <c r="A75" s="661">
        <v>1</v>
      </c>
      <c r="B75" s="662" t="str">
        <f>_xlfn.XLOOKUP(A75,$K$75:$K$80,$I$75:$I$80,0)</f>
        <v>Châu Âu</v>
      </c>
      <c r="C75" s="663">
        <f>IFERROR(INDEX($AA$75:$AL$80,MATCH(B75,$Z$75:$Z$80,0),MATCH($C$3,$AA$74:$AL$74,0)),0)/10^3</f>
        <v>234.5619688693659</v>
      </c>
      <c r="D75" s="664">
        <f>C75/$C$73</f>
        <v>0.36911041392957333</v>
      </c>
      <c r="E75" s="663">
        <f>IFERROR(INDEX($AQ$75:$BB$80,MATCH(B75,$Z$75:$Z$80,0),MATCH($C$3,$AQ$74:$BB$74,0)),0)/10^3</f>
        <v>168.55893808174832</v>
      </c>
      <c r="F75" s="664">
        <f>E75/$E$73</f>
        <v>0.30500951786328639</v>
      </c>
      <c r="H75" s="650">
        <v>1</v>
      </c>
      <c r="I75" s="651" t="str">
        <f>Z75</f>
        <v>Bắc mỹ</v>
      </c>
      <c r="J75" s="652">
        <f>INDEX($AA$75:$AL$80,MATCH(I75,$Z$75:$Z$80,0),MATCH($C$3,$AA$74:$AL$74,0))/10^3</f>
        <v>194.99860393430086</v>
      </c>
      <c r="K75" s="653">
        <f>IF(J75&lt;&gt;0,RANK(J75,$J$75:$J$80),"-")</f>
        <v>3</v>
      </c>
      <c r="M75" s="661">
        <v>1</v>
      </c>
      <c r="N75" s="662" t="str">
        <f ca="1">_xlfn.XLOOKUP(M75,$W$75:$W$80,$U$75:$U$80,0)</f>
        <v>Bắc mỹ</v>
      </c>
      <c r="O75" s="667">
        <f ca="1">_xlfn.XLOOKUP(N75,$Z$75:$Z$80,$AN$75:$AN$80,0)/10^3</f>
        <v>2375.0650336969015</v>
      </c>
      <c r="P75" s="664">
        <f ca="1">O75/$O$73</f>
        <v>0.38418140574902809</v>
      </c>
      <c r="Q75" s="663">
        <f ca="1">_xlfn.XLOOKUP(N75,$Z$75:$Z$80,$BD$75:$BD$80,0)/10^3</f>
        <v>1533.372075299905</v>
      </c>
      <c r="R75" s="664">
        <f ca="1">Q75/$Q$73</f>
        <v>0.36103449666812321</v>
      </c>
      <c r="T75" s="650">
        <v>1</v>
      </c>
      <c r="U75" s="651" t="str">
        <f>Z75</f>
        <v>Bắc mỹ</v>
      </c>
      <c r="V75" s="656">
        <f t="shared" ref="V75:V80" ca="1" si="31">_xlfn.XLOOKUP(U75,$Z$75:$Z$80,$AN$75:$AN$80,0)/10^3</f>
        <v>2375.0650336969015</v>
      </c>
      <c r="W75" s="657">
        <f t="shared" ref="W75:W80" ca="1" si="32">IF(V75&lt;&gt;0,_xlfn.RANK.EQ(V75,$V$75:$V$80),"-")</f>
        <v>1</v>
      </c>
      <c r="Y75" s="320">
        <v>1</v>
      </c>
      <c r="Z75" s="618" t="str">
        <f>Z40</f>
        <v>Bắc mỹ</v>
      </c>
      <c r="AA75" s="451">
        <f>SUMIF('06. BC BH THEO CUSTOMER-USD'!$G:$G,'8.1. Chart_Khu vực'!$Z75,'06. BC BH THEO CUSTOMER-USD'!DU:DU)</f>
        <v>411631.53906061826</v>
      </c>
      <c r="AB75" s="451">
        <f>SUMIF('06. BC BH THEO CUSTOMER-USD'!$G:$G,'8.1. Chart_Khu vực'!$Z75,'06. BC BH THEO CUSTOMER-USD'!DV:DV)</f>
        <v>494517.85565183137</v>
      </c>
      <c r="AC75" s="451">
        <f>SUMIF('06. BC BH THEO CUSTOMER-USD'!$G:$G,'8.1. Chart_Khu vực'!$Z75,'06. BC BH THEO CUSTOMER-USD'!DW:DW)</f>
        <v>382020.04886358231</v>
      </c>
      <c r="AD75" s="451">
        <f>SUMIF('06. BC BH THEO CUSTOMER-USD'!$G:$G,'8.1. Chart_Khu vực'!$Z75,'06. BC BH THEO CUSTOMER-USD'!DX:DX)</f>
        <v>209938.45392953922</v>
      </c>
      <c r="AE75" s="451">
        <f>SUMIF('06. BC BH THEO CUSTOMER-USD'!$G:$G,'8.1. Chart_Khu vực'!$Z75,'06. BC BH THEO CUSTOMER-USD'!DY:DY)</f>
        <v>384970.68043310114</v>
      </c>
      <c r="AF75" s="451">
        <f>SUMIF('06. BC BH THEO CUSTOMER-USD'!$G:$G,'8.1. Chart_Khu vực'!$Z75,'06. BC BH THEO CUSTOMER-USD'!DZ:DZ)</f>
        <v>128820.06342592594</v>
      </c>
      <c r="AG75" s="451">
        <f>SUMIF('06. BC BH THEO CUSTOMER-USD'!$G:$G,'8.1. Chart_Khu vực'!$Z75,'06. BC BH THEO CUSTOMER-USD'!EA:EA)</f>
        <v>168167.78839800216</v>
      </c>
      <c r="AH75" s="451">
        <f>SUMIF('06. BC BH THEO CUSTOMER-USD'!$G:$G,'8.1. Chart_Khu vực'!$Z75,'06. BC BH THEO CUSTOMER-USD'!EB:EB)</f>
        <v>194998.60393430086</v>
      </c>
      <c r="AI75" s="451">
        <f>SUMIF('06. BC BH THEO CUSTOMER-USD'!$G:$G,'8.1. Chart_Khu vực'!$Z75,'06. BC BH THEO CUSTOMER-USD'!EC:EC)</f>
        <v>95729.866361904758</v>
      </c>
      <c r="AJ75" s="451">
        <f>SUMIF('06. BC BH THEO CUSTOMER-USD'!$G:$G,'8.1. Chart_Khu vực'!$Z75,'06. BC BH THEO CUSTOMER-USD'!ED:ED)</f>
        <v>0</v>
      </c>
      <c r="AK75" s="451">
        <f>SUMIF('06. BC BH THEO CUSTOMER-USD'!$G:$G,'8.1. Chart_Khu vực'!$Z75,'06. BC BH THEO CUSTOMER-USD'!EE:EE)</f>
        <v>0</v>
      </c>
      <c r="AL75" s="451">
        <f>SUMIF('06. BC BH THEO CUSTOMER-USD'!$G:$G,'8.1. Chart_Khu vực'!$Z75,'06. BC BH THEO CUSTOMER-USD'!EF:EF)</f>
        <v>0</v>
      </c>
      <c r="AM75" s="639">
        <f>SUM(AA75:AL75)</f>
        <v>2470794.9000588064</v>
      </c>
      <c r="AN75" s="686">
        <f ca="1">IFERROR(SUM(OFFSET(AA75:AL75,0,0,1,$AN$73)),"-")</f>
        <v>2375065.0336969015</v>
      </c>
      <c r="AO75" s="685"/>
      <c r="AQ75" s="451">
        <v>316212.58008163259</v>
      </c>
      <c r="AR75" s="451">
        <v>203508.0886122449</v>
      </c>
      <c r="AS75" s="451">
        <v>179426.97357540322</v>
      </c>
      <c r="AT75" s="451">
        <v>171560.49794354834</v>
      </c>
      <c r="AU75" s="451">
        <v>122697.53843999999</v>
      </c>
      <c r="AV75" s="451">
        <v>58485.639039118272</v>
      </c>
      <c r="AW75" s="451">
        <v>181971.26626841904</v>
      </c>
      <c r="AX75" s="451">
        <v>299509.49133953854</v>
      </c>
      <c r="AY75" s="451">
        <v>286068.67173824122</v>
      </c>
      <c r="AZ75" s="451">
        <v>160941.84613853504</v>
      </c>
      <c r="BA75" s="451">
        <v>137607.02261526237</v>
      </c>
      <c r="BB75" s="451">
        <v>268076.16785290639</v>
      </c>
      <c r="BC75" s="639">
        <f>SUM(AQ75:BB75)</f>
        <v>2386065.7836448499</v>
      </c>
      <c r="BD75" s="639">
        <f ca="1">IFERROR(SUM(OFFSET(AQ75:BB75,0,0,1,$BD$73)),"-")</f>
        <v>1533372.0752999049</v>
      </c>
    </row>
    <row r="76" spans="1:56" ht="15.5" outlineLevel="1" x14ac:dyDescent="0.35">
      <c r="A76" s="665">
        <v>2</v>
      </c>
      <c r="B76" s="666" t="str">
        <f>_xlfn.XLOOKUP(A76,$K$75:$K$80,$I$75:$I$80,0)</f>
        <v>Nội địa</v>
      </c>
      <c r="C76" s="667">
        <f>IFERROR(INDEX($AA$75:$AL$80,MATCH(B76,$Z$75:$Z$80,0),MATCH($C$3,$AA$74:$AL$74,0)),0)/10^3</f>
        <v>195.18260984919218</v>
      </c>
      <c r="D76" s="545">
        <f t="shared" ref="D76:D78" si="33">C76/$C$73</f>
        <v>0.30714243344969966</v>
      </c>
      <c r="E76" s="667">
        <f>IFERROR(INDEX($AQ$75:$BB$80,MATCH(B76,$Z$75:$Z$80,0),MATCH($C$3,$AQ$74:$BB$74,0)),0)/10^3</f>
        <v>311.25586807410406</v>
      </c>
      <c r="F76" s="545">
        <f t="shared" ref="F76:F78" si="34">E76/$E$73</f>
        <v>0.563221406908477</v>
      </c>
      <c r="H76" s="654">
        <v>2</v>
      </c>
      <c r="I76" s="655" t="str">
        <f t="shared" ref="I76:I78" si="35">Z76</f>
        <v>Châu Âu</v>
      </c>
      <c r="J76" s="656">
        <f>INDEX($AA$75:$AL$80,MATCH(I76,$Z$75:$Z$80,0),MATCH($C$3,$AA$74:$AL$74,0))/10^3</f>
        <v>234.5619688693659</v>
      </c>
      <c r="K76" s="657">
        <f>IF(J76&lt;&gt;0,RANK(J76,$J$75:$J$80),"-")</f>
        <v>1</v>
      </c>
      <c r="M76" s="665">
        <v>2</v>
      </c>
      <c r="N76" s="666" t="str">
        <f ca="1">_xlfn.XLOOKUP(M76,$W$75:$W$80,$U$75:$U$80,0)</f>
        <v>Châu Âu</v>
      </c>
      <c r="O76" s="667">
        <f ca="1">_xlfn.XLOOKUP(N76,$Z$75:$Z$80,$AN$75:$AN$80,0)/10^3</f>
        <v>1891.6941105538856</v>
      </c>
      <c r="P76" s="545">
        <f t="shared" ref="P76:P78" ca="1" si="36">O76/$O$73</f>
        <v>0.30599318011453458</v>
      </c>
      <c r="Q76" s="667">
        <f ca="1">_xlfn.XLOOKUP(N76,$Z$75:$Z$80,$BD$75:$BD$80,0)/10^3</f>
        <v>610.63646422502677</v>
      </c>
      <c r="R76" s="545">
        <f ca="1">Q76/$Q$38</f>
        <v>2.2587591239491753E-2</v>
      </c>
      <c r="T76" s="654">
        <v>2</v>
      </c>
      <c r="U76" s="655" t="str">
        <f t="shared" ref="U76:U79" si="37">Z76</f>
        <v>Châu Âu</v>
      </c>
      <c r="V76" s="656">
        <f t="shared" ca="1" si="31"/>
        <v>1891.6941105538856</v>
      </c>
      <c r="W76" s="657">
        <f t="shared" ca="1" si="32"/>
        <v>2</v>
      </c>
      <c r="Y76" s="322">
        <v>2</v>
      </c>
      <c r="Z76" s="12" t="str">
        <f t="shared" ref="Z76:Z78" si="38">Z41</f>
        <v>Châu Âu</v>
      </c>
      <c r="AA76" s="448">
        <f>SUMIF('06. BC BH THEO CUSTOMER-USD'!$G:$G,'8.1. Chart_Khu vực'!$Z76,'06. BC BH THEO CUSTOMER-USD'!DU:DU)</f>
        <v>0</v>
      </c>
      <c r="AB76" s="448">
        <f>SUMIF('06. BC BH THEO CUSTOMER-USD'!$G:$G,'8.1. Chart_Khu vực'!$Z76,'06. BC BH THEO CUSTOMER-USD'!DV:DV)</f>
        <v>429491.56801890524</v>
      </c>
      <c r="AC76" s="448">
        <f>SUMIF('06. BC BH THEO CUSTOMER-USD'!$G:$G,'8.1. Chart_Khu vực'!$Z76,'06. BC BH THEO CUSTOMER-USD'!DW:DW)</f>
        <v>255323.59346456698</v>
      </c>
      <c r="AD76" s="448">
        <f>SUMIF('06. BC BH THEO CUSTOMER-USD'!$G:$G,'8.1. Chart_Khu vực'!$Z76,'06. BC BH THEO CUSTOMER-USD'!DX:DX)</f>
        <v>270123.60503290762</v>
      </c>
      <c r="AE76" s="448">
        <f>SUMIF('06. BC BH THEO CUSTOMER-USD'!$G:$G,'8.1. Chart_Khu vực'!$Z76,'06. BC BH THEO CUSTOMER-USD'!DY:DY)</f>
        <v>318335.272892498</v>
      </c>
      <c r="AF76" s="448">
        <f>SUMIF('06. BC BH THEO CUSTOMER-USD'!$G:$G,'8.1. Chart_Khu vực'!$Z76,'06. BC BH THEO CUSTOMER-USD'!DZ:DZ)</f>
        <v>178859.91122685192</v>
      </c>
      <c r="AG76" s="448">
        <f>SUMIF('06. BC BH THEO CUSTOMER-USD'!$G:$G,'8.1. Chart_Khu vực'!$Z76,'06. BC BH THEO CUSTOMER-USD'!EA:EA)</f>
        <v>204998.19104878991</v>
      </c>
      <c r="AH76" s="448">
        <f>SUMIF('06. BC BH THEO CUSTOMER-USD'!$G:$G,'8.1. Chart_Khu vực'!$Z76,'06. BC BH THEO CUSTOMER-USD'!EB:EB)</f>
        <v>234561.9688693659</v>
      </c>
      <c r="AI76" s="448">
        <f>SUMIF('06. BC BH THEO CUSTOMER-USD'!$G:$G,'8.1. Chart_Khu vực'!$Z76,'06. BC BH THEO CUSTOMER-USD'!EC:EC)</f>
        <v>0</v>
      </c>
      <c r="AJ76" s="448">
        <f>SUMIF('06. BC BH THEO CUSTOMER-USD'!$G:$G,'8.1. Chart_Khu vực'!$Z76,'06. BC BH THEO CUSTOMER-USD'!ED:ED)</f>
        <v>0</v>
      </c>
      <c r="AK76" s="448">
        <f>SUMIF('06. BC BH THEO CUSTOMER-USD'!$G:$G,'8.1. Chart_Khu vực'!$Z76,'06. BC BH THEO CUSTOMER-USD'!EE:EE)</f>
        <v>0</v>
      </c>
      <c r="AL76" s="448">
        <f>SUMIF('06. BC BH THEO CUSTOMER-USD'!$G:$G,'8.1. Chart_Khu vực'!$Z76,'06. BC BH THEO CUSTOMER-USD'!EF:EF)</f>
        <v>0</v>
      </c>
      <c r="AM76" s="640">
        <f t="shared" ref="AM76:AM79" si="39">SUM(AA76:AL76)</f>
        <v>1891694.1105538856</v>
      </c>
      <c r="AN76" s="687">
        <f t="shared" ref="AN76:AN80" ca="1" si="40">IFERROR(SUM(OFFSET(AA76:AL76,0,0,1,$AN$73)),"-")</f>
        <v>1891694.1105538856</v>
      </c>
      <c r="AO76" s="685"/>
      <c r="AQ76" s="448">
        <v>0</v>
      </c>
      <c r="AR76" s="448">
        <v>16378.013551020405</v>
      </c>
      <c r="AS76" s="448">
        <v>167480.02661290322</v>
      </c>
      <c r="AT76" s="448">
        <v>252308.07741935481</v>
      </c>
      <c r="AU76" s="448">
        <v>5911.4085599999999</v>
      </c>
      <c r="AV76" s="448">
        <v>0</v>
      </c>
      <c r="AW76" s="448">
        <v>0</v>
      </c>
      <c r="AX76" s="448">
        <v>168558.93808174832</v>
      </c>
      <c r="AY76" s="448">
        <v>226086.54871165639</v>
      </c>
      <c r="AZ76" s="448">
        <v>77026.758160828002</v>
      </c>
      <c r="BA76" s="448">
        <v>0</v>
      </c>
      <c r="BB76" s="448">
        <v>0</v>
      </c>
      <c r="BC76" s="640">
        <f t="shared" ref="BC76:BC79" si="41">SUM(AQ76:BB76)</f>
        <v>913749.77109751117</v>
      </c>
      <c r="BD76" s="640">
        <f t="shared" ref="BD76:BD80" ca="1" si="42">IFERROR(SUM(OFFSET(AQ76:BB76,0,0,1,$BD$73)),"-")</f>
        <v>610636.46422502678</v>
      </c>
    </row>
    <row r="77" spans="1:56" ht="15.5" outlineLevel="1" x14ac:dyDescent="0.35">
      <c r="A77" s="665">
        <v>3</v>
      </c>
      <c r="B77" s="666" t="str">
        <f>_xlfn.XLOOKUP(A77,$K$75:$K$80,$I$75:$I$80,0)</f>
        <v>Bắc mỹ</v>
      </c>
      <c r="C77" s="667">
        <f>IFERROR(INDEX($AA$75:$AL$80,MATCH(B77,$Z$75:$Z$80,0),MATCH($C$3,$AA$74:$AL$74,0)),0)/10^3</f>
        <v>194.99860393430086</v>
      </c>
      <c r="D77" s="545">
        <f t="shared" si="33"/>
        <v>0.30685287883972429</v>
      </c>
      <c r="E77" s="667">
        <f>IFERROR(INDEX($AQ$75:$BB$80,MATCH(B77,$Z$75:$Z$80,0),MATCH($C$3,$AQ$74:$BB$74,0)),0)/10^3</f>
        <v>299.50949133953856</v>
      </c>
      <c r="F77" s="545">
        <f t="shared" si="34"/>
        <v>0.54196619051222295</v>
      </c>
      <c r="H77" s="654">
        <v>3</v>
      </c>
      <c r="I77" s="655" t="str">
        <f t="shared" si="35"/>
        <v>Nội địa</v>
      </c>
      <c r="J77" s="656">
        <f>INDEX($AA$75:$AL$80,MATCH(I77,$Z$75:$Z$80,0),MATCH($C$3,$AA$74:$AL$74,0))/10^3</f>
        <v>195.18260984919218</v>
      </c>
      <c r="K77" s="657">
        <f>IF(J77&lt;&gt;0,RANK(J77,$J$75:$J$80),"-")</f>
        <v>2</v>
      </c>
      <c r="M77" s="665">
        <v>3</v>
      </c>
      <c r="N77" s="666" t="str">
        <f ca="1">_xlfn.XLOOKUP(M77,$W$75:$W$80,$U$75:$U$80,0)</f>
        <v>Nội địa</v>
      </c>
      <c r="O77" s="667">
        <f ca="1">_xlfn.XLOOKUP(N77,$Z$75:$Z$80,$AN$75:$AN$80,0)/10^3</f>
        <v>1701.1635834727704</v>
      </c>
      <c r="P77" s="545">
        <f t="shared" ca="1" si="36"/>
        <v>0.27517369319792179</v>
      </c>
      <c r="Q77" s="667">
        <f ca="1">_xlfn.XLOOKUP(N77,$Z$75:$Z$80,$BD$75:$BD$80,0)/10^3</f>
        <v>2502.2771383621189</v>
      </c>
      <c r="R77" s="545">
        <f t="shared" ref="R77:R78" ca="1" si="43">Q77/$Q$38</f>
        <v>9.2559839578168809E-2</v>
      </c>
      <c r="T77" s="654">
        <v>3</v>
      </c>
      <c r="U77" s="655" t="str">
        <f t="shared" si="37"/>
        <v>Nội địa</v>
      </c>
      <c r="V77" s="656">
        <f t="shared" ca="1" si="31"/>
        <v>1701.1635834727704</v>
      </c>
      <c r="W77" s="657">
        <f t="shared" ca="1" si="32"/>
        <v>3</v>
      </c>
      <c r="Y77" s="322">
        <v>3</v>
      </c>
      <c r="Z77" s="12" t="str">
        <f t="shared" si="38"/>
        <v>Nội địa</v>
      </c>
      <c r="AA77" s="448">
        <f>SUMIF('06. BC BH THEO CUSTOMER-USD'!$G:$G,'8.1. Chart_Khu vực'!$Z77,'06. BC BH THEO CUSTOMER-USD'!DU:DU)</f>
        <v>269239.14335608186</v>
      </c>
      <c r="AB77" s="448">
        <f>SUMIF('06. BC BH THEO CUSTOMER-USD'!$G:$G,'8.1. Chart_Khu vực'!$Z77,'06. BC BH THEO CUSTOMER-USD'!DV:DV)</f>
        <v>444530.18539086555</v>
      </c>
      <c r="AC77" s="448">
        <f>SUMIF('06. BC BH THEO CUSTOMER-USD'!$G:$G,'8.1. Chart_Khu vực'!$Z77,'06. BC BH THEO CUSTOMER-USD'!DW:DW)</f>
        <v>249949.04809419671</v>
      </c>
      <c r="AD77" s="448">
        <f>SUMIF('06. BC BH THEO CUSTOMER-USD'!$G:$G,'8.1. Chart_Khu vực'!$Z77,'06. BC BH THEO CUSTOMER-USD'!DX:DX)</f>
        <v>192500.56680862041</v>
      </c>
      <c r="AE77" s="448">
        <f>SUMIF('06. BC BH THEO CUSTOMER-USD'!$G:$G,'8.1. Chart_Khu vực'!$Z77,'06. BC BH THEO CUSTOMER-USD'!DY:DY)</f>
        <v>156628.81055541238</v>
      </c>
      <c r="AF77" s="448">
        <f>SUMIF('06. BC BH THEO CUSTOMER-USD'!$G:$G,'8.1. Chart_Khu vực'!$Z77,'06. BC BH THEO CUSTOMER-USD'!DZ:DZ)</f>
        <v>192756.44151234557</v>
      </c>
      <c r="AG77" s="448">
        <f>SUMIF('06. BC BH THEO CUSTOMER-USD'!$G:$G,'8.1. Chart_Khu vực'!$Z77,'06. BC BH THEO CUSTOMER-USD'!EA:EA)</f>
        <v>376.77790605564724</v>
      </c>
      <c r="AH77" s="448">
        <f>SUMIF('06. BC BH THEO CUSTOMER-USD'!$G:$G,'8.1. Chart_Khu vực'!$Z77,'06. BC BH THEO CUSTOMER-USD'!EB:EB)</f>
        <v>195182.60984919217</v>
      </c>
      <c r="AI77" s="448">
        <f>SUMIF('06. BC BH THEO CUSTOMER-USD'!$G:$G,'8.1. Chart_Khu vực'!$Z77,'06. BC BH THEO CUSTOMER-USD'!EC:EC)</f>
        <v>9066.0225583072752</v>
      </c>
      <c r="AJ77" s="448">
        <f>SUMIF('06. BC BH THEO CUSTOMER-USD'!$G:$G,'8.1. Chart_Khu vực'!$Z77,'06. BC BH THEO CUSTOMER-USD'!ED:ED)</f>
        <v>0</v>
      </c>
      <c r="AK77" s="448">
        <f>SUMIF('06. BC BH THEO CUSTOMER-USD'!$G:$G,'8.1. Chart_Khu vực'!$Z77,'06. BC BH THEO CUSTOMER-USD'!EE:EE)</f>
        <v>0</v>
      </c>
      <c r="AL77" s="448">
        <f>SUMIF('06. BC BH THEO CUSTOMER-USD'!$G:$G,'8.1. Chart_Khu vực'!$Z77,'06. BC BH THEO CUSTOMER-USD'!EF:EF)</f>
        <v>0</v>
      </c>
      <c r="AM77" s="640">
        <f t="shared" si="39"/>
        <v>1710229.6060310777</v>
      </c>
      <c r="AN77" s="687">
        <f t="shared" ca="1" si="40"/>
        <v>1701163.5834727704</v>
      </c>
      <c r="AO77" s="685"/>
      <c r="AQ77" s="448">
        <v>334785.64869387774</v>
      </c>
      <c r="AR77" s="448">
        <v>337215.65265306126</v>
      </c>
      <c r="AS77" s="448">
        <v>311168.0939919356</v>
      </c>
      <c r="AT77" s="448">
        <v>239803.18040322585</v>
      </c>
      <c r="AU77" s="448">
        <v>527858.65455999994</v>
      </c>
      <c r="AV77" s="448">
        <v>323038.86846062529</v>
      </c>
      <c r="AW77" s="448">
        <v>117151.17152528872</v>
      </c>
      <c r="AX77" s="448">
        <v>311255.86807410407</v>
      </c>
      <c r="AY77" s="448">
        <v>282868.16386427317</v>
      </c>
      <c r="AZ77" s="448">
        <v>314202.4817483488</v>
      </c>
      <c r="BA77" s="448">
        <v>399705.09094522335</v>
      </c>
      <c r="BB77" s="448">
        <v>454881.95007802267</v>
      </c>
      <c r="BC77" s="640">
        <f t="shared" si="41"/>
        <v>3953934.8249979867</v>
      </c>
      <c r="BD77" s="640">
        <f t="shared" ca="1" si="42"/>
        <v>2502277.138362119</v>
      </c>
    </row>
    <row r="78" spans="1:56" ht="15.5" outlineLevel="1" x14ac:dyDescent="0.35">
      <c r="A78" s="665">
        <v>4</v>
      </c>
      <c r="B78" s="666" t="str">
        <f>_xlfn.XLOOKUP(A78,$K$75:$K$80,$I$75:$I$80,0)</f>
        <v>Châu á</v>
      </c>
      <c r="C78" s="667">
        <f>IFERROR(INDEX($AA$75:$AL$80,MATCH(B78,$Z$75:$Z$80,0),MATCH($C$3,$AA$74:$AL$74,0)),0)/10^3</f>
        <v>10.73595859434681</v>
      </c>
      <c r="D78" s="545">
        <f t="shared" si="33"/>
        <v>1.689427378100275E-2</v>
      </c>
      <c r="E78" s="742">
        <f>IFERROR(INDEX($AQ$75:$BB$80,MATCH(B78,$Z$75:$Z$80,0),MATCH($C$3,$AQ$74:$BB$74,0)),0)/10^3</f>
        <v>-226.68928707810608</v>
      </c>
      <c r="F78" s="545">
        <f t="shared" si="34"/>
        <v>-0.4101971152839865</v>
      </c>
      <c r="H78" s="654">
        <v>4</v>
      </c>
      <c r="I78" s="655" t="str">
        <f t="shared" si="35"/>
        <v>Châu á</v>
      </c>
      <c r="J78" s="656">
        <f>INDEX($AA$75:$AL$80,MATCH(I78,$Z$75:$Z$80,0),MATCH($C$3,$AA$74:$AL$74,0))/10^3</f>
        <v>10.73595859434681</v>
      </c>
      <c r="K78" s="657">
        <f>IF(J78&lt;&gt;0,RANK(J78,$J$75:$J$80),"-")</f>
        <v>4</v>
      </c>
      <c r="M78" s="665">
        <v>4</v>
      </c>
      <c r="N78" s="666" t="str">
        <f ca="1">_xlfn.XLOOKUP(M78,$W$75:$W$80,$U$75:$U$80,0)</f>
        <v>Châu á</v>
      </c>
      <c r="O78" s="667">
        <f ca="1">_xlfn.XLOOKUP(N78,$Z$75:$Z$80,$AN$75:$AN$80,0)/10^3</f>
        <v>214.22195225204237</v>
      </c>
      <c r="P78" s="545">
        <f t="shared" ca="1" si="36"/>
        <v>3.4651720938515443E-2</v>
      </c>
      <c r="Q78" s="667">
        <f ca="1">_xlfn.XLOOKUP(N78,$Z$75:$Z$80,$BD$75:$BD$80,0)/10^3</f>
        <v>-399.12345529910772</v>
      </c>
      <c r="R78" s="545">
        <f t="shared" ca="1" si="43"/>
        <v>-1.4763673626715457E-2</v>
      </c>
      <c r="T78" s="654">
        <v>4</v>
      </c>
      <c r="U78" s="655" t="str">
        <f t="shared" si="37"/>
        <v>Châu á</v>
      </c>
      <c r="V78" s="656">
        <f t="shared" ca="1" si="31"/>
        <v>214.22195225204237</v>
      </c>
      <c r="W78" s="657">
        <f t="shared" ca="1" si="32"/>
        <v>4</v>
      </c>
      <c r="Y78" s="322">
        <v>4</v>
      </c>
      <c r="Z78" s="12" t="str">
        <f t="shared" si="38"/>
        <v>Châu á</v>
      </c>
      <c r="AA78" s="448">
        <f>SUMIF('06. BC BH THEO CUSTOMER-USD'!$G:$G,'8.1. Chart_Khu vực'!$Z78,'06. BC BH THEO CUSTOMER-USD'!DU:DU)</f>
        <v>45463.376073865926</v>
      </c>
      <c r="AB78" s="448">
        <f>SUMIF('06. BC BH THEO CUSTOMER-USD'!$G:$G,'8.1. Chart_Khu vực'!$Z78,'06. BC BH THEO CUSTOMER-USD'!DV:DV)</f>
        <v>35506.947971642374</v>
      </c>
      <c r="AC78" s="448">
        <f>SUMIF('06. BC BH THEO CUSTOMER-USD'!$G:$G,'8.1. Chart_Khu vực'!$Z78,'06. BC BH THEO CUSTOMER-USD'!DW:DW)</f>
        <v>29988.549015748016</v>
      </c>
      <c r="AD78" s="448">
        <f>SUMIF('06. BC BH THEO CUSTOMER-USD'!$G:$G,'8.1. Chart_Khu vực'!$Z78,'06. BC BH THEO CUSTOMER-USD'!DX:DX)</f>
        <v>58090.467402245442</v>
      </c>
      <c r="AE78" s="448">
        <f>SUMIF('06. BC BH THEO CUSTOMER-USD'!$G:$G,'8.1. Chart_Khu vực'!$Z78,'06. BC BH THEO CUSTOMER-USD'!DY:DY)</f>
        <v>38502.579891724665</v>
      </c>
      <c r="AF78" s="448">
        <f>SUMIF('06. BC BH THEO CUSTOMER-USD'!$G:$G,'8.1. Chart_Khu vực'!$Z78,'06. BC BH THEO CUSTOMER-USD'!DZ:DZ)</f>
        <v>-4065.9266975308492</v>
      </c>
      <c r="AG78" s="448">
        <f>SUMIF('06. BC BH THEO CUSTOMER-USD'!$G:$G,'8.1. Chart_Khu vực'!$Z78,'06. BC BH THEO CUSTOMER-USD'!EA:EA)</f>
        <v>0</v>
      </c>
      <c r="AH78" s="448">
        <f>SUMIF('06. BC BH THEO CUSTOMER-USD'!$G:$G,'8.1. Chart_Khu vực'!$Z78,'06. BC BH THEO CUSTOMER-USD'!EB:EB)</f>
        <v>10735.95859434681</v>
      </c>
      <c r="AI78" s="448">
        <f>SUMIF('06. BC BH THEO CUSTOMER-USD'!$G:$G,'8.1. Chart_Khu vực'!$Z78,'06. BC BH THEO CUSTOMER-USD'!EC:EC)</f>
        <v>11235.762284190481</v>
      </c>
      <c r="AJ78" s="448">
        <f>SUMIF('06. BC BH THEO CUSTOMER-USD'!$G:$G,'8.1. Chart_Khu vực'!$Z78,'06. BC BH THEO CUSTOMER-USD'!ED:ED)</f>
        <v>0</v>
      </c>
      <c r="AK78" s="448">
        <f>SUMIF('06. BC BH THEO CUSTOMER-USD'!$G:$G,'8.1. Chart_Khu vực'!$Z78,'06. BC BH THEO CUSTOMER-USD'!EE:EE)</f>
        <v>0</v>
      </c>
      <c r="AL78" s="448">
        <f>SUMIF('06. BC BH THEO CUSTOMER-USD'!$G:$G,'8.1. Chart_Khu vực'!$Z78,'06. BC BH THEO CUSTOMER-USD'!EF:EF)</f>
        <v>0</v>
      </c>
      <c r="AM78" s="640">
        <f t="shared" si="39"/>
        <v>225457.71453623284</v>
      </c>
      <c r="AN78" s="687">
        <f t="shared" ca="1" si="40"/>
        <v>214221.95225204236</v>
      </c>
      <c r="AO78" s="685"/>
      <c r="AQ78" s="448">
        <v>5981.2030204081639</v>
      </c>
      <c r="AR78" s="448">
        <v>0</v>
      </c>
      <c r="AS78" s="448">
        <v>-62859.088709677409</v>
      </c>
      <c r="AT78" s="448">
        <v>66086.223274193515</v>
      </c>
      <c r="AU78" s="448">
        <v>-110719.27988000002</v>
      </c>
      <c r="AV78" s="448">
        <v>0</v>
      </c>
      <c r="AW78" s="448">
        <v>-70923.225925925915</v>
      </c>
      <c r="AX78" s="448">
        <v>-226689.28707810608</v>
      </c>
      <c r="AY78" s="448">
        <v>-137619.9281799591</v>
      </c>
      <c r="AZ78" s="448">
        <v>23200.959912420294</v>
      </c>
      <c r="BA78" s="448">
        <v>42201.312996820358</v>
      </c>
      <c r="BB78" s="448">
        <v>0</v>
      </c>
      <c r="BC78" s="640">
        <f t="shared" si="41"/>
        <v>-471341.11056982609</v>
      </c>
      <c r="BD78" s="640">
        <f t="shared" ca="1" si="42"/>
        <v>-399123.45529910771</v>
      </c>
    </row>
    <row r="79" spans="1:56" ht="15.5" outlineLevel="1" x14ac:dyDescent="0.35">
      <c r="A79" s="665"/>
      <c r="B79" s="666"/>
      <c r="C79" s="667"/>
      <c r="D79" s="545"/>
      <c r="E79" s="667"/>
      <c r="F79" s="545"/>
      <c r="H79" s="654">
        <v>5</v>
      </c>
      <c r="I79" s="655"/>
      <c r="J79" s="656"/>
      <c r="K79" s="657"/>
      <c r="M79" s="665"/>
      <c r="N79" s="666"/>
      <c r="O79" s="667"/>
      <c r="P79" s="545"/>
      <c r="Q79" s="667"/>
      <c r="R79" s="545"/>
      <c r="T79" s="654">
        <v>5</v>
      </c>
      <c r="U79" s="655">
        <f t="shared" si="37"/>
        <v>0</v>
      </c>
      <c r="V79" s="656">
        <f t="shared" si="31"/>
        <v>0</v>
      </c>
      <c r="W79" s="657" t="str">
        <f t="shared" si="32"/>
        <v>-</v>
      </c>
      <c r="Y79" s="322"/>
      <c r="Z79" s="12"/>
      <c r="AA79" s="448"/>
      <c r="AB79" s="448"/>
      <c r="AC79" s="448"/>
      <c r="AD79" s="448"/>
      <c r="AE79" s="448"/>
      <c r="AF79" s="448"/>
      <c r="AG79" s="448"/>
      <c r="AH79" s="448"/>
      <c r="AI79" s="448"/>
      <c r="AJ79" s="448"/>
      <c r="AK79" s="448"/>
      <c r="AL79" s="448"/>
      <c r="AM79" s="640">
        <f t="shared" si="39"/>
        <v>0</v>
      </c>
      <c r="AN79" s="687">
        <f t="shared" ca="1" si="40"/>
        <v>0</v>
      </c>
      <c r="AO79" s="685"/>
      <c r="AQ79" s="448">
        <v>0</v>
      </c>
      <c r="AR79" s="448">
        <v>0</v>
      </c>
      <c r="AS79" s="448">
        <v>0</v>
      </c>
      <c r="AT79" s="448">
        <v>0</v>
      </c>
      <c r="AU79" s="448">
        <v>0</v>
      </c>
      <c r="AV79" s="448">
        <v>0</v>
      </c>
      <c r="AW79" s="448">
        <v>0</v>
      </c>
      <c r="AX79" s="448">
        <v>0</v>
      </c>
      <c r="AY79" s="448">
        <v>0</v>
      </c>
      <c r="AZ79" s="448">
        <v>0</v>
      </c>
      <c r="BA79" s="448">
        <v>0</v>
      </c>
      <c r="BB79" s="448">
        <v>0</v>
      </c>
      <c r="BC79" s="640">
        <f t="shared" si="41"/>
        <v>0</v>
      </c>
      <c r="BD79" s="640">
        <f t="shared" ca="1" si="42"/>
        <v>0</v>
      </c>
    </row>
    <row r="80" spans="1:56" ht="15.5" outlineLevel="1" x14ac:dyDescent="0.35">
      <c r="A80" s="669"/>
      <c r="B80" s="670"/>
      <c r="C80" s="671"/>
      <c r="D80" s="546"/>
      <c r="E80" s="671"/>
      <c r="F80" s="546"/>
      <c r="H80" s="658"/>
      <c r="I80" s="659"/>
      <c r="J80" s="659"/>
      <c r="K80" s="660"/>
      <c r="M80" s="669"/>
      <c r="N80" s="670"/>
      <c r="O80" s="671"/>
      <c r="P80" s="546"/>
      <c r="Q80" s="671"/>
      <c r="R80" s="546"/>
      <c r="T80" s="658"/>
      <c r="U80" s="659"/>
      <c r="V80" s="656">
        <f t="shared" ca="1" si="31"/>
        <v>0</v>
      </c>
      <c r="W80" s="657" t="str">
        <f t="shared" ca="1" si="32"/>
        <v>-</v>
      </c>
      <c r="Y80" s="352"/>
      <c r="Z80" s="619"/>
      <c r="AA80" s="452"/>
      <c r="AB80" s="452"/>
      <c r="AC80" s="452"/>
      <c r="AD80" s="452"/>
      <c r="AE80" s="452"/>
      <c r="AF80" s="452"/>
      <c r="AG80" s="452"/>
      <c r="AH80" s="452"/>
      <c r="AI80" s="452"/>
      <c r="AJ80" s="452"/>
      <c r="AK80" s="452"/>
      <c r="AL80" s="452"/>
      <c r="AM80" s="641"/>
      <c r="AN80" s="688">
        <f t="shared" ca="1" si="40"/>
        <v>0</v>
      </c>
      <c r="AO80" s="685"/>
      <c r="AQ80" s="452"/>
      <c r="AR80" s="452"/>
      <c r="AS80" s="452"/>
      <c r="AT80" s="452"/>
      <c r="AU80" s="452"/>
      <c r="AV80" s="452"/>
      <c r="AW80" s="452"/>
      <c r="AX80" s="452"/>
      <c r="AY80" s="452"/>
      <c r="AZ80" s="452"/>
      <c r="BA80" s="452"/>
      <c r="BB80" s="452"/>
      <c r="BC80" s="641">
        <f t="shared" ref="BC80" si="44">SUM(AQ80:BB80)</f>
        <v>0</v>
      </c>
      <c r="BD80" s="641">
        <f t="shared" ca="1" si="42"/>
        <v>0</v>
      </c>
    </row>
    <row r="82" spans="2:15" ht="21" x14ac:dyDescent="0.35">
      <c r="B82" s="739" t="str">
        <f>"LỢI NHUẬN GỘP THEO KHU VỰC T"&amp;C3&amp;"/25"</f>
        <v>LỢI NHUẬN GỘP THEO KHU VỰC T8/25</v>
      </c>
      <c r="O82" s="739" t="str">
        <f>"LŨY KẾ LỢI NHUẬN GỘP THEO KHU VỰC T"&amp;C3&amp;"/25"</f>
        <v>LŨY KẾ LỢI NHUẬN GỘP THEO KHU VỰC T8/25</v>
      </c>
    </row>
    <row r="105" spans="1:56" ht="17.5" x14ac:dyDescent="0.35">
      <c r="A105" s="740">
        <v>4</v>
      </c>
      <c r="B105" s="740" t="s">
        <v>666</v>
      </c>
      <c r="Y105" s="122">
        <v>4</v>
      </c>
      <c r="Z105" s="122" t="s">
        <v>666</v>
      </c>
    </row>
    <row r="106" spans="1:56" ht="15.5" outlineLevel="1" x14ac:dyDescent="0.35">
      <c r="C106" s="645"/>
      <c r="D106" s="647"/>
      <c r="E106" s="645"/>
      <c r="F106" s="647"/>
      <c r="J106" s="617"/>
      <c r="O106" s="645"/>
      <c r="P106" s="647"/>
      <c r="Q106" s="645"/>
      <c r="R106" s="647"/>
      <c r="V106" s="617"/>
      <c r="AA106" s="617"/>
      <c r="AB106" s="617"/>
      <c r="AC106" s="617"/>
      <c r="AD106" s="617"/>
      <c r="AE106" s="617"/>
      <c r="AF106" s="617"/>
      <c r="AG106" s="617"/>
      <c r="AH106" s="617"/>
      <c r="AI106" s="617"/>
      <c r="AJ106" s="617"/>
      <c r="AK106" s="617"/>
      <c r="AL106" s="617"/>
      <c r="AM106" s="617"/>
      <c r="AN106" s="683">
        <f>$C$3</f>
        <v>8</v>
      </c>
      <c r="AO106" s="623"/>
      <c r="AQ106" s="617"/>
      <c r="AR106" s="617"/>
      <c r="AS106" s="617"/>
      <c r="AT106" s="617"/>
      <c r="AU106" s="617"/>
      <c r="AV106" s="617"/>
      <c r="AW106" s="617"/>
      <c r="AX106" s="617"/>
      <c r="AY106" s="617"/>
      <c r="AZ106" s="617"/>
      <c r="BA106" s="617"/>
      <c r="BB106" s="617"/>
      <c r="BC106" s="617"/>
      <c r="BD106" s="627">
        <f>$BD$5</f>
        <v>8</v>
      </c>
    </row>
    <row r="107" spans="1:56" ht="15" outlineLevel="1" x14ac:dyDescent="0.35">
      <c r="C107" s="616" t="s">
        <v>673</v>
      </c>
      <c r="D107" s="616" t="s">
        <v>799</v>
      </c>
      <c r="E107" s="646">
        <v>2025</v>
      </c>
      <c r="F107" s="646">
        <v>2024</v>
      </c>
      <c r="H107" s="616" t="s">
        <v>174</v>
      </c>
      <c r="I107" s="616" t="s">
        <v>799</v>
      </c>
      <c r="J107" s="616" t="s">
        <v>203</v>
      </c>
      <c r="K107" s="616" t="s">
        <v>673</v>
      </c>
      <c r="O107" s="648" t="s">
        <v>673</v>
      </c>
      <c r="P107" s="648" t="s">
        <v>799</v>
      </c>
      <c r="Q107" s="649">
        <v>2025</v>
      </c>
      <c r="R107" s="649">
        <v>2024</v>
      </c>
      <c r="T107" s="648" t="s">
        <v>174</v>
      </c>
      <c r="U107" s="648" t="s">
        <v>799</v>
      </c>
      <c r="V107" s="648" t="s">
        <v>203</v>
      </c>
      <c r="W107" s="648" t="s">
        <v>673</v>
      </c>
      <c r="Y107" s="616" t="s">
        <v>174</v>
      </c>
      <c r="Z107" s="616" t="s">
        <v>799</v>
      </c>
      <c r="AA107" s="443">
        <v>1</v>
      </c>
      <c r="AB107" s="616">
        <v>2</v>
      </c>
      <c r="AC107" s="616">
        <v>3</v>
      </c>
      <c r="AD107" s="616">
        <v>4</v>
      </c>
      <c r="AE107" s="616">
        <v>5</v>
      </c>
      <c r="AF107" s="616">
        <v>6</v>
      </c>
      <c r="AG107" s="616">
        <v>7</v>
      </c>
      <c r="AH107" s="616">
        <v>8</v>
      </c>
      <c r="AI107" s="616">
        <v>9</v>
      </c>
      <c r="AJ107" s="616">
        <v>10</v>
      </c>
      <c r="AK107" s="616">
        <v>11</v>
      </c>
      <c r="AL107" s="616">
        <v>12</v>
      </c>
      <c r="AM107" s="616">
        <v>2025</v>
      </c>
      <c r="AN107" s="679" t="s">
        <v>409</v>
      </c>
      <c r="AO107" s="450"/>
      <c r="AQ107" s="625">
        <v>1</v>
      </c>
      <c r="AR107" s="626">
        <v>2</v>
      </c>
      <c r="AS107" s="626">
        <v>3</v>
      </c>
      <c r="AT107" s="626">
        <v>4</v>
      </c>
      <c r="AU107" s="626">
        <v>5</v>
      </c>
      <c r="AV107" s="626">
        <v>6</v>
      </c>
      <c r="AW107" s="626">
        <v>7</v>
      </c>
      <c r="AX107" s="626">
        <v>8</v>
      </c>
      <c r="AY107" s="626">
        <v>9</v>
      </c>
      <c r="AZ107" s="626">
        <v>10</v>
      </c>
      <c r="BA107" s="626">
        <v>11</v>
      </c>
      <c r="BB107" s="626">
        <v>12</v>
      </c>
      <c r="BC107" s="626">
        <v>2024</v>
      </c>
      <c r="BD107" s="626" t="s">
        <v>410</v>
      </c>
    </row>
    <row r="108" spans="1:56" ht="15.5" outlineLevel="1" x14ac:dyDescent="0.35">
      <c r="C108" s="661">
        <v>1</v>
      </c>
      <c r="D108" s="662" t="str">
        <f>_xlfn.XLOOKUP(C108,$K$108:$K$113,$I$108:$I$113,0)</f>
        <v>Châu Âu</v>
      </c>
      <c r="E108" s="664">
        <f t="shared" ref="E108:E113" si="45">IFERROR(INDEX($AA$108:$AL$113,MATCH(D108,$Z$108:$Z$113,0),MATCH($C$3,$AA$107:$AL$107,0)),0)</f>
        <v>0.17766286874610371</v>
      </c>
      <c r="F108" s="664">
        <f>INDEX($AQ$108:$BB$113,MATCH(D108,$Z$108:$Z$113,0),MATCH($C$3,$AQ$107:$BB$107,0))</f>
        <v>0.17431487011755387</v>
      </c>
      <c r="H108" s="650">
        <v>1</v>
      </c>
      <c r="I108" s="651" t="str">
        <f>Z108</f>
        <v>Bắc mỹ</v>
      </c>
      <c r="J108" s="673">
        <f>INDEX($AA$108:$AL$113,MATCH(I108,$Z$108:$Z$113,0),MATCH($C$3,$AA$107:$AL$107,0))</f>
        <v>9.8916618258340777E-2</v>
      </c>
      <c r="K108" s="657">
        <f t="shared" ref="K108:K113" si="46">IF(J108&lt;&gt;0,RANK(J108,$J$108:$J$113),"-")</f>
        <v>2</v>
      </c>
      <c r="O108" s="661">
        <v>1</v>
      </c>
      <c r="P108" s="662" t="str">
        <f t="shared" ref="P108:P113" ca="1" si="47">_xlfn.XLOOKUP(O108,$W$108:$W$113,$U$108:$U$113,0)</f>
        <v>Châu Âu</v>
      </c>
      <c r="Q108" s="545">
        <f t="shared" ref="Q108:Q113" ca="1" si="48">_xlfn.XLOOKUP(P108,$Z$108:$Z$113,$AN$108:$AN$113,0)</f>
        <v>0.18363278723784068</v>
      </c>
      <c r="R108" s="676">
        <f t="shared" ref="R108:R113" ca="1" si="49">_xlfn.XLOOKUP(P108,$Z$108:$Z$113,$BD$108:$BD$113,0)</f>
        <v>0.21269124681136148</v>
      </c>
      <c r="T108" s="650">
        <v>1</v>
      </c>
      <c r="U108" s="651" t="str">
        <f>Z108</f>
        <v>Bắc mỹ</v>
      </c>
      <c r="V108" s="673">
        <f ca="1">_xlfn.XLOOKUP(U108,$Z$108:$Z$113,$AN$108:$AN$113,0)</f>
        <v>0.13479545292901216</v>
      </c>
      <c r="W108" s="653">
        <f ca="1">IF(V108&lt;&gt;"-",_xlfn.RANK.EQ(V108,$V$108:$V$113),"-")</f>
        <v>2</v>
      </c>
      <c r="Y108" s="320">
        <v>1</v>
      </c>
      <c r="Z108" s="618" t="str">
        <f>Z75</f>
        <v>Bắc mỹ</v>
      </c>
      <c r="AA108" s="629">
        <f t="shared" ref="AA108:AL108" si="50">IFERROR(AA75/AA40,0)</f>
        <v>0.14087200418310217</v>
      </c>
      <c r="AB108" s="629">
        <f t="shared" si="50"/>
        <v>0.1951482303016418</v>
      </c>
      <c r="AC108" s="629">
        <f t="shared" si="50"/>
        <v>0.15996783634736983</v>
      </c>
      <c r="AD108" s="629">
        <f t="shared" si="50"/>
        <v>0.11878084509757375</v>
      </c>
      <c r="AE108" s="629">
        <f t="shared" si="50"/>
        <v>0.14628842495912481</v>
      </c>
      <c r="AF108" s="629">
        <f t="shared" si="50"/>
        <v>0.10487745342823079</v>
      </c>
      <c r="AG108" s="629">
        <f t="shared" si="50"/>
        <v>7.7250579113341725E-2</v>
      </c>
      <c r="AH108" s="629">
        <f t="shared" si="50"/>
        <v>9.8916618258340777E-2</v>
      </c>
      <c r="AI108" s="629">
        <f t="shared" si="50"/>
        <v>0.12027877431721062</v>
      </c>
      <c r="AJ108" s="629">
        <f t="shared" si="50"/>
        <v>0</v>
      </c>
      <c r="AK108" s="629">
        <f t="shared" si="50"/>
        <v>0</v>
      </c>
      <c r="AL108" s="629">
        <f t="shared" si="50"/>
        <v>0</v>
      </c>
      <c r="AM108" s="630">
        <f t="shared" ref="AM108:AN112" si="51">IFERROR(AM75/AM40,"-")</f>
        <v>0.13416806209215612</v>
      </c>
      <c r="AN108" s="689">
        <f t="shared" ca="1" si="51"/>
        <v>0.13479545292901216</v>
      </c>
      <c r="AO108" s="628"/>
      <c r="AQ108" s="631">
        <f t="shared" ref="AQ108:BB108" si="52">IFERROR(AQ75/AQ40,0)</f>
        <v>0.22570134295403022</v>
      </c>
      <c r="AR108" s="631">
        <f t="shared" si="52"/>
        <v>0.17098851765514347</v>
      </c>
      <c r="AS108" s="631">
        <f t="shared" si="52"/>
        <v>0.16284291815256288</v>
      </c>
      <c r="AT108" s="631">
        <f t="shared" si="52"/>
        <v>0.12065499002363925</v>
      </c>
      <c r="AU108" s="631">
        <f t="shared" si="52"/>
        <v>0.15330148040654726</v>
      </c>
      <c r="AV108" s="631">
        <f t="shared" si="52"/>
        <v>0.19060901681326903</v>
      </c>
      <c r="AW108" s="631">
        <f t="shared" si="52"/>
        <v>0.17028904711746373</v>
      </c>
      <c r="AX108" s="631">
        <f t="shared" si="52"/>
        <v>0.14541763773872113</v>
      </c>
      <c r="AY108" s="631">
        <f t="shared" si="52"/>
        <v>0.11528036789356524</v>
      </c>
      <c r="AZ108" s="631">
        <f t="shared" si="52"/>
        <v>0.11458941371737671</v>
      </c>
      <c r="BA108" s="631">
        <f t="shared" si="52"/>
        <v>0.23394607087517297</v>
      </c>
      <c r="BB108" s="631">
        <f t="shared" si="52"/>
        <v>0.15107775621500369</v>
      </c>
      <c r="BC108" s="630">
        <f t="shared" ref="BC108:BD112" si="53">IFERROR(BC75/BC40,"-")</f>
        <v>0.15296223224427072</v>
      </c>
      <c r="BD108" s="630">
        <f t="shared" ca="1" si="53"/>
        <v>0.16398974800485022</v>
      </c>
    </row>
    <row r="109" spans="1:56" ht="15.5" outlineLevel="1" x14ac:dyDescent="0.35">
      <c r="C109" s="665">
        <v>2</v>
      </c>
      <c r="D109" s="666" t="str">
        <f>_xlfn.XLOOKUP(C109,$K$108:$K$113,$I$108:$I$113,0)</f>
        <v>Bắc mỹ</v>
      </c>
      <c r="E109" s="668">
        <f t="shared" si="45"/>
        <v>9.8916618258340777E-2</v>
      </c>
      <c r="F109" s="545">
        <f>IFERROR(INDEX($AQ$108:$BB$113,MATCH(D109,$Z$108:$Z$113,0),MATCH($C$3,$AQ$107:$BB$107,0)),0)</f>
        <v>0.14541763773872113</v>
      </c>
      <c r="H109" s="654">
        <v>2</v>
      </c>
      <c r="I109" s="655" t="str">
        <f t="shared" ref="I109:I112" si="54">Z109</f>
        <v>Châu Âu</v>
      </c>
      <c r="J109" s="675">
        <f>INDEX($AA$108:$AL$113,MATCH(I109,$Z$108:$Z$113,0),MATCH($C$3,$AA$107:$AL$107,0))</f>
        <v>0.17766286874610371</v>
      </c>
      <c r="K109" s="657">
        <f t="shared" si="46"/>
        <v>1</v>
      </c>
      <c r="O109" s="665">
        <v>2</v>
      </c>
      <c r="P109" s="666" t="str">
        <f t="shared" ca="1" si="47"/>
        <v>Bắc mỹ</v>
      </c>
      <c r="Q109" s="545">
        <f t="shared" ca="1" si="48"/>
        <v>0.13479545292901216</v>
      </c>
      <c r="R109" s="677">
        <f t="shared" ca="1" si="49"/>
        <v>0.16398974800485022</v>
      </c>
      <c r="T109" s="654">
        <v>2</v>
      </c>
      <c r="U109" s="655" t="str">
        <f t="shared" ref="U109:U112" si="55">Z109</f>
        <v>Châu Âu</v>
      </c>
      <c r="V109" s="675">
        <f ca="1">_xlfn.XLOOKUP(U109,$Z$108:$Z$113,$AN$108:$AN$113,0)</f>
        <v>0.18363278723784068</v>
      </c>
      <c r="W109" s="657">
        <f ca="1">IF(V109&lt;&gt;"-",_xlfn.RANK.EQ(V109,$V$108:$V$113),"-")</f>
        <v>1</v>
      </c>
      <c r="Y109" s="322">
        <v>2</v>
      </c>
      <c r="Z109" s="12" t="str">
        <f t="shared" ref="Z109:Z112" si="56">Z76</f>
        <v>Châu Âu</v>
      </c>
      <c r="AA109" s="631">
        <f t="shared" ref="AA109:AL109" si="57">IFERROR(AA76/AA41,0)</f>
        <v>0</v>
      </c>
      <c r="AB109" s="631">
        <f t="shared" si="57"/>
        <v>0.18607311893180831</v>
      </c>
      <c r="AC109" s="631">
        <f t="shared" si="57"/>
        <v>0.18667504237891114</v>
      </c>
      <c r="AD109" s="631">
        <f t="shared" si="57"/>
        <v>0.20328826662038763</v>
      </c>
      <c r="AE109" s="631">
        <f t="shared" si="57"/>
        <v>0.19700112931613439</v>
      </c>
      <c r="AF109" s="631">
        <f t="shared" si="57"/>
        <v>0.15524669664516635</v>
      </c>
      <c r="AG109" s="631">
        <f t="shared" si="57"/>
        <v>0.16962582082564123</v>
      </c>
      <c r="AH109" s="631">
        <f t="shared" si="57"/>
        <v>0.17766286874610371</v>
      </c>
      <c r="AI109" s="631">
        <f t="shared" si="57"/>
        <v>0</v>
      </c>
      <c r="AJ109" s="631">
        <f t="shared" si="57"/>
        <v>0</v>
      </c>
      <c r="AK109" s="631">
        <f t="shared" si="57"/>
        <v>0</v>
      </c>
      <c r="AL109" s="631">
        <f t="shared" si="57"/>
        <v>0</v>
      </c>
      <c r="AM109" s="632">
        <f t="shared" si="51"/>
        <v>0.18363278723784068</v>
      </c>
      <c r="AN109" s="690">
        <f t="shared" ca="1" si="51"/>
        <v>0.18363278723784068</v>
      </c>
      <c r="AO109" s="628"/>
      <c r="AQ109" s="631">
        <f t="shared" ref="AQ109:BB109" si="58">IFERROR(AQ76/AQ41,0)</f>
        <v>0</v>
      </c>
      <c r="AR109" s="631">
        <f t="shared" si="58"/>
        <v>0.29295512076199903</v>
      </c>
      <c r="AS109" s="631">
        <f t="shared" si="58"/>
        <v>0.18577199493113841</v>
      </c>
      <c r="AT109" s="631">
        <f t="shared" si="58"/>
        <v>0.27526726778470595</v>
      </c>
      <c r="AU109" s="631">
        <f t="shared" si="58"/>
        <v>0.19714473578895131</v>
      </c>
      <c r="AV109" s="631">
        <f t="shared" si="58"/>
        <v>0</v>
      </c>
      <c r="AW109" s="631">
        <f t="shared" si="58"/>
        <v>0</v>
      </c>
      <c r="AX109" s="631">
        <f t="shared" si="58"/>
        <v>0.17431487011755387</v>
      </c>
      <c r="AY109" s="631">
        <f t="shared" si="58"/>
        <v>0.18665320481314937</v>
      </c>
      <c r="AZ109" s="631">
        <f t="shared" si="58"/>
        <v>0.18972999392208892</v>
      </c>
      <c r="BA109" s="631">
        <f t="shared" si="58"/>
        <v>0</v>
      </c>
      <c r="BB109" s="631">
        <f t="shared" si="58"/>
        <v>0</v>
      </c>
      <c r="BC109" s="632">
        <f t="shared" si="53"/>
        <v>0.20358728732398534</v>
      </c>
      <c r="BD109" s="632">
        <f t="shared" ca="1" si="53"/>
        <v>0.21269124681136148</v>
      </c>
    </row>
    <row r="110" spans="1:56" ht="15.5" outlineLevel="1" x14ac:dyDescent="0.35">
      <c r="C110" s="665">
        <v>3</v>
      </c>
      <c r="D110" s="666" t="str">
        <f>_xlfn.XLOOKUP(C110,$K$108:$K$113,$I$108:$I$113,0)</f>
        <v>Nội địa</v>
      </c>
      <c r="E110" s="545">
        <f t="shared" si="45"/>
        <v>7.3426932680074539E-2</v>
      </c>
      <c r="F110" s="545">
        <f>IFERROR(INDEX($AQ$108:$BB$113,MATCH(D110,$Z$108:$Z$113,0),MATCH($C$3,$AQ$107:$BB$107,0)),0)</f>
        <v>0.17098660113380229</v>
      </c>
      <c r="H110" s="654">
        <v>3</v>
      </c>
      <c r="I110" s="655" t="str">
        <f t="shared" si="54"/>
        <v>Nội địa</v>
      </c>
      <c r="J110" s="675">
        <f>INDEX($AA$108:$AL$113,MATCH(I110,$Z$108:$Z$113,0),MATCH($C$3,$AA$107:$AL$107,0))</f>
        <v>7.3426932680074539E-2</v>
      </c>
      <c r="K110" s="657">
        <f t="shared" si="46"/>
        <v>3</v>
      </c>
      <c r="O110" s="665">
        <v>3</v>
      </c>
      <c r="P110" s="666" t="str">
        <f t="shared" ca="1" si="47"/>
        <v>Nội địa</v>
      </c>
      <c r="Q110" s="545">
        <f t="shared" ca="1" si="48"/>
        <v>0.12176110293092958</v>
      </c>
      <c r="R110" s="677">
        <f t="shared" ca="1" si="49"/>
        <v>0.20275737263797355</v>
      </c>
      <c r="T110" s="654">
        <v>3</v>
      </c>
      <c r="U110" s="655" t="str">
        <f t="shared" si="55"/>
        <v>Nội địa</v>
      </c>
      <c r="V110" s="675">
        <f ca="1">_xlfn.XLOOKUP(U110,$Z$108:$Z$113,$AN$108:$AN$113,0)</f>
        <v>0.12176110293092958</v>
      </c>
      <c r="W110" s="657">
        <f ca="1">IF(V110&lt;&gt;"-",_xlfn.RANK.EQ(V110,$V$108:$V$113),"-")</f>
        <v>3</v>
      </c>
      <c r="Y110" s="322">
        <v>3</v>
      </c>
      <c r="Z110" s="12" t="str">
        <f t="shared" si="56"/>
        <v>Nội địa</v>
      </c>
      <c r="AA110" s="631">
        <f t="shared" ref="AA110:AL110" si="59">IFERROR(AA77/AA42,0)</f>
        <v>0.21155775061817098</v>
      </c>
      <c r="AB110" s="631">
        <f t="shared" si="59"/>
        <v>0.2171016494047491</v>
      </c>
      <c r="AC110" s="631">
        <f t="shared" si="59"/>
        <v>0.15092113006718216</v>
      </c>
      <c r="AD110" s="631">
        <f t="shared" si="59"/>
        <v>0.13704182138286927</v>
      </c>
      <c r="AE110" s="631">
        <f t="shared" si="59"/>
        <v>0.1186586786849029</v>
      </c>
      <c r="AF110" s="631">
        <f t="shared" si="59"/>
        <v>0.11099989565385843</v>
      </c>
      <c r="AG110" s="631">
        <f t="shared" si="59"/>
        <v>2.0089104004955907E-4</v>
      </c>
      <c r="AH110" s="631">
        <f t="shared" si="59"/>
        <v>7.3426932680074539E-2</v>
      </c>
      <c r="AI110" s="631">
        <f t="shared" si="59"/>
        <v>4.4142909625302391E-3</v>
      </c>
      <c r="AJ110" s="631">
        <f t="shared" si="59"/>
        <v>0</v>
      </c>
      <c r="AK110" s="631">
        <f t="shared" si="59"/>
        <v>0</v>
      </c>
      <c r="AL110" s="631">
        <f t="shared" si="59"/>
        <v>0</v>
      </c>
      <c r="AM110" s="632">
        <f t="shared" si="51"/>
        <v>0.10672185618245829</v>
      </c>
      <c r="AN110" s="690">
        <f t="shared" ca="1" si="51"/>
        <v>0.12176110293092958</v>
      </c>
      <c r="AO110" s="628"/>
      <c r="AQ110" s="631">
        <f t="shared" ref="AQ110:BB110" si="60">IFERROR(AQ77/AQ42,0)</f>
        <v>0.26564219574678111</v>
      </c>
      <c r="AR110" s="631">
        <f t="shared" si="60"/>
        <v>0.24815775136411675</v>
      </c>
      <c r="AS110" s="631">
        <f t="shared" si="60"/>
        <v>0.22309115029751678</v>
      </c>
      <c r="AT110" s="631">
        <f t="shared" si="60"/>
        <v>0.21868500009260924</v>
      </c>
      <c r="AU110" s="631">
        <f t="shared" si="60"/>
        <v>0.19941571242268788</v>
      </c>
      <c r="AV110" s="631">
        <f t="shared" si="60"/>
        <v>0.16514690043615615</v>
      </c>
      <c r="AW110" s="631">
        <f t="shared" si="60"/>
        <v>0.1451229550693105</v>
      </c>
      <c r="AX110" s="631">
        <f t="shared" si="60"/>
        <v>0.17098660113380229</v>
      </c>
      <c r="AY110" s="631">
        <f t="shared" si="60"/>
        <v>0.19749339760015405</v>
      </c>
      <c r="AZ110" s="631">
        <f t="shared" si="60"/>
        <v>0.17634673756951252</v>
      </c>
      <c r="BA110" s="631">
        <f t="shared" si="60"/>
        <v>0.21545842915292057</v>
      </c>
      <c r="BB110" s="631">
        <f t="shared" si="60"/>
        <v>0.22489192765432825</v>
      </c>
      <c r="BC110" s="632">
        <f t="shared" si="53"/>
        <v>0.20346425487253306</v>
      </c>
      <c r="BD110" s="632">
        <f t="shared" ca="1" si="53"/>
        <v>0.20275737263797355</v>
      </c>
    </row>
    <row r="111" spans="1:56" ht="15.5" outlineLevel="1" x14ac:dyDescent="0.35">
      <c r="C111" s="665">
        <v>4</v>
      </c>
      <c r="D111" s="666" t="str">
        <f>_xlfn.XLOOKUP(C111,$K$108:$K$113,$I$108:$I$113,0)</f>
        <v>Châu á</v>
      </c>
      <c r="E111" s="545">
        <f t="shared" si="45"/>
        <v>3.8372906519227638E-2</v>
      </c>
      <c r="F111" s="545">
        <f>IFERROR(INDEX($AQ$108:$BB$113,MATCH(D111,$Z$108:$Z$113,0),MATCH($C$3,$AQ$107:$BB$107,0)),0)</f>
        <v>-0.21703919718809561</v>
      </c>
      <c r="H111" s="654">
        <v>4</v>
      </c>
      <c r="I111" s="655" t="str">
        <f t="shared" si="54"/>
        <v>Châu á</v>
      </c>
      <c r="J111" s="675">
        <f>INDEX($AA$108:$AL$113,MATCH(I111,$Z$108:$Z$113,0),MATCH($C$3,$AA$107:$AL$107,0))</f>
        <v>3.8372906519227638E-2</v>
      </c>
      <c r="K111" s="1141">
        <v>4</v>
      </c>
      <c r="O111" s="665">
        <v>4</v>
      </c>
      <c r="P111" s="666" t="str">
        <f t="shared" ca="1" si="47"/>
        <v>Châu á</v>
      </c>
      <c r="Q111" s="545">
        <f t="shared" ca="1" si="48"/>
        <v>0.11867104836567519</v>
      </c>
      <c r="R111" s="677">
        <f t="shared" ca="1" si="49"/>
        <v>-0.16149014453600857</v>
      </c>
      <c r="T111" s="654">
        <v>4</v>
      </c>
      <c r="U111" s="655" t="str">
        <f t="shared" si="55"/>
        <v>Châu á</v>
      </c>
      <c r="V111" s="675">
        <f ca="1">_xlfn.XLOOKUP(U111,$Z$108:$Z$113,$AN$108:$AN$113,0)</f>
        <v>0.11867104836567519</v>
      </c>
      <c r="W111" s="657">
        <f ca="1">IF(V111&lt;&gt;"-",_xlfn.RANK.EQ(V111,$V$108:$V$113),"-")</f>
        <v>4</v>
      </c>
      <c r="Y111" s="322">
        <v>4</v>
      </c>
      <c r="Z111" s="12" t="str">
        <f t="shared" si="56"/>
        <v>Châu á</v>
      </c>
      <c r="AA111" s="631">
        <f t="shared" ref="AA111:AL111" si="61">IFERROR(AA78/AA43,0)</f>
        <v>0.17468738120675353</v>
      </c>
      <c r="AB111" s="631">
        <f t="shared" si="61"/>
        <v>0.1874201565955412</v>
      </c>
      <c r="AC111" s="631">
        <f t="shared" si="61"/>
        <v>9.635627924460817E-2</v>
      </c>
      <c r="AD111" s="631">
        <f t="shared" si="61"/>
        <v>0.23290946925684008</v>
      </c>
      <c r="AE111" s="631">
        <f t="shared" si="61"/>
        <v>0.1997785903050642</v>
      </c>
      <c r="AF111" s="631">
        <f t="shared" si="61"/>
        <v>-1.2614408921863964E-2</v>
      </c>
      <c r="AG111" s="631">
        <f t="shared" si="61"/>
        <v>0</v>
      </c>
      <c r="AH111" s="631">
        <f t="shared" si="61"/>
        <v>3.8372906519227638E-2</v>
      </c>
      <c r="AI111" s="631">
        <f t="shared" si="61"/>
        <v>0.13657840465716931</v>
      </c>
      <c r="AJ111" s="631">
        <f t="shared" si="61"/>
        <v>0</v>
      </c>
      <c r="AK111" s="631">
        <f t="shared" si="61"/>
        <v>0</v>
      </c>
      <c r="AL111" s="631">
        <f t="shared" si="61"/>
        <v>0</v>
      </c>
      <c r="AM111" s="632">
        <f t="shared" si="51"/>
        <v>0.11945155878049957</v>
      </c>
      <c r="AN111" s="690">
        <f t="shared" ca="1" si="51"/>
        <v>0.11867104836567519</v>
      </c>
      <c r="AO111" s="628"/>
      <c r="AQ111" s="631">
        <f t="shared" ref="AQ111:BB111" si="62">IFERROR(AQ78/AQ43,0)</f>
        <v>0.24330674586861542</v>
      </c>
      <c r="AR111" s="631">
        <f t="shared" si="62"/>
        <v>0</v>
      </c>
      <c r="AS111" s="631">
        <f t="shared" si="62"/>
        <v>-0.23513851555088991</v>
      </c>
      <c r="AT111" s="631">
        <f t="shared" si="62"/>
        <v>0.13488670203448397</v>
      </c>
      <c r="AU111" s="631">
        <f t="shared" si="62"/>
        <v>-0.26388644695943259</v>
      </c>
      <c r="AV111" s="631">
        <f t="shared" si="62"/>
        <v>0</v>
      </c>
      <c r="AW111" s="631">
        <f t="shared" si="62"/>
        <v>-0.31434850435197242</v>
      </c>
      <c r="AX111" s="631">
        <f t="shared" si="62"/>
        <v>-0.21703919718809561</v>
      </c>
      <c r="AY111" s="631">
        <f t="shared" si="62"/>
        <v>-0.18087874346912383</v>
      </c>
      <c r="AZ111" s="631">
        <f t="shared" si="62"/>
        <v>3.041081952095875E-2</v>
      </c>
      <c r="BA111" s="631">
        <f t="shared" si="62"/>
        <v>0.2397506474578035</v>
      </c>
      <c r="BB111" s="631">
        <f t="shared" si="62"/>
        <v>0</v>
      </c>
      <c r="BC111" s="632">
        <f t="shared" si="53"/>
        <v>-0.11299665039556929</v>
      </c>
      <c r="BD111" s="632">
        <f t="shared" ca="1" si="53"/>
        <v>-0.16149014453600857</v>
      </c>
    </row>
    <row r="112" spans="1:56" ht="15.5" outlineLevel="1" x14ac:dyDescent="0.35">
      <c r="C112" s="665">
        <v>5</v>
      </c>
      <c r="D112" s="666">
        <f>_xlfn.XLOOKUP(C112,$K$108:$K$113,$I$108:$I$113,0)</f>
        <v>0</v>
      </c>
      <c r="E112" s="545">
        <f t="shared" si="45"/>
        <v>0</v>
      </c>
      <c r="F112" s="545">
        <f>IFERROR(INDEX($AQ$108:$BB$113,MATCH(D112,$Z$108:$Z$113,0),MATCH($C$3,$AQ$107:$BB$107,0)),0)</f>
        <v>0</v>
      </c>
      <c r="H112" s="654">
        <v>5</v>
      </c>
      <c r="I112" s="655">
        <f t="shared" si="54"/>
        <v>0</v>
      </c>
      <c r="J112" s="675">
        <f>INDEX($AA$108:$AL$113,MATCH(I112,$Z$108:$Z$113,0),MATCH($C$3,$AA$107:$AL$107,0))</f>
        <v>0</v>
      </c>
      <c r="K112" s="657" t="str">
        <f t="shared" si="46"/>
        <v>-</v>
      </c>
      <c r="O112" s="665">
        <v>5</v>
      </c>
      <c r="P112" s="666">
        <f t="shared" ca="1" si="47"/>
        <v>0</v>
      </c>
      <c r="Q112" s="545" t="str">
        <f t="shared" ca="1" si="48"/>
        <v>-</v>
      </c>
      <c r="R112" s="677" t="str">
        <f t="shared" ca="1" si="49"/>
        <v>-</v>
      </c>
      <c r="T112" s="654">
        <v>5</v>
      </c>
      <c r="U112" s="655">
        <f t="shared" si="55"/>
        <v>0</v>
      </c>
      <c r="V112" s="675" t="str">
        <f ca="1">_xlfn.XLOOKUP(U112,$Z$108:$Z$113,$AN$108:$AN$113,0)</f>
        <v>-</v>
      </c>
      <c r="W112" s="657" t="str">
        <f ca="1">IF(V112&lt;&gt;"-",_xlfn.RANK.EQ(V112,$V$108:$V$113),"-")</f>
        <v>-</v>
      </c>
      <c r="Y112" s="322">
        <v>5</v>
      </c>
      <c r="Z112" s="12">
        <f t="shared" si="56"/>
        <v>0</v>
      </c>
      <c r="AA112" s="631">
        <f t="shared" ref="AA112:AL112" si="63">IFERROR(AA79/AA44,0)</f>
        <v>0</v>
      </c>
      <c r="AB112" s="631">
        <f t="shared" si="63"/>
        <v>0</v>
      </c>
      <c r="AC112" s="631">
        <f t="shared" si="63"/>
        <v>0</v>
      </c>
      <c r="AD112" s="631">
        <f t="shared" si="63"/>
        <v>0</v>
      </c>
      <c r="AE112" s="631">
        <f t="shared" si="63"/>
        <v>0</v>
      </c>
      <c r="AF112" s="631">
        <f t="shared" si="63"/>
        <v>0</v>
      </c>
      <c r="AG112" s="631">
        <f t="shared" si="63"/>
        <v>0</v>
      </c>
      <c r="AH112" s="631">
        <f t="shared" si="63"/>
        <v>0</v>
      </c>
      <c r="AI112" s="631">
        <f t="shared" si="63"/>
        <v>0</v>
      </c>
      <c r="AJ112" s="631">
        <f t="shared" si="63"/>
        <v>0</v>
      </c>
      <c r="AK112" s="631">
        <f t="shared" si="63"/>
        <v>0</v>
      </c>
      <c r="AL112" s="631">
        <f t="shared" si="63"/>
        <v>0</v>
      </c>
      <c r="AM112" s="632" t="str">
        <f t="shared" si="51"/>
        <v>-</v>
      </c>
      <c r="AN112" s="690" t="str">
        <f t="shared" ca="1" si="51"/>
        <v>-</v>
      </c>
      <c r="AO112" s="628"/>
      <c r="AQ112" s="631">
        <f t="shared" ref="AQ112:BB112" si="64">IFERROR(AQ79/AQ44,0)</f>
        <v>0</v>
      </c>
      <c r="AR112" s="631">
        <f t="shared" si="64"/>
        <v>0</v>
      </c>
      <c r="AS112" s="631">
        <f t="shared" si="64"/>
        <v>0</v>
      </c>
      <c r="AT112" s="631">
        <f t="shared" si="64"/>
        <v>0</v>
      </c>
      <c r="AU112" s="631">
        <f t="shared" si="64"/>
        <v>0</v>
      </c>
      <c r="AV112" s="631">
        <f t="shared" si="64"/>
        <v>0</v>
      </c>
      <c r="AW112" s="631">
        <f t="shared" si="64"/>
        <v>0</v>
      </c>
      <c r="AX112" s="631">
        <f t="shared" si="64"/>
        <v>0</v>
      </c>
      <c r="AY112" s="631">
        <f t="shared" si="64"/>
        <v>0</v>
      </c>
      <c r="AZ112" s="631">
        <f t="shared" si="64"/>
        <v>0</v>
      </c>
      <c r="BA112" s="631">
        <f t="shared" si="64"/>
        <v>0</v>
      </c>
      <c r="BB112" s="631">
        <f t="shared" si="64"/>
        <v>0</v>
      </c>
      <c r="BC112" s="632" t="str">
        <f t="shared" si="53"/>
        <v>-</v>
      </c>
      <c r="BD112" s="632" t="str">
        <f t="shared" ca="1" si="53"/>
        <v>-</v>
      </c>
    </row>
    <row r="113" spans="2:56" ht="15.5" outlineLevel="1" x14ac:dyDescent="0.35">
      <c r="C113" s="669"/>
      <c r="D113" s="670"/>
      <c r="E113" s="546">
        <f t="shared" si="45"/>
        <v>0</v>
      </c>
      <c r="F113" s="546">
        <f>IFERROR(INDEX($AQ$108:$BB$113,MATCH(D113,$Z$108:$Z$113,0),MATCH($C$3,$AQ$107:$BB$107,0)),0)</f>
        <v>0</v>
      </c>
      <c r="H113" s="658"/>
      <c r="I113" s="659"/>
      <c r="J113" s="674"/>
      <c r="K113" s="657" t="str">
        <f t="shared" si="46"/>
        <v>-</v>
      </c>
      <c r="O113" s="669"/>
      <c r="P113" s="666">
        <f t="shared" ca="1" si="47"/>
        <v>0</v>
      </c>
      <c r="Q113" s="545" t="str">
        <f t="shared" ca="1" si="48"/>
        <v>-</v>
      </c>
      <c r="R113" s="677" t="str">
        <f t="shared" ca="1" si="49"/>
        <v>-</v>
      </c>
      <c r="T113" s="658"/>
      <c r="U113" s="659"/>
      <c r="V113" s="675"/>
      <c r="W113" s="657"/>
      <c r="Y113" s="352"/>
      <c r="Z113" s="940"/>
      <c r="AA113" s="633"/>
      <c r="AB113" s="633"/>
      <c r="AC113" s="633"/>
      <c r="AD113" s="633"/>
      <c r="AE113" s="633"/>
      <c r="AF113" s="633"/>
      <c r="AG113" s="633"/>
      <c r="AH113" s="633"/>
      <c r="AI113" s="633"/>
      <c r="AJ113" s="633"/>
      <c r="AK113" s="633"/>
      <c r="AL113" s="633"/>
      <c r="AM113" s="634"/>
      <c r="AN113" s="691"/>
      <c r="AO113" s="628"/>
      <c r="AQ113" s="633"/>
      <c r="AR113" s="633"/>
      <c r="AS113" s="633"/>
      <c r="AT113" s="633"/>
      <c r="AU113" s="633"/>
      <c r="AV113" s="633"/>
      <c r="AW113" s="633"/>
      <c r="AX113" s="633"/>
      <c r="AY113" s="633"/>
      <c r="AZ113" s="633"/>
      <c r="BA113" s="633"/>
      <c r="BB113" s="633"/>
      <c r="BC113" s="634"/>
      <c r="BD113" s="634"/>
    </row>
    <row r="115" spans="2:56" ht="21" x14ac:dyDescent="0.35">
      <c r="B115" s="741" t="str">
        <f>"% LỢI NHUẬN GỘP THEO KHU VỰC T"&amp;C3&amp;"/25"</f>
        <v>% LỢI NHUẬN GỘP THEO KHU VỰC T8/25</v>
      </c>
      <c r="N115" s="739" t="str">
        <f>"LŨY KẾ % LỢI NHUẬN GỘP THEO KHU VỰC T"&amp;C3&amp;"/25"</f>
        <v>LŨY KẾ % LỢI NHUẬN GỘP THEO KHU VỰC T8/25</v>
      </c>
    </row>
    <row r="116" spans="2:56" ht="11" customHeight="1" x14ac:dyDescent="0.35">
      <c r="B116" s="741"/>
    </row>
  </sheetData>
  <conditionalFormatting sqref="C75:F80 O75:R80 V75:V80 AA75:AO80 AQ75:BD80 E108:F113 J108:J113 Q108:R113 V108:V113 AA108:AN113 AQ108:BD113">
    <cfRule type="cellIs" dxfId="6" priority="8" operator="lessThan">
      <formula>0</formula>
    </cfRule>
  </conditionalFormatting>
  <hyperlinks>
    <hyperlink ref="B1" location="'00. DM'!A1" display="00. DM" xr:uid="{30312544-E5B4-4B93-B988-8EC37A3850A5}"/>
  </hyperlinks>
  <pageMargins left="0.7" right="0.7" top="0.75" bottom="0.75" header="0.3" footer="0.3"/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D04B3-1E17-4BD6-BD50-41A20BC52522}">
  <sheetPr>
    <tabColor rgb="FF00B0F0"/>
  </sheetPr>
  <dimension ref="A1:P67"/>
  <sheetViews>
    <sheetView zoomScale="85" zoomScaleNormal="85" workbookViewId="0">
      <selection activeCell="I48" sqref="I48"/>
    </sheetView>
  </sheetViews>
  <sheetFormatPr defaultRowHeight="14.5" outlineLevelRow="1" x14ac:dyDescent="0.35"/>
  <cols>
    <col min="1" max="1" width="7.36328125" customWidth="1"/>
    <col min="2" max="2" width="11.54296875" customWidth="1"/>
    <col min="3" max="3" width="9.54296875" customWidth="1"/>
    <col min="4" max="5" width="12.08984375" customWidth="1"/>
    <col min="6" max="6" width="15.453125" bestFit="1" customWidth="1"/>
    <col min="7" max="7" width="13.1796875" customWidth="1"/>
    <col min="8" max="8" width="8.90625" customWidth="1"/>
    <col min="9" max="9" width="9.6328125" customWidth="1"/>
    <col min="10" max="10" width="10.81640625" customWidth="1"/>
    <col min="11" max="11" width="15.08984375" customWidth="1"/>
    <col min="12" max="13" width="13.453125" customWidth="1"/>
    <col min="14" max="14" width="17.08984375" bestFit="1" customWidth="1"/>
    <col min="15" max="15" width="18" customWidth="1"/>
    <col min="16" max="16" width="6.453125" customWidth="1"/>
  </cols>
  <sheetData>
    <row r="1" spans="1:16" x14ac:dyDescent="0.35">
      <c r="A1" s="528" t="s">
        <v>587</v>
      </c>
    </row>
    <row r="2" spans="1:16" ht="23.5" x14ac:dyDescent="0.55000000000000004">
      <c r="B2" s="784" t="s">
        <v>821</v>
      </c>
    </row>
    <row r="3" spans="1:16" ht="21" x14ac:dyDescent="0.5">
      <c r="B3" s="785" t="s">
        <v>437</v>
      </c>
      <c r="C3" s="644">
        <f>'8.1. Chart_Khu vực'!$C$3</f>
        <v>8</v>
      </c>
      <c r="I3" s="643" t="str">
        <f>"LŨY KẾ ĐẾN T"&amp;C3&amp;"/25"</f>
        <v>LŨY KẾ ĐẾN T8/25</v>
      </c>
    </row>
    <row r="5" spans="1:16" ht="29" outlineLevel="1" x14ac:dyDescent="0.35">
      <c r="A5" s="774" t="s">
        <v>174</v>
      </c>
      <c r="B5" s="774"/>
      <c r="C5" s="774" t="s">
        <v>799</v>
      </c>
      <c r="D5" s="774" t="s">
        <v>758</v>
      </c>
      <c r="E5" s="774" t="s">
        <v>757</v>
      </c>
      <c r="F5" s="773" t="s">
        <v>764</v>
      </c>
      <c r="G5" s="774" t="s">
        <v>756</v>
      </c>
      <c r="I5" s="774" t="s">
        <v>174</v>
      </c>
      <c r="J5" s="774"/>
      <c r="K5" s="774" t="s">
        <v>172</v>
      </c>
      <c r="L5" s="774" t="s">
        <v>758</v>
      </c>
      <c r="M5" s="774" t="s">
        <v>757</v>
      </c>
      <c r="N5" s="773" t="s">
        <v>764</v>
      </c>
      <c r="O5" s="774" t="s">
        <v>756</v>
      </c>
    </row>
    <row r="6" spans="1:16" ht="15.5" outlineLevel="1" x14ac:dyDescent="0.35">
      <c r="A6" s="320">
        <v>1</v>
      </c>
      <c r="B6" s="618" t="str">
        <f>IF(E6&lt;&gt;0,RANK(G6,$G$6:$G$11)&amp;". "&amp;C6,"-")</f>
        <v>1. Châu Âu</v>
      </c>
      <c r="C6" s="618" t="s">
        <v>820</v>
      </c>
      <c r="D6" s="1157">
        <f>_xlfn.XLOOKUP(C6,'8.1. Chart_Khu vực'!$B$7:$B$12,'8.1. Chart_Khu vực'!$C$7:$C$12,0)</f>
        <v>1045</v>
      </c>
      <c r="E6" s="346">
        <f>_xlfn.XLOOKUP(C6,'8.1. Chart_Khu vực'!$B$40:$B$46,'8.1. Chart_Khu vực'!$C$40:$C$46,0)</f>
        <v>1320.2644453781513</v>
      </c>
      <c r="F6" s="1158">
        <f>_xlfn.XLOOKUP(C6,'8.1. Chart_Khu vực'!$B$75:$B$80,'8.1. Chart_Khu vực'!$C$75:$C$80,0)</f>
        <v>234.5619688693659</v>
      </c>
      <c r="G6" s="1147">
        <f>IFERROR(F6/E6,0)</f>
        <v>0.17766286874610371</v>
      </c>
      <c r="I6" s="320">
        <v>1</v>
      </c>
      <c r="J6" s="618" t="str">
        <f>IF(M6&lt;&gt;0,RANK(O6,$O$6:$O$11)&amp;". "&amp;K6,"-")</f>
        <v>1. Châu Âu</v>
      </c>
      <c r="K6" s="618" t="str">
        <f>C6</f>
        <v>Châu Âu</v>
      </c>
      <c r="L6" s="1157">
        <f>_xlfn.XLOOKUP(K6,'8.1. Chart_Khu vực'!$Z$7:$Z$12,'8.1. Chart_Khu vực'!$AM$7:$AM$12,0)</f>
        <v>8126</v>
      </c>
      <c r="M6" s="346">
        <f>ROUND(_xlfn.XLOOKUP(K6,'8.1. Chart_Khu vực'!$Z$40:$Z$46,'8.1. Chart_Khu vực'!$AM$40:$AM$46,0)/10^3,0)</f>
        <v>10302</v>
      </c>
      <c r="N6" s="1158">
        <f>ROUND(_xlfn.XLOOKUP(K6,'8.1. Chart_Khu vực'!$Z$75:$Z$80,'8.1. Chart_Khu vực'!$AM$75:$AM$80,0)/10^3,0)</f>
        <v>1892</v>
      </c>
      <c r="O6" s="1159">
        <f>IFERROR(N6/M6,0)</f>
        <v>0.18365365948359541</v>
      </c>
      <c r="P6" s="911">
        <f>RANK(O6,$O$6:$O$11)</f>
        <v>1</v>
      </c>
    </row>
    <row r="7" spans="1:16" outlineLevel="1" x14ac:dyDescent="0.35">
      <c r="A7" s="322">
        <v>2</v>
      </c>
      <c r="B7" s="247" t="str">
        <f>IF(E7&lt;&gt;0,RANK(G7,$G$6:$G$11)&amp;". "&amp;C7,"-")</f>
        <v>4. Châu á</v>
      </c>
      <c r="C7" s="247" t="s">
        <v>801</v>
      </c>
      <c r="D7" s="1157">
        <f>_xlfn.XLOOKUP(C7,'8.1. Chart_Khu vực'!$B$7:$B$12,'8.1. Chart_Khu vực'!$C$7:$C$12,0)</f>
        <v>264</v>
      </c>
      <c r="E7" s="346">
        <f>_xlfn.XLOOKUP(C7,'8.1. Chart_Khu vực'!$B$40:$B$46,'8.1. Chart_Khu vực'!$C$40:$C$46,0)</f>
        <v>279.7796562261268</v>
      </c>
      <c r="F7" s="1158">
        <f>_xlfn.XLOOKUP(C7,'8.1. Chart_Khu vực'!$B$75:$B$80,'8.1. Chart_Khu vực'!$C$75:$C$80,0)</f>
        <v>10.73595859434681</v>
      </c>
      <c r="G7" s="1159">
        <f>IFERROR(F7/E7,0)</f>
        <v>3.8372906519227645E-2</v>
      </c>
      <c r="I7" s="322">
        <v>2</v>
      </c>
      <c r="J7" s="247" t="str">
        <f>IF(M7&lt;&gt;0,RANK(O7,$O$6:$O$11)&amp;". "&amp;K7,"-")</f>
        <v>3. Châu á</v>
      </c>
      <c r="K7" s="247" t="str">
        <f t="shared" ref="K7:K9" si="0">C7</f>
        <v>Châu á</v>
      </c>
      <c r="L7" s="1157">
        <f>_xlfn.XLOOKUP(K7,'8.1. Chart_Khu vực'!$Z$7:$Z$12,'8.1. Chart_Khu vực'!$AM$7:$AM$12,0)</f>
        <v>1571</v>
      </c>
      <c r="M7" s="346">
        <f>ROUND(_xlfn.XLOOKUP(K7,'8.1. Chart_Khu vực'!$Z$40:$Z$46,'8.1. Chart_Khu vực'!$AM$40:$AM$46,0)/10^3,0)</f>
        <v>1887</v>
      </c>
      <c r="N7" s="1158">
        <f>ROUND(_xlfn.XLOOKUP(K7,'8.1. Chart_Khu vực'!$Z$75:$Z$80,'8.1. Chart_Khu vực'!$AM$75:$AM$80,0)/10^3,0)</f>
        <v>225</v>
      </c>
      <c r="O7" s="1159">
        <f t="shared" ref="O7:O9" si="1">IFERROR(N7/M7,0)</f>
        <v>0.1192368839427663</v>
      </c>
      <c r="P7" s="911">
        <f t="shared" ref="P7:P11" si="2">RANK(O7,$O$6:$O$11)</f>
        <v>3</v>
      </c>
    </row>
    <row r="8" spans="1:16" ht="15.5" outlineLevel="1" x14ac:dyDescent="0.35">
      <c r="A8" s="322">
        <v>3</v>
      </c>
      <c r="B8" s="31" t="str">
        <f>IF(E8&lt;&gt;0,RANK(G8,$G$6:$G$11)&amp;". "&amp;C8,"-")</f>
        <v>2. Bắc mỹ</v>
      </c>
      <c r="C8" s="31" t="s">
        <v>824</v>
      </c>
      <c r="D8" s="1157">
        <f>_xlfn.XLOOKUP(C8,'8.1. Chart_Khu vực'!$B$7:$B$12,'8.1. Chart_Khu vực'!$C$7:$C$12,0)</f>
        <v>1650</v>
      </c>
      <c r="E8" s="346">
        <f>_xlfn.XLOOKUP(C8,'8.1. Chart_Khu vực'!$B$40:$B$46,'8.1. Chart_Khu vực'!$C$40:$C$46,0)</f>
        <v>1971.3432117647058</v>
      </c>
      <c r="F8" s="1158">
        <f>_xlfn.XLOOKUP(C8,'8.1. Chart_Khu vực'!$B$75:$B$80,'8.1. Chart_Khu vực'!$C$75:$C$80,0)</f>
        <v>194.99860393430086</v>
      </c>
      <c r="G8" s="1159">
        <f t="shared" ref="G8:G9" si="3">IFERROR(F8/E8,0)</f>
        <v>9.8916618258340791E-2</v>
      </c>
      <c r="I8" s="322">
        <v>3</v>
      </c>
      <c r="J8" s="31" t="str">
        <f>IF(M8&lt;&gt;0,RANK(O8,$O$6:$O$11)&amp;". "&amp;K8,"-")</f>
        <v>2. Bắc mỹ</v>
      </c>
      <c r="K8" s="31" t="str">
        <f t="shared" si="0"/>
        <v>Bắc mỹ</v>
      </c>
      <c r="L8" s="1157">
        <f>_xlfn.XLOOKUP(K8,'8.1. Chart_Khu vực'!$Z$7:$Z$12,'8.1. Chart_Khu vực'!$AM$7:$AM$12,0)</f>
        <v>14927</v>
      </c>
      <c r="M8" s="346">
        <f>ROUND(_xlfn.XLOOKUP(K8,'8.1. Chart_Khu vực'!$Z$40:$Z$46,'8.1. Chart_Khu vực'!$AM$40:$AM$46,0)/10^3,0)</f>
        <v>18416</v>
      </c>
      <c r="N8" s="1158">
        <f>ROUND(_xlfn.XLOOKUP(K8,'8.1. Chart_Khu vực'!$Z$75:$Z$80,'8.1. Chart_Khu vực'!$AM$75:$AM$80,0)/10^3,0)</f>
        <v>2471</v>
      </c>
      <c r="O8" s="1159">
        <f t="shared" si="1"/>
        <v>0.13417680278019115</v>
      </c>
      <c r="P8" s="911">
        <f t="shared" si="2"/>
        <v>2</v>
      </c>
    </row>
    <row r="9" spans="1:16" ht="15.5" outlineLevel="1" x14ac:dyDescent="0.35">
      <c r="A9" s="322">
        <v>4</v>
      </c>
      <c r="B9" s="12" t="str">
        <f>IF(E9&lt;&gt;0,RANK(G9,$G$6:$G$11)&amp;". "&amp;C9,"-")</f>
        <v>3. Nội địa</v>
      </c>
      <c r="C9" s="12" t="s">
        <v>261</v>
      </c>
      <c r="D9" s="1157">
        <f>_xlfn.XLOOKUP(C9,'8.1. Chart_Khu vực'!$B$7:$B$12,'8.1. Chart_Khu vực'!$C$7:$C$12,0)</f>
        <v>2203</v>
      </c>
      <c r="E9" s="346">
        <f>_xlfn.XLOOKUP(C9,'8.1. Chart_Khu vực'!$B$40:$B$46,'8.1. Chart_Khu vực'!$C$40:$C$46,0)</f>
        <v>2658.1882522536284</v>
      </c>
      <c r="F9" s="1158">
        <f>_xlfn.XLOOKUP(C9,'8.1. Chart_Khu vực'!$B$75:$B$80,'8.1. Chart_Khu vực'!$C$75:$C$80,0)</f>
        <v>195.18260984919218</v>
      </c>
      <c r="G9" s="1159">
        <f t="shared" si="3"/>
        <v>7.3426932680074539E-2</v>
      </c>
      <c r="I9" s="322">
        <v>4</v>
      </c>
      <c r="J9" s="12" t="str">
        <f>IF(M9&lt;&gt;0,RANK(O9,$O$6:$O$11)&amp;". "&amp;K9,"-")</f>
        <v>4. Nội địa</v>
      </c>
      <c r="K9" s="12" t="str">
        <f t="shared" si="0"/>
        <v>Nội địa</v>
      </c>
      <c r="L9" s="1157">
        <f>_xlfn.XLOOKUP(K9,'8.1. Chart_Khu vực'!$Z$7:$Z$12,'8.1. Chart_Khu vực'!$AM$7:$AM$12,0)</f>
        <v>13389</v>
      </c>
      <c r="M9" s="346">
        <f>ROUND(_xlfn.XLOOKUP(K9,'8.1. Chart_Khu vực'!$Z$40:$Z$46,'8.1. Chart_Khu vực'!$AM$40:$AM$46,0)/10^3,0)</f>
        <v>16025</v>
      </c>
      <c r="N9" s="1158">
        <f>ROUND(_xlfn.XLOOKUP(K9,'8.1. Chart_Khu vực'!$Z$75:$Z$80,'8.1. Chart_Khu vực'!$AM$75:$AM$80,0)/10^3,0)</f>
        <v>1710</v>
      </c>
      <c r="O9" s="1159">
        <f t="shared" si="1"/>
        <v>0.10670826833073323</v>
      </c>
      <c r="P9" s="911">
        <f t="shared" si="2"/>
        <v>4</v>
      </c>
    </row>
    <row r="10" spans="1:16" ht="15.5" outlineLevel="1" x14ac:dyDescent="0.35">
      <c r="A10" s="322"/>
      <c r="B10" s="12"/>
      <c r="C10" s="12"/>
      <c r="D10" s="772"/>
      <c r="E10" s="346"/>
      <c r="F10" s="778"/>
      <c r="G10" s="777"/>
      <c r="I10" s="322"/>
      <c r="J10" s="12"/>
      <c r="K10" s="12"/>
      <c r="L10" s="772"/>
      <c r="M10" s="346"/>
      <c r="N10" s="778"/>
      <c r="O10" s="777"/>
      <c r="P10" s="911" t="e">
        <f t="shared" si="2"/>
        <v>#N/A</v>
      </c>
    </row>
    <row r="11" spans="1:16" ht="15.5" outlineLevel="1" x14ac:dyDescent="0.35">
      <c r="A11" s="352"/>
      <c r="B11" s="619"/>
      <c r="C11" s="619"/>
      <c r="D11" s="781"/>
      <c r="E11" s="311"/>
      <c r="F11" s="782"/>
      <c r="G11" s="780"/>
      <c r="I11" s="352"/>
      <c r="J11" s="619"/>
      <c r="K11" s="619"/>
      <c r="L11" s="781"/>
      <c r="M11" s="311"/>
      <c r="N11" s="782"/>
      <c r="O11" s="780"/>
      <c r="P11" s="911" t="e">
        <f t="shared" si="2"/>
        <v>#N/A</v>
      </c>
    </row>
    <row r="13" spans="1:16" ht="20" x14ac:dyDescent="0.35">
      <c r="B13" s="783" t="str">
        <f>"SẢN LƯỢNG_ LỢI NHUẬN GỘP THEO KHU VỰC T"&amp;C3&amp;".2025"</f>
        <v>SẢN LƯỢNG_ LỢI NHUẬN GỘP THEO KHU VỰC T8.2025</v>
      </c>
      <c r="I13" s="783" t="str">
        <f>"LŨY KẾ SẢN LƯỢNG_ LỢI NHUẬN GỘP THEO KHU VỰC T"&amp;C3&amp;".2025"</f>
        <v>LŨY KẾ SẢN LƯỢNG_ LỢI NHUẬN GỘP THEO KHU VỰC T8.2025</v>
      </c>
    </row>
    <row r="34" spans="1:10" ht="18.5" x14ac:dyDescent="0.45">
      <c r="B34" s="1048" t="s">
        <v>864</v>
      </c>
    </row>
    <row r="35" spans="1:10" ht="21" x14ac:dyDescent="0.5">
      <c r="B35" s="944" t="s">
        <v>830</v>
      </c>
    </row>
    <row r="36" spans="1:10" ht="29" x14ac:dyDescent="0.35">
      <c r="A36" s="856" t="s">
        <v>174</v>
      </c>
      <c r="B36" s="856" t="s">
        <v>799</v>
      </c>
      <c r="C36" s="856" t="s">
        <v>756</v>
      </c>
      <c r="D36" s="856" t="s">
        <v>789</v>
      </c>
      <c r="E36" s="856" t="s">
        <v>790</v>
      </c>
      <c r="F36" s="856" t="s">
        <v>757</v>
      </c>
      <c r="G36" s="856" t="s">
        <v>764</v>
      </c>
      <c r="H36" s="1081" t="s">
        <v>371</v>
      </c>
      <c r="I36" s="1082" t="s">
        <v>875</v>
      </c>
      <c r="J36" s="1082" t="s">
        <v>876</v>
      </c>
    </row>
    <row r="37" spans="1:10" x14ac:dyDescent="0.35">
      <c r="A37" s="320">
        <v>1</v>
      </c>
      <c r="B37" s="309" t="str">
        <f>_xlfn.XLOOKUP(A37,$P$6:$P$9,$K$6:$K$9,0)</f>
        <v>Châu Âu</v>
      </c>
      <c r="C37" s="559">
        <f>G37/F37</f>
        <v>0.18365365948359541</v>
      </c>
      <c r="D37" s="559">
        <f>E37/$E$41</f>
        <v>0.21376897377213058</v>
      </c>
      <c r="E37" s="330">
        <f>_xlfn.XLOOKUP(B37,$K$6:$K$11,$L$6:$L$11,0)</f>
        <v>8126</v>
      </c>
      <c r="F37" s="330">
        <f>_xlfn.XLOOKUP(B37,$K$6:$K$11,$M$6:$M$11,0)</f>
        <v>10302</v>
      </c>
      <c r="G37" s="330">
        <f>_xlfn.XLOOKUP(B37,$K$6:$K$11,$N$6:$N$11,0)</f>
        <v>1892</v>
      </c>
      <c r="H37" s="1160">
        <f>C37</f>
        <v>0.18365365948359541</v>
      </c>
      <c r="I37" s="1079">
        <f>RANK(D37,$D$37:$D$40)</f>
        <v>3</v>
      </c>
      <c r="J37" s="299">
        <f>RANK(G37,$G$37:$G$40)</f>
        <v>2</v>
      </c>
    </row>
    <row r="38" spans="1:10" x14ac:dyDescent="0.35">
      <c r="A38" s="322">
        <v>2</v>
      </c>
      <c r="B38" s="310" t="str">
        <f t="shared" ref="B38:B40" si="4">_xlfn.XLOOKUP(A38,$P$6:$P$9,$K$6:$K$9,0)</f>
        <v>Bắc mỹ</v>
      </c>
      <c r="C38" s="405">
        <f t="shared" ref="C38:C40" si="5">G38/F38</f>
        <v>0.13417680278019115</v>
      </c>
      <c r="D38" s="405">
        <f t="shared" ref="D38:D40" si="6">E38/$E$41</f>
        <v>0.39268145108252439</v>
      </c>
      <c r="E38" s="331">
        <f t="shared" ref="E38:E40" si="7">_xlfn.XLOOKUP(B38,$K$6:$K$11,$L$6:$L$11,0)</f>
        <v>14927</v>
      </c>
      <c r="F38" s="331">
        <f t="shared" ref="F38:F40" si="8">_xlfn.XLOOKUP(B38,$K$6:$K$11,$M$6:$M$11,0)</f>
        <v>18416</v>
      </c>
      <c r="G38" s="331">
        <f t="shared" ref="G38:G40" si="9">_xlfn.XLOOKUP(B38,$K$6:$K$11,$N$6:$N$11,0)</f>
        <v>2471</v>
      </c>
      <c r="H38" s="1160">
        <f t="shared" ref="H38:H40" si="10">C38</f>
        <v>0.13417680278019115</v>
      </c>
      <c r="I38" s="1079">
        <f t="shared" ref="I38:I40" si="11">RANK(D38,$D$37:$D$40)</f>
        <v>1</v>
      </c>
      <c r="J38" s="299">
        <f t="shared" ref="J38:J40" si="12">RANK(G38,$G$37:$G$40)</f>
        <v>1</v>
      </c>
    </row>
    <row r="39" spans="1:10" x14ac:dyDescent="0.35">
      <c r="A39" s="322">
        <v>3</v>
      </c>
      <c r="B39" s="310" t="str">
        <f t="shared" si="4"/>
        <v>Châu á</v>
      </c>
      <c r="C39" s="405">
        <f t="shared" si="5"/>
        <v>0.1192368839427663</v>
      </c>
      <c r="D39" s="405">
        <f t="shared" si="6"/>
        <v>4.1327966748217718E-2</v>
      </c>
      <c r="E39" s="331">
        <f t="shared" si="7"/>
        <v>1571</v>
      </c>
      <c r="F39" s="331">
        <f t="shared" si="8"/>
        <v>1887</v>
      </c>
      <c r="G39" s="331">
        <f t="shared" si="9"/>
        <v>225</v>
      </c>
      <c r="H39" s="1160">
        <f t="shared" si="10"/>
        <v>0.1192368839427663</v>
      </c>
      <c r="I39" s="1079">
        <f t="shared" si="11"/>
        <v>4</v>
      </c>
      <c r="J39" s="299">
        <f t="shared" si="12"/>
        <v>4</v>
      </c>
    </row>
    <row r="40" spans="1:10" x14ac:dyDescent="0.35">
      <c r="A40" s="352">
        <v>4</v>
      </c>
      <c r="B40" s="311" t="str">
        <f t="shared" si="4"/>
        <v>Nội địa</v>
      </c>
      <c r="C40" s="560">
        <f t="shared" si="5"/>
        <v>0.10670826833073323</v>
      </c>
      <c r="D40" s="560">
        <f t="shared" si="6"/>
        <v>0.35222160839712729</v>
      </c>
      <c r="E40" s="487">
        <f t="shared" si="7"/>
        <v>13389</v>
      </c>
      <c r="F40" s="487">
        <f t="shared" si="8"/>
        <v>16025</v>
      </c>
      <c r="G40" s="487">
        <f t="shared" si="9"/>
        <v>1710</v>
      </c>
      <c r="H40" s="1160">
        <f t="shared" si="10"/>
        <v>0.10670826833073323</v>
      </c>
      <c r="I40" s="1079">
        <f t="shared" si="11"/>
        <v>2</v>
      </c>
      <c r="J40" s="299">
        <f t="shared" si="12"/>
        <v>3</v>
      </c>
    </row>
    <row r="41" spans="1:10" ht="15" x14ac:dyDescent="0.35">
      <c r="A41" s="886"/>
      <c r="B41" s="921" t="s">
        <v>436</v>
      </c>
      <c r="C41" s="886"/>
      <c r="D41" s="887">
        <f>SUM(D37:D40)</f>
        <v>1</v>
      </c>
      <c r="E41" s="444">
        <f>SUM(E37:E40)</f>
        <v>38013</v>
      </c>
      <c r="F41" s="444">
        <f>SUM(F37:F40)</f>
        <v>46630</v>
      </c>
      <c r="G41" s="444">
        <f>SUM(G37:G40)</f>
        <v>6298</v>
      </c>
      <c r="H41" s="1080"/>
      <c r="I41" s="299"/>
      <c r="J41" s="299"/>
    </row>
    <row r="67" hidden="1" x14ac:dyDescent="0.35"/>
  </sheetData>
  <conditionalFormatting sqref="F6:F11">
    <cfRule type="cellIs" dxfId="5" priority="1" operator="lessThan">
      <formula>0</formula>
    </cfRule>
  </conditionalFormatting>
  <conditionalFormatting sqref="G6:G9">
    <cfRule type="cellIs" dxfId="4" priority="3" operator="lessThan">
      <formula>0</formula>
    </cfRule>
  </conditionalFormatting>
  <conditionalFormatting sqref="G10:G11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{2A624D68-2298-4BE5-BBA3-9777F241A477}</x14:id>
        </ext>
      </extLst>
    </cfRule>
  </conditionalFormatting>
  <conditionalFormatting sqref="N10:N11">
    <cfRule type="cellIs" dxfId="3" priority="8" operator="lessThan">
      <formula>0</formula>
    </cfRule>
  </conditionalFormatting>
  <conditionalFormatting sqref="N6:O9">
    <cfRule type="cellIs" dxfId="2" priority="2" operator="lessThan">
      <formula>0</formula>
    </cfRule>
  </conditionalFormatting>
  <conditionalFormatting sqref="O10:O11">
    <cfRule type="dataBar" priority="1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{EEDA04F4-C06A-4771-B070-B086C56E1757}</x14:id>
        </ext>
      </extLst>
    </cfRule>
  </conditionalFormatting>
  <hyperlinks>
    <hyperlink ref="A1" location="'00. DM'!A1" display="00. DM" xr:uid="{6044A86F-6A32-40B7-AAE6-C14935D95C14}"/>
  </hyperlinks>
  <pageMargins left="0.7" right="0.7" top="0.75" bottom="0.75" header="0.3" footer="0.3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A624D68-2298-4BE5-BBA3-9777F241A4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G10:G11</xm:sqref>
        </x14:conditionalFormatting>
        <x14:conditionalFormatting xmlns:xm="http://schemas.microsoft.com/office/excel/2006/main">
          <x14:cfRule type="dataBar" id="{EEDA04F4-C06A-4771-B070-B086C56E17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O10:O11</xm:sqref>
        </x14:conditionalFormatting>
      </x14:conditionalFormatting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67773-264F-4C95-AB07-FDC9751C91CE}">
  <dimension ref="A1:C62"/>
  <sheetViews>
    <sheetView workbookViewId="0">
      <pane ySplit="2" topLeftCell="A48" activePane="bottomLeft" state="frozen"/>
      <selection pane="bottomLeft" activeCell="U74" sqref="U74"/>
    </sheetView>
  </sheetViews>
  <sheetFormatPr defaultRowHeight="14.5" x14ac:dyDescent="0.35"/>
  <sheetData>
    <row r="1" spans="1:3" ht="26" x14ac:dyDescent="0.6">
      <c r="A1" s="528" t="s">
        <v>587</v>
      </c>
      <c r="B1" s="678" t="s">
        <v>865</v>
      </c>
    </row>
    <row r="2" spans="1:3" x14ac:dyDescent="0.35">
      <c r="C2" s="377" t="s">
        <v>863</v>
      </c>
    </row>
    <row r="24" spans="2:2" x14ac:dyDescent="0.35">
      <c r="B24" s="377" t="s">
        <v>866</v>
      </c>
    </row>
    <row r="45" spans="2:2" x14ac:dyDescent="0.35">
      <c r="B45" s="377" t="s">
        <v>986</v>
      </c>
    </row>
    <row r="62" spans="2:2" x14ac:dyDescent="0.35">
      <c r="B62" s="377" t="s">
        <v>1048</v>
      </c>
    </row>
  </sheetData>
  <hyperlinks>
    <hyperlink ref="A1" location="'00. DM'!A1" display="00. DM" xr:uid="{954520A4-0128-4FCB-BA6E-EE14E619EFD1}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4A509-2840-4FD5-8A90-132CC59D71D0}">
  <sheetPr>
    <tabColor rgb="FF00B050"/>
  </sheetPr>
  <dimension ref="A1:P135"/>
  <sheetViews>
    <sheetView topLeftCell="A86" zoomScale="85" zoomScaleNormal="85" workbookViewId="0">
      <selection activeCell="I106" sqref="I106"/>
    </sheetView>
  </sheetViews>
  <sheetFormatPr defaultColWidth="8.81640625" defaultRowHeight="14.5" x14ac:dyDescent="0.35"/>
  <cols>
    <col min="1" max="1" width="6" style="950" customWidth="1"/>
    <col min="2" max="2" width="14.1796875" style="946" customWidth="1"/>
    <col min="3" max="3" width="19.6328125" style="946" customWidth="1"/>
    <col min="4" max="4" width="8.1796875" style="946" bestFit="1" customWidth="1"/>
    <col min="5" max="5" width="10" style="946" customWidth="1"/>
    <col min="6" max="6" width="23.1796875" style="946" bestFit="1" customWidth="1"/>
    <col min="7" max="7" width="13.453125" style="946" customWidth="1"/>
    <col min="8" max="8" width="9.1796875" style="946" customWidth="1"/>
    <col min="9" max="9" width="12.1796875" style="948" customWidth="1"/>
    <col min="10" max="10" width="12.1796875" style="946" customWidth="1"/>
    <col min="11" max="12" width="12.1796875" style="948" customWidth="1"/>
    <col min="13" max="13" width="12.1796875" style="975" customWidth="1"/>
    <col min="14" max="14" width="12.1796875" style="949" customWidth="1"/>
    <col min="15" max="15" width="31.1796875" style="946" customWidth="1"/>
    <col min="16" max="16384" width="8.81640625" style="946"/>
  </cols>
  <sheetData>
    <row r="1" spans="1:15" ht="21" x14ac:dyDescent="0.5">
      <c r="A1" s="945" t="s">
        <v>587</v>
      </c>
      <c r="C1" s="947" t="s">
        <v>818</v>
      </c>
      <c r="D1" s="947"/>
    </row>
    <row r="2" spans="1:15" ht="14" customHeight="1" x14ac:dyDescent="0.35"/>
    <row r="3" spans="1:15" ht="18.5" x14ac:dyDescent="0.45">
      <c r="B3" s="951" t="s">
        <v>437</v>
      </c>
      <c r="C3" s="952">
        <v>1</v>
      </c>
      <c r="D3" s="952"/>
      <c r="L3" s="981"/>
    </row>
    <row r="4" spans="1:15" x14ac:dyDescent="0.35">
      <c r="L4" s="981"/>
    </row>
    <row r="5" spans="1:15" s="956" customFormat="1" ht="43.5" x14ac:dyDescent="0.35">
      <c r="A5" s="953" t="s">
        <v>174</v>
      </c>
      <c r="B5" s="953" t="s">
        <v>564</v>
      </c>
      <c r="C5" s="953" t="s">
        <v>481</v>
      </c>
      <c r="D5" s="953" t="s">
        <v>172</v>
      </c>
      <c r="E5" s="953" t="s">
        <v>422</v>
      </c>
      <c r="F5" s="953" t="s">
        <v>423</v>
      </c>
      <c r="G5" s="953" t="s">
        <v>411</v>
      </c>
      <c r="H5" s="953" t="s">
        <v>424</v>
      </c>
      <c r="I5" s="954" t="s">
        <v>482</v>
      </c>
      <c r="J5" s="953" t="s">
        <v>483</v>
      </c>
      <c r="K5" s="954" t="s">
        <v>484</v>
      </c>
      <c r="L5" s="954" t="s">
        <v>427</v>
      </c>
      <c r="M5" s="976" t="s">
        <v>429</v>
      </c>
      <c r="N5" s="955" t="s">
        <v>425</v>
      </c>
      <c r="O5" s="953" t="s">
        <v>294</v>
      </c>
    </row>
    <row r="6" spans="1:15" x14ac:dyDescent="0.35">
      <c r="A6" s="957">
        <v>1</v>
      </c>
      <c r="B6" s="958" t="s">
        <v>452</v>
      </c>
      <c r="C6" s="958" t="s">
        <v>453</v>
      </c>
      <c r="D6" s="958" t="str">
        <f>_xlfn.XLOOKUP(B6,'06. BC BH THEO CUSTOMER-USD'!$D:$D,'06. BC BH THEO CUSTOMER-USD'!$F:$F,0)</f>
        <v>VN</v>
      </c>
      <c r="E6" s="958" t="s">
        <v>48</v>
      </c>
      <c r="F6" s="958" t="s">
        <v>47</v>
      </c>
      <c r="G6" s="958" t="s">
        <v>266</v>
      </c>
      <c r="H6" s="958">
        <v>3</v>
      </c>
      <c r="I6" s="959">
        <v>1076.4753111200321</v>
      </c>
      <c r="J6" s="959">
        <v>870</v>
      </c>
      <c r="K6" s="959">
        <v>994.13584905660377</v>
      </c>
      <c r="L6" s="959">
        <v>3229.4259333600962</v>
      </c>
      <c r="M6" s="977">
        <v>2235.2900843034927</v>
      </c>
      <c r="N6" s="960">
        <f t="shared" ref="N6:N9" si="0">M6/L6</f>
        <v>0.69216329168997459</v>
      </c>
      <c r="O6" s="958"/>
    </row>
    <row r="7" spans="1:15" x14ac:dyDescent="0.35">
      <c r="A7" s="961">
        <v>2</v>
      </c>
      <c r="B7" s="962" t="s">
        <v>456</v>
      </c>
      <c r="C7" s="962" t="s">
        <v>457</v>
      </c>
      <c r="D7" s="958" t="str">
        <f>_xlfn.XLOOKUP(B7,'06. BC BH THEO CUSTOMER-USD'!$D:$D,'06. BC BH THEO CUSTOMER-USD'!$F:$F,0)</f>
        <v>VN</v>
      </c>
      <c r="E7" s="962" t="s">
        <v>37</v>
      </c>
      <c r="F7" s="962" t="s">
        <v>36</v>
      </c>
      <c r="G7" s="962" t="s">
        <v>266</v>
      </c>
      <c r="H7" s="962">
        <v>6</v>
      </c>
      <c r="I7" s="963">
        <v>631.90448949551728</v>
      </c>
      <c r="J7" s="963">
        <v>825</v>
      </c>
      <c r="K7" s="963">
        <v>6649.6367322360502</v>
      </c>
      <c r="L7" s="963">
        <v>3791.4269369731032</v>
      </c>
      <c r="M7" s="978">
        <v>-2858.2097952629465</v>
      </c>
      <c r="N7" s="964">
        <f t="shared" si="0"/>
        <v>-0.75386123556552209</v>
      </c>
      <c r="O7" s="962"/>
    </row>
    <row r="8" spans="1:15" x14ac:dyDescent="0.35">
      <c r="A8" s="961">
        <v>3</v>
      </c>
      <c r="B8" s="962" t="s">
        <v>456</v>
      </c>
      <c r="C8" s="962" t="s">
        <v>457</v>
      </c>
      <c r="D8" s="958" t="str">
        <f>_xlfn.XLOOKUP(B8,'06. BC BH THEO CUSTOMER-USD'!$D:$D,'06. BC BH THEO CUSTOMER-USD'!$F:$F,0)</f>
        <v>VN</v>
      </c>
      <c r="E8" s="962" t="s">
        <v>39</v>
      </c>
      <c r="F8" s="962" t="s">
        <v>38</v>
      </c>
      <c r="G8" s="962" t="s">
        <v>266</v>
      </c>
      <c r="H8" s="962">
        <v>1.5</v>
      </c>
      <c r="I8" s="963">
        <v>631.9044828047638</v>
      </c>
      <c r="J8" s="963">
        <v>825</v>
      </c>
      <c r="K8" s="963">
        <v>1487.1300281011643</v>
      </c>
      <c r="L8" s="963">
        <v>947.8567242071457</v>
      </c>
      <c r="M8" s="978">
        <v>-539.27330389401845</v>
      </c>
      <c r="N8" s="964">
        <f t="shared" si="0"/>
        <v>-0.56893968267736317</v>
      </c>
      <c r="O8" s="962"/>
    </row>
    <row r="9" spans="1:15" x14ac:dyDescent="0.35">
      <c r="A9" s="961">
        <v>4</v>
      </c>
      <c r="B9" s="965" t="s">
        <v>460</v>
      </c>
      <c r="C9" s="965" t="s">
        <v>461</v>
      </c>
      <c r="D9" s="958" t="str">
        <f>_xlfn.XLOOKUP(B9,'06. BC BH THEO CUSTOMER-USD'!$D:$D,'06. BC BH THEO CUSTOMER-USD'!$F:$F,0)</f>
        <v>Israel</v>
      </c>
      <c r="E9" s="965" t="s">
        <v>127</v>
      </c>
      <c r="F9" s="965" t="s">
        <v>114</v>
      </c>
      <c r="G9" s="965" t="s">
        <v>283</v>
      </c>
      <c r="H9" s="965">
        <v>44</v>
      </c>
      <c r="I9" s="966">
        <v>1372.7079431407612</v>
      </c>
      <c r="J9" s="966">
        <v>1320</v>
      </c>
      <c r="K9" s="966">
        <v>46840.355760738661</v>
      </c>
      <c r="L9" s="966">
        <v>69545.029305499804</v>
      </c>
      <c r="M9" s="979">
        <v>13558.793737454838</v>
      </c>
      <c r="N9" s="967">
        <f t="shared" si="0"/>
        <v>0.19496423932605308</v>
      </c>
      <c r="O9" s="965"/>
    </row>
    <row r="10" spans="1:15" s="971" customFormat="1" x14ac:dyDescent="0.35">
      <c r="A10" s="968"/>
      <c r="B10" s="969" t="str">
        <f>"CỘNG THÁNG "&amp;C3</f>
        <v>CỘNG THÁNG 1</v>
      </c>
      <c r="C10" s="969">
        <f>COUNTA(C6:C9)</f>
        <v>4</v>
      </c>
      <c r="D10" s="969"/>
      <c r="E10" s="969"/>
      <c r="F10" s="969"/>
      <c r="G10" s="969"/>
      <c r="H10" s="982">
        <f>SUM(H6:H9)</f>
        <v>54.5</v>
      </c>
      <c r="I10" s="980"/>
      <c r="J10" s="982"/>
      <c r="K10" s="980"/>
      <c r="L10" s="980">
        <f>SUM(L6:L9)</f>
        <v>77513.738900040145</v>
      </c>
      <c r="M10" s="980">
        <f>SUM(M6:M9)</f>
        <v>12396.600722601366</v>
      </c>
      <c r="N10" s="970">
        <f>M10/L10</f>
        <v>0.15992778697706383</v>
      </c>
      <c r="O10" s="969"/>
    </row>
    <row r="11" spans="1:15" s="971" customFormat="1" x14ac:dyDescent="0.35">
      <c r="A11" s="968"/>
      <c r="B11" s="969" t="s">
        <v>817</v>
      </c>
      <c r="C11" s="969">
        <f>C10</f>
        <v>4</v>
      </c>
      <c r="D11" s="969"/>
      <c r="E11" s="969"/>
      <c r="F11" s="969"/>
      <c r="G11" s="969"/>
      <c r="H11" s="982">
        <f>H10</f>
        <v>54.5</v>
      </c>
      <c r="I11" s="980"/>
      <c r="J11" s="982"/>
      <c r="K11" s="980"/>
      <c r="L11" s="980">
        <f t="shared" ref="L11:N11" si="1">L10</f>
        <v>77513.738900040145</v>
      </c>
      <c r="M11" s="980">
        <f t="shared" si="1"/>
        <v>12396.600722601366</v>
      </c>
      <c r="N11" s="970">
        <f t="shared" si="1"/>
        <v>0.15992778697706383</v>
      </c>
      <c r="O11" s="969"/>
    </row>
    <row r="13" spans="1:15" ht="18.5" x14ac:dyDescent="0.45">
      <c r="B13" s="951" t="s">
        <v>437</v>
      </c>
      <c r="C13" s="952">
        <v>2</v>
      </c>
      <c r="D13" s="952"/>
    </row>
    <row r="15" spans="1:15" s="956" customFormat="1" ht="43.5" x14ac:dyDescent="0.35">
      <c r="A15" s="953" t="s">
        <v>174</v>
      </c>
      <c r="B15" s="953" t="s">
        <v>564</v>
      </c>
      <c r="C15" s="953" t="s">
        <v>481</v>
      </c>
      <c r="D15" s="953" t="s">
        <v>172</v>
      </c>
      <c r="E15" s="953" t="s">
        <v>422</v>
      </c>
      <c r="F15" s="953" t="s">
        <v>423</v>
      </c>
      <c r="G15" s="953" t="s">
        <v>411</v>
      </c>
      <c r="H15" s="953" t="s">
        <v>424</v>
      </c>
      <c r="I15" s="954" t="s">
        <v>482</v>
      </c>
      <c r="J15" s="953" t="s">
        <v>483</v>
      </c>
      <c r="K15" s="954" t="s">
        <v>484</v>
      </c>
      <c r="L15" s="954" t="s">
        <v>427</v>
      </c>
      <c r="M15" s="976" t="s">
        <v>429</v>
      </c>
      <c r="N15" s="955" t="s">
        <v>425</v>
      </c>
      <c r="O15" s="953" t="s">
        <v>294</v>
      </c>
    </row>
    <row r="16" spans="1:15" x14ac:dyDescent="0.35">
      <c r="A16" s="957">
        <v>1</v>
      </c>
      <c r="B16" s="958" t="s">
        <v>511</v>
      </c>
      <c r="C16" s="958" t="s">
        <v>512</v>
      </c>
      <c r="D16" s="957" t="str">
        <f>_xlfn.XLOOKUP(B16,'06. BC BH THEO CUSTOMER-USD'!$D:$D,'06. BC BH THEO CUSTOMER-USD'!$F:$F,0)</f>
        <v>VN</v>
      </c>
      <c r="E16" s="958" t="s">
        <v>87</v>
      </c>
      <c r="F16" s="958" t="s">
        <v>86</v>
      </c>
      <c r="G16" s="958" t="s">
        <v>95</v>
      </c>
      <c r="H16" s="972">
        <v>5.5</v>
      </c>
      <c r="I16" s="959">
        <v>752.26467113036631</v>
      </c>
      <c r="J16" s="958">
        <v>950</v>
      </c>
      <c r="K16" s="959">
        <v>4931.3568727845604</v>
      </c>
      <c r="L16" s="959">
        <v>4137.4556912170146</v>
      </c>
      <c r="M16" s="977">
        <v>-793.90118156754625</v>
      </c>
      <c r="N16" s="960">
        <f>M16/L16</f>
        <v>-0.19188149452641598</v>
      </c>
      <c r="O16" s="958"/>
    </row>
    <row r="17" spans="1:16" x14ac:dyDescent="0.35">
      <c r="A17" s="961">
        <v>2</v>
      </c>
      <c r="B17" s="962" t="s">
        <v>513</v>
      </c>
      <c r="C17" s="962" t="s">
        <v>514</v>
      </c>
      <c r="D17" s="961">
        <f>_xlfn.XLOOKUP(B17,'06. BC BH THEO CUSTOMER-USD'!$D:$D,'06. BC BH THEO CUSTOMER-USD'!$F:$F,0)</f>
        <v>0</v>
      </c>
      <c r="E17" s="962" t="s">
        <v>538</v>
      </c>
      <c r="F17" s="962" t="s">
        <v>539</v>
      </c>
      <c r="G17" s="962" t="s">
        <v>23</v>
      </c>
      <c r="H17" s="973">
        <v>5.0000000000000001E-3</v>
      </c>
      <c r="I17" s="963">
        <v>827.09728239464357</v>
      </c>
      <c r="J17" s="962">
        <v>820</v>
      </c>
      <c r="K17" s="963">
        <v>4.3241827491138247</v>
      </c>
      <c r="L17" s="963">
        <v>4.1354864119732175</v>
      </c>
      <c r="M17" s="978">
        <v>-0.18869633714060655</v>
      </c>
      <c r="N17" s="964">
        <f t="shared" ref="N17:N31" si="2">M17/L17</f>
        <v>-4.5628571428571435E-2</v>
      </c>
      <c r="O17" s="962"/>
    </row>
    <row r="18" spans="1:16" x14ac:dyDescent="0.35">
      <c r="A18" s="961">
        <v>3</v>
      </c>
      <c r="B18" s="962" t="s">
        <v>513</v>
      </c>
      <c r="C18" s="962" t="s">
        <v>514</v>
      </c>
      <c r="D18" s="961">
        <f>_xlfn.XLOOKUP(B18,'06. BC BH THEO CUSTOMER-USD'!$D:$D,'06. BC BH THEO CUSTOMER-USD'!$F:$F,0)</f>
        <v>0</v>
      </c>
      <c r="E18" s="962" t="s">
        <v>11</v>
      </c>
      <c r="F18" s="962" t="s">
        <v>10</v>
      </c>
      <c r="G18" s="962" t="s">
        <v>23</v>
      </c>
      <c r="H18" s="973">
        <v>5.0000000000000001E-3</v>
      </c>
      <c r="I18" s="963">
        <v>703.0326900354471</v>
      </c>
      <c r="J18" s="962">
        <v>720</v>
      </c>
      <c r="K18" s="963">
        <v>4.2195746356833395</v>
      </c>
      <c r="L18" s="963">
        <v>3.5151634501772353</v>
      </c>
      <c r="M18" s="978">
        <v>-0.70441118550610482</v>
      </c>
      <c r="N18" s="964">
        <f t="shared" si="2"/>
        <v>-0.20039215686274511</v>
      </c>
      <c r="O18" s="962"/>
    </row>
    <row r="19" spans="1:16" x14ac:dyDescent="0.35">
      <c r="A19" s="961">
        <v>4</v>
      </c>
      <c r="B19" s="962" t="s">
        <v>513</v>
      </c>
      <c r="C19" s="962" t="s">
        <v>514</v>
      </c>
      <c r="D19" s="961">
        <f>_xlfn.XLOOKUP(B19,'06. BC BH THEO CUSTOMER-USD'!$D:$D,'06. BC BH THEO CUSTOMER-USD'!$F:$F,0)</f>
        <v>0</v>
      </c>
      <c r="E19" s="962" t="s">
        <v>15</v>
      </c>
      <c r="F19" s="962" t="s">
        <v>14</v>
      </c>
      <c r="G19" s="962" t="s">
        <v>23</v>
      </c>
      <c r="H19" s="973">
        <v>5.0000000000000001E-3</v>
      </c>
      <c r="I19" s="963">
        <v>827.09728239464357</v>
      </c>
      <c r="J19" s="962">
        <v>820</v>
      </c>
      <c r="K19" s="963">
        <v>5.7190626230799531</v>
      </c>
      <c r="L19" s="963">
        <v>4.1354864119732175</v>
      </c>
      <c r="M19" s="978">
        <v>-1.5835762111067349</v>
      </c>
      <c r="N19" s="964">
        <f t="shared" si="2"/>
        <v>-0.38292380952380956</v>
      </c>
      <c r="O19" s="962"/>
    </row>
    <row r="20" spans="1:16" x14ac:dyDescent="0.35">
      <c r="A20" s="961">
        <v>5</v>
      </c>
      <c r="B20" s="962" t="s">
        <v>513</v>
      </c>
      <c r="C20" s="962" t="s">
        <v>514</v>
      </c>
      <c r="D20" s="961">
        <f>_xlfn.XLOOKUP(B20,'06. BC BH THEO CUSTOMER-USD'!$D:$D,'06. BC BH THEO CUSTOMER-USD'!$F:$F,0)</f>
        <v>0</v>
      </c>
      <c r="E20" s="962" t="s">
        <v>9</v>
      </c>
      <c r="F20" s="962" t="s">
        <v>8</v>
      </c>
      <c r="G20" s="962" t="s">
        <v>23</v>
      </c>
      <c r="H20" s="973">
        <v>5.0000000000000001E-3</v>
      </c>
      <c r="I20" s="963">
        <v>827.09728239464357</v>
      </c>
      <c r="J20" s="962">
        <v>820</v>
      </c>
      <c r="K20" s="963">
        <v>6.7016935801496649</v>
      </c>
      <c r="L20" s="963">
        <v>4.1354864119732175</v>
      </c>
      <c r="M20" s="978">
        <v>-2.5662071681764473</v>
      </c>
      <c r="N20" s="964">
        <f t="shared" si="2"/>
        <v>-0.62053333333333338</v>
      </c>
      <c r="O20" s="962"/>
    </row>
    <row r="21" spans="1:16" x14ac:dyDescent="0.35">
      <c r="A21" s="961">
        <v>6</v>
      </c>
      <c r="B21" s="962" t="s">
        <v>513</v>
      </c>
      <c r="C21" s="962" t="s">
        <v>514</v>
      </c>
      <c r="D21" s="961">
        <f>_xlfn.XLOOKUP(B21,'06. BC BH THEO CUSTOMER-USD'!$D:$D,'06. BC BH THEO CUSTOMER-USD'!$F:$F,0)</f>
        <v>0</v>
      </c>
      <c r="E21" s="962" t="s">
        <v>231</v>
      </c>
      <c r="F21" s="962" t="s">
        <v>232</v>
      </c>
      <c r="G21" s="962" t="s">
        <v>23</v>
      </c>
      <c r="H21" s="973">
        <v>5.0000000000000001E-3</v>
      </c>
      <c r="I21" s="963">
        <v>827.09728239464357</v>
      </c>
      <c r="J21" s="962">
        <v>820</v>
      </c>
      <c r="K21" s="963">
        <v>7.7067743205986607</v>
      </c>
      <c r="L21" s="963">
        <v>4.1354864119732175</v>
      </c>
      <c r="M21" s="978">
        <v>-3.5712879086254432</v>
      </c>
      <c r="N21" s="964">
        <f t="shared" si="2"/>
        <v>-0.86357142857142866</v>
      </c>
      <c r="O21" s="962"/>
    </row>
    <row r="22" spans="1:16" x14ac:dyDescent="0.35">
      <c r="A22" s="961">
        <v>7</v>
      </c>
      <c r="B22" s="962" t="s">
        <v>515</v>
      </c>
      <c r="C22" s="962" t="s">
        <v>516</v>
      </c>
      <c r="D22" s="961">
        <f>_xlfn.XLOOKUP(B22,'06. BC BH THEO CUSTOMER-USD'!$D:$D,'06. BC BH THEO CUSTOMER-USD'!$F:$F,0)</f>
        <v>0</v>
      </c>
      <c r="E22" s="962" t="s">
        <v>11</v>
      </c>
      <c r="F22" s="962" t="s">
        <v>10</v>
      </c>
      <c r="G22" s="962" t="s">
        <v>23</v>
      </c>
      <c r="H22" s="973">
        <v>0.1</v>
      </c>
      <c r="I22" s="963">
        <v>769.9881843245372</v>
      </c>
      <c r="J22" s="962">
        <v>720</v>
      </c>
      <c r="K22" s="963">
        <v>84.391374556912169</v>
      </c>
      <c r="L22" s="963">
        <v>76.998818432453717</v>
      </c>
      <c r="M22" s="978">
        <v>-7.3925561244584479</v>
      </c>
      <c r="N22" s="964">
        <f t="shared" si="2"/>
        <v>-9.6008695652173917E-2</v>
      </c>
      <c r="O22" s="962"/>
    </row>
    <row r="23" spans="1:16" x14ac:dyDescent="0.35">
      <c r="A23" s="961">
        <v>8</v>
      </c>
      <c r="B23" s="962" t="s">
        <v>517</v>
      </c>
      <c r="C23" s="962" t="s">
        <v>518</v>
      </c>
      <c r="D23" s="961" t="str">
        <f>_xlfn.XLOOKUP(B23,'06. BC BH THEO CUSTOMER-USD'!$D:$D,'06. BC BH THEO CUSTOMER-USD'!$F:$F,0)</f>
        <v>VN</v>
      </c>
      <c r="E23" s="962" t="s">
        <v>102</v>
      </c>
      <c r="F23" s="962" t="s">
        <v>101</v>
      </c>
      <c r="G23" s="962" t="s">
        <v>283</v>
      </c>
      <c r="H23" s="973">
        <v>1.1000000000000001</v>
      </c>
      <c r="I23" s="963">
        <v>1134.30484442694</v>
      </c>
      <c r="J23" s="962">
        <v>1160</v>
      </c>
      <c r="K23" s="963">
        <v>1138.6251673887357</v>
      </c>
      <c r="L23" s="963">
        <v>1247.7353288696338</v>
      </c>
      <c r="M23" s="978">
        <v>109.11016148089799</v>
      </c>
      <c r="N23" s="964">
        <f t="shared" si="2"/>
        <v>8.744655934343433E-2</v>
      </c>
      <c r="O23" s="962"/>
    </row>
    <row r="24" spans="1:16" x14ac:dyDescent="0.35">
      <c r="A24" s="961">
        <v>9</v>
      </c>
      <c r="B24" s="962" t="s">
        <v>519</v>
      </c>
      <c r="C24" s="962" t="s">
        <v>520</v>
      </c>
      <c r="D24" s="961" t="str">
        <f>_xlfn.XLOOKUP(B24,'06. BC BH THEO CUSTOMER-USD'!$D:$D,'06. BC BH THEO CUSTOMER-USD'!$F:$F,0)</f>
        <v>VN</v>
      </c>
      <c r="E24" s="962" t="s">
        <v>536</v>
      </c>
      <c r="F24" s="962" t="s">
        <v>537</v>
      </c>
      <c r="G24" s="962" t="s">
        <v>266</v>
      </c>
      <c r="H24" s="973">
        <v>0.75</v>
      </c>
      <c r="I24" s="963">
        <v>590.78377313903104</v>
      </c>
      <c r="J24" s="962">
        <v>750</v>
      </c>
      <c r="K24" s="963">
        <v>715.40445057109093</v>
      </c>
      <c r="L24" s="963">
        <v>443.08782985427331</v>
      </c>
      <c r="M24" s="978">
        <v>-272.31662071681762</v>
      </c>
      <c r="N24" s="964">
        <f t="shared" si="2"/>
        <v>-0.61458835555555558</v>
      </c>
      <c r="O24" s="962"/>
    </row>
    <row r="25" spans="1:16" x14ac:dyDescent="0.35">
      <c r="A25" s="961">
        <v>10</v>
      </c>
      <c r="B25" s="962" t="s">
        <v>519</v>
      </c>
      <c r="C25" s="962" t="s">
        <v>520</v>
      </c>
      <c r="D25" s="961" t="str">
        <f>_xlfn.XLOOKUP(B25,'06. BC BH THEO CUSTOMER-USD'!$D:$D,'06. BC BH THEO CUSTOMER-USD'!$F:$F,0)</f>
        <v>VN</v>
      </c>
      <c r="E25" s="962" t="s">
        <v>41</v>
      </c>
      <c r="F25" s="962" t="s">
        <v>40</v>
      </c>
      <c r="G25" s="962" t="s">
        <v>266</v>
      </c>
      <c r="H25" s="973">
        <v>0.75</v>
      </c>
      <c r="I25" s="963">
        <v>590.78377313903104</v>
      </c>
      <c r="J25" s="962">
        <v>750</v>
      </c>
      <c r="K25" s="963">
        <v>726.14808979913357</v>
      </c>
      <c r="L25" s="963">
        <v>443.08782985427331</v>
      </c>
      <c r="M25" s="978">
        <v>-283.06025994486021</v>
      </c>
      <c r="N25" s="964">
        <f t="shared" si="2"/>
        <v>-0.6388355555555556</v>
      </c>
      <c r="O25" s="962"/>
    </row>
    <row r="26" spans="1:16" x14ac:dyDescent="0.35">
      <c r="A26" s="961">
        <v>11</v>
      </c>
      <c r="B26" s="962" t="s">
        <v>519</v>
      </c>
      <c r="C26" s="962" t="s">
        <v>520</v>
      </c>
      <c r="D26" s="961" t="str">
        <f>_xlfn.XLOOKUP(B26,'06. BC BH THEO CUSTOMER-USD'!$D:$D,'06. BC BH THEO CUSTOMER-USD'!$F:$F,0)</f>
        <v>VN</v>
      </c>
      <c r="E26" s="962" t="s">
        <v>43</v>
      </c>
      <c r="F26" s="962" t="s">
        <v>42</v>
      </c>
      <c r="G26" s="962" t="s">
        <v>266</v>
      </c>
      <c r="H26" s="973">
        <v>0.75</v>
      </c>
      <c r="I26" s="963">
        <v>590.78377313903104</v>
      </c>
      <c r="J26" s="962">
        <v>750</v>
      </c>
      <c r="K26" s="963">
        <v>737.08680582906652</v>
      </c>
      <c r="L26" s="963">
        <v>443.08782985427331</v>
      </c>
      <c r="M26" s="978">
        <v>-293.99897597479321</v>
      </c>
      <c r="N26" s="964">
        <f t="shared" si="2"/>
        <v>-0.66352302222222226</v>
      </c>
      <c r="O26" s="962"/>
    </row>
    <row r="27" spans="1:16" x14ac:dyDescent="0.35">
      <c r="A27" s="961">
        <v>12</v>
      </c>
      <c r="B27" s="962" t="s">
        <v>521</v>
      </c>
      <c r="C27" s="962" t="s">
        <v>522</v>
      </c>
      <c r="D27" s="961">
        <f>_xlfn.XLOOKUP(B27,'06. BC BH THEO CUSTOMER-USD'!$D:$D,'06. BC BH THEO CUSTOMER-USD'!$F:$F,0)</f>
        <v>0</v>
      </c>
      <c r="E27" s="962" t="s">
        <v>9</v>
      </c>
      <c r="F27" s="962" t="s">
        <v>8</v>
      </c>
      <c r="G27" s="962" t="s">
        <v>23</v>
      </c>
      <c r="H27" s="973">
        <v>0.05</v>
      </c>
      <c r="I27" s="963">
        <v>1061.599054745963</v>
      </c>
      <c r="J27" s="962">
        <v>820</v>
      </c>
      <c r="K27" s="963">
        <v>67.017014572666397</v>
      </c>
      <c r="L27" s="963">
        <v>53.07995273729815</v>
      </c>
      <c r="M27" s="978">
        <v>-13.937061835368254</v>
      </c>
      <c r="N27" s="964">
        <f t="shared" si="2"/>
        <v>-0.2625673369444238</v>
      </c>
      <c r="O27" s="962"/>
    </row>
    <row r="28" spans="1:16" x14ac:dyDescent="0.35">
      <c r="A28" s="961">
        <v>13</v>
      </c>
      <c r="B28" s="962" t="s">
        <v>528</v>
      </c>
      <c r="C28" s="962" t="s">
        <v>529</v>
      </c>
      <c r="D28" s="961" t="str">
        <f>_xlfn.XLOOKUP(B28,'06. BC BH THEO CUSTOMER-USD'!$D:$D,'06. BC BH THEO CUSTOMER-USD'!$F:$F,0)</f>
        <v>Thụy Sĩ</v>
      </c>
      <c r="E28" s="962" t="s">
        <v>100</v>
      </c>
      <c r="F28" s="962" t="s">
        <v>99</v>
      </c>
      <c r="G28" s="962" t="s">
        <v>283</v>
      </c>
      <c r="H28" s="973">
        <v>22</v>
      </c>
      <c r="I28" s="963">
        <v>1246.8550019692793</v>
      </c>
      <c r="J28" s="962">
        <v>1260</v>
      </c>
      <c r="K28" s="963">
        <v>21774.616935801496</v>
      </c>
      <c r="L28" s="963">
        <v>31523.079952737298</v>
      </c>
      <c r="M28" s="978">
        <v>5656.1931075226466</v>
      </c>
      <c r="N28" s="964">
        <f t="shared" si="2"/>
        <v>0.17943021798640879</v>
      </c>
      <c r="O28" s="962"/>
    </row>
    <row r="29" spans="1:16" x14ac:dyDescent="0.35">
      <c r="A29" s="961">
        <v>14</v>
      </c>
      <c r="B29" s="962" t="s">
        <v>530</v>
      </c>
      <c r="C29" s="962" t="s">
        <v>870</v>
      </c>
      <c r="D29" s="961" t="str">
        <f>_xlfn.XLOOKUP(B29,'06. BC BH THEO CUSTOMER-USD'!$D:$D,'06. BC BH THEO CUSTOMER-USD'!$F:$F,0)</f>
        <v>Luxembourg</v>
      </c>
      <c r="E29" s="962" t="s">
        <v>100</v>
      </c>
      <c r="F29" s="962" t="s">
        <v>99</v>
      </c>
      <c r="G29" s="962" t="s">
        <v>283</v>
      </c>
      <c r="H29" s="973">
        <v>440</v>
      </c>
      <c r="I29" s="963">
        <v>1246.6642821977157</v>
      </c>
      <c r="J29" s="962">
        <v>1260</v>
      </c>
      <c r="K29" s="963">
        <v>435492.33871602995</v>
      </c>
      <c r="L29" s="963">
        <v>597339.04371799924</v>
      </c>
      <c r="M29" s="978">
        <v>113039.94545096495</v>
      </c>
      <c r="N29" s="964">
        <f t="shared" si="2"/>
        <v>0.18923917101981791</v>
      </c>
      <c r="O29" s="962"/>
    </row>
    <row r="30" spans="1:16" x14ac:dyDescent="0.35">
      <c r="A30" s="961">
        <v>15</v>
      </c>
      <c r="B30" s="962" t="s">
        <v>532</v>
      </c>
      <c r="C30" s="962" t="s">
        <v>533</v>
      </c>
      <c r="D30" s="961" t="str">
        <f>_xlfn.XLOOKUP(B30,'06. BC BH THEO CUSTOMER-USD'!$D:$D,'06. BC BH THEO CUSTOMER-USD'!$F:$F,0)</f>
        <v>Thụy Sĩ</v>
      </c>
      <c r="E30" s="962" t="s">
        <v>100</v>
      </c>
      <c r="F30" s="962" t="s">
        <v>99</v>
      </c>
      <c r="G30" s="962" t="s">
        <v>283</v>
      </c>
      <c r="H30" s="973">
        <v>220</v>
      </c>
      <c r="I30" s="963">
        <v>1220.0953614522539</v>
      </c>
      <c r="J30" s="962">
        <v>1260</v>
      </c>
      <c r="K30" s="963">
        <v>217746.16935801497</v>
      </c>
      <c r="L30" s="963">
        <v>272066.08901142183</v>
      </c>
      <c r="M30" s="978">
        <v>50674.810161480898</v>
      </c>
      <c r="N30" s="964">
        <f t="shared" si="2"/>
        <v>0.18625919292482451</v>
      </c>
      <c r="O30" s="962"/>
    </row>
    <row r="31" spans="1:16" x14ac:dyDescent="0.35">
      <c r="A31" s="961">
        <v>16</v>
      </c>
      <c r="B31" s="962" t="s">
        <v>534</v>
      </c>
      <c r="C31" s="962" t="s">
        <v>535</v>
      </c>
      <c r="D31" s="961" t="str">
        <f>_xlfn.XLOOKUP(B31,'06. BC BH THEO CUSTOMER-USD'!$D:$D,'06. BC BH THEO CUSTOMER-USD'!$F:$F,0)</f>
        <v>Israel</v>
      </c>
      <c r="E31" s="962" t="s">
        <v>100</v>
      </c>
      <c r="F31" s="962" t="s">
        <v>99</v>
      </c>
      <c r="G31" s="962" t="s">
        <v>283</v>
      </c>
      <c r="H31" s="973">
        <v>66</v>
      </c>
      <c r="I31" s="963">
        <v>1281.162669626553</v>
      </c>
      <c r="J31" s="962">
        <v>1260</v>
      </c>
      <c r="K31" s="963">
        <v>65323.850807404488</v>
      </c>
      <c r="L31" s="963">
        <v>95219.751870815278</v>
      </c>
      <c r="M31" s="978">
        <v>19232.885387948012</v>
      </c>
      <c r="N31" s="964">
        <f t="shared" si="2"/>
        <v>0.20198419981225413</v>
      </c>
      <c r="O31" s="962"/>
    </row>
    <row r="32" spans="1:16" s="971" customFormat="1" x14ac:dyDescent="0.35">
      <c r="A32" s="968"/>
      <c r="B32" s="969" t="str">
        <f>"CỘNG THÁNG "&amp;C13</f>
        <v>CỘNG THÁNG 2</v>
      </c>
      <c r="C32" s="969">
        <f>COUNTA(C16:C31)</f>
        <v>16</v>
      </c>
      <c r="D32" s="969"/>
      <c r="E32" s="969"/>
      <c r="F32" s="969"/>
      <c r="G32" s="969"/>
      <c r="H32" s="982">
        <f>SUM(H16:H31)</f>
        <v>757.02499999999998</v>
      </c>
      <c r="I32" s="980"/>
      <c r="J32" s="982"/>
      <c r="K32" s="980"/>
      <c r="L32" s="980">
        <f>SUM(L16:L31)</f>
        <v>1003012.5549428909</v>
      </c>
      <c r="M32" s="980">
        <f>SUM(M16:M31)</f>
        <v>187039.72343442301</v>
      </c>
      <c r="N32" s="970">
        <f>M32/L32</f>
        <v>0.18647794836932285</v>
      </c>
      <c r="O32" s="969"/>
      <c r="P32" s="946"/>
    </row>
    <row r="33" spans="1:16" s="971" customFormat="1" x14ac:dyDescent="0.35">
      <c r="A33" s="968"/>
      <c r="B33" s="969" t="s">
        <v>817</v>
      </c>
      <c r="C33" s="969">
        <f>C32+C11</f>
        <v>20</v>
      </c>
      <c r="D33" s="969"/>
      <c r="E33" s="969"/>
      <c r="F33" s="969"/>
      <c r="G33" s="969"/>
      <c r="H33" s="982">
        <f>H32+H11</f>
        <v>811.52499999999998</v>
      </c>
      <c r="I33" s="980"/>
      <c r="J33" s="982"/>
      <c r="K33" s="980"/>
      <c r="L33" s="980">
        <f>L32+L11</f>
        <v>1080526.293842931</v>
      </c>
      <c r="M33" s="980">
        <f>M32+M11</f>
        <v>199436.32415702438</v>
      </c>
      <c r="N33" s="970">
        <f>M33/L33</f>
        <v>0.18457331884791239</v>
      </c>
      <c r="O33" s="969"/>
      <c r="P33" s="946"/>
    </row>
    <row r="34" spans="1:16" ht="14" customHeight="1" x14ac:dyDescent="0.35"/>
    <row r="35" spans="1:16" ht="18.5" x14ac:dyDescent="0.45">
      <c r="B35" s="951" t="s">
        <v>437</v>
      </c>
      <c r="C35" s="952">
        <v>3</v>
      </c>
      <c r="D35" s="952"/>
    </row>
    <row r="37" spans="1:16" s="956" customFormat="1" ht="43.5" x14ac:dyDescent="0.35">
      <c r="A37" s="953" t="s">
        <v>174</v>
      </c>
      <c r="B37" s="953" t="s">
        <v>564</v>
      </c>
      <c r="C37" s="953" t="s">
        <v>481</v>
      </c>
      <c r="D37" s="953" t="s">
        <v>172</v>
      </c>
      <c r="E37" s="953" t="s">
        <v>422</v>
      </c>
      <c r="F37" s="953" t="s">
        <v>423</v>
      </c>
      <c r="G37" s="953" t="s">
        <v>411</v>
      </c>
      <c r="H37" s="953" t="s">
        <v>424</v>
      </c>
      <c r="I37" s="954" t="s">
        <v>482</v>
      </c>
      <c r="J37" s="953" t="s">
        <v>483</v>
      </c>
      <c r="K37" s="954" t="s">
        <v>484</v>
      </c>
      <c r="L37" s="954" t="s">
        <v>427</v>
      </c>
      <c r="M37" s="976" t="s">
        <v>429</v>
      </c>
      <c r="N37" s="955" t="s">
        <v>425</v>
      </c>
      <c r="O37" s="953" t="s">
        <v>294</v>
      </c>
      <c r="P37" s="946"/>
    </row>
    <row r="38" spans="1:16" x14ac:dyDescent="0.35">
      <c r="A38" s="957">
        <v>1</v>
      </c>
      <c r="B38" s="958" t="s">
        <v>629</v>
      </c>
      <c r="C38" s="958" t="s">
        <v>630</v>
      </c>
      <c r="D38" s="961" t="str">
        <f>_xlfn.XLOOKUP(B38,'06. BC BH THEO CUSTOMER-USD'!$D:$D,'06. BC BH THEO CUSTOMER-USD'!$F:$F,0)</f>
        <v>Canada</v>
      </c>
      <c r="E38" s="958" t="s">
        <v>645</v>
      </c>
      <c r="F38" s="958" t="s">
        <v>646</v>
      </c>
      <c r="G38" s="958" t="s">
        <v>283</v>
      </c>
      <c r="H38" s="973">
        <v>1.1000000000000001</v>
      </c>
      <c r="I38" s="959">
        <v>966.16649964209023</v>
      </c>
      <c r="J38" s="959">
        <v>1230</v>
      </c>
      <c r="K38" s="959">
        <v>1099.597125984252</v>
      </c>
      <c r="L38" s="959">
        <v>1301.0661417322835</v>
      </c>
      <c r="M38" s="977">
        <v>-36.813976377952756</v>
      </c>
      <c r="N38" s="960">
        <f t="shared" ref="N38:N54" si="3">M38/L38</f>
        <v>-2.8295238187458618E-2</v>
      </c>
      <c r="O38" s="958"/>
    </row>
    <row r="39" spans="1:16" x14ac:dyDescent="0.35">
      <c r="A39" s="961">
        <v>2</v>
      </c>
      <c r="B39" s="962" t="s">
        <v>631</v>
      </c>
      <c r="C39" s="962" t="s">
        <v>632</v>
      </c>
      <c r="D39" s="961" t="str">
        <f>_xlfn.XLOOKUP(B39,'06. BC BH THEO CUSTOMER-USD'!$D:$D,'06. BC BH THEO CUSTOMER-USD'!$F:$F,0)</f>
        <v>Hy Lạp</v>
      </c>
      <c r="E39" s="962" t="s">
        <v>127</v>
      </c>
      <c r="F39" s="962" t="s">
        <v>114</v>
      </c>
      <c r="G39" s="962" t="s">
        <v>283</v>
      </c>
      <c r="H39" s="962">
        <v>1.1000000000000001</v>
      </c>
      <c r="I39" s="963">
        <v>1315.7224319971367</v>
      </c>
      <c r="J39" s="963">
        <v>1320</v>
      </c>
      <c r="K39" s="963">
        <v>1142.4379527559056</v>
      </c>
      <c r="L39" s="963">
        <v>1477.4818897637795</v>
      </c>
      <c r="M39" s="978">
        <v>304.85672244094491</v>
      </c>
      <c r="N39" s="964">
        <f t="shared" si="3"/>
        <v>0.20633533619128527</v>
      </c>
      <c r="O39" s="962"/>
    </row>
    <row r="40" spans="1:16" x14ac:dyDescent="0.35">
      <c r="A40" s="961"/>
      <c r="B40" s="962" t="s">
        <v>631</v>
      </c>
      <c r="C40" s="962" t="s">
        <v>632</v>
      </c>
      <c r="D40" s="961" t="str">
        <f>_xlfn.XLOOKUP(B40,'06. BC BH THEO CUSTOMER-USD'!$D:$D,'06. BC BH THEO CUSTOMER-USD'!$F:$F,0)</f>
        <v>Hy Lạp</v>
      </c>
      <c r="E40" s="962" t="s">
        <v>110</v>
      </c>
      <c r="F40" s="962" t="s">
        <v>109</v>
      </c>
      <c r="G40" s="962" t="s">
        <v>283</v>
      </c>
      <c r="H40" s="962">
        <v>11</v>
      </c>
      <c r="I40" s="963">
        <v>1225.5098335719399</v>
      </c>
      <c r="J40" s="963">
        <v>1230</v>
      </c>
      <c r="K40" s="963">
        <v>11362.701889763779</v>
      </c>
      <c r="L40" s="963">
        <v>13782.48031496063</v>
      </c>
      <c r="M40" s="978">
        <v>2117.906279527559</v>
      </c>
      <c r="N40" s="964">
        <f t="shared" si="3"/>
        <v>0.15366655573805613</v>
      </c>
      <c r="O40" s="962"/>
    </row>
    <row r="41" spans="1:16" x14ac:dyDescent="0.35">
      <c r="A41" s="961"/>
      <c r="B41" s="962" t="s">
        <v>631</v>
      </c>
      <c r="C41" s="962" t="s">
        <v>632</v>
      </c>
      <c r="D41" s="961" t="str">
        <f>_xlfn.XLOOKUP(B41,'06. BC BH THEO CUSTOMER-USD'!$D:$D,'06. BC BH THEO CUSTOMER-USD'!$F:$F,0)</f>
        <v>Hy Lạp</v>
      </c>
      <c r="E41" s="962" t="s">
        <v>100</v>
      </c>
      <c r="F41" s="962" t="s">
        <v>99</v>
      </c>
      <c r="G41" s="962" t="s">
        <v>283</v>
      </c>
      <c r="H41" s="962">
        <v>9.9</v>
      </c>
      <c r="I41" s="963">
        <v>1265.6043217609163</v>
      </c>
      <c r="J41" s="963">
        <v>1260</v>
      </c>
      <c r="K41" s="963">
        <v>9877.0081102362201</v>
      </c>
      <c r="L41" s="963">
        <v>12801.167716535432</v>
      </c>
      <c r="M41" s="978">
        <v>2652.4746751968505</v>
      </c>
      <c r="N41" s="964">
        <f t="shared" si="3"/>
        <v>0.20720568107006482</v>
      </c>
      <c r="O41" s="962"/>
    </row>
    <row r="42" spans="1:16" x14ac:dyDescent="0.35">
      <c r="A42" s="961"/>
      <c r="B42" s="962" t="s">
        <v>633</v>
      </c>
      <c r="C42" s="962" t="s">
        <v>634</v>
      </c>
      <c r="D42" s="961" t="str">
        <f>_xlfn.XLOOKUP(B42,'06. BC BH THEO CUSTOMER-USD'!$D:$D,'06. BC BH THEO CUSTOMER-USD'!$F:$F,0)</f>
        <v>VN</v>
      </c>
      <c r="E42" s="962" t="s">
        <v>52</v>
      </c>
      <c r="F42" s="962" t="s">
        <v>51</v>
      </c>
      <c r="G42" s="962" t="s">
        <v>265</v>
      </c>
      <c r="H42" s="962">
        <v>0.1</v>
      </c>
      <c r="I42" s="963">
        <v>669.29133858267721</v>
      </c>
      <c r="J42" s="963">
        <v>950</v>
      </c>
      <c r="K42" s="963">
        <v>91.477598425196845</v>
      </c>
      <c r="L42" s="963">
        <v>66.929133858267718</v>
      </c>
      <c r="M42" s="978">
        <v>-24.548464566929134</v>
      </c>
      <c r="N42" s="964">
        <f t="shared" si="3"/>
        <v>-0.36678294117647059</v>
      </c>
      <c r="O42" s="962"/>
    </row>
    <row r="43" spans="1:16" x14ac:dyDescent="0.35">
      <c r="A43" s="961"/>
      <c r="B43" s="962" t="s">
        <v>637</v>
      </c>
      <c r="C43" s="962" t="s">
        <v>638</v>
      </c>
      <c r="D43" s="961" t="str">
        <f>_xlfn.XLOOKUP(B43,'06. BC BH THEO CUSTOMER-USD'!$D:$D,'06. BC BH THEO CUSTOMER-USD'!$F:$F,0)</f>
        <v>VN</v>
      </c>
      <c r="E43" s="962" t="s">
        <v>37</v>
      </c>
      <c r="F43" s="962" t="s">
        <v>36</v>
      </c>
      <c r="G43" s="962" t="s">
        <v>266</v>
      </c>
      <c r="H43" s="962">
        <v>0.05</v>
      </c>
      <c r="I43" s="963">
        <v>635.02519685039374</v>
      </c>
      <c r="J43" s="963">
        <v>750</v>
      </c>
      <c r="K43" s="963">
        <v>60.115984251968506</v>
      </c>
      <c r="L43" s="963">
        <v>33.719763779527561</v>
      </c>
      <c r="M43" s="978">
        <v>-28.364724409448819</v>
      </c>
      <c r="N43" s="964">
        <f t="shared" si="3"/>
        <v>-0.84118989073909312</v>
      </c>
      <c r="O43" s="962"/>
    </row>
    <row r="44" spans="1:16" x14ac:dyDescent="0.35">
      <c r="A44" s="961"/>
      <c r="B44" s="962" t="s">
        <v>637</v>
      </c>
      <c r="C44" s="962" t="s">
        <v>638</v>
      </c>
      <c r="D44" s="961" t="str">
        <f>_xlfn.XLOOKUP(B44,'06. BC BH THEO CUSTOMER-USD'!$D:$D,'06. BC BH THEO CUSTOMER-USD'!$F:$F,0)</f>
        <v>VN</v>
      </c>
      <c r="E44" s="962" t="s">
        <v>536</v>
      </c>
      <c r="F44" s="962" t="s">
        <v>537</v>
      </c>
      <c r="G44" s="962" t="s">
        <v>266</v>
      </c>
      <c r="H44" s="962">
        <v>0.05</v>
      </c>
      <c r="I44" s="963">
        <v>635.02519685039374</v>
      </c>
      <c r="J44" s="963">
        <v>750</v>
      </c>
      <c r="K44" s="963">
        <v>47.14716535433071</v>
      </c>
      <c r="L44" s="963">
        <v>33.719763779527561</v>
      </c>
      <c r="M44" s="978">
        <v>-15.395905511811023</v>
      </c>
      <c r="N44" s="964">
        <f t="shared" si="3"/>
        <v>-0.45658402628426514</v>
      </c>
      <c r="O44" s="962"/>
    </row>
    <row r="45" spans="1:16" x14ac:dyDescent="0.35">
      <c r="A45" s="961"/>
      <c r="B45" s="962" t="s">
        <v>637</v>
      </c>
      <c r="C45" s="962" t="s">
        <v>638</v>
      </c>
      <c r="D45" s="961" t="str">
        <f>_xlfn.XLOOKUP(B45,'06. BC BH THEO CUSTOMER-USD'!$D:$D,'06. BC BH THEO CUSTOMER-USD'!$F:$F,0)</f>
        <v>VN</v>
      </c>
      <c r="E45" s="962" t="s">
        <v>39</v>
      </c>
      <c r="F45" s="962" t="s">
        <v>38</v>
      </c>
      <c r="G45" s="962" t="s">
        <v>266</v>
      </c>
      <c r="H45" s="962">
        <v>0.05</v>
      </c>
      <c r="I45" s="963">
        <v>635.02519685039374</v>
      </c>
      <c r="J45" s="963">
        <v>750</v>
      </c>
      <c r="K45" s="963">
        <v>49.050236220472442</v>
      </c>
      <c r="L45" s="963">
        <v>33.719763779527561</v>
      </c>
      <c r="M45" s="978">
        <v>-17.298976377952755</v>
      </c>
      <c r="N45" s="964">
        <f t="shared" si="3"/>
        <v>-0.51302187319756865</v>
      </c>
      <c r="O45" s="962"/>
    </row>
    <row r="46" spans="1:16" x14ac:dyDescent="0.35">
      <c r="A46" s="961"/>
      <c r="B46" s="962" t="s">
        <v>637</v>
      </c>
      <c r="C46" s="962" t="s">
        <v>638</v>
      </c>
      <c r="D46" s="961" t="str">
        <f>_xlfn.XLOOKUP(B46,'06. BC BH THEO CUSTOMER-USD'!$D:$D,'06. BC BH THEO CUSTOMER-USD'!$F:$F,0)</f>
        <v>VN</v>
      </c>
      <c r="E46" s="962" t="s">
        <v>41</v>
      </c>
      <c r="F46" s="962" t="s">
        <v>40</v>
      </c>
      <c r="G46" s="962" t="s">
        <v>266</v>
      </c>
      <c r="H46" s="962">
        <v>0.05</v>
      </c>
      <c r="I46" s="963">
        <v>635.02519685039374</v>
      </c>
      <c r="J46" s="963">
        <v>750</v>
      </c>
      <c r="K46" s="963">
        <v>48.4546062992126</v>
      </c>
      <c r="L46" s="963">
        <v>33.719763779527561</v>
      </c>
      <c r="M46" s="978">
        <v>-16.703346456692913</v>
      </c>
      <c r="N46" s="964">
        <f t="shared" si="3"/>
        <v>-0.49535775416179201</v>
      </c>
      <c r="O46" s="962"/>
    </row>
    <row r="47" spans="1:16" x14ac:dyDescent="0.35">
      <c r="A47" s="961"/>
      <c r="B47" s="962" t="s">
        <v>637</v>
      </c>
      <c r="C47" s="962" t="s">
        <v>638</v>
      </c>
      <c r="D47" s="961" t="str">
        <f>_xlfn.XLOOKUP(B47,'06. BC BH THEO CUSTOMER-USD'!$D:$D,'06. BC BH THEO CUSTOMER-USD'!$F:$F,0)</f>
        <v>VN</v>
      </c>
      <c r="E47" s="962" t="s">
        <v>43</v>
      </c>
      <c r="F47" s="962" t="s">
        <v>42</v>
      </c>
      <c r="G47" s="962" t="s">
        <v>266</v>
      </c>
      <c r="H47" s="962">
        <v>10.55</v>
      </c>
      <c r="I47" s="963">
        <v>635.02519685039374</v>
      </c>
      <c r="J47" s="963">
        <v>750</v>
      </c>
      <c r="K47" s="963">
        <v>49.192795275590548</v>
      </c>
      <c r="L47" s="963">
        <v>33.719763779527561</v>
      </c>
      <c r="M47" s="978">
        <v>-17.441535433070865</v>
      </c>
      <c r="N47" s="964">
        <f t="shared" si="3"/>
        <v>-0.51724963280022218</v>
      </c>
      <c r="O47" s="962"/>
    </row>
    <row r="48" spans="1:16" x14ac:dyDescent="0.35">
      <c r="A48" s="961"/>
      <c r="B48" s="962" t="s">
        <v>637</v>
      </c>
      <c r="C48" s="962" t="s">
        <v>638</v>
      </c>
      <c r="D48" s="961" t="str">
        <f>_xlfn.XLOOKUP(B48,'06. BC BH THEO CUSTOMER-USD'!$D:$D,'06. BC BH THEO CUSTOMER-USD'!$F:$F,0)</f>
        <v>VN</v>
      </c>
      <c r="E48" s="962" t="s">
        <v>43</v>
      </c>
      <c r="F48" s="962" t="s">
        <v>42</v>
      </c>
      <c r="G48" s="962" t="s">
        <v>266</v>
      </c>
      <c r="H48" s="962">
        <v>10.55</v>
      </c>
      <c r="I48" s="963">
        <v>637.94109028038167</v>
      </c>
      <c r="J48" s="963">
        <v>750</v>
      </c>
      <c r="K48" s="963">
        <v>10330.483818897637</v>
      </c>
      <c r="L48" s="963">
        <v>7081.1461023622051</v>
      </c>
      <c r="M48" s="978">
        <v>-3632.1023709536303</v>
      </c>
      <c r="N48" s="964">
        <f t="shared" si="3"/>
        <v>-0.51292577761416258</v>
      </c>
      <c r="O48" s="962"/>
    </row>
    <row r="49" spans="1:16" x14ac:dyDescent="0.35">
      <c r="A49" s="961"/>
      <c r="B49" s="962" t="s">
        <v>637</v>
      </c>
      <c r="C49" s="962" t="s">
        <v>638</v>
      </c>
      <c r="D49" s="961" t="str">
        <f>_xlfn.XLOOKUP(B49,'06. BC BH THEO CUSTOMER-USD'!$D:$D,'06. BC BH THEO CUSTOMER-USD'!$F:$F,0)</f>
        <v>VN</v>
      </c>
      <c r="E49" s="962" t="s">
        <v>653</v>
      </c>
      <c r="F49" s="962" t="s">
        <v>654</v>
      </c>
      <c r="G49" s="962" t="s">
        <v>266</v>
      </c>
      <c r="H49" s="962">
        <v>0.05</v>
      </c>
      <c r="I49" s="963">
        <v>616.79606299212594</v>
      </c>
      <c r="J49" s="963">
        <v>750</v>
      </c>
      <c r="K49" s="963">
        <v>33.921850393700787</v>
      </c>
      <c r="L49" s="963">
        <v>32.808307086614171</v>
      </c>
      <c r="M49" s="978">
        <v>-3.0820472440944884</v>
      </c>
      <c r="N49" s="964">
        <f t="shared" si="3"/>
        <v>-9.3941063034976513E-2</v>
      </c>
      <c r="O49" s="962"/>
    </row>
    <row r="50" spans="1:16" x14ac:dyDescent="0.35">
      <c r="A50" s="961"/>
      <c r="B50" s="962" t="s">
        <v>519</v>
      </c>
      <c r="C50" s="962" t="s">
        <v>520</v>
      </c>
      <c r="D50" s="961" t="str">
        <f>_xlfn.XLOOKUP(B50,'06. BC BH THEO CUSTOMER-USD'!$D:$D,'06. BC BH THEO CUSTOMER-USD'!$F:$F,0)</f>
        <v>VN</v>
      </c>
      <c r="E50" s="962" t="s">
        <v>41</v>
      </c>
      <c r="F50" s="962" t="s">
        <v>40</v>
      </c>
      <c r="G50" s="962" t="s">
        <v>266</v>
      </c>
      <c r="H50" s="962">
        <v>24</v>
      </c>
      <c r="I50" s="963">
        <v>1298.4756621331426</v>
      </c>
      <c r="J50" s="963">
        <v>1260</v>
      </c>
      <c r="K50" s="963">
        <v>65846.720787401573</v>
      </c>
      <c r="L50" s="963">
        <v>95634</v>
      </c>
      <c r="M50" s="978">
        <v>19852.672913385799</v>
      </c>
      <c r="N50" s="964">
        <f t="shared" si="3"/>
        <v>0.20759011348877804</v>
      </c>
      <c r="O50" s="962"/>
    </row>
    <row r="51" spans="1:16" x14ac:dyDescent="0.35">
      <c r="A51" s="961"/>
      <c r="B51" s="962" t="s">
        <v>639</v>
      </c>
      <c r="C51" s="962" t="s">
        <v>640</v>
      </c>
      <c r="D51" s="961" t="str">
        <f>_xlfn.XLOOKUP(B51,'06. BC BH THEO CUSTOMER-USD'!$D:$D,'06. BC BH THEO CUSTOMER-USD'!$F:$F,0)</f>
        <v>VN</v>
      </c>
      <c r="E51" s="962" t="s">
        <v>110</v>
      </c>
      <c r="F51" s="962" t="s">
        <v>109</v>
      </c>
      <c r="G51" s="962" t="s">
        <v>283</v>
      </c>
      <c r="H51" s="962">
        <v>11</v>
      </c>
      <c r="I51" s="963">
        <v>1388.9574226517138</v>
      </c>
      <c r="J51" s="963">
        <v>1350</v>
      </c>
      <c r="K51" s="963">
        <v>110692.06503937008</v>
      </c>
      <c r="L51" s="963">
        <v>147015</v>
      </c>
      <c r="M51" s="978">
        <v>26814.719803149605</v>
      </c>
      <c r="N51" s="964">
        <f t="shared" si="3"/>
        <v>0.182394448206983</v>
      </c>
      <c r="O51" s="962"/>
    </row>
    <row r="52" spans="1:16" x14ac:dyDescent="0.35">
      <c r="A52" s="961"/>
      <c r="B52" s="962" t="s">
        <v>643</v>
      </c>
      <c r="C52" s="962" t="s">
        <v>644</v>
      </c>
      <c r="D52" s="961" t="str">
        <f>_xlfn.XLOOKUP(B52,'06. BC BH THEO CUSTOMER-USD'!$D:$D,'06. BC BH THEO CUSTOMER-USD'!$F:$F,0)</f>
        <v>VN</v>
      </c>
      <c r="E52" s="962" t="s">
        <v>39</v>
      </c>
      <c r="F52" s="962" t="s">
        <v>38</v>
      </c>
      <c r="G52" s="962" t="s">
        <v>266</v>
      </c>
      <c r="H52" s="962">
        <v>10</v>
      </c>
      <c r="I52" s="963">
        <v>590.55118110236231</v>
      </c>
      <c r="J52" s="963">
        <v>750</v>
      </c>
      <c r="K52" s="963">
        <v>23258.211338582678</v>
      </c>
      <c r="L52" s="963">
        <v>14173.228346456694</v>
      </c>
      <c r="M52" s="978">
        <v>-9084.9829921259843</v>
      </c>
      <c r="N52" s="964">
        <f t="shared" si="3"/>
        <v>-0.64099602222222218</v>
      </c>
      <c r="O52" s="962"/>
    </row>
    <row r="53" spans="1:16" x14ac:dyDescent="0.35">
      <c r="A53" s="961"/>
      <c r="B53" s="962" t="s">
        <v>643</v>
      </c>
      <c r="C53" s="962" t="s">
        <v>644</v>
      </c>
      <c r="D53" s="961" t="str">
        <f>_xlfn.XLOOKUP(B53,'06. BC BH THEO CUSTOMER-USD'!$D:$D,'06. BC BH THEO CUSTOMER-USD'!$F:$F,0)</f>
        <v>VN</v>
      </c>
      <c r="E53" s="962" t="s">
        <v>43</v>
      </c>
      <c r="F53" s="962" t="s">
        <v>42</v>
      </c>
      <c r="G53" s="962" t="s">
        <v>266</v>
      </c>
      <c r="H53" s="962">
        <v>10</v>
      </c>
      <c r="I53" s="963">
        <v>1131.5896456692913</v>
      </c>
      <c r="J53" s="963">
        <v>1230</v>
      </c>
      <c r="K53" s="963">
        <v>11362.701889763779</v>
      </c>
      <c r="L53" s="963">
        <v>14341.92125984252</v>
      </c>
      <c r="M53" s="978">
        <v>1084.7842125984253</v>
      </c>
      <c r="N53" s="964">
        <f t="shared" si="3"/>
        <v>7.5637300815186367E-2</v>
      </c>
      <c r="O53" s="962"/>
    </row>
    <row r="54" spans="1:16" x14ac:dyDescent="0.35">
      <c r="A54" s="961"/>
      <c r="B54" s="962" t="s">
        <v>517</v>
      </c>
      <c r="C54" s="962" t="s">
        <v>518</v>
      </c>
      <c r="D54" s="961" t="str">
        <f>_xlfn.XLOOKUP(B54,'06. BC BH THEO CUSTOMER-USD'!$D:$D,'06. BC BH THEO CUSTOMER-USD'!$F:$F,0)</f>
        <v>VN</v>
      </c>
      <c r="E54" s="962" t="s">
        <v>100</v>
      </c>
      <c r="F54" s="962" t="s">
        <v>99</v>
      </c>
      <c r="G54" s="962" t="s">
        <v>283</v>
      </c>
      <c r="H54" s="962">
        <v>5.5</v>
      </c>
      <c r="I54" s="963">
        <v>574.80314960629914</v>
      </c>
      <c r="J54" s="963">
        <v>750</v>
      </c>
      <c r="K54" s="963">
        <v>9810.0494488188979</v>
      </c>
      <c r="L54" s="963">
        <v>5748.0314960629921</v>
      </c>
      <c r="M54" s="978">
        <v>-4062.0179527559053</v>
      </c>
      <c r="N54" s="964">
        <f t="shared" si="3"/>
        <v>-0.70667983561643832</v>
      </c>
      <c r="O54" s="962"/>
    </row>
    <row r="55" spans="1:16" s="971" customFormat="1" x14ac:dyDescent="0.35">
      <c r="A55" s="968"/>
      <c r="B55" s="969" t="str">
        <f>"CỘNG THÁNG "&amp;C35</f>
        <v>CỘNG THÁNG 3</v>
      </c>
      <c r="C55" s="969">
        <f>COUNTA(C38:C54)</f>
        <v>17</v>
      </c>
      <c r="D55" s="969"/>
      <c r="E55" s="969"/>
      <c r="F55" s="969"/>
      <c r="G55" s="969"/>
      <c r="H55" s="982">
        <f>SUM(H38:H54)</f>
        <v>105.05</v>
      </c>
      <c r="I55" s="980"/>
      <c r="J55" s="982"/>
      <c r="K55" s="980"/>
      <c r="L55" s="980">
        <v>5748.0314960629921</v>
      </c>
      <c r="M55" s="980">
        <v>-4090.5245275590551</v>
      </c>
      <c r="N55" s="970">
        <f>M55/L55</f>
        <v>-0.71163919863013703</v>
      </c>
      <c r="O55" s="969"/>
      <c r="P55" s="946"/>
    </row>
    <row r="56" spans="1:16" s="971" customFormat="1" x14ac:dyDescent="0.35">
      <c r="A56" s="968"/>
      <c r="B56" s="969" t="s">
        <v>817</v>
      </c>
      <c r="C56" s="969">
        <f>C55+C33</f>
        <v>37</v>
      </c>
      <c r="D56" s="969"/>
      <c r="E56" s="969"/>
      <c r="F56" s="969"/>
      <c r="G56" s="969"/>
      <c r="H56" s="982">
        <f>H55+H33</f>
        <v>916.57499999999993</v>
      </c>
      <c r="I56" s="980"/>
      <c r="J56" s="982"/>
      <c r="K56" s="980"/>
      <c r="L56" s="980">
        <v>7139.4157480314962</v>
      </c>
      <c r="M56" s="980">
        <v>1627.1890157480316</v>
      </c>
      <c r="N56" s="970">
        <f>M56/L56</f>
        <v>0.22791627118741273</v>
      </c>
      <c r="O56" s="969"/>
      <c r="P56" s="946"/>
    </row>
    <row r="58" spans="1:16" ht="18.5" x14ac:dyDescent="0.45">
      <c r="B58" s="951" t="s">
        <v>437</v>
      </c>
      <c r="C58" s="952">
        <v>4</v>
      </c>
      <c r="D58" s="952"/>
    </row>
    <row r="60" spans="1:16" s="956" customFormat="1" ht="43.5" x14ac:dyDescent="0.35">
      <c r="A60" s="953" t="s">
        <v>174</v>
      </c>
      <c r="B60" s="953" t="s">
        <v>564</v>
      </c>
      <c r="C60" s="953" t="s">
        <v>481</v>
      </c>
      <c r="D60" s="953" t="s">
        <v>172</v>
      </c>
      <c r="E60" s="953" t="s">
        <v>422</v>
      </c>
      <c r="F60" s="953" t="s">
        <v>423</v>
      </c>
      <c r="G60" s="953" t="s">
        <v>411</v>
      </c>
      <c r="H60" s="953" t="s">
        <v>424</v>
      </c>
      <c r="I60" s="954" t="s">
        <v>482</v>
      </c>
      <c r="J60" s="953" t="s">
        <v>483</v>
      </c>
      <c r="K60" s="954" t="s">
        <v>484</v>
      </c>
      <c r="L60" s="954" t="s">
        <v>427</v>
      </c>
      <c r="M60" s="976" t="s">
        <v>429</v>
      </c>
      <c r="N60" s="955" t="s">
        <v>425</v>
      </c>
      <c r="O60" s="953" t="s">
        <v>294</v>
      </c>
      <c r="P60" s="946"/>
    </row>
    <row r="61" spans="1:16" x14ac:dyDescent="0.35">
      <c r="A61" s="961">
        <v>1</v>
      </c>
      <c r="B61" s="962" t="s">
        <v>712</v>
      </c>
      <c r="C61" s="962" t="s">
        <v>713</v>
      </c>
      <c r="D61" s="961" t="str">
        <f>_xlfn.XLOOKUP(B61,'06. BC BH THEO CUSTOMER-USD'!$D:$D,'06. BC BH THEO CUSTOMER-USD'!$F:$F,0)</f>
        <v>VN</v>
      </c>
      <c r="E61" s="962" t="s">
        <v>218</v>
      </c>
      <c r="F61" s="962" t="s">
        <v>228</v>
      </c>
      <c r="G61" s="962" t="s">
        <v>95</v>
      </c>
      <c r="H61" s="973">
        <v>1</v>
      </c>
      <c r="I61" s="963">
        <v>1006.1130468447541</v>
      </c>
      <c r="J61" s="963">
        <v>1120</v>
      </c>
      <c r="K61" s="963">
        <v>944.75090979481229</v>
      </c>
      <c r="L61" s="963">
        <v>1130</v>
      </c>
      <c r="M61" s="978">
        <v>61.362137049941929</v>
      </c>
      <c r="N61" s="964">
        <f t="shared" ref="N61:N71" si="4">M61/L61</f>
        <v>5.4302776150391086E-2</v>
      </c>
      <c r="O61" s="962"/>
    </row>
    <row r="62" spans="1:16" x14ac:dyDescent="0.35">
      <c r="A62" s="961">
        <f>A61+1</f>
        <v>2</v>
      </c>
      <c r="B62" s="962" t="s">
        <v>714</v>
      </c>
      <c r="C62" s="962" t="s">
        <v>715</v>
      </c>
      <c r="D62" s="961" t="str">
        <f>_xlfn.XLOOKUP(B62,'06. BC BH THEO CUSTOMER-USD'!$D:$D,'06. BC BH THEO CUSTOMER-USD'!$F:$F,0)</f>
        <v>VN</v>
      </c>
      <c r="E62" s="962" t="s">
        <v>39</v>
      </c>
      <c r="F62" s="962" t="s">
        <v>38</v>
      </c>
      <c r="G62" s="962" t="s">
        <v>266</v>
      </c>
      <c r="H62" s="973">
        <v>0.75</v>
      </c>
      <c r="I62" s="963">
        <v>609.39765130984642</v>
      </c>
      <c r="J62" s="963">
        <v>750</v>
      </c>
      <c r="K62" s="963">
        <v>728.54653503677889</v>
      </c>
      <c r="L62" s="963">
        <v>457.04823848238482</v>
      </c>
      <c r="M62" s="978">
        <v>-271.49829655439413</v>
      </c>
      <c r="N62" s="964">
        <f t="shared" si="4"/>
        <v>-0.59402547410727635</v>
      </c>
      <c r="O62" s="962"/>
    </row>
    <row r="63" spans="1:16" x14ac:dyDescent="0.35">
      <c r="A63" s="961">
        <f t="shared" ref="A63:A71" si="5">A62+1</f>
        <v>3</v>
      </c>
      <c r="B63" s="962" t="s">
        <v>714</v>
      </c>
      <c r="C63" s="962" t="s">
        <v>715</v>
      </c>
      <c r="D63" s="961" t="str">
        <f>_xlfn.XLOOKUP(B63,'06. BC BH THEO CUSTOMER-USD'!$D:$D,'06. BC BH THEO CUSTOMER-USD'!$F:$F,0)</f>
        <v>VN</v>
      </c>
      <c r="E63" s="962" t="s">
        <v>41</v>
      </c>
      <c r="F63" s="962" t="s">
        <v>40</v>
      </c>
      <c r="G63" s="962" t="s">
        <v>266</v>
      </c>
      <c r="H63" s="973">
        <v>0.75</v>
      </c>
      <c r="I63" s="963">
        <v>609.39765130984642</v>
      </c>
      <c r="J63" s="963">
        <v>750</v>
      </c>
      <c r="K63" s="963">
        <v>722.82427409988384</v>
      </c>
      <c r="L63" s="963">
        <v>457.04823848238482</v>
      </c>
      <c r="M63" s="978">
        <v>-265.77603561749902</v>
      </c>
      <c r="N63" s="964">
        <f t="shared" si="4"/>
        <v>-0.58150543693155998</v>
      </c>
      <c r="O63" s="962"/>
    </row>
    <row r="64" spans="1:16" x14ac:dyDescent="0.35">
      <c r="A64" s="961">
        <f t="shared" si="5"/>
        <v>4</v>
      </c>
      <c r="B64" s="962" t="s">
        <v>716</v>
      </c>
      <c r="C64" s="962" t="s">
        <v>717</v>
      </c>
      <c r="D64" s="961" t="str">
        <f>_xlfn.XLOOKUP(B64,'06. BC BH THEO CUSTOMER-USD'!$D:$D,'06. BC BH THEO CUSTOMER-USD'!$F:$F,0)</f>
        <v>VN</v>
      </c>
      <c r="E64" s="962" t="s">
        <v>11</v>
      </c>
      <c r="F64" s="962" t="s">
        <v>10</v>
      </c>
      <c r="G64" s="962" t="s">
        <v>23</v>
      </c>
      <c r="H64" s="983">
        <v>0.1</v>
      </c>
      <c r="I64" s="963">
        <v>737.99457994579939</v>
      </c>
      <c r="J64" s="963">
        <v>835</v>
      </c>
      <c r="K64" s="963">
        <v>82.953813395276811</v>
      </c>
      <c r="L64" s="963">
        <v>73.799457994579939</v>
      </c>
      <c r="M64" s="978">
        <v>-9.1543554006968648</v>
      </c>
      <c r="N64" s="964">
        <f t="shared" si="4"/>
        <v>-0.12404366711431931</v>
      </c>
      <c r="O64" s="962"/>
    </row>
    <row r="65" spans="1:16" x14ac:dyDescent="0.35">
      <c r="A65" s="961">
        <f t="shared" si="5"/>
        <v>5</v>
      </c>
      <c r="B65" s="962" t="s">
        <v>716</v>
      </c>
      <c r="C65" s="962" t="s">
        <v>717</v>
      </c>
      <c r="D65" s="961" t="str">
        <f>_xlfn.XLOOKUP(B65,'06. BC BH THEO CUSTOMER-USD'!$D:$D,'06. BC BH THEO CUSTOMER-USD'!$F:$F,0)</f>
        <v>VN</v>
      </c>
      <c r="E65" s="962" t="s">
        <v>19</v>
      </c>
      <c r="F65" s="962" t="s">
        <v>18</v>
      </c>
      <c r="G65" s="962" t="s">
        <v>23</v>
      </c>
      <c r="H65" s="983">
        <v>0.1</v>
      </c>
      <c r="I65" s="963">
        <v>782.8726287262873</v>
      </c>
      <c r="J65" s="963">
        <v>835</v>
      </c>
      <c r="K65" s="963">
        <v>78.913124274099886</v>
      </c>
      <c r="L65" s="963">
        <v>78.28726287262873</v>
      </c>
      <c r="M65" s="978">
        <v>-0.62586140147115754</v>
      </c>
      <c r="N65" s="964">
        <f t="shared" si="4"/>
        <v>-7.9944218063852501E-3</v>
      </c>
      <c r="O65" s="962"/>
    </row>
    <row r="66" spans="1:16" x14ac:dyDescent="0.35">
      <c r="A66" s="961">
        <f t="shared" si="5"/>
        <v>6</v>
      </c>
      <c r="B66" s="962" t="s">
        <v>716</v>
      </c>
      <c r="C66" s="962" t="s">
        <v>717</v>
      </c>
      <c r="D66" s="961" t="str">
        <f>_xlfn.XLOOKUP(B66,'06. BC BH THEO CUSTOMER-USD'!$D:$D,'06. BC BH THEO CUSTOMER-USD'!$F:$F,0)</f>
        <v>VN</v>
      </c>
      <c r="E66" s="962" t="s">
        <v>729</v>
      </c>
      <c r="F66" s="962" t="s">
        <v>730</v>
      </c>
      <c r="G66" s="962" t="s">
        <v>23</v>
      </c>
      <c r="H66" s="983">
        <v>0.1</v>
      </c>
      <c r="I66" s="963">
        <v>782.8726287262873</v>
      </c>
      <c r="J66" s="963">
        <v>835</v>
      </c>
      <c r="K66" s="963">
        <v>75.201742160278741</v>
      </c>
      <c r="L66" s="963">
        <v>78.28726287262873</v>
      </c>
      <c r="M66" s="978">
        <v>3.0855207123499806</v>
      </c>
      <c r="N66" s="964">
        <f t="shared" si="4"/>
        <v>3.9412806108319813E-2</v>
      </c>
      <c r="O66" s="962"/>
    </row>
    <row r="67" spans="1:16" x14ac:dyDescent="0.35">
      <c r="A67" s="961">
        <f t="shared" si="5"/>
        <v>7</v>
      </c>
      <c r="B67" s="962" t="s">
        <v>718</v>
      </c>
      <c r="C67" s="962" t="s">
        <v>719</v>
      </c>
      <c r="D67" s="961" t="str">
        <f>_xlfn.XLOOKUP(B67,'06. BC BH THEO CUSTOMER-USD'!$D:$D,'06. BC BH THEO CUSTOMER-USD'!$F:$F,0)</f>
        <v>VN</v>
      </c>
      <c r="E67" s="962" t="s">
        <v>41</v>
      </c>
      <c r="F67" s="962" t="s">
        <v>40</v>
      </c>
      <c r="G67" s="962" t="s">
        <v>266</v>
      </c>
      <c r="H67" s="984">
        <v>0.05</v>
      </c>
      <c r="I67" s="963">
        <v>580.72009291521488</v>
      </c>
      <c r="J67" s="963">
        <v>750</v>
      </c>
      <c r="K67" s="963">
        <v>48.188269454123116</v>
      </c>
      <c r="L67" s="963">
        <v>29.036004645760745</v>
      </c>
      <c r="M67" s="978">
        <v>-19.152264808362368</v>
      </c>
      <c r="N67" s="964">
        <f t="shared" si="4"/>
        <v>-0.65960399999999997</v>
      </c>
      <c r="O67" s="962"/>
    </row>
    <row r="68" spans="1:16" x14ac:dyDescent="0.35">
      <c r="A68" s="961">
        <f t="shared" si="5"/>
        <v>8</v>
      </c>
      <c r="B68" s="962" t="s">
        <v>720</v>
      </c>
      <c r="C68" s="962" t="s">
        <v>721</v>
      </c>
      <c r="D68" s="961" t="str">
        <f>_xlfn.XLOOKUP(B68,'06. BC BH THEO CUSTOMER-USD'!$D:$D,'06. BC BH THEO CUSTOMER-USD'!$F:$F,0)</f>
        <v>VN</v>
      </c>
      <c r="E68" s="962" t="s">
        <v>375</v>
      </c>
      <c r="F68" s="962" t="s">
        <v>376</v>
      </c>
      <c r="G68" s="962" t="s">
        <v>265</v>
      </c>
      <c r="H68" s="973">
        <v>0.5</v>
      </c>
      <c r="I68" s="963">
        <v>1339.7831978319782</v>
      </c>
      <c r="J68" s="963">
        <v>1350</v>
      </c>
      <c r="K68" s="963">
        <v>546.91881533101048</v>
      </c>
      <c r="L68" s="963">
        <v>669.89159891598911</v>
      </c>
      <c r="M68" s="978">
        <v>122.9727835849787</v>
      </c>
      <c r="N68" s="964">
        <f t="shared" si="4"/>
        <v>0.18357116850542959</v>
      </c>
      <c r="O68" s="962"/>
    </row>
    <row r="69" spans="1:16" x14ac:dyDescent="0.35">
      <c r="A69" s="961">
        <f t="shared" si="5"/>
        <v>9</v>
      </c>
      <c r="B69" s="962" t="s">
        <v>722</v>
      </c>
      <c r="C69" s="962" t="s">
        <v>723</v>
      </c>
      <c r="D69" s="961" t="str">
        <f>_xlfn.XLOOKUP(B69,'06. BC BH THEO CUSTOMER-USD'!$D:$D,'06. BC BH THEO CUSTOMER-USD'!$F:$F,0)</f>
        <v>VN</v>
      </c>
      <c r="E69" s="962" t="s">
        <v>52</v>
      </c>
      <c r="F69" s="962" t="s">
        <v>51</v>
      </c>
      <c r="G69" s="962" t="s">
        <v>265</v>
      </c>
      <c r="H69" s="973">
        <v>1</v>
      </c>
      <c r="I69" s="963">
        <v>646.53503677893923</v>
      </c>
      <c r="J69" s="963">
        <v>950</v>
      </c>
      <c r="K69" s="963">
        <v>890.40677506775069</v>
      </c>
      <c r="L69" s="963">
        <v>646.53503677893923</v>
      </c>
      <c r="M69" s="978">
        <v>-243.87173828881146</v>
      </c>
      <c r="N69" s="964">
        <f t="shared" si="4"/>
        <v>-0.37719802395209578</v>
      </c>
      <c r="O69" s="962"/>
    </row>
    <row r="70" spans="1:16" x14ac:dyDescent="0.35">
      <c r="A70" s="961">
        <f t="shared" si="5"/>
        <v>10</v>
      </c>
      <c r="B70" s="962" t="s">
        <v>725</v>
      </c>
      <c r="C70" s="962" t="s">
        <v>726</v>
      </c>
      <c r="D70" s="961" t="str">
        <f>_xlfn.XLOOKUP(B70,'06. BC BH THEO CUSTOMER-USD'!$D:$D,'06. BC BH THEO CUSTOMER-USD'!$F:$F,0)</f>
        <v>Nhật</v>
      </c>
      <c r="E70" s="962" t="s">
        <v>100</v>
      </c>
      <c r="F70" s="962" t="s">
        <v>99</v>
      </c>
      <c r="G70" s="962" t="s">
        <v>283</v>
      </c>
      <c r="H70" s="973">
        <v>105</v>
      </c>
      <c r="I70" s="963">
        <v>1262.8824272256327</v>
      </c>
      <c r="J70" s="963">
        <v>1280</v>
      </c>
      <c r="K70" s="963">
        <v>102224.99922570655</v>
      </c>
      <c r="L70" s="963">
        <v>134400</v>
      </c>
      <c r="M70" s="978">
        <v>30377.655632984901</v>
      </c>
      <c r="N70" s="964">
        <f t="shared" si="4"/>
        <v>0.22602422345970907</v>
      </c>
      <c r="O70" s="962"/>
    </row>
    <row r="71" spans="1:16" x14ac:dyDescent="0.35">
      <c r="A71" s="961">
        <f t="shared" si="5"/>
        <v>11</v>
      </c>
      <c r="B71" s="962" t="s">
        <v>727</v>
      </c>
      <c r="C71" s="962" t="s">
        <v>728</v>
      </c>
      <c r="D71" s="961" t="str">
        <f>_xlfn.XLOOKUP(B71,'06. BC BH THEO CUSTOMER-USD'!$D:$D,'06. BC BH THEO CUSTOMER-USD'!$F:$F,0)</f>
        <v>VN</v>
      </c>
      <c r="E71" s="962" t="s">
        <v>102</v>
      </c>
      <c r="F71" s="962" t="s">
        <v>101</v>
      </c>
      <c r="G71" s="962" t="s">
        <v>283</v>
      </c>
      <c r="H71" s="973">
        <v>110</v>
      </c>
      <c r="I71" s="963">
        <v>1126.4165170872486</v>
      </c>
      <c r="J71" s="963">
        <v>1180</v>
      </c>
      <c r="K71" s="963">
        <v>111810.95354239257</v>
      </c>
      <c r="L71" s="963">
        <v>125912.31126596981</v>
      </c>
      <c r="M71" s="978">
        <v>12094.863337204801</v>
      </c>
      <c r="N71" s="964">
        <f t="shared" si="4"/>
        <v>9.6057829576778386E-2</v>
      </c>
      <c r="O71" s="962"/>
    </row>
    <row r="72" spans="1:16" s="971" customFormat="1" x14ac:dyDescent="0.35">
      <c r="A72" s="968"/>
      <c r="B72" s="969" t="str">
        <f>"CỘNG THÁNG "&amp;C58</f>
        <v>CỘNG THÁNG 4</v>
      </c>
      <c r="C72" s="969">
        <f>COUNTA(C61:C71)</f>
        <v>11</v>
      </c>
      <c r="D72" s="969"/>
      <c r="E72" s="969"/>
      <c r="F72" s="969"/>
      <c r="G72" s="969"/>
      <c r="H72" s="982">
        <f>SUM(H61:H71)</f>
        <v>219.35</v>
      </c>
      <c r="I72" s="980"/>
      <c r="J72" s="982"/>
      <c r="K72" s="980"/>
      <c r="L72" s="980">
        <f>SUM(L61:L71)</f>
        <v>263932.24436701508</v>
      </c>
      <c r="M72" s="980">
        <f>SUM(M61:M71)</f>
        <v>41849.860859465734</v>
      </c>
      <c r="N72" s="970">
        <f>M72/L72</f>
        <v>0.15856289541216784</v>
      </c>
      <c r="O72" s="969"/>
      <c r="P72" s="946"/>
    </row>
    <row r="73" spans="1:16" s="971" customFormat="1" x14ac:dyDescent="0.35">
      <c r="A73" s="968"/>
      <c r="B73" s="969" t="s">
        <v>817</v>
      </c>
      <c r="C73" s="969">
        <f>C72+C56</f>
        <v>48</v>
      </c>
      <c r="D73" s="969"/>
      <c r="E73" s="969"/>
      <c r="F73" s="969"/>
      <c r="G73" s="969"/>
      <c r="H73" s="982">
        <f>H72+H56</f>
        <v>1135.925</v>
      </c>
      <c r="I73" s="980"/>
      <c r="J73" s="982"/>
      <c r="K73" s="980"/>
      <c r="L73" s="980">
        <f>L72+L56</f>
        <v>271071.6601150466</v>
      </c>
      <c r="M73" s="980">
        <f>M72+M56</f>
        <v>43477.049875213765</v>
      </c>
      <c r="N73" s="970">
        <f>M73/L73</f>
        <v>0.16038950680702474</v>
      </c>
      <c r="O73" s="969"/>
      <c r="P73" s="946"/>
    </row>
    <row r="75" spans="1:16" ht="18.5" x14ac:dyDescent="0.45">
      <c r="B75" s="951" t="s">
        <v>437</v>
      </c>
      <c r="C75" s="952">
        <v>5</v>
      </c>
      <c r="D75" s="952"/>
    </row>
    <row r="77" spans="1:16" s="956" customFormat="1" ht="43.5" x14ac:dyDescent="0.35">
      <c r="A77" s="953" t="s">
        <v>174</v>
      </c>
      <c r="B77" s="953" t="s">
        <v>564</v>
      </c>
      <c r="C77" s="953" t="s">
        <v>481</v>
      </c>
      <c r="D77" s="953" t="s">
        <v>172</v>
      </c>
      <c r="E77" s="953" t="s">
        <v>422</v>
      </c>
      <c r="F77" s="953" t="s">
        <v>423</v>
      </c>
      <c r="G77" s="953" t="s">
        <v>411</v>
      </c>
      <c r="H77" s="953" t="s">
        <v>424</v>
      </c>
      <c r="I77" s="954" t="s">
        <v>482</v>
      </c>
      <c r="J77" s="953" t="s">
        <v>483</v>
      </c>
      <c r="K77" s="954" t="s">
        <v>484</v>
      </c>
      <c r="L77" s="954" t="s">
        <v>427</v>
      </c>
      <c r="M77" s="976" t="s">
        <v>429</v>
      </c>
      <c r="N77" s="955" t="s">
        <v>425</v>
      </c>
      <c r="O77" s="953" t="s">
        <v>294</v>
      </c>
      <c r="P77" s="946"/>
    </row>
    <row r="78" spans="1:16" x14ac:dyDescent="0.35">
      <c r="A78" s="961">
        <v>1</v>
      </c>
      <c r="B78" s="962" t="s">
        <v>834</v>
      </c>
      <c r="C78" s="962" t="s">
        <v>835</v>
      </c>
      <c r="D78" s="961" t="str">
        <f>_xlfn.XLOOKUP(B78,'06. BC BH THEO CUSTOMER-USD'!$D:$D,'06. BC BH THEO CUSTOMER-USD'!$F:$F,0)</f>
        <v>Australia</v>
      </c>
      <c r="E78" s="962" t="s">
        <v>100</v>
      </c>
      <c r="F78" s="962" t="s">
        <v>99</v>
      </c>
      <c r="G78" s="962" t="s">
        <v>283</v>
      </c>
      <c r="H78" s="962">
        <v>22</v>
      </c>
      <c r="I78" s="963">
        <v>1300.568524572875</v>
      </c>
      <c r="J78" s="962">
        <v>1280</v>
      </c>
      <c r="K78" s="963">
        <v>996.76039337692475</v>
      </c>
      <c r="L78" s="963">
        <v>30156.419180201086</v>
      </c>
      <c r="M78" s="978">
        <v>6683.7788863109054</v>
      </c>
      <c r="N78" s="964">
        <f>M78/L78</f>
        <v>0.22163702017708647</v>
      </c>
      <c r="O78" s="962"/>
    </row>
    <row r="79" spans="1:16" x14ac:dyDescent="0.35">
      <c r="A79" s="961">
        <v>2</v>
      </c>
      <c r="B79" s="962" t="s">
        <v>836</v>
      </c>
      <c r="C79" s="962" t="s">
        <v>837</v>
      </c>
      <c r="D79" s="961" t="str">
        <f>_xlfn.XLOOKUP(B79,'06. BC BH THEO CUSTOMER-USD'!$D:$D,'06. BC BH THEO CUSTOMER-USD'!$F:$F,0)</f>
        <v>Australia</v>
      </c>
      <c r="E79" s="962" t="s">
        <v>110</v>
      </c>
      <c r="F79" s="962" t="s">
        <v>109</v>
      </c>
      <c r="G79" s="962" t="s">
        <v>283</v>
      </c>
      <c r="H79" s="962">
        <v>22</v>
      </c>
      <c r="I79" s="963">
        <v>1250.0377592631653</v>
      </c>
      <c r="J79" s="962">
        <v>1250</v>
      </c>
      <c r="K79" s="963">
        <v>1049.596393165999</v>
      </c>
      <c r="L79" s="963">
        <v>28533.642691415313</v>
      </c>
      <c r="M79" s="978">
        <v>4409.710054137664</v>
      </c>
      <c r="N79" s="964">
        <f>M79/L79</f>
        <v>0.15454423754540034</v>
      </c>
      <c r="O79" s="962"/>
    </row>
    <row r="80" spans="1:16" x14ac:dyDescent="0.35">
      <c r="A80" s="961">
        <v>3</v>
      </c>
      <c r="B80" s="962" t="s">
        <v>832</v>
      </c>
      <c r="C80" s="962" t="s">
        <v>833</v>
      </c>
      <c r="D80" s="961" t="str">
        <f>_xlfn.XLOOKUP(B80,'06. BC BH THEO CUSTOMER-USD'!$D:$D,'06. BC BH THEO CUSTOMER-USD'!$F:$F,0)</f>
        <v>VN</v>
      </c>
      <c r="E80" s="962" t="s">
        <v>110</v>
      </c>
      <c r="F80" s="962" t="s">
        <v>109</v>
      </c>
      <c r="G80" s="962" t="s">
        <v>283</v>
      </c>
      <c r="H80" s="962">
        <v>3.3</v>
      </c>
      <c r="I80" s="963">
        <v>1303.3141390705198</v>
      </c>
      <c r="J80" s="962">
        <v>1250</v>
      </c>
      <c r="K80" s="963">
        <v>1049.596393165999</v>
      </c>
      <c r="L80" s="963">
        <v>4300.9366589327146</v>
      </c>
      <c r="M80" s="978">
        <v>837.26856148491879</v>
      </c>
      <c r="N80" s="964">
        <f t="shared" ref="N80" si="6">M80/L80</f>
        <v>0.19467121417516725</v>
      </c>
      <c r="O80" s="962"/>
    </row>
    <row r="81" spans="1:16" x14ac:dyDescent="0.35">
      <c r="A81" s="961">
        <v>4</v>
      </c>
      <c r="B81" s="962"/>
      <c r="C81" s="962"/>
      <c r="D81" s="961">
        <f>_xlfn.XLOOKUP(B81,'06. BC BH THEO CUSTOMER-USD'!$D:$D,'06. BC BH THEO CUSTOMER-USD'!$F:$F,0)</f>
        <v>0</v>
      </c>
      <c r="E81" s="962"/>
      <c r="F81" s="962"/>
      <c r="G81" s="962"/>
      <c r="H81" s="962"/>
      <c r="I81" s="963"/>
      <c r="J81" s="962"/>
      <c r="K81" s="963"/>
      <c r="L81" s="963"/>
      <c r="M81" s="978"/>
      <c r="N81" s="964"/>
      <c r="O81" s="962"/>
    </row>
    <row r="82" spans="1:16" x14ac:dyDescent="0.35">
      <c r="A82" s="974">
        <v>5</v>
      </c>
      <c r="B82" s="965"/>
      <c r="C82" s="965"/>
      <c r="D82" s="961">
        <f>_xlfn.XLOOKUP(B82,'06. BC BH THEO CUSTOMER-USD'!$D:$D,'06. BC BH THEO CUSTOMER-USD'!$F:$F,0)</f>
        <v>0</v>
      </c>
      <c r="E82" s="965"/>
      <c r="F82" s="965"/>
      <c r="G82" s="965"/>
      <c r="H82" s="965"/>
      <c r="I82" s="966"/>
      <c r="J82" s="965"/>
      <c r="K82" s="966"/>
      <c r="L82" s="966"/>
      <c r="M82" s="979"/>
      <c r="N82" s="967"/>
      <c r="O82" s="965"/>
    </row>
    <row r="83" spans="1:16" s="971" customFormat="1" x14ac:dyDescent="0.35">
      <c r="A83" s="968"/>
      <c r="B83" s="969" t="str">
        <f>"CỘNG THÁNG "&amp;C75</f>
        <v>CỘNG THÁNG 5</v>
      </c>
      <c r="C83" s="969">
        <f>COUNTA(C78:C82)</f>
        <v>3</v>
      </c>
      <c r="D83" s="969"/>
      <c r="E83" s="969"/>
      <c r="F83" s="969"/>
      <c r="G83" s="969"/>
      <c r="H83" s="982">
        <f>SUM(H78:H82)</f>
        <v>47.3</v>
      </c>
      <c r="I83" s="980"/>
      <c r="J83" s="982"/>
      <c r="K83" s="980"/>
      <c r="L83" s="980">
        <f>SUM(L78:L82)</f>
        <v>62990.998530549114</v>
      </c>
      <c r="M83" s="980">
        <f>SUM(M78:M82)</f>
        <v>11930.757501933487</v>
      </c>
      <c r="N83" s="970">
        <f>M83/L83</f>
        <v>0.18940416536098181</v>
      </c>
      <c r="O83" s="969"/>
      <c r="P83" s="946"/>
    </row>
    <row r="84" spans="1:16" s="971" customFormat="1" x14ac:dyDescent="0.35">
      <c r="A84" s="968"/>
      <c r="B84" s="969" t="s">
        <v>817</v>
      </c>
      <c r="C84" s="969">
        <f>C83+C73</f>
        <v>51</v>
      </c>
      <c r="D84" s="969"/>
      <c r="E84" s="969"/>
      <c r="F84" s="969"/>
      <c r="G84" s="969"/>
      <c r="H84" s="982">
        <f>H83+H73</f>
        <v>1183.2249999999999</v>
      </c>
      <c r="I84" s="980"/>
      <c r="J84" s="982"/>
      <c r="K84" s="980"/>
      <c r="L84" s="980">
        <f>L83+L73</f>
        <v>334062.65864559571</v>
      </c>
      <c r="M84" s="980">
        <f>M83+M73</f>
        <v>55407.807377147255</v>
      </c>
      <c r="N84" s="970">
        <f>M84/L84</f>
        <v>0.16586052329760367</v>
      </c>
      <c r="O84" s="969"/>
      <c r="P84" s="946"/>
    </row>
    <row r="86" spans="1:16" ht="18.5" x14ac:dyDescent="0.45">
      <c r="B86" s="951" t="s">
        <v>437</v>
      </c>
      <c r="C86" s="952">
        <v>6</v>
      </c>
      <c r="D86" s="952"/>
    </row>
    <row r="88" spans="1:16" s="956" customFormat="1" ht="43.5" x14ac:dyDescent="0.35">
      <c r="A88" s="953" t="s">
        <v>174</v>
      </c>
      <c r="B88" s="953" t="s">
        <v>564</v>
      </c>
      <c r="C88" s="953" t="s">
        <v>481</v>
      </c>
      <c r="D88" s="953" t="s">
        <v>172</v>
      </c>
      <c r="E88" s="953" t="s">
        <v>422</v>
      </c>
      <c r="F88" s="953" t="s">
        <v>423</v>
      </c>
      <c r="G88" s="953" t="s">
        <v>411</v>
      </c>
      <c r="H88" s="953" t="s">
        <v>424</v>
      </c>
      <c r="I88" s="954" t="s">
        <v>482</v>
      </c>
      <c r="J88" s="953" t="s">
        <v>483</v>
      </c>
      <c r="K88" s="954" t="s">
        <v>484</v>
      </c>
      <c r="L88" s="954" t="s">
        <v>427</v>
      </c>
      <c r="M88" s="976" t="s">
        <v>429</v>
      </c>
      <c r="N88" s="955" t="s">
        <v>425</v>
      </c>
      <c r="O88" s="953" t="s">
        <v>294</v>
      </c>
      <c r="P88" s="946"/>
    </row>
    <row r="89" spans="1:16" x14ac:dyDescent="0.35">
      <c r="A89" s="957">
        <v>1</v>
      </c>
      <c r="B89" s="958" t="s">
        <v>884</v>
      </c>
      <c r="C89" s="958" t="s">
        <v>885</v>
      </c>
      <c r="D89" s="961" t="str">
        <f>_xlfn.XLOOKUP(B89,'06. BC BH THEO CUSTOMER-USD'!$D:$D,'06. BC BH THEO CUSTOMER-USD'!$F:$F,0)</f>
        <v>Hy Lạp</v>
      </c>
      <c r="E89" s="958" t="s">
        <v>102</v>
      </c>
      <c r="F89" s="958" t="s">
        <v>101</v>
      </c>
      <c r="G89" s="958" t="str">
        <f>_xlfn.XLOOKUP(E89,'01. KE30'!F:F,'01. KE30'!E:E)</f>
        <v>rPET</v>
      </c>
      <c r="H89" s="958">
        <v>22</v>
      </c>
      <c r="I89" s="959">
        <f>L89/H89</f>
        <v>1132.1030618686868</v>
      </c>
      <c r="J89" s="1107">
        <v>1180</v>
      </c>
      <c r="K89" s="959">
        <f>SUMIFS('01. KE30'!AA:AA,'01. KE30'!F:F,'09. Khách hàng mới'!E89,'01. KE30'!C:C,'09. Khách hàng mới'!B89,'01. KE30'!A:A,6)</f>
        <v>21127.896103395062</v>
      </c>
      <c r="L89" s="959">
        <f>SUMIFS('01. KE30'!X:X,'01. KE30'!F:F,'09. Khách hàng mới'!E89,'01. KE30'!C:C,'09. Khách hàng mới'!B89,'01. KE30'!A:A,6)</f>
        <v>24906.267361111109</v>
      </c>
      <c r="M89" s="977">
        <f>SUMIFS('01. KE30'!Z:Z,'01. KE30'!F:F,'09. Khách hàng mới'!E89,'01. KE30'!C:C,'09. Khách hàng mới'!B89,'01. KE30'!A:A,6)</f>
        <v>3778.3712577160495</v>
      </c>
      <c r="N89" s="960">
        <f t="shared" ref="N89:N100" si="7">M89/L89</f>
        <v>0.1517036335848396</v>
      </c>
      <c r="O89" s="958"/>
    </row>
    <row r="90" spans="1:16" x14ac:dyDescent="0.35">
      <c r="A90" s="961">
        <v>2</v>
      </c>
      <c r="B90" s="962" t="s">
        <v>886</v>
      </c>
      <c r="C90" s="962" t="s">
        <v>936</v>
      </c>
      <c r="D90" s="961" t="str">
        <f>_xlfn.XLOOKUP(B90,'06. BC BH THEO CUSTOMER-USD'!$D:$D,'06. BC BH THEO CUSTOMER-USD'!$F:$F,0)</f>
        <v>Colombia</v>
      </c>
      <c r="E90" s="962" t="s">
        <v>87</v>
      </c>
      <c r="F90" s="962" t="s">
        <v>86</v>
      </c>
      <c r="G90" s="962" t="str">
        <f>_xlfn.XLOOKUP(E90,'01. KE30'!F:F,'01. KE30'!E:E)</f>
        <v>Xơ sợi</v>
      </c>
      <c r="H90" s="962">
        <v>21</v>
      </c>
      <c r="I90" s="963">
        <f t="shared" ref="I90:I100" si="8">L90/H90</f>
        <v>675.09757128159902</v>
      </c>
      <c r="J90" s="1108">
        <v>800</v>
      </c>
      <c r="K90" s="963">
        <f>SUMIFS('01. KE30'!AA:AA,'01. KE30'!F:F,'09. Khách hàng mới'!E90,'01. KE30'!C:C,'09. Khách hàng mới'!B90,'01. KE30'!A:A,6)</f>
        <v>20093.359837962962</v>
      </c>
      <c r="L90" s="963">
        <f>SUMIFS('01. KE30'!X:X,'01. KE30'!F:F,'09. Khách hàng mới'!E90,'01. KE30'!C:C,'09. Khách hàng mới'!B90,'01. KE30'!A:A,6)</f>
        <v>14177.04899691358</v>
      </c>
      <c r="M90" s="978">
        <f>SUMIFS('01. KE30'!Z:Z,'01. KE30'!F:F,'09. Khách hàng mới'!E90,'01. KE30'!C:C,'09. Khách hàng mới'!B90,'01. KE30'!A:A,6)</f>
        <v>-5916.3108410493824</v>
      </c>
      <c r="N90" s="964">
        <f t="shared" si="7"/>
        <v>-0.41731610311408213</v>
      </c>
      <c r="O90" s="962"/>
    </row>
    <row r="91" spans="1:16" x14ac:dyDescent="0.35">
      <c r="A91" s="961">
        <v>3</v>
      </c>
      <c r="B91" s="962" t="s">
        <v>893</v>
      </c>
      <c r="C91" s="962" t="s">
        <v>937</v>
      </c>
      <c r="D91" s="961" t="str">
        <f>_xlfn.XLOOKUP(B91,'06. BC BH THEO CUSTOMER-USD'!$D:$D,'06. BC BH THEO CUSTOMER-USD'!$F:$F,0)</f>
        <v>Colombia</v>
      </c>
      <c r="E91" s="962" t="s">
        <v>127</v>
      </c>
      <c r="F91" s="962" t="s">
        <v>114</v>
      </c>
      <c r="G91" s="962" t="str">
        <f>_xlfn.XLOOKUP(E91,'01. KE30'!F:F,'01. KE30'!E:E)</f>
        <v>rPET</v>
      </c>
      <c r="H91" s="962">
        <v>22</v>
      </c>
      <c r="I91" s="963">
        <f t="shared" si="8"/>
        <v>1324.3866179152637</v>
      </c>
      <c r="J91" s="1108">
        <v>1340</v>
      </c>
      <c r="K91" s="963">
        <f>SUMIFS('01. KE30'!AA:AA,'01. KE30'!F:F,'09. Khách hàng mới'!E91,'01. KE30'!C:C,'09. Khách hàng mới'!B91,'01. KE30'!A:A,6)</f>
        <v>23755.920524691359</v>
      </c>
      <c r="L91" s="963">
        <f>SUMIFS('01. KE30'!X:X,'01. KE30'!F:F,'09. Khách hàng mới'!E91,'01. KE30'!C:C,'09. Khách hàng mới'!B91,'01. KE30'!A:A,6)</f>
        <v>29136.505594135804</v>
      </c>
      <c r="M91" s="978">
        <f>SUMIFS('01. KE30'!Z:Z,'01. KE30'!F:F,'09. Khách hàng mới'!E91,'01. KE30'!C:C,'09. Khách hàng mới'!B91,'01. KE30'!A:A,6)</f>
        <v>5380.5850694444443</v>
      </c>
      <c r="N91" s="964">
        <f t="shared" si="7"/>
        <v>0.18466816660839983</v>
      </c>
      <c r="O91" s="962"/>
    </row>
    <row r="92" spans="1:16" x14ac:dyDescent="0.35">
      <c r="A92" s="961">
        <v>4</v>
      </c>
      <c r="B92" s="962" t="s">
        <v>895</v>
      </c>
      <c r="C92" s="962" t="s">
        <v>938</v>
      </c>
      <c r="D92" s="961" t="str">
        <f>_xlfn.XLOOKUP(B92,'06. BC BH THEO CUSTOMER-USD'!$D:$D,'06. BC BH THEO CUSTOMER-USD'!$F:$F,0)</f>
        <v>VN</v>
      </c>
      <c r="E92" s="962" t="s">
        <v>918</v>
      </c>
      <c r="F92" s="962" t="s">
        <v>921</v>
      </c>
      <c r="G92" s="962" t="str">
        <f>_xlfn.XLOOKUP(E92,'01. KE30'!F:F,'01. KE30'!E:E)</f>
        <v>rPET</v>
      </c>
      <c r="H92" s="962">
        <v>0.5</v>
      </c>
      <c r="I92" s="963">
        <f t="shared" si="8"/>
        <v>1263.5030864197531</v>
      </c>
      <c r="J92" s="1108">
        <v>1250</v>
      </c>
      <c r="K92" s="963">
        <f>SUMIFS('01. KE30'!AA:AA,'01. KE30'!F:F,'09. Khách hàng mới'!E92,'01. KE30'!C:C,'09. Khách hàng mới'!B92,'01. KE30'!A:A,6)</f>
        <v>571.09104938271605</v>
      </c>
      <c r="L92" s="963">
        <f>SUMIFS('01. KE30'!X:X,'01. KE30'!F:F,'09. Khách hàng mới'!E92,'01. KE30'!C:C,'09. Khách hàng mới'!B92,'01. KE30'!A:A,6)</f>
        <v>631.75154320987656</v>
      </c>
      <c r="M92" s="978">
        <f>SUMIFS('01. KE30'!Z:Z,'01. KE30'!F:F,'09. Khách hàng mới'!E92,'01. KE30'!C:C,'09. Khách hàng mới'!B92,'01. KE30'!A:A,6)</f>
        <v>60.660493827160494</v>
      </c>
      <c r="N92" s="964">
        <f t="shared" si="7"/>
        <v>9.6019541984732823E-2</v>
      </c>
      <c r="O92" s="962"/>
    </row>
    <row r="93" spans="1:16" x14ac:dyDescent="0.35">
      <c r="A93" s="961">
        <v>5</v>
      </c>
      <c r="B93" s="962" t="s">
        <v>897</v>
      </c>
      <c r="C93" s="962" t="s">
        <v>939</v>
      </c>
      <c r="D93" s="961" t="str">
        <f>_xlfn.XLOOKUP(B93,'06. BC BH THEO CUSTOMER-USD'!$D:$D,'06. BC BH THEO CUSTOMER-USD'!$F:$F,0)</f>
        <v>VN</v>
      </c>
      <c r="E93" s="962" t="s">
        <v>100</v>
      </c>
      <c r="F93" s="962" t="s">
        <v>99</v>
      </c>
      <c r="G93" s="962" t="str">
        <f>_xlfn.XLOOKUP(E93,'01. KE30'!F:F,'01. KE30'!E:E)</f>
        <v>rPET</v>
      </c>
      <c r="H93" s="962">
        <v>2.5000000000000001E-2</v>
      </c>
      <c r="I93" s="963">
        <f t="shared" si="8"/>
        <v>1319.4444444444446</v>
      </c>
      <c r="J93" s="1108">
        <v>1280</v>
      </c>
      <c r="K93" s="963">
        <f>SUMIFS('01. KE30'!AA:AA,'01. KE30'!F:F,'09. Khách hàng mới'!E93,'01. KE30'!C:C,'09. Khách hàng mới'!B93,'01. KE30'!A:A,6)</f>
        <v>25.952237654320989</v>
      </c>
      <c r="L93" s="963">
        <f>SUMIFS('01. KE30'!X:X,'01. KE30'!F:F,'09. Khách hàng mới'!E93,'01. KE30'!C:C,'09. Khách hàng mới'!B93,'01. KE30'!A:A,6)</f>
        <v>32.986111111111114</v>
      </c>
      <c r="M93" s="978">
        <f>SUMIFS('01. KE30'!Z:Z,'01. KE30'!F:F,'09. Khách hàng mới'!E93,'01. KE30'!C:C,'09. Khách hàng mới'!B93,'01. KE30'!A:A,6)</f>
        <v>7.0338734567901238</v>
      </c>
      <c r="N93" s="964">
        <f t="shared" si="7"/>
        <v>0.21323742690058478</v>
      </c>
      <c r="O93" s="962"/>
    </row>
    <row r="94" spans="1:16" x14ac:dyDescent="0.35">
      <c r="A94" s="961">
        <v>6</v>
      </c>
      <c r="B94" s="962" t="s">
        <v>897</v>
      </c>
      <c r="C94" s="962" t="s">
        <v>939</v>
      </c>
      <c r="D94" s="961" t="str">
        <f>_xlfn.XLOOKUP(B94,'06. BC BH THEO CUSTOMER-USD'!$D:$D,'06. BC BH THEO CUSTOMER-USD'!$F:$F,0)</f>
        <v>VN</v>
      </c>
      <c r="E94" s="962" t="s">
        <v>110</v>
      </c>
      <c r="F94" s="962" t="s">
        <v>109</v>
      </c>
      <c r="G94" s="962" t="str">
        <f>_xlfn.XLOOKUP(E94,'01. KE30'!F:F,'01. KE30'!E:E)</f>
        <v>rPET</v>
      </c>
      <c r="H94" s="962">
        <v>2.5000000000000001E-2</v>
      </c>
      <c r="I94" s="963">
        <f t="shared" si="8"/>
        <v>1289.3518518518517</v>
      </c>
      <c r="J94" s="1108">
        <v>1250</v>
      </c>
      <c r="K94" s="963">
        <f>SUMIFS('01. KE30'!AA:AA,'01. KE30'!F:F,'09. Khách hàng mới'!E94,'01. KE30'!C:C,'09. Khách hàng mới'!B94,'01. KE30'!A:A,6)</f>
        <v>26.971759259259258</v>
      </c>
      <c r="L94" s="963">
        <f>SUMIFS('01. KE30'!X:X,'01. KE30'!F:F,'09. Khách hàng mới'!E94,'01. KE30'!C:C,'09. Khách hàng mới'!B94,'01. KE30'!A:A,6)</f>
        <v>32.233796296296298</v>
      </c>
      <c r="M94" s="978">
        <f>SUMIFS('01. KE30'!Z:Z,'01. KE30'!F:F,'09. Khách hàng mới'!E94,'01. KE30'!C:C,'09. Khách hàng mới'!B94,'01. KE30'!A:A,6)</f>
        <v>5.2620370370370368</v>
      </c>
      <c r="N94" s="964">
        <f t="shared" si="7"/>
        <v>0.16324596050269299</v>
      </c>
      <c r="O94" s="962"/>
    </row>
    <row r="95" spans="1:16" x14ac:dyDescent="0.35">
      <c r="A95" s="961">
        <v>7</v>
      </c>
      <c r="B95" s="962" t="s">
        <v>899</v>
      </c>
      <c r="C95" s="962" t="s">
        <v>940</v>
      </c>
      <c r="D95" s="961" t="str">
        <f>_xlfn.XLOOKUP(B95,'06. BC BH THEO CUSTOMER-USD'!$D:$D,'06. BC BH THEO CUSTOMER-USD'!$F:$F,0)</f>
        <v>VN</v>
      </c>
      <c r="E95" s="962" t="s">
        <v>87</v>
      </c>
      <c r="F95" s="962" t="s">
        <v>86</v>
      </c>
      <c r="G95" s="962" t="str">
        <f>_xlfn.XLOOKUP(E95,'01. KE30'!F:F,'01. KE30'!E:E)</f>
        <v>Xơ sợi</v>
      </c>
      <c r="H95" s="962">
        <v>46.9</v>
      </c>
      <c r="I95" s="963">
        <f t="shared" si="8"/>
        <v>675.15432098765427</v>
      </c>
      <c r="J95" s="1108">
        <v>800</v>
      </c>
      <c r="K95" s="963">
        <f>SUMIFS('01. KE30'!AA:AA,'01. KE30'!F:F,'09. Khách hàng mới'!E95,'01. KE30'!C:C,'09. Khách hàng mới'!B95,'01. KE30'!A:A,6)</f>
        <v>44875.170331790127</v>
      </c>
      <c r="L95" s="963">
        <f>SUMIFS('01. KE30'!X:X,'01. KE30'!F:F,'09. Khách hàng mới'!E95,'01. KE30'!C:C,'09. Khách hàng mới'!B95,'01. KE30'!A:A,6)</f>
        <v>31664.737654320987</v>
      </c>
      <c r="M95" s="978">
        <f>SUMIFS('01. KE30'!Z:Z,'01. KE30'!F:F,'09. Khách hàng mới'!E95,'01. KE30'!C:C,'09. Khách hàng mới'!B95,'01. KE30'!A:A,6)</f>
        <v>-13210.432677469136</v>
      </c>
      <c r="N95" s="964">
        <f t="shared" si="7"/>
        <v>-0.41719697228144992</v>
      </c>
      <c r="O95" s="962"/>
    </row>
    <row r="96" spans="1:16" x14ac:dyDescent="0.35">
      <c r="A96" s="961">
        <v>8</v>
      </c>
      <c r="B96" s="962" t="s">
        <v>901</v>
      </c>
      <c r="C96" s="962" t="s">
        <v>941</v>
      </c>
      <c r="D96" s="961" t="str">
        <f>_xlfn.XLOOKUP(B96,'06. BC BH THEO CUSTOMER-USD'!$D:$D,'06. BC BH THEO CUSTOMER-USD'!$F:$F,0)</f>
        <v>Anh</v>
      </c>
      <c r="E96" s="962" t="s">
        <v>919</v>
      </c>
      <c r="F96" s="962" t="s">
        <v>920</v>
      </c>
      <c r="G96" s="962" t="str">
        <f>_xlfn.XLOOKUP(E96,'01. KE30'!F:F,'01. KE30'!E:E)</f>
        <v>rPET</v>
      </c>
      <c r="H96" s="962">
        <v>2</v>
      </c>
      <c r="I96" s="963">
        <f t="shared" si="8"/>
        <v>1028.3296682098764</v>
      </c>
      <c r="J96" s="1108">
        <f>1000-22</f>
        <v>978</v>
      </c>
      <c r="K96" s="963">
        <f>SUMIFS('01. KE30'!AA:AA,'01. KE30'!F:F,'09. Khách hàng mới'!E96,'01. KE30'!C:C,'09. Khách hàng mới'!B96,'01. KE30'!A:A,6)</f>
        <v>1831.8842592592594</v>
      </c>
      <c r="L96" s="963">
        <f>SUMIFS('01. KE30'!X:X,'01. KE30'!F:F,'09. Khách hàng mới'!E96,'01. KE30'!C:C,'09. Khách hàng mới'!B96,'01. KE30'!A:A,6)</f>
        <v>2056.6593364197529</v>
      </c>
      <c r="M96" s="978">
        <f>SUMIFS('01. KE30'!Z:Z,'01. KE30'!F:F,'09. Khách hàng mới'!E96,'01. KE30'!C:C,'09. Khách hàng mới'!B96,'01. KE30'!A:A,6)</f>
        <v>224.77507716049382</v>
      </c>
      <c r="N96" s="964">
        <f t="shared" si="7"/>
        <v>0.10929135087183854</v>
      </c>
      <c r="O96" s="962"/>
    </row>
    <row r="97" spans="1:16" x14ac:dyDescent="0.35">
      <c r="A97" s="961">
        <v>9</v>
      </c>
      <c r="B97" s="962" t="s">
        <v>903</v>
      </c>
      <c r="C97" s="962" t="s">
        <v>942</v>
      </c>
      <c r="D97" s="961" t="str">
        <f>_xlfn.XLOOKUP(B97,'06. BC BH THEO CUSTOMER-USD'!$D:$D,'06. BC BH THEO CUSTOMER-USD'!$F:$F,0)</f>
        <v>Hàn Quốc</v>
      </c>
      <c r="E97" s="962" t="s">
        <v>463</v>
      </c>
      <c r="F97" s="962" t="s">
        <v>470</v>
      </c>
      <c r="G97" s="962" t="str">
        <f>_xlfn.XLOOKUP(E97,'01. KE30'!F:F,'01. KE30'!E:E)</f>
        <v>Xơ sợi</v>
      </c>
      <c r="H97" s="962">
        <v>63</v>
      </c>
      <c r="I97" s="963">
        <f t="shared" si="8"/>
        <v>601.64554673721341</v>
      </c>
      <c r="J97" s="1108">
        <v>850</v>
      </c>
      <c r="K97" s="963">
        <f>SUMIFS('01. KE30'!AA:AA,'01. KE30'!F:F,'09. Khách hàng mới'!E97,'01. KE30'!C:C,'09. Khách hàng mới'!B97,'01. KE30'!A:A,6)</f>
        <v>60151.926504629628</v>
      </c>
      <c r="L97" s="963">
        <f>SUMIFS('01. KE30'!X:X,'01. KE30'!F:F,'09. Khách hàng mới'!E97,'01. KE30'!C:C,'09. Khách hàng mới'!B97,'01. KE30'!A:A,6)</f>
        <v>37903.669444444444</v>
      </c>
      <c r="M97" s="978">
        <f>SUMIFS('01. KE30'!Z:Z,'01. KE30'!F:F,'09. Khách hàng mới'!E97,'01. KE30'!C:C,'09. Khách hàng mới'!B97,'01. KE30'!A:A,6)</f>
        <v>-22248.257060185184</v>
      </c>
      <c r="N97" s="964">
        <f t="shared" si="7"/>
        <v>-0.58696842248464998</v>
      </c>
      <c r="O97" s="962"/>
    </row>
    <row r="98" spans="1:16" x14ac:dyDescent="0.35">
      <c r="A98" s="961">
        <v>10</v>
      </c>
      <c r="B98" s="962" t="s">
        <v>905</v>
      </c>
      <c r="C98" s="962" t="s">
        <v>943</v>
      </c>
      <c r="D98" s="961" t="str">
        <f>_xlfn.XLOOKUP(B98,'06. BC BH THEO CUSTOMER-USD'!$D:$D,'06. BC BH THEO CUSTOMER-USD'!$F:$F,0)</f>
        <v>Mỹ</v>
      </c>
      <c r="E98" s="962" t="s">
        <v>110</v>
      </c>
      <c r="F98" s="962" t="s">
        <v>109</v>
      </c>
      <c r="G98" s="962" t="str">
        <f>_xlfn.XLOOKUP(E98,'01. KE30'!F:F,'01. KE30'!E:E)</f>
        <v>rPET</v>
      </c>
      <c r="H98" s="962">
        <v>22</v>
      </c>
      <c r="I98" s="963">
        <f t="shared" si="8"/>
        <v>1231.9984830948372</v>
      </c>
      <c r="J98" s="1108">
        <v>1250</v>
      </c>
      <c r="K98" s="963">
        <f>SUMIFS('01. KE30'!AA:AA,'01. KE30'!F:F,'09. Khách hàng mới'!E98,'01. KE30'!C:C,'09. Khách hàng mới'!B98,'01. KE30'!A:A,6)</f>
        <v>23735.13838734568</v>
      </c>
      <c r="L98" s="963">
        <f>SUMIFS('01. KE30'!X:X,'01. KE30'!F:F,'09. Khách hàng mới'!E98,'01. KE30'!C:C,'09. Khách hàng mới'!B98,'01. KE30'!A:A,6)</f>
        <v>27103.966628086418</v>
      </c>
      <c r="M98" s="978">
        <f>SUMIFS('01. KE30'!Z:Z,'01. KE30'!F:F,'09. Khách hàng mới'!E98,'01. KE30'!C:C,'09. Khách hàng mới'!B98,'01. KE30'!A:A,6)</f>
        <v>3368.828240740741</v>
      </c>
      <c r="N98" s="964">
        <f t="shared" si="7"/>
        <v>0.12429281244944425</v>
      </c>
      <c r="O98" s="962"/>
    </row>
    <row r="99" spans="1:16" x14ac:dyDescent="0.35">
      <c r="A99" s="961">
        <v>11</v>
      </c>
      <c r="B99" s="962" t="s">
        <v>907</v>
      </c>
      <c r="C99" s="962" t="s">
        <v>944</v>
      </c>
      <c r="D99" s="961" t="str">
        <f>_xlfn.XLOOKUP(B99,'06. BC BH THEO CUSTOMER-USD'!$D:$D,'06. BC BH THEO CUSTOMER-USD'!$F:$F,0)</f>
        <v>VN</v>
      </c>
      <c r="E99" s="962" t="s">
        <v>110</v>
      </c>
      <c r="F99" s="962" t="s">
        <v>109</v>
      </c>
      <c r="G99" s="962" t="str">
        <f>_xlfn.XLOOKUP(E99,'01. KE30'!F:F,'01. KE30'!E:E)</f>
        <v>rPET</v>
      </c>
      <c r="H99" s="962">
        <v>44</v>
      </c>
      <c r="I99" s="963">
        <f t="shared" si="8"/>
        <v>1231.5972222222224</v>
      </c>
      <c r="J99" s="1108">
        <v>1250</v>
      </c>
      <c r="K99" s="963">
        <f>SUMIFS('01. KE30'!AA:AA,'01. KE30'!F:F,'09. Khách hàng mới'!E99,'01. KE30'!C:C,'09. Khách hàng mới'!B99,'01. KE30'!A:A,6)</f>
        <v>47470.27677469136</v>
      </c>
      <c r="L99" s="963">
        <f>SUMIFS('01. KE30'!X:X,'01. KE30'!F:F,'09. Khách hàng mới'!E99,'01. KE30'!C:C,'09. Khách hàng mới'!B99,'01. KE30'!A:A,6)</f>
        <v>54190.277777777781</v>
      </c>
      <c r="M99" s="978">
        <f>SUMIFS('01. KE30'!Z:Z,'01. KE30'!F:F,'09. Khách hàng mới'!E99,'01. KE30'!C:C,'09. Khách hàng mới'!B99,'01. KE30'!A:A,6)</f>
        <v>6720.0010030864196</v>
      </c>
      <c r="N99" s="964">
        <f t="shared" si="7"/>
        <v>0.12400750242771669</v>
      </c>
      <c r="O99" s="962"/>
    </row>
    <row r="100" spans="1:16" x14ac:dyDescent="0.35">
      <c r="A100" s="961">
        <v>12</v>
      </c>
      <c r="B100" s="962" t="s">
        <v>909</v>
      </c>
      <c r="C100" s="962" t="s">
        <v>945</v>
      </c>
      <c r="D100" s="961" t="str">
        <f>_xlfn.XLOOKUP(B100,'06. BC BH THEO CUSTOMER-USD'!$D:$D,'06. BC BH THEO CUSTOMER-USD'!$F:$F,0)</f>
        <v>Mỹ</v>
      </c>
      <c r="E100" s="962" t="s">
        <v>375</v>
      </c>
      <c r="F100" s="962" t="s">
        <v>376</v>
      </c>
      <c r="G100" s="962" t="str">
        <f>_xlfn.XLOOKUP(E100,'01. KE30'!F:F,'01. KE30'!E:E)</f>
        <v>rHDPE thổi</v>
      </c>
      <c r="H100" s="983">
        <v>4.125</v>
      </c>
      <c r="I100" s="963">
        <f t="shared" si="8"/>
        <v>1397.7306397306397</v>
      </c>
      <c r="J100" s="1108">
        <v>1350</v>
      </c>
      <c r="K100" s="963">
        <f>SUMIFS('01. KE30'!AA:AA,'01. KE30'!F:F,'09. Khách hàng mới'!E100,'01. KE30'!C:C,'09. Khách hàng mới'!B100,'01. KE30'!A:A,6)</f>
        <v>4534.4075231481484</v>
      </c>
      <c r="L100" s="963">
        <f>SUMIFS('01. KE30'!X:X,'01. KE30'!F:F,'09. Khách hàng mới'!E100,'01. KE30'!C:C,'09. Khách hàng mới'!B100,'01. KE30'!A:A,6)</f>
        <v>5765.6388888888887</v>
      </c>
      <c r="M100" s="978">
        <f>SUMIFS('01. KE30'!Z:Z,'01. KE30'!F:F,'09. Khách hàng mới'!E100,'01. KE30'!C:C,'09. Khách hàng mới'!B100,'01. KE30'!A:A,6)</f>
        <v>1231.2313657407408</v>
      </c>
      <c r="N100" s="964">
        <f t="shared" si="7"/>
        <v>0.21354638912844134</v>
      </c>
      <c r="O100" s="962"/>
    </row>
    <row r="101" spans="1:16" s="971" customFormat="1" x14ac:dyDescent="0.35">
      <c r="A101" s="968"/>
      <c r="B101" s="969" t="str">
        <f>"CỘNG THÁNG "&amp;C86</f>
        <v>CỘNG THÁNG 6</v>
      </c>
      <c r="C101" s="969">
        <f>COUNTA(C89:C100)</f>
        <v>12</v>
      </c>
      <c r="D101" s="969"/>
      <c r="E101" s="969"/>
      <c r="F101" s="969"/>
      <c r="G101" s="969"/>
      <c r="H101" s="982">
        <f>SUM(H89:H100)</f>
        <v>247.57500000000002</v>
      </c>
      <c r="I101" s="980"/>
      <c r="J101" s="982"/>
      <c r="K101" s="980"/>
      <c r="L101" s="980">
        <f>SUM(L89:L100)</f>
        <v>227601.74313271602</v>
      </c>
      <c r="M101" s="980">
        <f>SUM(M89:M100)</f>
        <v>-20598.252160493827</v>
      </c>
      <c r="N101" s="970">
        <f>M101/L101</f>
        <v>-9.0501293518138196E-2</v>
      </c>
      <c r="O101" s="969"/>
    </row>
    <row r="102" spans="1:16" s="971" customFormat="1" x14ac:dyDescent="0.35">
      <c r="A102" s="968"/>
      <c r="B102" s="969" t="s">
        <v>817</v>
      </c>
      <c r="C102" s="969">
        <f>C101+C84</f>
        <v>63</v>
      </c>
      <c r="D102" s="969"/>
      <c r="E102" s="969"/>
      <c r="F102" s="969"/>
      <c r="G102" s="969"/>
      <c r="H102" s="982">
        <f>H101+H84</f>
        <v>1430.8</v>
      </c>
      <c r="I102" s="980"/>
      <c r="J102" s="982"/>
      <c r="K102" s="980"/>
      <c r="L102" s="980">
        <f>L101+L84</f>
        <v>561664.4017783117</v>
      </c>
      <c r="M102" s="980">
        <f>M101+M84</f>
        <v>34809.555216653433</v>
      </c>
      <c r="N102" s="970">
        <f>M102/L102</f>
        <v>6.1975719141966777E-2</v>
      </c>
      <c r="O102" s="969"/>
    </row>
    <row r="104" spans="1:16" ht="18.5" x14ac:dyDescent="0.45">
      <c r="B104" s="951" t="s">
        <v>437</v>
      </c>
      <c r="C104" s="952">
        <v>7</v>
      </c>
      <c r="D104" s="952"/>
    </row>
    <row r="106" spans="1:16" s="956" customFormat="1" ht="43.5" x14ac:dyDescent="0.35">
      <c r="A106" s="953" t="s">
        <v>174</v>
      </c>
      <c r="B106" s="953" t="s">
        <v>564</v>
      </c>
      <c r="C106" s="953" t="s">
        <v>481</v>
      </c>
      <c r="D106" s="953" t="s">
        <v>172</v>
      </c>
      <c r="E106" s="953" t="s">
        <v>422</v>
      </c>
      <c r="F106" s="953" t="s">
        <v>423</v>
      </c>
      <c r="G106" s="953" t="s">
        <v>411</v>
      </c>
      <c r="H106" s="953" t="s">
        <v>424</v>
      </c>
      <c r="I106" s="954" t="s">
        <v>482</v>
      </c>
      <c r="J106" s="953" t="s">
        <v>483</v>
      </c>
      <c r="K106" s="954" t="s">
        <v>484</v>
      </c>
      <c r="L106" s="954" t="s">
        <v>427</v>
      </c>
      <c r="M106" s="976" t="s">
        <v>429</v>
      </c>
      <c r="N106" s="955" t="s">
        <v>425</v>
      </c>
      <c r="O106" s="953" t="s">
        <v>294</v>
      </c>
      <c r="P106" s="946"/>
    </row>
    <row r="107" spans="1:16" ht="18.5" customHeight="1" x14ac:dyDescent="0.35">
      <c r="A107" s="957">
        <v>1</v>
      </c>
      <c r="B107" s="958" t="s">
        <v>961</v>
      </c>
      <c r="C107" s="958" t="s">
        <v>962</v>
      </c>
      <c r="D107" s="961" t="s">
        <v>245</v>
      </c>
      <c r="E107" s="958" t="s">
        <v>231</v>
      </c>
      <c r="F107" s="958" t="s">
        <v>232</v>
      </c>
      <c r="G107" s="958" t="str">
        <f>_xlfn.XLOOKUP(E107,'01. KE30'!F:F,'01. KE30'!E:E)</f>
        <v>rPP</v>
      </c>
      <c r="H107" s="958">
        <v>0.1</v>
      </c>
      <c r="I107" s="959">
        <f>L107/H107</f>
        <v>806.76142912024579</v>
      </c>
      <c r="J107" s="1107">
        <v>790</v>
      </c>
      <c r="K107" s="959">
        <f>SUMIFS('01. KE30'!AA:AA,'01. KE30'!F:F,'09. Khách hàng mới'!E107,'01. KE30'!C:C,'09. Khách hàng mới'!B107,'01. KE30'!A:A,7)</f>
        <v>138.7732232039954</v>
      </c>
      <c r="L107" s="959">
        <f>SUMIFS('01. KE30'!X:X,'01. KE30'!F:F,'09. Khách hàng mới'!E107,'01. KE30'!C:C,'09. Khách hàng mới'!B107,'01. KE30'!A:A,7)</f>
        <v>80.676142912024588</v>
      </c>
      <c r="M107" s="977">
        <f>SUMIFS('01. KE30'!Z:Z,'01. KE30'!F:F,'09. Khách hàng mới'!E107,'01. KE30'!C:C,'09. Khách hàng mới'!B107,'01. KE30'!A:A,7)</f>
        <v>-58.097080291970805</v>
      </c>
      <c r="N107" s="960">
        <f t="shared" ref="N107:N110" si="9">M107/L107</f>
        <v>-0.72012714285714285</v>
      </c>
      <c r="O107" s="958"/>
    </row>
    <row r="108" spans="1:16" ht="18.5" customHeight="1" x14ac:dyDescent="0.35">
      <c r="A108" s="961">
        <v>2</v>
      </c>
      <c r="B108" s="962" t="s">
        <v>963</v>
      </c>
      <c r="C108" s="962" t="s">
        <v>964</v>
      </c>
      <c r="D108" s="961" t="s">
        <v>245</v>
      </c>
      <c r="E108" s="962" t="s">
        <v>52</v>
      </c>
      <c r="F108" s="962" t="s">
        <v>51</v>
      </c>
      <c r="G108" s="962" t="str">
        <f>_xlfn.XLOOKUP(E108,'01. KE30'!F:F,'01. KE30'!E:E)</f>
        <v>rHDPE thổi</v>
      </c>
      <c r="H108" s="983">
        <v>1.375</v>
      </c>
      <c r="I108" s="963">
        <f t="shared" ref="I108:I110" si="10">L108/H108</f>
        <v>691.50979638878209</v>
      </c>
      <c r="J108" s="1108">
        <v>950</v>
      </c>
      <c r="K108" s="963">
        <f>SUMIFS('01. KE30'!AA:AA,'01. KE30'!F:F,'09. Khách hàng mới'!E108,'01. KE30'!C:C,'09. Khách hàng mới'!B108,'01. KE30'!A:A,7)</f>
        <v>1132.9628121398387</v>
      </c>
      <c r="L108" s="963">
        <f>SUMIFS('01. KE30'!X:X,'01. KE30'!F:F,'09. Khách hàng mới'!E108,'01. KE30'!C:C,'09. Khách hàng mới'!B108,'01. KE30'!A:A,7)</f>
        <v>950.82597003457545</v>
      </c>
      <c r="M108" s="978">
        <f>SUMIFS('01. KE30'!Z:Z,'01. KE30'!F:F,'09. Khách hàng mới'!E108,'01. KE30'!C:C,'09. Khách hàng mới'!B108,'01. KE30'!A:A,7)</f>
        <v>-182.13684210526316</v>
      </c>
      <c r="N108" s="964">
        <f t="shared" si="9"/>
        <v>-0.19155644444444445</v>
      </c>
      <c r="O108" s="962"/>
    </row>
    <row r="109" spans="1:16" ht="18.5" customHeight="1" x14ac:dyDescent="0.35">
      <c r="A109" s="961">
        <v>3</v>
      </c>
      <c r="B109" s="962" t="s">
        <v>965</v>
      </c>
      <c r="C109" s="962" t="s">
        <v>966</v>
      </c>
      <c r="D109" s="961" t="s">
        <v>245</v>
      </c>
      <c r="E109" s="962" t="s">
        <v>19</v>
      </c>
      <c r="F109" s="962" t="s">
        <v>18</v>
      </c>
      <c r="G109" s="962" t="str">
        <f>_xlfn.XLOOKUP(E109,'01. KE30'!F:F,'01. KE30'!E:E)</f>
        <v>rPP</v>
      </c>
      <c r="H109" s="983">
        <v>6</v>
      </c>
      <c r="I109" s="963">
        <f t="shared" si="10"/>
        <v>622.50110129337941</v>
      </c>
      <c r="J109" s="1108">
        <v>680</v>
      </c>
      <c r="K109" s="963">
        <f>SUMIFS('01. KE30'!AA:AA,'01. KE30'!F:F,'09. Khách hàng mới'!E109,'01. KE30'!C:C,'09. Khách hàng mới'!B109,'01. KE30'!A:A,7)</f>
        <v>4698.408298117557</v>
      </c>
      <c r="L109" s="963">
        <f>SUMIFS('01. KE30'!X:X,'01. KE30'!F:F,'09. Khách hàng mới'!E109,'01. KE30'!C:C,'09. Khách hàng mới'!B109,'01. KE30'!A:A,7)</f>
        <v>3735.0066077602764</v>
      </c>
      <c r="M109" s="978">
        <f>SUMIFS('01. KE30'!Z:Z,'01. KE30'!F:F,'09. Khách hàng mới'!E109,'01. KE30'!C:C,'09. Khách hàng mới'!B109,'01. KE30'!A:A,7)</f>
        <v>-963.40169035728002</v>
      </c>
      <c r="N109" s="964">
        <f t="shared" si="9"/>
        <v>-0.2579384165895735</v>
      </c>
      <c r="O109" s="962"/>
    </row>
    <row r="110" spans="1:16" ht="18.5" customHeight="1" x14ac:dyDescent="0.35">
      <c r="A110" s="961">
        <v>4</v>
      </c>
      <c r="B110" s="962" t="s">
        <v>967</v>
      </c>
      <c r="C110" s="962" t="s">
        <v>968</v>
      </c>
      <c r="D110" s="961" t="s">
        <v>245</v>
      </c>
      <c r="E110" s="962" t="s">
        <v>918</v>
      </c>
      <c r="F110" s="962" t="s">
        <v>921</v>
      </c>
      <c r="G110" s="962" t="str">
        <f>_xlfn.XLOOKUP(E110,'01. KE30'!F:F,'01. KE30'!E:E)</f>
        <v>rPET</v>
      </c>
      <c r="H110" s="962">
        <v>0.03</v>
      </c>
      <c r="I110" s="963">
        <f t="shared" si="10"/>
        <v>1306.1851709565885</v>
      </c>
      <c r="J110" s="1108">
        <v>1280</v>
      </c>
      <c r="K110" s="963">
        <f>SUMIFS('01. KE30'!AA:AA,'01. KE30'!F:F,'09. Khách hàng mới'!E110,'01. KE30'!C:C,'09. Khách hàng mới'!B110,'01. KE30'!A:A,7)</f>
        <v>34.12066845946984</v>
      </c>
      <c r="L110" s="963">
        <f>SUMIFS('01. KE30'!X:X,'01. KE30'!F:F,'09. Khách hàng mới'!E110,'01. KE30'!C:C,'09. Khách hàng mới'!B110,'01. KE30'!A:A,7)</f>
        <v>39.185555128697658</v>
      </c>
      <c r="M110" s="978">
        <f>SUMIFS('01. KE30'!Z:Z,'01. KE30'!F:F,'09. Khách hàng mới'!E110,'01. KE30'!C:C,'09. Khách hàng mới'!B110,'01. KE30'!A:A,7)</f>
        <v>5.0648866692278141</v>
      </c>
      <c r="N110" s="964">
        <f t="shared" si="9"/>
        <v>0.12925392156862744</v>
      </c>
      <c r="O110" s="962"/>
    </row>
    <row r="111" spans="1:16" s="971" customFormat="1" x14ac:dyDescent="0.35">
      <c r="A111" s="968"/>
      <c r="B111" s="969" t="str">
        <f>"CỘNG THÁNG "&amp;C104</f>
        <v>CỘNG THÁNG 7</v>
      </c>
      <c r="C111" s="969">
        <f>COUNTA(C107:C110)</f>
        <v>4</v>
      </c>
      <c r="D111" s="969"/>
      <c r="E111" s="969"/>
      <c r="F111" s="969"/>
      <c r="G111" s="969"/>
      <c r="H111" s="982">
        <f>SUM(H107:H110)</f>
        <v>7.5049999999999999</v>
      </c>
      <c r="I111" s="980"/>
      <c r="J111" s="982"/>
      <c r="K111" s="980"/>
      <c r="L111" s="980">
        <f>SUM(L107:L110)</f>
        <v>4805.6942758355744</v>
      </c>
      <c r="M111" s="980">
        <f>SUM(M107:M110)</f>
        <v>-1198.570726085286</v>
      </c>
      <c r="N111" s="970">
        <f>M111/L111</f>
        <v>-0.24940636197188978</v>
      </c>
      <c r="O111" s="969"/>
    </row>
    <row r="112" spans="1:16" s="971" customFormat="1" x14ac:dyDescent="0.35">
      <c r="A112" s="968"/>
      <c r="B112" s="969" t="s">
        <v>817</v>
      </c>
      <c r="C112" s="969">
        <f>C111+C102</f>
        <v>67</v>
      </c>
      <c r="D112" s="969"/>
      <c r="E112" s="969"/>
      <c r="F112" s="969"/>
      <c r="G112" s="969"/>
      <c r="H112" s="982">
        <f>H111+H102</f>
        <v>1438.3050000000001</v>
      </c>
      <c r="I112" s="980"/>
      <c r="J112" s="982"/>
      <c r="K112" s="980"/>
      <c r="L112" s="980">
        <f>L111+L102</f>
        <v>566470.09605414723</v>
      </c>
      <c r="M112" s="980">
        <f>M111+M102</f>
        <v>33610.984490568146</v>
      </c>
      <c r="N112" s="970">
        <f>M112/L112</f>
        <v>5.9334084402145333E-2</v>
      </c>
      <c r="O112" s="969"/>
    </row>
    <row r="113" spans="1:16" x14ac:dyDescent="0.35">
      <c r="G113" s="1217" t="str">
        <f>"Kế hoạch T"&amp;C104</f>
        <v>Kế hoạch T7</v>
      </c>
      <c r="H113" s="1219">
        <v>739.5</v>
      </c>
      <c r="I113" s="1218" t="s">
        <v>1000</v>
      </c>
    </row>
    <row r="116" spans="1:16" ht="18.5" x14ac:dyDescent="0.45">
      <c r="B116" s="951" t="s">
        <v>437</v>
      </c>
      <c r="C116" s="952">
        <v>8</v>
      </c>
      <c r="D116" s="952"/>
    </row>
    <row r="118" spans="1:16" s="956" customFormat="1" ht="43.5" x14ac:dyDescent="0.35">
      <c r="A118" s="953" t="s">
        <v>174</v>
      </c>
      <c r="B118" s="953" t="s">
        <v>564</v>
      </c>
      <c r="C118" s="953" t="s">
        <v>481</v>
      </c>
      <c r="D118" s="953" t="s">
        <v>172</v>
      </c>
      <c r="E118" s="953" t="s">
        <v>422</v>
      </c>
      <c r="F118" s="953" t="s">
        <v>423</v>
      </c>
      <c r="G118" s="953" t="s">
        <v>411</v>
      </c>
      <c r="H118" s="953" t="s">
        <v>424</v>
      </c>
      <c r="I118" s="954" t="s">
        <v>482</v>
      </c>
      <c r="J118" s="953" t="s">
        <v>483</v>
      </c>
      <c r="K118" s="954" t="s">
        <v>484</v>
      </c>
      <c r="L118" s="954" t="s">
        <v>427</v>
      </c>
      <c r="M118" s="976" t="s">
        <v>429</v>
      </c>
      <c r="N118" s="955" t="s">
        <v>425</v>
      </c>
      <c r="O118" s="953" t="s">
        <v>294</v>
      </c>
      <c r="P118" s="946"/>
    </row>
    <row r="119" spans="1:16" ht="18.5" customHeight="1" x14ac:dyDescent="0.35">
      <c r="A119" s="957">
        <v>1</v>
      </c>
      <c r="B119" s="958" t="s">
        <v>1003</v>
      </c>
      <c r="C119" s="958" t="s">
        <v>1004</v>
      </c>
      <c r="D119" s="961" t="s">
        <v>245</v>
      </c>
      <c r="E119" s="958" t="s">
        <v>127</v>
      </c>
      <c r="F119" s="958" t="s">
        <v>114</v>
      </c>
      <c r="G119" s="958" t="str">
        <f>_xlfn.XLOOKUP(E119,'01. KE30'!F:F,'01. KE30'!E:E)</f>
        <v>rPET</v>
      </c>
      <c r="H119" s="958">
        <v>88</v>
      </c>
      <c r="I119" s="959">
        <f>L119/H119</f>
        <v>1369.85179526356</v>
      </c>
      <c r="J119" s="1107">
        <v>1440</v>
      </c>
      <c r="K119" s="959">
        <f>SUMIFS('01. KE30'!AA:AA,'01. KE30'!F:F,'09. Khách hàng mới'!E119,'01. KE30'!C:C,'09. Khách hàng mới'!B119,'01. KE30'!A:A,8)</f>
        <v>98486.978456837285</v>
      </c>
      <c r="L119" s="959">
        <f>SUMIFS('01. KE30'!X:X,'01. KE30'!F:F,'09. Khách hàng mới'!E119,'01. KE30'!C:C,'09. Khách hàng mới'!B119,'01. KE30'!A:A,8)</f>
        <v>120546.95798319328</v>
      </c>
      <c r="M119" s="977">
        <f>SUMIFS('01. KE30'!Z:Z,'01. KE30'!F:F,'09. Khách hàng mới'!E119,'01. KE30'!C:C,'09. Khách hàng mới'!B119,'01. KE30'!A:A,8)</f>
        <v>22059.979526355997</v>
      </c>
      <c r="N119" s="960">
        <f t="shared" ref="N119:N123" si="11">M119/L119</f>
        <v>0.18299905609755504</v>
      </c>
      <c r="O119" s="958"/>
    </row>
    <row r="120" spans="1:16" ht="18.5" customHeight="1" x14ac:dyDescent="0.35">
      <c r="A120" s="961">
        <v>2</v>
      </c>
      <c r="B120" s="962" t="s">
        <v>1005</v>
      </c>
      <c r="C120" s="962" t="s">
        <v>1006</v>
      </c>
      <c r="D120" s="961" t="s">
        <v>245</v>
      </c>
      <c r="E120" s="962" t="s">
        <v>87</v>
      </c>
      <c r="F120" s="962" t="s">
        <v>86</v>
      </c>
      <c r="G120" s="962" t="str">
        <f>_xlfn.XLOOKUP(E120,'01. KE30'!F:F,'01. KE30'!E:E)</f>
        <v>Xơ sợi</v>
      </c>
      <c r="H120" s="983">
        <v>10.5</v>
      </c>
      <c r="I120" s="963">
        <f t="shared" ref="I120:I123" si="12">L120/H120</f>
        <v>679.90832696715051</v>
      </c>
      <c r="J120" s="1108">
        <v>780</v>
      </c>
      <c r="K120" s="963">
        <f>SUMIFS('01. KE30'!AA:AA,'01. KE30'!F:F,'09. Khách hàng mới'!E120,'01. KE30'!C:C,'09. Khách hàng mới'!B120,'01. KE30'!A:A,8)</f>
        <v>11285.849694423225</v>
      </c>
      <c r="L120" s="963">
        <f>SUMIFS('01. KE30'!X:X,'01. KE30'!F:F,'09. Khách hàng mới'!E120,'01. KE30'!C:C,'09. Khách hàng mới'!B120,'01. KE30'!A:A,8)</f>
        <v>7139.0374331550802</v>
      </c>
      <c r="M120" s="978">
        <f>SUMIFS('01. KE30'!Z:Z,'01. KE30'!F:F,'09. Khách hàng mới'!E120,'01. KE30'!C:C,'09. Khách hàng mới'!B120,'01. KE30'!A:A,8)</f>
        <v>-4146.8122612681436</v>
      </c>
      <c r="N120" s="964">
        <f t="shared" si="11"/>
        <v>-0.58086433921883363</v>
      </c>
      <c r="O120" s="962"/>
    </row>
    <row r="121" spans="1:16" ht="18.5" customHeight="1" x14ac:dyDescent="0.35">
      <c r="A121" s="961">
        <v>3</v>
      </c>
      <c r="B121" s="962" t="s">
        <v>1007</v>
      </c>
      <c r="C121" s="962" t="s">
        <v>1008</v>
      </c>
      <c r="D121" s="961" t="s">
        <v>245</v>
      </c>
      <c r="E121" s="962" t="s">
        <v>231</v>
      </c>
      <c r="F121" s="962" t="s">
        <v>232</v>
      </c>
      <c r="G121" s="962" t="str">
        <f>_xlfn.XLOOKUP(E121,'01. KE30'!F:F,'01. KE30'!E:E)</f>
        <v>rPP</v>
      </c>
      <c r="H121" s="983">
        <v>0.05</v>
      </c>
      <c r="I121" s="963">
        <f t="shared" si="12"/>
        <v>1353.7051184110005</v>
      </c>
      <c r="J121" s="1108">
        <v>769.5</v>
      </c>
      <c r="K121" s="963">
        <f>SUMIFS('01. KE30'!AA:AA,'01. KE30'!F:F,'09. Khách hàng mới'!E121,'01. KE30'!C:C,'09. Khách hàng mới'!B121,'01. KE30'!A:A,8)</f>
        <v>68.989075630252103</v>
      </c>
      <c r="L121" s="963">
        <f>SUMIFS('01. KE30'!X:X,'01. KE30'!F:F,'09. Khách hàng mới'!E121,'01. KE30'!C:C,'09. Khách hàng mới'!B121,'01. KE30'!A:A,8)</f>
        <v>67.685255920550034</v>
      </c>
      <c r="M121" s="978">
        <f>SUMIFS('01. KE30'!Z:Z,'01. KE30'!F:F,'09. Khách hàng mới'!E121,'01. KE30'!C:C,'09. Khách hàng mới'!B121,'01. KE30'!A:A,8)</f>
        <v>-1.3038197097020627</v>
      </c>
      <c r="N121" s="964">
        <f t="shared" si="11"/>
        <v>-1.9262979683972916E-2</v>
      </c>
      <c r="O121" s="962"/>
    </row>
    <row r="122" spans="1:16" ht="18.5" customHeight="1" x14ac:dyDescent="0.35">
      <c r="A122" s="961">
        <v>4</v>
      </c>
      <c r="B122" s="962" t="s">
        <v>1009</v>
      </c>
      <c r="C122" s="962" t="s">
        <v>1010</v>
      </c>
      <c r="D122" s="961" t="s">
        <v>175</v>
      </c>
      <c r="E122" s="962" t="s">
        <v>100</v>
      </c>
      <c r="F122" s="962" t="s">
        <v>99</v>
      </c>
      <c r="G122" s="962" t="str">
        <f>_xlfn.XLOOKUP(E122,'01. KE30'!F:F,'01. KE30'!E:E)</f>
        <v>rPET</v>
      </c>
      <c r="H122" s="983">
        <v>330</v>
      </c>
      <c r="I122" s="963">
        <f t="shared" si="12"/>
        <v>1273.8200337986434</v>
      </c>
      <c r="J122" s="1108">
        <f>+J123+30</f>
        <v>1250</v>
      </c>
      <c r="K122" s="963">
        <f>SUMIFS('01. KE30'!AA:AA,'01. KE30'!F:F,'09. Khách hàng mới'!E122,'01. KE30'!C:C,'09. Khách hàng mới'!B122,'01. KE30'!A:A,8)</f>
        <v>332189.70087853324</v>
      </c>
      <c r="L122" s="963">
        <f>SUMIFS('01. KE30'!X:X,'01. KE30'!F:F,'09. Khách hàng mới'!E122,'01. KE30'!C:C,'09. Khách hàng mới'!B122,'01. KE30'!A:A,8)</f>
        <v>420360.61115355231</v>
      </c>
      <c r="M122" s="978">
        <f>SUMIFS('01. KE30'!Z:Z,'01. KE30'!F:F,'09. Khách hàng mới'!E122,'01. KE30'!C:C,'09. Khách hàng mới'!B122,'01. KE30'!A:A,8)</f>
        <v>88170.910275019094</v>
      </c>
      <c r="N122" s="964">
        <f t="shared" si="11"/>
        <v>0.2097506472670233</v>
      </c>
      <c r="O122" s="962"/>
    </row>
    <row r="123" spans="1:16" ht="18.5" customHeight="1" x14ac:dyDescent="0.35">
      <c r="A123" s="961">
        <v>5</v>
      </c>
      <c r="B123" s="962" t="s">
        <v>1011</v>
      </c>
      <c r="C123" s="962" t="s">
        <v>1012</v>
      </c>
      <c r="D123" s="961" t="s">
        <v>245</v>
      </c>
      <c r="E123" s="962" t="s">
        <v>110</v>
      </c>
      <c r="F123" s="962" t="s">
        <v>109</v>
      </c>
      <c r="G123" s="962" t="str">
        <f>_xlfn.XLOOKUP(E123,'01. KE30'!F:F,'01. KE30'!E:E)</f>
        <v>rPET</v>
      </c>
      <c r="H123" s="962">
        <v>0.3</v>
      </c>
      <c r="I123" s="963">
        <f t="shared" si="12"/>
        <v>711.25897631779981</v>
      </c>
      <c r="J123" s="1108">
        <v>1220</v>
      </c>
      <c r="K123" s="963">
        <f>SUMIFS('01. KE30'!AA:AA,'01. KE30'!F:F,'09. Khách hàng mới'!E123,'01. KE30'!C:C,'09. Khách hàng mới'!B123,'01. KE30'!A:A,8)</f>
        <v>318.26378915202446</v>
      </c>
      <c r="L123" s="963">
        <f>SUMIFS('01. KE30'!X:X,'01. KE30'!F:F,'09. Khách hàng mới'!E123,'01. KE30'!C:C,'09. Khách hàng mới'!B123,'01. KE30'!A:A,8)</f>
        <v>213.37769289533995</v>
      </c>
      <c r="M123" s="978">
        <f>SUMIFS('01. KE30'!Z:Z,'01. KE30'!F:F,'09. Khách hàng mới'!E123,'01. KE30'!C:C,'09. Khách hàng mới'!B123,'01. KE30'!A:A,8)</f>
        <v>-104.8860962566845</v>
      </c>
      <c r="N123" s="964">
        <f t="shared" si="11"/>
        <v>-0.491551365250398</v>
      </c>
      <c r="O123" s="962"/>
    </row>
    <row r="124" spans="1:16" ht="18.5" customHeight="1" x14ac:dyDescent="0.35">
      <c r="A124" s="961"/>
      <c r="B124" s="962" t="s">
        <v>1013</v>
      </c>
      <c r="C124" s="962" t="s">
        <v>1014</v>
      </c>
      <c r="D124" s="961" t="s">
        <v>1033</v>
      </c>
      <c r="E124" s="962" t="s">
        <v>52</v>
      </c>
      <c r="F124" s="962" t="s">
        <v>51</v>
      </c>
      <c r="G124" s="962" t="str">
        <f>_xlfn.XLOOKUP(E124,'01. KE30'!F:F,'01. KE30'!E:E)</f>
        <v>rHDPE thổi</v>
      </c>
      <c r="H124" s="962">
        <v>27</v>
      </c>
      <c r="I124" s="963">
        <f t="shared" ref="I124" si="13">L124/H124</f>
        <v>645.02161106866993</v>
      </c>
      <c r="J124" s="1108">
        <v>1220</v>
      </c>
      <c r="K124" s="963">
        <f>SUMIFS('01. KE30'!AA:AA,'01. KE30'!F:F,'09. Khách hàng mới'!E124,'01. KE30'!C:C,'09. Khách hàng mới'!B124,'01. KE30'!A:A,8)</f>
        <v>22221.830519480518</v>
      </c>
      <c r="L124" s="963">
        <f>SUMIFS('01. KE30'!X:X,'01. KE30'!F:F,'09. Khách hàng mới'!E124,'01. KE30'!C:C,'09. Khách hàng mới'!B124,'01. KE30'!A:A,8)</f>
        <v>17415.583498854088</v>
      </c>
      <c r="M124" s="978">
        <f>SUMIFS('01. KE30'!Z:Z,'01. KE30'!F:F,'09. Khách hàng mới'!E124,'01. KE30'!C:C,'09. Khách hàng mới'!B124,'01. KE30'!A:A,8)</f>
        <v>-4806.2470206264325</v>
      </c>
      <c r="N124" s="964">
        <f t="shared" ref="N124" si="14">M124/L124</f>
        <v>-0.27597392995432363</v>
      </c>
      <c r="O124" s="962"/>
    </row>
    <row r="125" spans="1:16" s="971" customFormat="1" x14ac:dyDescent="0.35">
      <c r="A125" s="968"/>
      <c r="B125" s="969" t="str">
        <f>"CỘNG THÁNG "&amp;C116</f>
        <v>CỘNG THÁNG 8</v>
      </c>
      <c r="C125" s="969">
        <f>COUNTA(C119:C124)</f>
        <v>6</v>
      </c>
      <c r="D125" s="969"/>
      <c r="E125" s="969"/>
      <c r="F125" s="969"/>
      <c r="G125" s="969"/>
      <c r="H125" s="982">
        <f>SUM(H119:H124)</f>
        <v>455.85</v>
      </c>
      <c r="I125" s="980"/>
      <c r="J125" s="982"/>
      <c r="K125" s="980"/>
      <c r="L125" s="982">
        <f t="shared" ref="L125:M125" si="15">SUM(L119:L124)</f>
        <v>565743.25301757059</v>
      </c>
      <c r="M125" s="982">
        <f t="shared" si="15"/>
        <v>101171.64060351414</v>
      </c>
      <c r="N125" s="970">
        <f>M125/L125</f>
        <v>0.17882960170339318</v>
      </c>
      <c r="O125" s="969"/>
    </row>
    <row r="126" spans="1:16" s="971" customFormat="1" x14ac:dyDescent="0.35">
      <c r="A126" s="968"/>
      <c r="B126" s="969" t="s">
        <v>817</v>
      </c>
      <c r="C126" s="969">
        <f>+C125+C112</f>
        <v>73</v>
      </c>
      <c r="D126" s="969"/>
      <c r="E126" s="969"/>
      <c r="F126" s="969"/>
      <c r="G126" s="969"/>
      <c r="H126" s="982">
        <f>+H112+H125</f>
        <v>1894.1550000000002</v>
      </c>
      <c r="I126" s="980"/>
      <c r="J126" s="982"/>
      <c r="K126" s="980"/>
      <c r="L126" s="980">
        <f>+L112+L125</f>
        <v>1132213.3490717178</v>
      </c>
      <c r="M126" s="980">
        <f>+M112+M125</f>
        <v>134782.62509408229</v>
      </c>
      <c r="N126" s="970">
        <f>M126/L126</f>
        <v>0.11904348699349662</v>
      </c>
      <c r="O126" s="969"/>
    </row>
    <row r="127" spans="1:16" x14ac:dyDescent="0.35">
      <c r="G127" s="1217" t="str">
        <f>"Kế hoạch T"&amp;C116</f>
        <v>Kế hoạch T8</v>
      </c>
      <c r="H127" s="1219">
        <v>797</v>
      </c>
      <c r="I127" s="1218" t="s">
        <v>1000</v>
      </c>
    </row>
    <row r="129" spans="1:16" ht="18.5" x14ac:dyDescent="0.45">
      <c r="B129" s="951" t="s">
        <v>437</v>
      </c>
      <c r="C129" s="952">
        <v>9</v>
      </c>
      <c r="D129" s="952"/>
    </row>
    <row r="131" spans="1:16" s="956" customFormat="1" ht="43.5" x14ac:dyDescent="0.35">
      <c r="A131" s="953" t="s">
        <v>174</v>
      </c>
      <c r="B131" s="953" t="s">
        <v>564</v>
      </c>
      <c r="C131" s="953" t="s">
        <v>481</v>
      </c>
      <c r="D131" s="953" t="s">
        <v>172</v>
      </c>
      <c r="E131" s="953" t="s">
        <v>422</v>
      </c>
      <c r="F131" s="953" t="s">
        <v>423</v>
      </c>
      <c r="G131" s="953" t="s">
        <v>411</v>
      </c>
      <c r="H131" s="953" t="s">
        <v>424</v>
      </c>
      <c r="I131" s="954" t="s">
        <v>482</v>
      </c>
      <c r="J131" s="953" t="s">
        <v>483</v>
      </c>
      <c r="K131" s="954" t="s">
        <v>484</v>
      </c>
      <c r="L131" s="954" t="s">
        <v>427</v>
      </c>
      <c r="M131" s="976" t="s">
        <v>429</v>
      </c>
      <c r="N131" s="955" t="s">
        <v>425</v>
      </c>
      <c r="O131" s="953" t="s">
        <v>294</v>
      </c>
      <c r="P131" s="946"/>
    </row>
    <row r="132" spans="1:16" ht="18.5" customHeight="1" x14ac:dyDescent="0.35">
      <c r="A132" s="957">
        <v>1</v>
      </c>
      <c r="B132" s="958" t="s">
        <v>1068</v>
      </c>
      <c r="C132" s="958" t="s">
        <v>1069</v>
      </c>
      <c r="D132" s="961" t="s">
        <v>245</v>
      </c>
      <c r="E132" s="958" t="s">
        <v>1086</v>
      </c>
      <c r="F132" s="958" t="s">
        <v>1087</v>
      </c>
      <c r="G132" s="958" t="str">
        <f>_xlfn.XLOOKUP(E132,'01. KE30'!F:F,'01. KE30'!E:E)</f>
        <v>rPET</v>
      </c>
      <c r="H132" s="958">
        <v>19.8</v>
      </c>
      <c r="I132" s="959">
        <f>L132/H132</f>
        <v>733.42953342953342</v>
      </c>
      <c r="J132" s="1107">
        <v>722</v>
      </c>
      <c r="K132" s="959">
        <f>SUMIFS('01. KE30'!AA:AA,'01. KE30'!F:F,'09. Khách hàng mới'!E132,'01. KE30'!C:C,'09. Khách hàng mới'!B132,'01. KE30'!A:A,9)</f>
        <v>22551.024533333333</v>
      </c>
      <c r="L132" s="959">
        <f>SUMIFS('01. KE30'!X:X,'01. KE30'!F:F,'09. Khách hàng mới'!E132,'01. KE30'!C:C,'09. Khách hàng mới'!B132,'01. KE30'!A:A,9)</f>
        <v>14521.904761904761</v>
      </c>
      <c r="M132" s="977">
        <f>SUMIFS('01. KE30'!Z:Z,'01. KE30'!F:F,'09. Khách hàng mới'!E132,'01. KE30'!C:C,'09. Khách hàng mới'!B132,'01. KE30'!A:A,9)</f>
        <v>-8029.1197714285718</v>
      </c>
      <c r="N132" s="960">
        <f t="shared" ref="N132" si="16">M132/L132</f>
        <v>-0.55289715110178383</v>
      </c>
      <c r="O132" s="958"/>
    </row>
    <row r="133" spans="1:16" s="971" customFormat="1" x14ac:dyDescent="0.35">
      <c r="A133" s="968"/>
      <c r="B133" s="969" t="str">
        <f>"CỘNG THÁNG "&amp;C129</f>
        <v>CỘNG THÁNG 9</v>
      </c>
      <c r="C133" s="969">
        <f>COUNTA(C132:C132)</f>
        <v>1</v>
      </c>
      <c r="D133" s="969"/>
      <c r="E133" s="969"/>
      <c r="F133" s="969"/>
      <c r="G133" s="969"/>
      <c r="H133" s="982">
        <f>SUM(H132:H132)</f>
        <v>19.8</v>
      </c>
      <c r="I133" s="980"/>
      <c r="J133" s="982"/>
      <c r="K133" s="980"/>
      <c r="L133" s="982">
        <f>SUM(L132:L132)</f>
        <v>14521.904761904761</v>
      </c>
      <c r="M133" s="982">
        <f>SUM(M132:M132)</f>
        <v>-8029.1197714285718</v>
      </c>
      <c r="N133" s="970">
        <f>M133/L133</f>
        <v>-0.55289715110178383</v>
      </c>
      <c r="O133" s="969"/>
    </row>
    <row r="134" spans="1:16" s="971" customFormat="1" x14ac:dyDescent="0.35">
      <c r="A134" s="968"/>
      <c r="B134" s="969" t="s">
        <v>817</v>
      </c>
      <c r="C134" s="969">
        <f>+C133+C126</f>
        <v>74</v>
      </c>
      <c r="D134" s="969"/>
      <c r="E134" s="969"/>
      <c r="F134" s="969"/>
      <c r="G134" s="969"/>
      <c r="H134" s="982">
        <f>+H126+H133</f>
        <v>1913.9550000000002</v>
      </c>
      <c r="I134" s="980"/>
      <c r="J134" s="982"/>
      <c r="K134" s="980"/>
      <c r="L134" s="980">
        <f>+L126+L133</f>
        <v>1146735.2538336227</v>
      </c>
      <c r="M134" s="980">
        <f>+M126+M133</f>
        <v>126753.50532265373</v>
      </c>
      <c r="N134" s="970">
        <f>M134/L134</f>
        <v>0.11053423612722045</v>
      </c>
      <c r="O134" s="969"/>
    </row>
    <row r="135" spans="1:16" x14ac:dyDescent="0.35">
      <c r="G135" s="1217" t="str">
        <f>"Kế hoạch T"&amp;C129</f>
        <v>Kế hoạch T9</v>
      </c>
      <c r="H135" s="1219">
        <v>797</v>
      </c>
      <c r="I135" s="1218" t="s">
        <v>1000</v>
      </c>
    </row>
  </sheetData>
  <autoFilter ref="A88:P102" xr:uid="{CFF4A509-2840-4FD5-8A90-132CC59D71D0}"/>
  <conditionalFormatting sqref="M1:M124 M127:M132 M135:M1048576">
    <cfRule type="cellIs" dxfId="1" priority="1" operator="lessThan">
      <formula>0</formula>
    </cfRule>
  </conditionalFormatting>
  <hyperlinks>
    <hyperlink ref="A1" location="'00. DM'!A1" display="00. DM" xr:uid="{9065E1A2-6A77-4389-892D-65BBE82F3F04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42446-A0E5-4271-912C-6E5858F1EBAB}">
  <sheetPr>
    <tabColor rgb="FF00B0F0"/>
  </sheetPr>
  <dimension ref="A1:AW240"/>
  <sheetViews>
    <sheetView zoomScale="85" zoomScaleNormal="85" workbookViewId="0">
      <pane xSplit="2" ySplit="4" topLeftCell="O81" activePane="bottomRight" state="frozen"/>
      <selection pane="topRight" activeCell="C1" sqref="C1"/>
      <selection pane="bottomLeft" activeCell="A6" sqref="A6"/>
      <selection pane="bottomRight" activeCell="V86" sqref="V86"/>
    </sheetView>
  </sheetViews>
  <sheetFormatPr defaultRowHeight="14.5" outlineLevelRow="1" outlineLevelCol="1" x14ac:dyDescent="0.35"/>
  <cols>
    <col min="1" max="1" width="8.453125" customWidth="1"/>
    <col min="2" max="2" width="14.81640625" customWidth="1"/>
    <col min="3" max="14" width="8.81640625" hidden="1" customWidth="1" outlineLevel="1"/>
    <col min="15" max="15" width="9.08984375" bestFit="1" customWidth="1" collapsed="1"/>
    <col min="16" max="16" width="9.08984375" bestFit="1" customWidth="1"/>
    <col min="19" max="28" width="8.81640625" customWidth="1" outlineLevel="1"/>
    <col min="31" max="31" width="24.54296875" bestFit="1" customWidth="1"/>
    <col min="32" max="33" width="11.6328125" customWidth="1"/>
    <col min="34" max="35" width="10.453125" customWidth="1"/>
    <col min="36" max="36" width="37.08984375" customWidth="1"/>
  </cols>
  <sheetData>
    <row r="1" spans="1:49" ht="21" x14ac:dyDescent="0.5">
      <c r="A1" s="528" t="s">
        <v>587</v>
      </c>
      <c r="B1" s="297" t="s">
        <v>448</v>
      </c>
      <c r="E1" s="412"/>
      <c r="G1" s="368"/>
    </row>
    <row r="3" spans="1:49" ht="21" x14ac:dyDescent="0.5">
      <c r="A3" s="297">
        <v>1</v>
      </c>
      <c r="B3" s="297" t="s">
        <v>283</v>
      </c>
    </row>
    <row r="4" spans="1:49" s="364" customFormat="1" outlineLevel="1" x14ac:dyDescent="0.35">
      <c r="A4" s="365" t="s">
        <v>174</v>
      </c>
      <c r="B4" s="365" t="s">
        <v>439</v>
      </c>
      <c r="C4" s="914" t="s">
        <v>444</v>
      </c>
      <c r="D4" s="914">
        <v>2</v>
      </c>
      <c r="E4" s="914">
        <v>3</v>
      </c>
      <c r="F4" s="914">
        <v>4</v>
      </c>
      <c r="G4" s="914">
        <v>5</v>
      </c>
      <c r="H4" s="914" t="s">
        <v>871</v>
      </c>
      <c r="I4" s="914" t="s">
        <v>946</v>
      </c>
      <c r="J4" s="914" t="s">
        <v>989</v>
      </c>
      <c r="K4" s="914" t="s">
        <v>1049</v>
      </c>
      <c r="L4" s="914">
        <v>10</v>
      </c>
      <c r="M4" s="914">
        <v>11</v>
      </c>
      <c r="N4" s="914">
        <v>12</v>
      </c>
      <c r="O4" s="915" t="s">
        <v>445</v>
      </c>
      <c r="P4" s="915">
        <v>2</v>
      </c>
      <c r="Q4" s="915">
        <v>3</v>
      </c>
      <c r="R4" s="915">
        <v>4</v>
      </c>
      <c r="S4" s="915">
        <v>5</v>
      </c>
      <c r="T4" s="915">
        <v>6</v>
      </c>
      <c r="U4" s="915">
        <v>7</v>
      </c>
      <c r="V4" s="915">
        <v>8</v>
      </c>
      <c r="W4" s="915">
        <v>9</v>
      </c>
      <c r="X4" s="915">
        <v>10</v>
      </c>
      <c r="Y4" s="915">
        <v>11</v>
      </c>
      <c r="Z4" s="915">
        <v>12</v>
      </c>
      <c r="AA4" s="915" t="s">
        <v>808</v>
      </c>
      <c r="AB4" s="914" t="s">
        <v>809</v>
      </c>
    </row>
    <row r="5" spans="1:49" outlineLevel="1" x14ac:dyDescent="0.35">
      <c r="A5" s="320">
        <v>1</v>
      </c>
      <c r="B5" s="309" t="s">
        <v>497</v>
      </c>
      <c r="C5" s="345">
        <v>1209.2360848898684</v>
      </c>
      <c r="D5" s="345">
        <v>1217.8043152030207</v>
      </c>
      <c r="E5" s="345">
        <v>1206.4282103733492</v>
      </c>
      <c r="F5" s="345">
        <v>1199.88518</v>
      </c>
      <c r="G5" s="345">
        <v>1223.1470094254853</v>
      </c>
      <c r="H5" s="345">
        <v>1241.5677426035998</v>
      </c>
      <c r="I5" s="345">
        <v>1204.1292744704958</v>
      </c>
      <c r="J5" s="345">
        <v>1210.7205334007444</v>
      </c>
      <c r="K5" s="345">
        <v>1223.2281776256916</v>
      </c>
      <c r="L5" s="345">
        <v>1233.8948502169665</v>
      </c>
      <c r="M5" s="345">
        <v>1260.6705701881669</v>
      </c>
      <c r="N5" s="345">
        <v>1253.790604520035</v>
      </c>
      <c r="O5" s="345">
        <f>'05. BC BH THEO SKU-USD'!U6</f>
        <v>1213.9814607064466</v>
      </c>
      <c r="P5" s="345">
        <f>'05. BC BH THEO SKU-USD'!V6</f>
        <v>1245.5340927152079</v>
      </c>
      <c r="Q5" s="345">
        <f>'05. BC BH THEO SKU-USD'!W6</f>
        <v>1231.7094837950942</v>
      </c>
      <c r="R5" s="345">
        <f>'05. BC BH THEO SKU-USD'!X6</f>
        <v>1192.7136094661078</v>
      </c>
      <c r="S5" s="345">
        <f>'05. BC BH THEO SKU-USD'!Y6</f>
        <v>1199.7628172613076</v>
      </c>
      <c r="T5" s="345">
        <f>'05. BC BH THEO SKU-USD'!Z6</f>
        <v>1210.0385448108937</v>
      </c>
      <c r="U5" s="345">
        <f>'05. BC BH THEO SKU-USD'!AA6</f>
        <v>1198.6458034955947</v>
      </c>
      <c r="V5" s="345">
        <f>'05. BC BH THEO SKU-USD'!AB6</f>
        <v>1170.8319376466734</v>
      </c>
      <c r="W5" s="345">
        <f>'05. BC BH THEO SKU-USD'!AC6</f>
        <v>1206.9922364520946</v>
      </c>
      <c r="X5" s="345"/>
      <c r="Y5" s="345"/>
      <c r="Z5" s="345"/>
      <c r="AA5" s="636">
        <f>AVERAGE(O5:Z5)</f>
        <v>1207.80110959438</v>
      </c>
      <c r="AB5" s="636">
        <f>AVERAGE(C5:N5)</f>
        <v>1223.708546076452</v>
      </c>
    </row>
    <row r="6" spans="1:49" ht="15.5" outlineLevel="1" x14ac:dyDescent="0.35">
      <c r="A6" s="322">
        <v>2</v>
      </c>
      <c r="B6" s="310" t="s">
        <v>378</v>
      </c>
      <c r="C6" s="346">
        <v>1250</v>
      </c>
      <c r="D6" s="346">
        <v>1250</v>
      </c>
      <c r="E6" s="346">
        <v>1250</v>
      </c>
      <c r="F6" s="346">
        <v>1250</v>
      </c>
      <c r="G6" s="346">
        <v>1300</v>
      </c>
      <c r="H6" s="346">
        <v>1300</v>
      </c>
      <c r="I6" s="346">
        <v>1300</v>
      </c>
      <c r="J6" s="346">
        <v>1300</v>
      </c>
      <c r="K6" s="346">
        <v>1310</v>
      </c>
      <c r="L6" s="346">
        <v>1325</v>
      </c>
      <c r="M6" s="346">
        <v>1325</v>
      </c>
      <c r="N6" s="346">
        <v>1275</v>
      </c>
      <c r="O6" s="346">
        <v>1230</v>
      </c>
      <c r="P6" s="346">
        <v>1230</v>
      </c>
      <c r="Q6" s="346">
        <v>1230</v>
      </c>
      <c r="R6" s="346">
        <v>1250</v>
      </c>
      <c r="S6" s="346">
        <v>1250</v>
      </c>
      <c r="T6" s="346">
        <v>1250</v>
      </c>
      <c r="U6" s="346">
        <v>1250</v>
      </c>
      <c r="V6" s="346">
        <v>1220</v>
      </c>
      <c r="W6" s="346">
        <v>1220</v>
      </c>
      <c r="X6" s="346"/>
      <c r="Y6" s="346"/>
      <c r="Z6" s="346"/>
      <c r="AA6" s="637">
        <f t="shared" ref="AA6:AA10" si="0">AVERAGE(O6:Z6)</f>
        <v>1236.6666666666667</v>
      </c>
      <c r="AB6" s="637">
        <f t="shared" ref="AB6:AB10" si="1">AVERAGE(C6:N6)</f>
        <v>1286.25</v>
      </c>
      <c r="AE6" s="613" t="s">
        <v>813</v>
      </c>
      <c r="AF6" s="613" t="s">
        <v>380</v>
      </c>
      <c r="AG6" s="613" t="s">
        <v>382</v>
      </c>
      <c r="AH6" s="1057" t="s">
        <v>810</v>
      </c>
      <c r="AI6" s="1057" t="s">
        <v>812</v>
      </c>
      <c r="AJ6" s="1057" t="s">
        <v>439</v>
      </c>
      <c r="AW6" s="1214" t="s">
        <v>990</v>
      </c>
    </row>
    <row r="7" spans="1:49" outlineLevel="1" x14ac:dyDescent="0.35">
      <c r="A7" s="322">
        <v>3</v>
      </c>
      <c r="B7" s="310" t="s">
        <v>440</v>
      </c>
      <c r="C7" s="346">
        <v>1320</v>
      </c>
      <c r="D7" s="346">
        <v>1320</v>
      </c>
      <c r="E7" s="346">
        <v>1320</v>
      </c>
      <c r="F7" s="346">
        <v>1320</v>
      </c>
      <c r="G7" s="346">
        <v>1320</v>
      </c>
      <c r="H7" s="346">
        <v>1320</v>
      </c>
      <c r="I7" s="346">
        <v>1300</v>
      </c>
      <c r="J7" s="346">
        <v>1300</v>
      </c>
      <c r="K7" s="346">
        <v>1300</v>
      </c>
      <c r="L7" s="346">
        <v>1300</v>
      </c>
      <c r="M7" s="346">
        <v>1300</v>
      </c>
      <c r="N7" s="346">
        <v>1300</v>
      </c>
      <c r="O7" s="346">
        <v>1300</v>
      </c>
      <c r="P7" s="346">
        <v>1300</v>
      </c>
      <c r="Q7" s="346">
        <v>1250</v>
      </c>
      <c r="R7" s="346">
        <v>1250</v>
      </c>
      <c r="S7" s="346">
        <v>1250</v>
      </c>
      <c r="T7" s="346">
        <v>1250</v>
      </c>
      <c r="U7" s="346">
        <v>1280</v>
      </c>
      <c r="V7" s="346">
        <v>1280</v>
      </c>
      <c r="W7" s="346">
        <v>1280</v>
      </c>
      <c r="X7" s="346"/>
      <c r="Y7" s="346"/>
      <c r="Z7" s="346"/>
      <c r="AA7" s="637">
        <f t="shared" si="0"/>
        <v>1271.1111111111111</v>
      </c>
      <c r="AB7" s="637">
        <f t="shared" si="1"/>
        <v>1310</v>
      </c>
      <c r="AE7" s="309" t="s">
        <v>441</v>
      </c>
      <c r="AF7" s="445">
        <f>_xlfn.XLOOKUP(AE7,$B$5:$B$13,$AB$5:$AB$13,0)</f>
        <v>1374.2166666666665</v>
      </c>
      <c r="AG7" s="445">
        <f>_xlfn.XLOOKUP(AE7,$B$5:$B$13,$AA$5:$AA$13,0)</f>
        <v>1338.0833333333333</v>
      </c>
      <c r="AH7" s="445">
        <f>AG7-AF7</f>
        <v>-36.133333333333212</v>
      </c>
      <c r="AI7" s="559">
        <f>AH7/AF7</f>
        <v>-2.6293767358373778E-2</v>
      </c>
      <c r="AJ7" s="1306" t="s">
        <v>814</v>
      </c>
    </row>
    <row r="8" spans="1:49" outlineLevel="1" x14ac:dyDescent="0.35">
      <c r="A8" s="322">
        <v>4</v>
      </c>
      <c r="B8" s="310" t="s">
        <v>441</v>
      </c>
      <c r="C8" s="346">
        <v>1312.5</v>
      </c>
      <c r="D8" s="346">
        <v>1325</v>
      </c>
      <c r="E8" s="346">
        <v>1320</v>
      </c>
      <c r="F8" s="346">
        <v>1323.75</v>
      </c>
      <c r="G8" s="346">
        <v>1346.6</v>
      </c>
      <c r="H8" s="346">
        <v>1365</v>
      </c>
      <c r="I8" s="346">
        <v>1365</v>
      </c>
      <c r="J8" s="346">
        <v>1404</v>
      </c>
      <c r="K8" s="346">
        <v>1427.5</v>
      </c>
      <c r="L8" s="346">
        <v>1440</v>
      </c>
      <c r="M8" s="346">
        <v>1440</v>
      </c>
      <c r="N8" s="346">
        <v>1421.25</v>
      </c>
      <c r="O8" s="346">
        <v>1368.75</v>
      </c>
      <c r="P8" s="346">
        <v>1350</v>
      </c>
      <c r="Q8" s="346">
        <v>1350</v>
      </c>
      <c r="R8" s="346">
        <v>1360</v>
      </c>
      <c r="S8" s="346">
        <v>1360</v>
      </c>
      <c r="T8" s="346">
        <v>1360</v>
      </c>
      <c r="U8" s="346">
        <v>1324</v>
      </c>
      <c r="V8" s="346">
        <v>1295</v>
      </c>
      <c r="W8" s="346">
        <v>1275</v>
      </c>
      <c r="X8" s="346"/>
      <c r="Y8" s="346"/>
      <c r="Z8" s="346"/>
      <c r="AA8" s="637">
        <f t="shared" si="0"/>
        <v>1338.0833333333333</v>
      </c>
      <c r="AB8" s="637">
        <f t="shared" si="1"/>
        <v>1374.2166666666665</v>
      </c>
      <c r="AE8" s="310" t="s">
        <v>497</v>
      </c>
      <c r="AF8" s="446">
        <f t="shared" ref="AF8:AF11" si="2">_xlfn.XLOOKUP(AE8,$B$5:$B$13,$AB$5:$AB$13,0)</f>
        <v>1223.708546076452</v>
      </c>
      <c r="AG8" s="446">
        <f t="shared" ref="AG8:AG9" si="3">_xlfn.XLOOKUP(AE8,$B$5:$B$13,$AA$5:$AA$13,0)</f>
        <v>1207.80110959438</v>
      </c>
      <c r="AH8" s="446">
        <f t="shared" ref="AH8:AH9" si="4">AG8-AF8</f>
        <v>-15.907436482071944</v>
      </c>
      <c r="AI8" s="405">
        <f t="shared" ref="AI8:AI9" si="5">AH8/AF8</f>
        <v>-1.2999366992308409E-2</v>
      </c>
      <c r="AJ8" s="1307"/>
    </row>
    <row r="9" spans="1:49" ht="15.5" customHeight="1" outlineLevel="1" x14ac:dyDescent="0.35">
      <c r="A9" s="322">
        <v>5</v>
      </c>
      <c r="B9" s="310" t="s">
        <v>442</v>
      </c>
      <c r="C9" s="346">
        <v>1162</v>
      </c>
      <c r="D9" s="346">
        <v>1175</v>
      </c>
      <c r="E9" s="346">
        <v>1200</v>
      </c>
      <c r="F9" s="346">
        <v>1230</v>
      </c>
      <c r="G9" s="346">
        <v>1260</v>
      </c>
      <c r="H9" s="346">
        <v>1250</v>
      </c>
      <c r="I9" s="346">
        <v>1174</v>
      </c>
      <c r="J9" s="346">
        <v>1131</v>
      </c>
      <c r="K9" s="346">
        <v>1154.4175324983562</v>
      </c>
      <c r="L9" s="346">
        <v>1161.0768651093263</v>
      </c>
      <c r="M9" s="346">
        <v>1179.9225619184629</v>
      </c>
      <c r="N9" s="346">
        <v>1183.4455288794234</v>
      </c>
      <c r="O9" s="346">
        <v>1181</v>
      </c>
      <c r="P9" s="346">
        <v>1185</v>
      </c>
      <c r="Q9" s="346">
        <v>1191</v>
      </c>
      <c r="R9" s="346">
        <v>1189</v>
      </c>
      <c r="S9" s="346">
        <v>1208</v>
      </c>
      <c r="T9" s="346">
        <v>1168</v>
      </c>
      <c r="U9" s="346">
        <v>1185</v>
      </c>
      <c r="V9" s="346">
        <v>1163</v>
      </c>
      <c r="W9" s="346">
        <v>1186</v>
      </c>
      <c r="X9" s="346"/>
      <c r="Y9" s="346"/>
      <c r="Z9" s="346"/>
      <c r="AA9" s="637">
        <f t="shared" si="0"/>
        <v>1184</v>
      </c>
      <c r="AB9" s="637">
        <f t="shared" si="1"/>
        <v>1188.4052073671307</v>
      </c>
      <c r="AE9" s="310" t="s">
        <v>440</v>
      </c>
      <c r="AF9" s="446">
        <f t="shared" si="2"/>
        <v>1310</v>
      </c>
      <c r="AG9" s="446">
        <f t="shared" si="3"/>
        <v>1271.1111111111111</v>
      </c>
      <c r="AH9" s="446">
        <f t="shared" si="4"/>
        <v>-38.888888888888914</v>
      </c>
      <c r="AI9" s="405">
        <f t="shared" si="5"/>
        <v>-2.9686174724342682E-2</v>
      </c>
      <c r="AJ9" s="1307"/>
    </row>
    <row r="10" spans="1:49" outlineLevel="1" x14ac:dyDescent="0.35">
      <c r="A10" s="322">
        <v>6</v>
      </c>
      <c r="B10" s="310" t="s">
        <v>443</v>
      </c>
      <c r="C10" s="346">
        <v>930</v>
      </c>
      <c r="D10" s="346">
        <v>943.33333333333337</v>
      </c>
      <c r="E10" s="346">
        <v>940</v>
      </c>
      <c r="F10" s="346">
        <v>940</v>
      </c>
      <c r="G10" s="346">
        <v>942</v>
      </c>
      <c r="H10" s="346">
        <v>950</v>
      </c>
      <c r="I10" s="346">
        <v>947.5</v>
      </c>
      <c r="J10" s="346">
        <v>930</v>
      </c>
      <c r="K10" s="346">
        <v>880</v>
      </c>
      <c r="L10" s="346">
        <v>862.5</v>
      </c>
      <c r="M10" s="346">
        <v>852</v>
      </c>
      <c r="N10" s="346">
        <v>830</v>
      </c>
      <c r="O10" s="346">
        <v>820</v>
      </c>
      <c r="P10" s="346">
        <v>840</v>
      </c>
      <c r="Q10" s="346">
        <v>823</v>
      </c>
      <c r="R10" s="346">
        <v>765</v>
      </c>
      <c r="S10" s="346">
        <v>782</v>
      </c>
      <c r="T10" s="346">
        <v>808</v>
      </c>
      <c r="U10" s="346">
        <v>802</v>
      </c>
      <c r="V10" s="346">
        <v>795</v>
      </c>
      <c r="W10" s="346">
        <v>783</v>
      </c>
      <c r="X10" s="346"/>
      <c r="Y10" s="346"/>
      <c r="Z10" s="346"/>
      <c r="AA10" s="637">
        <f t="shared" si="0"/>
        <v>802</v>
      </c>
      <c r="AB10" s="637">
        <f t="shared" si="1"/>
        <v>912.27777777777783</v>
      </c>
      <c r="AE10" s="310" t="s">
        <v>443</v>
      </c>
      <c r="AF10" s="446">
        <f>_xlfn.XLOOKUP(AE10,$B$5:$B$13,$AB$5:$AB$13,0)</f>
        <v>912.27777777777783</v>
      </c>
      <c r="AG10" s="446">
        <f t="shared" ref="AG10" si="6">_xlfn.XLOOKUP(AE10,$B$5:$B$13,$AA$5:$AA$13,0)</f>
        <v>802</v>
      </c>
      <c r="AH10" s="446">
        <f t="shared" ref="AH10" si="7">AG10-AF10</f>
        <v>-110.27777777777783</v>
      </c>
      <c r="AI10" s="354">
        <f t="shared" ref="AI10" si="8">AH10/AF10</f>
        <v>-0.12088179769806959</v>
      </c>
      <c r="AJ10" s="1308"/>
    </row>
    <row r="11" spans="1:49" outlineLevel="1" x14ac:dyDescent="0.35">
      <c r="A11" s="322"/>
      <c r="B11" s="434" t="s">
        <v>496</v>
      </c>
      <c r="C11" s="433">
        <f t="shared" ref="C11:Y11" si="9">C10</f>
        <v>930</v>
      </c>
      <c r="D11" s="433">
        <f t="shared" si="9"/>
        <v>943.33333333333337</v>
      </c>
      <c r="E11" s="433">
        <f t="shared" si="9"/>
        <v>940</v>
      </c>
      <c r="F11" s="433">
        <f t="shared" si="9"/>
        <v>940</v>
      </c>
      <c r="G11" s="433">
        <f t="shared" si="9"/>
        <v>942</v>
      </c>
      <c r="H11" s="433">
        <f t="shared" si="9"/>
        <v>950</v>
      </c>
      <c r="I11" s="433">
        <f t="shared" si="9"/>
        <v>947.5</v>
      </c>
      <c r="J11" s="433">
        <f t="shared" si="9"/>
        <v>930</v>
      </c>
      <c r="K11" s="433">
        <f t="shared" si="9"/>
        <v>880</v>
      </c>
      <c r="L11" s="433">
        <f t="shared" si="9"/>
        <v>862.5</v>
      </c>
      <c r="M11" s="433">
        <f t="shared" si="9"/>
        <v>852</v>
      </c>
      <c r="N11" s="433">
        <f t="shared" si="9"/>
        <v>830</v>
      </c>
      <c r="O11" s="433">
        <f t="shared" si="9"/>
        <v>820</v>
      </c>
      <c r="P11" s="433">
        <f t="shared" si="9"/>
        <v>840</v>
      </c>
      <c r="Q11" s="433">
        <f t="shared" si="9"/>
        <v>823</v>
      </c>
      <c r="R11" s="433">
        <f t="shared" si="9"/>
        <v>765</v>
      </c>
      <c r="S11" s="433">
        <f t="shared" si="9"/>
        <v>782</v>
      </c>
      <c r="T11" s="433">
        <f t="shared" si="9"/>
        <v>808</v>
      </c>
      <c r="U11" s="433">
        <f t="shared" si="9"/>
        <v>802</v>
      </c>
      <c r="V11" s="433">
        <f t="shared" si="9"/>
        <v>795</v>
      </c>
      <c r="W11" s="433">
        <f t="shared" si="9"/>
        <v>783</v>
      </c>
      <c r="X11" s="433">
        <f t="shared" si="9"/>
        <v>0</v>
      </c>
      <c r="Y11" s="433">
        <f t="shared" si="9"/>
        <v>0</v>
      </c>
      <c r="Z11" s="433">
        <f t="shared" ref="Z11" si="10">Z10</f>
        <v>0</v>
      </c>
      <c r="AA11" s="916">
        <f t="shared" ref="AA11:AB11" si="11">AA10</f>
        <v>802</v>
      </c>
      <c r="AB11" s="916">
        <f t="shared" si="11"/>
        <v>912.27777777777783</v>
      </c>
      <c r="AE11" s="355" t="s">
        <v>494</v>
      </c>
      <c r="AF11" s="355">
        <f t="shared" si="2"/>
        <v>0.34137712863870251</v>
      </c>
      <c r="AG11" s="355">
        <f t="shared" ref="AG11" si="12">_xlfn.XLOOKUP(AE11,$B$5:$B$13,$AA$5:$AA$13,0)</f>
        <v>0.50598642094062352</v>
      </c>
      <c r="AH11" s="355">
        <f t="shared" ref="AH11" si="13">AG11-AF11</f>
        <v>0.16460929230192101</v>
      </c>
      <c r="AI11" s="355"/>
      <c r="AJ11" s="560" t="s">
        <v>815</v>
      </c>
    </row>
    <row r="12" spans="1:49" outlineLevel="1" x14ac:dyDescent="0.35">
      <c r="A12" s="322">
        <v>7</v>
      </c>
      <c r="B12" s="435" t="s">
        <v>495</v>
      </c>
      <c r="C12" s="433">
        <f>C5-C10</f>
        <v>279.23608488986838</v>
      </c>
      <c r="D12" s="433">
        <f t="shared" ref="D12:N12" si="14">D5-D10</f>
        <v>274.47098186968731</v>
      </c>
      <c r="E12" s="433">
        <f t="shared" si="14"/>
        <v>266.4282103733492</v>
      </c>
      <c r="F12" s="433">
        <f t="shared" si="14"/>
        <v>259.88517999999999</v>
      </c>
      <c r="G12" s="433">
        <f t="shared" si="14"/>
        <v>281.14700942548529</v>
      </c>
      <c r="H12" s="433">
        <f t="shared" si="14"/>
        <v>291.56774260359975</v>
      </c>
      <c r="I12" s="433">
        <f t="shared" si="14"/>
        <v>256.62927447049583</v>
      </c>
      <c r="J12" s="433">
        <f t="shared" si="14"/>
        <v>280.72053340074444</v>
      </c>
      <c r="K12" s="433">
        <f t="shared" si="14"/>
        <v>343.22817762569161</v>
      </c>
      <c r="L12" s="433">
        <f t="shared" si="14"/>
        <v>371.39485021696646</v>
      </c>
      <c r="M12" s="433">
        <f t="shared" si="14"/>
        <v>408.67057018816695</v>
      </c>
      <c r="N12" s="433">
        <f t="shared" si="14"/>
        <v>423.790604520035</v>
      </c>
      <c r="O12" s="433">
        <f>O5-O10</f>
        <v>393.98146070644657</v>
      </c>
      <c r="P12" s="433">
        <f>P5-P10</f>
        <v>405.53409271520786</v>
      </c>
      <c r="Q12" s="433">
        <f t="shared" ref="Q12:Y12" si="15">Q5-Q10</f>
        <v>408.70948379509423</v>
      </c>
      <c r="R12" s="433">
        <f t="shared" si="15"/>
        <v>427.71360946610775</v>
      </c>
      <c r="S12" s="433">
        <f t="shared" si="15"/>
        <v>417.76281726130765</v>
      </c>
      <c r="T12" s="433">
        <f t="shared" si="15"/>
        <v>402.03854481089365</v>
      </c>
      <c r="U12" s="433">
        <f t="shared" si="15"/>
        <v>396.64580349559469</v>
      </c>
      <c r="V12" s="433">
        <f t="shared" si="15"/>
        <v>375.8319376466734</v>
      </c>
      <c r="W12" s="433">
        <f t="shared" si="15"/>
        <v>423.99223645209463</v>
      </c>
      <c r="X12" s="433">
        <f t="shared" si="15"/>
        <v>0</v>
      </c>
      <c r="Y12" s="433">
        <f t="shared" si="15"/>
        <v>0</v>
      </c>
      <c r="Z12" s="433">
        <f t="shared" ref="Z12" si="16">Z5-Z10</f>
        <v>0</v>
      </c>
      <c r="AA12" s="916">
        <f t="shared" ref="AA12:AB12" si="17">AA5-AA10</f>
        <v>405.80110959438002</v>
      </c>
      <c r="AB12" s="916">
        <f t="shared" si="17"/>
        <v>311.43076829867414</v>
      </c>
    </row>
    <row r="13" spans="1:49" outlineLevel="1" x14ac:dyDescent="0.35">
      <c r="A13" s="322">
        <v>8</v>
      </c>
      <c r="B13" s="355" t="s">
        <v>494</v>
      </c>
      <c r="C13" s="355">
        <f>C12/C10</f>
        <v>0.30025385472028859</v>
      </c>
      <c r="D13" s="355">
        <f t="shared" ref="D13:N13" si="18">D12/D10</f>
        <v>0.29095863802440347</v>
      </c>
      <c r="E13" s="355">
        <f t="shared" si="18"/>
        <v>0.28343426635462682</v>
      </c>
      <c r="F13" s="355">
        <f t="shared" si="18"/>
        <v>0.27647359574468083</v>
      </c>
      <c r="G13" s="355">
        <f t="shared" si="18"/>
        <v>0.29845754716081241</v>
      </c>
      <c r="H13" s="355">
        <f t="shared" si="18"/>
        <v>0.3069134132669471</v>
      </c>
      <c r="I13" s="355">
        <f t="shared" si="18"/>
        <v>0.27084883849128849</v>
      </c>
      <c r="J13" s="355">
        <f t="shared" si="18"/>
        <v>0.30185003591477899</v>
      </c>
      <c r="K13" s="355">
        <f t="shared" si="18"/>
        <v>0.39003202002919501</v>
      </c>
      <c r="L13" s="355">
        <f t="shared" si="18"/>
        <v>0.43060272488923645</v>
      </c>
      <c r="M13" s="355">
        <f t="shared" si="18"/>
        <v>0.47966029364808327</v>
      </c>
      <c r="N13" s="355">
        <f t="shared" si="18"/>
        <v>0.51059108978317469</v>
      </c>
      <c r="O13" s="355">
        <f>O12/O10</f>
        <v>0.48046519598347143</v>
      </c>
      <c r="P13" s="355">
        <f>P5/P10-1</f>
        <v>0.48277868180381889</v>
      </c>
      <c r="Q13" s="355">
        <f t="shared" ref="Q13:Y13" si="19">Q5/Q10-1</f>
        <v>0.49660933632453741</v>
      </c>
      <c r="R13" s="355">
        <f t="shared" si="19"/>
        <v>0.55910275747203619</v>
      </c>
      <c r="S13" s="355">
        <f t="shared" si="19"/>
        <v>0.53422355148504819</v>
      </c>
      <c r="T13" s="355">
        <f t="shared" si="19"/>
        <v>0.49757245644912573</v>
      </c>
      <c r="U13" s="355">
        <f t="shared" si="19"/>
        <v>0.49457082730124036</v>
      </c>
      <c r="V13" s="355">
        <f t="shared" si="19"/>
        <v>0.47274457565619299</v>
      </c>
      <c r="W13" s="355">
        <f t="shared" si="19"/>
        <v>0.54149710913422044</v>
      </c>
      <c r="X13" s="355" t="e">
        <f t="shared" si="19"/>
        <v>#DIV/0!</v>
      </c>
      <c r="Y13" s="355" t="e">
        <f t="shared" si="19"/>
        <v>#DIV/0!</v>
      </c>
      <c r="Z13" s="355" t="e">
        <f t="shared" ref="Z13" si="20">Z5/Z10-1</f>
        <v>#DIV/0!</v>
      </c>
      <c r="AA13" s="917">
        <f t="shared" ref="AA13:AB13" si="21">AA12/AA10</f>
        <v>0.50598642094062352</v>
      </c>
      <c r="AB13" s="917">
        <f t="shared" si="21"/>
        <v>0.34137712863870251</v>
      </c>
    </row>
    <row r="14" spans="1:49" s="414" customFormat="1" x14ac:dyDescent="0.35">
      <c r="A14" s="413"/>
      <c r="B14" s="414" t="s">
        <v>488</v>
      </c>
      <c r="C14" s="415">
        <f t="shared" ref="C14:P14" si="22">C10</f>
        <v>930</v>
      </c>
      <c r="D14" s="416">
        <f t="shared" si="22"/>
        <v>943.33333333333337</v>
      </c>
      <c r="E14" s="416">
        <f t="shared" si="22"/>
        <v>940</v>
      </c>
      <c r="F14" s="416">
        <f t="shared" si="22"/>
        <v>940</v>
      </c>
      <c r="G14" s="416">
        <f t="shared" si="22"/>
        <v>942</v>
      </c>
      <c r="H14" s="416">
        <f t="shared" si="22"/>
        <v>950</v>
      </c>
      <c r="I14" s="416">
        <f t="shared" si="22"/>
        <v>947.5</v>
      </c>
      <c r="J14" s="416">
        <f t="shared" si="22"/>
        <v>930</v>
      </c>
      <c r="K14" s="416">
        <f t="shared" si="22"/>
        <v>880</v>
      </c>
      <c r="L14" s="416">
        <f t="shared" si="22"/>
        <v>862.5</v>
      </c>
      <c r="M14" s="416">
        <f t="shared" si="22"/>
        <v>852</v>
      </c>
      <c r="N14" s="416">
        <f t="shared" si="22"/>
        <v>830</v>
      </c>
      <c r="O14" s="416">
        <f t="shared" si="22"/>
        <v>820</v>
      </c>
      <c r="P14" s="416">
        <f t="shared" si="22"/>
        <v>840</v>
      </c>
      <c r="Q14" s="417"/>
      <c r="R14" s="417"/>
      <c r="S14" s="417"/>
      <c r="T14" s="417"/>
      <c r="U14" s="417"/>
      <c r="V14" s="417"/>
      <c r="W14" s="417"/>
      <c r="X14" s="417"/>
      <c r="Y14" s="417"/>
      <c r="Z14" s="417"/>
      <c r="AA14" s="417"/>
      <c r="AB14" s="417"/>
      <c r="AE14" s="412" t="s">
        <v>811</v>
      </c>
      <c r="AG14"/>
      <c r="AH14"/>
      <c r="AI14"/>
      <c r="AJ14"/>
    </row>
    <row r="15" spans="1:49" s="414" customFormat="1" ht="15.5" x14ac:dyDescent="0.35">
      <c r="A15" s="413"/>
      <c r="B15" s="414" t="s">
        <v>487</v>
      </c>
      <c r="C15" s="415">
        <f t="shared" ref="C15:P15" si="23">C5-C14</f>
        <v>279.23608488986838</v>
      </c>
      <c r="D15" s="416">
        <f t="shared" si="23"/>
        <v>274.47098186968731</v>
      </c>
      <c r="E15" s="416">
        <f t="shared" si="23"/>
        <v>266.4282103733492</v>
      </c>
      <c r="F15" s="416">
        <f t="shared" si="23"/>
        <v>259.88517999999999</v>
      </c>
      <c r="G15" s="416">
        <f t="shared" si="23"/>
        <v>281.14700942548529</v>
      </c>
      <c r="H15" s="416">
        <f t="shared" si="23"/>
        <v>291.56774260359975</v>
      </c>
      <c r="I15" s="416">
        <f t="shared" si="23"/>
        <v>256.62927447049583</v>
      </c>
      <c r="J15" s="416">
        <f t="shared" si="23"/>
        <v>280.72053340074444</v>
      </c>
      <c r="K15" s="416">
        <f t="shared" si="23"/>
        <v>343.22817762569161</v>
      </c>
      <c r="L15" s="416">
        <f t="shared" si="23"/>
        <v>371.39485021696646</v>
      </c>
      <c r="M15" s="416">
        <f t="shared" si="23"/>
        <v>408.67057018816695</v>
      </c>
      <c r="N15" s="416">
        <f t="shared" si="23"/>
        <v>423.790604520035</v>
      </c>
      <c r="O15" s="416">
        <f t="shared" si="23"/>
        <v>393.98146070644657</v>
      </c>
      <c r="P15" s="416">
        <f t="shared" si="23"/>
        <v>405.53409271520786</v>
      </c>
      <c r="Q15" s="417"/>
      <c r="R15" s="417"/>
      <c r="S15" s="417"/>
      <c r="T15" s="417"/>
      <c r="U15" s="417"/>
      <c r="V15" s="417"/>
      <c r="W15" s="417"/>
      <c r="X15" s="417"/>
      <c r="Y15" s="417"/>
      <c r="Z15" s="417"/>
      <c r="AA15" s="417"/>
      <c r="AB15" s="417"/>
      <c r="AW15" s="1214" t="s">
        <v>991</v>
      </c>
    </row>
    <row r="16" spans="1:49" x14ac:dyDescent="0.35">
      <c r="A16" s="173"/>
      <c r="C16" s="410"/>
      <c r="D16" s="410"/>
      <c r="E16" s="410"/>
      <c r="F16" s="410"/>
      <c r="G16" s="410"/>
      <c r="H16" s="410"/>
      <c r="I16" s="410"/>
      <c r="J16" s="410"/>
      <c r="K16" s="410"/>
      <c r="L16" s="410"/>
      <c r="M16" s="410"/>
      <c r="N16" s="410"/>
      <c r="O16" s="410"/>
      <c r="P16" s="410"/>
      <c r="Q16" s="410"/>
      <c r="R16" s="410"/>
      <c r="S16" s="410"/>
      <c r="T16" s="410"/>
      <c r="U16" s="410"/>
      <c r="V16" s="410"/>
      <c r="W16" s="410"/>
      <c r="X16" s="410"/>
      <c r="Y16" s="410"/>
      <c r="Z16" s="410"/>
      <c r="AA16" s="410"/>
      <c r="AB16" s="410"/>
      <c r="AE16" s="414"/>
      <c r="AG16" s="414"/>
      <c r="AH16" s="414"/>
      <c r="AI16" s="414"/>
      <c r="AJ16" s="414"/>
    </row>
    <row r="17" spans="1:31" x14ac:dyDescent="0.35">
      <c r="A17" s="173"/>
      <c r="C17" s="410"/>
      <c r="D17" s="410"/>
      <c r="E17" s="410"/>
      <c r="F17" s="410"/>
      <c r="G17" s="410"/>
      <c r="H17" s="410"/>
      <c r="I17" s="410"/>
      <c r="J17" s="410"/>
      <c r="K17" s="410"/>
      <c r="L17" s="410"/>
      <c r="M17" s="410"/>
      <c r="N17" s="410"/>
      <c r="O17" s="410"/>
      <c r="P17" s="410"/>
      <c r="Q17" s="410"/>
      <c r="R17" s="410"/>
      <c r="S17" s="410"/>
      <c r="T17" s="410"/>
      <c r="U17" s="410"/>
      <c r="V17" s="410"/>
      <c r="W17" s="410"/>
      <c r="X17" s="410"/>
      <c r="Y17" s="410"/>
      <c r="Z17" s="410"/>
      <c r="AA17" s="410"/>
      <c r="AB17" s="410"/>
      <c r="AE17" s="414"/>
    </row>
    <row r="29" spans="1:31" ht="18.5" customHeight="1" x14ac:dyDescent="0.35"/>
    <row r="40" spans="1:41" ht="21" x14ac:dyDescent="0.5">
      <c r="A40" s="297">
        <v>2</v>
      </c>
      <c r="B40" s="297" t="s">
        <v>449</v>
      </c>
    </row>
    <row r="41" spans="1:41" s="364" customFormat="1" outlineLevel="1" x14ac:dyDescent="0.35">
      <c r="A41" s="365" t="s">
        <v>174</v>
      </c>
      <c r="B41" s="365" t="s">
        <v>439</v>
      </c>
      <c r="C41" s="914" t="s">
        <v>444</v>
      </c>
      <c r="D41" s="914">
        <v>2</v>
      </c>
      <c r="E41" s="914">
        <v>3</v>
      </c>
      <c r="F41" s="914">
        <v>4</v>
      </c>
      <c r="G41" s="914">
        <v>5</v>
      </c>
      <c r="H41" s="914" t="s">
        <v>871</v>
      </c>
      <c r="I41" s="914" t="s">
        <v>946</v>
      </c>
      <c r="J41" s="914">
        <v>8</v>
      </c>
      <c r="K41" s="914" t="s">
        <v>1049</v>
      </c>
      <c r="L41" s="914">
        <v>10</v>
      </c>
      <c r="M41" s="914">
        <v>11</v>
      </c>
      <c r="N41" s="914">
        <v>12</v>
      </c>
      <c r="O41" s="915" t="s">
        <v>445</v>
      </c>
      <c r="P41" s="915">
        <v>2</v>
      </c>
      <c r="Q41" s="915">
        <v>3</v>
      </c>
      <c r="R41" s="915">
        <v>4</v>
      </c>
      <c r="S41" s="915">
        <v>5</v>
      </c>
      <c r="T41" s="915">
        <v>6</v>
      </c>
      <c r="U41" s="915">
        <v>7</v>
      </c>
      <c r="V41" s="915">
        <v>8</v>
      </c>
      <c r="W41" s="915">
        <v>9</v>
      </c>
      <c r="X41" s="915">
        <v>10</v>
      </c>
      <c r="Y41" s="915">
        <v>11</v>
      </c>
      <c r="Z41" s="915">
        <v>12</v>
      </c>
      <c r="AA41" s="915" t="s">
        <v>808</v>
      </c>
      <c r="AB41" s="914" t="s">
        <v>809</v>
      </c>
      <c r="AE41"/>
      <c r="AF41"/>
      <c r="AG41"/>
      <c r="AH41"/>
      <c r="AI41"/>
      <c r="AJ41"/>
    </row>
    <row r="42" spans="1:41" ht="15.5" outlineLevel="1" x14ac:dyDescent="0.35">
      <c r="A42" s="320">
        <v>1</v>
      </c>
      <c r="B42" s="436" t="s">
        <v>498</v>
      </c>
      <c r="C42" s="345">
        <v>1516.8638806953447</v>
      </c>
      <c r="D42" s="345">
        <v>1503.591836734694</v>
      </c>
      <c r="E42" s="345">
        <v>1471.4934801387387</v>
      </c>
      <c r="F42" s="345">
        <v>1430.3127530327445</v>
      </c>
      <c r="G42" s="345">
        <v>1403.7419454679441</v>
      </c>
      <c r="H42" s="345">
        <v>1388.761377127028</v>
      </c>
      <c r="I42" s="345">
        <v>1391.9870317083705</v>
      </c>
      <c r="J42" s="345">
        <v>1406.1693421466794</v>
      </c>
      <c r="K42" s="345">
        <v>1436.0931055958356</v>
      </c>
      <c r="L42" s="345">
        <v>1386.6759554140128</v>
      </c>
      <c r="M42" s="345">
        <v>1387.5685612082671</v>
      </c>
      <c r="N42" s="345">
        <v>1384.5580083591669</v>
      </c>
      <c r="O42" s="345">
        <f>'05. BC BH THEO SKU-USD'!U30</f>
        <v>1409.6139251280651</v>
      </c>
      <c r="P42" s="345">
        <f>'05. BC BH THEO SKU-USD'!V30</f>
        <v>1401.1501037474793</v>
      </c>
      <c r="Q42" s="345">
        <f>'05. BC BH THEO SKU-USD'!W30</f>
        <v>1400.8221648494143</v>
      </c>
      <c r="R42" s="345">
        <f>'05. BC BH THEO SKU-USD'!X30</f>
        <v>1360.1632687237661</v>
      </c>
      <c r="S42" s="345">
        <f>'05. BC BH THEO SKU-USD'!Y30</f>
        <v>1340.4720904450896</v>
      </c>
      <c r="T42" s="345">
        <f>'05. BC BH THEO SKU-USD'!Z30</f>
        <v>1336.7331221479069</v>
      </c>
      <c r="U42" s="345">
        <f>'05. BC BH THEO SKU-USD'!AA30</f>
        <v>1358.9430161071671</v>
      </c>
      <c r="V42" s="345">
        <f>'05. BC BH THEO SKU-USD'!AB30</f>
        <v>1370.3887723582975</v>
      </c>
      <c r="W42" s="345">
        <f>'05. BC BH THEO SKU-USD'!AC30</f>
        <v>1366.5845191061144</v>
      </c>
      <c r="X42" s="345" t="str">
        <f>'05. BC BH THEO SKU-USD'!AD30</f>
        <v>-</v>
      </c>
      <c r="Y42" s="345" t="str">
        <f>'05. BC BH THEO SKU-USD'!AE30</f>
        <v>-</v>
      </c>
      <c r="Z42" s="345" t="str">
        <f>'05. BC BH THEO SKU-USD'!AF30</f>
        <v>-</v>
      </c>
      <c r="AA42" s="636">
        <f>AVERAGE(O42:Z42)</f>
        <v>1371.6523314014778</v>
      </c>
      <c r="AB42" s="636">
        <f>AVERAGE(C42:N42)</f>
        <v>1425.6514398024021</v>
      </c>
      <c r="AE42" s="364"/>
      <c r="AF42" s="364"/>
      <c r="AG42" s="364"/>
      <c r="AH42" s="364"/>
      <c r="AI42" s="364"/>
      <c r="AJ42" s="364"/>
      <c r="AO42" s="1214" t="s">
        <v>990</v>
      </c>
    </row>
    <row r="43" spans="1:41" outlineLevel="1" x14ac:dyDescent="0.35">
      <c r="A43" s="322">
        <v>2</v>
      </c>
      <c r="B43" s="310" t="s">
        <v>378</v>
      </c>
      <c r="C43" s="346">
        <v>1400</v>
      </c>
      <c r="D43" s="346">
        <v>1400</v>
      </c>
      <c r="E43" s="346">
        <v>1400</v>
      </c>
      <c r="F43" s="346">
        <v>1400</v>
      </c>
      <c r="G43" s="346">
        <v>1400</v>
      </c>
      <c r="H43" s="346">
        <v>1400</v>
      </c>
      <c r="I43" s="346">
        <v>1400</v>
      </c>
      <c r="J43" s="346">
        <v>1400</v>
      </c>
      <c r="K43" s="346">
        <v>1400</v>
      </c>
      <c r="L43" s="346">
        <v>1400</v>
      </c>
      <c r="M43" s="346">
        <v>1400</v>
      </c>
      <c r="N43" s="346">
        <v>1400</v>
      </c>
      <c r="O43" s="346">
        <v>1400</v>
      </c>
      <c r="P43" s="346">
        <v>1400</v>
      </c>
      <c r="Q43" s="346">
        <v>1350</v>
      </c>
      <c r="R43" s="346">
        <v>1350</v>
      </c>
      <c r="S43" s="346">
        <v>1350</v>
      </c>
      <c r="T43" s="346">
        <v>1350</v>
      </c>
      <c r="U43" s="346">
        <v>1350</v>
      </c>
      <c r="V43" s="346">
        <v>1330</v>
      </c>
      <c r="W43" s="346">
        <v>1310</v>
      </c>
      <c r="X43" s="346"/>
      <c r="Y43" s="346"/>
      <c r="Z43" s="346"/>
      <c r="AA43" s="637">
        <f>AVERAGE(O43:Z43)</f>
        <v>1354.4444444444443</v>
      </c>
      <c r="AB43" s="637">
        <f>AVERAGE(C43:N43)</f>
        <v>1400</v>
      </c>
      <c r="AE43" s="919" t="s">
        <v>813</v>
      </c>
      <c r="AF43" s="919" t="s">
        <v>380</v>
      </c>
      <c r="AG43" s="919" t="s">
        <v>382</v>
      </c>
      <c r="AH43" s="920" t="s">
        <v>810</v>
      </c>
      <c r="AI43" s="920" t="s">
        <v>812</v>
      </c>
      <c r="AJ43" s="920" t="s">
        <v>439</v>
      </c>
    </row>
    <row r="44" spans="1:41" outlineLevel="1" x14ac:dyDescent="0.35">
      <c r="A44" s="322">
        <v>3</v>
      </c>
      <c r="B44" s="310" t="s">
        <v>440</v>
      </c>
      <c r="C44" s="346">
        <v>1500</v>
      </c>
      <c r="D44" s="346">
        <v>1500</v>
      </c>
      <c r="E44" s="346">
        <v>1500</v>
      </c>
      <c r="F44" s="346">
        <v>1430</v>
      </c>
      <c r="G44" s="346">
        <v>1430</v>
      </c>
      <c r="H44" s="346">
        <v>1430</v>
      </c>
      <c r="I44" s="346">
        <v>1430</v>
      </c>
      <c r="J44" s="346">
        <v>1430</v>
      </c>
      <c r="K44" s="346">
        <v>1430</v>
      </c>
      <c r="L44" s="346">
        <v>1430</v>
      </c>
      <c r="M44" s="346">
        <v>1430</v>
      </c>
      <c r="N44" s="346">
        <v>1430</v>
      </c>
      <c r="O44" s="346">
        <v>1430</v>
      </c>
      <c r="P44" s="346">
        <v>1430</v>
      </c>
      <c r="Q44" s="346">
        <v>1350</v>
      </c>
      <c r="R44" s="346">
        <v>1350</v>
      </c>
      <c r="S44" s="346">
        <v>1350</v>
      </c>
      <c r="T44" s="346">
        <v>1350</v>
      </c>
      <c r="U44" s="346">
        <v>1380</v>
      </c>
      <c r="V44" s="346">
        <v>1380</v>
      </c>
      <c r="W44" s="346">
        <v>1380</v>
      </c>
      <c r="X44" s="346"/>
      <c r="Y44" s="346"/>
      <c r="Z44" s="346"/>
      <c r="AA44" s="637">
        <f t="shared" ref="AA44:AA47" si="24">AVERAGE(O44:Z44)</f>
        <v>1377.7777777777778</v>
      </c>
      <c r="AB44" s="637">
        <f t="shared" ref="AB44:AB47" si="25">AVERAGE(C44:N44)</f>
        <v>1447.5</v>
      </c>
      <c r="AE44" s="490" t="s">
        <v>497</v>
      </c>
      <c r="AF44" s="918">
        <f>AB42</f>
        <v>1425.6514398024021</v>
      </c>
      <c r="AG44" s="918">
        <f>AA42</f>
        <v>1371.6523314014778</v>
      </c>
      <c r="AH44" s="918">
        <f t="shared" ref="AH44:AH47" si="26">AG44-AF44</f>
        <v>-53.999108400924342</v>
      </c>
      <c r="AI44" s="908">
        <f t="shared" ref="AI44:AI45" si="27">AH44/AF44</f>
        <v>-3.7876795753391666E-2</v>
      </c>
      <c r="AJ44" s="1308" t="s">
        <v>814</v>
      </c>
    </row>
    <row r="45" spans="1:41" outlineLevel="1" x14ac:dyDescent="0.35">
      <c r="A45" s="322">
        <v>4</v>
      </c>
      <c r="B45" s="310" t="s">
        <v>441</v>
      </c>
      <c r="C45" s="346">
        <v>1113.3333333333333</v>
      </c>
      <c r="D45" s="346">
        <v>1153</v>
      </c>
      <c r="E45" s="346">
        <v>1209.625</v>
      </c>
      <c r="F45" s="346">
        <v>1201.125</v>
      </c>
      <c r="G45" s="346">
        <v>1188</v>
      </c>
      <c r="H45" s="346"/>
      <c r="I45" s="346"/>
      <c r="J45" s="346"/>
      <c r="K45" s="346"/>
      <c r="L45" s="346"/>
      <c r="M45" s="346"/>
      <c r="N45" s="346"/>
      <c r="O45" s="346"/>
      <c r="P45" s="346"/>
      <c r="Q45" s="346"/>
      <c r="R45" s="346"/>
      <c r="S45" s="346"/>
      <c r="T45" s="346"/>
      <c r="U45" s="346"/>
      <c r="V45" s="346"/>
      <c r="W45" s="346"/>
      <c r="X45" s="346"/>
      <c r="Y45" s="346"/>
      <c r="Z45" s="346"/>
      <c r="AA45" s="637"/>
      <c r="AB45" s="637"/>
      <c r="AE45" s="310" t="s">
        <v>440</v>
      </c>
      <c r="AF45" s="446">
        <f>AB44</f>
        <v>1447.5</v>
      </c>
      <c r="AG45" s="446">
        <f>AA44</f>
        <v>1377.7777777777778</v>
      </c>
      <c r="AH45" s="446">
        <f t="shared" si="26"/>
        <v>-69.722222222222172</v>
      </c>
      <c r="AI45" s="405">
        <f t="shared" si="27"/>
        <v>-4.8167338322778704E-2</v>
      </c>
      <c r="AJ45" s="1309"/>
    </row>
    <row r="46" spans="1:41" outlineLevel="1" x14ac:dyDescent="0.35">
      <c r="A46" s="322">
        <v>5</v>
      </c>
      <c r="B46" s="310" t="s">
        <v>442</v>
      </c>
      <c r="C46" s="346">
        <v>1323</v>
      </c>
      <c r="D46" s="346">
        <v>1323</v>
      </c>
      <c r="E46" s="346">
        <v>1306</v>
      </c>
      <c r="F46" s="346">
        <v>1291</v>
      </c>
      <c r="G46" s="346">
        <v>1282</v>
      </c>
      <c r="H46" s="346">
        <v>1285</v>
      </c>
      <c r="I46" s="346">
        <v>1219</v>
      </c>
      <c r="J46" s="346">
        <v>1251</v>
      </c>
      <c r="K46" s="346">
        <v>1251</v>
      </c>
      <c r="L46" s="346">
        <v>1260.3186476770372</v>
      </c>
      <c r="M46" s="346">
        <v>1260.9721935296795</v>
      </c>
      <c r="N46" s="346">
        <v>1214.0815770933086</v>
      </c>
      <c r="O46" s="346">
        <v>1224.4122855454673</v>
      </c>
      <c r="P46" s="346">
        <v>1224.8943631432089</v>
      </c>
      <c r="Q46" s="346">
        <v>1221</v>
      </c>
      <c r="R46" s="346">
        <v>1202</v>
      </c>
      <c r="S46" s="346">
        <v>1215</v>
      </c>
      <c r="T46" s="346">
        <v>1218</v>
      </c>
      <c r="U46" s="346">
        <v>1218</v>
      </c>
      <c r="V46" s="346">
        <v>1221</v>
      </c>
      <c r="W46" s="346">
        <v>1119</v>
      </c>
      <c r="X46" s="346"/>
      <c r="Y46" s="346"/>
      <c r="Z46" s="346"/>
      <c r="AA46" s="637">
        <f t="shared" si="24"/>
        <v>1207.0340720765196</v>
      </c>
      <c r="AB46" s="637">
        <f t="shared" si="25"/>
        <v>1272.1977015250022</v>
      </c>
      <c r="AE46" s="310" t="s">
        <v>443</v>
      </c>
      <c r="AF46" s="446">
        <f>AB47</f>
        <v>975.77777777777783</v>
      </c>
      <c r="AG46" s="446">
        <f>AA47</f>
        <v>867.33333333333337</v>
      </c>
      <c r="AH46" s="446">
        <f t="shared" ref="AH46" si="28">AG46-AF46</f>
        <v>-108.44444444444446</v>
      </c>
      <c r="AI46" s="405">
        <f t="shared" ref="AI46" si="29">AH46/AF46</f>
        <v>-0.11113641539512641</v>
      </c>
      <c r="AJ46" s="1309"/>
    </row>
    <row r="47" spans="1:41" outlineLevel="1" x14ac:dyDescent="0.35">
      <c r="A47" s="322">
        <v>6</v>
      </c>
      <c r="B47" s="310" t="s">
        <v>443</v>
      </c>
      <c r="C47" s="346">
        <v>940</v>
      </c>
      <c r="D47" s="346">
        <v>993.33333333333337</v>
      </c>
      <c r="E47" s="346">
        <v>985</v>
      </c>
      <c r="F47" s="346">
        <v>962.5</v>
      </c>
      <c r="G47" s="346">
        <v>982</v>
      </c>
      <c r="H47" s="346">
        <v>1000</v>
      </c>
      <c r="I47" s="346">
        <v>1000</v>
      </c>
      <c r="J47" s="346">
        <v>984</v>
      </c>
      <c r="K47" s="346">
        <v>967.5</v>
      </c>
      <c r="L47" s="346">
        <v>965</v>
      </c>
      <c r="M47" s="346">
        <v>974</v>
      </c>
      <c r="N47" s="346">
        <v>956</v>
      </c>
      <c r="O47" s="346">
        <v>940</v>
      </c>
      <c r="P47" s="346">
        <v>918</v>
      </c>
      <c r="Q47" s="346">
        <v>896</v>
      </c>
      <c r="R47" s="346">
        <v>892</v>
      </c>
      <c r="S47" s="346">
        <v>864</v>
      </c>
      <c r="T47" s="346">
        <v>833</v>
      </c>
      <c r="U47" s="346">
        <v>833</v>
      </c>
      <c r="V47" s="346">
        <v>815</v>
      </c>
      <c r="W47" s="346">
        <v>815</v>
      </c>
      <c r="X47" s="346"/>
      <c r="Y47" s="346"/>
      <c r="Z47" s="346"/>
      <c r="AA47" s="637">
        <f t="shared" si="24"/>
        <v>867.33333333333337</v>
      </c>
      <c r="AB47" s="637">
        <f t="shared" si="25"/>
        <v>975.77777777777783</v>
      </c>
      <c r="AE47" s="354" t="s">
        <v>494</v>
      </c>
      <c r="AF47" s="354">
        <f>AB50</f>
        <v>0.46104110205210869</v>
      </c>
      <c r="AG47" s="354">
        <f>AA50</f>
        <v>0.58145925987872149</v>
      </c>
      <c r="AH47" s="354">
        <f t="shared" si="26"/>
        <v>0.1204181578266128</v>
      </c>
      <c r="AI47" s="354"/>
      <c r="AJ47" s="405" t="s">
        <v>815</v>
      </c>
    </row>
    <row r="48" spans="1:41" outlineLevel="1" x14ac:dyDescent="0.35">
      <c r="A48" s="322"/>
      <c r="B48" s="434" t="s">
        <v>496</v>
      </c>
      <c r="C48" s="433">
        <f>C47</f>
        <v>940</v>
      </c>
      <c r="D48" s="433">
        <f t="shared" ref="D48:P48" si="30">D47</f>
        <v>993.33333333333337</v>
      </c>
      <c r="E48" s="433">
        <f t="shared" si="30"/>
        <v>985</v>
      </c>
      <c r="F48" s="433">
        <f t="shared" si="30"/>
        <v>962.5</v>
      </c>
      <c r="G48" s="433">
        <f t="shared" si="30"/>
        <v>982</v>
      </c>
      <c r="H48" s="433">
        <f t="shared" si="30"/>
        <v>1000</v>
      </c>
      <c r="I48" s="433">
        <f t="shared" si="30"/>
        <v>1000</v>
      </c>
      <c r="J48" s="433">
        <f t="shared" si="30"/>
        <v>984</v>
      </c>
      <c r="K48" s="433">
        <f t="shared" si="30"/>
        <v>967.5</v>
      </c>
      <c r="L48" s="433">
        <f t="shared" si="30"/>
        <v>965</v>
      </c>
      <c r="M48" s="433">
        <f t="shared" si="30"/>
        <v>974</v>
      </c>
      <c r="N48" s="433">
        <f t="shared" si="30"/>
        <v>956</v>
      </c>
      <c r="O48" s="433">
        <f t="shared" si="30"/>
        <v>940</v>
      </c>
      <c r="P48" s="433">
        <f t="shared" si="30"/>
        <v>918</v>
      </c>
      <c r="Q48" s="433">
        <f>Q47</f>
        <v>896</v>
      </c>
      <c r="R48" s="433">
        <f t="shared" ref="R48" si="31">R47</f>
        <v>892</v>
      </c>
      <c r="S48" s="433">
        <f t="shared" ref="S48" si="32">S47</f>
        <v>864</v>
      </c>
      <c r="T48" s="433">
        <f t="shared" ref="T48" si="33">T47</f>
        <v>833</v>
      </c>
      <c r="U48" s="433">
        <f t="shared" ref="U48" si="34">U47</f>
        <v>833</v>
      </c>
      <c r="V48" s="433">
        <f t="shared" ref="V48" si="35">V47</f>
        <v>815</v>
      </c>
      <c r="W48" s="433">
        <f t="shared" ref="W48" si="36">W47</f>
        <v>815</v>
      </c>
      <c r="X48" s="433">
        <f t="shared" ref="X48" si="37">X47</f>
        <v>0</v>
      </c>
      <c r="Y48" s="433">
        <f t="shared" ref="Y48:Z48" si="38">Y47</f>
        <v>0</v>
      </c>
      <c r="Z48" s="433">
        <f t="shared" si="38"/>
        <v>0</v>
      </c>
      <c r="AA48" s="637">
        <f t="shared" ref="AA48:AB48" si="39">AA47</f>
        <v>867.33333333333337</v>
      </c>
      <c r="AB48" s="637">
        <f t="shared" si="39"/>
        <v>975.77777777777783</v>
      </c>
      <c r="AE48" s="311" t="s">
        <v>441</v>
      </c>
      <c r="AF48" s="447"/>
      <c r="AG48" s="447"/>
      <c r="AH48" s="447"/>
      <c r="AI48" s="560"/>
      <c r="AJ48" s="560" t="s">
        <v>816</v>
      </c>
    </row>
    <row r="49" spans="1:41" ht="15.5" outlineLevel="1" x14ac:dyDescent="0.35">
      <c r="A49" s="322">
        <v>7</v>
      </c>
      <c r="B49" s="435" t="s">
        <v>495</v>
      </c>
      <c r="C49" s="433">
        <f>C42-C47</f>
        <v>576.86388069534473</v>
      </c>
      <c r="D49" s="433">
        <f t="shared" ref="D49:P49" si="40">D42-D47</f>
        <v>510.2585034013606</v>
      </c>
      <c r="E49" s="433">
        <f t="shared" si="40"/>
        <v>486.49348013873873</v>
      </c>
      <c r="F49" s="433">
        <f t="shared" si="40"/>
        <v>467.81275303274447</v>
      </c>
      <c r="G49" s="433">
        <f t="shared" si="40"/>
        <v>421.74194546794411</v>
      </c>
      <c r="H49" s="433">
        <f t="shared" si="40"/>
        <v>388.76137712702803</v>
      </c>
      <c r="I49" s="433">
        <f t="shared" si="40"/>
        <v>391.98703170837052</v>
      </c>
      <c r="J49" s="433">
        <f t="shared" si="40"/>
        <v>422.16934214667936</v>
      </c>
      <c r="K49" s="433">
        <f t="shared" si="40"/>
        <v>468.5931055958356</v>
      </c>
      <c r="L49" s="433">
        <f t="shared" si="40"/>
        <v>421.67595541401283</v>
      </c>
      <c r="M49" s="433">
        <f t="shared" si="40"/>
        <v>413.56856120826706</v>
      </c>
      <c r="N49" s="433">
        <f t="shared" si="40"/>
        <v>428.55800835916693</v>
      </c>
      <c r="O49" s="433">
        <f t="shared" si="40"/>
        <v>469.61392512806515</v>
      </c>
      <c r="P49" s="433">
        <f t="shared" si="40"/>
        <v>483.15010374747931</v>
      </c>
      <c r="Q49" s="433">
        <f>Q42-Q47</f>
        <v>504.82216484941432</v>
      </c>
      <c r="R49" s="433">
        <f t="shared" ref="R49:Y49" si="41">R42-R47</f>
        <v>468.16326872376612</v>
      </c>
      <c r="S49" s="433">
        <f t="shared" si="41"/>
        <v>476.47209044508963</v>
      </c>
      <c r="T49" s="433">
        <f t="shared" si="41"/>
        <v>503.7331221479069</v>
      </c>
      <c r="U49" s="433">
        <f t="shared" si="41"/>
        <v>525.94301610716707</v>
      </c>
      <c r="V49" s="433">
        <f t="shared" si="41"/>
        <v>555.3887723582975</v>
      </c>
      <c r="W49" s="433">
        <f t="shared" si="41"/>
        <v>551.58451910611439</v>
      </c>
      <c r="X49" s="433" t="e">
        <f t="shared" si="41"/>
        <v>#VALUE!</v>
      </c>
      <c r="Y49" s="433" t="e">
        <f t="shared" si="41"/>
        <v>#VALUE!</v>
      </c>
      <c r="Z49" s="433" t="e">
        <f t="shared" ref="Z49:AB49" si="42">Z42-Z47</f>
        <v>#VALUE!</v>
      </c>
      <c r="AA49" s="637">
        <f t="shared" si="42"/>
        <v>504.31899806814442</v>
      </c>
      <c r="AB49" s="637">
        <f t="shared" si="42"/>
        <v>449.87366202462431</v>
      </c>
      <c r="AO49" s="1214" t="s">
        <v>991</v>
      </c>
    </row>
    <row r="50" spans="1:41" outlineLevel="1" x14ac:dyDescent="0.35">
      <c r="A50" s="322">
        <v>8</v>
      </c>
      <c r="B50" s="355" t="s">
        <v>494</v>
      </c>
      <c r="C50" s="355">
        <f>C49/C47</f>
        <v>0.61368497946313272</v>
      </c>
      <c r="D50" s="355">
        <f t="shared" ref="D50:P50" si="43">D49/D47</f>
        <v>0.51368305711546369</v>
      </c>
      <c r="E50" s="355">
        <f t="shared" si="43"/>
        <v>0.4939020102931358</v>
      </c>
      <c r="F50" s="355">
        <f t="shared" si="43"/>
        <v>0.48603922393012411</v>
      </c>
      <c r="G50" s="355">
        <f t="shared" si="43"/>
        <v>0.42947244956002456</v>
      </c>
      <c r="H50" s="355">
        <f t="shared" si="43"/>
        <v>0.38876137712702802</v>
      </c>
      <c r="I50" s="355">
        <f t="shared" si="43"/>
        <v>0.39198703170837051</v>
      </c>
      <c r="J50" s="355">
        <f t="shared" si="43"/>
        <v>0.42903388429540584</v>
      </c>
      <c r="K50" s="355">
        <f t="shared" si="43"/>
        <v>0.48433395927218148</v>
      </c>
      <c r="L50" s="355">
        <f t="shared" si="43"/>
        <v>0.436969901983433</v>
      </c>
      <c r="M50" s="355">
        <f t="shared" si="43"/>
        <v>0.42460837906392923</v>
      </c>
      <c r="N50" s="355">
        <f t="shared" si="43"/>
        <v>0.44828243552214114</v>
      </c>
      <c r="O50" s="355">
        <f t="shared" si="43"/>
        <v>0.49958928205113312</v>
      </c>
      <c r="P50" s="355">
        <f t="shared" si="43"/>
        <v>0.52630730255716696</v>
      </c>
      <c r="Q50" s="355">
        <f>Q49/Q47</f>
        <v>0.56341759469800701</v>
      </c>
      <c r="R50" s="355">
        <f t="shared" ref="R50" si="44">R49/R47</f>
        <v>0.52484671381588133</v>
      </c>
      <c r="S50" s="355">
        <f t="shared" ref="S50" si="45">S49/S47</f>
        <v>0.55147232690403891</v>
      </c>
      <c r="T50" s="355">
        <f t="shared" ref="T50" si="46">T49/T47</f>
        <v>0.60472163523158096</v>
      </c>
      <c r="U50" s="355">
        <f t="shared" ref="U50" si="47">U49/U47</f>
        <v>0.63138417299779959</v>
      </c>
      <c r="V50" s="355">
        <f t="shared" ref="V50" si="48">V49/V47</f>
        <v>0.68145861639054905</v>
      </c>
      <c r="W50" s="355">
        <f t="shared" ref="W50" si="49">W49/W47</f>
        <v>0.67679082098909737</v>
      </c>
      <c r="X50" s="355" t="e">
        <f t="shared" ref="X50" si="50">X49/X47</f>
        <v>#VALUE!</v>
      </c>
      <c r="Y50" s="355" t="e">
        <f t="shared" ref="Y50:Z50" si="51">Y49/Y47</f>
        <v>#VALUE!</v>
      </c>
      <c r="Z50" s="355" t="e">
        <f t="shared" si="51"/>
        <v>#VALUE!</v>
      </c>
      <c r="AA50" s="917">
        <f t="shared" ref="AA50:AB50" si="52">AA49/AA47</f>
        <v>0.58145925987872149</v>
      </c>
      <c r="AB50" s="917">
        <f t="shared" si="52"/>
        <v>0.46104110205210869</v>
      </c>
    </row>
    <row r="51" spans="1:41" outlineLevel="1" x14ac:dyDescent="0.35">
      <c r="B51" s="411"/>
      <c r="C51" s="253"/>
      <c r="D51" s="253"/>
      <c r="E51" s="253"/>
      <c r="F51" s="253"/>
      <c r="G51" s="253"/>
      <c r="H51" s="253"/>
      <c r="I51" s="253"/>
      <c r="J51" s="253"/>
      <c r="K51" s="253"/>
      <c r="L51" s="253"/>
      <c r="M51" s="253"/>
      <c r="N51" s="253"/>
      <c r="O51" s="253"/>
      <c r="P51" s="253"/>
      <c r="AF51" s="412" t="s">
        <v>811</v>
      </c>
    </row>
    <row r="79" spans="1:3" ht="21" x14ac:dyDescent="0.5">
      <c r="A79" s="297">
        <v>3</v>
      </c>
      <c r="B79" s="297" t="s">
        <v>450</v>
      </c>
    </row>
    <row r="80" spans="1:3" ht="21" x14ac:dyDescent="0.5">
      <c r="A80" s="297"/>
      <c r="B80" s="369" t="s">
        <v>500</v>
      </c>
      <c r="C80" s="369"/>
    </row>
    <row r="81" spans="1:36" s="364" customFormat="1" outlineLevel="1" x14ac:dyDescent="0.35">
      <c r="A81" s="365" t="s">
        <v>174</v>
      </c>
      <c r="B81" s="365" t="s">
        <v>439</v>
      </c>
      <c r="C81" s="914" t="s">
        <v>444</v>
      </c>
      <c r="D81" s="914">
        <v>2</v>
      </c>
      <c r="E81" s="914">
        <v>3</v>
      </c>
      <c r="F81" s="914">
        <v>4</v>
      </c>
      <c r="G81" s="914">
        <v>5</v>
      </c>
      <c r="H81" s="914">
        <v>6</v>
      </c>
      <c r="I81" s="914">
        <v>7</v>
      </c>
      <c r="J81" s="914">
        <v>8</v>
      </c>
      <c r="K81" s="914">
        <v>9</v>
      </c>
      <c r="L81" s="914">
        <v>10</v>
      </c>
      <c r="M81" s="914">
        <v>11</v>
      </c>
      <c r="N81" s="914">
        <v>12</v>
      </c>
      <c r="O81" s="915" t="s">
        <v>445</v>
      </c>
      <c r="P81" s="915">
        <v>2</v>
      </c>
      <c r="Q81" s="915">
        <v>3</v>
      </c>
      <c r="R81" s="915">
        <v>4</v>
      </c>
      <c r="S81" s="915">
        <v>5</v>
      </c>
      <c r="T81" s="915">
        <v>6</v>
      </c>
      <c r="U81" s="915">
        <v>7</v>
      </c>
      <c r="V81" s="915">
        <v>8</v>
      </c>
      <c r="W81" s="915">
        <v>9</v>
      </c>
      <c r="X81" s="915">
        <v>10</v>
      </c>
      <c r="Y81" s="915">
        <v>11</v>
      </c>
      <c r="Z81" s="915">
        <v>12</v>
      </c>
      <c r="AA81" s="915" t="s">
        <v>808</v>
      </c>
      <c r="AB81" s="914" t="s">
        <v>809</v>
      </c>
      <c r="AE81"/>
      <c r="AF81"/>
      <c r="AG81"/>
      <c r="AH81"/>
      <c r="AI81"/>
      <c r="AJ81"/>
    </row>
    <row r="82" spans="1:36" outlineLevel="1" x14ac:dyDescent="0.35">
      <c r="A82" s="320">
        <v>1</v>
      </c>
      <c r="B82" s="309" t="s">
        <v>499</v>
      </c>
      <c r="C82" s="345">
        <v>872.41428624436787</v>
      </c>
      <c r="D82" s="345">
        <v>680.28571428571433</v>
      </c>
      <c r="E82" s="439" t="s">
        <v>489</v>
      </c>
      <c r="F82" s="345">
        <v>836.51881720430117</v>
      </c>
      <c r="G82" s="345">
        <v>913.03945205479442</v>
      </c>
      <c r="H82" s="345">
        <v>905.69845666798574</v>
      </c>
      <c r="I82" s="438">
        <v>1328.8331342094782</v>
      </c>
      <c r="J82" s="345">
        <v>965.11515028880467</v>
      </c>
      <c r="K82" s="439" t="s">
        <v>489</v>
      </c>
      <c r="L82" s="345">
        <v>866.19578025477699</v>
      </c>
      <c r="M82" s="345">
        <v>920.07590226590219</v>
      </c>
      <c r="N82" s="345">
        <v>880.52577814523249</v>
      </c>
      <c r="O82" s="418">
        <v>985.21672201744457</v>
      </c>
      <c r="P82" s="418">
        <v>896.85676494307847</v>
      </c>
      <c r="Q82" s="418">
        <v>669.3539816649386</v>
      </c>
      <c r="R82" s="309"/>
      <c r="S82" s="309"/>
      <c r="T82" s="309"/>
      <c r="U82" s="309"/>
      <c r="V82" s="309"/>
      <c r="W82" s="309"/>
      <c r="X82" s="309"/>
      <c r="Y82" s="309"/>
      <c r="Z82" s="309"/>
      <c r="AA82" s="636">
        <f>AVERAGE(O82:Z82)</f>
        <v>850.47582287515388</v>
      </c>
      <c r="AB82" s="636">
        <f>AVERAGE(C82:N82)</f>
        <v>916.8702471621358</v>
      </c>
      <c r="AE82" s="364"/>
      <c r="AF82" s="364"/>
      <c r="AG82" s="364"/>
      <c r="AH82" s="364"/>
      <c r="AI82" s="364"/>
      <c r="AJ82" s="364"/>
    </row>
    <row r="83" spans="1:36" outlineLevel="1" x14ac:dyDescent="0.35">
      <c r="A83" s="322">
        <v>2</v>
      </c>
      <c r="B83" s="310" t="s">
        <v>378</v>
      </c>
      <c r="C83" s="310">
        <v>950</v>
      </c>
      <c r="D83" s="310">
        <v>950</v>
      </c>
      <c r="E83" s="310">
        <v>950</v>
      </c>
      <c r="F83" s="310">
        <v>950</v>
      </c>
      <c r="G83" s="310">
        <v>920</v>
      </c>
      <c r="H83" s="310">
        <v>920</v>
      </c>
      <c r="I83" s="310">
        <v>920</v>
      </c>
      <c r="J83" s="310">
        <v>920</v>
      </c>
      <c r="K83" s="310">
        <v>890</v>
      </c>
      <c r="L83" s="310">
        <v>880</v>
      </c>
      <c r="M83" s="310">
        <v>870</v>
      </c>
      <c r="N83" s="310">
        <v>870</v>
      </c>
      <c r="O83" s="310">
        <v>870</v>
      </c>
      <c r="P83" s="310">
        <v>800</v>
      </c>
      <c r="Q83" s="310">
        <v>805</v>
      </c>
      <c r="R83" s="310"/>
      <c r="S83" s="310"/>
      <c r="T83" s="310"/>
      <c r="U83" s="310"/>
      <c r="V83" s="310"/>
      <c r="W83" s="310"/>
      <c r="X83" s="310"/>
      <c r="Y83" s="310"/>
      <c r="Z83" s="310"/>
      <c r="AA83" s="637">
        <f>AVERAGE(O83:Z83)</f>
        <v>825</v>
      </c>
      <c r="AB83" s="637">
        <f>AVERAGE(C83:N83)</f>
        <v>915.83333333333337</v>
      </c>
    </row>
    <row r="84" spans="1:36" outlineLevel="1" x14ac:dyDescent="0.35">
      <c r="A84" s="322">
        <v>3</v>
      </c>
      <c r="B84" s="310" t="s">
        <v>441</v>
      </c>
      <c r="C84" s="310"/>
      <c r="D84" s="310"/>
      <c r="E84" s="310"/>
      <c r="F84" s="310"/>
      <c r="G84" s="310"/>
      <c r="H84" s="310"/>
      <c r="I84" s="310"/>
      <c r="J84" s="310"/>
      <c r="K84" s="310"/>
      <c r="L84" s="310"/>
      <c r="M84" s="310"/>
      <c r="N84" s="310"/>
      <c r="O84" s="310"/>
      <c r="P84" s="310"/>
      <c r="Q84" s="310"/>
      <c r="R84" s="310"/>
      <c r="S84" s="310"/>
      <c r="T84" s="310"/>
      <c r="U84" s="310"/>
      <c r="V84" s="310"/>
      <c r="W84" s="310"/>
      <c r="X84" s="310"/>
      <c r="Y84" s="310"/>
      <c r="Z84" s="310"/>
      <c r="AA84" s="637"/>
      <c r="AB84" s="637"/>
    </row>
    <row r="85" spans="1:36" outlineLevel="1" x14ac:dyDescent="0.35">
      <c r="A85" s="322">
        <v>4</v>
      </c>
      <c r="B85" s="310" t="s">
        <v>442</v>
      </c>
      <c r="C85" s="346">
        <v>700</v>
      </c>
      <c r="D85" s="346">
        <v>700</v>
      </c>
      <c r="E85" s="346">
        <v>700</v>
      </c>
      <c r="F85" s="346">
        <v>700</v>
      </c>
      <c r="G85" s="346">
        <v>700</v>
      </c>
      <c r="H85" s="346">
        <v>700</v>
      </c>
      <c r="I85" s="346">
        <v>867</v>
      </c>
      <c r="J85" s="346">
        <v>896</v>
      </c>
      <c r="K85" s="346">
        <v>917</v>
      </c>
      <c r="L85" s="346">
        <v>929.83940375991074</v>
      </c>
      <c r="M85" s="346">
        <v>937.6525486806504</v>
      </c>
      <c r="N85" s="346">
        <v>903.25545215030104</v>
      </c>
      <c r="O85" s="346">
        <v>892.9656675146</v>
      </c>
      <c r="P85" s="346">
        <v>888</v>
      </c>
      <c r="Q85" s="310">
        <v>889</v>
      </c>
      <c r="R85" s="310"/>
      <c r="S85" s="310"/>
      <c r="T85" s="310"/>
      <c r="U85" s="310"/>
      <c r="V85" s="310"/>
      <c r="W85" s="310"/>
      <c r="X85" s="310"/>
      <c r="Y85" s="310"/>
      <c r="Z85" s="310"/>
      <c r="AA85" s="637">
        <f t="shared" ref="AA85:AA87" si="53">AVERAGE(O85:Z85)</f>
        <v>889.98855583819989</v>
      </c>
      <c r="AB85" s="637">
        <f t="shared" ref="AB85:AB87" si="54">AVERAGE(C85:N85)</f>
        <v>804.22895038257184</v>
      </c>
    </row>
    <row r="86" spans="1:36" outlineLevel="1" x14ac:dyDescent="0.35">
      <c r="A86" s="322">
        <v>5</v>
      </c>
      <c r="B86" s="310" t="s">
        <v>443</v>
      </c>
      <c r="C86" s="346">
        <v>947.5</v>
      </c>
      <c r="D86" s="346">
        <v>1010</v>
      </c>
      <c r="E86" s="346">
        <v>995</v>
      </c>
      <c r="F86" s="346">
        <v>975</v>
      </c>
      <c r="G86" s="346">
        <v>956</v>
      </c>
      <c r="H86" s="346">
        <v>980</v>
      </c>
      <c r="I86" s="346">
        <v>975</v>
      </c>
      <c r="J86" s="346">
        <v>946</v>
      </c>
      <c r="K86" s="346">
        <v>932.5</v>
      </c>
      <c r="L86" s="346">
        <v>926.66666666666663</v>
      </c>
      <c r="M86" s="346">
        <v>940</v>
      </c>
      <c r="N86" s="346">
        <v>940</v>
      </c>
      <c r="O86" s="346">
        <v>940</v>
      </c>
      <c r="P86" s="346">
        <v>946</v>
      </c>
      <c r="Q86" s="310">
        <v>940</v>
      </c>
      <c r="R86" s="310"/>
      <c r="S86" s="310"/>
      <c r="T86" s="310"/>
      <c r="U86" s="310"/>
      <c r="V86" s="310"/>
      <c r="W86" s="310"/>
      <c r="X86" s="310"/>
      <c r="Y86" s="310"/>
      <c r="Z86" s="310"/>
      <c r="AA86" s="637">
        <f t="shared" si="53"/>
        <v>942</v>
      </c>
      <c r="AB86" s="637">
        <f t="shared" si="54"/>
        <v>960.30555555555554</v>
      </c>
    </row>
    <row r="87" spans="1:36" outlineLevel="1" x14ac:dyDescent="0.35">
      <c r="A87" s="332"/>
      <c r="B87" s="434" t="s">
        <v>496</v>
      </c>
      <c r="C87" s="433">
        <f>C86</f>
        <v>947.5</v>
      </c>
      <c r="D87" s="433">
        <f t="shared" ref="D87:Q87" si="55">D86</f>
        <v>1010</v>
      </c>
      <c r="E87" s="433">
        <f t="shared" si="55"/>
        <v>995</v>
      </c>
      <c r="F87" s="433">
        <f t="shared" si="55"/>
        <v>975</v>
      </c>
      <c r="G87" s="433">
        <f t="shared" si="55"/>
        <v>956</v>
      </c>
      <c r="H87" s="433">
        <f t="shared" si="55"/>
        <v>980</v>
      </c>
      <c r="I87" s="433">
        <f t="shared" si="55"/>
        <v>975</v>
      </c>
      <c r="J87" s="433">
        <f t="shared" si="55"/>
        <v>946</v>
      </c>
      <c r="K87" s="433">
        <f t="shared" si="55"/>
        <v>932.5</v>
      </c>
      <c r="L87" s="433">
        <f t="shared" si="55"/>
        <v>926.66666666666663</v>
      </c>
      <c r="M87" s="433">
        <f t="shared" si="55"/>
        <v>940</v>
      </c>
      <c r="N87" s="433">
        <f t="shared" si="55"/>
        <v>940</v>
      </c>
      <c r="O87" s="433">
        <f t="shared" si="55"/>
        <v>940</v>
      </c>
      <c r="P87" s="433">
        <f t="shared" si="55"/>
        <v>946</v>
      </c>
      <c r="Q87" s="433">
        <f t="shared" si="55"/>
        <v>940</v>
      </c>
      <c r="R87" s="437"/>
      <c r="S87" s="437"/>
      <c r="T87" s="437"/>
      <c r="U87" s="437"/>
      <c r="V87" s="437"/>
      <c r="W87" s="437"/>
      <c r="X87" s="437"/>
      <c r="Y87" s="437"/>
      <c r="Z87" s="437"/>
      <c r="AA87" s="637">
        <f t="shared" si="53"/>
        <v>942</v>
      </c>
      <c r="AB87" s="637">
        <f t="shared" si="54"/>
        <v>960.30555555555554</v>
      </c>
    </row>
    <row r="88" spans="1:36" outlineLevel="1" x14ac:dyDescent="0.35">
      <c r="A88" s="332"/>
      <c r="B88" s="435" t="s">
        <v>495</v>
      </c>
      <c r="C88" s="433">
        <f>IFERROR(C82-C86,0)</f>
        <v>-75.085713755632128</v>
      </c>
      <c r="D88" s="433">
        <f t="shared" ref="D88:Y88" si="56">IFERROR(D82-D86,0)</f>
        <v>-329.71428571428567</v>
      </c>
      <c r="E88" s="433">
        <f t="shared" si="56"/>
        <v>0</v>
      </c>
      <c r="F88" s="433">
        <f t="shared" si="56"/>
        <v>-138.48118279569883</v>
      </c>
      <c r="G88" s="433">
        <f t="shared" si="56"/>
        <v>-42.960547945205576</v>
      </c>
      <c r="H88" s="433">
        <f t="shared" si="56"/>
        <v>-74.301543332014262</v>
      </c>
      <c r="I88" s="433">
        <f t="shared" si="56"/>
        <v>353.8331342094782</v>
      </c>
      <c r="J88" s="433">
        <f t="shared" si="56"/>
        <v>19.115150288804671</v>
      </c>
      <c r="K88" s="433">
        <f t="shared" si="56"/>
        <v>0</v>
      </c>
      <c r="L88" s="433">
        <f t="shared" si="56"/>
        <v>-60.470886411889637</v>
      </c>
      <c r="M88" s="433">
        <f t="shared" si="56"/>
        <v>-19.924097734097813</v>
      </c>
      <c r="N88" s="433">
        <f t="shared" si="56"/>
        <v>-59.474221854767507</v>
      </c>
      <c r="O88" s="433">
        <f t="shared" si="56"/>
        <v>45.216722017444567</v>
      </c>
      <c r="P88" s="433">
        <f t="shared" si="56"/>
        <v>-49.143235056921526</v>
      </c>
      <c r="Q88" s="433">
        <f t="shared" si="56"/>
        <v>-270.6460183350614</v>
      </c>
      <c r="R88" s="433">
        <f t="shared" si="56"/>
        <v>0</v>
      </c>
      <c r="S88" s="433">
        <f t="shared" si="56"/>
        <v>0</v>
      </c>
      <c r="T88" s="433">
        <f t="shared" si="56"/>
        <v>0</v>
      </c>
      <c r="U88" s="433">
        <f t="shared" si="56"/>
        <v>0</v>
      </c>
      <c r="V88" s="433">
        <f t="shared" si="56"/>
        <v>0</v>
      </c>
      <c r="W88" s="433">
        <f t="shared" si="56"/>
        <v>0</v>
      </c>
      <c r="X88" s="433">
        <f t="shared" si="56"/>
        <v>0</v>
      </c>
      <c r="Y88" s="433">
        <f t="shared" si="56"/>
        <v>0</v>
      </c>
      <c r="Z88" s="433">
        <f t="shared" ref="Z88:AB88" si="57">IFERROR(Z82-Z86,0)</f>
        <v>0</v>
      </c>
      <c r="AA88" s="637">
        <f t="shared" si="57"/>
        <v>-91.524177124846119</v>
      </c>
      <c r="AB88" s="637">
        <f t="shared" si="57"/>
        <v>-43.435308393419746</v>
      </c>
    </row>
    <row r="89" spans="1:36" outlineLevel="1" x14ac:dyDescent="0.35">
      <c r="A89" s="352">
        <v>6</v>
      </c>
      <c r="B89" s="355" t="s">
        <v>494</v>
      </c>
      <c r="C89" s="355">
        <f>IFERROR(C88/C86,0)</f>
        <v>-7.9246135889849217E-2</v>
      </c>
      <c r="D89" s="355">
        <f t="shared" ref="D89:Y89" si="58">IFERROR(D88/D86,0)</f>
        <v>-0.32644978783592637</v>
      </c>
      <c r="E89" s="355">
        <f t="shared" si="58"/>
        <v>0</v>
      </c>
      <c r="F89" s="355">
        <f t="shared" si="58"/>
        <v>-0.14203198235456291</v>
      </c>
      <c r="G89" s="355">
        <f t="shared" si="58"/>
        <v>-4.4937811658164829E-2</v>
      </c>
      <c r="H89" s="355">
        <f t="shared" si="58"/>
        <v>-7.581790135919822E-2</v>
      </c>
      <c r="I89" s="355">
        <f t="shared" si="58"/>
        <v>0.3629057786763879</v>
      </c>
      <c r="J89" s="355">
        <f t="shared" si="58"/>
        <v>2.0206289945882316E-2</v>
      </c>
      <c r="K89" s="355">
        <f t="shared" si="58"/>
        <v>0</v>
      </c>
      <c r="L89" s="355">
        <f t="shared" si="58"/>
        <v>-6.5256352243046378E-2</v>
      </c>
      <c r="M89" s="355">
        <f t="shared" si="58"/>
        <v>-2.1195848653295546E-2</v>
      </c>
      <c r="N89" s="355">
        <f t="shared" si="58"/>
        <v>-6.3270448781667557E-2</v>
      </c>
      <c r="O89" s="355">
        <f t="shared" si="58"/>
        <v>4.8102895763238902E-2</v>
      </c>
      <c r="P89" s="355">
        <f t="shared" si="58"/>
        <v>-5.1948451434377936E-2</v>
      </c>
      <c r="Q89" s="355">
        <f t="shared" si="58"/>
        <v>-0.28792129610112915</v>
      </c>
      <c r="R89" s="355">
        <f t="shared" si="58"/>
        <v>0</v>
      </c>
      <c r="S89" s="355">
        <f t="shared" si="58"/>
        <v>0</v>
      </c>
      <c r="T89" s="355">
        <f t="shared" si="58"/>
        <v>0</v>
      </c>
      <c r="U89" s="355">
        <f t="shared" si="58"/>
        <v>0</v>
      </c>
      <c r="V89" s="355">
        <f t="shared" si="58"/>
        <v>0</v>
      </c>
      <c r="W89" s="355">
        <f t="shared" si="58"/>
        <v>0</v>
      </c>
      <c r="X89" s="355">
        <f t="shared" si="58"/>
        <v>0</v>
      </c>
      <c r="Y89" s="355">
        <f t="shared" si="58"/>
        <v>0</v>
      </c>
      <c r="Z89" s="355">
        <f t="shared" ref="Z89:AB89" si="59">IFERROR(Z88/Z86,0)</f>
        <v>0</v>
      </c>
      <c r="AA89" s="917">
        <f t="shared" si="59"/>
        <v>-9.7159423699412009E-2</v>
      </c>
      <c r="AB89" s="917">
        <f t="shared" si="59"/>
        <v>-4.5230716559055591E-2</v>
      </c>
    </row>
    <row r="90" spans="1:36" x14ac:dyDescent="0.35">
      <c r="B90" s="411"/>
      <c r="C90" s="253"/>
      <c r="D90" s="253"/>
      <c r="E90" s="253"/>
      <c r="F90" s="253"/>
      <c r="G90" s="253"/>
      <c r="H90" s="253"/>
      <c r="I90" s="253"/>
      <c r="J90" s="253"/>
      <c r="K90" s="253"/>
      <c r="L90" s="253"/>
      <c r="M90" s="253"/>
      <c r="N90" s="253"/>
      <c r="O90" s="253"/>
      <c r="P90" s="253"/>
    </row>
    <row r="91" spans="1:36" x14ac:dyDescent="0.35">
      <c r="B91" s="411"/>
      <c r="C91" s="253"/>
      <c r="D91" s="253"/>
      <c r="E91" s="253"/>
      <c r="F91" s="253"/>
      <c r="G91" s="253"/>
      <c r="H91" s="253"/>
      <c r="I91" s="253"/>
      <c r="J91" s="253"/>
      <c r="K91" s="253"/>
      <c r="L91" s="253"/>
      <c r="M91" s="253"/>
      <c r="N91" s="253"/>
      <c r="O91" s="253"/>
      <c r="P91" s="253"/>
    </row>
    <row r="116" spans="1:36" ht="21" x14ac:dyDescent="0.5">
      <c r="A116" s="297">
        <v>4</v>
      </c>
      <c r="B116" s="297" t="s">
        <v>23</v>
      </c>
    </row>
    <row r="117" spans="1:36" s="364" customFormat="1" outlineLevel="1" x14ac:dyDescent="0.35">
      <c r="A117" s="365" t="s">
        <v>174</v>
      </c>
      <c r="B117" s="365" t="s">
        <v>439</v>
      </c>
      <c r="C117" s="914" t="s">
        <v>444</v>
      </c>
      <c r="D117" s="914">
        <v>2</v>
      </c>
      <c r="E117" s="914">
        <v>3</v>
      </c>
      <c r="F117" s="914">
        <v>4</v>
      </c>
      <c r="G117" s="914">
        <v>5</v>
      </c>
      <c r="H117" s="914">
        <v>6</v>
      </c>
      <c r="I117" s="914">
        <v>7</v>
      </c>
      <c r="J117" s="914">
        <v>8</v>
      </c>
      <c r="K117" s="914">
        <v>9</v>
      </c>
      <c r="L117" s="914">
        <v>10</v>
      </c>
      <c r="M117" s="914">
        <v>11</v>
      </c>
      <c r="N117" s="914">
        <v>12</v>
      </c>
      <c r="O117" s="915" t="s">
        <v>445</v>
      </c>
      <c r="P117" s="915">
        <v>2</v>
      </c>
      <c r="Q117" s="915">
        <v>3</v>
      </c>
      <c r="R117" s="915">
        <v>4</v>
      </c>
      <c r="S117" s="915">
        <v>5</v>
      </c>
      <c r="T117" s="915">
        <v>6</v>
      </c>
      <c r="U117" s="915">
        <v>7</v>
      </c>
      <c r="V117" s="915">
        <v>8</v>
      </c>
      <c r="W117" s="915">
        <v>9</v>
      </c>
      <c r="X117" s="915">
        <v>10</v>
      </c>
      <c r="Y117" s="915">
        <v>11</v>
      </c>
      <c r="Z117" s="915">
        <v>12</v>
      </c>
      <c r="AA117" s="915" t="s">
        <v>808</v>
      </c>
      <c r="AB117" s="914" t="s">
        <v>809</v>
      </c>
      <c r="AE117"/>
      <c r="AF117"/>
      <c r="AG117"/>
      <c r="AH117"/>
      <c r="AI117"/>
      <c r="AJ117"/>
    </row>
    <row r="118" spans="1:36" outlineLevel="1" x14ac:dyDescent="0.35">
      <c r="A118" s="320">
        <v>1</v>
      </c>
      <c r="B118" s="309" t="s">
        <v>499</v>
      </c>
      <c r="C118" s="345">
        <v>0</v>
      </c>
      <c r="D118" s="345">
        <v>0</v>
      </c>
      <c r="E118" s="345">
        <v>943.6310504032258</v>
      </c>
      <c r="F118" s="345">
        <v>0</v>
      </c>
      <c r="G118" s="345">
        <v>0</v>
      </c>
      <c r="H118" s="345">
        <v>0</v>
      </c>
      <c r="I118" s="345">
        <v>971.40448692420023</v>
      </c>
      <c r="J118" s="345">
        <v>986.80916681505482</v>
      </c>
      <c r="K118" s="345">
        <v>1011.4519427402863</v>
      </c>
      <c r="L118" s="345">
        <v>884.63213910596767</v>
      </c>
      <c r="M118" s="345">
        <v>878.25119236883938</v>
      </c>
      <c r="N118" s="345">
        <v>1072.5026031369448</v>
      </c>
      <c r="O118" s="345">
        <v>0</v>
      </c>
      <c r="P118" s="345">
        <v>1074.4171662801045</v>
      </c>
      <c r="Q118" s="418">
        <v>911.34459946570644</v>
      </c>
      <c r="R118" s="309"/>
      <c r="S118" s="309"/>
      <c r="T118" s="309"/>
      <c r="U118" s="309"/>
      <c r="V118" s="309"/>
      <c r="W118" s="309"/>
      <c r="X118" s="309"/>
      <c r="Y118" s="309"/>
      <c r="Z118" s="309"/>
      <c r="AA118" s="637">
        <f>AVERAGE(O118:Z118)</f>
        <v>661.92058858193695</v>
      </c>
      <c r="AB118" s="637">
        <f>AVERAGE(C118:N118)</f>
        <v>562.39021512454326</v>
      </c>
      <c r="AE118" s="364"/>
      <c r="AF118" s="364"/>
      <c r="AG118" s="364"/>
      <c r="AH118" s="364"/>
      <c r="AI118" s="364"/>
      <c r="AJ118" s="364"/>
    </row>
    <row r="119" spans="1:36" outlineLevel="1" x14ac:dyDescent="0.35">
      <c r="A119" s="322">
        <v>2</v>
      </c>
      <c r="B119" s="310" t="s">
        <v>378</v>
      </c>
      <c r="C119" s="310">
        <v>930</v>
      </c>
      <c r="D119" s="310">
        <v>930</v>
      </c>
      <c r="E119" s="310">
        <v>930</v>
      </c>
      <c r="F119" s="310">
        <v>950</v>
      </c>
      <c r="G119" s="310">
        <v>950</v>
      </c>
      <c r="H119" s="310">
        <v>950</v>
      </c>
      <c r="I119" s="310">
        <v>950</v>
      </c>
      <c r="J119" s="310">
        <v>950</v>
      </c>
      <c r="K119" s="310">
        <v>910</v>
      </c>
      <c r="L119" s="310">
        <v>900</v>
      </c>
      <c r="M119" s="310">
        <v>900</v>
      </c>
      <c r="N119" s="310">
        <v>900</v>
      </c>
      <c r="O119" s="310">
        <v>900</v>
      </c>
      <c r="P119" s="310">
        <v>820</v>
      </c>
      <c r="Q119" s="310">
        <v>840</v>
      </c>
      <c r="R119" s="310"/>
      <c r="S119" s="310"/>
      <c r="T119" s="310"/>
      <c r="U119" s="310"/>
      <c r="V119" s="310"/>
      <c r="W119" s="310"/>
      <c r="X119" s="310"/>
      <c r="Y119" s="310"/>
      <c r="Z119" s="310"/>
      <c r="AA119" s="637">
        <f>AVERAGE(O119:Z119)</f>
        <v>853.33333333333337</v>
      </c>
      <c r="AB119" s="637">
        <f>AVERAGE(C119:N119)</f>
        <v>929.16666666666663</v>
      </c>
    </row>
    <row r="120" spans="1:36" outlineLevel="1" x14ac:dyDescent="0.35">
      <c r="A120" s="322">
        <v>3</v>
      </c>
      <c r="B120" s="310" t="s">
        <v>441</v>
      </c>
      <c r="C120" s="310"/>
      <c r="D120" s="310"/>
      <c r="E120" s="310"/>
      <c r="F120" s="310"/>
      <c r="G120" s="310"/>
      <c r="H120" s="310"/>
      <c r="I120" s="310"/>
      <c r="J120" s="310"/>
      <c r="K120" s="310"/>
      <c r="L120" s="310"/>
      <c r="M120" s="310"/>
      <c r="N120" s="310"/>
      <c r="O120" s="310"/>
      <c r="P120" s="310"/>
      <c r="Q120" s="310"/>
      <c r="R120" s="310"/>
      <c r="S120" s="310"/>
      <c r="T120" s="310"/>
      <c r="U120" s="310"/>
      <c r="V120" s="310"/>
      <c r="W120" s="310"/>
      <c r="X120" s="310"/>
      <c r="Y120" s="310"/>
      <c r="Z120" s="310"/>
      <c r="AA120" s="637"/>
      <c r="AB120" s="637"/>
    </row>
    <row r="121" spans="1:36" outlineLevel="1" x14ac:dyDescent="0.35">
      <c r="A121" s="322">
        <v>4</v>
      </c>
      <c r="B121" s="310" t="s">
        <v>442</v>
      </c>
      <c r="C121" s="346">
        <v>885</v>
      </c>
      <c r="D121" s="346">
        <v>885</v>
      </c>
      <c r="E121" s="346">
        <v>885</v>
      </c>
      <c r="F121" s="346">
        <v>861</v>
      </c>
      <c r="G121" s="346">
        <v>861</v>
      </c>
      <c r="H121" s="346">
        <v>850</v>
      </c>
      <c r="I121" s="346">
        <v>794</v>
      </c>
      <c r="J121" s="346">
        <v>836.80121639671654</v>
      </c>
      <c r="K121" s="346">
        <v>856.16419630615974</v>
      </c>
      <c r="L121" s="346">
        <v>856.16419630615974</v>
      </c>
      <c r="M121" s="346">
        <v>856.16419630615974</v>
      </c>
      <c r="N121" s="346">
        <v>827.7737832482228</v>
      </c>
      <c r="O121" s="346">
        <v>842.58758463763786</v>
      </c>
      <c r="P121" s="346">
        <v>835.02956014903214</v>
      </c>
      <c r="Q121" s="346">
        <v>835.02956014903214</v>
      </c>
      <c r="R121" s="310"/>
      <c r="S121" s="310"/>
      <c r="T121" s="310"/>
      <c r="U121" s="310"/>
      <c r="V121" s="310"/>
      <c r="W121" s="310"/>
      <c r="X121" s="310"/>
      <c r="Y121" s="310"/>
      <c r="Z121" s="310"/>
      <c r="AA121" s="637">
        <f t="shared" ref="AA121:AA122" si="60">AVERAGE(O121:Z121)</f>
        <v>837.54890164523397</v>
      </c>
      <c r="AB121" s="637">
        <f t="shared" ref="AB121:AB122" si="61">AVERAGE(C121:N121)</f>
        <v>854.50563238028496</v>
      </c>
    </row>
    <row r="122" spans="1:36" outlineLevel="1" x14ac:dyDescent="0.35">
      <c r="A122" s="322">
        <v>5</v>
      </c>
      <c r="B122" s="310" t="s">
        <v>443</v>
      </c>
      <c r="C122" s="346">
        <v>962.5</v>
      </c>
      <c r="D122" s="346">
        <v>986.66666666666663</v>
      </c>
      <c r="E122" s="346">
        <v>990</v>
      </c>
      <c r="F122" s="346">
        <v>992.5</v>
      </c>
      <c r="G122" s="346">
        <v>1002</v>
      </c>
      <c r="H122" s="346">
        <v>1025</v>
      </c>
      <c r="I122" s="346">
        <v>1020</v>
      </c>
      <c r="J122" s="346">
        <v>970</v>
      </c>
      <c r="K122" s="346">
        <v>955</v>
      </c>
      <c r="L122" s="346">
        <v>956.66666666666663</v>
      </c>
      <c r="M122" s="346">
        <v>968</v>
      </c>
      <c r="N122" s="346">
        <v>960</v>
      </c>
      <c r="O122" s="346">
        <v>970</v>
      </c>
      <c r="P122" s="346">
        <v>985</v>
      </c>
      <c r="Q122" s="310">
        <v>980</v>
      </c>
      <c r="R122" s="310"/>
      <c r="S122" s="310"/>
      <c r="T122" s="310"/>
      <c r="U122" s="310"/>
      <c r="V122" s="310"/>
      <c r="W122" s="310"/>
      <c r="X122" s="310"/>
      <c r="Y122" s="310"/>
      <c r="Z122" s="310"/>
      <c r="AA122" s="637">
        <f t="shared" si="60"/>
        <v>978.33333333333337</v>
      </c>
      <c r="AB122" s="637">
        <f t="shared" si="61"/>
        <v>982.36111111111097</v>
      </c>
    </row>
    <row r="123" spans="1:36" outlineLevel="1" x14ac:dyDescent="0.35">
      <c r="A123" s="332"/>
      <c r="B123" s="434" t="s">
        <v>496</v>
      </c>
      <c r="C123" s="433">
        <f t="shared" ref="C123:Y123" si="62">C122</f>
        <v>962.5</v>
      </c>
      <c r="D123" s="433">
        <f t="shared" si="62"/>
        <v>986.66666666666663</v>
      </c>
      <c r="E123" s="433">
        <f t="shared" si="62"/>
        <v>990</v>
      </c>
      <c r="F123" s="433">
        <f t="shared" si="62"/>
        <v>992.5</v>
      </c>
      <c r="G123" s="433">
        <f t="shared" si="62"/>
        <v>1002</v>
      </c>
      <c r="H123" s="433">
        <f t="shared" si="62"/>
        <v>1025</v>
      </c>
      <c r="I123" s="433">
        <f t="shared" si="62"/>
        <v>1020</v>
      </c>
      <c r="J123" s="433">
        <f t="shared" si="62"/>
        <v>970</v>
      </c>
      <c r="K123" s="433">
        <f t="shared" si="62"/>
        <v>955</v>
      </c>
      <c r="L123" s="433">
        <f t="shared" si="62"/>
        <v>956.66666666666663</v>
      </c>
      <c r="M123" s="433">
        <f t="shared" si="62"/>
        <v>968</v>
      </c>
      <c r="N123" s="433">
        <f t="shared" si="62"/>
        <v>960</v>
      </c>
      <c r="O123" s="433">
        <f t="shared" si="62"/>
        <v>970</v>
      </c>
      <c r="P123" s="433">
        <f t="shared" si="62"/>
        <v>985</v>
      </c>
      <c r="Q123" s="433">
        <f t="shared" si="62"/>
        <v>980</v>
      </c>
      <c r="R123" s="433">
        <f t="shared" si="62"/>
        <v>0</v>
      </c>
      <c r="S123" s="433">
        <f t="shared" si="62"/>
        <v>0</v>
      </c>
      <c r="T123" s="433">
        <f t="shared" si="62"/>
        <v>0</v>
      </c>
      <c r="U123" s="433">
        <f t="shared" si="62"/>
        <v>0</v>
      </c>
      <c r="V123" s="433">
        <f t="shared" si="62"/>
        <v>0</v>
      </c>
      <c r="W123" s="433">
        <f t="shared" si="62"/>
        <v>0</v>
      </c>
      <c r="X123" s="433">
        <f t="shared" si="62"/>
        <v>0</v>
      </c>
      <c r="Y123" s="433">
        <f t="shared" si="62"/>
        <v>0</v>
      </c>
      <c r="Z123" s="433">
        <f t="shared" ref="Z123:AB123" si="63">Z122</f>
        <v>0</v>
      </c>
      <c r="AA123" s="916">
        <f t="shared" si="63"/>
        <v>978.33333333333337</v>
      </c>
      <c r="AB123" s="916">
        <f t="shared" si="63"/>
        <v>982.36111111111097</v>
      </c>
    </row>
    <row r="124" spans="1:36" outlineLevel="1" x14ac:dyDescent="0.35">
      <c r="A124" s="332"/>
      <c r="B124" s="435" t="s">
        <v>495</v>
      </c>
      <c r="C124" s="433">
        <f>IF(C118&lt;&gt;0,C118-C123,0)</f>
        <v>0</v>
      </c>
      <c r="D124" s="433">
        <f t="shared" ref="D124:Y124" si="64">IF(D118&lt;&gt;0,D118-D123,0)</f>
        <v>0</v>
      </c>
      <c r="E124" s="433">
        <f t="shared" si="64"/>
        <v>-46.3689495967742</v>
      </c>
      <c r="F124" s="433">
        <f t="shared" si="64"/>
        <v>0</v>
      </c>
      <c r="G124" s="433">
        <f t="shared" si="64"/>
        <v>0</v>
      </c>
      <c r="H124" s="433">
        <f t="shared" si="64"/>
        <v>0</v>
      </c>
      <c r="I124" s="433">
        <f t="shared" si="64"/>
        <v>-48.595513075799772</v>
      </c>
      <c r="J124" s="433">
        <f t="shared" si="64"/>
        <v>16.809166815054823</v>
      </c>
      <c r="K124" s="433">
        <f t="shared" si="64"/>
        <v>56.451942740286313</v>
      </c>
      <c r="L124" s="433">
        <f t="shared" si="64"/>
        <v>-72.034527560698962</v>
      </c>
      <c r="M124" s="433">
        <f t="shared" si="64"/>
        <v>-89.748807631160616</v>
      </c>
      <c r="N124" s="433">
        <f t="shared" si="64"/>
        <v>112.5026031369448</v>
      </c>
      <c r="O124" s="433">
        <f t="shared" si="64"/>
        <v>0</v>
      </c>
      <c r="P124" s="433">
        <f t="shared" si="64"/>
        <v>89.417166280104539</v>
      </c>
      <c r="Q124" s="433">
        <f t="shared" si="64"/>
        <v>-68.655400534293562</v>
      </c>
      <c r="R124" s="433">
        <f t="shared" si="64"/>
        <v>0</v>
      </c>
      <c r="S124" s="433">
        <f t="shared" si="64"/>
        <v>0</v>
      </c>
      <c r="T124" s="433">
        <f t="shared" si="64"/>
        <v>0</v>
      </c>
      <c r="U124" s="433">
        <f t="shared" si="64"/>
        <v>0</v>
      </c>
      <c r="V124" s="433">
        <f t="shared" si="64"/>
        <v>0</v>
      </c>
      <c r="W124" s="433">
        <f t="shared" si="64"/>
        <v>0</v>
      </c>
      <c r="X124" s="433">
        <f t="shared" si="64"/>
        <v>0</v>
      </c>
      <c r="Y124" s="433">
        <f t="shared" si="64"/>
        <v>0</v>
      </c>
      <c r="Z124" s="433">
        <f t="shared" ref="Z124:AB124" si="65">IF(Z118&lt;&gt;0,Z118-Z123,0)</f>
        <v>0</v>
      </c>
      <c r="AA124" s="916">
        <f t="shared" si="65"/>
        <v>-316.41274475139642</v>
      </c>
      <c r="AB124" s="916">
        <f t="shared" si="65"/>
        <v>-419.97089598656771</v>
      </c>
    </row>
    <row r="125" spans="1:36" outlineLevel="1" x14ac:dyDescent="0.35">
      <c r="A125" s="352">
        <v>6</v>
      </c>
      <c r="B125" s="355" t="s">
        <v>494</v>
      </c>
      <c r="C125" s="355">
        <f>C124/C122</f>
        <v>0</v>
      </c>
      <c r="D125" s="355">
        <f t="shared" ref="D125:Y125" si="66">D124/D122</f>
        <v>0</v>
      </c>
      <c r="E125" s="355">
        <f t="shared" si="66"/>
        <v>-4.6837322825024445E-2</v>
      </c>
      <c r="F125" s="355">
        <f t="shared" si="66"/>
        <v>0</v>
      </c>
      <c r="G125" s="355">
        <f t="shared" si="66"/>
        <v>0</v>
      </c>
      <c r="H125" s="355">
        <f t="shared" si="66"/>
        <v>0</v>
      </c>
      <c r="I125" s="355">
        <f t="shared" si="66"/>
        <v>-4.7642659878235072E-2</v>
      </c>
      <c r="J125" s="355">
        <f t="shared" si="66"/>
        <v>1.7329037953664767E-2</v>
      </c>
      <c r="K125" s="355">
        <f t="shared" si="66"/>
        <v>5.9111981927001372E-2</v>
      </c>
      <c r="L125" s="355">
        <f t="shared" si="66"/>
        <v>-7.5297415568674878E-2</v>
      </c>
      <c r="M125" s="355">
        <f t="shared" si="66"/>
        <v>-9.2715710362769238E-2</v>
      </c>
      <c r="N125" s="355">
        <f t="shared" si="66"/>
        <v>0.11719021160098417</v>
      </c>
      <c r="O125" s="355">
        <f t="shared" si="66"/>
        <v>0</v>
      </c>
      <c r="P125" s="355">
        <f t="shared" si="66"/>
        <v>9.0778849015334562E-2</v>
      </c>
      <c r="Q125" s="355">
        <f t="shared" si="66"/>
        <v>-7.0056531157442412E-2</v>
      </c>
      <c r="R125" s="355" t="e">
        <f t="shared" si="66"/>
        <v>#DIV/0!</v>
      </c>
      <c r="S125" s="355" t="e">
        <f t="shared" si="66"/>
        <v>#DIV/0!</v>
      </c>
      <c r="T125" s="355" t="e">
        <f t="shared" si="66"/>
        <v>#DIV/0!</v>
      </c>
      <c r="U125" s="355" t="e">
        <f t="shared" si="66"/>
        <v>#DIV/0!</v>
      </c>
      <c r="V125" s="355" t="e">
        <f t="shared" si="66"/>
        <v>#DIV/0!</v>
      </c>
      <c r="W125" s="355" t="e">
        <f t="shared" si="66"/>
        <v>#DIV/0!</v>
      </c>
      <c r="X125" s="355" t="e">
        <f t="shared" si="66"/>
        <v>#DIV/0!</v>
      </c>
      <c r="Y125" s="355" t="e">
        <f t="shared" si="66"/>
        <v>#DIV/0!</v>
      </c>
      <c r="Z125" s="355" t="e">
        <f t="shared" ref="Z125:AB125" si="67">Z124/Z122</f>
        <v>#DIV/0!</v>
      </c>
      <c r="AA125" s="917">
        <f t="shared" si="67"/>
        <v>-0.32342018202868456</v>
      </c>
      <c r="AB125" s="917">
        <f t="shared" si="67"/>
        <v>-0.42751172785286129</v>
      </c>
    </row>
    <row r="150" spans="1:36" ht="21" outlineLevel="1" x14ac:dyDescent="0.5">
      <c r="A150" s="297">
        <v>5</v>
      </c>
      <c r="B150" s="297" t="s">
        <v>95</v>
      </c>
    </row>
    <row r="151" spans="1:36" ht="21" outlineLevel="1" x14ac:dyDescent="0.5">
      <c r="A151" s="297"/>
      <c r="B151" s="369" t="s">
        <v>500</v>
      </c>
      <c r="C151" s="369"/>
    </row>
    <row r="152" spans="1:36" s="364" customFormat="1" outlineLevel="1" x14ac:dyDescent="0.35">
      <c r="A152" s="365" t="s">
        <v>174</v>
      </c>
      <c r="B152" s="365" t="s">
        <v>439</v>
      </c>
      <c r="C152" s="914" t="s">
        <v>444</v>
      </c>
      <c r="D152" s="914">
        <v>2</v>
      </c>
      <c r="E152" s="914">
        <v>3</v>
      </c>
      <c r="F152" s="914">
        <v>4</v>
      </c>
      <c r="G152" s="914">
        <v>5</v>
      </c>
      <c r="H152" s="914">
        <v>6</v>
      </c>
      <c r="I152" s="914">
        <v>7</v>
      </c>
      <c r="J152" s="914">
        <v>8</v>
      </c>
      <c r="K152" s="914">
        <v>9</v>
      </c>
      <c r="L152" s="914">
        <v>10</v>
      </c>
      <c r="M152" s="914">
        <v>11</v>
      </c>
      <c r="N152" s="914">
        <v>12</v>
      </c>
      <c r="O152" s="915" t="s">
        <v>445</v>
      </c>
      <c r="P152" s="915">
        <v>2</v>
      </c>
      <c r="Q152" s="915">
        <v>3</v>
      </c>
      <c r="R152" s="915">
        <v>4</v>
      </c>
      <c r="S152" s="915">
        <v>5</v>
      </c>
      <c r="T152" s="915">
        <v>6</v>
      </c>
      <c r="U152" s="915">
        <v>7</v>
      </c>
      <c r="V152" s="915">
        <v>8</v>
      </c>
      <c r="W152" s="915">
        <v>9</v>
      </c>
      <c r="X152" s="915">
        <v>10</v>
      </c>
      <c r="Y152" s="915">
        <v>11</v>
      </c>
      <c r="Z152" s="915">
        <v>12</v>
      </c>
      <c r="AA152" s="915" t="s">
        <v>808</v>
      </c>
      <c r="AB152" s="914" t="s">
        <v>809</v>
      </c>
      <c r="AE152"/>
      <c r="AF152"/>
      <c r="AG152"/>
      <c r="AH152"/>
      <c r="AI152"/>
      <c r="AJ152"/>
    </row>
    <row r="153" spans="1:36" outlineLevel="1" x14ac:dyDescent="0.35">
      <c r="A153" s="320">
        <v>1</v>
      </c>
      <c r="B153" s="309" t="s">
        <v>447</v>
      </c>
      <c r="C153" s="345">
        <v>1050</v>
      </c>
      <c r="D153" s="345">
        <v>1050</v>
      </c>
      <c r="E153" s="345">
        <v>1012.5</v>
      </c>
      <c r="F153" s="345">
        <v>1012.5</v>
      </c>
      <c r="G153" s="345">
        <v>1062.5</v>
      </c>
      <c r="H153" s="345">
        <v>1062.5</v>
      </c>
      <c r="I153" s="345">
        <v>1062.5</v>
      </c>
      <c r="J153" s="345">
        <v>1062.5</v>
      </c>
      <c r="K153" s="345">
        <v>1062.5</v>
      </c>
      <c r="L153" s="345">
        <v>1062.5</v>
      </c>
      <c r="M153" s="345">
        <v>1100</v>
      </c>
      <c r="N153" s="345">
        <v>1062.5</v>
      </c>
      <c r="O153" s="418">
        <v>762.74588518667201</v>
      </c>
      <c r="P153" s="418">
        <v>749.63896547197055</v>
      </c>
      <c r="Q153" s="309"/>
      <c r="R153" s="309"/>
      <c r="S153" s="309"/>
      <c r="T153" s="309"/>
      <c r="U153" s="309"/>
      <c r="V153" s="309"/>
      <c r="W153" s="309"/>
      <c r="X153" s="309"/>
      <c r="Y153" s="309"/>
      <c r="Z153" s="309"/>
      <c r="AA153" s="637">
        <f t="shared" ref="AA153" si="68">AVERAGE(O153:Z153)</f>
        <v>756.19242532932128</v>
      </c>
      <c r="AB153" s="637">
        <f t="shared" ref="AB153" si="69">AVERAGE(C153:N153)</f>
        <v>1055.2083333333333</v>
      </c>
      <c r="AE153" s="364"/>
      <c r="AF153" s="364"/>
      <c r="AG153" s="364"/>
      <c r="AH153" s="364"/>
      <c r="AI153" s="364"/>
      <c r="AJ153" s="364"/>
    </row>
    <row r="154" spans="1:36" outlineLevel="1" x14ac:dyDescent="0.35">
      <c r="A154" s="419">
        <v>2</v>
      </c>
      <c r="B154" s="420" t="s">
        <v>378</v>
      </c>
      <c r="C154" s="397">
        <v>1050</v>
      </c>
      <c r="D154" s="397">
        <v>1050</v>
      </c>
      <c r="E154" s="397">
        <v>1050</v>
      </c>
      <c r="F154" s="397">
        <v>1050</v>
      </c>
      <c r="G154" s="397">
        <v>1100</v>
      </c>
      <c r="H154" s="397">
        <v>1100</v>
      </c>
      <c r="I154" s="397">
        <v>1100</v>
      </c>
      <c r="J154" s="397">
        <v>1100</v>
      </c>
      <c r="K154" s="397">
        <v>1100</v>
      </c>
      <c r="L154" s="397">
        <v>1100</v>
      </c>
      <c r="M154" s="397">
        <v>1100</v>
      </c>
      <c r="N154" s="397">
        <v>1100</v>
      </c>
      <c r="O154" s="397">
        <v>1100</v>
      </c>
      <c r="P154" s="397">
        <v>1100</v>
      </c>
      <c r="Q154" s="420"/>
      <c r="R154" s="420"/>
      <c r="S154" s="420"/>
      <c r="T154" s="420"/>
      <c r="U154" s="420"/>
      <c r="V154" s="420"/>
      <c r="W154" s="420"/>
      <c r="X154" s="420"/>
      <c r="Y154" s="420"/>
      <c r="Z154" s="420"/>
      <c r="AA154" s="637">
        <f t="shared" ref="AA154" si="70">AVERAGE(O154:Z154)</f>
        <v>1100</v>
      </c>
      <c r="AB154" s="637">
        <f t="shared" ref="AB154" si="71">AVERAGE(C154:N154)</f>
        <v>1083.3333333333333</v>
      </c>
    </row>
    <row r="155" spans="1:36" outlineLevel="1" x14ac:dyDescent="0.35">
      <c r="A155" s="322">
        <v>3</v>
      </c>
      <c r="B155" s="310" t="s">
        <v>441</v>
      </c>
      <c r="C155" s="421">
        <v>804.25</v>
      </c>
      <c r="D155" s="421">
        <v>787</v>
      </c>
      <c r="E155" s="421">
        <v>815.875</v>
      </c>
      <c r="F155" s="421">
        <v>831.875</v>
      </c>
      <c r="G155" s="421">
        <v>894.5</v>
      </c>
      <c r="H155" s="421">
        <v>978.5</v>
      </c>
      <c r="I155" s="421">
        <v>978.5</v>
      </c>
      <c r="J155" s="421">
        <v>980.5</v>
      </c>
      <c r="K155" s="421">
        <v>996</v>
      </c>
      <c r="L155" s="421">
        <v>1018.5</v>
      </c>
      <c r="M155" s="421">
        <v>999.7</v>
      </c>
      <c r="N155" s="421">
        <v>956.5</v>
      </c>
      <c r="O155" s="421">
        <v>911.5</v>
      </c>
      <c r="P155" s="421">
        <v>911.5</v>
      </c>
      <c r="Q155" s="310"/>
      <c r="R155" s="310"/>
      <c r="S155" s="310"/>
      <c r="T155" s="310"/>
      <c r="U155" s="310"/>
      <c r="V155" s="310"/>
      <c r="W155" s="310"/>
      <c r="X155" s="310"/>
      <c r="Y155" s="310"/>
      <c r="Z155" s="310"/>
      <c r="AA155" s="637">
        <f t="shared" ref="AA155:AA157" si="72">AVERAGE(O155:Z155)</f>
        <v>911.5</v>
      </c>
      <c r="AB155" s="637">
        <f t="shared" ref="AB155:AB157" si="73">AVERAGE(C155:N155)</f>
        <v>920.14166666666677</v>
      </c>
    </row>
    <row r="156" spans="1:36" outlineLevel="1" x14ac:dyDescent="0.35">
      <c r="A156" s="322">
        <v>4</v>
      </c>
      <c r="B156" s="310" t="s">
        <v>442</v>
      </c>
      <c r="C156" s="346">
        <v>729</v>
      </c>
      <c r="D156" s="346">
        <v>729</v>
      </c>
      <c r="E156" s="346">
        <v>729</v>
      </c>
      <c r="F156" s="346">
        <v>729</v>
      </c>
      <c r="G156" s="346">
        <v>729</v>
      </c>
      <c r="H156" s="346">
        <v>729</v>
      </c>
      <c r="I156" s="346">
        <v>679</v>
      </c>
      <c r="J156" s="346">
        <v>729</v>
      </c>
      <c r="K156" s="346">
        <v>729</v>
      </c>
      <c r="L156" s="346">
        <v>736.19206717841803</v>
      </c>
      <c r="M156" s="346">
        <v>736.19206717841803</v>
      </c>
      <c r="N156" s="346">
        <v>679.74611518704489</v>
      </c>
      <c r="O156" s="346">
        <v>668.04613132777956</v>
      </c>
      <c r="P156" s="346">
        <v>694.46136145567061</v>
      </c>
      <c r="Q156" s="310"/>
      <c r="R156" s="310"/>
      <c r="S156" s="310"/>
      <c r="T156" s="310"/>
      <c r="U156" s="310"/>
      <c r="V156" s="310"/>
      <c r="W156" s="310"/>
      <c r="X156" s="310"/>
      <c r="Y156" s="310"/>
      <c r="Z156" s="310"/>
      <c r="AA156" s="637">
        <f t="shared" si="72"/>
        <v>681.25374639172514</v>
      </c>
      <c r="AB156" s="637">
        <f t="shared" si="73"/>
        <v>721.9275207953234</v>
      </c>
    </row>
    <row r="157" spans="1:36" outlineLevel="1" x14ac:dyDescent="0.35">
      <c r="A157" s="322">
        <v>5</v>
      </c>
      <c r="B157" s="310" t="s">
        <v>443</v>
      </c>
      <c r="C157" s="346">
        <v>930</v>
      </c>
      <c r="D157" s="346">
        <v>943.33333333333337</v>
      </c>
      <c r="E157" s="346">
        <v>940</v>
      </c>
      <c r="F157" s="346">
        <v>940</v>
      </c>
      <c r="G157" s="346">
        <v>942</v>
      </c>
      <c r="H157" s="346">
        <v>950</v>
      </c>
      <c r="I157" s="346">
        <v>947.5</v>
      </c>
      <c r="J157" s="346">
        <v>930</v>
      </c>
      <c r="K157" s="346">
        <v>880</v>
      </c>
      <c r="L157" s="346">
        <v>860</v>
      </c>
      <c r="M157" s="346">
        <v>852</v>
      </c>
      <c r="N157" s="346">
        <v>830</v>
      </c>
      <c r="O157" s="346">
        <v>827.5</v>
      </c>
      <c r="P157" s="346">
        <v>840</v>
      </c>
      <c r="Q157" s="310"/>
      <c r="R157" s="310"/>
      <c r="S157" s="310"/>
      <c r="T157" s="310"/>
      <c r="U157" s="310"/>
      <c r="V157" s="310"/>
      <c r="W157" s="310"/>
      <c r="X157" s="310"/>
      <c r="Y157" s="310"/>
      <c r="Z157" s="310"/>
      <c r="AA157" s="637">
        <f t="shared" si="72"/>
        <v>833.75</v>
      </c>
      <c r="AB157" s="637">
        <f t="shared" si="73"/>
        <v>912.06944444444446</v>
      </c>
    </row>
    <row r="158" spans="1:36" outlineLevel="1" x14ac:dyDescent="0.35">
      <c r="A158" s="332"/>
      <c r="B158" s="434" t="s">
        <v>496</v>
      </c>
      <c r="C158" s="433">
        <f>C157</f>
        <v>930</v>
      </c>
      <c r="D158" s="433"/>
      <c r="E158" s="433"/>
      <c r="F158" s="433"/>
      <c r="G158" s="433"/>
      <c r="H158" s="433"/>
      <c r="I158" s="433"/>
      <c r="J158" s="433"/>
      <c r="K158" s="433"/>
      <c r="L158" s="433"/>
      <c r="M158" s="433"/>
      <c r="N158" s="433"/>
      <c r="O158" s="433"/>
      <c r="P158" s="433"/>
      <c r="Q158" s="437"/>
      <c r="R158" s="437"/>
      <c r="S158" s="437"/>
      <c r="T158" s="437"/>
      <c r="U158" s="437"/>
      <c r="V158" s="437"/>
      <c r="W158" s="437"/>
      <c r="X158" s="437"/>
      <c r="Y158" s="437"/>
      <c r="Z158" s="437"/>
      <c r="AA158" s="637"/>
      <c r="AB158" s="637"/>
    </row>
    <row r="159" spans="1:36" outlineLevel="1" x14ac:dyDescent="0.35">
      <c r="A159" s="352"/>
      <c r="B159" s="435" t="s">
        <v>495</v>
      </c>
      <c r="C159" s="433">
        <f>IF(C153&lt;&gt;0,C153-C158,0)</f>
        <v>120</v>
      </c>
      <c r="D159" s="433">
        <f t="shared" ref="D159:Y159" si="74">IF(D153&lt;&gt;0,D153-D158,0)</f>
        <v>1050</v>
      </c>
      <c r="E159" s="433">
        <f t="shared" si="74"/>
        <v>1012.5</v>
      </c>
      <c r="F159" s="433">
        <f t="shared" si="74"/>
        <v>1012.5</v>
      </c>
      <c r="G159" s="433">
        <f t="shared" si="74"/>
        <v>1062.5</v>
      </c>
      <c r="H159" s="433">
        <f t="shared" si="74"/>
        <v>1062.5</v>
      </c>
      <c r="I159" s="433">
        <f t="shared" si="74"/>
        <v>1062.5</v>
      </c>
      <c r="J159" s="433">
        <f t="shared" si="74"/>
        <v>1062.5</v>
      </c>
      <c r="K159" s="433">
        <f t="shared" si="74"/>
        <v>1062.5</v>
      </c>
      <c r="L159" s="433">
        <f t="shared" si="74"/>
        <v>1062.5</v>
      </c>
      <c r="M159" s="433">
        <f t="shared" si="74"/>
        <v>1100</v>
      </c>
      <c r="N159" s="433">
        <f t="shared" si="74"/>
        <v>1062.5</v>
      </c>
      <c r="O159" s="433">
        <f t="shared" si="74"/>
        <v>762.74588518667201</v>
      </c>
      <c r="P159" s="433">
        <f t="shared" si="74"/>
        <v>749.63896547197055</v>
      </c>
      <c r="Q159" s="433">
        <f t="shared" si="74"/>
        <v>0</v>
      </c>
      <c r="R159" s="433">
        <f t="shared" si="74"/>
        <v>0</v>
      </c>
      <c r="S159" s="433">
        <f t="shared" si="74"/>
        <v>0</v>
      </c>
      <c r="T159" s="433">
        <f t="shared" si="74"/>
        <v>0</v>
      </c>
      <c r="U159" s="433">
        <f t="shared" si="74"/>
        <v>0</v>
      </c>
      <c r="V159" s="433">
        <f t="shared" si="74"/>
        <v>0</v>
      </c>
      <c r="W159" s="433">
        <f t="shared" si="74"/>
        <v>0</v>
      </c>
      <c r="X159" s="433">
        <f t="shared" si="74"/>
        <v>0</v>
      </c>
      <c r="Y159" s="433">
        <f t="shared" si="74"/>
        <v>0</v>
      </c>
      <c r="Z159" s="433">
        <f t="shared" ref="Z159:AB159" si="75">IF(Z153&lt;&gt;0,Z153-Z158,0)</f>
        <v>0</v>
      </c>
      <c r="AA159" s="433">
        <f t="shared" si="75"/>
        <v>756.19242532932128</v>
      </c>
      <c r="AB159" s="433">
        <f t="shared" si="75"/>
        <v>1055.2083333333333</v>
      </c>
    </row>
    <row r="160" spans="1:36" outlineLevel="1" x14ac:dyDescent="0.35">
      <c r="A160" s="440">
        <v>6</v>
      </c>
      <c r="B160" s="355" t="s">
        <v>494</v>
      </c>
      <c r="C160" s="355">
        <f>C159/C157</f>
        <v>0.12903225806451613</v>
      </c>
      <c r="D160" s="355">
        <f t="shared" ref="D160:Y160" si="76">D159/D157</f>
        <v>1.1130742049469964</v>
      </c>
      <c r="E160" s="355">
        <f t="shared" si="76"/>
        <v>1.0771276595744681</v>
      </c>
      <c r="F160" s="355">
        <f t="shared" si="76"/>
        <v>1.0771276595744681</v>
      </c>
      <c r="G160" s="355">
        <f t="shared" si="76"/>
        <v>1.1279193205944797</v>
      </c>
      <c r="H160" s="355">
        <f t="shared" si="76"/>
        <v>1.118421052631579</v>
      </c>
      <c r="I160" s="355">
        <f t="shared" si="76"/>
        <v>1.1213720316622691</v>
      </c>
      <c r="J160" s="355">
        <f t="shared" si="76"/>
        <v>1.14247311827957</v>
      </c>
      <c r="K160" s="355">
        <f t="shared" si="76"/>
        <v>1.2073863636363635</v>
      </c>
      <c r="L160" s="355">
        <f t="shared" si="76"/>
        <v>1.2354651162790697</v>
      </c>
      <c r="M160" s="355">
        <f t="shared" si="76"/>
        <v>1.2910798122065728</v>
      </c>
      <c r="N160" s="355">
        <f t="shared" si="76"/>
        <v>1.2801204819277108</v>
      </c>
      <c r="O160" s="355">
        <f t="shared" si="76"/>
        <v>0.92174729327694505</v>
      </c>
      <c r="P160" s="355">
        <f t="shared" si="76"/>
        <v>0.89242733984758393</v>
      </c>
      <c r="Q160" s="355" t="e">
        <f t="shared" si="76"/>
        <v>#DIV/0!</v>
      </c>
      <c r="R160" s="355" t="e">
        <f t="shared" si="76"/>
        <v>#DIV/0!</v>
      </c>
      <c r="S160" s="355" t="e">
        <f t="shared" si="76"/>
        <v>#DIV/0!</v>
      </c>
      <c r="T160" s="355" t="e">
        <f t="shared" si="76"/>
        <v>#DIV/0!</v>
      </c>
      <c r="U160" s="355" t="e">
        <f t="shared" si="76"/>
        <v>#DIV/0!</v>
      </c>
      <c r="V160" s="355" t="e">
        <f t="shared" si="76"/>
        <v>#DIV/0!</v>
      </c>
      <c r="W160" s="355" t="e">
        <f t="shared" si="76"/>
        <v>#DIV/0!</v>
      </c>
      <c r="X160" s="355" t="e">
        <f t="shared" si="76"/>
        <v>#DIV/0!</v>
      </c>
      <c r="Y160" s="355" t="e">
        <f t="shared" si="76"/>
        <v>#DIV/0!</v>
      </c>
      <c r="Z160" s="355" t="e">
        <f t="shared" ref="Z160:AB160" si="77">Z159/Z157</f>
        <v>#DIV/0!</v>
      </c>
      <c r="AA160" s="355">
        <f t="shared" si="77"/>
        <v>0.90697742168434337</v>
      </c>
      <c r="AB160" s="355">
        <f t="shared" si="77"/>
        <v>1.1569385859385706</v>
      </c>
    </row>
    <row r="193" spans="1:36" ht="21" x14ac:dyDescent="0.5">
      <c r="A193" s="297">
        <v>6</v>
      </c>
      <c r="B193" s="297" t="s">
        <v>491</v>
      </c>
    </row>
    <row r="194" spans="1:36" s="364" customFormat="1" x14ac:dyDescent="0.35">
      <c r="A194" s="365" t="s">
        <v>174</v>
      </c>
      <c r="B194" s="365" t="s">
        <v>439</v>
      </c>
      <c r="C194" s="365" t="s">
        <v>444</v>
      </c>
      <c r="D194" s="365">
        <v>2</v>
      </c>
      <c r="E194" s="365">
        <v>3</v>
      </c>
      <c r="F194" s="365">
        <v>4</v>
      </c>
      <c r="G194" s="365">
        <v>5</v>
      </c>
      <c r="H194" s="365">
        <v>6</v>
      </c>
      <c r="I194" s="365">
        <v>7</v>
      </c>
      <c r="J194" s="365">
        <v>8</v>
      </c>
      <c r="K194" s="365">
        <v>9</v>
      </c>
      <c r="L194" s="365">
        <v>10</v>
      </c>
      <c r="M194" s="365">
        <v>11</v>
      </c>
      <c r="N194" s="365">
        <v>12</v>
      </c>
      <c r="O194" s="366" t="s">
        <v>445</v>
      </c>
      <c r="P194" s="366">
        <v>2</v>
      </c>
      <c r="Q194" s="366">
        <v>3</v>
      </c>
      <c r="R194" s="366">
        <v>4</v>
      </c>
      <c r="S194" s="366">
        <v>5</v>
      </c>
      <c r="T194" s="366">
        <v>6</v>
      </c>
      <c r="U194" s="366">
        <v>7</v>
      </c>
      <c r="V194" s="366">
        <v>8</v>
      </c>
      <c r="W194" s="366">
        <v>9</v>
      </c>
      <c r="X194" s="366">
        <v>10</v>
      </c>
      <c r="Y194" s="366">
        <v>11</v>
      </c>
      <c r="Z194" s="366"/>
      <c r="AA194" s="366"/>
      <c r="AB194" s="366"/>
      <c r="AE194"/>
      <c r="AF194"/>
      <c r="AG194"/>
      <c r="AH194"/>
      <c r="AI194"/>
      <c r="AJ194"/>
    </row>
    <row r="195" spans="1:36" x14ac:dyDescent="0.35">
      <c r="A195" s="320">
        <v>1</v>
      </c>
      <c r="B195" s="309" t="s">
        <v>447</v>
      </c>
      <c r="C195" s="345">
        <v>831.42857142857144</v>
      </c>
      <c r="D195" s="345">
        <v>845.07709750566892</v>
      </c>
      <c r="E195" s="345">
        <v>891.57258064516134</v>
      </c>
      <c r="F195" s="345">
        <v>903.22397360703815</v>
      </c>
      <c r="G195" s="345">
        <v>0</v>
      </c>
      <c r="H195" s="345">
        <v>0</v>
      </c>
      <c r="I195" s="345">
        <v>892.07487056949424</v>
      </c>
      <c r="J195" s="345">
        <v>0</v>
      </c>
      <c r="K195" s="345">
        <v>879.19412211510371</v>
      </c>
      <c r="L195" s="345">
        <v>837.11702012159822</v>
      </c>
      <c r="M195" s="345">
        <v>833.1346051934288</v>
      </c>
      <c r="N195" s="345">
        <v>820.48240411229733</v>
      </c>
      <c r="O195" s="418">
        <v>631.90448615014043</v>
      </c>
      <c r="P195" s="418">
        <v>628.41225727141443</v>
      </c>
      <c r="Q195" s="309"/>
      <c r="R195" s="309"/>
      <c r="S195" s="309"/>
      <c r="T195" s="309"/>
      <c r="U195" s="309"/>
      <c r="V195" s="309"/>
      <c r="W195" s="309"/>
      <c r="X195" s="309"/>
      <c r="Y195" s="309"/>
      <c r="Z195" s="309"/>
      <c r="AA195" s="309"/>
      <c r="AB195" s="309"/>
      <c r="AE195" s="364"/>
      <c r="AF195" s="364"/>
      <c r="AG195" s="364"/>
      <c r="AH195" s="364"/>
      <c r="AI195" s="364"/>
      <c r="AJ195" s="364"/>
    </row>
    <row r="196" spans="1:36" x14ac:dyDescent="0.35">
      <c r="A196" s="322">
        <v>2</v>
      </c>
      <c r="B196" s="310" t="s">
        <v>378</v>
      </c>
      <c r="C196" s="422">
        <v>810</v>
      </c>
      <c r="D196" s="422">
        <v>880</v>
      </c>
      <c r="E196" s="422">
        <v>900</v>
      </c>
      <c r="F196" s="422">
        <v>900</v>
      </c>
      <c r="G196" s="422">
        <v>870</v>
      </c>
      <c r="H196" s="422">
        <v>870</v>
      </c>
      <c r="I196" s="422">
        <v>870</v>
      </c>
      <c r="J196" s="422">
        <v>870</v>
      </c>
      <c r="K196" s="422">
        <v>850</v>
      </c>
      <c r="L196" s="422">
        <v>840</v>
      </c>
      <c r="M196" s="422">
        <v>825</v>
      </c>
      <c r="N196" s="422">
        <v>825</v>
      </c>
      <c r="O196" s="422">
        <v>825</v>
      </c>
      <c r="P196" s="422">
        <v>750</v>
      </c>
      <c r="Q196" s="310"/>
      <c r="R196" s="310"/>
      <c r="S196" s="310"/>
      <c r="T196" s="310"/>
      <c r="U196" s="310"/>
      <c r="V196" s="310"/>
      <c r="W196" s="310"/>
      <c r="X196" s="310"/>
      <c r="Y196" s="310"/>
      <c r="Z196" s="310"/>
      <c r="AA196" s="310"/>
      <c r="AB196" s="310"/>
    </row>
    <row r="197" spans="1:36" x14ac:dyDescent="0.35">
      <c r="A197" s="322">
        <v>3</v>
      </c>
      <c r="B197" s="310" t="s">
        <v>441</v>
      </c>
      <c r="C197" s="421"/>
      <c r="D197" s="421"/>
      <c r="E197" s="421"/>
      <c r="F197" s="421"/>
      <c r="G197" s="421"/>
      <c r="H197" s="421"/>
      <c r="I197" s="421"/>
      <c r="J197" s="421"/>
      <c r="K197" s="421"/>
      <c r="L197" s="421"/>
      <c r="M197" s="421"/>
      <c r="N197" s="421"/>
      <c r="O197" s="421"/>
      <c r="P197" s="421"/>
      <c r="Q197" s="310"/>
      <c r="R197" s="310"/>
      <c r="S197" s="310"/>
      <c r="T197" s="310"/>
      <c r="U197" s="310"/>
      <c r="V197" s="310"/>
      <c r="W197" s="310"/>
      <c r="X197" s="310"/>
      <c r="Y197" s="310"/>
      <c r="Z197" s="310"/>
      <c r="AA197" s="310"/>
      <c r="AB197" s="310"/>
    </row>
    <row r="198" spans="1:36" x14ac:dyDescent="0.35">
      <c r="A198" s="322">
        <v>4</v>
      </c>
      <c r="B198" s="310" t="s">
        <v>442</v>
      </c>
      <c r="C198" s="346">
        <v>607</v>
      </c>
      <c r="D198" s="346">
        <v>603</v>
      </c>
      <c r="E198" s="346">
        <v>603</v>
      </c>
      <c r="F198" s="346">
        <v>595</v>
      </c>
      <c r="G198" s="346">
        <v>595</v>
      </c>
      <c r="H198" s="346">
        <v>595</v>
      </c>
      <c r="I198" s="346">
        <v>656</v>
      </c>
      <c r="J198" s="346">
        <v>661</v>
      </c>
      <c r="K198" s="346">
        <v>664</v>
      </c>
      <c r="L198" s="346">
        <v>665.95976317843451</v>
      </c>
      <c r="M198" s="346">
        <v>662.45159124912914</v>
      </c>
      <c r="N198" s="346">
        <v>666.2008844592176</v>
      </c>
      <c r="O198" s="346">
        <v>673.72306796354871</v>
      </c>
      <c r="P198" s="346">
        <v>687</v>
      </c>
      <c r="Q198" s="310"/>
      <c r="R198" s="310"/>
      <c r="S198" s="310"/>
      <c r="T198" s="310"/>
      <c r="U198" s="310"/>
      <c r="V198" s="310"/>
      <c r="W198" s="310"/>
      <c r="X198" s="310"/>
      <c r="Y198" s="310"/>
      <c r="Z198" s="310"/>
      <c r="AA198" s="310"/>
      <c r="AB198" s="310"/>
    </row>
    <row r="199" spans="1:36" x14ac:dyDescent="0.35">
      <c r="A199" s="322">
        <v>5</v>
      </c>
      <c r="B199" s="310" t="s">
        <v>443</v>
      </c>
      <c r="C199" s="346">
        <v>947.5</v>
      </c>
      <c r="D199" s="346">
        <v>1010</v>
      </c>
      <c r="E199" s="346">
        <v>995</v>
      </c>
      <c r="F199" s="346">
        <v>975</v>
      </c>
      <c r="G199" s="346">
        <v>956</v>
      </c>
      <c r="H199" s="346">
        <v>980</v>
      </c>
      <c r="I199" s="346">
        <v>975</v>
      </c>
      <c r="J199" s="346">
        <v>946</v>
      </c>
      <c r="K199" s="346">
        <v>932.5</v>
      </c>
      <c r="L199" s="346">
        <v>925</v>
      </c>
      <c r="M199" s="346">
        <v>940</v>
      </c>
      <c r="N199" s="346">
        <v>940</v>
      </c>
      <c r="O199" s="346">
        <v>940</v>
      </c>
      <c r="P199" s="346">
        <v>945</v>
      </c>
      <c r="Q199" s="310"/>
      <c r="R199" s="310"/>
      <c r="S199" s="310"/>
      <c r="T199" s="310"/>
      <c r="U199" s="310"/>
      <c r="V199" s="310"/>
      <c r="W199" s="310"/>
      <c r="X199" s="310"/>
      <c r="Y199" s="310"/>
      <c r="Z199" s="310"/>
      <c r="AA199" s="310"/>
      <c r="AB199" s="310"/>
    </row>
    <row r="200" spans="1:36" x14ac:dyDescent="0.35">
      <c r="A200" s="352">
        <v>6</v>
      </c>
      <c r="B200" s="311" t="s">
        <v>446</v>
      </c>
      <c r="C200" s="355">
        <f t="shared" ref="C200:O200" si="78">C195/C199-1</f>
        <v>-0.12250282698831505</v>
      </c>
      <c r="D200" s="355">
        <f t="shared" si="78"/>
        <v>-0.16329000246963477</v>
      </c>
      <c r="E200" s="355">
        <f t="shared" si="78"/>
        <v>-0.10394715513049113</v>
      </c>
      <c r="F200" s="355">
        <f t="shared" si="78"/>
        <v>-7.361643732611467E-2</v>
      </c>
      <c r="G200" s="355">
        <f t="shared" si="78"/>
        <v>-1</v>
      </c>
      <c r="H200" s="355">
        <f t="shared" si="78"/>
        <v>-1</v>
      </c>
      <c r="I200" s="355">
        <f t="shared" si="78"/>
        <v>-8.5051414800518699E-2</v>
      </c>
      <c r="J200" s="355">
        <f t="shared" si="78"/>
        <v>-1</v>
      </c>
      <c r="K200" s="355">
        <f t="shared" si="78"/>
        <v>-5.7164480305518794E-2</v>
      </c>
      <c r="L200" s="355">
        <f t="shared" si="78"/>
        <v>-9.5008626895569548E-2</v>
      </c>
      <c r="M200" s="355">
        <f t="shared" si="78"/>
        <v>-0.11368659021975658</v>
      </c>
      <c r="N200" s="355">
        <f t="shared" si="78"/>
        <v>-0.12714637860393896</v>
      </c>
      <c r="O200" s="355">
        <f t="shared" si="78"/>
        <v>-0.32776118494665907</v>
      </c>
      <c r="P200" s="355">
        <f>P195/P199-1</f>
        <v>-0.33501348436887357</v>
      </c>
      <c r="Q200" s="311"/>
      <c r="R200" s="311"/>
      <c r="S200" s="311"/>
      <c r="T200" s="311"/>
      <c r="U200" s="311"/>
      <c r="V200" s="311"/>
      <c r="W200" s="311"/>
      <c r="X200" s="311"/>
      <c r="Y200" s="311"/>
      <c r="Z200" s="311"/>
      <c r="AA200" s="311"/>
      <c r="AB200" s="311"/>
    </row>
    <row r="201" spans="1:36" x14ac:dyDescent="0.35">
      <c r="B201" s="411" t="s">
        <v>488</v>
      </c>
      <c r="C201" s="253">
        <f t="shared" ref="C201:O201" si="79">C199</f>
        <v>947.5</v>
      </c>
      <c r="D201" s="253">
        <f t="shared" si="79"/>
        <v>1010</v>
      </c>
      <c r="E201" s="253">
        <f t="shared" si="79"/>
        <v>995</v>
      </c>
      <c r="F201" s="253">
        <f t="shared" si="79"/>
        <v>975</v>
      </c>
      <c r="G201" s="253">
        <f t="shared" si="79"/>
        <v>956</v>
      </c>
      <c r="H201" s="253">
        <f t="shared" si="79"/>
        <v>980</v>
      </c>
      <c r="I201" s="253">
        <f t="shared" si="79"/>
        <v>975</v>
      </c>
      <c r="J201" s="253">
        <f t="shared" si="79"/>
        <v>946</v>
      </c>
      <c r="K201" s="253">
        <f t="shared" si="79"/>
        <v>932.5</v>
      </c>
      <c r="L201" s="253">
        <f t="shared" si="79"/>
        <v>925</v>
      </c>
      <c r="M201" s="253">
        <f t="shared" si="79"/>
        <v>940</v>
      </c>
      <c r="N201" s="253">
        <f t="shared" si="79"/>
        <v>940</v>
      </c>
      <c r="O201" s="253">
        <f t="shared" si="79"/>
        <v>940</v>
      </c>
      <c r="P201" s="253">
        <f>P199</f>
        <v>945</v>
      </c>
    </row>
    <row r="202" spans="1:36" x14ac:dyDescent="0.35">
      <c r="B202" s="411" t="s">
        <v>379</v>
      </c>
      <c r="C202" s="253">
        <f t="shared" ref="C202:P202" si="80">C195-C201</f>
        <v>-116.07142857142856</v>
      </c>
      <c r="D202" s="253">
        <f t="shared" si="80"/>
        <v>-164.92290249433108</v>
      </c>
      <c r="E202" s="253">
        <f t="shared" si="80"/>
        <v>-103.42741935483866</v>
      </c>
      <c r="F202" s="253">
        <f t="shared" si="80"/>
        <v>-71.776026392961853</v>
      </c>
      <c r="G202" s="253">
        <f t="shared" si="80"/>
        <v>-956</v>
      </c>
      <c r="H202" s="253">
        <f t="shared" si="80"/>
        <v>-980</v>
      </c>
      <c r="I202" s="253">
        <f t="shared" si="80"/>
        <v>-82.925129430505763</v>
      </c>
      <c r="J202" s="253">
        <f t="shared" si="80"/>
        <v>-946</v>
      </c>
      <c r="K202" s="253">
        <f t="shared" si="80"/>
        <v>-53.30587788489629</v>
      </c>
      <c r="L202" s="253">
        <f t="shared" si="80"/>
        <v>-87.882979878401784</v>
      </c>
      <c r="M202" s="253">
        <f t="shared" si="80"/>
        <v>-106.8653948065712</v>
      </c>
      <c r="N202" s="253">
        <f t="shared" si="80"/>
        <v>-119.51759588770267</v>
      </c>
      <c r="O202" s="253">
        <f t="shared" si="80"/>
        <v>-308.09551384985957</v>
      </c>
      <c r="P202" s="253">
        <f t="shared" si="80"/>
        <v>-316.58774272858557</v>
      </c>
    </row>
    <row r="231" spans="1:36" ht="21" x14ac:dyDescent="0.5">
      <c r="A231" s="297">
        <v>6</v>
      </c>
      <c r="B231" s="297" t="s">
        <v>492</v>
      </c>
    </row>
    <row r="232" spans="1:36" s="364" customFormat="1" x14ac:dyDescent="0.35">
      <c r="A232" s="365" t="s">
        <v>174</v>
      </c>
      <c r="B232" s="365" t="s">
        <v>439</v>
      </c>
      <c r="C232" s="365" t="s">
        <v>444</v>
      </c>
      <c r="D232" s="365">
        <v>2</v>
      </c>
      <c r="E232" s="365">
        <v>3</v>
      </c>
      <c r="F232" s="365">
        <v>4</v>
      </c>
      <c r="G232" s="365">
        <v>5</v>
      </c>
      <c r="H232" s="365">
        <v>6</v>
      </c>
      <c r="I232" s="365">
        <v>7</v>
      </c>
      <c r="J232" s="365">
        <v>8</v>
      </c>
      <c r="K232" s="365">
        <v>9</v>
      </c>
      <c r="L232" s="365">
        <v>10</v>
      </c>
      <c r="M232" s="365">
        <v>11</v>
      </c>
      <c r="N232" s="365">
        <v>12</v>
      </c>
      <c r="O232" s="366" t="s">
        <v>445</v>
      </c>
      <c r="P232" s="366">
        <v>2</v>
      </c>
      <c r="Q232" s="366">
        <v>3</v>
      </c>
      <c r="R232" s="366">
        <v>4</v>
      </c>
      <c r="S232" s="366">
        <v>5</v>
      </c>
      <c r="T232" s="366">
        <v>6</v>
      </c>
      <c r="U232" s="366">
        <v>7</v>
      </c>
      <c r="V232" s="366">
        <v>8</v>
      </c>
      <c r="W232" s="366">
        <v>9</v>
      </c>
      <c r="X232" s="366">
        <v>10</v>
      </c>
      <c r="Y232" s="366">
        <v>11</v>
      </c>
      <c r="Z232" s="366"/>
      <c r="AA232" s="366"/>
      <c r="AB232" s="366"/>
      <c r="AE232"/>
      <c r="AF232"/>
      <c r="AG232"/>
      <c r="AH232"/>
      <c r="AI232"/>
      <c r="AJ232"/>
    </row>
    <row r="233" spans="1:36" x14ac:dyDescent="0.35">
      <c r="A233" s="320">
        <v>1</v>
      </c>
      <c r="B233" s="309" t="s">
        <v>447</v>
      </c>
      <c r="C233" s="345">
        <v>812.53061224489795</v>
      </c>
      <c r="D233" s="345">
        <v>812.53061224489795</v>
      </c>
      <c r="E233" s="345">
        <v>891.57258064516134</v>
      </c>
      <c r="F233" s="345">
        <v>891.57258064516134</v>
      </c>
      <c r="G233" s="345">
        <v>884.44</v>
      </c>
      <c r="H233" s="345">
        <v>874.99010684606253</v>
      </c>
      <c r="I233" s="345">
        <v>0</v>
      </c>
      <c r="J233" s="345">
        <v>0</v>
      </c>
      <c r="K233" s="345">
        <v>0</v>
      </c>
      <c r="L233" s="345">
        <v>0</v>
      </c>
      <c r="M233" s="345">
        <v>0</v>
      </c>
      <c r="N233" s="345">
        <v>0</v>
      </c>
      <c r="O233" s="345">
        <v>0</v>
      </c>
      <c r="P233" s="345">
        <v>0</v>
      </c>
      <c r="Q233" s="309"/>
      <c r="R233" s="309"/>
      <c r="S233" s="309"/>
      <c r="T233" s="309"/>
      <c r="U233" s="309"/>
      <c r="V233" s="309"/>
      <c r="W233" s="309"/>
      <c r="X233" s="309"/>
      <c r="Y233" s="309"/>
      <c r="Z233" s="309"/>
      <c r="AA233" s="309"/>
      <c r="AB233" s="309"/>
      <c r="AE233" s="364"/>
      <c r="AF233" s="364"/>
      <c r="AG233" s="364"/>
      <c r="AH233" s="364"/>
      <c r="AI233" s="364"/>
      <c r="AJ233" s="364"/>
    </row>
    <row r="234" spans="1:36" x14ac:dyDescent="0.35">
      <c r="A234" s="322">
        <v>2</v>
      </c>
      <c r="B234" s="310" t="s">
        <v>378</v>
      </c>
      <c r="C234" s="346">
        <v>810</v>
      </c>
      <c r="D234" s="346">
        <v>840</v>
      </c>
      <c r="E234" s="346">
        <v>880</v>
      </c>
      <c r="F234" s="346">
        <v>900</v>
      </c>
      <c r="G234" s="346">
        <v>900</v>
      </c>
      <c r="H234" s="346">
        <v>900</v>
      </c>
      <c r="I234" s="346">
        <v>900</v>
      </c>
      <c r="J234" s="346">
        <v>900</v>
      </c>
      <c r="K234" s="346">
        <v>860</v>
      </c>
      <c r="L234" s="346">
        <v>855</v>
      </c>
      <c r="M234" s="346">
        <v>855</v>
      </c>
      <c r="N234" s="346">
        <v>855</v>
      </c>
      <c r="O234" s="346">
        <v>855</v>
      </c>
      <c r="P234" s="346">
        <v>780</v>
      </c>
      <c r="Q234" s="310"/>
      <c r="R234" s="310"/>
      <c r="S234" s="310"/>
      <c r="T234" s="310"/>
      <c r="U234" s="310"/>
      <c r="V234" s="310"/>
      <c r="W234" s="310"/>
      <c r="X234" s="310"/>
      <c r="Y234" s="310"/>
      <c r="Z234" s="310"/>
      <c r="AA234" s="310"/>
      <c r="AB234" s="310"/>
    </row>
    <row r="235" spans="1:36" x14ac:dyDescent="0.35">
      <c r="A235" s="322">
        <v>3</v>
      </c>
      <c r="B235" s="310" t="s">
        <v>441</v>
      </c>
      <c r="C235" s="421"/>
      <c r="D235" s="421"/>
      <c r="E235" s="421"/>
      <c r="F235" s="421"/>
      <c r="G235" s="421"/>
      <c r="H235" s="421"/>
      <c r="I235" s="421"/>
      <c r="J235" s="421"/>
      <c r="K235" s="421"/>
      <c r="L235" s="421"/>
      <c r="M235" s="421"/>
      <c r="N235" s="421"/>
      <c r="O235" s="421"/>
      <c r="P235" s="421"/>
      <c r="Q235" s="310"/>
      <c r="R235" s="310"/>
      <c r="S235" s="310"/>
      <c r="T235" s="310"/>
      <c r="U235" s="310"/>
      <c r="V235" s="310"/>
      <c r="W235" s="310"/>
      <c r="X235" s="310"/>
      <c r="Y235" s="310"/>
      <c r="Z235" s="310"/>
      <c r="AA235" s="310"/>
      <c r="AB235" s="310"/>
    </row>
    <row r="236" spans="1:36" x14ac:dyDescent="0.35">
      <c r="A236" s="322">
        <v>4</v>
      </c>
      <c r="B236" s="310" t="s">
        <v>442</v>
      </c>
      <c r="C236" s="346">
        <v>772</v>
      </c>
      <c r="D236" s="346">
        <v>772</v>
      </c>
      <c r="E236" s="346">
        <v>772</v>
      </c>
      <c r="F236" s="346">
        <v>772</v>
      </c>
      <c r="G236" s="346">
        <v>772</v>
      </c>
      <c r="H236" s="346">
        <v>772</v>
      </c>
      <c r="I236" s="346">
        <v>738</v>
      </c>
      <c r="J236" s="346">
        <v>780.1665026220935</v>
      </c>
      <c r="K236" s="346">
        <v>790.84736542275789</v>
      </c>
      <c r="L236" s="346">
        <v>794.61882076959819</v>
      </c>
      <c r="M236" s="346">
        <v>794.61882076959819</v>
      </c>
      <c r="N236" s="346">
        <v>772.61324687952413</v>
      </c>
      <c r="O236" s="346">
        <v>790.71342693105714</v>
      </c>
      <c r="P236" s="346">
        <v>780.14594515953695</v>
      </c>
      <c r="Q236" s="310"/>
      <c r="R236" s="310"/>
      <c r="S236" s="310"/>
      <c r="T236" s="310"/>
      <c r="U236" s="310"/>
      <c r="V236" s="310"/>
      <c r="W236" s="310"/>
      <c r="X236" s="310"/>
      <c r="Y236" s="310"/>
      <c r="Z236" s="310"/>
      <c r="AA236" s="310"/>
      <c r="AB236" s="310"/>
    </row>
    <row r="237" spans="1:36" x14ac:dyDescent="0.35">
      <c r="A237" s="322">
        <v>5</v>
      </c>
      <c r="B237" s="310" t="s">
        <v>443</v>
      </c>
      <c r="C237" s="346">
        <v>962.5</v>
      </c>
      <c r="D237" s="346">
        <v>986.66666666666663</v>
      </c>
      <c r="E237" s="346">
        <v>990</v>
      </c>
      <c r="F237" s="346">
        <v>992.5</v>
      </c>
      <c r="G237" s="346">
        <v>1002</v>
      </c>
      <c r="H237" s="346">
        <v>1025</v>
      </c>
      <c r="I237" s="346">
        <v>1020</v>
      </c>
      <c r="J237" s="346">
        <v>970</v>
      </c>
      <c r="K237" s="346">
        <v>955</v>
      </c>
      <c r="L237" s="346">
        <v>955</v>
      </c>
      <c r="M237" s="346">
        <v>968</v>
      </c>
      <c r="N237" s="346">
        <v>960</v>
      </c>
      <c r="O237" s="346">
        <v>970</v>
      </c>
      <c r="P237" s="346">
        <v>985</v>
      </c>
      <c r="Q237" s="310"/>
      <c r="R237" s="310"/>
      <c r="S237" s="310"/>
      <c r="T237" s="310"/>
      <c r="U237" s="310"/>
      <c r="V237" s="310"/>
      <c r="W237" s="310"/>
      <c r="X237" s="310"/>
      <c r="Y237" s="310"/>
      <c r="Z237" s="310"/>
      <c r="AA237" s="310"/>
      <c r="AB237" s="310"/>
    </row>
    <row r="238" spans="1:36" x14ac:dyDescent="0.35">
      <c r="A238" s="352">
        <v>6</v>
      </c>
      <c r="B238" s="311" t="s">
        <v>446</v>
      </c>
      <c r="C238" s="355">
        <f t="shared" ref="C238:O238" si="81">C233/C237-1</f>
        <v>-0.15581235091439172</v>
      </c>
      <c r="D238" s="355">
        <f t="shared" si="81"/>
        <v>-0.17648924434638713</v>
      </c>
      <c r="E238" s="355">
        <f t="shared" si="81"/>
        <v>-9.9421635711958278E-2</v>
      </c>
      <c r="F238" s="355">
        <f t="shared" si="81"/>
        <v>-0.10169009506784754</v>
      </c>
      <c r="G238" s="355">
        <f t="shared" si="81"/>
        <v>-0.11732534930139715</v>
      </c>
      <c r="H238" s="355">
        <f t="shared" si="81"/>
        <v>-0.14635111527213407</v>
      </c>
      <c r="I238" s="355">
        <f t="shared" si="81"/>
        <v>-1</v>
      </c>
      <c r="J238" s="355">
        <f t="shared" si="81"/>
        <v>-1</v>
      </c>
      <c r="K238" s="355">
        <f t="shared" si="81"/>
        <v>-1</v>
      </c>
      <c r="L238" s="355">
        <f t="shared" si="81"/>
        <v>-1</v>
      </c>
      <c r="M238" s="355">
        <f t="shared" si="81"/>
        <v>-1</v>
      </c>
      <c r="N238" s="355">
        <f t="shared" si="81"/>
        <v>-1</v>
      </c>
      <c r="O238" s="355">
        <f t="shared" si="81"/>
        <v>-1</v>
      </c>
      <c r="P238" s="355">
        <f>P233/P237-1</f>
        <v>-1</v>
      </c>
      <c r="Q238" s="311"/>
      <c r="R238" s="311"/>
      <c r="S238" s="311"/>
      <c r="T238" s="311"/>
      <c r="U238" s="311"/>
      <c r="V238" s="311"/>
      <c r="W238" s="311"/>
      <c r="X238" s="311"/>
      <c r="Y238" s="311"/>
      <c r="Z238" s="311"/>
      <c r="AA238" s="311"/>
      <c r="AB238" s="311"/>
    </row>
    <row r="239" spans="1:36" x14ac:dyDescent="0.35">
      <c r="B239" s="411" t="s">
        <v>488</v>
      </c>
      <c r="C239" s="253">
        <f t="shared" ref="C239:O239" si="82">C237</f>
        <v>962.5</v>
      </c>
      <c r="D239" s="253">
        <f t="shared" si="82"/>
        <v>986.66666666666663</v>
      </c>
      <c r="E239" s="253">
        <f t="shared" si="82"/>
        <v>990</v>
      </c>
      <c r="F239" s="253">
        <f t="shared" si="82"/>
        <v>992.5</v>
      </c>
      <c r="G239" s="253">
        <f t="shared" si="82"/>
        <v>1002</v>
      </c>
      <c r="H239" s="253">
        <f t="shared" si="82"/>
        <v>1025</v>
      </c>
      <c r="I239" s="253">
        <f t="shared" si="82"/>
        <v>1020</v>
      </c>
      <c r="J239" s="253">
        <f t="shared" si="82"/>
        <v>970</v>
      </c>
      <c r="K239" s="253">
        <f t="shared" si="82"/>
        <v>955</v>
      </c>
      <c r="L239" s="253">
        <f t="shared" si="82"/>
        <v>955</v>
      </c>
      <c r="M239" s="253">
        <f t="shared" si="82"/>
        <v>968</v>
      </c>
      <c r="N239" s="253">
        <f t="shared" si="82"/>
        <v>960</v>
      </c>
      <c r="O239" s="253">
        <f t="shared" si="82"/>
        <v>970</v>
      </c>
      <c r="P239" s="253"/>
    </row>
    <row r="240" spans="1:36" x14ac:dyDescent="0.35">
      <c r="B240" s="411" t="s">
        <v>379</v>
      </c>
      <c r="C240" s="253">
        <f t="shared" ref="C240:P240" si="83">C233-C239</f>
        <v>-149.96938775510205</v>
      </c>
      <c r="D240" s="253">
        <f t="shared" si="83"/>
        <v>-174.13605442176868</v>
      </c>
      <c r="E240" s="253">
        <f t="shared" si="83"/>
        <v>-98.427419354838662</v>
      </c>
      <c r="F240" s="253">
        <f t="shared" si="83"/>
        <v>-100.92741935483866</v>
      </c>
      <c r="G240" s="253">
        <f t="shared" si="83"/>
        <v>-117.55999999999995</v>
      </c>
      <c r="H240" s="253">
        <f t="shared" si="83"/>
        <v>-150.00989315393747</v>
      </c>
      <c r="I240" s="253">
        <f t="shared" si="83"/>
        <v>-1020</v>
      </c>
      <c r="J240" s="253">
        <f t="shared" si="83"/>
        <v>-970</v>
      </c>
      <c r="K240" s="253">
        <f t="shared" si="83"/>
        <v>-955</v>
      </c>
      <c r="L240" s="253">
        <f t="shared" si="83"/>
        <v>-955</v>
      </c>
      <c r="M240" s="253">
        <f t="shared" si="83"/>
        <v>-968</v>
      </c>
      <c r="N240" s="253">
        <f t="shared" si="83"/>
        <v>-960</v>
      </c>
      <c r="O240" s="253">
        <f t="shared" si="83"/>
        <v>-970</v>
      </c>
      <c r="P240" s="253">
        <f t="shared" si="83"/>
        <v>0</v>
      </c>
    </row>
  </sheetData>
  <mergeCells count="2">
    <mergeCell ref="AJ7:AJ10"/>
    <mergeCell ref="AJ44:AJ46"/>
  </mergeCells>
  <conditionalFormatting sqref="AF7:AI11 AF44:AI48">
    <cfRule type="cellIs" dxfId="0" priority="2" operator="lessThan">
      <formula>0</formula>
    </cfRule>
  </conditionalFormatting>
  <hyperlinks>
    <hyperlink ref="A1" location="'00. DM'!A1" display="00. DM" xr:uid="{89DDD6D1-0A0A-4523-804A-59AAAFBA0C81}"/>
  </hyperlink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Data&gt;&gt;</vt:lpstr>
      <vt:lpstr>01. KE30</vt:lpstr>
      <vt:lpstr>02. Tỷ giá</vt:lpstr>
      <vt:lpstr>Quy đổi</vt:lpstr>
      <vt:lpstr>00. DM</vt:lpstr>
      <vt:lpstr>Báo cáo&gt;&gt;</vt:lpstr>
      <vt:lpstr>03. TH_ XK-B2B</vt:lpstr>
      <vt:lpstr>03.1. Chart XK-B2B</vt:lpstr>
      <vt:lpstr>03.2. data chart 01</vt:lpstr>
      <vt:lpstr>04. BC - Nhóm hàng</vt:lpstr>
      <vt:lpstr>04.1. Chart Nhóm hàng</vt:lpstr>
      <vt:lpstr>04.2 Bubble_Nhóm hàng</vt:lpstr>
      <vt:lpstr>04.3. Chart-Nhóm hàng (copy)</vt:lpstr>
      <vt:lpstr>05. BC BH THEO SKU-USD</vt:lpstr>
      <vt:lpstr>Cơ cấu bán rPET</vt:lpstr>
      <vt:lpstr>05.1. Top 5 SKU</vt:lpstr>
      <vt:lpstr>05.2. Chart _SKU</vt:lpstr>
      <vt:lpstr>05.3. Chart theo SKU (Copy)</vt:lpstr>
      <vt:lpstr>06. BC BH THEO CUSTOMER-USD</vt:lpstr>
      <vt:lpstr>06.1. BC bán lỗ</vt:lpstr>
      <vt:lpstr>06.2. KH chính</vt:lpstr>
      <vt:lpstr>6.3 Chart_KH</vt:lpstr>
      <vt:lpstr>6.4 Chart_KH (Copy)</vt:lpstr>
      <vt:lpstr>07. Chart_QUỐC GIA</vt:lpstr>
      <vt:lpstr>7.1. Chart Bubble_QUỐC GIA</vt:lpstr>
      <vt:lpstr>7.2 Chart_Quốc Gia_Copy</vt:lpstr>
      <vt:lpstr>8.1. Chart_Khu vực</vt:lpstr>
      <vt:lpstr>8.2 Chart Bubble_Khu vực</vt:lpstr>
      <vt:lpstr>8.3 Chart Khu vực_Coppy</vt:lpstr>
      <vt:lpstr>09. Khách hàng mới</vt:lpstr>
      <vt:lpstr>10. GIá bán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Tâm, Lưu Thị Minh</dc:creator>
  <cp:lastModifiedBy>Huyền, Lữ Ngọc Mỹ</cp:lastModifiedBy>
  <dcterms:created xsi:type="dcterms:W3CDTF">2024-11-01T02:35:45Z</dcterms:created>
  <dcterms:modified xsi:type="dcterms:W3CDTF">2025-10-07T05:50:04Z</dcterms:modified>
</cp:coreProperties>
</file>